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trlProps/ctrlProp2.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5.xml" ContentType="application/vnd.openxmlformats-officedocument.drawingml.chart+xml"/>
  <Override PartName="/xl/charts/chart6.xml" ContentType="application/vnd.openxmlformats-officedocument.drawingml.chart+xml"/>
  <Override PartName="/xl/drawings/drawing8.xml" ContentType="application/vnd.openxmlformats-officedocument.drawing+xml"/>
  <Override PartName="/xl/ctrlProps/ctrlProp3.xml" ContentType="application/vnd.ms-excel.controlproperties+xml"/>
  <Override PartName="/xl/drawings/drawing9.xml" ContentType="application/vnd.openxmlformats-officedocument.drawing+xml"/>
  <Override PartName="/xl/drawings/drawing10.xml" ContentType="application/vnd.openxmlformats-officedocument.drawing+xml"/>
  <Override PartName="/xl/charts/chart7.xml" ContentType="application/vnd.openxmlformats-officedocument.drawingml.chart+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mc:AlternateContent xmlns:mc="http://schemas.openxmlformats.org/markup-compatibility/2006">
    <mc:Choice Requires="x15">
      <x15ac:absPath xmlns:x15ac="http://schemas.microsoft.com/office/spreadsheetml/2010/11/ac" url="P:\BUDGET\Budget FY2018\DESE\"/>
    </mc:Choice>
  </mc:AlternateContent>
  <bookViews>
    <workbookView xWindow="0" yWindow="0" windowWidth="21570" windowHeight="10215" tabRatio="788" firstSheet="2" activeTab="6"/>
  </bookViews>
  <sheets>
    <sheet name="notes" sheetId="23" state="hidden" r:id="rId1"/>
    <sheet name="parameters" sheetId="3" state="hidden" r:id="rId2"/>
    <sheet name="Index" sheetId="4" r:id="rId3"/>
    <sheet name="Foundation Budget" sheetId="9" r:id="rId4"/>
    <sheet name="Municipal Contribution" sheetId="8" r:id="rId5"/>
    <sheet name="Regl Allocation" sheetId="12" r:id="rId6"/>
    <sheet name="Summary" sheetId="7" r:id="rId7"/>
    <sheet name="Regl Dist Members" sheetId="16" r:id="rId8"/>
    <sheet name="ceyregionalcalc" sheetId="22" state="hidden" r:id="rId9"/>
    <sheet name="Comparison to FY17" sheetId="15" r:id="rId10"/>
    <sheet name="Rates" sheetId="5" r:id="rId11"/>
    <sheet name="Townwide Contributions" sheetId="10" r:id="rId12"/>
    <sheet name="localcont" sheetId="19" state="hidden" r:id="rId13"/>
    <sheet name="Aid436" sheetId="13" r:id="rId14"/>
    <sheet name="frac" sheetId="6" state="hidden" r:id="rId15"/>
    <sheet name="disthist" sheetId="20" state="hidden" r:id="rId16"/>
    <sheet name="dist435" sheetId="14" state="hidden" r:id="rId17"/>
    <sheet name="leas" sheetId="17" state="hidden" r:id="rId18"/>
    <sheet name="MoreAboutData" sheetId="24" r:id="rId19"/>
  </sheets>
  <definedNames>
    <definedName name="_xlnm._FilterDatabase" localSheetId="13" hidden="1">'Aid436'!$A$9:$AW$451</definedName>
    <definedName name="_xlnm._FilterDatabase" localSheetId="8" hidden="1">ceyregionalcalc!$A$9:$H$9</definedName>
    <definedName name="_xlnm._FilterDatabase" localSheetId="9" hidden="1">'Comparison to FY17'!$A$9:$S$333</definedName>
    <definedName name="_xlnm._FilterDatabase" localSheetId="16" hidden="1">dist435!$A$9:$AF$448</definedName>
    <definedName name="_xlnm._FilterDatabase" localSheetId="15" hidden="1">disthist!$A$9:$AQ$448</definedName>
    <definedName name="_xlnm._FilterDatabase" localSheetId="14" hidden="1">frac!$B$9:$K$464</definedName>
    <definedName name="_xlnm._FilterDatabase" localSheetId="12" hidden="1">localcont!$D$9:$CO$1766</definedName>
    <definedName name="_xlnm._FilterDatabase" localSheetId="11" hidden="1">'Townwide Contributions'!$A$9:$AB$362</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_Sort" localSheetId="0" hidden="1">#REF!</definedName>
    <definedName name="_Sort" hidden="1">#REF!</definedName>
    <definedName name="aidcalc" localSheetId="0">'Aid436'!$A$10:$AW$448</definedName>
    <definedName name="aidcalc">'Aid436'!$A$10:$AW$448</definedName>
    <definedName name="aidfloor">parameters!$C$11</definedName>
    <definedName name="basecut" localSheetId="0">parameters!$C$23</definedName>
    <definedName name="basecut">parameters!$C$23</definedName>
    <definedName name="ceylea">ceyregionalcalc!$B$10:$B$820</definedName>
    <definedName name="ceyperc">parameters!$C$13</definedName>
    <definedName name="ceyproptotal">ceyregionalcalc!$H$10:$H$820</definedName>
    <definedName name="chapter70" localSheetId="0">'Aid436'!$AJ$10:$AJ$447</definedName>
    <definedName name="chapter70">'Aid436'!$AJ$10:$AJ$447</definedName>
    <definedName name="CYr" localSheetId="0">parameters!$B$1</definedName>
    <definedName name="CYr">parameters!$B$1</definedName>
    <definedName name="dist1755" localSheetId="0">localcont!$G$10:$G$1764</definedName>
    <definedName name="dist1755">localcont!$G$10:$G$1764</definedName>
    <definedName name="dist915" localSheetId="0">dist435!$A$10:$AF$448</definedName>
    <definedName name="dist915">dist435!$A$10:$AF$448</definedName>
    <definedName name="disthist" localSheetId="0">disthist!$A$10:$AQ$448</definedName>
    <definedName name="disthist">disthist!$A$10:$AQ$448</definedName>
    <definedName name="downaid" localSheetId="0">'Aid436'!$M$10:$M$448</definedName>
    <definedName name="downaid">'Aid436'!$M$10:$M$448</definedName>
    <definedName name="downaid2" localSheetId="0">'Aid436'!#REF!</definedName>
    <definedName name="downaid2">'Aid436'!#REF!</definedName>
    <definedName name="downpct" localSheetId="0">parameters!$C$8</definedName>
    <definedName name="downpct">parameters!$C$8</definedName>
    <definedName name="effortred" localSheetId="0">parameters!$C$7</definedName>
    <definedName name="effortred">parameters!$C$7</definedName>
    <definedName name="enro" localSheetId="0">'Aid436'!$R$10:$R$448</definedName>
    <definedName name="enro">'Aid436'!$R$10:$R$448</definedName>
    <definedName name="enro1755" localSheetId="0">localcont!$W$10:$W$1764</definedName>
    <definedName name="enro1755">localcont!$W$10:$W$1764</definedName>
    <definedName name="found" localSheetId="0">'Aid436'!$F$10:$F$448</definedName>
    <definedName name="found">'Aid436'!$F$10:$F$448</definedName>
    <definedName name="found1755" localSheetId="0">localcont!$K$10:$K$1765</definedName>
    <definedName name="found1755">localcont!$K$10:$K$1765</definedName>
    <definedName name="foundaid" localSheetId="0">'Aid436'!$H$10:$H$448</definedName>
    <definedName name="foundaid">'Aid436'!$H$10:$H$448</definedName>
    <definedName name="foundinc" localSheetId="0">'Aid436'!$I$10:$I$448</definedName>
    <definedName name="foundinc">'Aid436'!$I$10:$I$448</definedName>
    <definedName name="foundoptcell" localSheetId="0">localcont!$CN$1:$CO$11</definedName>
    <definedName name="foundoptcell">localcont!$CN$1:$CO$11</definedName>
    <definedName name="foundoptions" localSheetId="0">localcont!$Y$10:$CL$1764</definedName>
    <definedName name="foundoptions">localcont!$Y$10:$CL$1764</definedName>
    <definedName name="frac">frac!$D$10:$I$463</definedName>
    <definedName name="fraclea" localSheetId="0">frac!$A$10:$A$470</definedName>
    <definedName name="fraclea">frac!$A$10:$A$464</definedName>
    <definedName name="fraconcat">frac!$C$10:$K$463</definedName>
    <definedName name="growthaid">'Aid436'!$P$10:$P$448</definedName>
    <definedName name="lea" localSheetId="0">Index!$A$4</definedName>
    <definedName name="lea">Index!$A$4</definedName>
    <definedName name="lea_list">leas!$C$5:$C$445</definedName>
    <definedName name="lea_order" localSheetId="0">leas!$A$3</definedName>
    <definedName name="lea_order">leas!$A$3</definedName>
    <definedName name="leas" localSheetId="0">leas!$A$5:$E$445</definedName>
    <definedName name="leas">leas!$A$5:$E$445</definedName>
    <definedName name="localcont">localcont!$G$10:$X$1765</definedName>
    <definedName name="maxloc" localSheetId="0">parameters!$C$20</definedName>
    <definedName name="maxloc">parameters!$C$20</definedName>
    <definedName name="memeffpct" localSheetId="0">frac!$K$10:$K$469</definedName>
    <definedName name="memeffpct">frac!$K$10:$K$463</definedName>
    <definedName name="memlea">frac!$E$10:$E$463</definedName>
    <definedName name="minaid" localSheetId="0">'Aid436'!$AF$10:$AF$449</definedName>
    <definedName name="minaid">'Aid436'!$AF$10:$AF$449</definedName>
    <definedName name="mininc" localSheetId="0">parameters!$C$14</definedName>
    <definedName name="mininc">parameters!$C$14</definedName>
    <definedName name="mrgf">'Townwide Contributions'!$N$10:$N$360</definedName>
    <definedName name="mrgfopt" localSheetId="0">'Townwide Contributions'!#REF!</definedName>
    <definedName name="mrgfopt">'Townwide Contributions'!#REF!</definedName>
    <definedName name="mrgfvers" localSheetId="0">parameters!$C$15</definedName>
    <definedName name="mrgfvers">parameters!$C$15</definedName>
    <definedName name="newrates" localSheetId="0">Rates!$A$10:$N$31</definedName>
    <definedName name="newrates" localSheetId="10">Rates!$A$10:$N$31</definedName>
    <definedName name="newrates">Rates!$A$10:$N$31</definedName>
    <definedName name="nonop" localSheetId="0">'Aid436'!$C$10:$C$448</definedName>
    <definedName name="nonop">'Aid436'!$C$10:$C$448</definedName>
    <definedName name="nss">'Aid436'!$AL$10:$AL$448</definedName>
    <definedName name="opaid">'Comparison to FY17'!$O$10:$O$331</definedName>
    <definedName name="order1755" localSheetId="0">localcont!$D$10:$X$1765</definedName>
    <definedName name="order1755">localcont!$D$10:$X$1765</definedName>
    <definedName name="prelcont1755" localSheetId="0">localcont!$N$10:$N$1765</definedName>
    <definedName name="prelcont1755">localcont!$N$10:$N$1765</definedName>
    <definedName name="prelcont436" localSheetId="0">'Aid436'!$G$10:$G$448</definedName>
    <definedName name="prelcont436">'Aid436'!$G$10:$G$448</definedName>
    <definedName name="prelimc70">'Aid436'!$V$10:$V$448</definedName>
    <definedName name="prelimc70perc">'Aid436'!$W$10:$W$448</definedName>
    <definedName name="_xlnm.Print_Area" localSheetId="13">'Aid436'!$A$7:$X$416</definedName>
    <definedName name="_xlnm.Print_Area" localSheetId="9">'Comparison to FY17'!$A$10:$Q$332</definedName>
    <definedName name="_xlnm.Print_Area" localSheetId="3">'Foundation Budget'!$A$2:$R$36</definedName>
    <definedName name="_xlnm.Print_Area" localSheetId="2">Index!$S$1:$T$3</definedName>
    <definedName name="_xlnm.Print_Area" localSheetId="18">MoreAboutData!$A$1:$F$42</definedName>
    <definedName name="_xlnm.Print_Area" localSheetId="4">'Municipal Contribution'!$A$3:$G$27</definedName>
    <definedName name="_xlnm.Print_Area" localSheetId="1">parameters!$A$5:$I$35</definedName>
    <definedName name="_xlnm.Print_Area" localSheetId="10">Rates!$A$3:$N$59</definedName>
    <definedName name="_xlnm.Print_Area" localSheetId="5">'Regl Allocation'!$D$3:$J$24</definedName>
    <definedName name="_xlnm.Print_Area" localSheetId="7">'Regl Dist Members'!$E$6:$V$46</definedName>
    <definedName name="_xlnm.Print_Area" localSheetId="6">Summary!$A$2:$J$32</definedName>
    <definedName name="_xlnm.Print_Titles" localSheetId="13">'Aid436'!$7:$9</definedName>
    <definedName name="_xlnm.Print_Titles" localSheetId="9">'Comparison to FY17'!$2:$9</definedName>
    <definedName name="_xlnm.Print_Titles" localSheetId="18">MoreAboutData!$1:$2</definedName>
    <definedName name="_xlnm.Print_Titles" localSheetId="7">'Regl Dist Members'!$11:$18</definedName>
    <definedName name="_xlnm.Print_Titles" localSheetId="11">'Townwide Contributions'!$A:$B,'Townwide Contributions'!$1:$9</definedName>
    <definedName name="priorc70" localSheetId="0">'Aid436'!$E$10:$E$448</definedName>
    <definedName name="priorc70">'Aid436'!$E$10:$E$448</definedName>
    <definedName name="pyenro">localcont!$R$10:$R$1765</definedName>
    <definedName name="pyfound1755">localcont!$I$10:$I$1765</definedName>
    <definedName name="pynetmin" localSheetId="0">localcont!$O$10:$O$1765</definedName>
    <definedName name="pynetmin">localcont!$O$10:$O$1765</definedName>
    <definedName name="PYr" localSheetId="0">parameters!$B$2</definedName>
    <definedName name="PYr">parameters!$B$2</definedName>
    <definedName name="ratestatus" localSheetId="3">'Foundation Budget'!$J$5</definedName>
    <definedName name="rednonop" localSheetId="0">'Aid436'!$AH$10:$AH$448</definedName>
    <definedName name="rednonop">'Aid436'!$AH$10:$AH$448</definedName>
    <definedName name="reg_list">leas!$C$358:$C$444</definedName>
    <definedName name="reg_order" localSheetId="0">leas!$B$3</definedName>
    <definedName name="reg_order">leas!$B$3</definedName>
    <definedName name="regcount" localSheetId="0">leas!$H$5:$I$91</definedName>
    <definedName name="regcount">leas!$H$5:$I$91</definedName>
    <definedName name="regdetail" localSheetId="0">leas!$K$6:$P$465</definedName>
    <definedName name="regdetail">leas!$K$6:$P$465</definedName>
    <definedName name="regdistricts" localSheetId="0">leas!$B$358:$E$444</definedName>
    <definedName name="regdistricts">leas!$B$358:$E$444</definedName>
    <definedName name="regorder">frac!$B$10:$I$463</definedName>
    <definedName name="targaid">'Aid436'!$AC$10:$AC$447</definedName>
    <definedName name="targaidperc">parameters!$C$12</definedName>
    <definedName name="targetstay">parameters!$C$11</definedName>
    <definedName name="town1755" localSheetId="0">localcont!$E$10:$E$1764</definedName>
    <definedName name="town1755">localcont!$E$10:$E$1764</definedName>
    <definedName name="town351" localSheetId="0">'Townwide Contributions'!$A$10:$AA$361</definedName>
    <definedName name="town351">'Townwide Contributions'!$A$10:$AA$361</definedName>
    <definedName name="waf" localSheetId="3">'Foundation Budget'!$C$26</definedName>
  </definedNames>
  <calcPr calcId="152511"/>
</workbook>
</file>

<file path=xl/calcChain.xml><?xml version="1.0" encoding="utf-8"?>
<calcChain xmlns="http://schemas.openxmlformats.org/spreadsheetml/2006/main">
  <c r="AR11" i="13" l="1"/>
  <c r="AR13" i="13"/>
  <c r="AR15" i="13"/>
  <c r="AR20" i="13"/>
  <c r="AR21" i="13"/>
  <c r="AR22" i="13"/>
  <c r="AR24" i="13"/>
  <c r="AR28" i="13"/>
  <c r="AR30" i="13"/>
  <c r="AR31" i="13"/>
  <c r="AR38" i="13"/>
  <c r="AR41" i="13"/>
  <c r="AR42" i="13"/>
  <c r="AR43" i="13"/>
  <c r="AR46" i="13"/>
  <c r="AR51" i="13"/>
  <c r="AR56" i="13"/>
  <c r="AR62" i="13"/>
  <c r="AR63" i="13"/>
  <c r="AR64" i="13"/>
  <c r="AR67" i="13"/>
  <c r="AR68" i="13"/>
  <c r="AR69" i="13"/>
  <c r="AR71" i="13"/>
  <c r="AR75" i="13"/>
  <c r="AR78" i="13"/>
  <c r="AR79" i="13"/>
  <c r="AR84" i="13"/>
  <c r="AR85" i="13"/>
  <c r="AR89" i="13"/>
  <c r="AR90" i="13"/>
  <c r="AR93" i="13"/>
  <c r="AR99" i="13"/>
  <c r="AR101" i="13"/>
  <c r="AR111" i="13"/>
  <c r="AR113" i="13"/>
  <c r="AR115" i="13"/>
  <c r="AR117" i="13"/>
  <c r="AR118" i="13"/>
  <c r="AR121" i="13"/>
  <c r="AR122" i="13"/>
  <c r="AR124" i="13"/>
  <c r="AR125" i="13"/>
  <c r="AR128" i="13"/>
  <c r="AR129" i="13"/>
  <c r="AR132" i="13"/>
  <c r="AR133" i="13"/>
  <c r="AR135" i="13"/>
  <c r="AR138" i="13"/>
  <c r="AR139" i="13"/>
  <c r="AR141" i="13"/>
  <c r="AR143" i="13"/>
  <c r="AR149" i="13"/>
  <c r="AR152" i="13"/>
  <c r="AR155" i="13"/>
  <c r="AR156" i="13"/>
  <c r="AR165" i="13"/>
  <c r="AR175" i="13"/>
  <c r="AR188" i="13"/>
  <c r="AR189" i="13"/>
  <c r="AR192" i="13"/>
  <c r="AR197" i="13"/>
  <c r="AR199" i="13"/>
  <c r="AR201" i="13"/>
  <c r="AR202" i="13"/>
  <c r="AR203" i="13"/>
  <c r="AR204" i="13"/>
  <c r="AR209" i="13"/>
  <c r="AR211" i="13"/>
  <c r="AR212" i="13"/>
  <c r="AR214" i="13"/>
  <c r="AR215" i="13"/>
  <c r="AR225" i="13"/>
  <c r="AR231" i="13"/>
  <c r="AR234" i="13"/>
  <c r="AR237" i="13"/>
  <c r="AR241" i="13"/>
  <c r="AR242" i="13"/>
  <c r="AR244" i="13"/>
  <c r="AR246" i="13"/>
  <c r="AR250" i="13"/>
  <c r="AR254" i="13"/>
  <c r="AR256" i="13"/>
  <c r="AR263" i="13"/>
  <c r="AR264" i="13"/>
  <c r="AR265" i="13"/>
  <c r="AR266" i="13"/>
  <c r="AR268" i="13"/>
  <c r="AR269" i="13"/>
  <c r="AR276" i="13"/>
  <c r="AR277" i="13"/>
  <c r="AR279" i="13"/>
  <c r="AR288" i="13"/>
  <c r="AR289" i="13"/>
  <c r="AR291" i="13"/>
  <c r="AR292" i="13"/>
  <c r="AR295" i="13"/>
  <c r="AR303" i="13"/>
  <c r="AR306" i="13"/>
  <c r="AR308" i="13"/>
  <c r="AR311" i="13"/>
  <c r="AR312" i="13"/>
  <c r="AR320" i="13"/>
  <c r="AR321" i="13"/>
  <c r="AR322" i="13"/>
  <c r="AR328" i="13"/>
  <c r="AR329" i="13"/>
  <c r="AR333" i="13"/>
  <c r="AR337" i="13"/>
  <c r="AR338" i="13"/>
  <c r="AR342" i="13"/>
  <c r="AR343" i="13"/>
  <c r="AR347" i="13"/>
  <c r="AR348" i="13"/>
  <c r="AR354" i="13"/>
  <c r="AR360" i="13"/>
  <c r="AI448" i="13" l="1"/>
  <c r="R15" i="16" l="1"/>
  <c r="Q15" i="16"/>
  <c r="O15" i="16"/>
  <c r="N15" i="16"/>
  <c r="E8" i="16" l="1"/>
  <c r="A5" i="8"/>
  <c r="A1764" i="19"/>
  <c r="A1763" i="19"/>
  <c r="A1762" i="19"/>
  <c r="A1761" i="19"/>
  <c r="A1760" i="19"/>
  <c r="A1759" i="19"/>
  <c r="A1758" i="19"/>
  <c r="A1757" i="19"/>
  <c r="A1756" i="19"/>
  <c r="A1755" i="19"/>
  <c r="A1754" i="19"/>
  <c r="A1753" i="19"/>
  <c r="A1752" i="19"/>
  <c r="A1751" i="19"/>
  <c r="A1750" i="19"/>
  <c r="A1749" i="19"/>
  <c r="A1748" i="19"/>
  <c r="A1747" i="19"/>
  <c r="A1746" i="19"/>
  <c r="A1745" i="19"/>
  <c r="A1744" i="19"/>
  <c r="A1743" i="19"/>
  <c r="A1742" i="19"/>
  <c r="A1741" i="19"/>
  <c r="A1740" i="19"/>
  <c r="A1739" i="19"/>
  <c r="A1738" i="19"/>
  <c r="A1737" i="19"/>
  <c r="A1736" i="19"/>
  <c r="A1735" i="19"/>
  <c r="A1734" i="19"/>
  <c r="A1733" i="19"/>
  <c r="A1732" i="19"/>
  <c r="A1731" i="19"/>
  <c r="A1730" i="19"/>
  <c r="A1729" i="19"/>
  <c r="A1728" i="19"/>
  <c r="A1727" i="19"/>
  <c r="A1726" i="19"/>
  <c r="A1725" i="19"/>
  <c r="A1724" i="19"/>
  <c r="A1723" i="19"/>
  <c r="A1722" i="19"/>
  <c r="A1721" i="19"/>
  <c r="A1720" i="19"/>
  <c r="A1719" i="19"/>
  <c r="A1718" i="19"/>
  <c r="A1717" i="19"/>
  <c r="A1716" i="19"/>
  <c r="A1715" i="19"/>
  <c r="A1714" i="19"/>
  <c r="A1713" i="19"/>
  <c r="A1712" i="19"/>
  <c r="A1711" i="19"/>
  <c r="A1710" i="19"/>
  <c r="A1709" i="19"/>
  <c r="A1708" i="19"/>
  <c r="A1707" i="19"/>
  <c r="A1706" i="19"/>
  <c r="A1705" i="19"/>
  <c r="A1704" i="19"/>
  <c r="A1703" i="19"/>
  <c r="A1702" i="19"/>
  <c r="A1701" i="19"/>
  <c r="A1700" i="19"/>
  <c r="A1699" i="19"/>
  <c r="A1698" i="19"/>
  <c r="A1697" i="19"/>
  <c r="A1696" i="19"/>
  <c r="A1695" i="19"/>
  <c r="A1694" i="19"/>
  <c r="A1693" i="19"/>
  <c r="A1692" i="19"/>
  <c r="A1691" i="19"/>
  <c r="A1690" i="19"/>
  <c r="A1689" i="19"/>
  <c r="A1688" i="19"/>
  <c r="A1687" i="19"/>
  <c r="A1686" i="19"/>
  <c r="A1685" i="19"/>
  <c r="A1684" i="19"/>
  <c r="A1683" i="19"/>
  <c r="A1682" i="19"/>
  <c r="A1681" i="19"/>
  <c r="A1680" i="19"/>
  <c r="A1679" i="19"/>
  <c r="A1678" i="19"/>
  <c r="A1677" i="19"/>
  <c r="A1676" i="19"/>
  <c r="A1675" i="19"/>
  <c r="A1674" i="19"/>
  <c r="A1673" i="19"/>
  <c r="A1672" i="19"/>
  <c r="A1671" i="19"/>
  <c r="A1670" i="19"/>
  <c r="A1669" i="19"/>
  <c r="A1668" i="19"/>
  <c r="A1667" i="19"/>
  <c r="A1666" i="19"/>
  <c r="A1665" i="19"/>
  <c r="A1664" i="19"/>
  <c r="A1663" i="19"/>
  <c r="A1662" i="19"/>
  <c r="A1661" i="19"/>
  <c r="A1660" i="19"/>
  <c r="A1659" i="19"/>
  <c r="A1658" i="19"/>
  <c r="A1657" i="19"/>
  <c r="A1656" i="19"/>
  <c r="A1655" i="19"/>
  <c r="A1654" i="19"/>
  <c r="A1653" i="19"/>
  <c r="A1652" i="19"/>
  <c r="A1651" i="19"/>
  <c r="A1650" i="19"/>
  <c r="A1649" i="19"/>
  <c r="A1648" i="19"/>
  <c r="A1647" i="19"/>
  <c r="A1646" i="19"/>
  <c r="A1645" i="19"/>
  <c r="A1644" i="19"/>
  <c r="A1643" i="19"/>
  <c r="A1642" i="19"/>
  <c r="A1641" i="19"/>
  <c r="A1640" i="19"/>
  <c r="A1639" i="19"/>
  <c r="A1638" i="19"/>
  <c r="A1637" i="19"/>
  <c r="A1636" i="19"/>
  <c r="A1635" i="19"/>
  <c r="A1634" i="19"/>
  <c r="A1633" i="19"/>
  <c r="A1632" i="19"/>
  <c r="A1631" i="19"/>
  <c r="A1630" i="19"/>
  <c r="A1629" i="19"/>
  <c r="A1628" i="19"/>
  <c r="A1627" i="19"/>
  <c r="A1626" i="19"/>
  <c r="A1625" i="19"/>
  <c r="A1624" i="19"/>
  <c r="A1623" i="19"/>
  <c r="A1622" i="19"/>
  <c r="A1621" i="19"/>
  <c r="A1620" i="19"/>
  <c r="A1619" i="19"/>
  <c r="A1618" i="19"/>
  <c r="A1617" i="19"/>
  <c r="A1616" i="19"/>
  <c r="A1615" i="19"/>
  <c r="A1614" i="19"/>
  <c r="A1613" i="19"/>
  <c r="A1612" i="19"/>
  <c r="A1611" i="19"/>
  <c r="A1610" i="19"/>
  <c r="A1609" i="19"/>
  <c r="A1608" i="19"/>
  <c r="A1607" i="19"/>
  <c r="A1606" i="19"/>
  <c r="A1605" i="19"/>
  <c r="A1604" i="19"/>
  <c r="A1603" i="19"/>
  <c r="A1602" i="19"/>
  <c r="A1601" i="19"/>
  <c r="A1600" i="19"/>
  <c r="A1599" i="19"/>
  <c r="A1598" i="19"/>
  <c r="A1597" i="19"/>
  <c r="A1596" i="19"/>
  <c r="A1595" i="19"/>
  <c r="A1594" i="19"/>
  <c r="A1593" i="19"/>
  <c r="A1592" i="19"/>
  <c r="A1591" i="19"/>
  <c r="A1590" i="19"/>
  <c r="A1589" i="19"/>
  <c r="A1588" i="19"/>
  <c r="A1587" i="19"/>
  <c r="A1586" i="19"/>
  <c r="A1585" i="19"/>
  <c r="A1584" i="19"/>
  <c r="A1583" i="19"/>
  <c r="A1582" i="19"/>
  <c r="A1581" i="19"/>
  <c r="A1580" i="19"/>
  <c r="A1579" i="19"/>
  <c r="A1578" i="19"/>
  <c r="A1577" i="19"/>
  <c r="A1576" i="19"/>
  <c r="A1575" i="19"/>
  <c r="A1574" i="19"/>
  <c r="A1573" i="19"/>
  <c r="A1572" i="19"/>
  <c r="A1571" i="19"/>
  <c r="A1570" i="19"/>
  <c r="A1569" i="19"/>
  <c r="A1568" i="19"/>
  <c r="A1567" i="19"/>
  <c r="A1566" i="19"/>
  <c r="A1565" i="19"/>
  <c r="A1564" i="19"/>
  <c r="A1563" i="19"/>
  <c r="A1562" i="19"/>
  <c r="A1561" i="19"/>
  <c r="A1560" i="19"/>
  <c r="A1559" i="19"/>
  <c r="A1558" i="19"/>
  <c r="A1557" i="19"/>
  <c r="A1556" i="19"/>
  <c r="A1555" i="19"/>
  <c r="A1554" i="19"/>
  <c r="A1553" i="19"/>
  <c r="A1552" i="19"/>
  <c r="A1551" i="19"/>
  <c r="A1550" i="19"/>
  <c r="A1549" i="19"/>
  <c r="A1548" i="19"/>
  <c r="A1547" i="19"/>
  <c r="A1546" i="19"/>
  <c r="A1545" i="19"/>
  <c r="A1544" i="19"/>
  <c r="A1543" i="19"/>
  <c r="A1542" i="19"/>
  <c r="A1541" i="19"/>
  <c r="A1540" i="19"/>
  <c r="A1539" i="19"/>
  <c r="A1538" i="19"/>
  <c r="A1537" i="19"/>
  <c r="A1536" i="19"/>
  <c r="A1535" i="19"/>
  <c r="A1534" i="19"/>
  <c r="A1533" i="19"/>
  <c r="A1532" i="19"/>
  <c r="A1531" i="19"/>
  <c r="A1530" i="19"/>
  <c r="A1529" i="19"/>
  <c r="A1528" i="19"/>
  <c r="A1527" i="19"/>
  <c r="A1526" i="19"/>
  <c r="A1525" i="19"/>
  <c r="A1524" i="19"/>
  <c r="A1523" i="19"/>
  <c r="A1522" i="19"/>
  <c r="A1521" i="19"/>
  <c r="A1520" i="19"/>
  <c r="A1519" i="19"/>
  <c r="A1518" i="19"/>
  <c r="A1517" i="19"/>
  <c r="A1516" i="19"/>
  <c r="A1515" i="19"/>
  <c r="A1514" i="19"/>
  <c r="A1513" i="19"/>
  <c r="A1512" i="19"/>
  <c r="A1511" i="19"/>
  <c r="A1510" i="19"/>
  <c r="A1509" i="19"/>
  <c r="A1508" i="19"/>
  <c r="A1507" i="19"/>
  <c r="A1506" i="19"/>
  <c r="A1505" i="19"/>
  <c r="A1504" i="19"/>
  <c r="A1503" i="19"/>
  <c r="A1502" i="19"/>
  <c r="A1501" i="19"/>
  <c r="A1500" i="19"/>
  <c r="A1499" i="19"/>
  <c r="A1498" i="19"/>
  <c r="A1497" i="19"/>
  <c r="A1496" i="19"/>
  <c r="A1495" i="19"/>
  <c r="A1494" i="19"/>
  <c r="A1493" i="19"/>
  <c r="A1492" i="19"/>
  <c r="A1491" i="19"/>
  <c r="A1490" i="19"/>
  <c r="A1489" i="19"/>
  <c r="A1488" i="19"/>
  <c r="A1487" i="19"/>
  <c r="A1486" i="19"/>
  <c r="A1485" i="19"/>
  <c r="A1484" i="19"/>
  <c r="A1483" i="19"/>
  <c r="A1482" i="19"/>
  <c r="A1481" i="19"/>
  <c r="A1480" i="19"/>
  <c r="A1479" i="19"/>
  <c r="A1478" i="19"/>
  <c r="A1477" i="19"/>
  <c r="A1476" i="19"/>
  <c r="A1475" i="19"/>
  <c r="A1474" i="19"/>
  <c r="A1473" i="19"/>
  <c r="A1472" i="19"/>
  <c r="A1471" i="19"/>
  <c r="A1470" i="19"/>
  <c r="A1469" i="19"/>
  <c r="A1468" i="19"/>
  <c r="A1467" i="19"/>
  <c r="A1466" i="19"/>
  <c r="A1465" i="19"/>
  <c r="A1464" i="19"/>
  <c r="A1463" i="19"/>
  <c r="A1462" i="19"/>
  <c r="A1461" i="19"/>
  <c r="A1460" i="19"/>
  <c r="A1459" i="19"/>
  <c r="A1458" i="19"/>
  <c r="A1457" i="19"/>
  <c r="A1456" i="19"/>
  <c r="A1455" i="19"/>
  <c r="A1454" i="19"/>
  <c r="A1453" i="19"/>
  <c r="A1452" i="19"/>
  <c r="A1451" i="19"/>
  <c r="A1450" i="19"/>
  <c r="A1449" i="19"/>
  <c r="A1448" i="19"/>
  <c r="A1447" i="19"/>
  <c r="A1446" i="19"/>
  <c r="A1445" i="19"/>
  <c r="A1444" i="19"/>
  <c r="A1443" i="19"/>
  <c r="A1442" i="19"/>
  <c r="A1441" i="19"/>
  <c r="A1440" i="19"/>
  <c r="A1439" i="19"/>
  <c r="A1438" i="19"/>
  <c r="A1437" i="19"/>
  <c r="A1436" i="19"/>
  <c r="A1435" i="19"/>
  <c r="A1434" i="19"/>
  <c r="A1433" i="19"/>
  <c r="A1432" i="19"/>
  <c r="A1431" i="19"/>
  <c r="A1430" i="19"/>
  <c r="A1429" i="19"/>
  <c r="A1428" i="19"/>
  <c r="A1427" i="19"/>
  <c r="A1426" i="19"/>
  <c r="A1425" i="19"/>
  <c r="A1424" i="19"/>
  <c r="A1423" i="19"/>
  <c r="A1422" i="19"/>
  <c r="A1421" i="19"/>
  <c r="A1420" i="19"/>
  <c r="A1419" i="19"/>
  <c r="A1418" i="19"/>
  <c r="A1417" i="19"/>
  <c r="A1416" i="19"/>
  <c r="A1415" i="19"/>
  <c r="A1414" i="19"/>
  <c r="A1413" i="19"/>
  <c r="A1412" i="19"/>
  <c r="A1411" i="19"/>
  <c r="A1410" i="19"/>
  <c r="A1409" i="19"/>
  <c r="A1408" i="19"/>
  <c r="A1407" i="19"/>
  <c r="A1406" i="19"/>
  <c r="A1405" i="19"/>
  <c r="A1404" i="19"/>
  <c r="A1403" i="19"/>
  <c r="A1402" i="19"/>
  <c r="A1401" i="19"/>
  <c r="A1400" i="19"/>
  <c r="A1399" i="19"/>
  <c r="A1398" i="19"/>
  <c r="A1397" i="19"/>
  <c r="A1396" i="19"/>
  <c r="A1395" i="19"/>
  <c r="A1394" i="19"/>
  <c r="A1393" i="19"/>
  <c r="A1392" i="19"/>
  <c r="A1391" i="19"/>
  <c r="A1390" i="19"/>
  <c r="A1389" i="19"/>
  <c r="A1388" i="19"/>
  <c r="A1387" i="19"/>
  <c r="A1386" i="19"/>
  <c r="A1385" i="19"/>
  <c r="A1384" i="19"/>
  <c r="A1383" i="19"/>
  <c r="A1382" i="19"/>
  <c r="A1381" i="19"/>
  <c r="A1380" i="19"/>
  <c r="A1379" i="19"/>
  <c r="A1378" i="19"/>
  <c r="A1377" i="19"/>
  <c r="A1376" i="19"/>
  <c r="A1375" i="19"/>
  <c r="A1374" i="19"/>
  <c r="A1373" i="19"/>
  <c r="A1372" i="19"/>
  <c r="A1371" i="19"/>
  <c r="A1370" i="19"/>
  <c r="A1369" i="19"/>
  <c r="A1368" i="19"/>
  <c r="A1367" i="19"/>
  <c r="A1366" i="19"/>
  <c r="A1365" i="19"/>
  <c r="A1364" i="19"/>
  <c r="A1363" i="19"/>
  <c r="A1362" i="19"/>
  <c r="A1361" i="19"/>
  <c r="A1360" i="19"/>
  <c r="A1359" i="19"/>
  <c r="A1358" i="19"/>
  <c r="A1357" i="19"/>
  <c r="A1356" i="19"/>
  <c r="A1355" i="19"/>
  <c r="A1354" i="19"/>
  <c r="A1353" i="19"/>
  <c r="A1352" i="19"/>
  <c r="A1351" i="19"/>
  <c r="A1350" i="19"/>
  <c r="A1349" i="19"/>
  <c r="A1348" i="19"/>
  <c r="A1347" i="19"/>
  <c r="A1346" i="19"/>
  <c r="A1345" i="19"/>
  <c r="A1344" i="19"/>
  <c r="A1343" i="19"/>
  <c r="A1342" i="19"/>
  <c r="A1341" i="19"/>
  <c r="A1340" i="19"/>
  <c r="A1339" i="19"/>
  <c r="A1338" i="19"/>
  <c r="A1337" i="19"/>
  <c r="A1336" i="19"/>
  <c r="A1335" i="19"/>
  <c r="A1334" i="19"/>
  <c r="A1333" i="19"/>
  <c r="A1332" i="19"/>
  <c r="A1331" i="19"/>
  <c r="A1330" i="19"/>
  <c r="A1329" i="19"/>
  <c r="A1328" i="19"/>
  <c r="A1327" i="19"/>
  <c r="A1326" i="19"/>
  <c r="A1325" i="19"/>
  <c r="A1324" i="19"/>
  <c r="A1323" i="19"/>
  <c r="A1322" i="19"/>
  <c r="A1321" i="19"/>
  <c r="A1320" i="19"/>
  <c r="A1319" i="19"/>
  <c r="A1318" i="19"/>
  <c r="A1317" i="19"/>
  <c r="A1316" i="19"/>
  <c r="A1315" i="19"/>
  <c r="A1314" i="19"/>
  <c r="A1313" i="19"/>
  <c r="A1312" i="19"/>
  <c r="A1311" i="19"/>
  <c r="A1310" i="19"/>
  <c r="A1309" i="19"/>
  <c r="A1308" i="19"/>
  <c r="A1307" i="19"/>
  <c r="A1306" i="19"/>
  <c r="A1305" i="19"/>
  <c r="A1304" i="19"/>
  <c r="A1303" i="19"/>
  <c r="A1302" i="19"/>
  <c r="A1301" i="19"/>
  <c r="A1300" i="19"/>
  <c r="A1299" i="19"/>
  <c r="A1298" i="19"/>
  <c r="A1297" i="19"/>
  <c r="A1296" i="19"/>
  <c r="A1295" i="19"/>
  <c r="A1294" i="19"/>
  <c r="A1293" i="19"/>
  <c r="A1292" i="19"/>
  <c r="A1291" i="19"/>
  <c r="A1290" i="19"/>
  <c r="A1289" i="19"/>
  <c r="A1288" i="19"/>
  <c r="A1287" i="19"/>
  <c r="A1286" i="19"/>
  <c r="A1285" i="19"/>
  <c r="A1284" i="19"/>
  <c r="A1283" i="19"/>
  <c r="A1282" i="19"/>
  <c r="A1281" i="19"/>
  <c r="A1280" i="19"/>
  <c r="A1279" i="19"/>
  <c r="A1278" i="19"/>
  <c r="A1277" i="19"/>
  <c r="A1276" i="19"/>
  <c r="A1275" i="19"/>
  <c r="A1274" i="19"/>
  <c r="A1273" i="19"/>
  <c r="A1272" i="19"/>
  <c r="A1271" i="19"/>
  <c r="A1270" i="19"/>
  <c r="A1269" i="19"/>
  <c r="A1268" i="19"/>
  <c r="A1267" i="19"/>
  <c r="A1266" i="19"/>
  <c r="A1265" i="19"/>
  <c r="A1264" i="19"/>
  <c r="A1263" i="19"/>
  <c r="A1262" i="19"/>
  <c r="A1261" i="19"/>
  <c r="A1260" i="19"/>
  <c r="A1259" i="19"/>
  <c r="A1258" i="19"/>
  <c r="A1257" i="19"/>
  <c r="A1256" i="19"/>
  <c r="A1255" i="19"/>
  <c r="A1254" i="19"/>
  <c r="A1253" i="19"/>
  <c r="A1252" i="19"/>
  <c r="A1251" i="19"/>
  <c r="A1250" i="19"/>
  <c r="A1249" i="19"/>
  <c r="A1248" i="19"/>
  <c r="A1247" i="19"/>
  <c r="A1246" i="19"/>
  <c r="A1245" i="19"/>
  <c r="A1244" i="19"/>
  <c r="A1243" i="19"/>
  <c r="A1242" i="19"/>
  <c r="A1241" i="19"/>
  <c r="A1240" i="19"/>
  <c r="A1239" i="19"/>
  <c r="A1238" i="19"/>
  <c r="A1237" i="19"/>
  <c r="A1236" i="19"/>
  <c r="A1235" i="19"/>
  <c r="A1234" i="19"/>
  <c r="A1233" i="19"/>
  <c r="A1232" i="19"/>
  <c r="A1231" i="19"/>
  <c r="A1230" i="19"/>
  <c r="A1229" i="19"/>
  <c r="A1228" i="19"/>
  <c r="A1227" i="19"/>
  <c r="A1226" i="19"/>
  <c r="A1225" i="19"/>
  <c r="A1224" i="19"/>
  <c r="A1223" i="19"/>
  <c r="A1222" i="19"/>
  <c r="A1221" i="19"/>
  <c r="A1220" i="19"/>
  <c r="A1219" i="19"/>
  <c r="A1218" i="19"/>
  <c r="A1217" i="19"/>
  <c r="A1216" i="19"/>
  <c r="A1215" i="19"/>
  <c r="A1214" i="19"/>
  <c r="A1213" i="19"/>
  <c r="A1212" i="19"/>
  <c r="A1211" i="19"/>
  <c r="A1210" i="19"/>
  <c r="A1209" i="19"/>
  <c r="A1208" i="19"/>
  <c r="A1207" i="19"/>
  <c r="A1206" i="19"/>
  <c r="A1205" i="19"/>
  <c r="A1204" i="19"/>
  <c r="A1203" i="19"/>
  <c r="A1202" i="19"/>
  <c r="A1201" i="19"/>
  <c r="A1200" i="19"/>
  <c r="A1199" i="19"/>
  <c r="A1198" i="19"/>
  <c r="A1197" i="19"/>
  <c r="A1196" i="19"/>
  <c r="A1195" i="19"/>
  <c r="A1194" i="19"/>
  <c r="A1193" i="19"/>
  <c r="A1192" i="19"/>
  <c r="A1191" i="19"/>
  <c r="A1190" i="19"/>
  <c r="A1189" i="19"/>
  <c r="A1188" i="19"/>
  <c r="A1187" i="19"/>
  <c r="A1186" i="19"/>
  <c r="A1185" i="19"/>
  <c r="A1184" i="19"/>
  <c r="A1183" i="19"/>
  <c r="A1182" i="19"/>
  <c r="A1181" i="19"/>
  <c r="A1180" i="19"/>
  <c r="A1179" i="19"/>
  <c r="A1178" i="19"/>
  <c r="A1177" i="19"/>
  <c r="A1176" i="19"/>
  <c r="A1175" i="19"/>
  <c r="A1174" i="19"/>
  <c r="A1173" i="19"/>
  <c r="A1172" i="19"/>
  <c r="A1171" i="19"/>
  <c r="A1170" i="19"/>
  <c r="A1169" i="19"/>
  <c r="A1168" i="19"/>
  <c r="A1167" i="19"/>
  <c r="A1166" i="19"/>
  <c r="A1165" i="19"/>
  <c r="A1164" i="19"/>
  <c r="A1163" i="19"/>
  <c r="A1162" i="19"/>
  <c r="A1161" i="19"/>
  <c r="A1160" i="19"/>
  <c r="A1159" i="19"/>
  <c r="A1158" i="19"/>
  <c r="A1157" i="19"/>
  <c r="A1156" i="19"/>
  <c r="A1155" i="19"/>
  <c r="A1154" i="19"/>
  <c r="A1153" i="19"/>
  <c r="A1152" i="19"/>
  <c r="A1151" i="19"/>
  <c r="A1150" i="19"/>
  <c r="A1149" i="19"/>
  <c r="A1148" i="19"/>
  <c r="A1147" i="19"/>
  <c r="A1146" i="19"/>
  <c r="A1145" i="19"/>
  <c r="A1144" i="19"/>
  <c r="A1143" i="19"/>
  <c r="A1142" i="19"/>
  <c r="A1141" i="19"/>
  <c r="A1140" i="19"/>
  <c r="A1139" i="19"/>
  <c r="A1138" i="19"/>
  <c r="A1137" i="19"/>
  <c r="A1136" i="19"/>
  <c r="A1135" i="19"/>
  <c r="A1134" i="19"/>
  <c r="A1133" i="19"/>
  <c r="A1132" i="19"/>
  <c r="A1131" i="19"/>
  <c r="A1130" i="19"/>
  <c r="A1129" i="19"/>
  <c r="A1128" i="19"/>
  <c r="A1127" i="19"/>
  <c r="A1126" i="19"/>
  <c r="A1125" i="19"/>
  <c r="A1124" i="19"/>
  <c r="A1123" i="19"/>
  <c r="A1122" i="19"/>
  <c r="A1121" i="19"/>
  <c r="A1120" i="19"/>
  <c r="A1119" i="19"/>
  <c r="A1118" i="19"/>
  <c r="A1117" i="19"/>
  <c r="A1116" i="19"/>
  <c r="A1115" i="19"/>
  <c r="A1114" i="19"/>
  <c r="A1113" i="19"/>
  <c r="A1112" i="19"/>
  <c r="A1111" i="19"/>
  <c r="A1110" i="19"/>
  <c r="A1109" i="19"/>
  <c r="A1108" i="19"/>
  <c r="A1107" i="19"/>
  <c r="A1106" i="19"/>
  <c r="A1105" i="19"/>
  <c r="A1104" i="19"/>
  <c r="A1103" i="19"/>
  <c r="A1102" i="19"/>
  <c r="A1101" i="19"/>
  <c r="A1100" i="19"/>
  <c r="A1099" i="19"/>
  <c r="A1098" i="19"/>
  <c r="A1097" i="19"/>
  <c r="A1096" i="19"/>
  <c r="A1095" i="19"/>
  <c r="A1094" i="19"/>
  <c r="A1093" i="19"/>
  <c r="A1092" i="19"/>
  <c r="A1091" i="19"/>
  <c r="A1090" i="19"/>
  <c r="A1089" i="19"/>
  <c r="A1088" i="19"/>
  <c r="A1087" i="19"/>
  <c r="A1086" i="19"/>
  <c r="A1085" i="19"/>
  <c r="A1084" i="19"/>
  <c r="A1083" i="19"/>
  <c r="A1082" i="19"/>
  <c r="A1081" i="19"/>
  <c r="A1080" i="19"/>
  <c r="A1079" i="19"/>
  <c r="A1078" i="19"/>
  <c r="A1077" i="19"/>
  <c r="A1076" i="19"/>
  <c r="A1075" i="19"/>
  <c r="A1074" i="19"/>
  <c r="A1073" i="19"/>
  <c r="A1072" i="19"/>
  <c r="A1071" i="19"/>
  <c r="A1070" i="19"/>
  <c r="A1069" i="19"/>
  <c r="A1068" i="19"/>
  <c r="A1067" i="19"/>
  <c r="A1066" i="19"/>
  <c r="A1065" i="19"/>
  <c r="A1064" i="19"/>
  <c r="A1063" i="19"/>
  <c r="A1062" i="19"/>
  <c r="A1061" i="19"/>
  <c r="A1060" i="19"/>
  <c r="A1059" i="19"/>
  <c r="A1058" i="19"/>
  <c r="A1057" i="19"/>
  <c r="A1056" i="19"/>
  <c r="A1055" i="19"/>
  <c r="A1054" i="19"/>
  <c r="A1053" i="19"/>
  <c r="A1052" i="19"/>
  <c r="A1051" i="19"/>
  <c r="A1050" i="19"/>
  <c r="A1049" i="19"/>
  <c r="A1048" i="19"/>
  <c r="A1047" i="19"/>
  <c r="A1046" i="19"/>
  <c r="A1045" i="19"/>
  <c r="A1044" i="19"/>
  <c r="A1043" i="19"/>
  <c r="A1042" i="19"/>
  <c r="A1041" i="19"/>
  <c r="A1040" i="19"/>
  <c r="A1039" i="19"/>
  <c r="A1038" i="19"/>
  <c r="A1037" i="19"/>
  <c r="A1036" i="19"/>
  <c r="A1035" i="19"/>
  <c r="A1034" i="19"/>
  <c r="A1033" i="19"/>
  <c r="A1032" i="19"/>
  <c r="A1031" i="19"/>
  <c r="A1030" i="19"/>
  <c r="A1029" i="19"/>
  <c r="A1028" i="19"/>
  <c r="A1027" i="19"/>
  <c r="A1026" i="19"/>
  <c r="A1025" i="19"/>
  <c r="A1024" i="19"/>
  <c r="A1023" i="19"/>
  <c r="A1022" i="19"/>
  <c r="A1021" i="19"/>
  <c r="A1020" i="19"/>
  <c r="A1019" i="19"/>
  <c r="A1018" i="19"/>
  <c r="A1017" i="19"/>
  <c r="A1016" i="19"/>
  <c r="A1015" i="19"/>
  <c r="A1014" i="19"/>
  <c r="A1013" i="19"/>
  <c r="A1012" i="19"/>
  <c r="A1011" i="19"/>
  <c r="A1010" i="19"/>
  <c r="A1009" i="19"/>
  <c r="A1008" i="19"/>
  <c r="A1007" i="19"/>
  <c r="A1006" i="19"/>
  <c r="A1005" i="19"/>
  <c r="A1004" i="19"/>
  <c r="A1003" i="19"/>
  <c r="A1002" i="19"/>
  <c r="A1001" i="19"/>
  <c r="A1000" i="19"/>
  <c r="A999" i="19"/>
  <c r="A998" i="19"/>
  <c r="A997" i="19"/>
  <c r="A996" i="19"/>
  <c r="A995" i="19"/>
  <c r="A994" i="19"/>
  <c r="A993" i="19"/>
  <c r="A992" i="19"/>
  <c r="A991" i="19"/>
  <c r="A990" i="19"/>
  <c r="A989" i="19"/>
  <c r="A988" i="19"/>
  <c r="A987" i="19"/>
  <c r="A986" i="19"/>
  <c r="A985" i="19"/>
  <c r="A984" i="19"/>
  <c r="A983" i="19"/>
  <c r="A982" i="19"/>
  <c r="A981" i="19"/>
  <c r="A980" i="19"/>
  <c r="A979" i="19"/>
  <c r="A978" i="19"/>
  <c r="A977" i="19"/>
  <c r="A976" i="19"/>
  <c r="A975" i="19"/>
  <c r="A974" i="19"/>
  <c r="A973" i="19"/>
  <c r="A972" i="19"/>
  <c r="A971" i="19"/>
  <c r="A970" i="19"/>
  <c r="A969" i="19"/>
  <c r="A968" i="19"/>
  <c r="A967" i="19"/>
  <c r="A966" i="19"/>
  <c r="A965" i="19"/>
  <c r="A964" i="19"/>
  <c r="A963" i="19"/>
  <c r="A962" i="19"/>
  <c r="A961" i="19"/>
  <c r="A960" i="19"/>
  <c r="A959" i="19"/>
  <c r="A958" i="19"/>
  <c r="A957" i="19"/>
  <c r="A956" i="19"/>
  <c r="A955" i="19"/>
  <c r="A954" i="19"/>
  <c r="A953" i="19"/>
  <c r="A952" i="19"/>
  <c r="A951" i="19"/>
  <c r="A950" i="19"/>
  <c r="A949" i="19"/>
  <c r="A948" i="19"/>
  <c r="A947" i="19"/>
  <c r="A946" i="19"/>
  <c r="A945" i="19"/>
  <c r="A944" i="19"/>
  <c r="A943" i="19"/>
  <c r="A942" i="19"/>
  <c r="A941" i="19"/>
  <c r="A940" i="19"/>
  <c r="A939" i="19"/>
  <c r="A938" i="19"/>
  <c r="A937" i="19"/>
  <c r="A936" i="19"/>
  <c r="A935" i="19"/>
  <c r="A934" i="19"/>
  <c r="A933" i="19"/>
  <c r="A932" i="19"/>
  <c r="A931" i="19"/>
  <c r="A930" i="19"/>
  <c r="A929" i="19"/>
  <c r="A928" i="19"/>
  <c r="A927" i="19"/>
  <c r="A926" i="19"/>
  <c r="A925" i="19"/>
  <c r="A924" i="19"/>
  <c r="A923" i="19"/>
  <c r="A922" i="19"/>
  <c r="A921" i="19"/>
  <c r="A920" i="19"/>
  <c r="A919" i="19"/>
  <c r="A918" i="19"/>
  <c r="A917" i="19"/>
  <c r="A916" i="19"/>
  <c r="A915" i="19"/>
  <c r="A914" i="19"/>
  <c r="A913" i="19"/>
  <c r="A912" i="19"/>
  <c r="A911" i="19"/>
  <c r="A910" i="19"/>
  <c r="A909" i="19"/>
  <c r="A908" i="19"/>
  <c r="A907" i="19"/>
  <c r="A906" i="19"/>
  <c r="A905" i="19"/>
  <c r="A904" i="19"/>
  <c r="A903" i="19"/>
  <c r="A902" i="19"/>
  <c r="A901" i="19"/>
  <c r="A900" i="19"/>
  <c r="A899" i="19"/>
  <c r="A898" i="19"/>
  <c r="A897" i="19"/>
  <c r="A896" i="19"/>
  <c r="A895" i="19"/>
  <c r="A894" i="19"/>
  <c r="A893" i="19"/>
  <c r="A892" i="19"/>
  <c r="A891" i="19"/>
  <c r="A890" i="19"/>
  <c r="A889" i="19"/>
  <c r="A888" i="19"/>
  <c r="A887" i="19"/>
  <c r="A886" i="19"/>
  <c r="A885" i="19"/>
  <c r="A884" i="19"/>
  <c r="A883" i="19"/>
  <c r="A882" i="19"/>
  <c r="A881" i="19"/>
  <c r="A880" i="19"/>
  <c r="A879" i="19"/>
  <c r="A878" i="19"/>
  <c r="A877" i="19"/>
  <c r="A876" i="19"/>
  <c r="A875" i="19"/>
  <c r="A874" i="19"/>
  <c r="A873" i="19"/>
  <c r="A872" i="19"/>
  <c r="A871" i="19"/>
  <c r="A870" i="19"/>
  <c r="A869" i="19"/>
  <c r="A868" i="19"/>
  <c r="A867" i="19"/>
  <c r="A866" i="19"/>
  <c r="A865" i="19"/>
  <c r="A864" i="19"/>
  <c r="A863" i="19"/>
  <c r="A862" i="19"/>
  <c r="A861" i="19"/>
  <c r="A860" i="19"/>
  <c r="A859" i="19"/>
  <c r="A858" i="19"/>
  <c r="A857" i="19"/>
  <c r="A856" i="19"/>
  <c r="A855" i="19"/>
  <c r="A854" i="19"/>
  <c r="A853" i="19"/>
  <c r="A852" i="19"/>
  <c r="A851" i="19"/>
  <c r="A850" i="19"/>
  <c r="A849" i="19"/>
  <c r="A848" i="19"/>
  <c r="A847" i="19"/>
  <c r="A846" i="19"/>
  <c r="A845" i="19"/>
  <c r="A844" i="19"/>
  <c r="A843" i="19"/>
  <c r="A842" i="19"/>
  <c r="A841" i="19"/>
  <c r="A840" i="19"/>
  <c r="A839" i="19"/>
  <c r="A838" i="19"/>
  <c r="A837" i="19"/>
  <c r="A836" i="19"/>
  <c r="A835" i="19"/>
  <c r="A834" i="19"/>
  <c r="A833" i="19"/>
  <c r="A832" i="19"/>
  <c r="A831" i="19"/>
  <c r="A830" i="19"/>
  <c r="A829" i="19"/>
  <c r="A828" i="19"/>
  <c r="A827" i="19"/>
  <c r="A826" i="19"/>
  <c r="A825" i="19"/>
  <c r="A824" i="19"/>
  <c r="A823" i="19"/>
  <c r="A822" i="19"/>
  <c r="A821" i="19"/>
  <c r="A820" i="19"/>
  <c r="A819" i="19"/>
  <c r="A818" i="19"/>
  <c r="A817" i="19"/>
  <c r="A816" i="19"/>
  <c r="A815" i="19"/>
  <c r="A814" i="19"/>
  <c r="A813" i="19"/>
  <c r="A812" i="19"/>
  <c r="A811" i="19"/>
  <c r="A810" i="19"/>
  <c r="A809" i="19"/>
  <c r="A808" i="19"/>
  <c r="A807" i="19"/>
  <c r="A806" i="19"/>
  <c r="A805" i="19"/>
  <c r="A804" i="19"/>
  <c r="A803" i="19"/>
  <c r="A802" i="19"/>
  <c r="A801" i="19"/>
  <c r="A800" i="19"/>
  <c r="A799" i="19"/>
  <c r="A798" i="19"/>
  <c r="A797" i="19"/>
  <c r="A796" i="19"/>
  <c r="A795" i="19"/>
  <c r="A794" i="19"/>
  <c r="A793" i="19"/>
  <c r="A792" i="19"/>
  <c r="A791" i="19"/>
  <c r="A790" i="19"/>
  <c r="A789" i="19"/>
  <c r="A788" i="19"/>
  <c r="A787" i="19"/>
  <c r="A786" i="19"/>
  <c r="A785" i="19"/>
  <c r="A784" i="19"/>
  <c r="A783" i="19"/>
  <c r="A782" i="19"/>
  <c r="A781" i="19"/>
  <c r="A780" i="19"/>
  <c r="A779" i="19"/>
  <c r="A778" i="19"/>
  <c r="A777" i="19"/>
  <c r="A776" i="19"/>
  <c r="A775" i="19"/>
  <c r="A774" i="19"/>
  <c r="A773" i="19"/>
  <c r="A772" i="19"/>
  <c r="A771" i="19"/>
  <c r="A770" i="19"/>
  <c r="A769" i="19"/>
  <c r="A768" i="19"/>
  <c r="A767" i="19"/>
  <c r="A766" i="19"/>
  <c r="A765" i="19"/>
  <c r="A764" i="19"/>
  <c r="A763" i="19"/>
  <c r="A762" i="19"/>
  <c r="A761" i="19"/>
  <c r="A760" i="19"/>
  <c r="A759" i="19"/>
  <c r="A758" i="19"/>
  <c r="A757" i="19"/>
  <c r="A756" i="19"/>
  <c r="A755" i="19"/>
  <c r="A754" i="19"/>
  <c r="A753" i="19"/>
  <c r="A752" i="19"/>
  <c r="A751" i="19"/>
  <c r="A750" i="19"/>
  <c r="A749" i="19"/>
  <c r="A748" i="19"/>
  <c r="A747" i="19"/>
  <c r="A746" i="19"/>
  <c r="A745" i="19"/>
  <c r="A744" i="19"/>
  <c r="A743" i="19"/>
  <c r="A742" i="19"/>
  <c r="A741" i="19"/>
  <c r="A740" i="19"/>
  <c r="A739" i="19"/>
  <c r="A738" i="19"/>
  <c r="A737" i="19"/>
  <c r="A736" i="19"/>
  <c r="A735" i="19"/>
  <c r="A734" i="19"/>
  <c r="A733" i="19"/>
  <c r="A732" i="19"/>
  <c r="A731" i="19"/>
  <c r="A730" i="19"/>
  <c r="A729" i="19"/>
  <c r="A728" i="19"/>
  <c r="A727" i="19"/>
  <c r="A726" i="19"/>
  <c r="A725" i="19"/>
  <c r="A724" i="19"/>
  <c r="A723" i="19"/>
  <c r="A722" i="19"/>
  <c r="A721" i="19"/>
  <c r="A720" i="19"/>
  <c r="A719" i="19"/>
  <c r="A718" i="19"/>
  <c r="A717" i="19"/>
  <c r="A716" i="19"/>
  <c r="A715" i="19"/>
  <c r="A714" i="19"/>
  <c r="A713" i="19"/>
  <c r="A712" i="19"/>
  <c r="A711" i="19"/>
  <c r="A710" i="19"/>
  <c r="A709" i="19"/>
  <c r="A708" i="19"/>
  <c r="A707" i="19"/>
  <c r="A706" i="19"/>
  <c r="A705" i="19"/>
  <c r="A704" i="19"/>
  <c r="A703" i="19"/>
  <c r="A702" i="19"/>
  <c r="A701" i="19"/>
  <c r="A700" i="19"/>
  <c r="A699" i="19"/>
  <c r="A698" i="19"/>
  <c r="A697" i="19"/>
  <c r="A696" i="19"/>
  <c r="A695" i="19"/>
  <c r="A694" i="19"/>
  <c r="A693" i="19"/>
  <c r="A692" i="19"/>
  <c r="A691" i="19"/>
  <c r="A690" i="19"/>
  <c r="A689" i="19"/>
  <c r="A688" i="19"/>
  <c r="A687" i="19"/>
  <c r="A686" i="19"/>
  <c r="A685" i="19"/>
  <c r="A684" i="19"/>
  <c r="A683" i="19"/>
  <c r="A682" i="19"/>
  <c r="A681" i="19"/>
  <c r="A680" i="19"/>
  <c r="A679" i="19"/>
  <c r="A678" i="19"/>
  <c r="A677" i="19"/>
  <c r="A676" i="19"/>
  <c r="A675" i="19"/>
  <c r="A674" i="19"/>
  <c r="A673" i="19"/>
  <c r="A672" i="19"/>
  <c r="A671" i="19"/>
  <c r="A670" i="19"/>
  <c r="A669" i="19"/>
  <c r="A668" i="19"/>
  <c r="A667" i="19"/>
  <c r="A666" i="19"/>
  <c r="A665" i="19"/>
  <c r="A664" i="19"/>
  <c r="A663" i="19"/>
  <c r="A662" i="19"/>
  <c r="A661" i="19"/>
  <c r="A660" i="19"/>
  <c r="A659" i="19"/>
  <c r="A658" i="19"/>
  <c r="A657" i="19"/>
  <c r="A656" i="19"/>
  <c r="A655" i="19"/>
  <c r="A654" i="19"/>
  <c r="A653" i="19"/>
  <c r="A652" i="19"/>
  <c r="A651" i="19"/>
  <c r="A650" i="19"/>
  <c r="A649" i="19"/>
  <c r="A648" i="19"/>
  <c r="A647" i="19"/>
  <c r="A646" i="19"/>
  <c r="A645" i="19"/>
  <c r="A644" i="19"/>
  <c r="A643" i="19"/>
  <c r="A642" i="19"/>
  <c r="A641" i="19"/>
  <c r="A640" i="19"/>
  <c r="A639" i="19"/>
  <c r="A638" i="19"/>
  <c r="A637" i="19"/>
  <c r="A636" i="19"/>
  <c r="A635" i="19"/>
  <c r="A634" i="19"/>
  <c r="A633" i="19"/>
  <c r="A632" i="19"/>
  <c r="A631" i="19"/>
  <c r="A630" i="19"/>
  <c r="A629" i="19"/>
  <c r="A628" i="19"/>
  <c r="A627" i="19"/>
  <c r="A626" i="19"/>
  <c r="A625" i="19"/>
  <c r="A624" i="19"/>
  <c r="A623" i="19"/>
  <c r="A622" i="19"/>
  <c r="A621" i="19"/>
  <c r="A620" i="19"/>
  <c r="A619" i="19"/>
  <c r="A618" i="19"/>
  <c r="A617" i="19"/>
  <c r="A616" i="19"/>
  <c r="A615" i="19"/>
  <c r="A614" i="19"/>
  <c r="A613" i="19"/>
  <c r="A612" i="19"/>
  <c r="A611" i="19"/>
  <c r="A610" i="19"/>
  <c r="A609" i="19"/>
  <c r="A608" i="19"/>
  <c r="A607" i="19"/>
  <c r="A606" i="19"/>
  <c r="A605" i="19"/>
  <c r="A604" i="19"/>
  <c r="A603" i="19"/>
  <c r="A602" i="19"/>
  <c r="A601" i="19"/>
  <c r="A600" i="19"/>
  <c r="A599" i="19"/>
  <c r="A598" i="19"/>
  <c r="A597" i="19"/>
  <c r="A596" i="19"/>
  <c r="A595" i="19"/>
  <c r="A594" i="19"/>
  <c r="A593" i="19"/>
  <c r="A592" i="19"/>
  <c r="A591" i="19"/>
  <c r="A590" i="19"/>
  <c r="A589" i="19"/>
  <c r="A588" i="19"/>
  <c r="A587" i="19"/>
  <c r="A586" i="19"/>
  <c r="A585" i="19"/>
  <c r="A584" i="19"/>
  <c r="A583" i="19"/>
  <c r="A582" i="19"/>
  <c r="A581" i="19"/>
  <c r="A580" i="19"/>
  <c r="A579" i="19"/>
  <c r="A578" i="19"/>
  <c r="A577" i="19"/>
  <c r="A576" i="19"/>
  <c r="A575" i="19"/>
  <c r="A574" i="19"/>
  <c r="A573" i="19"/>
  <c r="A572" i="19"/>
  <c r="A571" i="19"/>
  <c r="A570" i="19"/>
  <c r="A569" i="19"/>
  <c r="A568" i="19"/>
  <c r="A567" i="19"/>
  <c r="A566" i="19"/>
  <c r="A565" i="19"/>
  <c r="A564" i="19"/>
  <c r="A563" i="19"/>
  <c r="A562" i="19"/>
  <c r="A561" i="19"/>
  <c r="A560" i="19"/>
  <c r="A559" i="19"/>
  <c r="A558" i="19"/>
  <c r="A557" i="19"/>
  <c r="A556" i="19"/>
  <c r="A555" i="19"/>
  <c r="A554" i="19"/>
  <c r="A553" i="19"/>
  <c r="A552" i="19"/>
  <c r="A551" i="19"/>
  <c r="A550" i="19"/>
  <c r="A549" i="19"/>
  <c r="A548" i="19"/>
  <c r="A547" i="19"/>
  <c r="A546" i="19"/>
  <c r="A545" i="19"/>
  <c r="A544" i="19"/>
  <c r="A543" i="19"/>
  <c r="A542" i="19"/>
  <c r="A541" i="19"/>
  <c r="A540" i="19"/>
  <c r="A539" i="19"/>
  <c r="A538" i="19"/>
  <c r="A537" i="19"/>
  <c r="A536" i="19"/>
  <c r="A535" i="19"/>
  <c r="A534" i="19"/>
  <c r="A533" i="19"/>
  <c r="A532" i="19"/>
  <c r="A531" i="19"/>
  <c r="A530" i="19"/>
  <c r="A529" i="19"/>
  <c r="A528" i="19"/>
  <c r="A527" i="19"/>
  <c r="A526" i="19"/>
  <c r="A525" i="19"/>
  <c r="A524" i="19"/>
  <c r="A523" i="19"/>
  <c r="A522" i="19"/>
  <c r="A521" i="19"/>
  <c r="A520" i="19"/>
  <c r="A519" i="19"/>
  <c r="A518" i="19"/>
  <c r="A517" i="19"/>
  <c r="A516" i="19"/>
  <c r="A515" i="19"/>
  <c r="A514" i="19"/>
  <c r="A513" i="19"/>
  <c r="A512" i="19"/>
  <c r="A511" i="19"/>
  <c r="A510" i="19"/>
  <c r="A509" i="19"/>
  <c r="A508" i="19"/>
  <c r="A507" i="19"/>
  <c r="A506" i="19"/>
  <c r="A505" i="19"/>
  <c r="A504" i="19"/>
  <c r="A503" i="19"/>
  <c r="A502" i="19"/>
  <c r="A501" i="19"/>
  <c r="A500" i="19"/>
  <c r="A499" i="19"/>
  <c r="A498" i="19"/>
  <c r="A497" i="19"/>
  <c r="A496" i="19"/>
  <c r="A495" i="19"/>
  <c r="A494" i="19"/>
  <c r="A493" i="19"/>
  <c r="A492" i="19"/>
  <c r="A491" i="19"/>
  <c r="A490" i="19"/>
  <c r="A489" i="19"/>
  <c r="A488" i="19"/>
  <c r="A487" i="19"/>
  <c r="A486" i="19"/>
  <c r="A485" i="19"/>
  <c r="A484" i="19"/>
  <c r="A483" i="19"/>
  <c r="A482" i="19"/>
  <c r="A481" i="19"/>
  <c r="A480" i="19"/>
  <c r="A479" i="19"/>
  <c r="A478" i="19"/>
  <c r="A477" i="19"/>
  <c r="A476" i="19"/>
  <c r="A475" i="19"/>
  <c r="A474" i="19"/>
  <c r="A473" i="19"/>
  <c r="A472" i="19"/>
  <c r="A471" i="19"/>
  <c r="A470" i="19"/>
  <c r="A469" i="19"/>
  <c r="A468" i="19"/>
  <c r="A467" i="19"/>
  <c r="A466" i="19"/>
  <c r="A465" i="19"/>
  <c r="A464" i="19"/>
  <c r="A463" i="19"/>
  <c r="A462" i="19"/>
  <c r="A461" i="19"/>
  <c r="A460" i="19"/>
  <c r="A459" i="19"/>
  <c r="A458" i="19"/>
  <c r="A457" i="19"/>
  <c r="A456" i="19"/>
  <c r="A455" i="19"/>
  <c r="A454" i="19"/>
  <c r="A453" i="19"/>
  <c r="A452" i="19"/>
  <c r="A451" i="19"/>
  <c r="A450" i="19"/>
  <c r="A449" i="19"/>
  <c r="A448" i="19"/>
  <c r="A447" i="19"/>
  <c r="A446" i="19"/>
  <c r="A445" i="19"/>
  <c r="A444" i="19"/>
  <c r="A443" i="19"/>
  <c r="A442" i="19"/>
  <c r="A441" i="19"/>
  <c r="A440" i="19"/>
  <c r="A439" i="19"/>
  <c r="A438" i="19"/>
  <c r="A437" i="19"/>
  <c r="A436" i="19"/>
  <c r="A435" i="19"/>
  <c r="A434" i="19"/>
  <c r="A433" i="19"/>
  <c r="A432" i="19"/>
  <c r="A431" i="19"/>
  <c r="A430" i="19"/>
  <c r="A429" i="19"/>
  <c r="A428" i="19"/>
  <c r="A427" i="19"/>
  <c r="A426" i="19"/>
  <c r="A425" i="19"/>
  <c r="A424" i="19"/>
  <c r="A423" i="19"/>
  <c r="A422" i="19"/>
  <c r="A421" i="19"/>
  <c r="A420" i="19"/>
  <c r="A419" i="19"/>
  <c r="A418" i="19"/>
  <c r="A417" i="19"/>
  <c r="A416" i="19"/>
  <c r="A415" i="19"/>
  <c r="A414" i="19"/>
  <c r="A413" i="19"/>
  <c r="A412" i="19"/>
  <c r="A411" i="19"/>
  <c r="A410" i="19"/>
  <c r="A409" i="19"/>
  <c r="A408" i="19"/>
  <c r="A407" i="19"/>
  <c r="A406" i="19"/>
  <c r="A405" i="19"/>
  <c r="A404" i="19"/>
  <c r="A403" i="19"/>
  <c r="A402" i="19"/>
  <c r="A401" i="19"/>
  <c r="A400" i="19"/>
  <c r="A399" i="19"/>
  <c r="A398" i="19"/>
  <c r="A397" i="19"/>
  <c r="A396" i="19"/>
  <c r="A395" i="19"/>
  <c r="A394" i="19"/>
  <c r="A393" i="19"/>
  <c r="A392" i="19"/>
  <c r="A391" i="19"/>
  <c r="A390" i="19"/>
  <c r="A389" i="19"/>
  <c r="A388" i="19"/>
  <c r="A387" i="19"/>
  <c r="A386" i="19"/>
  <c r="A385" i="19"/>
  <c r="A384" i="19"/>
  <c r="A383" i="19"/>
  <c r="A382" i="19"/>
  <c r="A381" i="19"/>
  <c r="A380" i="19"/>
  <c r="A379" i="19"/>
  <c r="A378" i="19"/>
  <c r="A377" i="19"/>
  <c r="A376" i="19"/>
  <c r="A375" i="19"/>
  <c r="A374" i="19"/>
  <c r="A373" i="19"/>
  <c r="A372" i="19"/>
  <c r="A371" i="19"/>
  <c r="A370" i="19"/>
  <c r="A369" i="19"/>
  <c r="A368" i="19"/>
  <c r="A367" i="19"/>
  <c r="A366" i="19"/>
  <c r="A365" i="19"/>
  <c r="A364" i="19"/>
  <c r="A363" i="19"/>
  <c r="A362" i="19"/>
  <c r="A361" i="19"/>
  <c r="A360" i="19"/>
  <c r="A359" i="19"/>
  <c r="A358" i="19"/>
  <c r="A357" i="19"/>
  <c r="A356" i="19"/>
  <c r="A355" i="19"/>
  <c r="A354" i="19"/>
  <c r="A353" i="19"/>
  <c r="A352" i="19"/>
  <c r="A351" i="19"/>
  <c r="A350" i="19"/>
  <c r="A349" i="19"/>
  <c r="A348" i="19"/>
  <c r="A347" i="19"/>
  <c r="A346" i="19"/>
  <c r="A345" i="19"/>
  <c r="A344" i="19"/>
  <c r="A343" i="19"/>
  <c r="A342" i="19"/>
  <c r="A341" i="19"/>
  <c r="A340" i="19"/>
  <c r="A339" i="19"/>
  <c r="A338" i="19"/>
  <c r="A337" i="19"/>
  <c r="A336" i="19"/>
  <c r="A335" i="19"/>
  <c r="A334" i="19"/>
  <c r="A333" i="19"/>
  <c r="A332" i="19"/>
  <c r="A331" i="19"/>
  <c r="A330" i="19"/>
  <c r="A329" i="19"/>
  <c r="A328" i="19"/>
  <c r="A327" i="19"/>
  <c r="A326" i="19"/>
  <c r="A325" i="19"/>
  <c r="A324" i="19"/>
  <c r="A323" i="19"/>
  <c r="A322" i="19"/>
  <c r="A321" i="19"/>
  <c r="A320" i="19"/>
  <c r="A319" i="19"/>
  <c r="A318" i="19"/>
  <c r="A317" i="19"/>
  <c r="A316" i="19"/>
  <c r="A315" i="19"/>
  <c r="A314" i="19"/>
  <c r="A313" i="19"/>
  <c r="A312" i="19"/>
  <c r="A311" i="19"/>
  <c r="A310" i="19"/>
  <c r="A309" i="19"/>
  <c r="A308" i="19"/>
  <c r="A307" i="19"/>
  <c r="A306" i="19"/>
  <c r="A305" i="19"/>
  <c r="A304" i="19"/>
  <c r="A303" i="19"/>
  <c r="A302" i="19"/>
  <c r="A301" i="19"/>
  <c r="A300" i="19"/>
  <c r="A299" i="19"/>
  <c r="A298" i="19"/>
  <c r="A297" i="19"/>
  <c r="A296" i="19"/>
  <c r="A295" i="19"/>
  <c r="A294" i="19"/>
  <c r="A293" i="19"/>
  <c r="A292" i="19"/>
  <c r="A291" i="19"/>
  <c r="A290" i="19"/>
  <c r="A289" i="19"/>
  <c r="A288" i="19"/>
  <c r="A287" i="19"/>
  <c r="A286" i="19"/>
  <c r="A285" i="19"/>
  <c r="A284" i="19"/>
  <c r="A283" i="19"/>
  <c r="A282" i="19"/>
  <c r="A281" i="19"/>
  <c r="A280" i="19"/>
  <c r="A279" i="19"/>
  <c r="A278" i="19"/>
  <c r="A277" i="19"/>
  <c r="A276" i="19"/>
  <c r="A275" i="19"/>
  <c r="A274" i="19"/>
  <c r="A273" i="19"/>
  <c r="A272" i="19"/>
  <c r="A271" i="19"/>
  <c r="A270" i="19"/>
  <c r="A269" i="19"/>
  <c r="A268" i="19"/>
  <c r="A267" i="19"/>
  <c r="A266" i="19"/>
  <c r="A265" i="19"/>
  <c r="A264" i="19"/>
  <c r="A263" i="19"/>
  <c r="A262" i="19"/>
  <c r="A261" i="19"/>
  <c r="A260" i="19"/>
  <c r="A259" i="19"/>
  <c r="A258" i="19"/>
  <c r="A257" i="19"/>
  <c r="A256" i="19"/>
  <c r="A255" i="19"/>
  <c r="A254" i="19"/>
  <c r="A253" i="19"/>
  <c r="A252" i="19"/>
  <c r="A251" i="19"/>
  <c r="A250" i="19"/>
  <c r="A249" i="19"/>
  <c r="A248" i="19"/>
  <c r="A247" i="19"/>
  <c r="A246" i="19"/>
  <c r="A245" i="19"/>
  <c r="A244" i="19"/>
  <c r="A243" i="19"/>
  <c r="A242" i="19"/>
  <c r="A241" i="19"/>
  <c r="A240" i="19"/>
  <c r="A239" i="19"/>
  <c r="A238" i="19"/>
  <c r="A237" i="19"/>
  <c r="A236" i="19"/>
  <c r="A235" i="19"/>
  <c r="A234" i="19"/>
  <c r="A233" i="19"/>
  <c r="A232" i="19"/>
  <c r="A231" i="19"/>
  <c r="A230" i="19"/>
  <c r="A229" i="19"/>
  <c r="A228" i="19"/>
  <c r="A227" i="19"/>
  <c r="A226" i="19"/>
  <c r="A225" i="19"/>
  <c r="A224" i="19"/>
  <c r="A223" i="19"/>
  <c r="A222" i="19"/>
  <c r="A221" i="19"/>
  <c r="A220" i="19"/>
  <c r="A219" i="19"/>
  <c r="A218" i="19"/>
  <c r="A217" i="19"/>
  <c r="A216" i="19"/>
  <c r="A215" i="19"/>
  <c r="A214" i="19"/>
  <c r="A213" i="19"/>
  <c r="A212" i="19"/>
  <c r="A211" i="19"/>
  <c r="A210" i="19"/>
  <c r="A209" i="19"/>
  <c r="A208" i="19"/>
  <c r="A207" i="19"/>
  <c r="A206" i="19"/>
  <c r="A205" i="19"/>
  <c r="A204" i="19"/>
  <c r="A203" i="19"/>
  <c r="A202" i="19"/>
  <c r="A201" i="19"/>
  <c r="A200" i="19"/>
  <c r="A199" i="19"/>
  <c r="A198" i="19"/>
  <c r="A197" i="19"/>
  <c r="A196" i="19"/>
  <c r="A195" i="19"/>
  <c r="A194" i="19"/>
  <c r="A193" i="19"/>
  <c r="A192" i="19"/>
  <c r="A191" i="19"/>
  <c r="A190" i="19"/>
  <c r="A189" i="19"/>
  <c r="A188" i="19"/>
  <c r="A187" i="19"/>
  <c r="A186" i="19"/>
  <c r="A185" i="19"/>
  <c r="A184" i="19"/>
  <c r="A183" i="19"/>
  <c r="A182" i="19"/>
  <c r="A181" i="19"/>
  <c r="A180" i="19"/>
  <c r="A179" i="19"/>
  <c r="A178" i="19"/>
  <c r="A177" i="19"/>
  <c r="A176" i="19"/>
  <c r="A175" i="19"/>
  <c r="A174" i="19"/>
  <c r="A173" i="19"/>
  <c r="A172" i="19"/>
  <c r="A171" i="19"/>
  <c r="A170" i="19"/>
  <c r="A169" i="19"/>
  <c r="A168" i="19"/>
  <c r="A167" i="19"/>
  <c r="A166" i="19"/>
  <c r="A165" i="19"/>
  <c r="A164" i="19"/>
  <c r="A163" i="19"/>
  <c r="A162" i="19"/>
  <c r="A161" i="19"/>
  <c r="A160" i="19"/>
  <c r="A159" i="19"/>
  <c r="A158" i="19"/>
  <c r="A157" i="19"/>
  <c r="A156" i="19"/>
  <c r="A155" i="19"/>
  <c r="A154" i="19"/>
  <c r="A153" i="19"/>
  <c r="A152" i="19"/>
  <c r="A151" i="19"/>
  <c r="A150" i="19"/>
  <c r="A149" i="19"/>
  <c r="A148" i="19"/>
  <c r="A147" i="19"/>
  <c r="A146" i="19"/>
  <c r="A145" i="19"/>
  <c r="A144" i="19"/>
  <c r="A143" i="19"/>
  <c r="A142" i="19"/>
  <c r="A141" i="19"/>
  <c r="A140" i="19"/>
  <c r="A139" i="19"/>
  <c r="A138" i="19"/>
  <c r="A137" i="19"/>
  <c r="A136" i="19"/>
  <c r="A135" i="19"/>
  <c r="A134" i="19"/>
  <c r="A133" i="19"/>
  <c r="A132" i="19"/>
  <c r="A131" i="19"/>
  <c r="A130" i="19"/>
  <c r="A129" i="19"/>
  <c r="A128" i="19"/>
  <c r="A127" i="19"/>
  <c r="A126" i="19"/>
  <c r="A125" i="19"/>
  <c r="A124" i="19"/>
  <c r="A123" i="19"/>
  <c r="A122" i="19"/>
  <c r="A121" i="19"/>
  <c r="A120" i="19"/>
  <c r="A119" i="19"/>
  <c r="A118" i="19"/>
  <c r="A117" i="19"/>
  <c r="A116" i="19"/>
  <c r="A115" i="19"/>
  <c r="A114" i="19"/>
  <c r="A113" i="19"/>
  <c r="A112" i="19"/>
  <c r="A111" i="19"/>
  <c r="A110" i="19"/>
  <c r="A109" i="19"/>
  <c r="A108" i="19"/>
  <c r="A107" i="19"/>
  <c r="A106" i="19"/>
  <c r="A105" i="19"/>
  <c r="A104" i="19"/>
  <c r="A103" i="19"/>
  <c r="A102" i="19"/>
  <c r="A101" i="19"/>
  <c r="A100" i="19"/>
  <c r="A99" i="19"/>
  <c r="A98" i="19"/>
  <c r="A97" i="19"/>
  <c r="A96" i="19"/>
  <c r="A95" i="19"/>
  <c r="A94" i="19"/>
  <c r="A93" i="19"/>
  <c r="A92" i="19"/>
  <c r="A91" i="19"/>
  <c r="A90" i="19"/>
  <c r="A89" i="19"/>
  <c r="A88" i="19"/>
  <c r="A87" i="19"/>
  <c r="A86" i="19"/>
  <c r="A85" i="19"/>
  <c r="A84" i="19"/>
  <c r="A83" i="19"/>
  <c r="A82" i="19"/>
  <c r="A81" i="19"/>
  <c r="A80" i="19"/>
  <c r="A79" i="19"/>
  <c r="A78" i="19"/>
  <c r="A77" i="19"/>
  <c r="A76" i="19"/>
  <c r="A75" i="19"/>
  <c r="A74" i="19"/>
  <c r="A73" i="19"/>
  <c r="A72" i="19"/>
  <c r="A71" i="19"/>
  <c r="A70" i="19"/>
  <c r="A69" i="19"/>
  <c r="A68" i="19"/>
  <c r="A67" i="19"/>
  <c r="A66" i="19"/>
  <c r="A65" i="19"/>
  <c r="A64" i="19"/>
  <c r="A63" i="19"/>
  <c r="A62" i="19"/>
  <c r="A61" i="19"/>
  <c r="A60" i="19"/>
  <c r="A59" i="19"/>
  <c r="A58" i="19"/>
  <c r="A57" i="19"/>
  <c r="A56" i="19"/>
  <c r="A55" i="19"/>
  <c r="A54" i="19"/>
  <c r="A53" i="19"/>
  <c r="A52" i="19"/>
  <c r="A51" i="19"/>
  <c r="A50" i="19"/>
  <c r="A49" i="19"/>
  <c r="A48" i="19"/>
  <c r="A47" i="19"/>
  <c r="A46" i="19"/>
  <c r="A45" i="19"/>
  <c r="A44" i="19"/>
  <c r="A43" i="19"/>
  <c r="A42" i="19"/>
  <c r="A41" i="19"/>
  <c r="A40" i="19"/>
  <c r="A39" i="19"/>
  <c r="A38" i="19"/>
  <c r="A37" i="19"/>
  <c r="A36" i="19"/>
  <c r="A35" i="19"/>
  <c r="A34" i="19"/>
  <c r="A33" i="19"/>
  <c r="A32" i="19"/>
  <c r="A31" i="19"/>
  <c r="A30" i="19"/>
  <c r="A29" i="19"/>
  <c r="A28" i="19"/>
  <c r="A27" i="19"/>
  <c r="A26" i="19"/>
  <c r="A25" i="19"/>
  <c r="A24" i="19"/>
  <c r="A23" i="19"/>
  <c r="A22" i="19"/>
  <c r="A21" i="19"/>
  <c r="A20" i="19"/>
  <c r="A19" i="19"/>
  <c r="A18" i="19"/>
  <c r="A17" i="19"/>
  <c r="A16" i="19"/>
  <c r="A15" i="19"/>
  <c r="A14" i="19"/>
  <c r="A13" i="19"/>
  <c r="A12" i="19"/>
  <c r="A11" i="19"/>
  <c r="A10" i="19"/>
  <c r="BB1765" i="19" l="1"/>
  <c r="BA1765" i="19"/>
  <c r="CL1765" i="19"/>
  <c r="N5" i="10" l="1"/>
  <c r="N103" i="10" s="1"/>
  <c r="O103" i="10" s="1"/>
  <c r="C9" i="20"/>
  <c r="AQ432" i="20"/>
  <c r="AQ339" i="20"/>
  <c r="M229" i="15" s="1"/>
  <c r="AQ324" i="20"/>
  <c r="AQ297" i="20"/>
  <c r="AQ166" i="20"/>
  <c r="M109" i="15" s="1"/>
  <c r="AQ46" i="20"/>
  <c r="AQ60" i="20"/>
  <c r="M249" i="10"/>
  <c r="M11" i="15"/>
  <c r="M12" i="15"/>
  <c r="M13" i="15"/>
  <c r="M14" i="15"/>
  <c r="M15" i="15"/>
  <c r="M16" i="15"/>
  <c r="M17" i="15"/>
  <c r="M18" i="15"/>
  <c r="M19" i="15"/>
  <c r="M20" i="15"/>
  <c r="M21" i="15"/>
  <c r="M22" i="15"/>
  <c r="M23" i="15"/>
  <c r="M24" i="15"/>
  <c r="M25" i="15"/>
  <c r="M26" i="15"/>
  <c r="M27" i="15"/>
  <c r="M28" i="15"/>
  <c r="M29" i="15"/>
  <c r="M30" i="15"/>
  <c r="M31" i="15"/>
  <c r="M32" i="15"/>
  <c r="M33" i="15"/>
  <c r="M34" i="15"/>
  <c r="M35" i="15"/>
  <c r="M36" i="15"/>
  <c r="M37" i="15"/>
  <c r="M38" i="15"/>
  <c r="M39" i="15"/>
  <c r="M40" i="15"/>
  <c r="M41" i="15"/>
  <c r="M42" i="15"/>
  <c r="M43" i="15"/>
  <c r="M44" i="15"/>
  <c r="M45" i="15"/>
  <c r="M46" i="15"/>
  <c r="M47" i="15"/>
  <c r="M48" i="15"/>
  <c r="M49" i="15"/>
  <c r="M50" i="15"/>
  <c r="M51" i="15"/>
  <c r="M52" i="15"/>
  <c r="M53" i="15"/>
  <c r="M54" i="15"/>
  <c r="M55" i="15"/>
  <c r="M56" i="15"/>
  <c r="M57" i="15"/>
  <c r="M58" i="15"/>
  <c r="M59" i="15"/>
  <c r="M60" i="15"/>
  <c r="M61" i="15"/>
  <c r="M62" i="15"/>
  <c r="M63" i="15"/>
  <c r="M64" i="15"/>
  <c r="M65" i="15"/>
  <c r="M66" i="15"/>
  <c r="M67" i="15"/>
  <c r="M68" i="15"/>
  <c r="M69" i="15"/>
  <c r="M70" i="15"/>
  <c r="M71" i="15"/>
  <c r="M72" i="15"/>
  <c r="M73" i="15"/>
  <c r="M74" i="15"/>
  <c r="M75" i="15"/>
  <c r="M76" i="15"/>
  <c r="M77" i="15"/>
  <c r="M78" i="15"/>
  <c r="M79" i="15"/>
  <c r="M80" i="15"/>
  <c r="M81" i="15"/>
  <c r="M82" i="15"/>
  <c r="M83" i="15"/>
  <c r="M84" i="15"/>
  <c r="M85" i="15"/>
  <c r="M86" i="15"/>
  <c r="M87" i="15"/>
  <c r="M88" i="15"/>
  <c r="M89" i="15"/>
  <c r="M90" i="15"/>
  <c r="M91" i="15"/>
  <c r="M92" i="15"/>
  <c r="M93" i="15"/>
  <c r="M94" i="15"/>
  <c r="M95" i="15"/>
  <c r="M96" i="15"/>
  <c r="M97" i="15"/>
  <c r="M98" i="15"/>
  <c r="M99" i="15"/>
  <c r="M100" i="15"/>
  <c r="M101" i="15"/>
  <c r="M102" i="15"/>
  <c r="M103" i="15"/>
  <c r="M104" i="15"/>
  <c r="M105" i="15"/>
  <c r="M106" i="15"/>
  <c r="M107" i="15"/>
  <c r="M108" i="15"/>
  <c r="M110" i="15"/>
  <c r="M111" i="15"/>
  <c r="M112" i="15"/>
  <c r="M113" i="15"/>
  <c r="M114" i="15"/>
  <c r="M115" i="15"/>
  <c r="M116" i="15"/>
  <c r="M117" i="15"/>
  <c r="M118" i="15"/>
  <c r="M119" i="15"/>
  <c r="M120" i="15"/>
  <c r="M121" i="15"/>
  <c r="M122" i="15"/>
  <c r="M123" i="15"/>
  <c r="M124" i="15"/>
  <c r="M125" i="15"/>
  <c r="M126" i="15"/>
  <c r="M127" i="15"/>
  <c r="M128" i="15"/>
  <c r="M129" i="15"/>
  <c r="M130" i="15"/>
  <c r="M131" i="15"/>
  <c r="M132" i="15"/>
  <c r="M133" i="15"/>
  <c r="M134" i="15"/>
  <c r="M135" i="15"/>
  <c r="M136" i="15"/>
  <c r="M137" i="15"/>
  <c r="M138" i="15"/>
  <c r="M139" i="15"/>
  <c r="M140" i="15"/>
  <c r="M141" i="15"/>
  <c r="M142" i="15"/>
  <c r="M143" i="15"/>
  <c r="M144" i="15"/>
  <c r="M145" i="15"/>
  <c r="M146" i="15"/>
  <c r="M147" i="15"/>
  <c r="M148" i="15"/>
  <c r="M149" i="15"/>
  <c r="M150" i="15"/>
  <c r="M151" i="15"/>
  <c r="M152" i="15"/>
  <c r="M153" i="15"/>
  <c r="M154" i="15"/>
  <c r="M155" i="15"/>
  <c r="M156" i="15"/>
  <c r="M157" i="15"/>
  <c r="M158" i="15"/>
  <c r="M159" i="15"/>
  <c r="M160" i="15"/>
  <c r="M161" i="15"/>
  <c r="M162" i="15"/>
  <c r="M163" i="15"/>
  <c r="M164" i="15"/>
  <c r="M165" i="15"/>
  <c r="M166" i="15"/>
  <c r="M167" i="15"/>
  <c r="M168" i="15"/>
  <c r="M169" i="15"/>
  <c r="M170" i="15"/>
  <c r="M171" i="15"/>
  <c r="M172" i="15"/>
  <c r="M173" i="15"/>
  <c r="M174" i="15"/>
  <c r="M175" i="15"/>
  <c r="M176" i="15"/>
  <c r="M177" i="15"/>
  <c r="M178" i="15"/>
  <c r="M179" i="15"/>
  <c r="M180" i="15"/>
  <c r="M181" i="15"/>
  <c r="M182" i="15"/>
  <c r="M183" i="15"/>
  <c r="M184" i="15"/>
  <c r="M185" i="15"/>
  <c r="M186" i="15"/>
  <c r="M187" i="15"/>
  <c r="M188" i="15"/>
  <c r="M189" i="15"/>
  <c r="M190" i="15"/>
  <c r="M191" i="15"/>
  <c r="M192" i="15"/>
  <c r="M193" i="15"/>
  <c r="M194" i="15"/>
  <c r="M195" i="15"/>
  <c r="M196" i="15"/>
  <c r="M197" i="15"/>
  <c r="M198" i="15"/>
  <c r="M199" i="15"/>
  <c r="M200" i="15"/>
  <c r="M201" i="15"/>
  <c r="M202" i="15"/>
  <c r="M203" i="15"/>
  <c r="M204" i="15"/>
  <c r="M205" i="15"/>
  <c r="M206" i="15"/>
  <c r="M207" i="15"/>
  <c r="M208" i="15"/>
  <c r="M209" i="15"/>
  <c r="M210" i="15"/>
  <c r="M211" i="15"/>
  <c r="M212" i="15"/>
  <c r="M213" i="15"/>
  <c r="M214" i="15"/>
  <c r="M215" i="15"/>
  <c r="M216" i="15"/>
  <c r="M217" i="15"/>
  <c r="M218" i="15"/>
  <c r="M219" i="15"/>
  <c r="M220" i="15"/>
  <c r="M221" i="15"/>
  <c r="M222" i="15"/>
  <c r="M223" i="15"/>
  <c r="M224" i="15"/>
  <c r="M225" i="15"/>
  <c r="M226" i="15"/>
  <c r="M227" i="15"/>
  <c r="M228" i="15"/>
  <c r="M230" i="15"/>
  <c r="M231" i="15"/>
  <c r="M232" i="15"/>
  <c r="M233" i="15"/>
  <c r="M234" i="15"/>
  <c r="M235" i="15"/>
  <c r="M236" i="15"/>
  <c r="M237" i="15"/>
  <c r="M238" i="15"/>
  <c r="M239" i="15"/>
  <c r="M240" i="15"/>
  <c r="M241" i="15"/>
  <c r="M242" i="15"/>
  <c r="M243" i="15"/>
  <c r="M244" i="15"/>
  <c r="M245" i="15"/>
  <c r="M246" i="15"/>
  <c r="M247" i="15"/>
  <c r="M248" i="15"/>
  <c r="M249" i="15"/>
  <c r="M250" i="15"/>
  <c r="M251" i="15"/>
  <c r="M252" i="15"/>
  <c r="M253" i="15"/>
  <c r="M254" i="15"/>
  <c r="M255" i="15"/>
  <c r="M256" i="15"/>
  <c r="M257" i="15"/>
  <c r="M258" i="15"/>
  <c r="M259" i="15"/>
  <c r="M260" i="15"/>
  <c r="M261" i="15"/>
  <c r="M262" i="15"/>
  <c r="M263" i="15"/>
  <c r="M264" i="15"/>
  <c r="M265" i="15"/>
  <c r="M266" i="15"/>
  <c r="M267" i="15"/>
  <c r="M268" i="15"/>
  <c r="M269" i="15"/>
  <c r="M270" i="15"/>
  <c r="M271" i="15"/>
  <c r="M272" i="15"/>
  <c r="M273" i="15"/>
  <c r="M274" i="15"/>
  <c r="M275" i="15"/>
  <c r="M276" i="15"/>
  <c r="M277" i="15"/>
  <c r="M278" i="15"/>
  <c r="M279" i="15"/>
  <c r="M280" i="15"/>
  <c r="M281" i="15"/>
  <c r="M282" i="15"/>
  <c r="M283" i="15"/>
  <c r="M284" i="15"/>
  <c r="M285" i="15"/>
  <c r="M286" i="15"/>
  <c r="M287" i="15"/>
  <c r="M288" i="15"/>
  <c r="M289" i="15"/>
  <c r="M290" i="15"/>
  <c r="M291" i="15"/>
  <c r="M292" i="15"/>
  <c r="M293" i="15"/>
  <c r="M294" i="15"/>
  <c r="M295" i="15"/>
  <c r="M296" i="15"/>
  <c r="M297" i="15"/>
  <c r="M298" i="15"/>
  <c r="M299" i="15"/>
  <c r="M300" i="15"/>
  <c r="M301" i="15"/>
  <c r="M302" i="15"/>
  <c r="M303" i="15"/>
  <c r="M304" i="15"/>
  <c r="M305" i="15"/>
  <c r="M306" i="15"/>
  <c r="M307" i="15"/>
  <c r="M308" i="15"/>
  <c r="M309" i="15"/>
  <c r="M310" i="15"/>
  <c r="M311" i="15"/>
  <c r="M312" i="15"/>
  <c r="M313" i="15"/>
  <c r="M314" i="15"/>
  <c r="M315" i="15"/>
  <c r="M316" i="15"/>
  <c r="M317" i="15"/>
  <c r="M318" i="15"/>
  <c r="M319" i="15"/>
  <c r="M320" i="15"/>
  <c r="M321" i="15"/>
  <c r="M322" i="15"/>
  <c r="M323" i="15"/>
  <c r="M324" i="15"/>
  <c r="M325" i="15"/>
  <c r="M326" i="15"/>
  <c r="M327" i="15"/>
  <c r="M328" i="15"/>
  <c r="M329" i="15"/>
  <c r="M330" i="15"/>
  <c r="M331" i="15"/>
  <c r="M332" i="15"/>
  <c r="M10" i="15"/>
  <c r="D10" i="13"/>
  <c r="G10" i="15" s="1"/>
  <c r="I2" i="7"/>
  <c r="J1" i="4"/>
  <c r="A2" i="4"/>
  <c r="AN109" i="20"/>
  <c r="AP1765" i="19"/>
  <c r="AO1765" i="19"/>
  <c r="AK11" i="13"/>
  <c r="AK13" i="13"/>
  <c r="AK15" i="13"/>
  <c r="AK20" i="13"/>
  <c r="AK21" i="13"/>
  <c r="AK22" i="13"/>
  <c r="AK24" i="13"/>
  <c r="AK28" i="13"/>
  <c r="AK30" i="13"/>
  <c r="AK31" i="13"/>
  <c r="AK38" i="13"/>
  <c r="AK41" i="13"/>
  <c r="AK42" i="13"/>
  <c r="AK43" i="13"/>
  <c r="AK46" i="13"/>
  <c r="AK51" i="13"/>
  <c r="AK56" i="13"/>
  <c r="AK62" i="13"/>
  <c r="AK63" i="13"/>
  <c r="AK64" i="13"/>
  <c r="AK67" i="13"/>
  <c r="AK68" i="13"/>
  <c r="AK69" i="13"/>
  <c r="AK71" i="13"/>
  <c r="AK75" i="13"/>
  <c r="AK78" i="13"/>
  <c r="AK79" i="13"/>
  <c r="AK84" i="13"/>
  <c r="AK85" i="13"/>
  <c r="AK89" i="13"/>
  <c r="AK90" i="13"/>
  <c r="AK93" i="13"/>
  <c r="AK99" i="13"/>
  <c r="AK101" i="13"/>
  <c r="AK111" i="13"/>
  <c r="AK113" i="13"/>
  <c r="AK115" i="13"/>
  <c r="AK117" i="13"/>
  <c r="AK118" i="13"/>
  <c r="AK121" i="13"/>
  <c r="AK122" i="13"/>
  <c r="AK124" i="13"/>
  <c r="AK125" i="13"/>
  <c r="AK128" i="13"/>
  <c r="AK129" i="13"/>
  <c r="AK132" i="13"/>
  <c r="AK133" i="13"/>
  <c r="AK135" i="13"/>
  <c r="AK138" i="13"/>
  <c r="AK139" i="13"/>
  <c r="AK141" i="13"/>
  <c r="AK143" i="13"/>
  <c r="AK149" i="13"/>
  <c r="AK152" i="13"/>
  <c r="AK155" i="13"/>
  <c r="AK156" i="13"/>
  <c r="AK165" i="13"/>
  <c r="AK175" i="13"/>
  <c r="AK188" i="13"/>
  <c r="AK189" i="13"/>
  <c r="AK192" i="13"/>
  <c r="AK197" i="13"/>
  <c r="AK199" i="13"/>
  <c r="AK201" i="13"/>
  <c r="AK202" i="13"/>
  <c r="AK203" i="13"/>
  <c r="AK204" i="13"/>
  <c r="AK209" i="13"/>
  <c r="AK211" i="13"/>
  <c r="AK212" i="13"/>
  <c r="AK214" i="13"/>
  <c r="AK215" i="13"/>
  <c r="AK225" i="13"/>
  <c r="AK231" i="13"/>
  <c r="AK234" i="13"/>
  <c r="AK237" i="13"/>
  <c r="AK241" i="13"/>
  <c r="AK242" i="13"/>
  <c r="AK244" i="13"/>
  <c r="AK246" i="13"/>
  <c r="AK250" i="13"/>
  <c r="AK254" i="13"/>
  <c r="AK256" i="13"/>
  <c r="AK263" i="13"/>
  <c r="AK264" i="13"/>
  <c r="AK265" i="13"/>
  <c r="AK266" i="13"/>
  <c r="AK268" i="13"/>
  <c r="AK269" i="13"/>
  <c r="AK276" i="13"/>
  <c r="AK277" i="13"/>
  <c r="AK279" i="13"/>
  <c r="AK288" i="13"/>
  <c r="AK289" i="13"/>
  <c r="AK291" i="13"/>
  <c r="AK292" i="13"/>
  <c r="AK295" i="13"/>
  <c r="AK303" i="13"/>
  <c r="AK306" i="13"/>
  <c r="AK308" i="13"/>
  <c r="AK311" i="13"/>
  <c r="AK312" i="13"/>
  <c r="AK320" i="13"/>
  <c r="AK321" i="13"/>
  <c r="AK322" i="13"/>
  <c r="AK328" i="13"/>
  <c r="AK329" i="13"/>
  <c r="AK333" i="13"/>
  <c r="AK337" i="13"/>
  <c r="AK338" i="13"/>
  <c r="AK342" i="13"/>
  <c r="AK343" i="13"/>
  <c r="AK347" i="13"/>
  <c r="AK348" i="13"/>
  <c r="AK354" i="13"/>
  <c r="AK360" i="13"/>
  <c r="H8" i="10"/>
  <c r="B12" i="7"/>
  <c r="CF1765" i="19"/>
  <c r="CE1765" i="19"/>
  <c r="BZ1765" i="19"/>
  <c r="BY1765" i="19"/>
  <c r="H13" i="3"/>
  <c r="T6" i="19"/>
  <c r="Y11" i="19"/>
  <c r="Y12" i="19"/>
  <c r="Y13" i="19"/>
  <c r="Y14" i="19"/>
  <c r="Y15" i="19"/>
  <c r="Y16" i="19"/>
  <c r="Y17" i="19"/>
  <c r="Y18" i="19"/>
  <c r="Y19" i="19"/>
  <c r="Y20" i="19"/>
  <c r="Y21" i="19"/>
  <c r="Y22" i="19"/>
  <c r="Y23" i="19"/>
  <c r="Y24" i="19"/>
  <c r="Y25" i="19"/>
  <c r="Y26" i="19"/>
  <c r="Y27" i="19"/>
  <c r="Y28" i="19"/>
  <c r="Y29" i="19"/>
  <c r="Y30" i="19"/>
  <c r="Y31" i="19"/>
  <c r="Y32" i="19"/>
  <c r="Y33" i="19"/>
  <c r="Y34" i="19"/>
  <c r="Y35" i="19"/>
  <c r="Y36" i="19"/>
  <c r="Y37" i="19"/>
  <c r="Y38" i="19"/>
  <c r="Y39" i="19"/>
  <c r="Y40" i="19"/>
  <c r="Y41" i="19"/>
  <c r="Y42" i="19"/>
  <c r="Y43" i="19"/>
  <c r="Y44" i="19"/>
  <c r="Y45" i="19"/>
  <c r="Y46" i="19"/>
  <c r="Y47" i="19"/>
  <c r="Y48" i="19"/>
  <c r="Y49" i="19"/>
  <c r="Y50" i="19"/>
  <c r="Y51" i="19"/>
  <c r="Y52" i="19"/>
  <c r="Y53" i="19"/>
  <c r="Y54" i="19"/>
  <c r="Y55" i="19"/>
  <c r="Y56" i="19"/>
  <c r="Y57" i="19"/>
  <c r="Y58" i="19"/>
  <c r="Y59" i="19"/>
  <c r="Y60" i="19"/>
  <c r="Y61" i="19"/>
  <c r="Y62" i="19"/>
  <c r="Y63" i="19"/>
  <c r="Y64" i="19"/>
  <c r="Y65" i="19"/>
  <c r="Y66" i="19"/>
  <c r="Y67" i="19"/>
  <c r="Y68" i="19"/>
  <c r="Y69" i="19"/>
  <c r="Y70" i="19"/>
  <c r="Y71" i="19"/>
  <c r="Y72" i="19"/>
  <c r="Y73" i="19"/>
  <c r="Y74" i="19"/>
  <c r="Y75" i="19"/>
  <c r="Y76" i="19"/>
  <c r="Y77" i="19"/>
  <c r="Y78" i="19"/>
  <c r="Y79" i="19"/>
  <c r="Y80" i="19"/>
  <c r="Y81" i="19"/>
  <c r="Y82" i="19"/>
  <c r="Y83" i="19"/>
  <c r="Y84" i="19"/>
  <c r="Y85" i="19"/>
  <c r="Y86" i="19"/>
  <c r="Y87" i="19"/>
  <c r="Y88" i="19"/>
  <c r="Y89" i="19"/>
  <c r="Y90" i="19"/>
  <c r="Y91" i="19"/>
  <c r="Y92" i="19"/>
  <c r="Y93" i="19"/>
  <c r="Y94" i="19"/>
  <c r="Y95" i="19"/>
  <c r="Y96" i="19"/>
  <c r="Y97" i="19"/>
  <c r="Y98" i="19"/>
  <c r="Y99" i="19"/>
  <c r="Y100" i="19"/>
  <c r="Y101" i="19"/>
  <c r="Y102" i="19"/>
  <c r="Y103" i="19"/>
  <c r="Y104" i="19"/>
  <c r="Y105" i="19"/>
  <c r="Y106" i="19"/>
  <c r="Y107" i="19"/>
  <c r="Y108" i="19"/>
  <c r="Y109" i="19"/>
  <c r="Y110" i="19"/>
  <c r="Y111" i="19"/>
  <c r="Y112" i="19"/>
  <c r="Y113" i="19"/>
  <c r="Y114" i="19"/>
  <c r="Y115" i="19"/>
  <c r="Y116" i="19"/>
  <c r="Y117" i="19"/>
  <c r="Y118" i="19"/>
  <c r="Y119" i="19"/>
  <c r="Y120" i="19"/>
  <c r="Y121" i="19"/>
  <c r="Y122" i="19"/>
  <c r="Y123" i="19"/>
  <c r="Y124" i="19"/>
  <c r="Y125" i="19"/>
  <c r="Y126" i="19"/>
  <c r="Y127" i="19"/>
  <c r="Y128" i="19"/>
  <c r="Y129" i="19"/>
  <c r="Y130" i="19"/>
  <c r="Y131" i="19"/>
  <c r="Y132" i="19"/>
  <c r="Y133" i="19"/>
  <c r="Y134" i="19"/>
  <c r="Y135" i="19"/>
  <c r="Y136" i="19"/>
  <c r="Y137" i="19"/>
  <c r="Y138" i="19"/>
  <c r="Y139" i="19"/>
  <c r="Y140" i="19"/>
  <c r="Y141" i="19"/>
  <c r="Y142" i="19"/>
  <c r="Y143" i="19"/>
  <c r="Y144" i="19"/>
  <c r="Y145" i="19"/>
  <c r="Y146" i="19"/>
  <c r="Y147" i="19"/>
  <c r="Y148" i="19"/>
  <c r="Y149" i="19"/>
  <c r="Y150" i="19"/>
  <c r="Y151" i="19"/>
  <c r="Y152" i="19"/>
  <c r="Y153" i="19"/>
  <c r="Y154" i="19"/>
  <c r="Y155" i="19"/>
  <c r="Y156" i="19"/>
  <c r="Y157" i="19"/>
  <c r="Y158" i="19"/>
  <c r="Y159" i="19"/>
  <c r="Y160" i="19"/>
  <c r="Y161" i="19"/>
  <c r="Y162" i="19"/>
  <c r="Y163" i="19"/>
  <c r="Y164" i="19"/>
  <c r="Y165" i="19"/>
  <c r="Y166" i="19"/>
  <c r="Y167" i="19"/>
  <c r="Y168" i="19"/>
  <c r="Y169" i="19"/>
  <c r="Y170" i="19"/>
  <c r="Y171" i="19"/>
  <c r="Y172" i="19"/>
  <c r="Y173" i="19"/>
  <c r="Y174" i="19"/>
  <c r="Y175" i="19"/>
  <c r="Y176" i="19"/>
  <c r="Y177" i="19"/>
  <c r="Y178" i="19"/>
  <c r="Y179" i="19"/>
  <c r="Y180" i="19"/>
  <c r="Y181" i="19"/>
  <c r="Y182" i="19"/>
  <c r="Y183" i="19"/>
  <c r="Y184" i="19"/>
  <c r="Y185" i="19"/>
  <c r="Y186" i="19"/>
  <c r="Y187" i="19"/>
  <c r="Y188" i="19"/>
  <c r="Y189" i="19"/>
  <c r="Y190" i="19"/>
  <c r="Y191" i="19"/>
  <c r="Y192" i="19"/>
  <c r="Y193" i="19"/>
  <c r="Y194" i="19"/>
  <c r="Y195" i="19"/>
  <c r="Y196" i="19"/>
  <c r="Y197" i="19"/>
  <c r="Y198" i="19"/>
  <c r="Y199" i="19"/>
  <c r="Y200" i="19"/>
  <c r="Y201" i="19"/>
  <c r="Y202" i="19"/>
  <c r="Y203" i="19"/>
  <c r="Y204" i="19"/>
  <c r="Y205" i="19"/>
  <c r="Y206" i="19"/>
  <c r="Y207" i="19"/>
  <c r="Y208" i="19"/>
  <c r="Y209" i="19"/>
  <c r="Y210" i="19"/>
  <c r="Y211" i="19"/>
  <c r="Y212" i="19"/>
  <c r="Y213" i="19"/>
  <c r="Y214" i="19"/>
  <c r="Y215" i="19"/>
  <c r="Y216" i="19"/>
  <c r="Y217" i="19"/>
  <c r="Y218" i="19"/>
  <c r="Y219" i="19"/>
  <c r="Y220" i="19"/>
  <c r="Y221" i="19"/>
  <c r="Y222" i="19"/>
  <c r="Y223" i="19"/>
  <c r="Y224" i="19"/>
  <c r="Y225" i="19"/>
  <c r="Y226" i="19"/>
  <c r="Y227" i="19"/>
  <c r="Y228" i="19"/>
  <c r="Y229" i="19"/>
  <c r="Y230" i="19"/>
  <c r="Y231" i="19"/>
  <c r="Y232" i="19"/>
  <c r="Y233" i="19"/>
  <c r="Y234" i="19"/>
  <c r="Y235" i="19"/>
  <c r="Y236" i="19"/>
  <c r="Y237" i="19"/>
  <c r="Y238" i="19"/>
  <c r="Y239" i="19"/>
  <c r="Y240" i="19"/>
  <c r="Y241" i="19"/>
  <c r="Y242" i="19"/>
  <c r="Y243" i="19"/>
  <c r="Y244" i="19"/>
  <c r="Y245" i="19"/>
  <c r="Y246" i="19"/>
  <c r="Y247" i="19"/>
  <c r="Y248" i="19"/>
  <c r="Y249" i="19"/>
  <c r="Y250" i="19"/>
  <c r="Y251" i="19"/>
  <c r="Y252" i="19"/>
  <c r="Y253" i="19"/>
  <c r="Y254" i="19"/>
  <c r="Y255" i="19"/>
  <c r="Y256" i="19"/>
  <c r="Y257" i="19"/>
  <c r="Y258" i="19"/>
  <c r="Y259" i="19"/>
  <c r="Y260" i="19"/>
  <c r="Y261" i="19"/>
  <c r="Y262" i="19"/>
  <c r="Y263" i="19"/>
  <c r="Y264" i="19"/>
  <c r="Y265" i="19"/>
  <c r="Y266" i="19"/>
  <c r="Y267" i="19"/>
  <c r="Y268" i="19"/>
  <c r="Y269" i="19"/>
  <c r="Y270" i="19"/>
  <c r="Y271" i="19"/>
  <c r="Y272" i="19"/>
  <c r="Y273" i="19"/>
  <c r="Y274" i="19"/>
  <c r="Y275" i="19"/>
  <c r="Y276" i="19"/>
  <c r="Y277" i="19"/>
  <c r="Y278" i="19"/>
  <c r="Y279" i="19"/>
  <c r="Y280" i="19"/>
  <c r="Y281" i="19"/>
  <c r="Y282" i="19"/>
  <c r="Y283" i="19"/>
  <c r="Y284" i="19"/>
  <c r="Y285" i="19"/>
  <c r="Y286" i="19"/>
  <c r="Y287" i="19"/>
  <c r="Y288" i="19"/>
  <c r="Y289" i="19"/>
  <c r="Y290" i="19"/>
  <c r="Y291" i="19"/>
  <c r="Y292" i="19"/>
  <c r="Y293" i="19"/>
  <c r="Y294" i="19"/>
  <c r="Y295" i="19"/>
  <c r="Y296" i="19"/>
  <c r="Y297" i="19"/>
  <c r="Y298" i="19"/>
  <c r="Y299" i="19"/>
  <c r="Y300" i="19"/>
  <c r="Y301" i="19"/>
  <c r="Y302" i="19"/>
  <c r="Y303" i="19"/>
  <c r="Y304" i="19"/>
  <c r="Y305" i="19"/>
  <c r="Y306" i="19"/>
  <c r="Y307" i="19"/>
  <c r="Y308" i="19"/>
  <c r="Y309" i="19"/>
  <c r="Y310" i="19"/>
  <c r="Y311" i="19"/>
  <c r="Y312" i="19"/>
  <c r="Y313" i="19"/>
  <c r="Y314" i="19"/>
  <c r="Y315" i="19"/>
  <c r="Y316" i="19"/>
  <c r="Y317" i="19"/>
  <c r="Y318" i="19"/>
  <c r="Y319" i="19"/>
  <c r="Y320" i="19"/>
  <c r="Y321" i="19"/>
  <c r="Y322" i="19"/>
  <c r="Y323" i="19"/>
  <c r="Y324" i="19"/>
  <c r="Y325" i="19"/>
  <c r="Y326" i="19"/>
  <c r="Y327" i="19"/>
  <c r="Y328" i="19"/>
  <c r="Y329" i="19"/>
  <c r="Y330" i="19"/>
  <c r="Y331" i="19"/>
  <c r="Y332" i="19"/>
  <c r="Y333" i="19"/>
  <c r="Y334" i="19"/>
  <c r="Y335" i="19"/>
  <c r="Y336" i="19"/>
  <c r="Y337" i="19"/>
  <c r="Y338" i="19"/>
  <c r="Y339" i="19"/>
  <c r="Y340" i="19"/>
  <c r="Y341" i="19"/>
  <c r="Y342" i="19"/>
  <c r="Y343" i="19"/>
  <c r="Y344" i="19"/>
  <c r="Y345" i="19"/>
  <c r="Y346" i="19"/>
  <c r="Y347" i="19"/>
  <c r="Y348" i="19"/>
  <c r="Y349" i="19"/>
  <c r="Y350" i="19"/>
  <c r="Y351" i="19"/>
  <c r="Y352" i="19"/>
  <c r="Y353" i="19"/>
  <c r="Y354" i="19"/>
  <c r="Y355" i="19"/>
  <c r="Y356" i="19"/>
  <c r="Y357" i="19"/>
  <c r="Y358" i="19"/>
  <c r="Y359" i="19"/>
  <c r="Y360" i="19"/>
  <c r="Y361" i="19"/>
  <c r="Y362" i="19"/>
  <c r="Y363" i="19"/>
  <c r="Y364" i="19"/>
  <c r="Y365" i="19"/>
  <c r="Y366" i="19"/>
  <c r="Y367" i="19"/>
  <c r="Y368" i="19"/>
  <c r="Y369" i="19"/>
  <c r="Y370" i="19"/>
  <c r="Y371" i="19"/>
  <c r="Y372" i="19"/>
  <c r="Y373" i="19"/>
  <c r="Y374" i="19"/>
  <c r="Y375" i="19"/>
  <c r="Y376" i="19"/>
  <c r="Y377" i="19"/>
  <c r="Y378" i="19"/>
  <c r="Y379" i="19"/>
  <c r="Y380" i="19"/>
  <c r="Y381" i="19"/>
  <c r="Y382" i="19"/>
  <c r="Y383" i="19"/>
  <c r="Y384" i="19"/>
  <c r="Y385" i="19"/>
  <c r="Y386" i="19"/>
  <c r="Y387" i="19"/>
  <c r="Y388" i="19"/>
  <c r="Y389" i="19"/>
  <c r="Y390" i="19"/>
  <c r="Y391" i="19"/>
  <c r="Y392" i="19"/>
  <c r="Y393" i="19"/>
  <c r="Y394" i="19"/>
  <c r="Y395" i="19"/>
  <c r="Y396" i="19"/>
  <c r="Y397" i="19"/>
  <c r="Y398" i="19"/>
  <c r="Y399" i="19"/>
  <c r="Y400" i="19"/>
  <c r="Y401" i="19"/>
  <c r="Y402" i="19"/>
  <c r="Y403" i="19"/>
  <c r="Y404" i="19"/>
  <c r="Y405" i="19"/>
  <c r="Y406" i="19"/>
  <c r="Y407" i="19"/>
  <c r="Y408" i="19"/>
  <c r="Y409" i="19"/>
  <c r="Y410" i="19"/>
  <c r="Y411" i="19"/>
  <c r="Y412" i="19"/>
  <c r="Y413" i="19"/>
  <c r="Y414" i="19"/>
  <c r="Y415" i="19"/>
  <c r="Y416" i="19"/>
  <c r="Y417" i="19"/>
  <c r="Y418" i="19"/>
  <c r="Y419" i="19"/>
  <c r="Y420" i="19"/>
  <c r="Y421" i="19"/>
  <c r="Y422" i="19"/>
  <c r="Y423" i="19"/>
  <c r="Y424" i="19"/>
  <c r="Y425" i="19"/>
  <c r="Y426" i="19"/>
  <c r="Y427" i="19"/>
  <c r="Y428" i="19"/>
  <c r="Y429" i="19"/>
  <c r="Y430" i="19"/>
  <c r="Y431" i="19"/>
  <c r="Y432" i="19"/>
  <c r="Y433" i="19"/>
  <c r="Y434" i="19"/>
  <c r="Y435" i="19"/>
  <c r="Y436" i="19"/>
  <c r="Y437" i="19"/>
  <c r="Y438" i="19"/>
  <c r="Y439" i="19"/>
  <c r="Y440" i="19"/>
  <c r="Y441" i="19"/>
  <c r="Y442" i="19"/>
  <c r="Y443" i="19"/>
  <c r="Y444" i="19"/>
  <c r="Y445" i="19"/>
  <c r="Y446" i="19"/>
  <c r="Y447" i="19"/>
  <c r="Y448" i="19"/>
  <c r="Y449" i="19"/>
  <c r="Y450" i="19"/>
  <c r="Y451" i="19"/>
  <c r="Y452" i="19"/>
  <c r="Y453" i="19"/>
  <c r="Y454" i="19"/>
  <c r="Y455" i="19"/>
  <c r="Y456" i="19"/>
  <c r="Y457" i="19"/>
  <c r="Y458" i="19"/>
  <c r="Y459" i="19"/>
  <c r="Y460" i="19"/>
  <c r="Y461" i="19"/>
  <c r="Y462" i="19"/>
  <c r="Y463" i="19"/>
  <c r="Y464" i="19"/>
  <c r="Y465" i="19"/>
  <c r="Y466" i="19"/>
  <c r="Y467" i="19"/>
  <c r="Y468" i="19"/>
  <c r="Y469" i="19"/>
  <c r="Y470" i="19"/>
  <c r="Y471" i="19"/>
  <c r="Y472" i="19"/>
  <c r="Y473" i="19"/>
  <c r="Y474" i="19"/>
  <c r="Y475" i="19"/>
  <c r="Y476" i="19"/>
  <c r="Y477" i="19"/>
  <c r="Y478" i="19"/>
  <c r="Y479" i="19"/>
  <c r="Y480" i="19"/>
  <c r="Y481" i="19"/>
  <c r="Y482" i="19"/>
  <c r="Y483" i="19"/>
  <c r="Y484" i="19"/>
  <c r="Y485" i="19"/>
  <c r="Y486" i="19"/>
  <c r="Y487" i="19"/>
  <c r="Y488" i="19"/>
  <c r="Y489" i="19"/>
  <c r="Y490" i="19"/>
  <c r="Y491" i="19"/>
  <c r="Y492" i="19"/>
  <c r="Y493" i="19"/>
  <c r="Y494" i="19"/>
  <c r="Y495" i="19"/>
  <c r="Y496" i="19"/>
  <c r="Y497" i="19"/>
  <c r="Y498" i="19"/>
  <c r="Y499" i="19"/>
  <c r="Y500" i="19"/>
  <c r="Y501" i="19"/>
  <c r="Y502" i="19"/>
  <c r="Y503" i="19"/>
  <c r="Y504" i="19"/>
  <c r="Y505" i="19"/>
  <c r="Y506" i="19"/>
  <c r="Y507" i="19"/>
  <c r="Y508" i="19"/>
  <c r="Y509" i="19"/>
  <c r="Y510" i="19"/>
  <c r="Y511" i="19"/>
  <c r="Y512" i="19"/>
  <c r="Y513" i="19"/>
  <c r="Y514" i="19"/>
  <c r="Y515" i="19"/>
  <c r="Y516" i="19"/>
  <c r="Y517" i="19"/>
  <c r="Y518" i="19"/>
  <c r="Y519" i="19"/>
  <c r="Y520" i="19"/>
  <c r="Y521" i="19"/>
  <c r="Y522" i="19"/>
  <c r="Y523" i="19"/>
  <c r="Y524" i="19"/>
  <c r="Y525" i="19"/>
  <c r="Y526" i="19"/>
  <c r="Y527" i="19"/>
  <c r="Y528" i="19"/>
  <c r="Y529" i="19"/>
  <c r="Y530" i="19"/>
  <c r="Y531" i="19"/>
  <c r="Y532" i="19"/>
  <c r="Y533" i="19"/>
  <c r="Y534" i="19"/>
  <c r="Y535" i="19"/>
  <c r="Y536" i="19"/>
  <c r="Y537" i="19"/>
  <c r="Y538" i="19"/>
  <c r="Y539" i="19"/>
  <c r="Y540" i="19"/>
  <c r="Y541" i="19"/>
  <c r="Y542" i="19"/>
  <c r="Y543" i="19"/>
  <c r="Y544" i="19"/>
  <c r="Y545" i="19"/>
  <c r="Y546" i="19"/>
  <c r="Y547" i="19"/>
  <c r="Y548" i="19"/>
  <c r="Y549" i="19"/>
  <c r="Y550" i="19"/>
  <c r="Y551" i="19"/>
  <c r="Y552" i="19"/>
  <c r="Y553" i="19"/>
  <c r="Y554" i="19"/>
  <c r="Y555" i="19"/>
  <c r="Y556" i="19"/>
  <c r="Y557" i="19"/>
  <c r="Y558" i="19"/>
  <c r="Y559" i="19"/>
  <c r="Y560" i="19"/>
  <c r="Y561" i="19"/>
  <c r="Y562" i="19"/>
  <c r="Y563" i="19"/>
  <c r="Y564" i="19"/>
  <c r="Y565" i="19"/>
  <c r="Y566" i="19"/>
  <c r="Y567" i="19"/>
  <c r="Y568" i="19"/>
  <c r="Y569" i="19"/>
  <c r="Y570" i="19"/>
  <c r="Y571" i="19"/>
  <c r="Y572" i="19"/>
  <c r="Y573" i="19"/>
  <c r="Y574" i="19"/>
  <c r="Y575" i="19"/>
  <c r="Y576" i="19"/>
  <c r="Y577" i="19"/>
  <c r="Y578" i="19"/>
  <c r="Y579" i="19"/>
  <c r="Y580" i="19"/>
  <c r="Y581" i="19"/>
  <c r="Y582" i="19"/>
  <c r="Y583" i="19"/>
  <c r="Y584" i="19"/>
  <c r="Y585" i="19"/>
  <c r="Y586" i="19"/>
  <c r="Y587" i="19"/>
  <c r="Y588" i="19"/>
  <c r="Y589" i="19"/>
  <c r="Y590" i="19"/>
  <c r="Y591" i="19"/>
  <c r="Y592" i="19"/>
  <c r="Y593" i="19"/>
  <c r="Y594" i="19"/>
  <c r="Y595" i="19"/>
  <c r="Y596" i="19"/>
  <c r="Y597" i="19"/>
  <c r="Y598" i="19"/>
  <c r="Y599" i="19"/>
  <c r="Y600" i="19"/>
  <c r="Y601" i="19"/>
  <c r="Y602" i="19"/>
  <c r="Y603" i="19"/>
  <c r="Y604" i="19"/>
  <c r="Y605" i="19"/>
  <c r="Y606" i="19"/>
  <c r="Y607" i="19"/>
  <c r="Y608" i="19"/>
  <c r="Y609" i="19"/>
  <c r="Y610" i="19"/>
  <c r="Y611" i="19"/>
  <c r="Y612" i="19"/>
  <c r="Y613" i="19"/>
  <c r="Y614" i="19"/>
  <c r="Y615" i="19"/>
  <c r="Y616" i="19"/>
  <c r="Y617" i="19"/>
  <c r="Y618" i="19"/>
  <c r="Y619" i="19"/>
  <c r="Y620" i="19"/>
  <c r="Y621" i="19"/>
  <c r="Y622" i="19"/>
  <c r="Y623" i="19"/>
  <c r="Y624" i="19"/>
  <c r="Y625" i="19"/>
  <c r="Y626" i="19"/>
  <c r="Y627" i="19"/>
  <c r="Y628" i="19"/>
  <c r="Y629" i="19"/>
  <c r="Y630" i="19"/>
  <c r="Y631" i="19"/>
  <c r="Y632" i="19"/>
  <c r="Y633" i="19"/>
  <c r="Y634" i="19"/>
  <c r="Y635" i="19"/>
  <c r="Y636" i="19"/>
  <c r="Y637" i="19"/>
  <c r="Y638" i="19"/>
  <c r="Y639" i="19"/>
  <c r="Y640" i="19"/>
  <c r="Y641" i="19"/>
  <c r="Y642" i="19"/>
  <c r="Y643" i="19"/>
  <c r="Y644" i="19"/>
  <c r="Y645" i="19"/>
  <c r="Y646" i="19"/>
  <c r="Y647" i="19"/>
  <c r="Y648" i="19"/>
  <c r="Y649" i="19"/>
  <c r="Y650" i="19"/>
  <c r="Y651" i="19"/>
  <c r="Y652" i="19"/>
  <c r="Y653" i="19"/>
  <c r="Y654" i="19"/>
  <c r="Y655" i="19"/>
  <c r="Y656" i="19"/>
  <c r="Y657" i="19"/>
  <c r="Y658" i="19"/>
  <c r="Y659" i="19"/>
  <c r="Y660" i="19"/>
  <c r="Y661" i="19"/>
  <c r="Y662" i="19"/>
  <c r="Y663" i="19"/>
  <c r="Y664" i="19"/>
  <c r="Y665" i="19"/>
  <c r="Y666" i="19"/>
  <c r="Y667" i="19"/>
  <c r="Y668" i="19"/>
  <c r="Y669" i="19"/>
  <c r="Y670" i="19"/>
  <c r="Y671" i="19"/>
  <c r="Y672" i="19"/>
  <c r="Y673" i="19"/>
  <c r="Y674" i="19"/>
  <c r="Y675" i="19"/>
  <c r="Y676" i="19"/>
  <c r="Y677" i="19"/>
  <c r="Y678" i="19"/>
  <c r="Y679" i="19"/>
  <c r="Y680" i="19"/>
  <c r="Y681" i="19"/>
  <c r="Y682" i="19"/>
  <c r="Y683" i="19"/>
  <c r="Y684" i="19"/>
  <c r="Y685" i="19"/>
  <c r="Y686" i="19"/>
  <c r="Y687" i="19"/>
  <c r="Y688" i="19"/>
  <c r="Y689" i="19"/>
  <c r="Y690" i="19"/>
  <c r="Y691" i="19"/>
  <c r="Y692" i="19"/>
  <c r="Y693" i="19"/>
  <c r="Y694" i="19"/>
  <c r="Y695" i="19"/>
  <c r="Y696" i="19"/>
  <c r="Y697" i="19"/>
  <c r="Y698" i="19"/>
  <c r="Y699" i="19"/>
  <c r="Y700" i="19"/>
  <c r="Y701" i="19"/>
  <c r="Y702" i="19"/>
  <c r="Y703" i="19"/>
  <c r="Y704" i="19"/>
  <c r="Y705" i="19"/>
  <c r="Y706" i="19"/>
  <c r="Y707" i="19"/>
  <c r="Y708" i="19"/>
  <c r="Y709" i="19"/>
  <c r="Y710" i="19"/>
  <c r="Y711" i="19"/>
  <c r="Y712" i="19"/>
  <c r="Y713" i="19"/>
  <c r="Y714" i="19"/>
  <c r="Y715" i="19"/>
  <c r="Y716" i="19"/>
  <c r="Y717" i="19"/>
  <c r="Y718" i="19"/>
  <c r="Y719" i="19"/>
  <c r="Y720" i="19"/>
  <c r="Y721" i="19"/>
  <c r="Y722" i="19"/>
  <c r="Y723" i="19"/>
  <c r="Y724" i="19"/>
  <c r="Y725" i="19"/>
  <c r="Y726" i="19"/>
  <c r="Y727" i="19"/>
  <c r="Y728" i="19"/>
  <c r="Y729" i="19"/>
  <c r="Y730" i="19"/>
  <c r="Y731" i="19"/>
  <c r="Y732" i="19"/>
  <c r="Y733" i="19"/>
  <c r="Y734" i="19"/>
  <c r="Y735" i="19"/>
  <c r="Y736" i="19"/>
  <c r="Y737" i="19"/>
  <c r="Y738" i="19"/>
  <c r="Y739" i="19"/>
  <c r="Y740" i="19"/>
  <c r="Y741" i="19"/>
  <c r="Y742" i="19"/>
  <c r="Y743" i="19"/>
  <c r="Y744" i="19"/>
  <c r="Y745" i="19"/>
  <c r="Y746" i="19"/>
  <c r="Y747" i="19"/>
  <c r="Y748" i="19"/>
  <c r="Y749" i="19"/>
  <c r="Y750" i="19"/>
  <c r="Y751" i="19"/>
  <c r="Y752" i="19"/>
  <c r="Y753" i="19"/>
  <c r="Y754" i="19"/>
  <c r="Y755" i="19"/>
  <c r="Y756" i="19"/>
  <c r="Y757" i="19"/>
  <c r="Y758" i="19"/>
  <c r="Y759" i="19"/>
  <c r="Y760" i="19"/>
  <c r="Y761" i="19"/>
  <c r="Y762" i="19"/>
  <c r="Y763" i="19"/>
  <c r="Y764" i="19"/>
  <c r="Y765" i="19"/>
  <c r="Y766" i="19"/>
  <c r="Y767" i="19"/>
  <c r="Y768" i="19"/>
  <c r="Y769" i="19"/>
  <c r="Y770" i="19"/>
  <c r="Y771" i="19"/>
  <c r="Y772" i="19"/>
  <c r="Y773" i="19"/>
  <c r="Y774" i="19"/>
  <c r="Y775" i="19"/>
  <c r="Y776" i="19"/>
  <c r="Y777" i="19"/>
  <c r="Y778" i="19"/>
  <c r="Y779" i="19"/>
  <c r="Y780" i="19"/>
  <c r="Y781" i="19"/>
  <c r="Y782" i="19"/>
  <c r="Y783" i="19"/>
  <c r="Y784" i="19"/>
  <c r="Y785" i="19"/>
  <c r="Y786" i="19"/>
  <c r="Y787" i="19"/>
  <c r="Y788" i="19"/>
  <c r="Y789" i="19"/>
  <c r="Y790" i="19"/>
  <c r="Y791" i="19"/>
  <c r="Y792" i="19"/>
  <c r="Y793" i="19"/>
  <c r="Y794" i="19"/>
  <c r="Y795" i="19"/>
  <c r="Y796" i="19"/>
  <c r="Y797" i="19"/>
  <c r="Y798" i="19"/>
  <c r="Y799" i="19"/>
  <c r="Y800" i="19"/>
  <c r="Y801" i="19"/>
  <c r="Y802" i="19"/>
  <c r="Y803" i="19"/>
  <c r="Y804" i="19"/>
  <c r="Y805" i="19"/>
  <c r="Y806" i="19"/>
  <c r="Y807" i="19"/>
  <c r="Y808" i="19"/>
  <c r="Y809" i="19"/>
  <c r="Y810" i="19"/>
  <c r="Y811" i="19"/>
  <c r="Y812" i="19"/>
  <c r="Y813" i="19"/>
  <c r="Y814" i="19"/>
  <c r="Y815" i="19"/>
  <c r="Y816" i="19"/>
  <c r="Y817" i="19"/>
  <c r="Y818" i="19"/>
  <c r="Y819" i="19"/>
  <c r="Y820" i="19"/>
  <c r="Y821" i="19"/>
  <c r="Y822" i="19"/>
  <c r="Y823" i="19"/>
  <c r="Y824" i="19"/>
  <c r="Y825" i="19"/>
  <c r="Y826" i="19"/>
  <c r="Y827" i="19"/>
  <c r="Y828" i="19"/>
  <c r="Y829" i="19"/>
  <c r="Y830" i="19"/>
  <c r="Y831" i="19"/>
  <c r="Y832" i="19"/>
  <c r="Y833" i="19"/>
  <c r="Y834" i="19"/>
  <c r="Y835" i="19"/>
  <c r="Y836" i="19"/>
  <c r="Y837" i="19"/>
  <c r="Y838" i="19"/>
  <c r="Y839" i="19"/>
  <c r="Y840" i="19"/>
  <c r="Y841" i="19"/>
  <c r="Y842" i="19"/>
  <c r="Y843" i="19"/>
  <c r="Y844" i="19"/>
  <c r="Y845" i="19"/>
  <c r="Y846" i="19"/>
  <c r="Y847" i="19"/>
  <c r="Y848" i="19"/>
  <c r="Y849" i="19"/>
  <c r="Y850" i="19"/>
  <c r="Y851" i="19"/>
  <c r="Y852" i="19"/>
  <c r="Y853" i="19"/>
  <c r="Y854" i="19"/>
  <c r="Y855" i="19"/>
  <c r="Y856" i="19"/>
  <c r="Y857" i="19"/>
  <c r="Y858" i="19"/>
  <c r="Y859" i="19"/>
  <c r="Y860" i="19"/>
  <c r="Y861" i="19"/>
  <c r="Y862" i="19"/>
  <c r="Y863" i="19"/>
  <c r="Y864" i="19"/>
  <c r="Y865" i="19"/>
  <c r="Y866" i="19"/>
  <c r="Y867" i="19"/>
  <c r="Y868" i="19"/>
  <c r="Y869" i="19"/>
  <c r="Y870" i="19"/>
  <c r="Y871" i="19"/>
  <c r="Y872" i="19"/>
  <c r="Y873" i="19"/>
  <c r="Y874" i="19"/>
  <c r="Y875" i="19"/>
  <c r="Y876" i="19"/>
  <c r="Y877" i="19"/>
  <c r="Y878" i="19"/>
  <c r="Y879" i="19"/>
  <c r="Y880" i="19"/>
  <c r="Y881" i="19"/>
  <c r="Y882" i="19"/>
  <c r="Y883" i="19"/>
  <c r="Y884" i="19"/>
  <c r="Y885" i="19"/>
  <c r="Y886" i="19"/>
  <c r="Y887" i="19"/>
  <c r="Y888" i="19"/>
  <c r="Y889" i="19"/>
  <c r="Y890" i="19"/>
  <c r="Y891" i="19"/>
  <c r="Y892" i="19"/>
  <c r="Y893" i="19"/>
  <c r="Y894" i="19"/>
  <c r="Y895" i="19"/>
  <c r="Y896" i="19"/>
  <c r="Y897" i="19"/>
  <c r="Y898" i="19"/>
  <c r="Y899" i="19"/>
  <c r="Y900" i="19"/>
  <c r="Y901" i="19"/>
  <c r="Y902" i="19"/>
  <c r="Y903" i="19"/>
  <c r="Y904" i="19"/>
  <c r="Y905" i="19"/>
  <c r="Y906" i="19"/>
  <c r="Y907" i="19"/>
  <c r="Y908" i="19"/>
  <c r="Y909" i="19"/>
  <c r="Y910" i="19"/>
  <c r="Y911" i="19"/>
  <c r="Y912" i="19"/>
  <c r="Y913" i="19"/>
  <c r="Y914" i="19"/>
  <c r="Y915" i="19"/>
  <c r="Y916" i="19"/>
  <c r="Y917" i="19"/>
  <c r="Y918" i="19"/>
  <c r="Y919" i="19"/>
  <c r="Y920" i="19"/>
  <c r="Y921" i="19"/>
  <c r="Y922" i="19"/>
  <c r="Y923" i="19"/>
  <c r="Y924" i="19"/>
  <c r="Y925" i="19"/>
  <c r="Y926" i="19"/>
  <c r="Y927" i="19"/>
  <c r="Y928" i="19"/>
  <c r="Y929" i="19"/>
  <c r="Y930" i="19"/>
  <c r="Y931" i="19"/>
  <c r="Y932" i="19"/>
  <c r="Y933" i="19"/>
  <c r="Y934" i="19"/>
  <c r="Y935" i="19"/>
  <c r="Y936" i="19"/>
  <c r="Y937" i="19"/>
  <c r="Y938" i="19"/>
  <c r="Y939" i="19"/>
  <c r="Y940" i="19"/>
  <c r="Y941" i="19"/>
  <c r="Y942" i="19"/>
  <c r="Y943" i="19"/>
  <c r="Y944" i="19"/>
  <c r="Y945" i="19"/>
  <c r="Y946" i="19"/>
  <c r="Y947" i="19"/>
  <c r="Y948" i="19"/>
  <c r="Y949" i="19"/>
  <c r="Y950" i="19"/>
  <c r="Y951" i="19"/>
  <c r="Y952" i="19"/>
  <c r="Y953" i="19"/>
  <c r="Y954" i="19"/>
  <c r="Y955" i="19"/>
  <c r="Y956" i="19"/>
  <c r="Y957" i="19"/>
  <c r="Y958" i="19"/>
  <c r="Y959" i="19"/>
  <c r="Y960" i="19"/>
  <c r="Y961" i="19"/>
  <c r="Y962" i="19"/>
  <c r="Y963" i="19"/>
  <c r="Y964" i="19"/>
  <c r="Y965" i="19"/>
  <c r="Y966" i="19"/>
  <c r="Y967" i="19"/>
  <c r="Y968" i="19"/>
  <c r="Y969" i="19"/>
  <c r="Y970" i="19"/>
  <c r="Y971" i="19"/>
  <c r="Y972" i="19"/>
  <c r="Y973" i="19"/>
  <c r="Y974" i="19"/>
  <c r="Y975" i="19"/>
  <c r="Y976" i="19"/>
  <c r="Y977" i="19"/>
  <c r="Y978" i="19"/>
  <c r="Y979" i="19"/>
  <c r="Y980" i="19"/>
  <c r="Y981" i="19"/>
  <c r="Y982" i="19"/>
  <c r="Y983" i="19"/>
  <c r="Y984" i="19"/>
  <c r="Y985" i="19"/>
  <c r="Y986" i="19"/>
  <c r="Y987" i="19"/>
  <c r="Y988" i="19"/>
  <c r="Y989" i="19"/>
  <c r="Y990" i="19"/>
  <c r="Y991" i="19"/>
  <c r="Y992" i="19"/>
  <c r="Y993" i="19"/>
  <c r="Y994" i="19"/>
  <c r="Y995" i="19"/>
  <c r="Y996" i="19"/>
  <c r="Y997" i="19"/>
  <c r="Y998" i="19"/>
  <c r="Y999" i="19"/>
  <c r="Y1000" i="19"/>
  <c r="Y1001" i="19"/>
  <c r="Y1002" i="19"/>
  <c r="Y1003" i="19"/>
  <c r="Y1004" i="19"/>
  <c r="Y1005" i="19"/>
  <c r="Y1006" i="19"/>
  <c r="Y1007" i="19"/>
  <c r="Y1008" i="19"/>
  <c r="Y1009" i="19"/>
  <c r="Y1010" i="19"/>
  <c r="Y1011" i="19"/>
  <c r="Y1012" i="19"/>
  <c r="Y1013" i="19"/>
  <c r="Y1014" i="19"/>
  <c r="Y1015" i="19"/>
  <c r="Y1016" i="19"/>
  <c r="Y1017" i="19"/>
  <c r="Y1018" i="19"/>
  <c r="Y1019" i="19"/>
  <c r="Y1020" i="19"/>
  <c r="Y1021" i="19"/>
  <c r="Y1022" i="19"/>
  <c r="Y1023" i="19"/>
  <c r="Y1024" i="19"/>
  <c r="Y1025" i="19"/>
  <c r="Y1026" i="19"/>
  <c r="Y1027" i="19"/>
  <c r="Y1028" i="19"/>
  <c r="Y1029" i="19"/>
  <c r="Y1030" i="19"/>
  <c r="Y1031" i="19"/>
  <c r="Y1032" i="19"/>
  <c r="Y1033" i="19"/>
  <c r="Y1034" i="19"/>
  <c r="Y1035" i="19"/>
  <c r="Y1036" i="19"/>
  <c r="Y1037" i="19"/>
  <c r="Y1038" i="19"/>
  <c r="Y1039" i="19"/>
  <c r="Y1040" i="19"/>
  <c r="Y1041" i="19"/>
  <c r="Y1042" i="19"/>
  <c r="Y1043" i="19"/>
  <c r="Y1044" i="19"/>
  <c r="Y1045" i="19"/>
  <c r="Y1046" i="19"/>
  <c r="Y1047" i="19"/>
  <c r="Y1048" i="19"/>
  <c r="Y1049" i="19"/>
  <c r="Y1050" i="19"/>
  <c r="Y1051" i="19"/>
  <c r="Y1052" i="19"/>
  <c r="Y1053" i="19"/>
  <c r="Y1054" i="19"/>
  <c r="Y1055" i="19"/>
  <c r="Y1056" i="19"/>
  <c r="Y1057" i="19"/>
  <c r="Y1058" i="19"/>
  <c r="Y1059" i="19"/>
  <c r="Y1060" i="19"/>
  <c r="Y1061" i="19"/>
  <c r="Y1062" i="19"/>
  <c r="Y1063" i="19"/>
  <c r="Y1064" i="19"/>
  <c r="Y1065" i="19"/>
  <c r="Y1066" i="19"/>
  <c r="Y1067" i="19"/>
  <c r="Y1068" i="19"/>
  <c r="Y1069" i="19"/>
  <c r="Y1070" i="19"/>
  <c r="Y1071" i="19"/>
  <c r="Y1072" i="19"/>
  <c r="Y1073" i="19"/>
  <c r="Y1074" i="19"/>
  <c r="Y1075" i="19"/>
  <c r="Y1076" i="19"/>
  <c r="Y1077" i="19"/>
  <c r="Y1078" i="19"/>
  <c r="Y1079" i="19"/>
  <c r="Y1080" i="19"/>
  <c r="Y1081" i="19"/>
  <c r="Y1082" i="19"/>
  <c r="Y1083" i="19"/>
  <c r="Y1084" i="19"/>
  <c r="Y1085" i="19"/>
  <c r="Y1086" i="19"/>
  <c r="Y1087" i="19"/>
  <c r="Y1088" i="19"/>
  <c r="Y1089" i="19"/>
  <c r="Y1090" i="19"/>
  <c r="Y1091" i="19"/>
  <c r="Y1092" i="19"/>
  <c r="Y1093" i="19"/>
  <c r="Y1094" i="19"/>
  <c r="Y1095" i="19"/>
  <c r="Y1096" i="19"/>
  <c r="Y1097" i="19"/>
  <c r="Y1098" i="19"/>
  <c r="Y1099" i="19"/>
  <c r="Y1100" i="19"/>
  <c r="Y1101" i="19"/>
  <c r="Y1102" i="19"/>
  <c r="Y1103" i="19"/>
  <c r="Y1104" i="19"/>
  <c r="Y1105" i="19"/>
  <c r="Y1106" i="19"/>
  <c r="Y1107" i="19"/>
  <c r="Y1108" i="19"/>
  <c r="Y1109" i="19"/>
  <c r="Y1110" i="19"/>
  <c r="Y1111" i="19"/>
  <c r="Y1112" i="19"/>
  <c r="Y1113" i="19"/>
  <c r="Y1114" i="19"/>
  <c r="Y1115" i="19"/>
  <c r="Y1116" i="19"/>
  <c r="Y1117" i="19"/>
  <c r="Y1118" i="19"/>
  <c r="Y1119" i="19"/>
  <c r="Y1120" i="19"/>
  <c r="Y1121" i="19"/>
  <c r="Y1122" i="19"/>
  <c r="Y1123" i="19"/>
  <c r="Y1124" i="19"/>
  <c r="Y1125" i="19"/>
  <c r="Y1126" i="19"/>
  <c r="Y1127" i="19"/>
  <c r="Y1128" i="19"/>
  <c r="Y1129" i="19"/>
  <c r="Y1130" i="19"/>
  <c r="Y1131" i="19"/>
  <c r="Y1132" i="19"/>
  <c r="Y1133" i="19"/>
  <c r="Y1134" i="19"/>
  <c r="Y1135" i="19"/>
  <c r="Y1136" i="19"/>
  <c r="Y1137" i="19"/>
  <c r="Y1138" i="19"/>
  <c r="Y1139" i="19"/>
  <c r="Y1140" i="19"/>
  <c r="Y1141" i="19"/>
  <c r="Y1142" i="19"/>
  <c r="Y1143" i="19"/>
  <c r="Y1144" i="19"/>
  <c r="Y1145" i="19"/>
  <c r="Y1146" i="19"/>
  <c r="Y1147" i="19"/>
  <c r="Y1148" i="19"/>
  <c r="Y1149" i="19"/>
  <c r="Y1150" i="19"/>
  <c r="Y1151" i="19"/>
  <c r="Y1152" i="19"/>
  <c r="Y1153" i="19"/>
  <c r="Y1154" i="19"/>
  <c r="Y1155" i="19"/>
  <c r="Y1156" i="19"/>
  <c r="Y1157" i="19"/>
  <c r="Y1158" i="19"/>
  <c r="Y1159" i="19"/>
  <c r="Y1160" i="19"/>
  <c r="Y1161" i="19"/>
  <c r="Y1162" i="19"/>
  <c r="Y1163" i="19"/>
  <c r="Y1164" i="19"/>
  <c r="Y1165" i="19"/>
  <c r="Y1166" i="19"/>
  <c r="Y1167" i="19"/>
  <c r="Y1168" i="19"/>
  <c r="Y1169" i="19"/>
  <c r="Y1170" i="19"/>
  <c r="Y1171" i="19"/>
  <c r="Y1172" i="19"/>
  <c r="Y1173" i="19"/>
  <c r="Y1174" i="19"/>
  <c r="Y1175" i="19"/>
  <c r="Y1176" i="19"/>
  <c r="Y1177" i="19"/>
  <c r="Y1178" i="19"/>
  <c r="Y1179" i="19"/>
  <c r="Y1180" i="19"/>
  <c r="Y1181" i="19"/>
  <c r="Y1182" i="19"/>
  <c r="Y1183" i="19"/>
  <c r="Y1184" i="19"/>
  <c r="Y1185" i="19"/>
  <c r="Y1186" i="19"/>
  <c r="Y1187" i="19"/>
  <c r="Y1188" i="19"/>
  <c r="Y1189" i="19"/>
  <c r="Y1190" i="19"/>
  <c r="Y1191" i="19"/>
  <c r="Y1192" i="19"/>
  <c r="Y1193" i="19"/>
  <c r="Y1194" i="19"/>
  <c r="Y1195" i="19"/>
  <c r="Y1196" i="19"/>
  <c r="Y1197" i="19"/>
  <c r="Y1198" i="19"/>
  <c r="Y1199" i="19"/>
  <c r="Y1200" i="19"/>
  <c r="Y1201" i="19"/>
  <c r="Y1202" i="19"/>
  <c r="Y1203" i="19"/>
  <c r="Y1204" i="19"/>
  <c r="Y1205" i="19"/>
  <c r="Y1206" i="19"/>
  <c r="Y1207" i="19"/>
  <c r="Y1208" i="19"/>
  <c r="Y1209" i="19"/>
  <c r="Y1210" i="19"/>
  <c r="Y1211" i="19"/>
  <c r="Y1212" i="19"/>
  <c r="Y1213" i="19"/>
  <c r="Y1214" i="19"/>
  <c r="Y1215" i="19"/>
  <c r="Y1216" i="19"/>
  <c r="Y1217" i="19"/>
  <c r="Y1218" i="19"/>
  <c r="Y1219" i="19"/>
  <c r="Y1220" i="19"/>
  <c r="Y1221" i="19"/>
  <c r="Y1222" i="19"/>
  <c r="Y1223" i="19"/>
  <c r="Y1224" i="19"/>
  <c r="Y1225" i="19"/>
  <c r="Y1226" i="19"/>
  <c r="Y1227" i="19"/>
  <c r="Y1228" i="19"/>
  <c r="Y1229" i="19"/>
  <c r="Y1230" i="19"/>
  <c r="Y1231" i="19"/>
  <c r="Y1232" i="19"/>
  <c r="Y1233" i="19"/>
  <c r="Y1234" i="19"/>
  <c r="Y1235" i="19"/>
  <c r="Y1236" i="19"/>
  <c r="Y1237" i="19"/>
  <c r="Y1238" i="19"/>
  <c r="Y1239" i="19"/>
  <c r="Y1240" i="19"/>
  <c r="Y1241" i="19"/>
  <c r="Y1242" i="19"/>
  <c r="Y1243" i="19"/>
  <c r="Y1244" i="19"/>
  <c r="Y1245" i="19"/>
  <c r="Y1246" i="19"/>
  <c r="Y1247" i="19"/>
  <c r="Y1248" i="19"/>
  <c r="Y1249" i="19"/>
  <c r="Y1250" i="19"/>
  <c r="Y1251" i="19"/>
  <c r="Y1252" i="19"/>
  <c r="Y1253" i="19"/>
  <c r="Y1254" i="19"/>
  <c r="Y1255" i="19"/>
  <c r="Y1256" i="19"/>
  <c r="Y1257" i="19"/>
  <c r="Y1258" i="19"/>
  <c r="Y1259" i="19"/>
  <c r="Y1260" i="19"/>
  <c r="Y1261" i="19"/>
  <c r="Y1262" i="19"/>
  <c r="Y1263" i="19"/>
  <c r="Y1264" i="19"/>
  <c r="Y1265" i="19"/>
  <c r="Y1266" i="19"/>
  <c r="Y1267" i="19"/>
  <c r="Y1268" i="19"/>
  <c r="Y1269" i="19"/>
  <c r="Y1270" i="19"/>
  <c r="Y1271" i="19"/>
  <c r="Y1272" i="19"/>
  <c r="Y1273" i="19"/>
  <c r="Y1274" i="19"/>
  <c r="Y1275" i="19"/>
  <c r="Y1276" i="19"/>
  <c r="Y1277" i="19"/>
  <c r="Y1278" i="19"/>
  <c r="Y1279" i="19"/>
  <c r="Y1280" i="19"/>
  <c r="Y1281" i="19"/>
  <c r="Y1282" i="19"/>
  <c r="Y1283" i="19"/>
  <c r="Y1284" i="19"/>
  <c r="Y1285" i="19"/>
  <c r="Y1286" i="19"/>
  <c r="Y1287" i="19"/>
  <c r="Y1288" i="19"/>
  <c r="Y1289" i="19"/>
  <c r="Y1290" i="19"/>
  <c r="Y1291" i="19"/>
  <c r="Y1292" i="19"/>
  <c r="Y1293" i="19"/>
  <c r="Y1294" i="19"/>
  <c r="Y1295" i="19"/>
  <c r="Y1296" i="19"/>
  <c r="Y1297" i="19"/>
  <c r="Y1298" i="19"/>
  <c r="Y1299" i="19"/>
  <c r="Y1300" i="19"/>
  <c r="Y1301" i="19"/>
  <c r="Y1302" i="19"/>
  <c r="Y1303" i="19"/>
  <c r="Y1304" i="19"/>
  <c r="Y1305" i="19"/>
  <c r="Y1306" i="19"/>
  <c r="Y1307" i="19"/>
  <c r="Y1308" i="19"/>
  <c r="Y1309" i="19"/>
  <c r="Y1310" i="19"/>
  <c r="Y1311" i="19"/>
  <c r="Y1312" i="19"/>
  <c r="Y1313" i="19"/>
  <c r="Y1314" i="19"/>
  <c r="Y1315" i="19"/>
  <c r="Y1316" i="19"/>
  <c r="Y1317" i="19"/>
  <c r="Y1318" i="19"/>
  <c r="Y1319" i="19"/>
  <c r="Y1320" i="19"/>
  <c r="Y1321" i="19"/>
  <c r="Y1322" i="19"/>
  <c r="Y1323" i="19"/>
  <c r="Y1324" i="19"/>
  <c r="Y1325" i="19"/>
  <c r="Y1326" i="19"/>
  <c r="Y1327" i="19"/>
  <c r="Y1328" i="19"/>
  <c r="Y1329" i="19"/>
  <c r="Y1330" i="19"/>
  <c r="Y1331" i="19"/>
  <c r="Y1332" i="19"/>
  <c r="Y1333" i="19"/>
  <c r="Y1334" i="19"/>
  <c r="Y1335" i="19"/>
  <c r="Y1336" i="19"/>
  <c r="Y1337" i="19"/>
  <c r="Y1338" i="19"/>
  <c r="Y1339" i="19"/>
  <c r="Y1340" i="19"/>
  <c r="Y1341" i="19"/>
  <c r="Y1342" i="19"/>
  <c r="Y1343" i="19"/>
  <c r="Y1344" i="19"/>
  <c r="Y1345" i="19"/>
  <c r="Y1346" i="19"/>
  <c r="Y1347" i="19"/>
  <c r="Y1348" i="19"/>
  <c r="Y1349" i="19"/>
  <c r="Y1350" i="19"/>
  <c r="Y1351" i="19"/>
  <c r="Y1352" i="19"/>
  <c r="Y1353" i="19"/>
  <c r="Y1354" i="19"/>
  <c r="Y1355" i="19"/>
  <c r="Y1356" i="19"/>
  <c r="Y1357" i="19"/>
  <c r="Y1358" i="19"/>
  <c r="Y1359" i="19"/>
  <c r="Y1360" i="19"/>
  <c r="Y1361" i="19"/>
  <c r="Y1362" i="19"/>
  <c r="Y1363" i="19"/>
  <c r="Y1364" i="19"/>
  <c r="Y1365" i="19"/>
  <c r="Y1366" i="19"/>
  <c r="Y1367" i="19"/>
  <c r="Y1368" i="19"/>
  <c r="Y1369" i="19"/>
  <c r="Y1370" i="19"/>
  <c r="Y1371" i="19"/>
  <c r="Y1372" i="19"/>
  <c r="Y1373" i="19"/>
  <c r="Y1374" i="19"/>
  <c r="Y1375" i="19"/>
  <c r="Y1376" i="19"/>
  <c r="Y1377" i="19"/>
  <c r="Y1378" i="19"/>
  <c r="Y1379" i="19"/>
  <c r="Y1380" i="19"/>
  <c r="Y1381" i="19"/>
  <c r="Y1382" i="19"/>
  <c r="Y1383" i="19"/>
  <c r="Y1384" i="19"/>
  <c r="Y1385" i="19"/>
  <c r="Y1386" i="19"/>
  <c r="Y1387" i="19"/>
  <c r="Y1388" i="19"/>
  <c r="Y1389" i="19"/>
  <c r="Y1390" i="19"/>
  <c r="Y1391" i="19"/>
  <c r="Y1392" i="19"/>
  <c r="Y1393" i="19"/>
  <c r="Y1394" i="19"/>
  <c r="Y1395" i="19"/>
  <c r="Y1396" i="19"/>
  <c r="Y1397" i="19"/>
  <c r="Y1398" i="19"/>
  <c r="Y1399" i="19"/>
  <c r="Y1400" i="19"/>
  <c r="Y1401" i="19"/>
  <c r="Y1402" i="19"/>
  <c r="Y1403" i="19"/>
  <c r="Y1404" i="19"/>
  <c r="Y1405" i="19"/>
  <c r="Y1406" i="19"/>
  <c r="Y1407" i="19"/>
  <c r="Y1408" i="19"/>
  <c r="Y1409" i="19"/>
  <c r="Y1410" i="19"/>
  <c r="Y1411" i="19"/>
  <c r="Y1412" i="19"/>
  <c r="Y1413" i="19"/>
  <c r="Y1414" i="19"/>
  <c r="Y1415" i="19"/>
  <c r="Y1416" i="19"/>
  <c r="Y1417" i="19"/>
  <c r="Y1418" i="19"/>
  <c r="Y1419" i="19"/>
  <c r="Y1420" i="19"/>
  <c r="Y1421" i="19"/>
  <c r="Y1422" i="19"/>
  <c r="Y1423" i="19"/>
  <c r="Y1424" i="19"/>
  <c r="Y1425" i="19"/>
  <c r="Y1426" i="19"/>
  <c r="Y1427" i="19"/>
  <c r="Y1428" i="19"/>
  <c r="Y1429" i="19"/>
  <c r="Y1430" i="19"/>
  <c r="Y1431" i="19"/>
  <c r="Y1432" i="19"/>
  <c r="Y1433" i="19"/>
  <c r="Y1434" i="19"/>
  <c r="Y1435" i="19"/>
  <c r="Y1436" i="19"/>
  <c r="Y1437" i="19"/>
  <c r="Y1438" i="19"/>
  <c r="Y1439" i="19"/>
  <c r="Y1440" i="19"/>
  <c r="Y1441" i="19"/>
  <c r="Y1442" i="19"/>
  <c r="Y1443" i="19"/>
  <c r="Y1444" i="19"/>
  <c r="Y1445" i="19"/>
  <c r="Y1446" i="19"/>
  <c r="Y1447" i="19"/>
  <c r="Y1448" i="19"/>
  <c r="Y1449" i="19"/>
  <c r="Y1450" i="19"/>
  <c r="Y1451" i="19"/>
  <c r="Y1452" i="19"/>
  <c r="Y1453" i="19"/>
  <c r="Y1454" i="19"/>
  <c r="Y1455" i="19"/>
  <c r="Y1456" i="19"/>
  <c r="Y1457" i="19"/>
  <c r="Y1458" i="19"/>
  <c r="Y1459" i="19"/>
  <c r="Y1460" i="19"/>
  <c r="Y1461" i="19"/>
  <c r="Y1462" i="19"/>
  <c r="Y1463" i="19"/>
  <c r="Y1464" i="19"/>
  <c r="Y1465" i="19"/>
  <c r="Y1466" i="19"/>
  <c r="Y1467" i="19"/>
  <c r="Y1468" i="19"/>
  <c r="Y1469" i="19"/>
  <c r="Y1470" i="19"/>
  <c r="Y1471" i="19"/>
  <c r="Y1472" i="19"/>
  <c r="Y1473" i="19"/>
  <c r="Y1474" i="19"/>
  <c r="Y1475" i="19"/>
  <c r="Y1476" i="19"/>
  <c r="Y1477" i="19"/>
  <c r="Y1478" i="19"/>
  <c r="Y1479" i="19"/>
  <c r="Y1480" i="19"/>
  <c r="Y1481" i="19"/>
  <c r="Y1482" i="19"/>
  <c r="Y1483" i="19"/>
  <c r="Y1484" i="19"/>
  <c r="Y1485" i="19"/>
  <c r="Y1486" i="19"/>
  <c r="Y1487" i="19"/>
  <c r="Y1488" i="19"/>
  <c r="Y1489" i="19"/>
  <c r="Y1490" i="19"/>
  <c r="Y1491" i="19"/>
  <c r="Y1492" i="19"/>
  <c r="Y1493" i="19"/>
  <c r="Y1494" i="19"/>
  <c r="Y1495" i="19"/>
  <c r="Y1496" i="19"/>
  <c r="Y1497" i="19"/>
  <c r="Y1498" i="19"/>
  <c r="Y1499" i="19"/>
  <c r="Y1500" i="19"/>
  <c r="Y1501" i="19"/>
  <c r="Y1502" i="19"/>
  <c r="Y1503" i="19"/>
  <c r="Y1504" i="19"/>
  <c r="Y1505" i="19"/>
  <c r="Y1506" i="19"/>
  <c r="Y1507" i="19"/>
  <c r="Y1508" i="19"/>
  <c r="Y1509" i="19"/>
  <c r="Y1510" i="19"/>
  <c r="Y1511" i="19"/>
  <c r="Y1512" i="19"/>
  <c r="Y1513" i="19"/>
  <c r="Y1514" i="19"/>
  <c r="Y1515" i="19"/>
  <c r="Y1516" i="19"/>
  <c r="Y1517" i="19"/>
  <c r="Y1518" i="19"/>
  <c r="Y1519" i="19"/>
  <c r="Y1520" i="19"/>
  <c r="Y1521" i="19"/>
  <c r="Y1522" i="19"/>
  <c r="Y1523" i="19"/>
  <c r="Y1524" i="19"/>
  <c r="Y1525" i="19"/>
  <c r="Y1526" i="19"/>
  <c r="Y1527" i="19"/>
  <c r="Y1528" i="19"/>
  <c r="Y1529" i="19"/>
  <c r="Y1530" i="19"/>
  <c r="Y1531" i="19"/>
  <c r="Y1532" i="19"/>
  <c r="Y1533" i="19"/>
  <c r="Y1534" i="19"/>
  <c r="Y1535" i="19"/>
  <c r="Y1536" i="19"/>
  <c r="Y1537" i="19"/>
  <c r="Y1538" i="19"/>
  <c r="Y1539" i="19"/>
  <c r="Y1540" i="19"/>
  <c r="Y1541" i="19"/>
  <c r="Y1542" i="19"/>
  <c r="Y1543" i="19"/>
  <c r="Y1544" i="19"/>
  <c r="Y1545" i="19"/>
  <c r="Y1546" i="19"/>
  <c r="Y1547" i="19"/>
  <c r="Y1548" i="19"/>
  <c r="Y1549" i="19"/>
  <c r="Y1550" i="19"/>
  <c r="Y1551" i="19"/>
  <c r="Y1552" i="19"/>
  <c r="Y1553" i="19"/>
  <c r="Y1554" i="19"/>
  <c r="Y1555" i="19"/>
  <c r="Y1556" i="19"/>
  <c r="Y1557" i="19"/>
  <c r="Y1558" i="19"/>
  <c r="Y1559" i="19"/>
  <c r="Y1560" i="19"/>
  <c r="Y1561" i="19"/>
  <c r="Y1562" i="19"/>
  <c r="Y1563" i="19"/>
  <c r="Y1564" i="19"/>
  <c r="Y1565" i="19"/>
  <c r="Y1566" i="19"/>
  <c r="Y1567" i="19"/>
  <c r="Y1568" i="19"/>
  <c r="Y1569" i="19"/>
  <c r="Y1570" i="19"/>
  <c r="Y1571" i="19"/>
  <c r="Y1572" i="19"/>
  <c r="Y1573" i="19"/>
  <c r="Y1574" i="19"/>
  <c r="Y1575" i="19"/>
  <c r="Y1576" i="19"/>
  <c r="Y1577" i="19"/>
  <c r="Y1578" i="19"/>
  <c r="Y1579" i="19"/>
  <c r="Y1580" i="19"/>
  <c r="Y1581" i="19"/>
  <c r="Y1582" i="19"/>
  <c r="Y1583" i="19"/>
  <c r="Y1584" i="19"/>
  <c r="Y1585" i="19"/>
  <c r="Y1586" i="19"/>
  <c r="Y1587" i="19"/>
  <c r="Y1588" i="19"/>
  <c r="Y1589" i="19"/>
  <c r="Y1590" i="19"/>
  <c r="Y1591" i="19"/>
  <c r="Y1592" i="19"/>
  <c r="Y1593" i="19"/>
  <c r="Y1594" i="19"/>
  <c r="Y1595" i="19"/>
  <c r="Y1596" i="19"/>
  <c r="Y1597" i="19"/>
  <c r="Y1598" i="19"/>
  <c r="Y1599" i="19"/>
  <c r="Y1600" i="19"/>
  <c r="Y1601" i="19"/>
  <c r="Y1602" i="19"/>
  <c r="Y1603" i="19"/>
  <c r="Y1604" i="19"/>
  <c r="Y1605" i="19"/>
  <c r="Y1606" i="19"/>
  <c r="Y1607" i="19"/>
  <c r="Y1608" i="19"/>
  <c r="Y1609" i="19"/>
  <c r="Y1610" i="19"/>
  <c r="Y1611" i="19"/>
  <c r="Y1612" i="19"/>
  <c r="Y1613" i="19"/>
  <c r="Y1614" i="19"/>
  <c r="Y1615" i="19"/>
  <c r="Y1616" i="19"/>
  <c r="Y1617" i="19"/>
  <c r="Y1618" i="19"/>
  <c r="Y1619" i="19"/>
  <c r="Y1620" i="19"/>
  <c r="Y1621" i="19"/>
  <c r="Y1622" i="19"/>
  <c r="Y1623" i="19"/>
  <c r="Y1624" i="19"/>
  <c r="Y1625" i="19"/>
  <c r="Y1626" i="19"/>
  <c r="Y1627" i="19"/>
  <c r="Y1628" i="19"/>
  <c r="Y1629" i="19"/>
  <c r="Y1630" i="19"/>
  <c r="Y1631" i="19"/>
  <c r="Y1632" i="19"/>
  <c r="Y1633" i="19"/>
  <c r="Y1634" i="19"/>
  <c r="Y1635" i="19"/>
  <c r="Y1636" i="19"/>
  <c r="Y1637" i="19"/>
  <c r="Y1638" i="19"/>
  <c r="Y1639" i="19"/>
  <c r="Y1640" i="19"/>
  <c r="Y1641" i="19"/>
  <c r="Y1642" i="19"/>
  <c r="Y1643" i="19"/>
  <c r="Y1644" i="19"/>
  <c r="Y1645" i="19"/>
  <c r="Y1646" i="19"/>
  <c r="Y1647" i="19"/>
  <c r="Y1648" i="19"/>
  <c r="Y1649" i="19"/>
  <c r="Y1650" i="19"/>
  <c r="Y1651" i="19"/>
  <c r="Y1652" i="19"/>
  <c r="Y1653" i="19"/>
  <c r="Y1654" i="19"/>
  <c r="Y1655" i="19"/>
  <c r="Y1656" i="19"/>
  <c r="Y1657" i="19"/>
  <c r="Y1658" i="19"/>
  <c r="Y1659" i="19"/>
  <c r="Y1660" i="19"/>
  <c r="Y1661" i="19"/>
  <c r="Y1662" i="19"/>
  <c r="Y1663" i="19"/>
  <c r="Y1664" i="19"/>
  <c r="Y1665" i="19"/>
  <c r="Y1666" i="19"/>
  <c r="Y1667" i="19"/>
  <c r="Y1668" i="19"/>
  <c r="Y1669" i="19"/>
  <c r="Y1670" i="19"/>
  <c r="Y1671" i="19"/>
  <c r="Y1672" i="19"/>
  <c r="Y1673" i="19"/>
  <c r="Y1674" i="19"/>
  <c r="Y1675" i="19"/>
  <c r="Y1676" i="19"/>
  <c r="Y1677" i="19"/>
  <c r="Y1678" i="19"/>
  <c r="Y1679" i="19"/>
  <c r="Y1680" i="19"/>
  <c r="Y1681" i="19"/>
  <c r="Y1682" i="19"/>
  <c r="Y1683" i="19"/>
  <c r="Y1684" i="19"/>
  <c r="Y1685" i="19"/>
  <c r="Y1686" i="19"/>
  <c r="Y1687" i="19"/>
  <c r="Y1688" i="19"/>
  <c r="Y1689" i="19"/>
  <c r="Y1690" i="19"/>
  <c r="Y1691" i="19"/>
  <c r="Y1692" i="19"/>
  <c r="Y1693" i="19"/>
  <c r="Y1694" i="19"/>
  <c r="Y1695" i="19"/>
  <c r="Y1696" i="19"/>
  <c r="Y1697" i="19"/>
  <c r="Y1698" i="19"/>
  <c r="Y1699" i="19"/>
  <c r="Y1700" i="19"/>
  <c r="Y1701" i="19"/>
  <c r="Y1702" i="19"/>
  <c r="Y1703" i="19"/>
  <c r="Y1704" i="19"/>
  <c r="Y1705" i="19"/>
  <c r="Y1706" i="19"/>
  <c r="Y1707" i="19"/>
  <c r="Y1708" i="19"/>
  <c r="Y1709" i="19"/>
  <c r="Y1710" i="19"/>
  <c r="Y1711" i="19"/>
  <c r="Y1712" i="19"/>
  <c r="Y1713" i="19"/>
  <c r="Y1714" i="19"/>
  <c r="Y1715" i="19"/>
  <c r="Y1716" i="19"/>
  <c r="Y1717" i="19"/>
  <c r="Y1718" i="19"/>
  <c r="Y1719" i="19"/>
  <c r="Y1720" i="19"/>
  <c r="Y1721" i="19"/>
  <c r="Y1722" i="19"/>
  <c r="Y1723" i="19"/>
  <c r="Y1724" i="19"/>
  <c r="Y1725" i="19"/>
  <c r="Y1726" i="19"/>
  <c r="Y1727" i="19"/>
  <c r="Y1728" i="19"/>
  <c r="Y1729" i="19"/>
  <c r="Y1730" i="19"/>
  <c r="Y1731" i="19"/>
  <c r="Y1732" i="19"/>
  <c r="Y1733" i="19"/>
  <c r="Y1734" i="19"/>
  <c r="Y1735" i="19"/>
  <c r="Y1736" i="19"/>
  <c r="Y1737" i="19"/>
  <c r="Y1738" i="19"/>
  <c r="Y1739" i="19"/>
  <c r="Y1740" i="19"/>
  <c r="Y1741" i="19"/>
  <c r="Y1742" i="19"/>
  <c r="Y1743" i="19"/>
  <c r="Y1744" i="19"/>
  <c r="Y1745" i="19"/>
  <c r="Y1746" i="19"/>
  <c r="Y1747" i="19"/>
  <c r="Y1748" i="19"/>
  <c r="Y1749" i="19"/>
  <c r="Y1750" i="19"/>
  <c r="Y1751" i="19"/>
  <c r="Y1752" i="19"/>
  <c r="Y1753" i="19"/>
  <c r="Y1754" i="19"/>
  <c r="Y1755" i="19"/>
  <c r="Y1756" i="19"/>
  <c r="Y1757" i="19"/>
  <c r="Y1758" i="19"/>
  <c r="Y1759" i="19"/>
  <c r="Y1760" i="19"/>
  <c r="Y1761" i="19"/>
  <c r="Y1762" i="19"/>
  <c r="Y1763" i="19"/>
  <c r="Y1764" i="19"/>
  <c r="Y10" i="19"/>
  <c r="A6" i="5"/>
  <c r="AL8" i="13"/>
  <c r="AJ8" i="13"/>
  <c r="R9" i="13"/>
  <c r="Q9" i="13"/>
  <c r="G9" i="13"/>
  <c r="F9" i="13"/>
  <c r="D11" i="13"/>
  <c r="D12" i="13"/>
  <c r="G11" i="15" s="1"/>
  <c r="D13" i="13"/>
  <c r="D14" i="13"/>
  <c r="G12" i="15" s="1"/>
  <c r="D15" i="13"/>
  <c r="D16" i="13"/>
  <c r="D17" i="13"/>
  <c r="G14" i="15" s="1"/>
  <c r="D18" i="13"/>
  <c r="G15" i="15" s="1"/>
  <c r="D19" i="13"/>
  <c r="G16" i="15" s="1"/>
  <c r="D20" i="13"/>
  <c r="D21" i="13"/>
  <c r="D22" i="13"/>
  <c r="D23" i="13"/>
  <c r="G17" i="15" s="1"/>
  <c r="D24" i="13"/>
  <c r="D25" i="13"/>
  <c r="G18" i="15" s="1"/>
  <c r="D26" i="13"/>
  <c r="G19" i="15" s="1"/>
  <c r="D27" i="13"/>
  <c r="G20" i="15" s="1"/>
  <c r="D28" i="13"/>
  <c r="D29" i="13"/>
  <c r="G21" i="15" s="1"/>
  <c r="D30" i="13"/>
  <c r="D31" i="13"/>
  <c r="D32" i="13"/>
  <c r="D33" i="13"/>
  <c r="G23" i="15" s="1"/>
  <c r="D34" i="13"/>
  <c r="G24" i="15" s="1"/>
  <c r="D35" i="13"/>
  <c r="G25" i="15" s="1"/>
  <c r="D36" i="13"/>
  <c r="D37" i="13"/>
  <c r="G27" i="15" s="1"/>
  <c r="D38" i="13"/>
  <c r="D39" i="13"/>
  <c r="G28" i="15" s="1"/>
  <c r="D40" i="13"/>
  <c r="G29" i="15" s="1"/>
  <c r="D41" i="13"/>
  <c r="D42" i="13"/>
  <c r="D43" i="13"/>
  <c r="D44" i="13"/>
  <c r="G30" i="15" s="1"/>
  <c r="D45" i="13"/>
  <c r="G31" i="15" s="1"/>
  <c r="D46" i="13"/>
  <c r="D47" i="13"/>
  <c r="G32" i="15" s="1"/>
  <c r="D48" i="13"/>
  <c r="G33" i="15" s="1"/>
  <c r="D49" i="13"/>
  <c r="G34" i="15" s="1"/>
  <c r="D50" i="13"/>
  <c r="G35" i="15" s="1"/>
  <c r="D51" i="13"/>
  <c r="D52" i="13"/>
  <c r="G36" i="15" s="1"/>
  <c r="D53" i="13"/>
  <c r="G37" i="15" s="1"/>
  <c r="D54" i="13"/>
  <c r="G38" i="15" s="1"/>
  <c r="D55" i="13"/>
  <c r="D56" i="13"/>
  <c r="D57" i="13"/>
  <c r="G40" i="15" s="1"/>
  <c r="D58" i="13"/>
  <c r="G41" i="15" s="1"/>
  <c r="D59" i="13"/>
  <c r="G42" i="15" s="1"/>
  <c r="D60" i="13"/>
  <c r="G43" i="15" s="1"/>
  <c r="D61" i="13"/>
  <c r="G44" i="15" s="1"/>
  <c r="D62" i="13"/>
  <c r="D63" i="13"/>
  <c r="D64" i="13"/>
  <c r="D65" i="13"/>
  <c r="G45" i="15" s="1"/>
  <c r="D66" i="13"/>
  <c r="G46" i="15" s="1"/>
  <c r="D67" i="13"/>
  <c r="D68" i="13"/>
  <c r="D69" i="13"/>
  <c r="D70" i="13"/>
  <c r="G47" i="15" s="1"/>
  <c r="D71" i="13"/>
  <c r="D72" i="13"/>
  <c r="G48" i="15" s="1"/>
  <c r="D73" i="13"/>
  <c r="G49" i="15" s="1"/>
  <c r="D74" i="13"/>
  <c r="G50" i="15" s="1"/>
  <c r="D75" i="13"/>
  <c r="D76" i="13"/>
  <c r="G51" i="15" s="1"/>
  <c r="D77" i="13"/>
  <c r="G52" i="15" s="1"/>
  <c r="D78" i="13"/>
  <c r="D79" i="13"/>
  <c r="D80" i="13"/>
  <c r="G53" i="15" s="1"/>
  <c r="D81" i="13"/>
  <c r="G54" i="15" s="1"/>
  <c r="D82" i="13"/>
  <c r="G55" i="15" s="1"/>
  <c r="D83" i="13"/>
  <c r="G56" i="15" s="1"/>
  <c r="D84" i="13"/>
  <c r="D85" i="13"/>
  <c r="D86" i="13"/>
  <c r="G57" i="15" s="1"/>
  <c r="D87" i="13"/>
  <c r="G58" i="15" s="1"/>
  <c r="D88" i="13"/>
  <c r="D89" i="13"/>
  <c r="D90" i="13"/>
  <c r="D91" i="13"/>
  <c r="G60" i="15" s="1"/>
  <c r="D92" i="13"/>
  <c r="G61" i="15" s="1"/>
  <c r="D93" i="13"/>
  <c r="D94" i="13"/>
  <c r="G62" i="15" s="1"/>
  <c r="D95" i="13"/>
  <c r="G63" i="15" s="1"/>
  <c r="D96" i="13"/>
  <c r="D97" i="13"/>
  <c r="G65" i="15" s="1"/>
  <c r="D98" i="13"/>
  <c r="G66" i="15" s="1"/>
  <c r="D99" i="13"/>
  <c r="D100" i="13"/>
  <c r="D101" i="13"/>
  <c r="D102" i="13"/>
  <c r="G68" i="15" s="1"/>
  <c r="D103" i="13"/>
  <c r="G69" i="15" s="1"/>
  <c r="D104" i="13"/>
  <c r="G70" i="15" s="1"/>
  <c r="D105" i="13"/>
  <c r="G71" i="15" s="1"/>
  <c r="D106" i="13"/>
  <c r="G72" i="15" s="1"/>
  <c r="D107" i="13"/>
  <c r="G73" i="15" s="1"/>
  <c r="D108" i="13"/>
  <c r="G74" i="15" s="1"/>
  <c r="D109" i="13"/>
  <c r="G75" i="15" s="1"/>
  <c r="D110" i="13"/>
  <c r="G76" i="15" s="1"/>
  <c r="D111" i="13"/>
  <c r="D112" i="13"/>
  <c r="G77" i="15" s="1"/>
  <c r="D113" i="13"/>
  <c r="D114" i="13"/>
  <c r="G78" i="15" s="1"/>
  <c r="D115" i="13"/>
  <c r="D116" i="13"/>
  <c r="G79" i="15" s="1"/>
  <c r="D117" i="13"/>
  <c r="D118" i="13"/>
  <c r="D119" i="13"/>
  <c r="G80" i="15" s="1"/>
  <c r="D120" i="13"/>
  <c r="D121" i="13"/>
  <c r="D122" i="13"/>
  <c r="D123" i="13"/>
  <c r="G82" i="15" s="1"/>
  <c r="D124" i="13"/>
  <c r="D125" i="13"/>
  <c r="D126" i="13"/>
  <c r="G83" i="15" s="1"/>
  <c r="D127" i="13"/>
  <c r="G84" i="15" s="1"/>
  <c r="D128" i="13"/>
  <c r="D129" i="13"/>
  <c r="D130" i="13"/>
  <c r="G85" i="15" s="1"/>
  <c r="D131" i="13"/>
  <c r="G86" i="15" s="1"/>
  <c r="D132" i="13"/>
  <c r="D133" i="13"/>
  <c r="D134" i="13"/>
  <c r="G87" i="15" s="1"/>
  <c r="D135" i="13"/>
  <c r="D136" i="13"/>
  <c r="G88" i="15" s="1"/>
  <c r="D137" i="13"/>
  <c r="G89" i="15" s="1"/>
  <c r="D138" i="13"/>
  <c r="D139" i="13"/>
  <c r="D140" i="13"/>
  <c r="D141" i="13"/>
  <c r="D142" i="13"/>
  <c r="G91" i="15" s="1"/>
  <c r="D143" i="13"/>
  <c r="D144" i="13"/>
  <c r="D145" i="13"/>
  <c r="G93" i="15" s="1"/>
  <c r="D146" i="13"/>
  <c r="G94" i="15" s="1"/>
  <c r="D147" i="13"/>
  <c r="G95" i="15" s="1"/>
  <c r="D148" i="13"/>
  <c r="D149" i="13"/>
  <c r="D150" i="13"/>
  <c r="G97" i="15" s="1"/>
  <c r="D151" i="13"/>
  <c r="G98" i="15" s="1"/>
  <c r="D152" i="13"/>
  <c r="D153" i="13"/>
  <c r="G99" i="15" s="1"/>
  <c r="D154" i="13"/>
  <c r="G100" i="15" s="1"/>
  <c r="D155" i="13"/>
  <c r="D156" i="13"/>
  <c r="D157" i="13"/>
  <c r="G101" i="15" s="1"/>
  <c r="D158" i="13"/>
  <c r="G102" i="15" s="1"/>
  <c r="D159" i="13"/>
  <c r="G103" i="15" s="1"/>
  <c r="D160" i="13"/>
  <c r="D161" i="13"/>
  <c r="G105" i="15" s="1"/>
  <c r="D162" i="13"/>
  <c r="G106" i="15" s="1"/>
  <c r="D163" i="13"/>
  <c r="G107" i="15" s="1"/>
  <c r="D164" i="13"/>
  <c r="D165" i="13"/>
  <c r="D166" i="13"/>
  <c r="G109" i="15" s="1"/>
  <c r="D167" i="13"/>
  <c r="G110" i="15" s="1"/>
  <c r="D168" i="13"/>
  <c r="G111" i="15" s="1"/>
  <c r="D169" i="13"/>
  <c r="G112" i="15" s="1"/>
  <c r="D170" i="13"/>
  <c r="G113" i="15" s="1"/>
  <c r="D171" i="13"/>
  <c r="G114" i="15" s="1"/>
  <c r="D172" i="13"/>
  <c r="G115" i="15" s="1"/>
  <c r="D173" i="13"/>
  <c r="G116" i="15" s="1"/>
  <c r="D174" i="13"/>
  <c r="G117" i="15" s="1"/>
  <c r="D175" i="13"/>
  <c r="D176" i="13"/>
  <c r="G118" i="15" s="1"/>
  <c r="D177" i="13"/>
  <c r="G119" i="15" s="1"/>
  <c r="D178" i="13"/>
  <c r="G120" i="15" s="1"/>
  <c r="D179" i="13"/>
  <c r="G121" i="15" s="1"/>
  <c r="D180" i="13"/>
  <c r="G122" i="15" s="1"/>
  <c r="D181" i="13"/>
  <c r="G123" i="15" s="1"/>
  <c r="D182" i="13"/>
  <c r="G124" i="15" s="1"/>
  <c r="D183" i="13"/>
  <c r="G125" i="15" s="1"/>
  <c r="D184" i="13"/>
  <c r="D185" i="13"/>
  <c r="G127" i="15" s="1"/>
  <c r="D186" i="13"/>
  <c r="G128" i="15" s="1"/>
  <c r="D187" i="13"/>
  <c r="G129" i="15" s="1"/>
  <c r="D188" i="13"/>
  <c r="D189" i="13"/>
  <c r="D190" i="13"/>
  <c r="G130" i="15" s="1"/>
  <c r="D191" i="13"/>
  <c r="G131" i="15" s="1"/>
  <c r="D192" i="13"/>
  <c r="D193" i="13"/>
  <c r="G132" i="15" s="1"/>
  <c r="D194" i="13"/>
  <c r="G133" i="15" s="1"/>
  <c r="D195" i="13"/>
  <c r="G134" i="15" s="1"/>
  <c r="D196" i="13"/>
  <c r="G135" i="15" s="1"/>
  <c r="D197" i="13"/>
  <c r="D198" i="13"/>
  <c r="G136" i="15" s="1"/>
  <c r="D199" i="13"/>
  <c r="D200" i="13"/>
  <c r="D201" i="13"/>
  <c r="D202" i="13"/>
  <c r="D203" i="13"/>
  <c r="D204" i="13"/>
  <c r="D205" i="13"/>
  <c r="G138" i="15" s="1"/>
  <c r="D206" i="13"/>
  <c r="G139" i="15" s="1"/>
  <c r="D207" i="13"/>
  <c r="G140" i="15" s="1"/>
  <c r="D208" i="13"/>
  <c r="G141" i="15" s="1"/>
  <c r="D209" i="13"/>
  <c r="D210" i="13"/>
  <c r="G142" i="15" s="1"/>
  <c r="D211" i="13"/>
  <c r="D212" i="13"/>
  <c r="D213" i="13"/>
  <c r="G143" i="15" s="1"/>
  <c r="D214" i="13"/>
  <c r="D215" i="13"/>
  <c r="D216" i="13"/>
  <c r="G144" i="15" s="1"/>
  <c r="D217" i="13"/>
  <c r="G145" i="15" s="1"/>
  <c r="D218" i="13"/>
  <c r="G146" i="15" s="1"/>
  <c r="D219" i="13"/>
  <c r="D220" i="13"/>
  <c r="D221" i="13"/>
  <c r="G149" i="15" s="1"/>
  <c r="D222" i="13"/>
  <c r="G150" i="15" s="1"/>
  <c r="D223" i="13"/>
  <c r="G151" i="15" s="1"/>
  <c r="D224" i="13"/>
  <c r="G152" i="15" s="1"/>
  <c r="D225" i="13"/>
  <c r="D226" i="13"/>
  <c r="G153" i="15" s="1"/>
  <c r="D227" i="13"/>
  <c r="G154" i="15" s="1"/>
  <c r="D228" i="13"/>
  <c r="G155" i="15" s="1"/>
  <c r="D229" i="13"/>
  <c r="G156" i="15" s="1"/>
  <c r="D230" i="13"/>
  <c r="G157" i="15" s="1"/>
  <c r="D231" i="13"/>
  <c r="D232" i="13"/>
  <c r="G158" i="15" s="1"/>
  <c r="D233" i="13"/>
  <c r="G159" i="15" s="1"/>
  <c r="D234" i="13"/>
  <c r="D235" i="13"/>
  <c r="G160" i="15" s="1"/>
  <c r="D236" i="13"/>
  <c r="G161" i="15" s="1"/>
  <c r="D237" i="13"/>
  <c r="D238" i="13"/>
  <c r="G162" i="15" s="1"/>
  <c r="D239" i="13"/>
  <c r="G163" i="15" s="1"/>
  <c r="D240" i="13"/>
  <c r="G164" i="15" s="1"/>
  <c r="D241" i="13"/>
  <c r="D242" i="13"/>
  <c r="D243" i="13"/>
  <c r="G165" i="15" s="1"/>
  <c r="D244" i="13"/>
  <c r="D245" i="13"/>
  <c r="G166" i="15" s="1"/>
  <c r="D246" i="13"/>
  <c r="D247" i="13"/>
  <c r="G167" i="15" s="1"/>
  <c r="D248" i="13"/>
  <c r="G168" i="15" s="1"/>
  <c r="D249" i="13"/>
  <c r="G169" i="15" s="1"/>
  <c r="D250" i="13"/>
  <c r="D251" i="13"/>
  <c r="G170" i="15" s="1"/>
  <c r="D252" i="13"/>
  <c r="D253" i="13"/>
  <c r="G172" i="15" s="1"/>
  <c r="D254" i="13"/>
  <c r="D255" i="13"/>
  <c r="G173" i="15" s="1"/>
  <c r="D256" i="13"/>
  <c r="D257" i="13"/>
  <c r="G174" i="15" s="1"/>
  <c r="D258" i="13"/>
  <c r="G175" i="15" s="1"/>
  <c r="D259" i="13"/>
  <c r="G176" i="15" s="1"/>
  <c r="D260" i="13"/>
  <c r="G177" i="15" s="1"/>
  <c r="D261" i="13"/>
  <c r="G178" i="15" s="1"/>
  <c r="D262" i="13"/>
  <c r="G179" i="15" s="1"/>
  <c r="D263" i="13"/>
  <c r="D264" i="13"/>
  <c r="D265" i="13"/>
  <c r="D266" i="13"/>
  <c r="D267" i="13"/>
  <c r="G180" i="15" s="1"/>
  <c r="D268" i="13"/>
  <c r="D269" i="13"/>
  <c r="D270" i="13"/>
  <c r="G181" i="15" s="1"/>
  <c r="D271" i="13"/>
  <c r="G182" i="15" s="1"/>
  <c r="D272" i="13"/>
  <c r="G183" i="15" s="1"/>
  <c r="D273" i="13"/>
  <c r="G184" i="15" s="1"/>
  <c r="D274" i="13"/>
  <c r="G185" i="15" s="1"/>
  <c r="D275" i="13"/>
  <c r="G186" i="15" s="1"/>
  <c r="D276" i="13"/>
  <c r="D277" i="13"/>
  <c r="D278" i="13"/>
  <c r="G187" i="15" s="1"/>
  <c r="D279" i="13"/>
  <c r="D280" i="13"/>
  <c r="D281" i="13"/>
  <c r="G189" i="15" s="1"/>
  <c r="D282" i="13"/>
  <c r="G190" i="15" s="1"/>
  <c r="D283" i="13"/>
  <c r="G191" i="15" s="1"/>
  <c r="D284" i="13"/>
  <c r="D285" i="13"/>
  <c r="G193" i="15" s="1"/>
  <c r="D286" i="13"/>
  <c r="G194" i="15" s="1"/>
  <c r="D287" i="13"/>
  <c r="G195" i="15" s="1"/>
  <c r="D288" i="13"/>
  <c r="D289" i="13"/>
  <c r="D290" i="13"/>
  <c r="G196" i="15" s="1"/>
  <c r="D291" i="13"/>
  <c r="D292" i="13"/>
  <c r="D293" i="13"/>
  <c r="G197" i="15" s="1"/>
  <c r="D294" i="13"/>
  <c r="G198" i="15" s="1"/>
  <c r="D295" i="13"/>
  <c r="D296" i="13"/>
  <c r="G199" i="15" s="1"/>
  <c r="D297" i="13"/>
  <c r="G200" i="15" s="1"/>
  <c r="D298" i="13"/>
  <c r="G201" i="15" s="1"/>
  <c r="D299" i="13"/>
  <c r="G202" i="15" s="1"/>
  <c r="D300" i="13"/>
  <c r="D301" i="13"/>
  <c r="G204" i="15" s="1"/>
  <c r="D302" i="13"/>
  <c r="G205" i="15" s="1"/>
  <c r="D303" i="13"/>
  <c r="D304" i="13"/>
  <c r="D305" i="13"/>
  <c r="G207" i="15" s="1"/>
  <c r="D306" i="13"/>
  <c r="D307" i="13"/>
  <c r="G208" i="15" s="1"/>
  <c r="D308" i="13"/>
  <c r="D309" i="13"/>
  <c r="G209" i="15" s="1"/>
  <c r="D310" i="13"/>
  <c r="G210" i="15" s="1"/>
  <c r="D311" i="13"/>
  <c r="D312" i="13"/>
  <c r="D313" i="13"/>
  <c r="G211" i="15" s="1"/>
  <c r="D314" i="13"/>
  <c r="G212" i="15" s="1"/>
  <c r="D315" i="13"/>
  <c r="G213" i="15" s="1"/>
  <c r="D316" i="13"/>
  <c r="D317" i="13"/>
  <c r="G215" i="15" s="1"/>
  <c r="D318" i="13"/>
  <c r="G216" i="15" s="1"/>
  <c r="D319" i="13"/>
  <c r="G217" i="15" s="1"/>
  <c r="D320" i="13"/>
  <c r="D321" i="13"/>
  <c r="D322" i="13"/>
  <c r="D323" i="13"/>
  <c r="G218" i="15" s="1"/>
  <c r="D324" i="13"/>
  <c r="D325" i="13"/>
  <c r="G220" i="15" s="1"/>
  <c r="D326" i="13"/>
  <c r="G221" i="15" s="1"/>
  <c r="D327" i="13"/>
  <c r="G222" i="15" s="1"/>
  <c r="D328" i="13"/>
  <c r="D329" i="13"/>
  <c r="D330" i="13"/>
  <c r="G223" i="15" s="1"/>
  <c r="D331" i="13"/>
  <c r="G224" i="15" s="1"/>
  <c r="D332" i="13"/>
  <c r="G225" i="15" s="1"/>
  <c r="D333" i="13"/>
  <c r="D334" i="13"/>
  <c r="G226" i="15" s="1"/>
  <c r="D335" i="13"/>
  <c r="G227" i="15" s="1"/>
  <c r="D336" i="13"/>
  <c r="G228" i="15" s="1"/>
  <c r="D337" i="13"/>
  <c r="D338" i="13"/>
  <c r="D339" i="13"/>
  <c r="D340" i="13"/>
  <c r="G230" i="15" s="1"/>
  <c r="D341" i="13"/>
  <c r="G231" i="15" s="1"/>
  <c r="D342" i="13"/>
  <c r="D343" i="13"/>
  <c r="D344" i="13"/>
  <c r="D345" i="13"/>
  <c r="G233" i="15" s="1"/>
  <c r="D346" i="13"/>
  <c r="G234" i="15" s="1"/>
  <c r="D347" i="13"/>
  <c r="D348" i="13"/>
  <c r="D349" i="13"/>
  <c r="G235" i="15" s="1"/>
  <c r="D350" i="13"/>
  <c r="G236" i="15" s="1"/>
  <c r="D351" i="13"/>
  <c r="G237" i="15" s="1"/>
  <c r="D352" i="13"/>
  <c r="G238" i="15" s="1"/>
  <c r="D353" i="13"/>
  <c r="G239" i="15" s="1"/>
  <c r="D354" i="13"/>
  <c r="D355" i="13"/>
  <c r="G240" i="15" s="1"/>
  <c r="D356" i="13"/>
  <c r="D357" i="13"/>
  <c r="G242" i="15" s="1"/>
  <c r="D358" i="13"/>
  <c r="G243" i="15" s="1"/>
  <c r="D359" i="13"/>
  <c r="G244" i="15" s="1"/>
  <c r="D360" i="13"/>
  <c r="D361" i="13"/>
  <c r="G245" i="15" s="1"/>
  <c r="D362" i="13"/>
  <c r="G246" i="15" s="1"/>
  <c r="D363" i="13"/>
  <c r="G247" i="15" s="1"/>
  <c r="D364" i="13"/>
  <c r="G248" i="15" s="1"/>
  <c r="D365" i="13"/>
  <c r="G249" i="15" s="1"/>
  <c r="D366" i="13"/>
  <c r="G250" i="15" s="1"/>
  <c r="D367" i="13"/>
  <c r="G251" i="15" s="1"/>
  <c r="D368" i="13"/>
  <c r="G252" i="15" s="1"/>
  <c r="D369" i="13"/>
  <c r="G253" i="15" s="1"/>
  <c r="D370" i="13"/>
  <c r="G254" i="15" s="1"/>
  <c r="D371" i="13"/>
  <c r="G255" i="15" s="1"/>
  <c r="D372" i="13"/>
  <c r="G256" i="15" s="1"/>
  <c r="D373" i="13"/>
  <c r="G257" i="15" s="1"/>
  <c r="D374" i="13"/>
  <c r="G258" i="15" s="1"/>
  <c r="D375" i="13"/>
  <c r="G259" i="15" s="1"/>
  <c r="D376" i="13"/>
  <c r="G260" i="15" s="1"/>
  <c r="D377" i="13"/>
  <c r="G261" i="15" s="1"/>
  <c r="D378" i="13"/>
  <c r="G262" i="15" s="1"/>
  <c r="D379" i="13"/>
  <c r="G263" i="15" s="1"/>
  <c r="D380" i="13"/>
  <c r="G264" i="15" s="1"/>
  <c r="D381" i="13"/>
  <c r="G265" i="15" s="1"/>
  <c r="D382" i="13"/>
  <c r="G266" i="15" s="1"/>
  <c r="D383" i="13"/>
  <c r="G267" i="15" s="1"/>
  <c r="D384" i="13"/>
  <c r="G268" i="15" s="1"/>
  <c r="D385" i="13"/>
  <c r="G269" i="15" s="1"/>
  <c r="D386" i="13"/>
  <c r="G270" i="15" s="1"/>
  <c r="D387" i="13"/>
  <c r="G271" i="15" s="1"/>
  <c r="D388" i="13"/>
  <c r="D389" i="13"/>
  <c r="G273" i="15" s="1"/>
  <c r="D390" i="13"/>
  <c r="G274" i="15" s="1"/>
  <c r="D391" i="13"/>
  <c r="G275" i="15" s="1"/>
  <c r="D392" i="13"/>
  <c r="G276" i="15" s="1"/>
  <c r="D393" i="13"/>
  <c r="G277" i="15" s="1"/>
  <c r="D394" i="13"/>
  <c r="G278" i="15" s="1"/>
  <c r="D395" i="13"/>
  <c r="G279" i="15" s="1"/>
  <c r="D396" i="13"/>
  <c r="G280" i="15" s="1"/>
  <c r="D397" i="13"/>
  <c r="G281" i="15" s="1"/>
  <c r="D398" i="13"/>
  <c r="G282" i="15" s="1"/>
  <c r="D399" i="13"/>
  <c r="G283" i="15" s="1"/>
  <c r="D400" i="13"/>
  <c r="G284" i="15" s="1"/>
  <c r="D401" i="13"/>
  <c r="G285" i="15" s="1"/>
  <c r="D402" i="13"/>
  <c r="G286" i="15" s="1"/>
  <c r="D403" i="13"/>
  <c r="G287" i="15" s="1"/>
  <c r="D404" i="13"/>
  <c r="G288" i="15" s="1"/>
  <c r="D405" i="13"/>
  <c r="G289" i="15" s="1"/>
  <c r="D406" i="13"/>
  <c r="G290" i="15" s="1"/>
  <c r="D407" i="13"/>
  <c r="G291" i="15" s="1"/>
  <c r="D408" i="13"/>
  <c r="D409" i="13"/>
  <c r="G293" i="15" s="1"/>
  <c r="D410" i="13"/>
  <c r="G294" i="15" s="1"/>
  <c r="D411" i="13"/>
  <c r="G295" i="15" s="1"/>
  <c r="D412" i="13"/>
  <c r="G296" i="15" s="1"/>
  <c r="D413" i="13"/>
  <c r="G297" i="15" s="1"/>
  <c r="D414" i="13"/>
  <c r="G298" i="15" s="1"/>
  <c r="D415" i="13"/>
  <c r="G299" i="15" s="1"/>
  <c r="D416" i="13"/>
  <c r="D417" i="13"/>
  <c r="G301" i="15" s="1"/>
  <c r="D418" i="13"/>
  <c r="G302" i="15" s="1"/>
  <c r="D419" i="13"/>
  <c r="G303" i="15" s="1"/>
  <c r="D420" i="13"/>
  <c r="G304" i="15" s="1"/>
  <c r="D421" i="13"/>
  <c r="G305" i="15" s="1"/>
  <c r="D422" i="13"/>
  <c r="G306" i="15" s="1"/>
  <c r="D423" i="13"/>
  <c r="G307" i="15" s="1"/>
  <c r="D424" i="13"/>
  <c r="G308" i="15" s="1"/>
  <c r="D425" i="13"/>
  <c r="G309" i="15" s="1"/>
  <c r="D426" i="13"/>
  <c r="G310" i="15" s="1"/>
  <c r="D427" i="13"/>
  <c r="G311" i="15" s="1"/>
  <c r="D428" i="13"/>
  <c r="G312" i="15" s="1"/>
  <c r="D429" i="13"/>
  <c r="G313" i="15" s="1"/>
  <c r="D430" i="13"/>
  <c r="G314" i="15" s="1"/>
  <c r="D431" i="13"/>
  <c r="G315" i="15" s="1"/>
  <c r="D432" i="13"/>
  <c r="G316" i="15" s="1"/>
  <c r="D433" i="13"/>
  <c r="G317" i="15" s="1"/>
  <c r="D434" i="13"/>
  <c r="G318" i="15" s="1"/>
  <c r="D435" i="13"/>
  <c r="G319" i="15" s="1"/>
  <c r="D436" i="13"/>
  <c r="G320" i="15" s="1"/>
  <c r="D437" i="13"/>
  <c r="G321" i="15" s="1"/>
  <c r="D438" i="13"/>
  <c r="G322" i="15" s="1"/>
  <c r="D439" i="13"/>
  <c r="G323" i="15" s="1"/>
  <c r="D440" i="13"/>
  <c r="G324" i="15" s="1"/>
  <c r="D441" i="13"/>
  <c r="G325" i="15" s="1"/>
  <c r="D442" i="13"/>
  <c r="G326" i="15" s="1"/>
  <c r="D443" i="13"/>
  <c r="G327" i="15" s="1"/>
  <c r="D444" i="13"/>
  <c r="D445" i="13"/>
  <c r="G329" i="15" s="1"/>
  <c r="D446" i="13"/>
  <c r="G330" i="15" s="1"/>
  <c r="D447" i="13"/>
  <c r="G331" i="15" s="1"/>
  <c r="D448" i="13"/>
  <c r="E8" i="13"/>
  <c r="D9" i="13"/>
  <c r="V9" i="10"/>
  <c r="O9" i="10"/>
  <c r="N9" i="10"/>
  <c r="M9" i="10"/>
  <c r="N7" i="15"/>
  <c r="M7" i="15"/>
  <c r="K7" i="15"/>
  <c r="J7" i="15"/>
  <c r="H7" i="15"/>
  <c r="G7" i="15"/>
  <c r="E7" i="15"/>
  <c r="D7" i="15"/>
  <c r="A3" i="15"/>
  <c r="R8" i="19"/>
  <c r="P8" i="19"/>
  <c r="O7" i="19"/>
  <c r="N7" i="19"/>
  <c r="M7" i="19"/>
  <c r="L7" i="19"/>
  <c r="K7" i="19"/>
  <c r="J7" i="19"/>
  <c r="I7" i="19"/>
  <c r="L15" i="16"/>
  <c r="K15" i="16"/>
  <c r="H15" i="16"/>
  <c r="G15" i="16"/>
  <c r="G10" i="7"/>
  <c r="F10" i="7"/>
  <c r="E8" i="7"/>
  <c r="A30" i="7"/>
  <c r="B18" i="7"/>
  <c r="B16" i="7"/>
  <c r="B15" i="7"/>
  <c r="A8" i="7"/>
  <c r="A4" i="7"/>
  <c r="F18" i="8"/>
  <c r="E24" i="12"/>
  <c r="E22" i="12"/>
  <c r="E21" i="12"/>
  <c r="E20" i="12"/>
  <c r="E19" i="12"/>
  <c r="E18" i="12"/>
  <c r="E17" i="12"/>
  <c r="E16" i="12"/>
  <c r="E15" i="12"/>
  <c r="E14" i="12"/>
  <c r="E13" i="12"/>
  <c r="F26" i="8"/>
  <c r="F12" i="8"/>
  <c r="E8" i="8"/>
  <c r="A4" i="9"/>
  <c r="D243" i="15"/>
  <c r="J243" i="15"/>
  <c r="AK425" i="20"/>
  <c r="AK238" i="20"/>
  <c r="E6" i="13"/>
  <c r="E27" i="13" s="1"/>
  <c r="AK358" i="20"/>
  <c r="AK383" i="20"/>
  <c r="C6" i="17"/>
  <c r="C7" i="17"/>
  <c r="C8" i="17"/>
  <c r="C9" i="17"/>
  <c r="C10" i="17"/>
  <c r="C11" i="17"/>
  <c r="C12" i="17"/>
  <c r="C13" i="17"/>
  <c r="C14" i="17"/>
  <c r="C15" i="17"/>
  <c r="C16" i="17"/>
  <c r="C17" i="17"/>
  <c r="C18" i="17"/>
  <c r="C19" i="17"/>
  <c r="C20" i="17"/>
  <c r="C21" i="17"/>
  <c r="C22" i="17"/>
  <c r="C23" i="17"/>
  <c r="C24" i="17"/>
  <c r="C25" i="17"/>
  <c r="C26" i="17"/>
  <c r="C27" i="17"/>
  <c r="C28" i="17"/>
  <c r="C29" i="17"/>
  <c r="C30" i="17"/>
  <c r="C31" i="17"/>
  <c r="C32" i="17"/>
  <c r="C33" i="17"/>
  <c r="C34" i="17"/>
  <c r="C35" i="17"/>
  <c r="C36" i="17"/>
  <c r="C37" i="17"/>
  <c r="C38" i="17"/>
  <c r="C39" i="17"/>
  <c r="C40" i="17"/>
  <c r="C41" i="17"/>
  <c r="C42" i="17"/>
  <c r="C43" i="17"/>
  <c r="C44" i="17"/>
  <c r="C45" i="17"/>
  <c r="C46" i="17"/>
  <c r="C47" i="17"/>
  <c r="C48" i="17"/>
  <c r="C49" i="17"/>
  <c r="C50" i="17"/>
  <c r="C51" i="17"/>
  <c r="C52" i="17"/>
  <c r="C53" i="17"/>
  <c r="C54" i="17"/>
  <c r="C55" i="17"/>
  <c r="C56" i="17"/>
  <c r="C57" i="17"/>
  <c r="C58" i="17"/>
  <c r="C59" i="17"/>
  <c r="C60" i="17"/>
  <c r="C61" i="17"/>
  <c r="C62" i="17"/>
  <c r="C63" i="17"/>
  <c r="C64" i="17"/>
  <c r="C65" i="17"/>
  <c r="C66" i="17"/>
  <c r="C67" i="17"/>
  <c r="C68" i="17"/>
  <c r="C69" i="17"/>
  <c r="C70" i="17"/>
  <c r="C71" i="17"/>
  <c r="C72" i="17"/>
  <c r="C73" i="17"/>
  <c r="C74" i="17"/>
  <c r="C75" i="17"/>
  <c r="C76" i="17"/>
  <c r="C77" i="17"/>
  <c r="C78" i="17"/>
  <c r="C79" i="17"/>
  <c r="C80" i="17"/>
  <c r="C81" i="17"/>
  <c r="C82" i="17"/>
  <c r="C83" i="17"/>
  <c r="C84" i="17"/>
  <c r="C85" i="17"/>
  <c r="C86" i="17"/>
  <c r="C87" i="17"/>
  <c r="C88" i="17"/>
  <c r="C89" i="17"/>
  <c r="C90" i="17"/>
  <c r="C91" i="17"/>
  <c r="C92" i="17"/>
  <c r="C93" i="17"/>
  <c r="C94" i="17"/>
  <c r="C95" i="17"/>
  <c r="C96" i="17"/>
  <c r="C97" i="17"/>
  <c r="C98" i="17"/>
  <c r="C99" i="17"/>
  <c r="C100" i="17"/>
  <c r="C101" i="17"/>
  <c r="C102" i="17"/>
  <c r="C103" i="17"/>
  <c r="C104" i="17"/>
  <c r="C105" i="17"/>
  <c r="C106" i="17"/>
  <c r="C107" i="17"/>
  <c r="C108" i="17"/>
  <c r="C109" i="17"/>
  <c r="C110" i="17"/>
  <c r="C111" i="17"/>
  <c r="C112" i="17"/>
  <c r="C113" i="17"/>
  <c r="C114" i="17"/>
  <c r="C115" i="17"/>
  <c r="C116" i="17"/>
  <c r="C117" i="17"/>
  <c r="C118" i="17"/>
  <c r="C119" i="17"/>
  <c r="C120" i="17"/>
  <c r="C121" i="17"/>
  <c r="C122" i="17"/>
  <c r="C123" i="17"/>
  <c r="C124" i="17"/>
  <c r="C125" i="17"/>
  <c r="C126" i="17"/>
  <c r="C127" i="17"/>
  <c r="C128" i="17"/>
  <c r="C129" i="17"/>
  <c r="C130" i="17"/>
  <c r="C131" i="17"/>
  <c r="C132" i="17"/>
  <c r="C133" i="17"/>
  <c r="C134" i="17"/>
  <c r="C135" i="17"/>
  <c r="C136" i="17"/>
  <c r="C137" i="17"/>
  <c r="C138" i="17"/>
  <c r="C139" i="17"/>
  <c r="C140" i="17"/>
  <c r="C141" i="17"/>
  <c r="C142" i="17"/>
  <c r="C143" i="17"/>
  <c r="C144" i="17"/>
  <c r="C145" i="17"/>
  <c r="C146" i="17"/>
  <c r="C147" i="17"/>
  <c r="C148" i="17"/>
  <c r="C149" i="17"/>
  <c r="C150" i="17"/>
  <c r="C151" i="17"/>
  <c r="C152" i="17"/>
  <c r="C153" i="17"/>
  <c r="C154" i="17"/>
  <c r="C155" i="17"/>
  <c r="C156" i="17"/>
  <c r="C157" i="17"/>
  <c r="C158" i="17"/>
  <c r="C159" i="17"/>
  <c r="C160" i="17"/>
  <c r="C161" i="17"/>
  <c r="C162" i="17"/>
  <c r="C163" i="17"/>
  <c r="C164" i="17"/>
  <c r="C165" i="17"/>
  <c r="C166" i="17"/>
  <c r="C167" i="17"/>
  <c r="C168" i="17"/>
  <c r="C169" i="17"/>
  <c r="C170" i="17"/>
  <c r="C171" i="17"/>
  <c r="C172" i="17"/>
  <c r="C173" i="17"/>
  <c r="C174" i="17"/>
  <c r="C175" i="17"/>
  <c r="C176" i="17"/>
  <c r="C177" i="17"/>
  <c r="C178" i="17"/>
  <c r="C179" i="17"/>
  <c r="C180" i="17"/>
  <c r="C181" i="17"/>
  <c r="C182" i="17"/>
  <c r="C183" i="17"/>
  <c r="C184" i="17"/>
  <c r="C185" i="17"/>
  <c r="C186" i="17"/>
  <c r="C187" i="17"/>
  <c r="C188" i="17"/>
  <c r="C189" i="17"/>
  <c r="C190" i="17"/>
  <c r="C191" i="17"/>
  <c r="C192" i="17"/>
  <c r="C193" i="17"/>
  <c r="C194" i="17"/>
  <c r="C195" i="17"/>
  <c r="C196" i="17"/>
  <c r="C197" i="17"/>
  <c r="C198" i="17"/>
  <c r="C199" i="17"/>
  <c r="C200" i="17"/>
  <c r="C201" i="17"/>
  <c r="C202" i="17"/>
  <c r="C203" i="17"/>
  <c r="C204" i="17"/>
  <c r="C205" i="17"/>
  <c r="C206" i="17"/>
  <c r="C207" i="17"/>
  <c r="C208" i="17"/>
  <c r="C209" i="17"/>
  <c r="C210" i="17"/>
  <c r="C211" i="17"/>
  <c r="C212" i="17"/>
  <c r="C213" i="17"/>
  <c r="C214" i="17"/>
  <c r="C215" i="17"/>
  <c r="C216" i="17"/>
  <c r="C217" i="17"/>
  <c r="C218" i="17"/>
  <c r="C219" i="17"/>
  <c r="C220" i="17"/>
  <c r="C221" i="17"/>
  <c r="C222" i="17"/>
  <c r="C223" i="17"/>
  <c r="C224" i="17"/>
  <c r="C225" i="17"/>
  <c r="C226" i="17"/>
  <c r="C227" i="17"/>
  <c r="C228" i="17"/>
  <c r="C229" i="17"/>
  <c r="C230" i="17"/>
  <c r="C231" i="17"/>
  <c r="C232" i="17"/>
  <c r="C233" i="17"/>
  <c r="C234" i="17"/>
  <c r="C235" i="17"/>
  <c r="C236" i="17"/>
  <c r="C237" i="17"/>
  <c r="C238" i="17"/>
  <c r="C239" i="17"/>
  <c r="C240" i="17"/>
  <c r="C241" i="17"/>
  <c r="C242" i="17"/>
  <c r="C243" i="17"/>
  <c r="C244" i="17"/>
  <c r="C245" i="17"/>
  <c r="C246" i="17"/>
  <c r="C247" i="17"/>
  <c r="C248" i="17"/>
  <c r="C249" i="17"/>
  <c r="C250" i="17"/>
  <c r="C251" i="17"/>
  <c r="C252" i="17"/>
  <c r="C253" i="17"/>
  <c r="C254" i="17"/>
  <c r="C255" i="17"/>
  <c r="C256" i="17"/>
  <c r="C257" i="17"/>
  <c r="C258" i="17"/>
  <c r="C259" i="17"/>
  <c r="C260" i="17"/>
  <c r="C261" i="17"/>
  <c r="C262" i="17"/>
  <c r="C263" i="17"/>
  <c r="C264" i="17"/>
  <c r="C265" i="17"/>
  <c r="C266" i="17"/>
  <c r="C267" i="17"/>
  <c r="C268" i="17"/>
  <c r="C269" i="17"/>
  <c r="C270" i="17"/>
  <c r="C271" i="17"/>
  <c r="C272" i="17"/>
  <c r="C273" i="17"/>
  <c r="C274" i="17"/>
  <c r="C275" i="17"/>
  <c r="C276" i="17"/>
  <c r="C277" i="17"/>
  <c r="C278" i="17"/>
  <c r="C279" i="17"/>
  <c r="C280" i="17"/>
  <c r="C281" i="17"/>
  <c r="C282" i="17"/>
  <c r="C283" i="17"/>
  <c r="C284" i="17"/>
  <c r="C285" i="17"/>
  <c r="C286" i="17"/>
  <c r="C287" i="17"/>
  <c r="C288" i="17"/>
  <c r="C289" i="17"/>
  <c r="C290" i="17"/>
  <c r="C291" i="17"/>
  <c r="C292" i="17"/>
  <c r="C293" i="17"/>
  <c r="C294" i="17"/>
  <c r="C295" i="17"/>
  <c r="C296" i="17"/>
  <c r="C297" i="17"/>
  <c r="C298" i="17"/>
  <c r="C299" i="17"/>
  <c r="C300" i="17"/>
  <c r="C301" i="17"/>
  <c r="C302" i="17"/>
  <c r="C303" i="17"/>
  <c r="C304" i="17"/>
  <c r="C305" i="17"/>
  <c r="C306" i="17"/>
  <c r="C307" i="17"/>
  <c r="C308" i="17"/>
  <c r="C309" i="17"/>
  <c r="C310" i="17"/>
  <c r="C311" i="17"/>
  <c r="C312" i="17"/>
  <c r="C313" i="17"/>
  <c r="C314" i="17"/>
  <c r="C315" i="17"/>
  <c r="C316" i="17"/>
  <c r="C317" i="17"/>
  <c r="C318" i="17"/>
  <c r="C319" i="17"/>
  <c r="C320" i="17"/>
  <c r="C321" i="17"/>
  <c r="C322" i="17"/>
  <c r="C323" i="17"/>
  <c r="C324" i="17"/>
  <c r="C325" i="17"/>
  <c r="C326" i="17"/>
  <c r="C327" i="17"/>
  <c r="C328" i="17"/>
  <c r="C329" i="17"/>
  <c r="C330" i="17"/>
  <c r="C331" i="17"/>
  <c r="C332" i="17"/>
  <c r="C333" i="17"/>
  <c r="C334" i="17"/>
  <c r="C335" i="17"/>
  <c r="C336" i="17"/>
  <c r="C337" i="17"/>
  <c r="C338" i="17"/>
  <c r="C339" i="17"/>
  <c r="C340" i="17"/>
  <c r="C341" i="17"/>
  <c r="C342" i="17"/>
  <c r="C343" i="17"/>
  <c r="C344" i="17"/>
  <c r="C345" i="17"/>
  <c r="C346" i="17"/>
  <c r="C347" i="17"/>
  <c r="C348" i="17"/>
  <c r="C349" i="17"/>
  <c r="C350" i="17"/>
  <c r="C351" i="17"/>
  <c r="C352" i="17"/>
  <c r="C353" i="17"/>
  <c r="C354" i="17"/>
  <c r="C355" i="17"/>
  <c r="C356" i="17"/>
  <c r="C357" i="17"/>
  <c r="C358" i="17"/>
  <c r="C359" i="17"/>
  <c r="C360" i="17"/>
  <c r="C361" i="17"/>
  <c r="C362" i="17"/>
  <c r="C363" i="17"/>
  <c r="C364" i="17"/>
  <c r="C365" i="17"/>
  <c r="C366" i="17"/>
  <c r="C367" i="17"/>
  <c r="C368" i="17"/>
  <c r="C369" i="17"/>
  <c r="C370" i="17"/>
  <c r="C371" i="17"/>
  <c r="C372" i="17"/>
  <c r="C373" i="17"/>
  <c r="C374" i="17"/>
  <c r="C375" i="17"/>
  <c r="C376" i="17"/>
  <c r="C377" i="17"/>
  <c r="C378" i="17"/>
  <c r="C379" i="17"/>
  <c r="C380" i="17"/>
  <c r="C381" i="17"/>
  <c r="C382" i="17"/>
  <c r="C383" i="17"/>
  <c r="C384" i="17"/>
  <c r="C385" i="17"/>
  <c r="C386" i="17"/>
  <c r="C387" i="17"/>
  <c r="C388" i="17"/>
  <c r="C389" i="17"/>
  <c r="C390" i="17"/>
  <c r="C391" i="17"/>
  <c r="C392" i="17"/>
  <c r="C393" i="17"/>
  <c r="C394" i="17"/>
  <c r="C395" i="17"/>
  <c r="C396" i="17"/>
  <c r="C397" i="17"/>
  <c r="C398" i="17"/>
  <c r="C399" i="17"/>
  <c r="C400" i="17"/>
  <c r="C401" i="17"/>
  <c r="C402" i="17"/>
  <c r="C403" i="17"/>
  <c r="C404" i="17"/>
  <c r="C405" i="17"/>
  <c r="C406" i="17"/>
  <c r="C407" i="17"/>
  <c r="C408" i="17"/>
  <c r="C409" i="17"/>
  <c r="C410" i="17"/>
  <c r="C411" i="17"/>
  <c r="C412" i="17"/>
  <c r="C413" i="17"/>
  <c r="C414" i="17"/>
  <c r="C415" i="17"/>
  <c r="C416" i="17"/>
  <c r="C417" i="17"/>
  <c r="C418" i="17"/>
  <c r="C419" i="17"/>
  <c r="C420" i="17"/>
  <c r="C421" i="17"/>
  <c r="C422" i="17"/>
  <c r="C423" i="17"/>
  <c r="C424" i="17"/>
  <c r="C425" i="17"/>
  <c r="C426" i="17"/>
  <c r="C427" i="17"/>
  <c r="C428" i="17"/>
  <c r="C429" i="17"/>
  <c r="C430" i="17"/>
  <c r="C431" i="17"/>
  <c r="C432" i="17"/>
  <c r="C433" i="17"/>
  <c r="C434" i="17"/>
  <c r="C435" i="17"/>
  <c r="C436" i="17"/>
  <c r="C437" i="17"/>
  <c r="C438" i="17"/>
  <c r="C439" i="17"/>
  <c r="C440" i="17"/>
  <c r="C441" i="17"/>
  <c r="C442" i="17"/>
  <c r="C443" i="17"/>
  <c r="C444" i="17"/>
  <c r="C445" i="17"/>
  <c r="C5" i="17"/>
  <c r="AH356" i="20"/>
  <c r="AH355" i="20"/>
  <c r="AH351" i="20"/>
  <c r="AH338" i="20"/>
  <c r="AH329" i="20"/>
  <c r="AH314" i="20"/>
  <c r="AH307" i="20"/>
  <c r="AH304" i="20"/>
  <c r="AH300" i="20"/>
  <c r="AH293" i="20"/>
  <c r="AH271" i="20"/>
  <c r="AH268" i="20"/>
  <c r="AH267" i="20"/>
  <c r="AH263" i="20"/>
  <c r="AH261" i="20"/>
  <c r="AH257" i="20"/>
  <c r="AH255" i="20"/>
  <c r="AH226" i="20"/>
  <c r="AH220" i="20"/>
  <c r="AH213" i="20"/>
  <c r="AH212" i="20"/>
  <c r="AH205" i="20"/>
  <c r="AH190" i="20"/>
  <c r="AH189" i="20"/>
  <c r="AH187" i="20"/>
  <c r="AH185" i="20"/>
  <c r="AH177" i="20"/>
  <c r="AH174" i="20"/>
  <c r="AH173" i="20"/>
  <c r="AH172" i="20"/>
  <c r="AH169" i="20"/>
  <c r="AH164" i="20"/>
  <c r="AH158" i="20"/>
  <c r="AH153" i="20"/>
  <c r="AH137" i="20"/>
  <c r="AH128" i="20"/>
  <c r="AH125" i="20"/>
  <c r="AH116" i="20"/>
  <c r="AH114" i="20"/>
  <c r="AH88" i="20"/>
  <c r="AH80" i="20"/>
  <c r="AH47" i="20"/>
  <c r="AH44" i="20"/>
  <c r="AH40" i="20"/>
  <c r="AH39" i="20"/>
  <c r="AH32" i="20"/>
  <c r="AH18" i="20"/>
  <c r="AH16" i="20"/>
  <c r="C241" i="6"/>
  <c r="BT1765" i="19"/>
  <c r="BS1765" i="19"/>
  <c r="BN1765" i="19"/>
  <c r="BM1765" i="19"/>
  <c r="BH1765" i="19"/>
  <c r="BG1765" i="19"/>
  <c r="AV1765" i="19"/>
  <c r="BB1766" i="19" s="1"/>
  <c r="AU1765" i="19"/>
  <c r="AJ1765" i="19"/>
  <c r="AI1765" i="19"/>
  <c r="AD1765" i="19"/>
  <c r="AD1766" i="19" s="1"/>
  <c r="AC1765" i="19"/>
  <c r="R12" i="3"/>
  <c r="Q12" i="3"/>
  <c r="AH425" i="20"/>
  <c r="AH238" i="20"/>
  <c r="AG238" i="20"/>
  <c r="AF238" i="20"/>
  <c r="AG425" i="20"/>
  <c r="AF425" i="20"/>
  <c r="G39" i="15"/>
  <c r="AH362" i="20"/>
  <c r="AG362" i="20"/>
  <c r="AF362" i="20"/>
  <c r="A4" i="4"/>
  <c r="E4" i="16"/>
  <c r="B67" i="16" s="1"/>
  <c r="AE13" i="13"/>
  <c r="AE15" i="13"/>
  <c r="AE20" i="13"/>
  <c r="AE21" i="13"/>
  <c r="AE22" i="13"/>
  <c r="AE24" i="13"/>
  <c r="AE28" i="13"/>
  <c r="AE30" i="13"/>
  <c r="AE31" i="13"/>
  <c r="AE38" i="13"/>
  <c r="AE41" i="13"/>
  <c r="AE42" i="13"/>
  <c r="AE43" i="13"/>
  <c r="AE51" i="13"/>
  <c r="AE56" i="13"/>
  <c r="AE62" i="13"/>
  <c r="AE63" i="13"/>
  <c r="AE64" i="13"/>
  <c r="AE67" i="13"/>
  <c r="AE68" i="13"/>
  <c r="AE69" i="13"/>
  <c r="AE71" i="13"/>
  <c r="AE75" i="13"/>
  <c r="AE78" i="13"/>
  <c r="AE79" i="13"/>
  <c r="AE84" i="13"/>
  <c r="AE85" i="13"/>
  <c r="AE89" i="13"/>
  <c r="AE90" i="13"/>
  <c r="AE93" i="13"/>
  <c r="AE99" i="13"/>
  <c r="AE101" i="13"/>
  <c r="AE111" i="13"/>
  <c r="AE113" i="13"/>
  <c r="AE115" i="13"/>
  <c r="AE117" i="13"/>
  <c r="AE118" i="13"/>
  <c r="AE121" i="13"/>
  <c r="AE122" i="13"/>
  <c r="AE124" i="13"/>
  <c r="AE125" i="13"/>
  <c r="AE128" i="13"/>
  <c r="AE129" i="13"/>
  <c r="AE132" i="13"/>
  <c r="AE133" i="13"/>
  <c r="AE135" i="13"/>
  <c r="AE138" i="13"/>
  <c r="AE139" i="13"/>
  <c r="AE141" i="13"/>
  <c r="AE143" i="13"/>
  <c r="AE149" i="13"/>
  <c r="AE152" i="13"/>
  <c r="AE155" i="13"/>
  <c r="AE156" i="13"/>
  <c r="AE165" i="13"/>
  <c r="AE175" i="13"/>
  <c r="AE188" i="13"/>
  <c r="AE189" i="13"/>
  <c r="AE192" i="13"/>
  <c r="AE197" i="13"/>
  <c r="AE199" i="13"/>
  <c r="AE201" i="13"/>
  <c r="AE202" i="13"/>
  <c r="AE203" i="13"/>
  <c r="AE204" i="13"/>
  <c r="AE209" i="13"/>
  <c r="AE211" i="13"/>
  <c r="AE212" i="13"/>
  <c r="AE214" i="13"/>
  <c r="AE215" i="13"/>
  <c r="AE225" i="13"/>
  <c r="AE231" i="13"/>
  <c r="AE234" i="13"/>
  <c r="AE237" i="13"/>
  <c r="AE241" i="13"/>
  <c r="AE242" i="13"/>
  <c r="AE244" i="13"/>
  <c r="AE246" i="13"/>
  <c r="AE250" i="13"/>
  <c r="AE254" i="13"/>
  <c r="AE256" i="13"/>
  <c r="AE263" i="13"/>
  <c r="AE264" i="13"/>
  <c r="AE265" i="13"/>
  <c r="AE266" i="13"/>
  <c r="AE268" i="13"/>
  <c r="AE269" i="13"/>
  <c r="AE276" i="13"/>
  <c r="AE277" i="13"/>
  <c r="AE279" i="13"/>
  <c r="AE288" i="13"/>
  <c r="AE289" i="13"/>
  <c r="AE291" i="13"/>
  <c r="AE292" i="13"/>
  <c r="AE295" i="13"/>
  <c r="AE303" i="13"/>
  <c r="AE306" i="13"/>
  <c r="AE308" i="13"/>
  <c r="AE311" i="13"/>
  <c r="AE312" i="13"/>
  <c r="AE320" i="13"/>
  <c r="AE321" i="13"/>
  <c r="AE322" i="13"/>
  <c r="AE328" i="13"/>
  <c r="AE329" i="13"/>
  <c r="AE333" i="13"/>
  <c r="AE337" i="13"/>
  <c r="AE338" i="13"/>
  <c r="AE342" i="13"/>
  <c r="AE343" i="13"/>
  <c r="AE347" i="13"/>
  <c r="AE348" i="13"/>
  <c r="AE354" i="13"/>
  <c r="AE360" i="13"/>
  <c r="AE6" i="13"/>
  <c r="AE210" i="20"/>
  <c r="C213" i="6"/>
  <c r="C436" i="6"/>
  <c r="C437" i="6"/>
  <c r="C438" i="6"/>
  <c r="C439" i="6"/>
  <c r="C440" i="6"/>
  <c r="C441" i="6"/>
  <c r="C442" i="6"/>
  <c r="C443" i="6"/>
  <c r="C444" i="6"/>
  <c r="C445" i="6"/>
  <c r="C446" i="6"/>
  <c r="C447" i="6"/>
  <c r="C448" i="6"/>
  <c r="C449" i="6"/>
  <c r="C450" i="6"/>
  <c r="C451" i="6"/>
  <c r="C452" i="6"/>
  <c r="C453" i="6"/>
  <c r="C454" i="6"/>
  <c r="C455" i="6"/>
  <c r="C456" i="6"/>
  <c r="C457" i="6"/>
  <c r="C458" i="6"/>
  <c r="C459" i="6"/>
  <c r="C460" i="6"/>
  <c r="C461" i="6"/>
  <c r="C462" i="6"/>
  <c r="C463" i="6"/>
  <c r="AE434" i="20"/>
  <c r="AC434" i="20"/>
  <c r="AE369" i="20"/>
  <c r="AC369" i="20"/>
  <c r="AE435" i="20"/>
  <c r="AC435" i="20"/>
  <c r="S5" i="10"/>
  <c r="S4" i="10"/>
  <c r="R5" i="10"/>
  <c r="R4" i="10"/>
  <c r="C323" i="6"/>
  <c r="C327" i="6"/>
  <c r="C328" i="6"/>
  <c r="C329" i="6"/>
  <c r="C330" i="6"/>
  <c r="C331" i="6"/>
  <c r="C332" i="6"/>
  <c r="C333" i="6"/>
  <c r="C334" i="6"/>
  <c r="C335" i="6"/>
  <c r="C336" i="6"/>
  <c r="C337" i="6"/>
  <c r="C338" i="6"/>
  <c r="C339" i="6"/>
  <c r="C340" i="6"/>
  <c r="C341" i="6"/>
  <c r="C342" i="6"/>
  <c r="C230" i="6"/>
  <c r="C231" i="6"/>
  <c r="C232" i="6"/>
  <c r="C233" i="6"/>
  <c r="C234" i="6"/>
  <c r="C235" i="6"/>
  <c r="C236" i="6"/>
  <c r="C237" i="6"/>
  <c r="C238" i="6"/>
  <c r="C239" i="6"/>
  <c r="C240" i="6"/>
  <c r="C242" i="6"/>
  <c r="C243" i="6"/>
  <c r="C244" i="6"/>
  <c r="C245" i="6"/>
  <c r="C246" i="6"/>
  <c r="C343" i="6"/>
  <c r="C344" i="6"/>
  <c r="C345" i="6"/>
  <c r="C346" i="6"/>
  <c r="C347" i="6"/>
  <c r="C348" i="6"/>
  <c r="C349" i="6"/>
  <c r="C350" i="6"/>
  <c r="C351" i="6"/>
  <c r="C352" i="6"/>
  <c r="C353" i="6"/>
  <c r="C354" i="6"/>
  <c r="C355" i="6"/>
  <c r="C356" i="6"/>
  <c r="C357" i="6"/>
  <c r="C358" i="6"/>
  <c r="C359" i="6"/>
  <c r="C360" i="6"/>
  <c r="C361" i="6"/>
  <c r="C362" i="6"/>
  <c r="C363" i="6"/>
  <c r="C364" i="6"/>
  <c r="C365" i="6"/>
  <c r="C366" i="6"/>
  <c r="C367" i="6"/>
  <c r="C368" i="6"/>
  <c r="C369" i="6"/>
  <c r="C370" i="6"/>
  <c r="C371" i="6"/>
  <c r="C372" i="6"/>
  <c r="C373" i="6"/>
  <c r="C374" i="6"/>
  <c r="C375" i="6"/>
  <c r="C376" i="6"/>
  <c r="C377" i="6"/>
  <c r="C378" i="6"/>
  <c r="C379" i="6"/>
  <c r="C380" i="6"/>
  <c r="C381" i="6"/>
  <c r="C382" i="6"/>
  <c r="C383" i="6"/>
  <c r="C384" i="6"/>
  <c r="C385" i="6"/>
  <c r="C386" i="6"/>
  <c r="C387" i="6"/>
  <c r="C388" i="6"/>
  <c r="C389" i="6"/>
  <c r="C390" i="6"/>
  <c r="C391" i="6"/>
  <c r="C392" i="6"/>
  <c r="C393" i="6"/>
  <c r="C394" i="6"/>
  <c r="C395" i="6"/>
  <c r="C396" i="6"/>
  <c r="C397" i="6"/>
  <c r="C398" i="6"/>
  <c r="C399" i="6"/>
  <c r="C400" i="6"/>
  <c r="C401" i="6"/>
  <c r="C402" i="6"/>
  <c r="C403" i="6"/>
  <c r="C404" i="6"/>
  <c r="C405" i="6"/>
  <c r="C406" i="6"/>
  <c r="C407" i="6"/>
  <c r="C408" i="6"/>
  <c r="C409" i="6"/>
  <c r="C410" i="6"/>
  <c r="C411" i="6"/>
  <c r="C412" i="6"/>
  <c r="C413" i="6"/>
  <c r="C414" i="6"/>
  <c r="C415" i="6"/>
  <c r="C416" i="6"/>
  <c r="C417" i="6"/>
  <c r="C418" i="6"/>
  <c r="C419" i="6"/>
  <c r="C420" i="6"/>
  <c r="C421" i="6"/>
  <c r="C422" i="6"/>
  <c r="C423" i="6"/>
  <c r="C424" i="6"/>
  <c r="C425" i="6"/>
  <c r="C426" i="6"/>
  <c r="C427" i="6"/>
  <c r="C428" i="6"/>
  <c r="C429" i="6"/>
  <c r="C430" i="6"/>
  <c r="C431" i="6"/>
  <c r="C432" i="6"/>
  <c r="C433" i="6"/>
  <c r="C434" i="6"/>
  <c r="C435" i="6"/>
  <c r="C315" i="6"/>
  <c r="C316" i="6"/>
  <c r="C317" i="6"/>
  <c r="C318" i="6"/>
  <c r="C319" i="6"/>
  <c r="C320" i="6"/>
  <c r="C321" i="6"/>
  <c r="C322" i="6"/>
  <c r="C324" i="6"/>
  <c r="C325" i="6"/>
  <c r="C326" i="6"/>
  <c r="C217" i="6"/>
  <c r="C218" i="6"/>
  <c r="C219" i="6"/>
  <c r="C220" i="6"/>
  <c r="C221" i="6"/>
  <c r="C222" i="6"/>
  <c r="C223" i="6"/>
  <c r="C224" i="6"/>
  <c r="C225" i="6"/>
  <c r="C226" i="6"/>
  <c r="C227" i="6"/>
  <c r="C228" i="6"/>
  <c r="C229" i="6"/>
  <c r="C247" i="6"/>
  <c r="C248" i="6"/>
  <c r="C249" i="6"/>
  <c r="C250" i="6"/>
  <c r="C251" i="6"/>
  <c r="C252" i="6"/>
  <c r="C253" i="6"/>
  <c r="C254" i="6"/>
  <c r="C255" i="6"/>
  <c r="C256" i="6"/>
  <c r="C257" i="6"/>
  <c r="C258" i="6"/>
  <c r="C259" i="6"/>
  <c r="C260" i="6"/>
  <c r="C261" i="6"/>
  <c r="C262" i="6"/>
  <c r="C263" i="6"/>
  <c r="C264" i="6"/>
  <c r="C265" i="6"/>
  <c r="C266" i="6"/>
  <c r="C267" i="6"/>
  <c r="C268" i="6"/>
  <c r="C269" i="6"/>
  <c r="C270" i="6"/>
  <c r="C271" i="6"/>
  <c r="C272" i="6"/>
  <c r="C273" i="6"/>
  <c r="C274" i="6"/>
  <c r="C275" i="6"/>
  <c r="C276" i="6"/>
  <c r="C277" i="6"/>
  <c r="C278" i="6"/>
  <c r="C279" i="6"/>
  <c r="C280" i="6"/>
  <c r="C281" i="6"/>
  <c r="C282" i="6"/>
  <c r="C283" i="6"/>
  <c r="C284" i="6"/>
  <c r="C285" i="6"/>
  <c r="C286" i="6"/>
  <c r="C287" i="6"/>
  <c r="C288" i="6"/>
  <c r="C289" i="6"/>
  <c r="C290" i="6"/>
  <c r="C291" i="6"/>
  <c r="C292" i="6"/>
  <c r="C293" i="6"/>
  <c r="C294" i="6"/>
  <c r="C295" i="6"/>
  <c r="C296" i="6"/>
  <c r="C297" i="6"/>
  <c r="C298" i="6"/>
  <c r="C299" i="6"/>
  <c r="C300" i="6"/>
  <c r="C301" i="6"/>
  <c r="C302" i="6"/>
  <c r="C303" i="6"/>
  <c r="C304" i="6"/>
  <c r="C305" i="6"/>
  <c r="C306" i="6"/>
  <c r="C307" i="6"/>
  <c r="C308" i="6"/>
  <c r="C309" i="6"/>
  <c r="C310" i="6"/>
  <c r="C311" i="6"/>
  <c r="C312" i="6"/>
  <c r="C313" i="6"/>
  <c r="C314" i="6"/>
  <c r="C216" i="6"/>
  <c r="L6" i="13"/>
  <c r="J10" i="15"/>
  <c r="J11" i="15"/>
  <c r="J12" i="15"/>
  <c r="J13" i="15"/>
  <c r="J14" i="15"/>
  <c r="J15" i="15"/>
  <c r="J16" i="15"/>
  <c r="J17" i="15"/>
  <c r="J18" i="15"/>
  <c r="J19" i="15"/>
  <c r="J20" i="15"/>
  <c r="J21" i="15"/>
  <c r="J22" i="15"/>
  <c r="J23" i="15"/>
  <c r="J24" i="15"/>
  <c r="J25" i="15"/>
  <c r="J26" i="15"/>
  <c r="J27" i="15"/>
  <c r="J28" i="15"/>
  <c r="J29" i="15"/>
  <c r="J30" i="15"/>
  <c r="J31" i="15"/>
  <c r="J32" i="15"/>
  <c r="J33" i="15"/>
  <c r="J34" i="15"/>
  <c r="J35" i="15"/>
  <c r="J36" i="15"/>
  <c r="J37" i="15"/>
  <c r="J38" i="15"/>
  <c r="J39" i="15"/>
  <c r="J40" i="15"/>
  <c r="J41" i="15"/>
  <c r="J42" i="15"/>
  <c r="J43" i="15"/>
  <c r="J44" i="15"/>
  <c r="J45" i="15"/>
  <c r="J46" i="15"/>
  <c r="J47" i="15"/>
  <c r="J48" i="15"/>
  <c r="J49" i="15"/>
  <c r="J50" i="15"/>
  <c r="J51" i="15"/>
  <c r="J52" i="15"/>
  <c r="J53" i="15"/>
  <c r="J54" i="15"/>
  <c r="J55" i="15"/>
  <c r="J56" i="15"/>
  <c r="J57" i="15"/>
  <c r="J58" i="15"/>
  <c r="J59" i="15"/>
  <c r="J60" i="15"/>
  <c r="J61" i="15"/>
  <c r="J62" i="15"/>
  <c r="J63" i="15"/>
  <c r="J64" i="15"/>
  <c r="J65" i="15"/>
  <c r="J66" i="15"/>
  <c r="J67" i="15"/>
  <c r="J68" i="15"/>
  <c r="J69" i="15"/>
  <c r="J70" i="15"/>
  <c r="J71" i="15"/>
  <c r="J72" i="15"/>
  <c r="J73" i="15"/>
  <c r="J74" i="15"/>
  <c r="J75" i="15"/>
  <c r="J76" i="15"/>
  <c r="J77" i="15"/>
  <c r="J78" i="15"/>
  <c r="J79" i="15"/>
  <c r="J80" i="15"/>
  <c r="J81" i="15"/>
  <c r="J82" i="15"/>
  <c r="J83" i="15"/>
  <c r="J84" i="15"/>
  <c r="J85" i="15"/>
  <c r="J86" i="15"/>
  <c r="J87" i="15"/>
  <c r="J88" i="15"/>
  <c r="J89" i="15"/>
  <c r="J90" i="15"/>
  <c r="J91" i="15"/>
  <c r="J92" i="15"/>
  <c r="J93" i="15"/>
  <c r="J94" i="15"/>
  <c r="J95" i="15"/>
  <c r="J96" i="15"/>
  <c r="J97" i="15"/>
  <c r="J98" i="15"/>
  <c r="J99" i="15"/>
  <c r="J100" i="15"/>
  <c r="J101" i="15"/>
  <c r="J102" i="15"/>
  <c r="J103" i="15"/>
  <c r="J104" i="15"/>
  <c r="J105" i="15"/>
  <c r="J106" i="15"/>
  <c r="J107" i="15"/>
  <c r="J108" i="15"/>
  <c r="J109" i="15"/>
  <c r="J110" i="15"/>
  <c r="J111" i="15"/>
  <c r="J112" i="15"/>
  <c r="J113" i="15"/>
  <c r="J114" i="15"/>
  <c r="J115" i="15"/>
  <c r="J116" i="15"/>
  <c r="J117" i="15"/>
  <c r="J118" i="15"/>
  <c r="J119" i="15"/>
  <c r="J120" i="15"/>
  <c r="J121" i="15"/>
  <c r="J122" i="15"/>
  <c r="J123" i="15"/>
  <c r="J124" i="15"/>
  <c r="J125" i="15"/>
  <c r="J126" i="15"/>
  <c r="J127" i="15"/>
  <c r="J128" i="15"/>
  <c r="J129" i="15"/>
  <c r="J130" i="15"/>
  <c r="J131" i="15"/>
  <c r="J132" i="15"/>
  <c r="J133" i="15"/>
  <c r="J134" i="15"/>
  <c r="J135" i="15"/>
  <c r="J136" i="15"/>
  <c r="J137" i="15"/>
  <c r="J138" i="15"/>
  <c r="J139" i="15"/>
  <c r="J140" i="15"/>
  <c r="J141" i="15"/>
  <c r="J142" i="15"/>
  <c r="J143" i="15"/>
  <c r="J144" i="15"/>
  <c r="J145" i="15"/>
  <c r="J146" i="15"/>
  <c r="J147" i="15"/>
  <c r="J148" i="15"/>
  <c r="J149" i="15"/>
  <c r="J150" i="15"/>
  <c r="J151" i="15"/>
  <c r="J152" i="15"/>
  <c r="J153" i="15"/>
  <c r="J154" i="15"/>
  <c r="J155" i="15"/>
  <c r="J156" i="15"/>
  <c r="J157" i="15"/>
  <c r="J158" i="15"/>
  <c r="J159" i="15"/>
  <c r="J160" i="15"/>
  <c r="J161" i="15"/>
  <c r="J162" i="15"/>
  <c r="J163" i="15"/>
  <c r="J164" i="15"/>
  <c r="J165" i="15"/>
  <c r="J166" i="15"/>
  <c r="J167" i="15"/>
  <c r="J168" i="15"/>
  <c r="J169" i="15"/>
  <c r="J170" i="15"/>
  <c r="J171" i="15"/>
  <c r="J172" i="15"/>
  <c r="J173" i="15"/>
  <c r="J174" i="15"/>
  <c r="J175" i="15"/>
  <c r="J176" i="15"/>
  <c r="J177" i="15"/>
  <c r="J178" i="15"/>
  <c r="J179" i="15"/>
  <c r="J180" i="15"/>
  <c r="J181" i="15"/>
  <c r="J182" i="15"/>
  <c r="J183" i="15"/>
  <c r="J184" i="15"/>
  <c r="J185" i="15"/>
  <c r="J186" i="15"/>
  <c r="J187" i="15"/>
  <c r="J188" i="15"/>
  <c r="J189" i="15"/>
  <c r="J190" i="15"/>
  <c r="J191" i="15"/>
  <c r="J192" i="15"/>
  <c r="J193" i="15"/>
  <c r="J194" i="15"/>
  <c r="J195" i="15"/>
  <c r="J196" i="15"/>
  <c r="J197" i="15"/>
  <c r="J198" i="15"/>
  <c r="J199" i="15"/>
  <c r="J200" i="15"/>
  <c r="J201" i="15"/>
  <c r="J202" i="15"/>
  <c r="J203" i="15"/>
  <c r="J204" i="15"/>
  <c r="J205" i="15"/>
  <c r="J206" i="15"/>
  <c r="J207" i="15"/>
  <c r="J208" i="15"/>
  <c r="J209" i="15"/>
  <c r="J210" i="15"/>
  <c r="J211" i="15"/>
  <c r="J212" i="15"/>
  <c r="J213" i="15"/>
  <c r="J214" i="15"/>
  <c r="J215" i="15"/>
  <c r="J216" i="15"/>
  <c r="J217" i="15"/>
  <c r="J218" i="15"/>
  <c r="J219" i="15"/>
  <c r="J220" i="15"/>
  <c r="J221" i="15"/>
  <c r="J222" i="15"/>
  <c r="J223" i="15"/>
  <c r="J224" i="15"/>
  <c r="J225" i="15"/>
  <c r="J226" i="15"/>
  <c r="J227" i="15"/>
  <c r="J228" i="15"/>
  <c r="J229" i="15"/>
  <c r="J230" i="15"/>
  <c r="J231" i="15"/>
  <c r="J232" i="15"/>
  <c r="J233" i="15"/>
  <c r="J234" i="15"/>
  <c r="J235" i="15"/>
  <c r="J236" i="15"/>
  <c r="J237" i="15"/>
  <c r="J238" i="15"/>
  <c r="J239" i="15"/>
  <c r="J240" i="15"/>
  <c r="J241" i="15"/>
  <c r="J242" i="15"/>
  <c r="J244" i="15"/>
  <c r="J245" i="15"/>
  <c r="J246" i="15"/>
  <c r="J247" i="15"/>
  <c r="J248" i="15"/>
  <c r="J249" i="15"/>
  <c r="J250" i="15"/>
  <c r="J251" i="15"/>
  <c r="J252" i="15"/>
  <c r="J253" i="15"/>
  <c r="J254" i="15"/>
  <c r="J255" i="15"/>
  <c r="J256" i="15"/>
  <c r="J257" i="15"/>
  <c r="J258" i="15"/>
  <c r="J259" i="15"/>
  <c r="J260" i="15"/>
  <c r="J261" i="15"/>
  <c r="J262" i="15"/>
  <c r="J263" i="15"/>
  <c r="J264" i="15"/>
  <c r="J265" i="15"/>
  <c r="J266" i="15"/>
  <c r="J267" i="15"/>
  <c r="J268" i="15"/>
  <c r="J269" i="15"/>
  <c r="J270" i="15"/>
  <c r="J271" i="15"/>
  <c r="J272" i="15"/>
  <c r="J273" i="15"/>
  <c r="J274" i="15"/>
  <c r="J275" i="15"/>
  <c r="J276" i="15"/>
  <c r="J277" i="15"/>
  <c r="J278" i="15"/>
  <c r="J279" i="15"/>
  <c r="J280" i="15"/>
  <c r="J281" i="15"/>
  <c r="J282" i="15"/>
  <c r="J283" i="15"/>
  <c r="J284" i="15"/>
  <c r="J285" i="15"/>
  <c r="J286" i="15"/>
  <c r="J287" i="15"/>
  <c r="J288" i="15"/>
  <c r="J289" i="15"/>
  <c r="J290" i="15"/>
  <c r="J291" i="15"/>
  <c r="J292" i="15"/>
  <c r="J293" i="15"/>
  <c r="J294" i="15"/>
  <c r="J295" i="15"/>
  <c r="J296" i="15"/>
  <c r="J297" i="15"/>
  <c r="J298" i="15"/>
  <c r="J299" i="15"/>
  <c r="J300" i="15"/>
  <c r="J301" i="15"/>
  <c r="J302" i="15"/>
  <c r="J303" i="15"/>
  <c r="J304" i="15"/>
  <c r="J305" i="15"/>
  <c r="J306" i="15"/>
  <c r="J307" i="15"/>
  <c r="J308" i="15"/>
  <c r="J309" i="15"/>
  <c r="J310" i="15"/>
  <c r="J311" i="15"/>
  <c r="J312" i="15"/>
  <c r="J313" i="15"/>
  <c r="J314" i="15"/>
  <c r="J315" i="15"/>
  <c r="J316" i="15"/>
  <c r="J317" i="15"/>
  <c r="J318" i="15"/>
  <c r="J319" i="15"/>
  <c r="J320" i="15"/>
  <c r="J321" i="15"/>
  <c r="J322" i="15"/>
  <c r="J323" i="15"/>
  <c r="J324" i="15"/>
  <c r="J325" i="15"/>
  <c r="J326" i="15"/>
  <c r="J327" i="15"/>
  <c r="J328" i="15"/>
  <c r="J329" i="15"/>
  <c r="J330" i="15"/>
  <c r="J331" i="15"/>
  <c r="W438" i="20"/>
  <c r="O17" i="9"/>
  <c r="C10" i="6"/>
  <c r="C11" i="6"/>
  <c r="C12" i="6"/>
  <c r="C13" i="6"/>
  <c r="C14" i="6"/>
  <c r="C15" i="6"/>
  <c r="C16" i="6"/>
  <c r="C17" i="6"/>
  <c r="C18" i="6"/>
  <c r="C19" i="6"/>
  <c r="C20" i="6"/>
  <c r="C21" i="6"/>
  <c r="C22" i="6"/>
  <c r="C23" i="6"/>
  <c r="C24" i="6"/>
  <c r="C25" i="6"/>
  <c r="C26" i="6"/>
  <c r="C27" i="6"/>
  <c r="C28" i="6"/>
  <c r="C29" i="6"/>
  <c r="C30" i="6"/>
  <c r="C31" i="6"/>
  <c r="C32" i="6"/>
  <c r="C33" i="6"/>
  <c r="C34" i="6"/>
  <c r="C35" i="6"/>
  <c r="C36" i="6"/>
  <c r="C37" i="6"/>
  <c r="C38" i="6"/>
  <c r="C39" i="6"/>
  <c r="C40" i="6"/>
  <c r="C41" i="6"/>
  <c r="C42" i="6"/>
  <c r="C43" i="6"/>
  <c r="C44" i="6"/>
  <c r="C45" i="6"/>
  <c r="C46" i="6"/>
  <c r="C47" i="6"/>
  <c r="C48" i="6"/>
  <c r="C49" i="6"/>
  <c r="C50" i="6"/>
  <c r="C51" i="6"/>
  <c r="C52" i="6"/>
  <c r="C53" i="6"/>
  <c r="C54" i="6"/>
  <c r="C55" i="6"/>
  <c r="C56" i="6"/>
  <c r="C57" i="6"/>
  <c r="C58" i="6"/>
  <c r="C59" i="6"/>
  <c r="C60" i="6"/>
  <c r="C61" i="6"/>
  <c r="C62" i="6"/>
  <c r="C63" i="6"/>
  <c r="C64" i="6"/>
  <c r="C65" i="6"/>
  <c r="C66" i="6"/>
  <c r="C67" i="6"/>
  <c r="C68" i="6"/>
  <c r="C69" i="6"/>
  <c r="C70" i="6"/>
  <c r="C71" i="6"/>
  <c r="C72" i="6"/>
  <c r="C73" i="6"/>
  <c r="C74" i="6"/>
  <c r="C75" i="6"/>
  <c r="C76" i="6"/>
  <c r="C77" i="6"/>
  <c r="C78" i="6"/>
  <c r="C79" i="6"/>
  <c r="C80" i="6"/>
  <c r="C81" i="6"/>
  <c r="C82" i="6"/>
  <c r="C83" i="6"/>
  <c r="C84" i="6"/>
  <c r="C85" i="6"/>
  <c r="C86" i="6"/>
  <c r="C87" i="6"/>
  <c r="C88" i="6"/>
  <c r="C89" i="6"/>
  <c r="C90" i="6"/>
  <c r="C91" i="6"/>
  <c r="C92" i="6"/>
  <c r="C93" i="6"/>
  <c r="C94" i="6"/>
  <c r="C95" i="6"/>
  <c r="C96" i="6"/>
  <c r="C97" i="6"/>
  <c r="C98" i="6"/>
  <c r="C99" i="6"/>
  <c r="C100" i="6"/>
  <c r="C101" i="6"/>
  <c r="C102" i="6"/>
  <c r="C103" i="6"/>
  <c r="C104" i="6"/>
  <c r="C105" i="6"/>
  <c r="C106" i="6"/>
  <c r="C107" i="6"/>
  <c r="C108" i="6"/>
  <c r="C109" i="6"/>
  <c r="C110" i="6"/>
  <c r="C111" i="6"/>
  <c r="C112" i="6"/>
  <c r="C113" i="6"/>
  <c r="C114" i="6"/>
  <c r="C115" i="6"/>
  <c r="C116" i="6"/>
  <c r="C117" i="6"/>
  <c r="C118" i="6"/>
  <c r="C119" i="6"/>
  <c r="C120" i="6"/>
  <c r="C121" i="6"/>
  <c r="C122" i="6"/>
  <c r="C123" i="6"/>
  <c r="C124" i="6"/>
  <c r="C125" i="6"/>
  <c r="C126" i="6"/>
  <c r="C127" i="6"/>
  <c r="C128" i="6"/>
  <c r="C129" i="6"/>
  <c r="C130" i="6"/>
  <c r="C131" i="6"/>
  <c r="C132" i="6"/>
  <c r="C133" i="6"/>
  <c r="C134" i="6"/>
  <c r="C135" i="6"/>
  <c r="C136" i="6"/>
  <c r="C137" i="6"/>
  <c r="C138" i="6"/>
  <c r="C139" i="6"/>
  <c r="C140" i="6"/>
  <c r="C141" i="6"/>
  <c r="C142" i="6"/>
  <c r="C143" i="6"/>
  <c r="C144" i="6"/>
  <c r="C145" i="6"/>
  <c r="C146" i="6"/>
  <c r="C147" i="6"/>
  <c r="C148" i="6"/>
  <c r="C149" i="6"/>
  <c r="C150" i="6"/>
  <c r="C151" i="6"/>
  <c r="C152" i="6"/>
  <c r="C153" i="6"/>
  <c r="C154" i="6"/>
  <c r="C155" i="6"/>
  <c r="C156" i="6"/>
  <c r="C157" i="6"/>
  <c r="C158" i="6"/>
  <c r="C159" i="6"/>
  <c r="C160" i="6"/>
  <c r="C161" i="6"/>
  <c r="C162" i="6"/>
  <c r="C163" i="6"/>
  <c r="C164" i="6"/>
  <c r="C165" i="6"/>
  <c r="C166" i="6"/>
  <c r="C167" i="6"/>
  <c r="C168" i="6"/>
  <c r="C169" i="6"/>
  <c r="C170" i="6"/>
  <c r="C171" i="6"/>
  <c r="C172" i="6"/>
  <c r="C173" i="6"/>
  <c r="C174" i="6"/>
  <c r="C175" i="6"/>
  <c r="C176" i="6"/>
  <c r="C177" i="6"/>
  <c r="C178" i="6"/>
  <c r="C179" i="6"/>
  <c r="C180" i="6"/>
  <c r="C181" i="6"/>
  <c r="C182" i="6"/>
  <c r="C183" i="6"/>
  <c r="C184" i="6"/>
  <c r="C185" i="6"/>
  <c r="C186" i="6"/>
  <c r="C187" i="6"/>
  <c r="C188" i="6"/>
  <c r="C189" i="6"/>
  <c r="C190" i="6"/>
  <c r="C191" i="6"/>
  <c r="C192" i="6"/>
  <c r="C193" i="6"/>
  <c r="C194" i="6"/>
  <c r="C195" i="6"/>
  <c r="C196" i="6"/>
  <c r="C197" i="6"/>
  <c r="C198" i="6"/>
  <c r="C199" i="6"/>
  <c r="C200" i="6"/>
  <c r="C201" i="6"/>
  <c r="C202" i="6"/>
  <c r="C203" i="6"/>
  <c r="C204" i="6"/>
  <c r="C205" i="6"/>
  <c r="C206" i="6"/>
  <c r="C207" i="6"/>
  <c r="C208" i="6"/>
  <c r="C209" i="6"/>
  <c r="C210" i="6"/>
  <c r="C211" i="6"/>
  <c r="C212" i="6"/>
  <c r="C214" i="6"/>
  <c r="C215" i="6"/>
  <c r="E11" i="16"/>
  <c r="J332" i="15"/>
  <c r="D5" i="10"/>
  <c r="D261" i="10" s="1"/>
  <c r="U5" i="10"/>
  <c r="I9" i="10"/>
  <c r="C361" i="10"/>
  <c r="C32" i="3"/>
  <c r="E361" i="10"/>
  <c r="C33" i="3" s="1"/>
  <c r="AE11" i="13"/>
  <c r="G272" i="15"/>
  <c r="G81" i="15"/>
  <c r="G137" i="15"/>
  <c r="G126" i="15"/>
  <c r="G64" i="15"/>
  <c r="G171" i="15"/>
  <c r="AE46" i="13"/>
  <c r="G147" i="15"/>
  <c r="G328" i="15"/>
  <c r="G229" i="15"/>
  <c r="G332" i="15"/>
  <c r="D111" i="15"/>
  <c r="D237" i="15"/>
  <c r="D21" i="15"/>
  <c r="D175" i="15"/>
  <c r="D24" i="15"/>
  <c r="D89" i="15"/>
  <c r="D150" i="15"/>
  <c r="D206" i="15"/>
  <c r="D215" i="15"/>
  <c r="D43" i="15"/>
  <c r="D213" i="15"/>
  <c r="D31" i="15"/>
  <c r="D49" i="15"/>
  <c r="D109" i="15"/>
  <c r="D174" i="15"/>
  <c r="D183" i="15"/>
  <c r="D114" i="15"/>
  <c r="D134" i="15"/>
  <c r="D198" i="15"/>
  <c r="D152" i="15"/>
  <c r="D41" i="15"/>
  <c r="D26" i="15"/>
  <c r="D60" i="15"/>
  <c r="D188" i="15"/>
  <c r="D186" i="15"/>
  <c r="D14" i="15"/>
  <c r="D228" i="15"/>
  <c r="D201" i="15"/>
  <c r="D242" i="15"/>
  <c r="D234" i="15"/>
  <c r="D66" i="15"/>
  <c r="D59" i="15"/>
  <c r="D117" i="15"/>
  <c r="D57" i="15"/>
  <c r="D185" i="15"/>
  <c r="D156" i="15"/>
  <c r="D48" i="15"/>
  <c r="D179" i="15"/>
  <c r="D143" i="15"/>
  <c r="D225" i="15"/>
  <c r="D172" i="15"/>
  <c r="D36" i="15"/>
  <c r="D158" i="15"/>
  <c r="D137" i="15"/>
  <c r="D12" i="15"/>
  <c r="D217" i="15"/>
  <c r="D45" i="15"/>
  <c r="D154" i="15"/>
  <c r="D125" i="15"/>
  <c r="D177" i="15"/>
  <c r="D90" i="15"/>
  <c r="D129" i="15"/>
  <c r="D173" i="15"/>
  <c r="D167" i="15"/>
  <c r="D95" i="15"/>
  <c r="D15" i="15"/>
  <c r="D85" i="15"/>
  <c r="D193" i="15"/>
  <c r="D190" i="15"/>
  <c r="D165" i="15"/>
  <c r="D138" i="15"/>
  <c r="D122" i="15"/>
  <c r="D68" i="15"/>
  <c r="D219" i="15"/>
  <c r="D72" i="15"/>
  <c r="D132" i="15"/>
  <c r="D121" i="15"/>
  <c r="D112" i="15"/>
  <c r="D71" i="15"/>
  <c r="D42" i="15"/>
  <c r="D224" i="15"/>
  <c r="D144" i="15"/>
  <c r="D196" i="15"/>
  <c r="D162" i="15"/>
  <c r="D46" i="15"/>
  <c r="D104" i="15"/>
  <c r="D62" i="15"/>
  <c r="D226" i="15"/>
  <c r="D27" i="15"/>
  <c r="D169" i="15"/>
  <c r="D222" i="15"/>
  <c r="D106" i="15"/>
  <c r="D146" i="15"/>
  <c r="D67" i="15"/>
  <c r="D81" i="15"/>
  <c r="D17" i="15"/>
  <c r="D29" i="15"/>
  <c r="D69" i="15"/>
  <c r="D163" i="15"/>
  <c r="D136" i="15"/>
  <c r="D288" i="15"/>
  <c r="D272" i="15"/>
  <c r="D263" i="15"/>
  <c r="D87" i="15"/>
  <c r="D166" i="15"/>
  <c r="D110" i="15"/>
  <c r="D123" i="15"/>
  <c r="D171" i="15"/>
  <c r="D34" i="15"/>
  <c r="D211" i="15"/>
  <c r="D264" i="15"/>
  <c r="D287" i="15"/>
  <c r="D283" i="15"/>
  <c r="D275" i="15"/>
  <c r="D96" i="15"/>
  <c r="D145" i="15"/>
  <c r="D157" i="15"/>
  <c r="D207" i="15"/>
  <c r="D128" i="15"/>
  <c r="D70" i="15"/>
  <c r="D238" i="15"/>
  <c r="D170" i="15"/>
  <c r="D105" i="15"/>
  <c r="D101" i="15"/>
  <c r="D33" i="15"/>
  <c r="D262" i="15"/>
  <c r="D309" i="15"/>
  <c r="D255" i="15"/>
  <c r="D159" i="15"/>
  <c r="D76" i="15"/>
  <c r="D204" i="15"/>
  <c r="D92" i="15"/>
  <c r="D241" i="15"/>
  <c r="D221" i="15"/>
  <c r="D197" i="15"/>
  <c r="D142" i="15"/>
  <c r="D168" i="15"/>
  <c r="D13" i="15"/>
  <c r="D140" i="15"/>
  <c r="D235" i="15"/>
  <c r="D64" i="15"/>
  <c r="D164" i="15"/>
  <c r="D153" i="15"/>
  <c r="D11" i="15"/>
  <c r="D61" i="15"/>
  <c r="D316" i="15"/>
  <c r="D200" i="15"/>
  <c r="D281" i="15"/>
  <c r="D315" i="15"/>
  <c r="D297" i="15"/>
  <c r="D274" i="15"/>
  <c r="D269" i="15"/>
  <c r="D253" i="15"/>
  <c r="D298" i="15"/>
  <c r="D310" i="15"/>
  <c r="D294" i="15"/>
  <c r="D322" i="15"/>
  <c r="D306" i="15"/>
  <c r="D247" i="15"/>
  <c r="D324" i="15"/>
  <c r="D300" i="15"/>
  <c r="D323" i="15"/>
  <c r="D304" i="15"/>
  <c r="D290" i="15"/>
  <c r="D276" i="15"/>
  <c r="D98" i="15"/>
  <c r="D18" i="15"/>
  <c r="D208" i="15"/>
  <c r="D93" i="15"/>
  <c r="D181" i="15"/>
  <c r="D120" i="15"/>
  <c r="D127" i="15"/>
  <c r="D210" i="15"/>
  <c r="D37" i="15"/>
  <c r="D16" i="15"/>
  <c r="D40" i="15"/>
  <c r="D302" i="15"/>
  <c r="D329" i="15"/>
  <c r="D260" i="15"/>
  <c r="D326" i="15"/>
  <c r="D311" i="15"/>
  <c r="D285" i="15"/>
  <c r="D261" i="15"/>
  <c r="D299" i="15"/>
  <c r="D313" i="15"/>
  <c r="D268" i="15"/>
  <c r="D296" i="15"/>
  <c r="D293" i="15"/>
  <c r="D301" i="15"/>
  <c r="D249" i="15"/>
  <c r="D278" i="15"/>
  <c r="D273" i="15"/>
  <c r="D266" i="15"/>
  <c r="D246" i="15"/>
  <c r="D280" i="15"/>
  <c r="D295" i="15"/>
  <c r="D317" i="15"/>
  <c r="D331" i="15"/>
  <c r="D305" i="15"/>
  <c r="D248" i="15"/>
  <c r="D251" i="15"/>
  <c r="D259" i="15"/>
  <c r="D257" i="15"/>
  <c r="D291" i="15"/>
  <c r="D307" i="15"/>
  <c r="D314" i="15"/>
  <c r="D258" i="15"/>
  <c r="D286" i="15"/>
  <c r="D330" i="15"/>
  <c r="D328" i="15"/>
  <c r="D277" i="15"/>
  <c r="D232" i="15"/>
  <c r="D220" i="15"/>
  <c r="D214" i="15"/>
  <c r="D73" i="15"/>
  <c r="D52" i="15"/>
  <c r="D25" i="15"/>
  <c r="D133" i="15"/>
  <c r="D20" i="15"/>
  <c r="D191" i="15"/>
  <c r="D30" i="15"/>
  <c r="D51" i="15"/>
  <c r="D78" i="15"/>
  <c r="D180" i="15"/>
  <c r="D88" i="15"/>
  <c r="D135" i="15"/>
  <c r="D54" i="15"/>
  <c r="D55" i="15"/>
  <c r="D231" i="15"/>
  <c r="D74" i="15"/>
  <c r="D84" i="15"/>
  <c r="D107" i="15"/>
  <c r="D83" i="15"/>
  <c r="D203" i="15"/>
  <c r="D202" i="15"/>
  <c r="D233" i="15"/>
  <c r="D113" i="15"/>
  <c r="D229" i="15"/>
  <c r="D97" i="15"/>
  <c r="D47" i="15"/>
  <c r="D182" i="15"/>
  <c r="D227" i="15"/>
  <c r="D240" i="15"/>
  <c r="D151" i="15"/>
  <c r="D35" i="15"/>
  <c r="D148" i="15"/>
  <c r="D102" i="15"/>
  <c r="D119" i="15"/>
  <c r="D155" i="15"/>
  <c r="D108" i="15"/>
  <c r="D19" i="15"/>
  <c r="D223" i="15"/>
  <c r="D91" i="15"/>
  <c r="D44" i="15"/>
  <c r="D270" i="15"/>
  <c r="D250" i="15"/>
  <c r="D284" i="15"/>
  <c r="D282" i="15"/>
  <c r="D256" i="15"/>
  <c r="D265" i="15"/>
  <c r="D292" i="15"/>
  <c r="D308" i="15"/>
  <c r="D312" i="15"/>
  <c r="D267" i="15"/>
  <c r="D327" i="15"/>
  <c r="D271" i="15"/>
  <c r="D303" i="15"/>
  <c r="D289" i="15"/>
  <c r="D321" i="15"/>
  <c r="D319" i="15"/>
  <c r="D320" i="15"/>
  <c r="D318" i="15"/>
  <c r="D194" i="15"/>
  <c r="D209" i="15"/>
  <c r="D23" i="15"/>
  <c r="D139" i="15"/>
  <c r="D192" i="15"/>
  <c r="D100" i="15"/>
  <c r="D80" i="15"/>
  <c r="D236" i="15"/>
  <c r="D77" i="15"/>
  <c r="D58" i="15"/>
  <c r="D131" i="15"/>
  <c r="D65" i="15"/>
  <c r="D205" i="15"/>
  <c r="D124" i="15"/>
  <c r="D199" i="15"/>
  <c r="D212" i="15"/>
  <c r="D230" i="15"/>
  <c r="D79" i="15"/>
  <c r="D103" i="15"/>
  <c r="D126" i="15"/>
  <c r="D141" i="15"/>
  <c r="D116" i="15"/>
  <c r="D115" i="15"/>
  <c r="D130" i="15"/>
  <c r="D216" i="15"/>
  <c r="D244" i="15"/>
  <c r="D161" i="15"/>
  <c r="D22" i="15"/>
  <c r="D63" i="15"/>
  <c r="D195" i="15"/>
  <c r="D56" i="15"/>
  <c r="D189" i="15"/>
  <c r="D218" i="15"/>
  <c r="D75" i="15"/>
  <c r="D82" i="15"/>
  <c r="D245" i="15"/>
  <c r="D254" i="15"/>
  <c r="D149" i="15"/>
  <c r="D184" i="15"/>
  <c r="D147" i="15"/>
  <c r="D94" i="15"/>
  <c r="D239" i="15"/>
  <c r="D39" i="15"/>
  <c r="D86" i="15"/>
  <c r="D32" i="15"/>
  <c r="D279" i="15"/>
  <c r="D252" i="15"/>
  <c r="D28" i="15"/>
  <c r="D53" i="15"/>
  <c r="D99" i="15"/>
  <c r="D160" i="15"/>
  <c r="D178" i="15"/>
  <c r="D176" i="15"/>
  <c r="D187" i="15"/>
  <c r="D50" i="15"/>
  <c r="D38" i="15"/>
  <c r="D118" i="15"/>
  <c r="D325" i="15"/>
  <c r="D10" i="15"/>
  <c r="D332" i="15"/>
  <c r="V454" i="13"/>
  <c r="BN1766" i="19" l="1"/>
  <c r="AJ1766" i="19"/>
  <c r="E230" i="13"/>
  <c r="E203" i="13"/>
  <c r="AU366" i="13"/>
  <c r="AU293" i="13"/>
  <c r="AU357" i="13"/>
  <c r="AU368" i="13"/>
  <c r="E38" i="13"/>
  <c r="E75" i="13"/>
  <c r="AU131" i="13"/>
  <c r="AU176" i="13"/>
  <c r="E217" i="13"/>
  <c r="E157" i="13"/>
  <c r="AU101" i="13"/>
  <c r="AU110" i="13"/>
  <c r="E24" i="13"/>
  <c r="E285" i="13"/>
  <c r="AU35" i="13"/>
  <c r="AU291" i="13"/>
  <c r="AU46" i="13"/>
  <c r="AU270" i="13"/>
  <c r="E144" i="13"/>
  <c r="E358" i="13"/>
  <c r="E236" i="13"/>
  <c r="E263" i="13"/>
  <c r="AU195" i="13"/>
  <c r="AU14" i="13"/>
  <c r="AU206" i="13"/>
  <c r="AU432" i="13"/>
  <c r="E418" i="13"/>
  <c r="E34" i="13"/>
  <c r="E395" i="13"/>
  <c r="AU37" i="13"/>
  <c r="AU227" i="13"/>
  <c r="AU387" i="13"/>
  <c r="AU112" i="13"/>
  <c r="AU302" i="13"/>
  <c r="E400" i="13"/>
  <c r="E209" i="13"/>
  <c r="E166" i="13"/>
  <c r="E116" i="13"/>
  <c r="E391" i="13"/>
  <c r="E11" i="13"/>
  <c r="C27" i="9"/>
  <c r="A5" i="9"/>
  <c r="L10" i="9" s="1"/>
  <c r="B15" i="16"/>
  <c r="B19" i="16"/>
  <c r="B57" i="16"/>
  <c r="B66" i="16"/>
  <c r="B11" i="16"/>
  <c r="B40" i="16"/>
  <c r="B25" i="16"/>
  <c r="B51" i="16"/>
  <c r="B24" i="16"/>
  <c r="B55" i="16"/>
  <c r="B56" i="16"/>
  <c r="B41" i="16"/>
  <c r="B30" i="16"/>
  <c r="B43" i="16"/>
  <c r="T120" i="19"/>
  <c r="CF1766" i="19"/>
  <c r="AV1766" i="19"/>
  <c r="T1169" i="19"/>
  <c r="C34" i="3"/>
  <c r="C30" i="3" s="1"/>
  <c r="F5" i="10" s="1"/>
  <c r="F94" i="10" s="1"/>
  <c r="AU67" i="13"/>
  <c r="AU163" i="13"/>
  <c r="AU229" i="13"/>
  <c r="AU323" i="13"/>
  <c r="AU419" i="13"/>
  <c r="AU48" i="13"/>
  <c r="AU142" i="13"/>
  <c r="AU238" i="13"/>
  <c r="AU304" i="13"/>
  <c r="AU398" i="13"/>
  <c r="E272" i="13"/>
  <c r="E20" i="13"/>
  <c r="E89" i="13"/>
  <c r="E294" i="13"/>
  <c r="E162" i="13"/>
  <c r="E372" i="13"/>
  <c r="E413" i="13"/>
  <c r="E149" i="13"/>
  <c r="E331" i="13"/>
  <c r="E139" i="13"/>
  <c r="AU99" i="13"/>
  <c r="AU165" i="13"/>
  <c r="AU259" i="13"/>
  <c r="AU355" i="13"/>
  <c r="AU421" i="13"/>
  <c r="AU78" i="13"/>
  <c r="AU174" i="13"/>
  <c r="AU240" i="13"/>
  <c r="AU334" i="13"/>
  <c r="AU430" i="13"/>
  <c r="E264" i="13"/>
  <c r="E345" i="13"/>
  <c r="E422" i="13"/>
  <c r="E290" i="13"/>
  <c r="E102" i="13"/>
  <c r="E244" i="13"/>
  <c r="E405" i="13"/>
  <c r="E29" i="13"/>
  <c r="E267" i="13"/>
  <c r="E135" i="13"/>
  <c r="N31" i="10"/>
  <c r="O31" i="10" s="1"/>
  <c r="N58" i="10"/>
  <c r="O58" i="10" s="1"/>
  <c r="N269" i="10"/>
  <c r="O269" i="10" s="1"/>
  <c r="N128" i="10"/>
  <c r="O128" i="10" s="1"/>
  <c r="N320" i="10"/>
  <c r="O320" i="10" s="1"/>
  <c r="N141" i="10"/>
  <c r="O141" i="10" s="1"/>
  <c r="N195" i="10"/>
  <c r="O195" i="10" s="1"/>
  <c r="N186" i="10"/>
  <c r="O186" i="10" s="1"/>
  <c r="N256" i="10"/>
  <c r="O256" i="10" s="1"/>
  <c r="N214" i="10"/>
  <c r="O214" i="10" s="1"/>
  <c r="N205" i="10"/>
  <c r="O205" i="10" s="1"/>
  <c r="N323" i="10"/>
  <c r="O323" i="10" s="1"/>
  <c r="N64" i="10"/>
  <c r="O64" i="10" s="1"/>
  <c r="N77" i="10"/>
  <c r="O77" i="10" s="1"/>
  <c r="N333" i="10"/>
  <c r="O333" i="10" s="1"/>
  <c r="N122" i="10"/>
  <c r="O122" i="10" s="1"/>
  <c r="N192" i="10"/>
  <c r="O192" i="10" s="1"/>
  <c r="V594" i="19"/>
  <c r="T256" i="19"/>
  <c r="V1075" i="19"/>
  <c r="U1165" i="19"/>
  <c r="U799" i="19"/>
  <c r="T748" i="19"/>
  <c r="X460" i="19"/>
  <c r="K460" i="19" s="1"/>
  <c r="F100" i="13" s="1"/>
  <c r="X696" i="19"/>
  <c r="K696" i="19" s="1"/>
  <c r="G545" i="22" s="1"/>
  <c r="V922" i="19"/>
  <c r="W1439" i="19"/>
  <c r="T613" i="19"/>
  <c r="U91" i="19"/>
  <c r="U543" i="19"/>
  <c r="V1058" i="19"/>
  <c r="X1622" i="19"/>
  <c r="K1622" i="19" s="1"/>
  <c r="T886" i="19"/>
  <c r="V358" i="19"/>
  <c r="W645" i="19"/>
  <c r="R137" i="13" s="1"/>
  <c r="AE137" i="13" s="1"/>
  <c r="V850" i="19"/>
  <c r="X1302" i="19"/>
  <c r="K1302" i="19" s="1"/>
  <c r="G772" i="22" s="1"/>
  <c r="W870" i="19"/>
  <c r="R182" i="13" s="1"/>
  <c r="E124" i="15" s="1"/>
  <c r="F124" i="15" s="1"/>
  <c r="V230" i="19"/>
  <c r="U435" i="19"/>
  <c r="W581" i="19"/>
  <c r="T684" i="19"/>
  <c r="V786" i="19"/>
  <c r="T892" i="19"/>
  <c r="U1149" i="19"/>
  <c r="W1571" i="19"/>
  <c r="U269" i="19"/>
  <c r="W193" i="19"/>
  <c r="U307" i="19"/>
  <c r="W409" i="19"/>
  <c r="T512" i="19"/>
  <c r="X568" i="19"/>
  <c r="K568" i="19" s="1"/>
  <c r="T620" i="19"/>
  <c r="U671" i="19"/>
  <c r="V722" i="19"/>
  <c r="W773" i="19"/>
  <c r="X824" i="19"/>
  <c r="T876" i="19"/>
  <c r="T988" i="19"/>
  <c r="U1127" i="19"/>
  <c r="X1234" i="19"/>
  <c r="T1370" i="19"/>
  <c r="V1520" i="19"/>
  <c r="U1725" i="19"/>
  <c r="T973" i="19"/>
  <c r="T749" i="19"/>
  <c r="X95" i="19"/>
  <c r="K95" i="19" s="1"/>
  <c r="G27" i="22" s="1"/>
  <c r="U444" i="19"/>
  <c r="T40" i="19"/>
  <c r="X332" i="19"/>
  <c r="K332" i="19" s="1"/>
  <c r="G799" i="22" s="1"/>
  <c r="V530" i="19"/>
  <c r="X632" i="19"/>
  <c r="K632" i="19" s="1"/>
  <c r="U735" i="19"/>
  <c r="W837" i="19"/>
  <c r="X1024" i="19"/>
  <c r="W1267" i="19"/>
  <c r="U1405" i="19"/>
  <c r="W1126" i="19"/>
  <c r="X921" i="19"/>
  <c r="K921" i="19" s="1"/>
  <c r="G419" i="22" s="1"/>
  <c r="T681" i="19"/>
  <c r="X1022" i="19"/>
  <c r="K1022" i="19" s="1"/>
  <c r="G769" i="22" s="1"/>
  <c r="V142" i="19"/>
  <c r="W281" i="19"/>
  <c r="T384" i="19"/>
  <c r="V486" i="19"/>
  <c r="T556" i="19"/>
  <c r="U607" i="19"/>
  <c r="V658" i="19"/>
  <c r="W709" i="19"/>
  <c r="X760" i="19"/>
  <c r="K760" i="19" s="1"/>
  <c r="G160" i="22" s="1"/>
  <c r="T812" i="19"/>
  <c r="U863" i="19"/>
  <c r="T956" i="19"/>
  <c r="V1090" i="19"/>
  <c r="V1200" i="19"/>
  <c r="U1337" i="19"/>
  <c r="V1472" i="19"/>
  <c r="T1674" i="19"/>
  <c r="U1024" i="19"/>
  <c r="X817" i="19"/>
  <c r="K817" i="19" s="1"/>
  <c r="V429" i="19"/>
  <c r="U649" i="19"/>
  <c r="D204" i="10"/>
  <c r="W65" i="19"/>
  <c r="R21" i="13" s="1"/>
  <c r="T168" i="19"/>
  <c r="U243" i="19"/>
  <c r="V294" i="19"/>
  <c r="W345" i="19"/>
  <c r="R77" i="13" s="1"/>
  <c r="AE77" i="13" s="1"/>
  <c r="X396" i="19"/>
  <c r="K396" i="19" s="1"/>
  <c r="G400" i="22" s="1"/>
  <c r="T448" i="19"/>
  <c r="U499" i="19"/>
  <c r="X536" i="19"/>
  <c r="K536" i="19" s="1"/>
  <c r="G425" i="22" s="1"/>
  <c r="V562" i="19"/>
  <c r="T588" i="19"/>
  <c r="W613" i="19"/>
  <c r="U639" i="19"/>
  <c r="X664" i="19"/>
  <c r="V690" i="19"/>
  <c r="T716" i="19"/>
  <c r="W741" i="19"/>
  <c r="U767" i="19"/>
  <c r="X792" i="19"/>
  <c r="K792" i="19" s="1"/>
  <c r="G648" i="22" s="1"/>
  <c r="V818" i="19"/>
  <c r="T844" i="19"/>
  <c r="W869" i="19"/>
  <c r="X904" i="19"/>
  <c r="W973" i="19"/>
  <c r="U1039" i="19"/>
  <c r="W1109" i="19"/>
  <c r="T1158" i="19"/>
  <c r="V1216" i="19"/>
  <c r="T1286" i="19"/>
  <c r="T1354" i="19"/>
  <c r="U1421" i="19"/>
  <c r="X1494" i="19"/>
  <c r="U1597" i="19"/>
  <c r="W1699" i="19"/>
  <c r="T1101" i="19"/>
  <c r="W998" i="19"/>
  <c r="U896" i="19"/>
  <c r="V783" i="19"/>
  <c r="W646" i="19"/>
  <c r="V293" i="19"/>
  <c r="T954" i="19"/>
  <c r="W365" i="19"/>
  <c r="R81" i="13" s="1"/>
  <c r="E54" i="15" s="1"/>
  <c r="F54" i="15" s="1"/>
  <c r="X239" i="19"/>
  <c r="V14" i="19"/>
  <c r="X116" i="19"/>
  <c r="K116" i="19" s="1"/>
  <c r="G387" i="22" s="1"/>
  <c r="W217" i="19"/>
  <c r="X268" i="19"/>
  <c r="K268" i="19" s="1"/>
  <c r="T320" i="19"/>
  <c r="U371" i="19"/>
  <c r="V422" i="19"/>
  <c r="W473" i="19"/>
  <c r="T524" i="19"/>
  <c r="W549" i="19"/>
  <c r="U575" i="19"/>
  <c r="X600" i="19"/>
  <c r="K600" i="19" s="1"/>
  <c r="G128" i="22" s="1"/>
  <c r="V626" i="19"/>
  <c r="T652" i="19"/>
  <c r="W677" i="19"/>
  <c r="U703" i="19"/>
  <c r="X728" i="19"/>
  <c r="K728" i="19" s="1"/>
  <c r="V754" i="19"/>
  <c r="T780" i="19"/>
  <c r="W805" i="19"/>
  <c r="R169" i="13" s="1"/>
  <c r="AE169" i="13" s="1"/>
  <c r="U831" i="19"/>
  <c r="X856" i="19"/>
  <c r="K856" i="19" s="1"/>
  <c r="G536" i="22" s="1"/>
  <c r="T884" i="19"/>
  <c r="X936" i="19"/>
  <c r="K936" i="19" s="1"/>
  <c r="G548" i="22" s="1"/>
  <c r="U1007" i="19"/>
  <c r="T1076" i="19"/>
  <c r="W1139" i="19"/>
  <c r="W1183" i="19"/>
  <c r="W1251" i="19"/>
  <c r="X1318" i="19"/>
  <c r="K1318" i="19" s="1"/>
  <c r="V1388" i="19"/>
  <c r="V1456" i="19"/>
  <c r="T1546" i="19"/>
  <c r="V1648" i="19"/>
  <c r="X1750" i="19"/>
  <c r="K1750" i="19" s="1"/>
  <c r="G358" i="22" s="1"/>
  <c r="X1049" i="19"/>
  <c r="V947" i="19"/>
  <c r="T845" i="19"/>
  <c r="V715" i="19"/>
  <c r="U544" i="19"/>
  <c r="X1090" i="19"/>
  <c r="K1090" i="19" s="1"/>
  <c r="F226" i="13" s="1"/>
  <c r="T818" i="19"/>
  <c r="W200" i="19"/>
  <c r="R48" i="13" s="1"/>
  <c r="AE48" i="13" s="1"/>
  <c r="U27" i="19"/>
  <c r="V78" i="19"/>
  <c r="W129" i="19"/>
  <c r="X180" i="19"/>
  <c r="K180" i="19" s="1"/>
  <c r="G44" i="22" s="1"/>
  <c r="T224" i="19"/>
  <c r="W249" i="19"/>
  <c r="U275" i="19"/>
  <c r="X300" i="19"/>
  <c r="K300" i="19" s="1"/>
  <c r="G68" i="22" s="1"/>
  <c r="V326" i="19"/>
  <c r="T352" i="19"/>
  <c r="W377" i="19"/>
  <c r="U403" i="19"/>
  <c r="X428" i="19"/>
  <c r="K428" i="19" s="1"/>
  <c r="V454" i="19"/>
  <c r="T480" i="19"/>
  <c r="W505" i="19"/>
  <c r="R109" i="13" s="1"/>
  <c r="E75" i="15" s="1"/>
  <c r="F75" i="15" s="1"/>
  <c r="U527" i="19"/>
  <c r="T540" i="19"/>
  <c r="X552" i="19"/>
  <c r="K552" i="19" s="1"/>
  <c r="W565" i="19"/>
  <c r="R121" i="13" s="1"/>
  <c r="V578" i="19"/>
  <c r="U591" i="19"/>
  <c r="T604" i="19"/>
  <c r="X616" i="19"/>
  <c r="K616" i="19" s="1"/>
  <c r="G731" i="22" s="1"/>
  <c r="W629" i="19"/>
  <c r="V642" i="19"/>
  <c r="U655" i="19"/>
  <c r="T668" i="19"/>
  <c r="X680" i="19"/>
  <c r="K680" i="19" s="1"/>
  <c r="F144" i="13" s="1"/>
  <c r="W693" i="19"/>
  <c r="V706" i="19"/>
  <c r="U719" i="19"/>
  <c r="T732" i="19"/>
  <c r="X744" i="19"/>
  <c r="W757" i="19"/>
  <c r="V770" i="19"/>
  <c r="U783" i="19"/>
  <c r="T796" i="19"/>
  <c r="X808" i="19"/>
  <c r="K808" i="19" s="1"/>
  <c r="W821" i="19"/>
  <c r="V834" i="19"/>
  <c r="U847" i="19"/>
  <c r="T860" i="19"/>
  <c r="X872" i="19"/>
  <c r="K872" i="19" s="1"/>
  <c r="G704" i="22" s="1"/>
  <c r="U887" i="19"/>
  <c r="U911" i="19"/>
  <c r="T948" i="19"/>
  <c r="W981" i="19"/>
  <c r="W1013" i="19"/>
  <c r="V1050" i="19"/>
  <c r="T1084" i="19"/>
  <c r="T1116" i="19"/>
  <c r="U1145" i="19"/>
  <c r="T1162" i="19"/>
  <c r="T1178" i="19"/>
  <c r="V1196" i="19"/>
  <c r="U1213" i="19"/>
  <c r="U1229" i="19"/>
  <c r="W1247" i="19"/>
  <c r="V1264" i="19"/>
  <c r="V1280" i="19"/>
  <c r="X1298" i="19"/>
  <c r="K1298" i="19" s="1"/>
  <c r="W1315" i="19"/>
  <c r="R271" i="13" s="1"/>
  <c r="E182" i="15" s="1"/>
  <c r="F182" i="15" s="1"/>
  <c r="W1331" i="19"/>
  <c r="T1350" i="19"/>
  <c r="X1366" i="19"/>
  <c r="K1366" i="19" s="1"/>
  <c r="G369" i="22" s="1"/>
  <c r="X1382" i="19"/>
  <c r="K1382" i="19" s="1"/>
  <c r="U1401" i="19"/>
  <c r="T1418" i="19"/>
  <c r="T1434" i="19"/>
  <c r="V1452" i="19"/>
  <c r="U1469" i="19"/>
  <c r="V1488" i="19"/>
  <c r="T1514" i="19"/>
  <c r="W1539" i="19"/>
  <c r="U1565" i="19"/>
  <c r="X1590" i="19"/>
  <c r="K1590" i="19" s="1"/>
  <c r="F326" i="13" s="1"/>
  <c r="V1616" i="19"/>
  <c r="T1642" i="19"/>
  <c r="W1667" i="19"/>
  <c r="U1693" i="19"/>
  <c r="X1718" i="19"/>
  <c r="K1718" i="19" s="1"/>
  <c r="V1744" i="19"/>
  <c r="T1133" i="19"/>
  <c r="V1107" i="19"/>
  <c r="X1081" i="19"/>
  <c r="K1081" i="19" s="1"/>
  <c r="U1056" i="19"/>
  <c r="W1030" i="19"/>
  <c r="R214" i="13" s="1"/>
  <c r="T1005" i="19"/>
  <c r="V979" i="19"/>
  <c r="X953" i="19"/>
  <c r="K953" i="19" s="1"/>
  <c r="U928" i="19"/>
  <c r="W902" i="19"/>
  <c r="T877" i="19"/>
  <c r="V851" i="19"/>
  <c r="X825" i="19"/>
  <c r="K825" i="19" s="1"/>
  <c r="F173" i="13" s="1"/>
  <c r="U792" i="19"/>
  <c r="X757" i="19"/>
  <c r="K757" i="19" s="1"/>
  <c r="V723" i="19"/>
  <c r="X689" i="19"/>
  <c r="V655" i="19"/>
  <c r="T621" i="19"/>
  <c r="X561" i="19"/>
  <c r="K561" i="19" s="1"/>
  <c r="G707" i="22" s="1"/>
  <c r="T463" i="19"/>
  <c r="T327" i="19"/>
  <c r="U166" i="19"/>
  <c r="W1107" i="19"/>
  <c r="W1039" i="19"/>
  <c r="W971" i="19"/>
  <c r="X902" i="19"/>
  <c r="K902" i="19" s="1"/>
  <c r="G546" i="22" s="1"/>
  <c r="X834" i="19"/>
  <c r="V700" i="19"/>
  <c r="T468" i="19"/>
  <c r="V495" i="19"/>
  <c r="X277" i="19"/>
  <c r="K277" i="19" s="1"/>
  <c r="G738" i="22" s="1"/>
  <c r="W371" i="19"/>
  <c r="T194" i="19"/>
  <c r="U1270" i="19"/>
  <c r="X1174" i="19"/>
  <c r="X1190" i="19"/>
  <c r="K1190" i="19" s="1"/>
  <c r="F246" i="13" s="1"/>
  <c r="U1209" i="19"/>
  <c r="T1226" i="19"/>
  <c r="T1242" i="19"/>
  <c r="V1260" i="19"/>
  <c r="U1277" i="19"/>
  <c r="U1293" i="19"/>
  <c r="W1311" i="19"/>
  <c r="V1328" i="19"/>
  <c r="V1344" i="19"/>
  <c r="X1362" i="19"/>
  <c r="K1362" i="19" s="1"/>
  <c r="W1379" i="19"/>
  <c r="W1395" i="19"/>
  <c r="R287" i="13" s="1"/>
  <c r="AE287" i="13" s="1"/>
  <c r="T1414" i="19"/>
  <c r="X1430" i="19"/>
  <c r="K1430" i="19" s="1"/>
  <c r="F294" i="13" s="1"/>
  <c r="X1446" i="19"/>
  <c r="K1446" i="19" s="1"/>
  <c r="G442" i="22" s="1"/>
  <c r="U1465" i="19"/>
  <c r="T1482" i="19"/>
  <c r="W1507" i="19"/>
  <c r="U1533" i="19"/>
  <c r="X1558" i="19"/>
  <c r="K1558" i="19" s="1"/>
  <c r="V1584" i="19"/>
  <c r="T1610" i="19"/>
  <c r="W1635" i="19"/>
  <c r="R335" i="13" s="1"/>
  <c r="E227" i="15" s="1"/>
  <c r="U1661" i="19"/>
  <c r="X1686" i="19"/>
  <c r="K1686" i="19" s="1"/>
  <c r="G820" i="22" s="1"/>
  <c r="V1712" i="19"/>
  <c r="T1738" i="19"/>
  <c r="W1763" i="19"/>
  <c r="X1113" i="19"/>
  <c r="K1113" i="19" s="1"/>
  <c r="U1088" i="19"/>
  <c r="W1062" i="19"/>
  <c r="T1037" i="19"/>
  <c r="V1011" i="19"/>
  <c r="X985" i="19"/>
  <c r="K985" i="19" s="1"/>
  <c r="G205" i="22" s="1"/>
  <c r="U960" i="19"/>
  <c r="W934" i="19"/>
  <c r="T909" i="19"/>
  <c r="V883" i="19"/>
  <c r="X857" i="19"/>
  <c r="K857" i="19" s="1"/>
  <c r="U832" i="19"/>
  <c r="U800" i="19"/>
  <c r="W766" i="19"/>
  <c r="U732" i="19"/>
  <c r="X697" i="19"/>
  <c r="K697" i="19" s="1"/>
  <c r="U664" i="19"/>
  <c r="X629" i="19"/>
  <c r="W578" i="19"/>
  <c r="U498" i="19"/>
  <c r="W360" i="19"/>
  <c r="R80" i="13" s="1"/>
  <c r="E53" i="15" s="1"/>
  <c r="F53" i="15" s="1"/>
  <c r="W224" i="19"/>
  <c r="U1125" i="19"/>
  <c r="V1056" i="19"/>
  <c r="V988" i="19"/>
  <c r="V920" i="19"/>
  <c r="W851" i="19"/>
  <c r="W751" i="19"/>
  <c r="X546" i="19"/>
  <c r="K546" i="19" s="1"/>
  <c r="W105" i="19"/>
  <c r="R29" i="13" s="1"/>
  <c r="E21" i="15" s="1"/>
  <c r="F21" i="15" s="1"/>
  <c r="X341" i="19"/>
  <c r="K341" i="19" s="1"/>
  <c r="G395" i="22" s="1"/>
  <c r="T474" i="19"/>
  <c r="X125" i="19"/>
  <c r="K125" i="19" s="1"/>
  <c r="F33" i="13" s="1"/>
  <c r="V1619" i="19"/>
  <c r="X52" i="19"/>
  <c r="K52" i="19" s="1"/>
  <c r="T104" i="19"/>
  <c r="U155" i="19"/>
  <c r="V206" i="19"/>
  <c r="X236" i="19"/>
  <c r="K236" i="19" s="1"/>
  <c r="G797" i="22" s="1"/>
  <c r="V262" i="19"/>
  <c r="T288" i="19"/>
  <c r="W313" i="19"/>
  <c r="U339" i="19"/>
  <c r="X364" i="19"/>
  <c r="V390" i="19"/>
  <c r="T416" i="19"/>
  <c r="W441" i="19"/>
  <c r="U467" i="19"/>
  <c r="X492" i="19"/>
  <c r="K492" i="19" s="1"/>
  <c r="V518" i="19"/>
  <c r="W533" i="19"/>
  <c r="V546" i="19"/>
  <c r="U559" i="19"/>
  <c r="T572" i="19"/>
  <c r="X584" i="19"/>
  <c r="W597" i="19"/>
  <c r="V610" i="19"/>
  <c r="U623" i="19"/>
  <c r="T636" i="19"/>
  <c r="X648" i="19"/>
  <c r="K648" i="19" s="1"/>
  <c r="W661" i="19"/>
  <c r="V674" i="19"/>
  <c r="U687" i="19"/>
  <c r="T700" i="19"/>
  <c r="X712" i="19"/>
  <c r="K712" i="19" s="1"/>
  <c r="W725" i="19"/>
  <c r="R153" i="13" s="1"/>
  <c r="E99" i="15" s="1"/>
  <c r="F99" i="15" s="1"/>
  <c r="V738" i="19"/>
  <c r="U751" i="19"/>
  <c r="T764" i="19"/>
  <c r="X776" i="19"/>
  <c r="K776" i="19" s="1"/>
  <c r="W789" i="19"/>
  <c r="V802" i="19"/>
  <c r="U815" i="19"/>
  <c r="T828" i="19"/>
  <c r="X840" i="19"/>
  <c r="K840" i="19" s="1"/>
  <c r="F176" i="13" s="1"/>
  <c r="W853" i="19"/>
  <c r="V866" i="19"/>
  <c r="U879" i="19"/>
  <c r="V898" i="19"/>
  <c r="V930" i="19"/>
  <c r="V962" i="19"/>
  <c r="U999" i="19"/>
  <c r="X1032" i="19"/>
  <c r="K1032" i="19" s="1"/>
  <c r="X1064" i="19"/>
  <c r="W1101" i="19"/>
  <c r="U1135" i="19"/>
  <c r="V1152" i="19"/>
  <c r="X1170" i="19"/>
  <c r="K1170" i="19" s="1"/>
  <c r="G242" i="22" s="1"/>
  <c r="W1187" i="19"/>
  <c r="W1203" i="19"/>
  <c r="T1222" i="19"/>
  <c r="X1238" i="19"/>
  <c r="K1238" i="19" s="1"/>
  <c r="X1254" i="19"/>
  <c r="U1273" i="19"/>
  <c r="T1290" i="19"/>
  <c r="T1306" i="19"/>
  <c r="V1324" i="19"/>
  <c r="U1341" i="19"/>
  <c r="U1357" i="19"/>
  <c r="W1375" i="19"/>
  <c r="R283" i="13" s="1"/>
  <c r="E191" i="15" s="1"/>
  <c r="F191" i="15" s="1"/>
  <c r="V1392" i="19"/>
  <c r="V1408" i="19"/>
  <c r="X1426" i="19"/>
  <c r="K1426" i="19" s="1"/>
  <c r="G696" i="22" s="1"/>
  <c r="W1443" i="19"/>
  <c r="W1459" i="19"/>
  <c r="T1478" i="19"/>
  <c r="U1501" i="19"/>
  <c r="X1526" i="19"/>
  <c r="K1526" i="19" s="1"/>
  <c r="G553" i="22" s="1"/>
  <c r="V1552" i="19"/>
  <c r="T1578" i="19"/>
  <c r="W1603" i="19"/>
  <c r="U1629" i="19"/>
  <c r="X1654" i="19"/>
  <c r="V1680" i="19"/>
  <c r="T1706" i="19"/>
  <c r="W1731" i="19"/>
  <c r="U1757" i="19"/>
  <c r="U1120" i="19"/>
  <c r="W1094" i="19"/>
  <c r="T1069" i="19"/>
  <c r="V1043" i="19"/>
  <c r="X1017" i="19"/>
  <c r="K1017" i="19" s="1"/>
  <c r="G710" i="22" s="1"/>
  <c r="U992" i="19"/>
  <c r="W966" i="19"/>
  <c r="T941" i="19"/>
  <c r="V915" i="19"/>
  <c r="X889" i="19"/>
  <c r="U864" i="19"/>
  <c r="W838" i="19"/>
  <c r="T809" i="19"/>
  <c r="W774" i="19"/>
  <c r="T741" i="19"/>
  <c r="W706" i="19"/>
  <c r="U672" i="19"/>
  <c r="W638" i="19"/>
  <c r="V595" i="19"/>
  <c r="V527" i="19"/>
  <c r="X395" i="19"/>
  <c r="K395" i="19" s="1"/>
  <c r="F87" i="13" s="1"/>
  <c r="U258" i="19"/>
  <c r="W28" i="19"/>
  <c r="T1074" i="19"/>
  <c r="U1005" i="19"/>
  <c r="U937" i="19"/>
  <c r="U869" i="19"/>
  <c r="U797" i="19"/>
  <c r="T598" i="19"/>
  <c r="U263" i="19"/>
  <c r="T393" i="19"/>
  <c r="U66" i="19"/>
  <c r="U103" i="19"/>
  <c r="D114" i="10"/>
  <c r="D42" i="10"/>
  <c r="D174" i="10"/>
  <c r="D269" i="10"/>
  <c r="D93" i="10"/>
  <c r="D297" i="10"/>
  <c r="V649" i="19"/>
  <c r="U558" i="19"/>
  <c r="U1219" i="19"/>
  <c r="T1219" i="19"/>
  <c r="U1207" i="19"/>
  <c r="X1631" i="19"/>
  <c r="K1631" i="19" s="1"/>
  <c r="T768" i="19"/>
  <c r="T1637" i="19"/>
  <c r="U1500" i="19"/>
  <c r="W1386" i="19"/>
  <c r="U1284" i="19"/>
  <c r="X1181" i="19"/>
  <c r="K1181" i="19" s="1"/>
  <c r="G468" i="22" s="1"/>
  <c r="V1021" i="19"/>
  <c r="W816" i="19"/>
  <c r="X611" i="19"/>
  <c r="K611" i="19" s="1"/>
  <c r="T291" i="19"/>
  <c r="V40" i="19"/>
  <c r="V108" i="19"/>
  <c r="W155" i="19"/>
  <c r="R39" i="13" s="1"/>
  <c r="E28" i="15" s="1"/>
  <c r="F28" i="15" s="1"/>
  <c r="T190" i="19"/>
  <c r="W18" i="19"/>
  <c r="T53" i="19"/>
  <c r="V87" i="19"/>
  <c r="T121" i="19"/>
  <c r="V155" i="19"/>
  <c r="X189" i="19"/>
  <c r="V26" i="19"/>
  <c r="U95" i="19"/>
  <c r="V162" i="19"/>
  <c r="W213" i="19"/>
  <c r="V240" i="19"/>
  <c r="T266" i="19"/>
  <c r="W291" i="19"/>
  <c r="U317" i="19"/>
  <c r="X342" i="19"/>
  <c r="K342" i="19" s="1"/>
  <c r="G644" i="22" s="1"/>
  <c r="V368" i="19"/>
  <c r="T394" i="19"/>
  <c r="W419" i="19"/>
  <c r="U445" i="19"/>
  <c r="X470" i="19"/>
  <c r="K470" i="19" s="1"/>
  <c r="G102" i="22" s="1"/>
  <c r="V496" i="19"/>
  <c r="X514" i="19"/>
  <c r="X27" i="19"/>
  <c r="K27" i="19" s="1"/>
  <c r="G672" i="22" s="1"/>
  <c r="X59" i="19"/>
  <c r="W96" i="19"/>
  <c r="U130" i="19"/>
  <c r="U162" i="19"/>
  <c r="T199" i="19"/>
  <c r="U224" i="19"/>
  <c r="U240" i="19"/>
  <c r="W258" i="19"/>
  <c r="V275" i="19"/>
  <c r="V291" i="19"/>
  <c r="X309" i="19"/>
  <c r="W326" i="19"/>
  <c r="V339" i="19"/>
  <c r="U352" i="19"/>
  <c r="T365" i="19"/>
  <c r="X377" i="19"/>
  <c r="K377" i="19" s="1"/>
  <c r="G603" i="22" s="1"/>
  <c r="W390" i="19"/>
  <c r="R86" i="13" s="1"/>
  <c r="AE86" i="13" s="1"/>
  <c r="V403" i="19"/>
  <c r="U416" i="19"/>
  <c r="T429" i="19"/>
  <c r="X441" i="19"/>
  <c r="K441" i="19" s="1"/>
  <c r="W454" i="19"/>
  <c r="V467" i="19"/>
  <c r="U480" i="19"/>
  <c r="T493" i="19"/>
  <c r="X505" i="19"/>
  <c r="K505" i="19" s="1"/>
  <c r="G109" i="22" s="1"/>
  <c r="W518" i="19"/>
  <c r="X44" i="19"/>
  <c r="T96" i="19"/>
  <c r="U147" i="19"/>
  <c r="V198" i="19"/>
  <c r="X232" i="19"/>
  <c r="K232" i="19" s="1"/>
  <c r="V258" i="19"/>
  <c r="T284" i="19"/>
  <c r="W309" i="19"/>
  <c r="U335" i="19"/>
  <c r="X360" i="19"/>
  <c r="K360" i="19" s="1"/>
  <c r="G80" i="22" s="1"/>
  <c r="V386" i="19"/>
  <c r="T412" i="19"/>
  <c r="W437" i="19"/>
  <c r="U463" i="19"/>
  <c r="S463" i="19" s="1"/>
  <c r="X488" i="19"/>
  <c r="K488" i="19" s="1"/>
  <c r="V514" i="19"/>
  <c r="W531" i="19"/>
  <c r="V544" i="19"/>
  <c r="U557" i="19"/>
  <c r="T570" i="19"/>
  <c r="X582" i="19"/>
  <c r="K582" i="19" s="1"/>
  <c r="G683" i="22" s="1"/>
  <c r="W595" i="19"/>
  <c r="R127" i="13" s="1"/>
  <c r="E84" i="15" s="1"/>
  <c r="F84" i="15" s="1"/>
  <c r="V608" i="19"/>
  <c r="U621" i="19"/>
  <c r="T634" i="19"/>
  <c r="X646" i="19"/>
  <c r="K646" i="19" s="1"/>
  <c r="G766" i="22" s="1"/>
  <c r="W659" i="19"/>
  <c r="V672" i="19"/>
  <c r="U685" i="19"/>
  <c r="T698" i="19"/>
  <c r="X710" i="19"/>
  <c r="K710" i="19" s="1"/>
  <c r="G150" i="22" s="1"/>
  <c r="W723" i="19"/>
  <c r="V736" i="19"/>
  <c r="U749" i="19"/>
  <c r="T762" i="19"/>
  <c r="X774" i="19"/>
  <c r="W787" i="19"/>
  <c r="V796" i="19"/>
  <c r="W803" i="19"/>
  <c r="V808" i="19"/>
  <c r="V812" i="19"/>
  <c r="V816" i="19"/>
  <c r="U821" i="19"/>
  <c r="U825" i="19"/>
  <c r="U829" i="19"/>
  <c r="T834" i="19"/>
  <c r="T838" i="19"/>
  <c r="T842" i="19"/>
  <c r="X846" i="19"/>
  <c r="K846" i="19" s="1"/>
  <c r="G590" i="22" s="1"/>
  <c r="X850" i="19"/>
  <c r="K850" i="19" s="1"/>
  <c r="G178" i="22" s="1"/>
  <c r="X854" i="19"/>
  <c r="W859" i="19"/>
  <c r="W863" i="19"/>
  <c r="W867" i="19"/>
  <c r="V872" i="19"/>
  <c r="V876" i="19"/>
  <c r="V880" i="19"/>
  <c r="U885" i="19"/>
  <c r="U889" i="19"/>
  <c r="U893" i="19"/>
  <c r="T898" i="19"/>
  <c r="T902" i="19"/>
  <c r="T906" i="19"/>
  <c r="X910" i="19"/>
  <c r="K910" i="19" s="1"/>
  <c r="G190" i="22" s="1"/>
  <c r="X914" i="19"/>
  <c r="X918" i="19"/>
  <c r="K918" i="19" s="1"/>
  <c r="W923" i="19"/>
  <c r="W927" i="19"/>
  <c r="W931" i="19"/>
  <c r="V936" i="19"/>
  <c r="V940" i="19"/>
  <c r="V944" i="19"/>
  <c r="U949" i="19"/>
  <c r="U953" i="19"/>
  <c r="U957" i="19"/>
  <c r="T962" i="19"/>
  <c r="T966" i="19"/>
  <c r="T970" i="19"/>
  <c r="X974" i="19"/>
  <c r="X978" i="19"/>
  <c r="K978" i="19" s="1"/>
  <c r="X982" i="19"/>
  <c r="K982" i="19" s="1"/>
  <c r="W987" i="19"/>
  <c r="W991" i="19"/>
  <c r="W995" i="19"/>
  <c r="R207" i="13" s="1"/>
  <c r="E140" i="15" s="1"/>
  <c r="F140" i="15" s="1"/>
  <c r="V1000" i="19"/>
  <c r="V1004" i="19"/>
  <c r="V1008" i="19"/>
  <c r="U1013" i="19"/>
  <c r="U1017" i="19"/>
  <c r="U1021" i="19"/>
  <c r="T1026" i="19"/>
  <c r="T1030" i="19"/>
  <c r="T1034" i="19"/>
  <c r="X1038" i="19"/>
  <c r="K1038" i="19" s="1"/>
  <c r="G610" i="22" s="1"/>
  <c r="X1042" i="19"/>
  <c r="K1042" i="19" s="1"/>
  <c r="X1046" i="19"/>
  <c r="K1046" i="19" s="1"/>
  <c r="G438" i="22" s="1"/>
  <c r="W1051" i="19"/>
  <c r="W1055" i="19"/>
  <c r="R219" i="13" s="1"/>
  <c r="E147" i="15" s="1"/>
  <c r="F147" i="15" s="1"/>
  <c r="W1059" i="19"/>
  <c r="V1064" i="19"/>
  <c r="V1068" i="19"/>
  <c r="V1072" i="19"/>
  <c r="U1077" i="19"/>
  <c r="U1081" i="19"/>
  <c r="U1085" i="19"/>
  <c r="T1090" i="19"/>
  <c r="T1094" i="19"/>
  <c r="T1098" i="19"/>
  <c r="X1102" i="19"/>
  <c r="K1102" i="19" s="1"/>
  <c r="X1106" i="19"/>
  <c r="K1106" i="19" s="1"/>
  <c r="G560" i="22" s="1"/>
  <c r="X1110" i="19"/>
  <c r="K1110" i="19" s="1"/>
  <c r="F230" i="13" s="1"/>
  <c r="W1115" i="19"/>
  <c r="R231" i="13" s="1"/>
  <c r="W1119" i="19"/>
  <c r="W1123" i="19"/>
  <c r="V1128" i="19"/>
  <c r="V1132" i="19"/>
  <c r="V1136" i="19"/>
  <c r="V25" i="19"/>
  <c r="V41" i="19"/>
  <c r="V57" i="19"/>
  <c r="W76" i="19"/>
  <c r="W92" i="19"/>
  <c r="W108" i="19"/>
  <c r="X127" i="19"/>
  <c r="K127" i="19" s="1"/>
  <c r="X143" i="19"/>
  <c r="K143" i="19" s="1"/>
  <c r="G776" i="22" s="1"/>
  <c r="X159" i="19"/>
  <c r="T179" i="19"/>
  <c r="T195" i="19"/>
  <c r="T211" i="19"/>
  <c r="T223" i="19"/>
  <c r="T231" i="19"/>
  <c r="T239" i="19"/>
  <c r="W248" i="19"/>
  <c r="W256" i="19"/>
  <c r="W264" i="19"/>
  <c r="U274" i="19"/>
  <c r="U282" i="19"/>
  <c r="U290" i="19"/>
  <c r="X299" i="19"/>
  <c r="X307" i="19"/>
  <c r="K307" i="19" s="1"/>
  <c r="G431" i="22" s="1"/>
  <c r="X315" i="19"/>
  <c r="K315" i="19" s="1"/>
  <c r="F71" i="13" s="1"/>
  <c r="V325" i="19"/>
  <c r="V333" i="19"/>
  <c r="V341" i="19"/>
  <c r="T351" i="19"/>
  <c r="T359" i="19"/>
  <c r="T367" i="19"/>
  <c r="W376" i="19"/>
  <c r="W384" i="19"/>
  <c r="W392" i="19"/>
  <c r="U402" i="19"/>
  <c r="U410" i="19"/>
  <c r="U418" i="19"/>
  <c r="X427" i="19"/>
  <c r="K427" i="19" s="1"/>
  <c r="X435" i="19"/>
  <c r="K435" i="19" s="1"/>
  <c r="G95" i="22" s="1"/>
  <c r="X443" i="19"/>
  <c r="K443" i="19" s="1"/>
  <c r="V453" i="19"/>
  <c r="V461" i="19"/>
  <c r="V469" i="19"/>
  <c r="T479" i="19"/>
  <c r="T487" i="19"/>
  <c r="T495" i="19"/>
  <c r="W504" i="19"/>
  <c r="W512" i="19"/>
  <c r="W520" i="19"/>
  <c r="R112" i="13" s="1"/>
  <c r="E77" i="15" s="1"/>
  <c r="F77" i="15" s="1"/>
  <c r="W526" i="19"/>
  <c r="W530" i="19"/>
  <c r="R114" i="13" s="1"/>
  <c r="E78" i="15" s="1"/>
  <c r="F78" i="15" s="1"/>
  <c r="W534" i="19"/>
  <c r="V539" i="19"/>
  <c r="V543" i="19"/>
  <c r="V547" i="19"/>
  <c r="U552" i="19"/>
  <c r="U556" i="19"/>
  <c r="U560" i="19"/>
  <c r="T565" i="19"/>
  <c r="T569" i="19"/>
  <c r="T573" i="19"/>
  <c r="X577" i="19"/>
  <c r="K577" i="19" s="1"/>
  <c r="X581" i="19"/>
  <c r="K581" i="19" s="1"/>
  <c r="G424" i="22" s="1"/>
  <c r="X585" i="19"/>
  <c r="K585" i="19" s="1"/>
  <c r="F125" i="13" s="1"/>
  <c r="W590" i="19"/>
  <c r="R126" i="13" s="1"/>
  <c r="E83" i="15" s="1"/>
  <c r="F83" i="15" s="1"/>
  <c r="W594" i="19"/>
  <c r="W598" i="19"/>
  <c r="V603" i="19"/>
  <c r="V607" i="19"/>
  <c r="V611" i="19"/>
  <c r="U1138" i="19"/>
  <c r="X964" i="19"/>
  <c r="X572" i="19"/>
  <c r="K572" i="19" s="1"/>
  <c r="W569" i="19"/>
  <c r="V430" i="19"/>
  <c r="V1745" i="19"/>
  <c r="W1460" i="19"/>
  <c r="R300" i="13" s="1"/>
  <c r="E203" i="15" s="1"/>
  <c r="F203" i="15" s="1"/>
  <c r="U1688" i="19"/>
  <c r="V1551" i="19"/>
  <c r="T1425" i="19"/>
  <c r="W1322" i="19"/>
  <c r="U1220" i="19"/>
  <c r="U1098" i="19"/>
  <c r="V893" i="19"/>
  <c r="W688" i="19"/>
  <c r="W444" i="19"/>
  <c r="X14" i="19"/>
  <c r="X82" i="19"/>
  <c r="K82" i="19" s="1"/>
  <c r="G656" i="22" s="1"/>
  <c r="X142" i="19"/>
  <c r="K142" i="19" s="1"/>
  <c r="G563" i="22" s="1"/>
  <c r="U177" i="19"/>
  <c r="X210" i="19"/>
  <c r="K210" i="19" s="1"/>
  <c r="U40" i="19"/>
  <c r="W74" i="19"/>
  <c r="U108" i="19"/>
  <c r="W142" i="19"/>
  <c r="T177" i="19"/>
  <c r="W210" i="19"/>
  <c r="R50" i="13" s="1"/>
  <c r="E35" i="15" s="1"/>
  <c r="F35" i="15" s="1"/>
  <c r="W69" i="19"/>
  <c r="V138" i="19"/>
  <c r="V194" i="19"/>
  <c r="X230" i="19"/>
  <c r="K230" i="19" s="1"/>
  <c r="G54" i="22" s="1"/>
  <c r="V256" i="19"/>
  <c r="T282" i="19"/>
  <c r="W307" i="19"/>
  <c r="U333" i="19"/>
  <c r="X358" i="19"/>
  <c r="K358" i="19" s="1"/>
  <c r="V384" i="19"/>
  <c r="T410" i="19"/>
  <c r="S410" i="19" s="1"/>
  <c r="W435" i="19"/>
  <c r="R95" i="13" s="1"/>
  <c r="AE95" i="13" s="1"/>
  <c r="U461" i="19"/>
  <c r="X486" i="19"/>
  <c r="K486" i="19" s="1"/>
  <c r="G759" i="22" s="1"/>
  <c r="V508" i="19"/>
  <c r="T15" i="19"/>
  <c r="T47" i="19"/>
  <c r="X83" i="19"/>
  <c r="K83" i="19" s="1"/>
  <c r="V117" i="19"/>
  <c r="V149" i="19"/>
  <c r="U186" i="19"/>
  <c r="X217" i="19"/>
  <c r="K217" i="19" s="1"/>
  <c r="G564" i="22" s="1"/>
  <c r="X233" i="19"/>
  <c r="K233" i="19" s="1"/>
  <c r="U252" i="19"/>
  <c r="T269" i="19"/>
  <c r="T285" i="19"/>
  <c r="V303" i="19"/>
  <c r="U320" i="19"/>
  <c r="V335" i="19"/>
  <c r="U348" i="19"/>
  <c r="T361" i="19"/>
  <c r="X373" i="19"/>
  <c r="K373" i="19" s="1"/>
  <c r="W386" i="19"/>
  <c r="V399" i="19"/>
  <c r="U412" i="19"/>
  <c r="T425" i="19"/>
  <c r="X437" i="19"/>
  <c r="K437" i="19" s="1"/>
  <c r="W450" i="19"/>
  <c r="R98" i="13" s="1"/>
  <c r="AE98" i="13" s="1"/>
  <c r="V463" i="19"/>
  <c r="U476" i="19"/>
  <c r="T489" i="19"/>
  <c r="X501" i="19"/>
  <c r="K501" i="19" s="1"/>
  <c r="G723" i="22" s="1"/>
  <c r="W514" i="19"/>
  <c r="X28" i="19"/>
  <c r="K28" i="19" s="1"/>
  <c r="T80" i="19"/>
  <c r="U131" i="19"/>
  <c r="V182" i="19"/>
  <c r="X224" i="19"/>
  <c r="V250" i="19"/>
  <c r="T276" i="19"/>
  <c r="W301" i="19"/>
  <c r="U327" i="19"/>
  <c r="X352" i="19"/>
  <c r="K352" i="19" s="1"/>
  <c r="V378" i="19"/>
  <c r="T404" i="19"/>
  <c r="W429" i="19"/>
  <c r="U455" i="19"/>
  <c r="X480" i="19"/>
  <c r="K480" i="19" s="1"/>
  <c r="F104" i="13" s="1"/>
  <c r="V506" i="19"/>
  <c r="W527" i="19"/>
  <c r="V540" i="19"/>
  <c r="U553" i="19"/>
  <c r="T566" i="19"/>
  <c r="X578" i="19"/>
  <c r="K578" i="19" s="1"/>
  <c r="W591" i="19"/>
  <c r="V604" i="19"/>
  <c r="U617" i="19"/>
  <c r="T630" i="19"/>
  <c r="X642" i="19"/>
  <c r="K642" i="19" s="1"/>
  <c r="W655" i="19"/>
  <c r="R139" i="13" s="1"/>
  <c r="V668" i="19"/>
  <c r="U681" i="19"/>
  <c r="T694" i="19"/>
  <c r="X706" i="19"/>
  <c r="K706" i="19" s="1"/>
  <c r="G492" i="22" s="1"/>
  <c r="W719" i="19"/>
  <c r="V732" i="19"/>
  <c r="U745" i="19"/>
  <c r="T758" i="19"/>
  <c r="X770" i="19"/>
  <c r="K770" i="19" s="1"/>
  <c r="W783" i="19"/>
  <c r="U793" i="19"/>
  <c r="T802" i="19"/>
  <c r="X806" i="19"/>
  <c r="K806" i="19" s="1"/>
  <c r="G631" i="22" s="1"/>
  <c r="W811" i="19"/>
  <c r="W815" i="19"/>
  <c r="R171" i="13" s="1"/>
  <c r="E114" i="15" s="1"/>
  <c r="F114" i="15" s="1"/>
  <c r="W819" i="19"/>
  <c r="V824" i="19"/>
  <c r="V828" i="19"/>
  <c r="V832" i="19"/>
  <c r="U837" i="19"/>
  <c r="U841" i="19"/>
  <c r="U845" i="19"/>
  <c r="T850" i="19"/>
  <c r="T854" i="19"/>
  <c r="T858" i="19"/>
  <c r="X862" i="19"/>
  <c r="K862" i="19" s="1"/>
  <c r="X866" i="19"/>
  <c r="K866" i="19" s="1"/>
  <c r="G576" i="22" s="1"/>
  <c r="X870" i="19"/>
  <c r="K870" i="19" s="1"/>
  <c r="F182" i="13" s="1"/>
  <c r="W875" i="19"/>
  <c r="R183" i="13" s="1"/>
  <c r="E125" i="15" s="1"/>
  <c r="F125" i="15" s="1"/>
  <c r="W879" i="19"/>
  <c r="W883" i="19"/>
  <c r="V888" i="19"/>
  <c r="V892" i="19"/>
  <c r="V896" i="19"/>
  <c r="U901" i="19"/>
  <c r="U905" i="19"/>
  <c r="U909" i="19"/>
  <c r="T914" i="19"/>
  <c r="T918" i="19"/>
  <c r="T922" i="19"/>
  <c r="X926" i="19"/>
  <c r="K926" i="19" s="1"/>
  <c r="G452" i="22" s="1"/>
  <c r="X930" i="19"/>
  <c r="K930" i="19" s="1"/>
  <c r="G194" i="22" s="1"/>
  <c r="X934" i="19"/>
  <c r="W939" i="19"/>
  <c r="W943" i="19"/>
  <c r="W947" i="19"/>
  <c r="V952" i="19"/>
  <c r="V956" i="19"/>
  <c r="V960" i="19"/>
  <c r="U965" i="19"/>
  <c r="U969" i="19"/>
  <c r="U973" i="19"/>
  <c r="T978" i="19"/>
  <c r="T982" i="19"/>
  <c r="T986" i="19"/>
  <c r="X990" i="19"/>
  <c r="K990" i="19" s="1"/>
  <c r="G206" i="22" s="1"/>
  <c r="X994" i="19"/>
  <c r="X998" i="19"/>
  <c r="K998" i="19" s="1"/>
  <c r="W1003" i="19"/>
  <c r="W1007" i="19"/>
  <c r="W1011" i="19"/>
  <c r="V1016" i="19"/>
  <c r="V1020" i="19"/>
  <c r="V1024" i="19"/>
  <c r="U1029" i="19"/>
  <c r="U1033" i="19"/>
  <c r="U1037" i="19"/>
  <c r="S1037" i="19" s="1"/>
  <c r="T1042" i="19"/>
  <c r="T1046" i="19"/>
  <c r="T1050" i="19"/>
  <c r="X1054" i="19"/>
  <c r="X1058" i="19"/>
  <c r="K1058" i="19" s="1"/>
  <c r="X1062" i="19"/>
  <c r="K1062" i="19" s="1"/>
  <c r="W1067" i="19"/>
  <c r="W1071" i="19"/>
  <c r="W1075" i="19"/>
  <c r="R223" i="13" s="1"/>
  <c r="E151" i="15" s="1"/>
  <c r="F151" i="15" s="1"/>
  <c r="V1080" i="19"/>
  <c r="V1084" i="19"/>
  <c r="V1088" i="19"/>
  <c r="U1093" i="19"/>
  <c r="U1097" i="19"/>
  <c r="U1101" i="19"/>
  <c r="T1106" i="19"/>
  <c r="T1110" i="19"/>
  <c r="T1114" i="19"/>
  <c r="X1118" i="19"/>
  <c r="K1118" i="19" s="1"/>
  <c r="X1122" i="19"/>
  <c r="K1122" i="19" s="1"/>
  <c r="G612" i="22" s="1"/>
  <c r="X1126" i="19"/>
  <c r="K1126" i="19" s="1"/>
  <c r="G406" i="22" s="1"/>
  <c r="W1131" i="19"/>
  <c r="W1135" i="19"/>
  <c r="R235" i="13" s="1"/>
  <c r="E160" i="15" s="1"/>
  <c r="F160" i="15" s="1"/>
  <c r="T19" i="19"/>
  <c r="U38" i="19"/>
  <c r="U54" i="19"/>
  <c r="U70" i="19"/>
  <c r="V89" i="19"/>
  <c r="V105" i="19"/>
  <c r="V121" i="19"/>
  <c r="W140" i="19"/>
  <c r="R36" i="13" s="1"/>
  <c r="E26" i="15" s="1"/>
  <c r="F26" i="15" s="1"/>
  <c r="W156" i="19"/>
  <c r="W172" i="19"/>
  <c r="X191" i="19"/>
  <c r="K191" i="19" s="1"/>
  <c r="G363" i="22" s="1"/>
  <c r="X207" i="19"/>
  <c r="K207" i="19" s="1"/>
  <c r="G796" i="22" s="1"/>
  <c r="X219" i="19"/>
  <c r="V229" i="19"/>
  <c r="V237" i="19"/>
  <c r="V245" i="19"/>
  <c r="T255" i="19"/>
  <c r="T263" i="19"/>
  <c r="T271" i="19"/>
  <c r="W280" i="19"/>
  <c r="R64" i="13" s="1"/>
  <c r="W288" i="19"/>
  <c r="W296" i="19"/>
  <c r="U306" i="19"/>
  <c r="U314" i="19"/>
  <c r="U322" i="19"/>
  <c r="X331" i="19"/>
  <c r="K331" i="19" s="1"/>
  <c r="G730" i="22" s="1"/>
  <c r="X339" i="19"/>
  <c r="X347" i="19"/>
  <c r="K347" i="19" s="1"/>
  <c r="G602" i="22" s="1"/>
  <c r="V357" i="19"/>
  <c r="V365" i="19"/>
  <c r="V373" i="19"/>
  <c r="T383" i="19"/>
  <c r="T391" i="19"/>
  <c r="T399" i="19"/>
  <c r="W408" i="19"/>
  <c r="W416" i="19"/>
  <c r="W424" i="19"/>
  <c r="U434" i="19"/>
  <c r="U442" i="19"/>
  <c r="U450" i="19"/>
  <c r="X459" i="19"/>
  <c r="X467" i="19"/>
  <c r="K467" i="19" s="1"/>
  <c r="X475" i="19"/>
  <c r="K475" i="19" s="1"/>
  <c r="F103" i="13" s="1"/>
  <c r="V485" i="19"/>
  <c r="V493" i="19"/>
  <c r="V501" i="19"/>
  <c r="T511" i="19"/>
  <c r="T519" i="19"/>
  <c r="T525" i="19"/>
  <c r="X529" i="19"/>
  <c r="X533" i="19"/>
  <c r="K533" i="19" s="1"/>
  <c r="X537" i="19"/>
  <c r="K537" i="19" s="1"/>
  <c r="G605" i="22" s="1"/>
  <c r="W542" i="19"/>
  <c r="W546" i="19"/>
  <c r="W550" i="19"/>
  <c r="R118" i="13" s="1"/>
  <c r="V555" i="19"/>
  <c r="V559" i="19"/>
  <c r="V563" i="19"/>
  <c r="U568" i="19"/>
  <c r="U572" i="19"/>
  <c r="U576" i="19"/>
  <c r="T581" i="19"/>
  <c r="T585" i="19"/>
  <c r="T589" i="19"/>
  <c r="X593" i="19"/>
  <c r="K593" i="19" s="1"/>
  <c r="X597" i="19"/>
  <c r="K597" i="19" s="1"/>
  <c r="X601" i="19"/>
  <c r="K601" i="19" s="1"/>
  <c r="W606" i="19"/>
  <c r="W610" i="19"/>
  <c r="R130" i="13" s="1"/>
  <c r="E85" i="15" s="1"/>
  <c r="F85" i="15" s="1"/>
  <c r="U827" i="19"/>
  <c r="T1424" i="19"/>
  <c r="T1412" i="19"/>
  <c r="T1705" i="19"/>
  <c r="X1437" i="19"/>
  <c r="K1437" i="19" s="1"/>
  <c r="G650" i="22" s="1"/>
  <c r="T1233" i="19"/>
  <c r="T919" i="19"/>
  <c r="X495" i="19"/>
  <c r="K495" i="19" s="1"/>
  <c r="F107" i="13" s="1"/>
  <c r="X74" i="19"/>
  <c r="V172" i="19"/>
  <c r="U36" i="19"/>
  <c r="U104" i="19"/>
  <c r="S104" i="19" s="1"/>
  <c r="U172" i="19"/>
  <c r="W61" i="19"/>
  <c r="T188" i="19"/>
  <c r="U253" i="19"/>
  <c r="V304" i="19"/>
  <c r="W355" i="19"/>
  <c r="R79" i="13" s="1"/>
  <c r="X406" i="19"/>
  <c r="K406" i="19" s="1"/>
  <c r="G403" i="22" s="1"/>
  <c r="T458" i="19"/>
  <c r="T506" i="19"/>
  <c r="V45" i="19"/>
  <c r="T111" i="19"/>
  <c r="V181" i="19"/>
  <c r="T233" i="19"/>
  <c r="X265" i="19"/>
  <c r="K265" i="19" s="1"/>
  <c r="G61" i="22" s="1"/>
  <c r="T301" i="19"/>
  <c r="T333" i="19"/>
  <c r="W358" i="19"/>
  <c r="U384" i="19"/>
  <c r="X409" i="19"/>
  <c r="V435" i="19"/>
  <c r="T461" i="19"/>
  <c r="W486" i="19"/>
  <c r="U512" i="19"/>
  <c r="V70" i="19"/>
  <c r="X172" i="19"/>
  <c r="K172" i="19" s="1"/>
  <c r="W245" i="19"/>
  <c r="R57" i="13" s="1"/>
  <c r="E40" i="15" s="1"/>
  <c r="F40" i="15" s="1"/>
  <c r="X296" i="19"/>
  <c r="K296" i="19" s="1"/>
  <c r="G365" i="22" s="1"/>
  <c r="T348" i="19"/>
  <c r="U399" i="19"/>
  <c r="V450" i="19"/>
  <c r="W501" i="19"/>
  <c r="T538" i="19"/>
  <c r="W563" i="19"/>
  <c r="U589" i="19"/>
  <c r="X614" i="19"/>
  <c r="V640" i="19"/>
  <c r="T666" i="19"/>
  <c r="W691" i="19"/>
  <c r="U717" i="19"/>
  <c r="X742" i="19"/>
  <c r="K742" i="19" s="1"/>
  <c r="G646" i="22" s="1"/>
  <c r="V768" i="19"/>
  <c r="V792" i="19"/>
  <c r="T806" i="19"/>
  <c r="X814" i="19"/>
  <c r="X822" i="19"/>
  <c r="K822" i="19" s="1"/>
  <c r="W831" i="19"/>
  <c r="V840" i="19"/>
  <c r="V848" i="19"/>
  <c r="U857" i="19"/>
  <c r="T866" i="19"/>
  <c r="T874" i="19"/>
  <c r="X882" i="19"/>
  <c r="K882" i="19" s="1"/>
  <c r="G805" i="22" s="1"/>
  <c r="W891" i="19"/>
  <c r="W899" i="19"/>
  <c r="V908" i="19"/>
  <c r="U917" i="19"/>
  <c r="U925" i="19"/>
  <c r="T934" i="19"/>
  <c r="X942" i="19"/>
  <c r="K942" i="19" s="1"/>
  <c r="G807" i="22" s="1"/>
  <c r="X950" i="19"/>
  <c r="K950" i="19" s="1"/>
  <c r="F198" i="13" s="1"/>
  <c r="W959" i="19"/>
  <c r="V968" i="19"/>
  <c r="V976" i="19"/>
  <c r="U985" i="19"/>
  <c r="T994" i="19"/>
  <c r="T1002" i="19"/>
  <c r="X1010" i="19"/>
  <c r="K1010" i="19" s="1"/>
  <c r="W1019" i="19"/>
  <c r="W1027" i="19"/>
  <c r="V1036" i="19"/>
  <c r="U1045" i="19"/>
  <c r="U1053" i="19"/>
  <c r="T1062" i="19"/>
  <c r="X1070" i="19"/>
  <c r="K1070" i="19" s="1"/>
  <c r="F222" i="13" s="1"/>
  <c r="X1078" i="19"/>
  <c r="K1078" i="19" s="1"/>
  <c r="W1087" i="19"/>
  <c r="V1096" i="19"/>
  <c r="V1104" i="19"/>
  <c r="U1113" i="19"/>
  <c r="T1122" i="19"/>
  <c r="T1130" i="19"/>
  <c r="X15" i="19"/>
  <c r="K15" i="19" s="1"/>
  <c r="T51" i="19"/>
  <c r="T83" i="19"/>
  <c r="U118" i="19"/>
  <c r="V153" i="19"/>
  <c r="V185" i="19"/>
  <c r="U218" i="19"/>
  <c r="X235" i="19"/>
  <c r="K235" i="19" s="1"/>
  <c r="F55" i="13" s="1"/>
  <c r="X251" i="19"/>
  <c r="K251" i="19" s="1"/>
  <c r="V269" i="19"/>
  <c r="T287" i="19"/>
  <c r="T303" i="19"/>
  <c r="W320" i="19"/>
  <c r="R72" i="13" s="1"/>
  <c r="E48" i="15" s="1"/>
  <c r="F48" i="15" s="1"/>
  <c r="U338" i="19"/>
  <c r="U354" i="19"/>
  <c r="X371" i="19"/>
  <c r="K371" i="19" s="1"/>
  <c r="G557" i="22" s="1"/>
  <c r="V389" i="19"/>
  <c r="V405" i="19"/>
  <c r="T423" i="19"/>
  <c r="W440" i="19"/>
  <c r="R96" i="13" s="1"/>
  <c r="E64" i="15" s="1"/>
  <c r="F64" i="15" s="1"/>
  <c r="W456" i="19"/>
  <c r="U474" i="19"/>
  <c r="X491" i="19"/>
  <c r="K491" i="19" s="1"/>
  <c r="G658" i="22" s="1"/>
  <c r="X507" i="19"/>
  <c r="K507" i="19" s="1"/>
  <c r="U524" i="19"/>
  <c r="T533" i="19"/>
  <c r="T541" i="19"/>
  <c r="X549" i="19"/>
  <c r="W558" i="19"/>
  <c r="W566" i="19"/>
  <c r="V575" i="19"/>
  <c r="U584" i="19"/>
  <c r="U592" i="19"/>
  <c r="T601" i="19"/>
  <c r="X609" i="19"/>
  <c r="U616" i="19"/>
  <c r="U620" i="19"/>
  <c r="U624" i="19"/>
  <c r="T629" i="19"/>
  <c r="T633" i="19"/>
  <c r="T637" i="19"/>
  <c r="X641" i="19"/>
  <c r="K641" i="19" s="1"/>
  <c r="X645" i="19"/>
  <c r="K645" i="19" s="1"/>
  <c r="F137" i="13" s="1"/>
  <c r="X649" i="19"/>
  <c r="W654" i="19"/>
  <c r="W658" i="19"/>
  <c r="W662" i="19"/>
  <c r="V667" i="19"/>
  <c r="V671" i="19"/>
  <c r="V675" i="19"/>
  <c r="U680" i="19"/>
  <c r="U684" i="19"/>
  <c r="S684" i="19" s="1"/>
  <c r="U688" i="19"/>
  <c r="T693" i="19"/>
  <c r="T697" i="19"/>
  <c r="T701" i="19"/>
  <c r="X705" i="19"/>
  <c r="K705" i="19" s="1"/>
  <c r="G149" i="22" s="1"/>
  <c r="X709" i="19"/>
  <c r="X713" i="19"/>
  <c r="K713" i="19" s="1"/>
  <c r="W718" i="19"/>
  <c r="W722" i="19"/>
  <c r="W726" i="19"/>
  <c r="V731" i="19"/>
  <c r="V735" i="19"/>
  <c r="V739" i="19"/>
  <c r="U744" i="19"/>
  <c r="U748" i="19"/>
  <c r="U752" i="19"/>
  <c r="T757" i="19"/>
  <c r="T761" i="19"/>
  <c r="T765" i="19"/>
  <c r="X769" i="19"/>
  <c r="X773" i="19"/>
  <c r="K773" i="19" s="1"/>
  <c r="X777" i="19"/>
  <c r="K777" i="19" s="1"/>
  <c r="W782" i="19"/>
  <c r="W786" i="19"/>
  <c r="W790" i="19"/>
  <c r="R166" i="13" s="1"/>
  <c r="AE166" i="13" s="1"/>
  <c r="V795" i="19"/>
  <c r="V799" i="19"/>
  <c r="V803" i="19"/>
  <c r="U808" i="19"/>
  <c r="U812" i="19"/>
  <c r="U816" i="19"/>
  <c r="T821" i="19"/>
  <c r="S821" i="19" s="1"/>
  <c r="T825" i="19"/>
  <c r="S825" i="19" s="1"/>
  <c r="U828" i="19"/>
  <c r="V831" i="19"/>
  <c r="W834" i="19"/>
  <c r="X837" i="19"/>
  <c r="K837" i="19" s="1"/>
  <c r="G589" i="22" s="1"/>
  <c r="T841" i="19"/>
  <c r="U844" i="19"/>
  <c r="V847" i="19"/>
  <c r="W850" i="19"/>
  <c r="R178" i="13" s="1"/>
  <c r="E120" i="15" s="1"/>
  <c r="F120" i="15" s="1"/>
  <c r="X853" i="19"/>
  <c r="K853" i="19" s="1"/>
  <c r="T857" i="19"/>
  <c r="U860" i="19"/>
  <c r="V863" i="19"/>
  <c r="W866" i="19"/>
  <c r="X869" i="19"/>
  <c r="T873" i="19"/>
  <c r="U876" i="19"/>
  <c r="V879" i="19"/>
  <c r="W882" i="19"/>
  <c r="X885" i="19"/>
  <c r="K885" i="19" s="1"/>
  <c r="G185" i="22" s="1"/>
  <c r="T889" i="19"/>
  <c r="U892" i="19"/>
  <c r="V895" i="19"/>
  <c r="W898" i="19"/>
  <c r="X901" i="19"/>
  <c r="K901" i="19" s="1"/>
  <c r="G454" i="22" s="1"/>
  <c r="T905" i="19"/>
  <c r="U908" i="19"/>
  <c r="V911" i="19"/>
  <c r="W914" i="19"/>
  <c r="X917" i="19"/>
  <c r="K917" i="19" s="1"/>
  <c r="T921" i="19"/>
  <c r="U924" i="19"/>
  <c r="V927" i="19"/>
  <c r="W930" i="19"/>
  <c r="R194" i="13" s="1"/>
  <c r="AE194" i="13" s="1"/>
  <c r="X933" i="19"/>
  <c r="K933" i="19" s="1"/>
  <c r="T937" i="19"/>
  <c r="U940" i="19"/>
  <c r="V943" i="19"/>
  <c r="W946" i="19"/>
  <c r="X949" i="19"/>
  <c r="T953" i="19"/>
  <c r="U956" i="19"/>
  <c r="V959" i="19"/>
  <c r="W962" i="19"/>
  <c r="X965" i="19"/>
  <c r="K965" i="19" s="1"/>
  <c r="G201" i="22" s="1"/>
  <c r="T969" i="19"/>
  <c r="U972" i="19"/>
  <c r="V975" i="19"/>
  <c r="W978" i="19"/>
  <c r="X981" i="19"/>
  <c r="K981" i="19" s="1"/>
  <c r="T985" i="19"/>
  <c r="S985" i="19" s="1"/>
  <c r="U988" i="19"/>
  <c r="V991" i="19"/>
  <c r="W994" i="19"/>
  <c r="X997" i="19"/>
  <c r="K997" i="19" s="1"/>
  <c r="T1001" i="19"/>
  <c r="U1004" i="19"/>
  <c r="V1007" i="19"/>
  <c r="W1010" i="19"/>
  <c r="R210" i="13" s="1"/>
  <c r="E142" i="15" s="1"/>
  <c r="F142" i="15" s="1"/>
  <c r="X1013" i="19"/>
  <c r="K1013" i="19" s="1"/>
  <c r="T1017" i="19"/>
  <c r="U1020" i="19"/>
  <c r="V1023" i="19"/>
  <c r="W1026" i="19"/>
  <c r="X1029" i="19"/>
  <c r="T1033" i="19"/>
  <c r="S1033" i="19" s="1"/>
  <c r="U1036" i="19"/>
  <c r="V1039" i="19"/>
  <c r="W1042" i="19"/>
  <c r="X1045" i="19"/>
  <c r="K1045" i="19" s="1"/>
  <c r="G217" i="22" s="1"/>
  <c r="T1049" i="19"/>
  <c r="U1052" i="19"/>
  <c r="V1055" i="19"/>
  <c r="W1058" i="19"/>
  <c r="X1061" i="19"/>
  <c r="K1061" i="19" s="1"/>
  <c r="G625" i="22" s="1"/>
  <c r="T1065" i="19"/>
  <c r="U1068" i="19"/>
  <c r="V1071" i="19"/>
  <c r="W1074" i="19"/>
  <c r="X1077" i="19"/>
  <c r="K1077" i="19" s="1"/>
  <c r="T1081" i="19"/>
  <c r="S1081" i="19" s="1"/>
  <c r="U1084" i="19"/>
  <c r="S1084" i="19" s="1"/>
  <c r="V1087" i="19"/>
  <c r="W1090" i="19"/>
  <c r="R226" i="13" s="1"/>
  <c r="AE226" i="13" s="1"/>
  <c r="X1093" i="19"/>
  <c r="K1093" i="19" s="1"/>
  <c r="T1097" i="19"/>
  <c r="U1100" i="19"/>
  <c r="V1103" i="19"/>
  <c r="W1106" i="19"/>
  <c r="X1109" i="19"/>
  <c r="T1113" i="19"/>
  <c r="U1116" i="19"/>
  <c r="V1119" i="19"/>
  <c r="W1122" i="19"/>
  <c r="X1125" i="19"/>
  <c r="K1125" i="19" s="1"/>
  <c r="F233" i="13" s="1"/>
  <c r="T1129" i="19"/>
  <c r="U1132" i="19"/>
  <c r="V1135" i="19"/>
  <c r="V1764" i="19"/>
  <c r="U1761" i="19"/>
  <c r="T1758" i="19"/>
  <c r="X1754" i="19"/>
  <c r="W1751" i="19"/>
  <c r="V1748" i="19"/>
  <c r="U1745" i="19"/>
  <c r="T1742" i="19"/>
  <c r="X1738" i="19"/>
  <c r="K1738" i="19" s="1"/>
  <c r="W1735" i="19"/>
  <c r="R355" i="13" s="1"/>
  <c r="E240" i="15" s="1"/>
  <c r="F240" i="15" s="1"/>
  <c r="V1732" i="19"/>
  <c r="U1729" i="19"/>
  <c r="T1726" i="19"/>
  <c r="X1722" i="19"/>
  <c r="K1722" i="19" s="1"/>
  <c r="W1719" i="19"/>
  <c r="V1716" i="19"/>
  <c r="U1713" i="19"/>
  <c r="T1710" i="19"/>
  <c r="X1706" i="19"/>
  <c r="K1706" i="19" s="1"/>
  <c r="G435" i="22" s="1"/>
  <c r="W1703" i="19"/>
  <c r="V1700" i="19"/>
  <c r="U1697" i="19"/>
  <c r="T1694" i="19"/>
  <c r="X1690" i="19"/>
  <c r="K1690" i="19" s="1"/>
  <c r="F346" i="13" s="1"/>
  <c r="W1687" i="19"/>
  <c r="V1684" i="19"/>
  <c r="U1681" i="19"/>
  <c r="T1678" i="19"/>
  <c r="X1674" i="19"/>
  <c r="W1671" i="19"/>
  <c r="V1668" i="19"/>
  <c r="U1665" i="19"/>
  <c r="T1662" i="19"/>
  <c r="X1658" i="19"/>
  <c r="K1658" i="19" s="1"/>
  <c r="W1655" i="19"/>
  <c r="R339" i="13" s="1"/>
  <c r="E229" i="15" s="1"/>
  <c r="F229" i="15" s="1"/>
  <c r="V1652" i="19"/>
  <c r="U1649" i="19"/>
  <c r="T1646" i="19"/>
  <c r="X1642" i="19"/>
  <c r="K1642" i="19" s="1"/>
  <c r="W1639" i="19"/>
  <c r="V1636" i="19"/>
  <c r="U1633" i="19"/>
  <c r="T1630" i="19"/>
  <c r="X1626" i="19"/>
  <c r="K1626" i="19" s="1"/>
  <c r="G531" i="22" s="1"/>
  <c r="W1623" i="19"/>
  <c r="V1620" i="19"/>
  <c r="U1617" i="19"/>
  <c r="T1614" i="19"/>
  <c r="X1610" i="19"/>
  <c r="K1610" i="19" s="1"/>
  <c r="G330" i="22" s="1"/>
  <c r="W1607" i="19"/>
  <c r="V1604" i="19"/>
  <c r="U1601" i="19"/>
  <c r="T1598" i="19"/>
  <c r="X1594" i="19"/>
  <c r="W1591" i="19"/>
  <c r="V1588" i="19"/>
  <c r="U1585" i="19"/>
  <c r="T1582" i="19"/>
  <c r="X1578" i="19"/>
  <c r="K1578" i="19" s="1"/>
  <c r="W1575" i="19"/>
  <c r="R323" i="13" s="1"/>
  <c r="E218" i="15" s="1"/>
  <c r="F218" i="15" s="1"/>
  <c r="V1572" i="19"/>
  <c r="U1569" i="19"/>
  <c r="T1566" i="19"/>
  <c r="X1562" i="19"/>
  <c r="K1562" i="19" s="1"/>
  <c r="G714" i="22" s="1"/>
  <c r="W1559" i="19"/>
  <c r="V1556" i="19"/>
  <c r="U1553" i="19"/>
  <c r="T1550" i="19"/>
  <c r="X1546" i="19"/>
  <c r="K1546" i="19" s="1"/>
  <c r="W1543" i="19"/>
  <c r="V1540" i="19"/>
  <c r="U1537" i="19"/>
  <c r="T1534" i="19"/>
  <c r="X1530" i="19"/>
  <c r="K1530" i="19" s="1"/>
  <c r="G314" i="22" s="1"/>
  <c r="W1527" i="19"/>
  <c r="V1524" i="19"/>
  <c r="U1521" i="19"/>
  <c r="T1518" i="19"/>
  <c r="X1514" i="19"/>
  <c r="W1511" i="19"/>
  <c r="V1508" i="19"/>
  <c r="U1505" i="19"/>
  <c r="T1502" i="19"/>
  <c r="X1498" i="19"/>
  <c r="K1498" i="19" s="1"/>
  <c r="W1495" i="19"/>
  <c r="R307" i="13" s="1"/>
  <c r="E208" i="15" s="1"/>
  <c r="F208" i="15" s="1"/>
  <c r="V1492" i="19"/>
  <c r="U1489" i="19"/>
  <c r="T1486" i="19"/>
  <c r="X1482" i="19"/>
  <c r="K1482" i="19" s="1"/>
  <c r="W1479" i="19"/>
  <c r="V1476" i="19"/>
  <c r="U1473" i="19"/>
  <c r="T1470" i="19"/>
  <c r="X1466" i="19"/>
  <c r="K1466" i="19" s="1"/>
  <c r="G620" i="22" s="1"/>
  <c r="W1463" i="19"/>
  <c r="V1460" i="19"/>
  <c r="U1457" i="19"/>
  <c r="T1454" i="19"/>
  <c r="X1450" i="19"/>
  <c r="K1450" i="19" s="1"/>
  <c r="G298" i="22" s="1"/>
  <c r="W1447" i="19"/>
  <c r="V1444" i="19"/>
  <c r="U1441" i="19"/>
  <c r="T1438" i="19"/>
  <c r="X1434" i="19"/>
  <c r="W1431" i="19"/>
  <c r="V1428" i="19"/>
  <c r="U1425" i="19"/>
  <c r="S1425" i="19" s="1"/>
  <c r="T1422" i="19"/>
  <c r="X1418" i="19"/>
  <c r="K1418" i="19" s="1"/>
  <c r="W1415" i="19"/>
  <c r="R291" i="13" s="1"/>
  <c r="V1412" i="19"/>
  <c r="U1409" i="19"/>
  <c r="T1406" i="19"/>
  <c r="X1402" i="19"/>
  <c r="K1402" i="19" s="1"/>
  <c r="W1399" i="19"/>
  <c r="V1396" i="19"/>
  <c r="U1393" i="19"/>
  <c r="T1390" i="19"/>
  <c r="X1386" i="19"/>
  <c r="K1386" i="19" s="1"/>
  <c r="G476" i="22" s="1"/>
  <c r="W1383" i="19"/>
  <c r="V1380" i="19"/>
  <c r="U1377" i="19"/>
  <c r="T1374" i="19"/>
  <c r="X1370" i="19"/>
  <c r="K1370" i="19" s="1"/>
  <c r="G282" i="22" s="1"/>
  <c r="W1367" i="19"/>
  <c r="V1364" i="19"/>
  <c r="U1361" i="19"/>
  <c r="T1358" i="19"/>
  <c r="X1354" i="19"/>
  <c r="W1351" i="19"/>
  <c r="V1348" i="19"/>
  <c r="U1345" i="19"/>
  <c r="T1342" i="19"/>
  <c r="X1338" i="19"/>
  <c r="K1338" i="19" s="1"/>
  <c r="W1335" i="19"/>
  <c r="R275" i="13" s="1"/>
  <c r="AE275" i="13" s="1"/>
  <c r="V1332" i="19"/>
  <c r="U1329" i="19"/>
  <c r="T1326" i="19"/>
  <c r="X1322" i="19"/>
  <c r="K1322" i="19" s="1"/>
  <c r="W1319" i="19"/>
  <c r="V1316" i="19"/>
  <c r="U1313" i="19"/>
  <c r="T1310" i="19"/>
  <c r="X1306" i="19"/>
  <c r="K1306" i="19" s="1"/>
  <c r="G409" i="22" s="1"/>
  <c r="W1303" i="19"/>
  <c r="V1300" i="19"/>
  <c r="U1297" i="19"/>
  <c r="T1294" i="19"/>
  <c r="X1290" i="19"/>
  <c r="K1290" i="19" s="1"/>
  <c r="G266" i="22" s="1"/>
  <c r="W1287" i="19"/>
  <c r="V1284" i="19"/>
  <c r="U1281" i="19"/>
  <c r="T1278" i="19"/>
  <c r="X1274" i="19"/>
  <c r="W1271" i="19"/>
  <c r="V1268" i="19"/>
  <c r="U1265" i="19"/>
  <c r="T1262" i="19"/>
  <c r="X1258" i="19"/>
  <c r="K1258" i="19" s="1"/>
  <c r="W1255" i="19"/>
  <c r="R259" i="13" s="1"/>
  <c r="AE259" i="13" s="1"/>
  <c r="V1252" i="19"/>
  <c r="U1249" i="19"/>
  <c r="T1246" i="19"/>
  <c r="X1242" i="19"/>
  <c r="K1242" i="19" s="1"/>
  <c r="G568" i="22" s="1"/>
  <c r="W1239" i="19"/>
  <c r="V1236" i="19"/>
  <c r="U1233" i="19"/>
  <c r="S1233" i="19" s="1"/>
  <c r="T1230" i="19"/>
  <c r="X1226" i="19"/>
  <c r="K1226" i="19" s="1"/>
  <c r="G561" i="22" s="1"/>
  <c r="W1223" i="19"/>
  <c r="V1220" i="19"/>
  <c r="U1217" i="19"/>
  <c r="T1214" i="19"/>
  <c r="X1210" i="19"/>
  <c r="K1210" i="19" s="1"/>
  <c r="G250" i="22" s="1"/>
  <c r="W1207" i="19"/>
  <c r="V1204" i="19"/>
  <c r="U1201" i="19"/>
  <c r="T1198" i="19"/>
  <c r="X1194" i="19"/>
  <c r="W1191" i="19"/>
  <c r="V1188" i="19"/>
  <c r="U1185" i="19"/>
  <c r="T1182" i="19"/>
  <c r="X1178" i="19"/>
  <c r="K1178" i="19" s="1"/>
  <c r="W1175" i="19"/>
  <c r="R243" i="13" s="1"/>
  <c r="AE243" i="13" s="1"/>
  <c r="V1172" i="19"/>
  <c r="U1169" i="19"/>
  <c r="S1169" i="19" s="1"/>
  <c r="T1166" i="19"/>
  <c r="X1162" i="19"/>
  <c r="K1162" i="19" s="1"/>
  <c r="W1159" i="19"/>
  <c r="V1156" i="19"/>
  <c r="U1153" i="19"/>
  <c r="T1150" i="19"/>
  <c r="X1146" i="19"/>
  <c r="K1146" i="19" s="1"/>
  <c r="G526" i="22" s="1"/>
  <c r="W1143" i="19"/>
  <c r="V1140" i="19"/>
  <c r="X1136" i="19"/>
  <c r="K1136" i="19" s="1"/>
  <c r="G741" i="22" s="1"/>
  <c r="V1130" i="19"/>
  <c r="T1124" i="19"/>
  <c r="W1117" i="19"/>
  <c r="U1111" i="19"/>
  <c r="X1104" i="19"/>
  <c r="V1098" i="19"/>
  <c r="T1092" i="19"/>
  <c r="W1085" i="19"/>
  <c r="R225" i="13" s="1"/>
  <c r="U1079" i="19"/>
  <c r="X1072" i="19"/>
  <c r="K1072" i="19" s="1"/>
  <c r="G538" i="22" s="1"/>
  <c r="V1066" i="19"/>
  <c r="T1060" i="19"/>
  <c r="W1053" i="19"/>
  <c r="U1047" i="19"/>
  <c r="X1040" i="19"/>
  <c r="K1040" i="19" s="1"/>
  <c r="G216" i="22" s="1"/>
  <c r="V1034" i="19"/>
  <c r="T1028" i="19"/>
  <c r="W1021" i="19"/>
  <c r="U1015" i="19"/>
  <c r="X1008" i="19"/>
  <c r="K1008" i="19" s="1"/>
  <c r="V1002" i="19"/>
  <c r="T996" i="19"/>
  <c r="W989" i="19"/>
  <c r="U983" i="19"/>
  <c r="X976" i="19"/>
  <c r="K976" i="19" s="1"/>
  <c r="G420" i="22" s="1"/>
  <c r="V970" i="19"/>
  <c r="T964" i="19"/>
  <c r="W957" i="19"/>
  <c r="U951" i="19"/>
  <c r="X944" i="19"/>
  <c r="V938" i="19"/>
  <c r="T932" i="19"/>
  <c r="W925" i="19"/>
  <c r="R193" i="13" s="1"/>
  <c r="E132" i="15" s="1"/>
  <c r="U919" i="19"/>
  <c r="X912" i="19"/>
  <c r="K912" i="19" s="1"/>
  <c r="V906" i="19"/>
  <c r="T1059" i="19"/>
  <c r="V1270" i="19"/>
  <c r="V1258" i="19"/>
  <c r="U1756" i="19"/>
  <c r="V1483" i="19"/>
  <c r="V1271" i="19"/>
  <c r="X995" i="19"/>
  <c r="K995" i="19" s="1"/>
  <c r="U586" i="19"/>
  <c r="U49" i="19"/>
  <c r="W159" i="19"/>
  <c r="V23" i="19"/>
  <c r="V91" i="19"/>
  <c r="V159" i="19"/>
  <c r="T36" i="19"/>
  <c r="X168" i="19"/>
  <c r="K168" i="19" s="1"/>
  <c r="W243" i="19"/>
  <c r="X294" i="19"/>
  <c r="T346" i="19"/>
  <c r="U397" i="19"/>
  <c r="V448" i="19"/>
  <c r="W499" i="19"/>
  <c r="W32" i="19"/>
  <c r="U98" i="19"/>
  <c r="W168" i="19"/>
  <c r="W226" i="19"/>
  <c r="V259" i="19"/>
  <c r="W294" i="19"/>
  <c r="T329" i="19"/>
  <c r="W354" i="19"/>
  <c r="U380" i="19"/>
  <c r="X405" i="19"/>
  <c r="K405" i="19" s="1"/>
  <c r="G89" i="22" s="1"/>
  <c r="V431" i="19"/>
  <c r="T457" i="19"/>
  <c r="W482" i="19"/>
  <c r="U508" i="19"/>
  <c r="V54" i="19"/>
  <c r="X156" i="19"/>
  <c r="K156" i="19" s="1"/>
  <c r="G582" i="22" s="1"/>
  <c r="W237" i="19"/>
  <c r="X288" i="19"/>
  <c r="K288" i="19" s="1"/>
  <c r="T340" i="19"/>
  <c r="U391" i="19"/>
  <c r="V442" i="19"/>
  <c r="W493" i="19"/>
  <c r="T534" i="19"/>
  <c r="W559" i="19"/>
  <c r="U585" i="19"/>
  <c r="X610" i="19"/>
  <c r="K610" i="19" s="1"/>
  <c r="F130" i="13" s="1"/>
  <c r="V636" i="19"/>
  <c r="T662" i="19"/>
  <c r="W687" i="19"/>
  <c r="U713" i="19"/>
  <c r="X738" i="19"/>
  <c r="K738" i="19" s="1"/>
  <c r="V764" i="19"/>
  <c r="U789" i="19"/>
  <c r="U805" i="19"/>
  <c r="U813" i="19"/>
  <c r="T822" i="19"/>
  <c r="X830" i="19"/>
  <c r="K830" i="19" s="1"/>
  <c r="F174" i="13" s="1"/>
  <c r="X838" i="19"/>
  <c r="K838" i="19" s="1"/>
  <c r="W847" i="19"/>
  <c r="V856" i="19"/>
  <c r="V864" i="19"/>
  <c r="U873" i="19"/>
  <c r="T882" i="19"/>
  <c r="T890" i="19"/>
  <c r="X898" i="19"/>
  <c r="K898" i="19" s="1"/>
  <c r="W907" i="19"/>
  <c r="W915" i="19"/>
  <c r="R191" i="13" s="1"/>
  <c r="E131" i="15" s="1"/>
  <c r="F131" i="15" s="1"/>
  <c r="V924" i="19"/>
  <c r="U933" i="19"/>
  <c r="U941" i="19"/>
  <c r="T950" i="19"/>
  <c r="X958" i="19"/>
  <c r="K958" i="19" s="1"/>
  <c r="X966" i="19"/>
  <c r="K966" i="19" s="1"/>
  <c r="G426" i="22" s="1"/>
  <c r="W975" i="19"/>
  <c r="R203" i="13" s="1"/>
  <c r="V984" i="19"/>
  <c r="V992" i="19"/>
  <c r="U1001" i="19"/>
  <c r="T1010" i="19"/>
  <c r="T1018" i="19"/>
  <c r="X1026" i="19"/>
  <c r="K1026" i="19" s="1"/>
  <c r="G770" i="22" s="1"/>
  <c r="W1035" i="19"/>
  <c r="R215" i="13" s="1"/>
  <c r="W1043" i="19"/>
  <c r="V1052" i="19"/>
  <c r="U1061" i="19"/>
  <c r="U1069" i="19"/>
  <c r="T1078" i="19"/>
  <c r="X1086" i="19"/>
  <c r="K1086" i="19" s="1"/>
  <c r="G488" i="22" s="1"/>
  <c r="X1094" i="19"/>
  <c r="W1103" i="19"/>
  <c r="V1112" i="19"/>
  <c r="V1120" i="19"/>
  <c r="U1129" i="19"/>
  <c r="W12" i="19"/>
  <c r="W44" i="19"/>
  <c r="X79" i="19"/>
  <c r="T115" i="19"/>
  <c r="T147" i="19"/>
  <c r="U182" i="19"/>
  <c r="W216" i="19"/>
  <c r="W232" i="19"/>
  <c r="U250" i="19"/>
  <c r="X267" i="19"/>
  <c r="K267" i="19" s="1"/>
  <c r="X283" i="19"/>
  <c r="K283" i="19" s="1"/>
  <c r="V301" i="19"/>
  <c r="T319" i="19"/>
  <c r="T335" i="19"/>
  <c r="S335" i="19" s="1"/>
  <c r="W352" i="19"/>
  <c r="U370" i="19"/>
  <c r="U386" i="19"/>
  <c r="X403" i="19"/>
  <c r="K403" i="19" s="1"/>
  <c r="V421" i="19"/>
  <c r="V437" i="19"/>
  <c r="T455" i="19"/>
  <c r="W472" i="19"/>
  <c r="W488" i="19"/>
  <c r="U506" i="19"/>
  <c r="V523" i="19"/>
  <c r="V531" i="19"/>
  <c r="U540" i="19"/>
  <c r="T549" i="19"/>
  <c r="T557" i="19"/>
  <c r="X565" i="19"/>
  <c r="K565" i="19" s="1"/>
  <c r="G121" i="22" s="1"/>
  <c r="W574" i="19"/>
  <c r="W582" i="19"/>
  <c r="V591" i="19"/>
  <c r="U600" i="19"/>
  <c r="U608" i="19"/>
  <c r="W614" i="19"/>
  <c r="V619" i="19"/>
  <c r="V623" i="19"/>
  <c r="V627" i="19"/>
  <c r="U632" i="19"/>
  <c r="U636" i="19"/>
  <c r="U640" i="19"/>
  <c r="T645" i="19"/>
  <c r="T649" i="19"/>
  <c r="S649" i="19" s="1"/>
  <c r="T653" i="19"/>
  <c r="X657" i="19"/>
  <c r="K657" i="19" s="1"/>
  <c r="G607" i="22" s="1"/>
  <c r="X661" i="19"/>
  <c r="K661" i="19" s="1"/>
  <c r="X665" i="19"/>
  <c r="K665" i="19" s="1"/>
  <c r="W670" i="19"/>
  <c r="R142" i="13" s="1"/>
  <c r="E91" i="15" s="1"/>
  <c r="F91" i="15" s="1"/>
  <c r="W674" i="19"/>
  <c r="W678" i="19"/>
  <c r="V683" i="19"/>
  <c r="V687" i="19"/>
  <c r="V691" i="19"/>
  <c r="U696" i="19"/>
  <c r="U700" i="19"/>
  <c r="U704" i="19"/>
  <c r="T709" i="19"/>
  <c r="T713" i="19"/>
  <c r="T717" i="19"/>
  <c r="X721" i="19"/>
  <c r="K721" i="19" s="1"/>
  <c r="G418" i="22" s="1"/>
  <c r="X725" i="19"/>
  <c r="K725" i="19" s="1"/>
  <c r="F153" i="13" s="1"/>
  <c r="X729" i="19"/>
  <c r="W734" i="19"/>
  <c r="W738" i="19"/>
  <c r="W742" i="19"/>
  <c r="V747" i="19"/>
  <c r="V751" i="19"/>
  <c r="V755" i="19"/>
  <c r="U760" i="19"/>
  <c r="U764" i="19"/>
  <c r="U768" i="19"/>
  <c r="T773" i="19"/>
  <c r="T777" i="19"/>
  <c r="T781" i="19"/>
  <c r="X785" i="19"/>
  <c r="K785" i="19" s="1"/>
  <c r="G165" i="22" s="1"/>
  <c r="X789" i="19"/>
  <c r="X793" i="19"/>
  <c r="K793" i="19" s="1"/>
  <c r="W798" i="19"/>
  <c r="W802" i="19"/>
  <c r="W806" i="19"/>
  <c r="V811" i="19"/>
  <c r="V815" i="19"/>
  <c r="V819" i="19"/>
  <c r="U824" i="19"/>
  <c r="V827" i="19"/>
  <c r="W830" i="19"/>
  <c r="R174" i="13" s="1"/>
  <c r="E117" i="15" s="1"/>
  <c r="F117" i="15" s="1"/>
  <c r="X833" i="19"/>
  <c r="K833" i="19" s="1"/>
  <c r="T837" i="19"/>
  <c r="U840" i="19"/>
  <c r="V843" i="19"/>
  <c r="W846" i="19"/>
  <c r="X849" i="19"/>
  <c r="T853" i="19"/>
  <c r="U856" i="19"/>
  <c r="V859" i="19"/>
  <c r="W862" i="19"/>
  <c r="X865" i="19"/>
  <c r="K865" i="19" s="1"/>
  <c r="F181" i="13" s="1"/>
  <c r="T869" i="19"/>
  <c r="S869" i="19" s="1"/>
  <c r="U872" i="19"/>
  <c r="V875" i="19"/>
  <c r="W878" i="19"/>
  <c r="X881" i="19"/>
  <c r="K881" i="19" s="1"/>
  <c r="G748" i="22" s="1"/>
  <c r="T885" i="19"/>
  <c r="U888" i="19"/>
  <c r="V891" i="19"/>
  <c r="W894" i="19"/>
  <c r="X897" i="19"/>
  <c r="K897" i="19" s="1"/>
  <c r="T901" i="19"/>
  <c r="U904" i="19"/>
  <c r="V907" i="19"/>
  <c r="W910" i="19"/>
  <c r="R190" i="13" s="1"/>
  <c r="E130" i="15" s="1"/>
  <c r="F130" i="15" s="1"/>
  <c r="X913" i="19"/>
  <c r="K913" i="19" s="1"/>
  <c r="T917" i="19"/>
  <c r="U920" i="19"/>
  <c r="V923" i="19"/>
  <c r="W926" i="19"/>
  <c r="X929" i="19"/>
  <c r="T933" i="19"/>
  <c r="U936" i="19"/>
  <c r="V939" i="19"/>
  <c r="W942" i="19"/>
  <c r="X945" i="19"/>
  <c r="K945" i="19" s="1"/>
  <c r="G197" i="22" s="1"/>
  <c r="T949" i="19"/>
  <c r="U952" i="19"/>
  <c r="V955" i="19"/>
  <c r="W958" i="19"/>
  <c r="X961" i="19"/>
  <c r="K961" i="19" s="1"/>
  <c r="G709" i="22" s="1"/>
  <c r="T965" i="19"/>
  <c r="U968" i="19"/>
  <c r="V971" i="19"/>
  <c r="W974" i="19"/>
  <c r="X977" i="19"/>
  <c r="K977" i="19" s="1"/>
  <c r="T981" i="19"/>
  <c r="U984" i="19"/>
  <c r="V987" i="19"/>
  <c r="W990" i="19"/>
  <c r="R206" i="13" s="1"/>
  <c r="E139" i="15" s="1"/>
  <c r="F139" i="15" s="1"/>
  <c r="X993" i="19"/>
  <c r="K993" i="19" s="1"/>
  <c r="T997" i="19"/>
  <c r="U1000" i="19"/>
  <c r="V1003" i="19"/>
  <c r="W1006" i="19"/>
  <c r="X1009" i="19"/>
  <c r="T1013" i="19"/>
  <c r="U1016" i="19"/>
  <c r="V1019" i="19"/>
  <c r="W1022" i="19"/>
  <c r="X1025" i="19"/>
  <c r="K1025" i="19" s="1"/>
  <c r="G213" i="22" s="1"/>
  <c r="T1029" i="19"/>
  <c r="S1029" i="19" s="1"/>
  <c r="U1032" i="19"/>
  <c r="V1035" i="19"/>
  <c r="W1038" i="19"/>
  <c r="X1041" i="19"/>
  <c r="K1041" i="19" s="1"/>
  <c r="T1045" i="19"/>
  <c r="S1045" i="19" s="1"/>
  <c r="U1048" i="19"/>
  <c r="V1051" i="19"/>
  <c r="W1054" i="19"/>
  <c r="X1057" i="19"/>
  <c r="K1057" i="19" s="1"/>
  <c r="T1061" i="19"/>
  <c r="U1064" i="19"/>
  <c r="V1067" i="19"/>
  <c r="W1070" i="19"/>
  <c r="R222" i="13" s="1"/>
  <c r="AE222" i="13" s="1"/>
  <c r="X1073" i="19"/>
  <c r="K1073" i="19" s="1"/>
  <c r="T1077" i="19"/>
  <c r="S1077" i="19" s="1"/>
  <c r="U1080" i="19"/>
  <c r="V1083" i="19"/>
  <c r="W1086" i="19"/>
  <c r="X1089" i="19"/>
  <c r="T1093" i="19"/>
  <c r="U1096" i="19"/>
  <c r="V1099" i="19"/>
  <c r="W1102" i="19"/>
  <c r="X1105" i="19"/>
  <c r="K1105" i="19" s="1"/>
  <c r="F229" i="13" s="1"/>
  <c r="T1109" i="19"/>
  <c r="U1112" i="19"/>
  <c r="V1115" i="19"/>
  <c r="W1118" i="19"/>
  <c r="X1121" i="19"/>
  <c r="K1121" i="19" s="1"/>
  <c r="G496" i="22" s="1"/>
  <c r="T1125" i="19"/>
  <c r="U1128" i="19"/>
  <c r="V1131" i="19"/>
  <c r="W1134" i="19"/>
  <c r="W10" i="19"/>
  <c r="R10" i="13" s="1"/>
  <c r="E10" i="15" s="1"/>
  <c r="T1762" i="19"/>
  <c r="X1758" i="19"/>
  <c r="K1758" i="19" s="1"/>
  <c r="G821" i="22" s="1"/>
  <c r="W1755" i="19"/>
  <c r="R359" i="13" s="1"/>
  <c r="E244" i="15" s="1"/>
  <c r="F244" i="15" s="1"/>
  <c r="V1752" i="19"/>
  <c r="U1749" i="19"/>
  <c r="T1746" i="19"/>
  <c r="X1742" i="19"/>
  <c r="K1742" i="19" s="1"/>
  <c r="W1739" i="19"/>
  <c r="V1736" i="19"/>
  <c r="U1733" i="19"/>
  <c r="T1730" i="19"/>
  <c r="X1726" i="19"/>
  <c r="K1726" i="19" s="1"/>
  <c r="G698" i="22" s="1"/>
  <c r="W1723" i="19"/>
  <c r="V1720" i="19"/>
  <c r="U1717" i="19"/>
  <c r="T1714" i="19"/>
  <c r="X1710" i="19"/>
  <c r="K1710" i="19" s="1"/>
  <c r="F350" i="13" s="1"/>
  <c r="W1707" i="19"/>
  <c r="V1704" i="19"/>
  <c r="U1701" i="19"/>
  <c r="T1698" i="19"/>
  <c r="X1694" i="19"/>
  <c r="W1691" i="19"/>
  <c r="V1688" i="19"/>
  <c r="U1685" i="19"/>
  <c r="T1682" i="19"/>
  <c r="X1678" i="19"/>
  <c r="K1678" i="19" s="1"/>
  <c r="W1675" i="19"/>
  <c r="R343" i="13" s="1"/>
  <c r="V1672" i="19"/>
  <c r="U1669" i="19"/>
  <c r="T1666" i="19"/>
  <c r="X1662" i="19"/>
  <c r="K1662" i="19" s="1"/>
  <c r="G793" i="22" s="1"/>
  <c r="W1659" i="19"/>
  <c r="V1656" i="19"/>
  <c r="U1653" i="19"/>
  <c r="T1650" i="19"/>
  <c r="X1646" i="19"/>
  <c r="K1646" i="19" s="1"/>
  <c r="G371" i="22" s="1"/>
  <c r="W1643" i="19"/>
  <c r="V1640" i="19"/>
  <c r="U1637" i="19"/>
  <c r="T1634" i="19"/>
  <c r="X1630" i="19"/>
  <c r="K1630" i="19" s="1"/>
  <c r="G334" i="22" s="1"/>
  <c r="W1627" i="19"/>
  <c r="V1624" i="19"/>
  <c r="U1621" i="19"/>
  <c r="T1618" i="19"/>
  <c r="X1614" i="19"/>
  <c r="W1611" i="19"/>
  <c r="V1608" i="19"/>
  <c r="U1605" i="19"/>
  <c r="T1602" i="19"/>
  <c r="X1598" i="19"/>
  <c r="K1598" i="19" s="1"/>
  <c r="W1595" i="19"/>
  <c r="R327" i="13" s="1"/>
  <c r="E222" i="15" s="1"/>
  <c r="F222" i="15" s="1"/>
  <c r="V1592" i="19"/>
  <c r="U1589" i="19"/>
  <c r="T1586" i="19"/>
  <c r="X1582" i="19"/>
  <c r="K1582" i="19" s="1"/>
  <c r="W1579" i="19"/>
  <c r="V1576" i="19"/>
  <c r="U1573" i="19"/>
  <c r="T1570" i="19"/>
  <c r="X1566" i="19"/>
  <c r="K1566" i="19" s="1"/>
  <c r="G489" i="22" s="1"/>
  <c r="W1563" i="19"/>
  <c r="V1560" i="19"/>
  <c r="U1557" i="19"/>
  <c r="T1554" i="19"/>
  <c r="X1550" i="19"/>
  <c r="K1550" i="19" s="1"/>
  <c r="F318" i="13" s="1"/>
  <c r="W1547" i="19"/>
  <c r="V1544" i="19"/>
  <c r="U1541" i="19"/>
  <c r="T1538" i="19"/>
  <c r="X1534" i="19"/>
  <c r="W1531" i="19"/>
  <c r="V1528" i="19"/>
  <c r="U1525" i="19"/>
  <c r="T1522" i="19"/>
  <c r="X1518" i="19"/>
  <c r="K1518" i="19" s="1"/>
  <c r="W1515" i="19"/>
  <c r="R311" i="13" s="1"/>
  <c r="V1512" i="19"/>
  <c r="U1509" i="19"/>
  <c r="T1506" i="19"/>
  <c r="X1502" i="19"/>
  <c r="K1502" i="19" s="1"/>
  <c r="G687" i="22" s="1"/>
  <c r="W1499" i="19"/>
  <c r="V1496" i="19"/>
  <c r="U1493" i="19"/>
  <c r="T1490" i="19"/>
  <c r="X1486" i="19"/>
  <c r="K1486" i="19" s="1"/>
  <c r="G449" i="22" s="1"/>
  <c r="W1483" i="19"/>
  <c r="V1480" i="19"/>
  <c r="U1477" i="19"/>
  <c r="T1474" i="19"/>
  <c r="X1470" i="19"/>
  <c r="K1470" i="19" s="1"/>
  <c r="F302" i="13" s="1"/>
  <c r="W1467" i="19"/>
  <c r="V1464" i="19"/>
  <c r="U1461" i="19"/>
  <c r="T1458" i="19"/>
  <c r="X1454" i="19"/>
  <c r="W1451" i="19"/>
  <c r="V1448" i="19"/>
  <c r="U1445" i="19"/>
  <c r="T1442" i="19"/>
  <c r="X1438" i="19"/>
  <c r="K1438" i="19" s="1"/>
  <c r="W1435" i="19"/>
  <c r="R295" i="13" s="1"/>
  <c r="V1432" i="19"/>
  <c r="U1429" i="19"/>
  <c r="T1426" i="19"/>
  <c r="X1422" i="19"/>
  <c r="K1422" i="19" s="1"/>
  <c r="W1419" i="19"/>
  <c r="V1416" i="19"/>
  <c r="U1413" i="19"/>
  <c r="T1410" i="19"/>
  <c r="X1406" i="19"/>
  <c r="K1406" i="19" s="1"/>
  <c r="G513" i="22" s="1"/>
  <c r="W1403" i="19"/>
  <c r="V1400" i="19"/>
  <c r="U1397" i="19"/>
  <c r="T1394" i="19"/>
  <c r="X1390" i="19"/>
  <c r="K1390" i="19" s="1"/>
  <c r="F286" i="13" s="1"/>
  <c r="W1387" i="19"/>
  <c r="V1384" i="19"/>
  <c r="U1381" i="19"/>
  <c r="T1378" i="19"/>
  <c r="X1374" i="19"/>
  <c r="W1371" i="19"/>
  <c r="V1368" i="19"/>
  <c r="U1365" i="19"/>
  <c r="T1362" i="19"/>
  <c r="X1358" i="19"/>
  <c r="K1358" i="19" s="1"/>
  <c r="W1355" i="19"/>
  <c r="R279" i="13" s="1"/>
  <c r="V1352" i="19"/>
  <c r="U1349" i="19"/>
  <c r="T1346" i="19"/>
  <c r="X1342" i="19"/>
  <c r="K1342" i="19" s="1"/>
  <c r="W1339" i="19"/>
  <c r="V1336" i="19"/>
  <c r="U1333" i="19"/>
  <c r="T1330" i="19"/>
  <c r="X1326" i="19"/>
  <c r="K1326" i="19" s="1"/>
  <c r="G735" i="22" s="1"/>
  <c r="W1323" i="19"/>
  <c r="V1320" i="19"/>
  <c r="U1317" i="19"/>
  <c r="T1314" i="19"/>
  <c r="X1310" i="19"/>
  <c r="K1310" i="19" s="1"/>
  <c r="G270" i="22" s="1"/>
  <c r="W1307" i="19"/>
  <c r="V1304" i="19"/>
  <c r="U1301" i="19"/>
  <c r="T1298" i="19"/>
  <c r="X1294" i="19"/>
  <c r="W1291" i="19"/>
  <c r="V1288" i="19"/>
  <c r="U1285" i="19"/>
  <c r="T1282" i="19"/>
  <c r="X1278" i="19"/>
  <c r="K1278" i="19" s="1"/>
  <c r="W1275" i="19"/>
  <c r="R263" i="13" s="1"/>
  <c r="V1272" i="19"/>
  <c r="U1269" i="19"/>
  <c r="T1266" i="19"/>
  <c r="X1262" i="19"/>
  <c r="K1262" i="19" s="1"/>
  <c r="W1259" i="19"/>
  <c r="V1256" i="19"/>
  <c r="U1253" i="19"/>
  <c r="T1250" i="19"/>
  <c r="X1246" i="19"/>
  <c r="K1246" i="19" s="1"/>
  <c r="G694" i="22" s="1"/>
  <c r="W1243" i="19"/>
  <c r="V1240" i="19"/>
  <c r="U1237" i="19"/>
  <c r="T1234" i="19"/>
  <c r="X1230" i="19"/>
  <c r="K1230" i="19" s="1"/>
  <c r="F254" i="13" s="1"/>
  <c r="W1227" i="19"/>
  <c r="V1224" i="19"/>
  <c r="U1221" i="19"/>
  <c r="T1218" i="19"/>
  <c r="X1214" i="19"/>
  <c r="W1211" i="19"/>
  <c r="V1208" i="19"/>
  <c r="U1205" i="19"/>
  <c r="T1202" i="19"/>
  <c r="X1198" i="19"/>
  <c r="K1198" i="19" s="1"/>
  <c r="G812" i="22" s="1"/>
  <c r="W1195" i="19"/>
  <c r="R247" i="13" s="1"/>
  <c r="E167" i="15" s="1"/>
  <c r="F167" i="15" s="1"/>
  <c r="V1192" i="19"/>
  <c r="U1189" i="19"/>
  <c r="T1186" i="19"/>
  <c r="X1182" i="19"/>
  <c r="K1182" i="19" s="1"/>
  <c r="G665" i="22" s="1"/>
  <c r="W1179" i="19"/>
  <c r="V1176" i="19"/>
  <c r="U1173" i="19"/>
  <c r="T1170" i="19"/>
  <c r="X1166" i="19"/>
  <c r="K1166" i="19" s="1"/>
  <c r="G478" i="22" s="1"/>
  <c r="W1163" i="19"/>
  <c r="V1160" i="19"/>
  <c r="U1157" i="19"/>
  <c r="T1154" i="19"/>
  <c r="X1150" i="19"/>
  <c r="K1150" i="19" s="1"/>
  <c r="G238" i="22" s="1"/>
  <c r="W1147" i="19"/>
  <c r="V1144" i="19"/>
  <c r="U1141" i="19"/>
  <c r="T1138" i="19"/>
  <c r="T1132" i="19"/>
  <c r="W1125" i="19"/>
  <c r="R233" i="13" s="1"/>
  <c r="AE233" i="13" s="1"/>
  <c r="U1119" i="19"/>
  <c r="X1112" i="19"/>
  <c r="K1112" i="19" s="1"/>
  <c r="V1106" i="19"/>
  <c r="T1100" i="19"/>
  <c r="W1093" i="19"/>
  <c r="U1087" i="19"/>
  <c r="X1080" i="19"/>
  <c r="K1080" i="19" s="1"/>
  <c r="G224" i="22" s="1"/>
  <c r="V1074" i="19"/>
  <c r="T1068" i="19"/>
  <c r="W1061" i="19"/>
  <c r="U1055" i="19"/>
  <c r="X1048" i="19"/>
  <c r="K1048" i="19" s="1"/>
  <c r="G810" i="22" s="1"/>
  <c r="V1042" i="19"/>
  <c r="T1036" i="19"/>
  <c r="S1036" i="19" s="1"/>
  <c r="W1029" i="19"/>
  <c r="U1023" i="19"/>
  <c r="X1016" i="19"/>
  <c r="K1016" i="19" s="1"/>
  <c r="G493" i="22" s="1"/>
  <c r="V1010" i="19"/>
  <c r="T1004" i="19"/>
  <c r="W997" i="19"/>
  <c r="U991" i="19"/>
  <c r="X984" i="19"/>
  <c r="V978" i="19"/>
  <c r="T972" i="19"/>
  <c r="W965" i="19"/>
  <c r="R201" i="13" s="1"/>
  <c r="U959" i="19"/>
  <c r="X952" i="19"/>
  <c r="K952" i="19" s="1"/>
  <c r="G808" i="22" s="1"/>
  <c r="V946" i="19"/>
  <c r="T940" i="19"/>
  <c r="W933" i="19"/>
  <c r="U927" i="19"/>
  <c r="X920" i="19"/>
  <c r="K920" i="19" s="1"/>
  <c r="F192" i="13" s="1"/>
  <c r="V914" i="19"/>
  <c r="T908" i="19"/>
  <c r="S908" i="19" s="1"/>
  <c r="W901" i="19"/>
  <c r="U895" i="19"/>
  <c r="X888" i="19"/>
  <c r="K888" i="19" s="1"/>
  <c r="V882" i="19"/>
  <c r="W1092" i="19"/>
  <c r="X1495" i="19"/>
  <c r="K1495" i="19" s="1"/>
  <c r="V1335" i="19"/>
  <c r="U714" i="19"/>
  <c r="X138" i="19"/>
  <c r="K138" i="19" s="1"/>
  <c r="X69" i="19"/>
  <c r="W206" i="19"/>
  <c r="W227" i="19"/>
  <c r="T330" i="19"/>
  <c r="V432" i="19"/>
  <c r="T522" i="19"/>
  <c r="X147" i="19"/>
  <c r="K147" i="19" s="1"/>
  <c r="G534" i="22" s="1"/>
  <c r="X249" i="19"/>
  <c r="T317" i="19"/>
  <c r="S317" i="19" s="1"/>
  <c r="V371" i="19"/>
  <c r="W422" i="19"/>
  <c r="X473" i="19"/>
  <c r="K473" i="19" s="1"/>
  <c r="U19" i="19"/>
  <c r="T220" i="19"/>
  <c r="V322" i="19"/>
  <c r="X424" i="19"/>
  <c r="U525" i="19"/>
  <c r="V576" i="19"/>
  <c r="W627" i="19"/>
  <c r="X678" i="19"/>
  <c r="K678" i="19" s="1"/>
  <c r="T730" i="19"/>
  <c r="U781" i="19"/>
  <c r="T810" i="19"/>
  <c r="W827" i="19"/>
  <c r="V844" i="19"/>
  <c r="U861" i="19"/>
  <c r="X878" i="19"/>
  <c r="K878" i="19" s="1"/>
  <c r="W895" i="19"/>
  <c r="R187" i="13" s="1"/>
  <c r="E129" i="15" s="1"/>
  <c r="F129" i="15" s="1"/>
  <c r="V912" i="19"/>
  <c r="T930" i="19"/>
  <c r="X946" i="19"/>
  <c r="K946" i="19" s="1"/>
  <c r="G382" i="22" s="1"/>
  <c r="W963" i="19"/>
  <c r="U981" i="19"/>
  <c r="T998" i="19"/>
  <c r="X1014" i="19"/>
  <c r="V1032" i="19"/>
  <c r="U1049" i="19"/>
  <c r="T1066" i="19"/>
  <c r="W1083" i="19"/>
  <c r="V1100" i="19"/>
  <c r="U1117" i="19"/>
  <c r="X1134" i="19"/>
  <c r="T67" i="19"/>
  <c r="U134" i="19"/>
  <c r="W204" i="19"/>
  <c r="X243" i="19"/>
  <c r="K243" i="19" s="1"/>
  <c r="V277" i="19"/>
  <c r="W312" i="19"/>
  <c r="U346" i="19"/>
  <c r="S346" i="19" s="1"/>
  <c r="X379" i="19"/>
  <c r="T415" i="19"/>
  <c r="W448" i="19"/>
  <c r="U482" i="19"/>
  <c r="V517" i="19"/>
  <c r="T537" i="19"/>
  <c r="X553" i="19"/>
  <c r="K553" i="19" s="1"/>
  <c r="V571" i="19"/>
  <c r="U588" i="19"/>
  <c r="T605" i="19"/>
  <c r="X617" i="19"/>
  <c r="K617" i="19" s="1"/>
  <c r="W626" i="19"/>
  <c r="V635" i="19"/>
  <c r="V643" i="19"/>
  <c r="U652" i="19"/>
  <c r="T661" i="19"/>
  <c r="T669" i="19"/>
  <c r="X677" i="19"/>
  <c r="K677" i="19" s="1"/>
  <c r="G661" i="22" s="1"/>
  <c r="W686" i="19"/>
  <c r="W694" i="19"/>
  <c r="V703" i="19"/>
  <c r="U712" i="19"/>
  <c r="U720" i="19"/>
  <c r="T729" i="19"/>
  <c r="X737" i="19"/>
  <c r="K737" i="19" s="1"/>
  <c r="G703" i="22" s="1"/>
  <c r="X745" i="19"/>
  <c r="K745" i="19" s="1"/>
  <c r="G157" i="22" s="1"/>
  <c r="W754" i="19"/>
  <c r="V763" i="19"/>
  <c r="V771" i="19"/>
  <c r="U780" i="19"/>
  <c r="S780" i="19" s="1"/>
  <c r="T789" i="19"/>
  <c r="T797" i="19"/>
  <c r="X805" i="19"/>
  <c r="K805" i="19" s="1"/>
  <c r="G169" i="22" s="1"/>
  <c r="W814" i="19"/>
  <c r="W822" i="19"/>
  <c r="X829" i="19"/>
  <c r="U836" i="19"/>
  <c r="W842" i="19"/>
  <c r="T849" i="19"/>
  <c r="V855" i="19"/>
  <c r="X861" i="19"/>
  <c r="K861" i="19" s="1"/>
  <c r="U868" i="19"/>
  <c r="W874" i="19"/>
  <c r="T881" i="19"/>
  <c r="V887" i="19"/>
  <c r="X893" i="19"/>
  <c r="K893" i="19" s="1"/>
  <c r="U900" i="19"/>
  <c r="W906" i="19"/>
  <c r="T913" i="19"/>
  <c r="V919" i="19"/>
  <c r="X925" i="19"/>
  <c r="K925" i="19" s="1"/>
  <c r="G193" i="22" s="1"/>
  <c r="U932" i="19"/>
  <c r="W938" i="19"/>
  <c r="T945" i="19"/>
  <c r="V951" i="19"/>
  <c r="X957" i="19"/>
  <c r="K957" i="19" s="1"/>
  <c r="U964" i="19"/>
  <c r="W970" i="19"/>
  <c r="R202" i="13" s="1"/>
  <c r="T977" i="19"/>
  <c r="V983" i="19"/>
  <c r="X989" i="19"/>
  <c r="U996" i="19"/>
  <c r="W1002" i="19"/>
  <c r="T1009" i="19"/>
  <c r="V1015" i="19"/>
  <c r="X1021" i="19"/>
  <c r="K1021" i="19" s="1"/>
  <c r="G519" i="22" s="1"/>
  <c r="U1028" i="19"/>
  <c r="W1034" i="19"/>
  <c r="T1041" i="19"/>
  <c r="V1047" i="19"/>
  <c r="X1053" i="19"/>
  <c r="K1053" i="19" s="1"/>
  <c r="U1060" i="19"/>
  <c r="W1066" i="19"/>
  <c r="T1073" i="19"/>
  <c r="V1079" i="19"/>
  <c r="X1085" i="19"/>
  <c r="K1085" i="19" s="1"/>
  <c r="U1092" i="19"/>
  <c r="W1098" i="19"/>
  <c r="T1105" i="19"/>
  <c r="V1111" i="19"/>
  <c r="X1117" i="19"/>
  <c r="K1117" i="19" s="1"/>
  <c r="G711" i="22" s="1"/>
  <c r="U1124" i="19"/>
  <c r="W1130" i="19"/>
  <c r="R234" i="13" s="1"/>
  <c r="T1137" i="19"/>
  <c r="W1759" i="19"/>
  <c r="U1753" i="19"/>
  <c r="X1746" i="19"/>
  <c r="K1746" i="19" s="1"/>
  <c r="V1740" i="19"/>
  <c r="T1734" i="19"/>
  <c r="W1727" i="19"/>
  <c r="U1721" i="19"/>
  <c r="X1714" i="19"/>
  <c r="V1708" i="19"/>
  <c r="T1702" i="19"/>
  <c r="W1695" i="19"/>
  <c r="R347" i="13" s="1"/>
  <c r="U1689" i="19"/>
  <c r="X1682" i="19"/>
  <c r="K1682" i="19" s="1"/>
  <c r="G819" i="22" s="1"/>
  <c r="V1676" i="19"/>
  <c r="T1670" i="19"/>
  <c r="W1663" i="19"/>
  <c r="U1657" i="19"/>
  <c r="X1650" i="19"/>
  <c r="K1650" i="19" s="1"/>
  <c r="G338" i="22" s="1"/>
  <c r="V1644" i="19"/>
  <c r="T1638" i="19"/>
  <c r="W1631" i="19"/>
  <c r="U1625" i="19"/>
  <c r="X1618" i="19"/>
  <c r="K1618" i="19" s="1"/>
  <c r="V1612" i="19"/>
  <c r="T1606" i="19"/>
  <c r="W1599" i="19"/>
  <c r="U1593" i="19"/>
  <c r="X1586" i="19"/>
  <c r="K1586" i="19" s="1"/>
  <c r="G746" i="22" s="1"/>
  <c r="V1580" i="19"/>
  <c r="T1574" i="19"/>
  <c r="W1567" i="19"/>
  <c r="U1561" i="19"/>
  <c r="X1554" i="19"/>
  <c r="V1548" i="19"/>
  <c r="T1542" i="19"/>
  <c r="W1535" i="19"/>
  <c r="R315" i="13" s="1"/>
  <c r="E213" i="15" s="1"/>
  <c r="F213" i="15" s="1"/>
  <c r="U1529" i="19"/>
  <c r="X1522" i="19"/>
  <c r="K1522" i="19" s="1"/>
  <c r="G552" i="22" s="1"/>
  <c r="V1516" i="19"/>
  <c r="T1510" i="19"/>
  <c r="W1503" i="19"/>
  <c r="U1497" i="19"/>
  <c r="X1490" i="19"/>
  <c r="K1490" i="19" s="1"/>
  <c r="F306" i="13" s="1"/>
  <c r="V1484" i="19"/>
  <c r="T1575" i="19"/>
  <c r="X1423" i="19"/>
  <c r="K1423" i="19" s="1"/>
  <c r="U1568" i="19"/>
  <c r="X1123" i="19"/>
  <c r="K1123" i="19" s="1"/>
  <c r="T59" i="19"/>
  <c r="X206" i="19"/>
  <c r="K206" i="19" s="1"/>
  <c r="G555" i="22" s="1"/>
  <c r="W138" i="19"/>
  <c r="X128" i="19"/>
  <c r="K128" i="19" s="1"/>
  <c r="X278" i="19"/>
  <c r="K278" i="19" s="1"/>
  <c r="U381" i="19"/>
  <c r="W483" i="19"/>
  <c r="T79" i="19"/>
  <c r="V213" i="19"/>
  <c r="U284" i="19"/>
  <c r="X345" i="19"/>
  <c r="K345" i="19" s="1"/>
  <c r="F77" i="13" s="1"/>
  <c r="T397" i="19"/>
  <c r="U448" i="19"/>
  <c r="V499" i="19"/>
  <c r="W121" i="19"/>
  <c r="U271" i="19"/>
  <c r="W373" i="19"/>
  <c r="T476" i="19"/>
  <c r="X550" i="19"/>
  <c r="K550" i="19" s="1"/>
  <c r="G118" i="22" s="1"/>
  <c r="T602" i="19"/>
  <c r="U653" i="19"/>
  <c r="V704" i="19"/>
  <c r="W755" i="19"/>
  <c r="R159" i="13" s="1"/>
  <c r="E103" i="15" s="1"/>
  <c r="F103" i="15" s="1"/>
  <c r="V800" i="19"/>
  <c r="X818" i="19"/>
  <c r="K818" i="19" s="1"/>
  <c r="W835" i="19"/>
  <c r="R175" i="13" s="1"/>
  <c r="U853" i="19"/>
  <c r="T870" i="19"/>
  <c r="X886" i="19"/>
  <c r="K886" i="19" s="1"/>
  <c r="V904" i="19"/>
  <c r="U921" i="19"/>
  <c r="T938" i="19"/>
  <c r="W955" i="19"/>
  <c r="R199" i="13" s="1"/>
  <c r="V972" i="19"/>
  <c r="U989" i="19"/>
  <c r="X1006" i="19"/>
  <c r="K1006" i="19" s="1"/>
  <c r="W1023" i="19"/>
  <c r="V1040" i="19"/>
  <c r="T1058" i="19"/>
  <c r="X1074" i="19"/>
  <c r="W1091" i="19"/>
  <c r="U1109" i="19"/>
  <c r="T1126" i="19"/>
  <c r="X31" i="19"/>
  <c r="K31" i="19" s="1"/>
  <c r="U102" i="19"/>
  <c r="V169" i="19"/>
  <c r="U226" i="19"/>
  <c r="V261" i="19"/>
  <c r="T295" i="19"/>
  <c r="W328" i="19"/>
  <c r="X363" i="19"/>
  <c r="K363" i="19" s="1"/>
  <c r="V397" i="19"/>
  <c r="T431" i="19"/>
  <c r="U466" i="19"/>
  <c r="X499" i="19"/>
  <c r="U528" i="19"/>
  <c r="X545" i="19"/>
  <c r="K545" i="19" s="1"/>
  <c r="G117" i="22" s="1"/>
  <c r="W562" i="19"/>
  <c r="V579" i="19"/>
  <c r="T597" i="19"/>
  <c r="X613" i="19"/>
  <c r="K613" i="19" s="1"/>
  <c r="W622" i="19"/>
  <c r="W630" i="19"/>
  <c r="R134" i="13" s="1"/>
  <c r="E87" i="15" s="1"/>
  <c r="F87" i="15" s="1"/>
  <c r="V639" i="19"/>
  <c r="U648" i="19"/>
  <c r="U656" i="19"/>
  <c r="T665" i="19"/>
  <c r="X673" i="19"/>
  <c r="K673" i="19" s="1"/>
  <c r="X681" i="19"/>
  <c r="K681" i="19" s="1"/>
  <c r="G516" i="22" s="1"/>
  <c r="W690" i="19"/>
  <c r="R146" i="13" s="1"/>
  <c r="E94" i="15" s="1"/>
  <c r="F94" i="15" s="1"/>
  <c r="V699" i="19"/>
  <c r="V707" i="19"/>
  <c r="U716" i="19"/>
  <c r="T725" i="19"/>
  <c r="T733" i="19"/>
  <c r="X741" i="19"/>
  <c r="K741" i="19" s="1"/>
  <c r="G471" i="22" s="1"/>
  <c r="W750" i="19"/>
  <c r="R158" i="13" s="1"/>
  <c r="E102" i="15" s="1"/>
  <c r="F102" i="15" s="1"/>
  <c r="W758" i="19"/>
  <c r="V767" i="19"/>
  <c r="U776" i="19"/>
  <c r="U784" i="19"/>
  <c r="T793" i="19"/>
  <c r="S793" i="19" s="1"/>
  <c r="X801" i="19"/>
  <c r="K801" i="19" s="1"/>
  <c r="X809" i="19"/>
  <c r="W818" i="19"/>
  <c r="W826" i="19"/>
  <c r="T833" i="19"/>
  <c r="V839" i="19"/>
  <c r="X845" i="19"/>
  <c r="K845" i="19" s="1"/>
  <c r="F177" i="13" s="1"/>
  <c r="U852" i="19"/>
  <c r="W858" i="19"/>
  <c r="T865" i="19"/>
  <c r="V871" i="19"/>
  <c r="X877" i="19"/>
  <c r="K877" i="19" s="1"/>
  <c r="U884" i="19"/>
  <c r="W890" i="19"/>
  <c r="R186" i="13" s="1"/>
  <c r="AE186" i="13" s="1"/>
  <c r="T897" i="19"/>
  <c r="V903" i="19"/>
  <c r="X909" i="19"/>
  <c r="U916" i="19"/>
  <c r="W922" i="19"/>
  <c r="T929" i="19"/>
  <c r="V935" i="19"/>
  <c r="X941" i="19"/>
  <c r="K941" i="19" s="1"/>
  <c r="G750" i="22" s="1"/>
  <c r="U948" i="19"/>
  <c r="W954" i="19"/>
  <c r="T961" i="19"/>
  <c r="V967" i="19"/>
  <c r="X973" i="19"/>
  <c r="K973" i="19" s="1"/>
  <c r="U980" i="19"/>
  <c r="W986" i="19"/>
  <c r="T993" i="19"/>
  <c r="V999" i="19"/>
  <c r="X1005" i="19"/>
  <c r="K1005" i="19" s="1"/>
  <c r="G209" i="22" s="1"/>
  <c r="U1012" i="19"/>
  <c r="W1018" i="19"/>
  <c r="T1025" i="19"/>
  <c r="V1031" i="19"/>
  <c r="X1037" i="19"/>
  <c r="K1037" i="19" s="1"/>
  <c r="G495" i="22" s="1"/>
  <c r="U1044" i="19"/>
  <c r="W1050" i="19"/>
  <c r="R218" i="13" s="1"/>
  <c r="E146" i="15" s="1"/>
  <c r="F146" i="15" s="1"/>
  <c r="T1057" i="19"/>
  <c r="V1063" i="19"/>
  <c r="X1069" i="19"/>
  <c r="U1076" i="19"/>
  <c r="W1082" i="19"/>
  <c r="T1089" i="19"/>
  <c r="V1095" i="19"/>
  <c r="X1101" i="19"/>
  <c r="K1101" i="19" s="1"/>
  <c r="G733" i="22" s="1"/>
  <c r="U1108" i="19"/>
  <c r="W1114" i="19"/>
  <c r="T1121" i="19"/>
  <c r="V1127" i="19"/>
  <c r="X1133" i="19"/>
  <c r="K1133" i="19" s="1"/>
  <c r="X1762" i="19"/>
  <c r="K1762" i="19" s="1"/>
  <c r="G581" i="22" s="1"/>
  <c r="V1756" i="19"/>
  <c r="T1750" i="19"/>
  <c r="W1743" i="19"/>
  <c r="U1737" i="19"/>
  <c r="X1730" i="19"/>
  <c r="K1730" i="19" s="1"/>
  <c r="F354" i="13" s="1"/>
  <c r="V1724" i="19"/>
  <c r="T1718" i="19"/>
  <c r="W1711" i="19"/>
  <c r="U1705" i="19"/>
  <c r="X1698" i="19"/>
  <c r="K1698" i="19" s="1"/>
  <c r="V1692" i="19"/>
  <c r="T1686" i="19"/>
  <c r="W1679" i="19"/>
  <c r="U1673" i="19"/>
  <c r="X1666" i="19"/>
  <c r="K1666" i="19" s="1"/>
  <c r="V1660" i="19"/>
  <c r="T1654" i="19"/>
  <c r="W1647" i="19"/>
  <c r="U1641" i="19"/>
  <c r="X1634" i="19"/>
  <c r="V1628" i="19"/>
  <c r="T1622" i="19"/>
  <c r="W1615" i="19"/>
  <c r="R331" i="13" s="1"/>
  <c r="E224" i="15" s="1"/>
  <c r="F224" i="15" s="1"/>
  <c r="U1609" i="19"/>
  <c r="X1602" i="19"/>
  <c r="K1602" i="19" s="1"/>
  <c r="G498" i="22" s="1"/>
  <c r="V1596" i="19"/>
  <c r="T1590" i="19"/>
  <c r="W1583" i="19"/>
  <c r="U1577" i="19"/>
  <c r="X1570" i="19"/>
  <c r="K1570" i="19" s="1"/>
  <c r="G322" i="22" s="1"/>
  <c r="V1564" i="19"/>
  <c r="T1558" i="19"/>
  <c r="W1551" i="19"/>
  <c r="U1545" i="19"/>
  <c r="X1538" i="19"/>
  <c r="K1538" i="19" s="1"/>
  <c r="V1532" i="19"/>
  <c r="T1526" i="19"/>
  <c r="W1519" i="19"/>
  <c r="U1513" i="19"/>
  <c r="X1506" i="19"/>
  <c r="K1506" i="19" s="1"/>
  <c r="G579" i="22" s="1"/>
  <c r="V1500" i="19"/>
  <c r="T1494" i="19"/>
  <c r="W1487" i="19"/>
  <c r="U1481" i="19"/>
  <c r="X1474" i="19"/>
  <c r="V1468" i="19"/>
  <c r="T1462" i="19"/>
  <c r="W1455" i="19"/>
  <c r="R299" i="13" s="1"/>
  <c r="E202" i="15" s="1"/>
  <c r="F202" i="15" s="1"/>
  <c r="U1449" i="19"/>
  <c r="X1442" i="19"/>
  <c r="K1442" i="19" s="1"/>
  <c r="V1436" i="19"/>
  <c r="T1430" i="19"/>
  <c r="W1423" i="19"/>
  <c r="U1417" i="19"/>
  <c r="X1410" i="19"/>
  <c r="K1410" i="19" s="1"/>
  <c r="F290" i="13" s="1"/>
  <c r="V1404" i="19"/>
  <c r="T1398" i="19"/>
  <c r="W1391" i="19"/>
  <c r="U1385" i="19"/>
  <c r="X1378" i="19"/>
  <c r="K1378" i="19" s="1"/>
  <c r="V1372" i="19"/>
  <c r="T1366" i="19"/>
  <c r="W1359" i="19"/>
  <c r="U1353" i="19"/>
  <c r="X1346" i="19"/>
  <c r="K1346" i="19" s="1"/>
  <c r="G467" i="22" s="1"/>
  <c r="V1340" i="19"/>
  <c r="T1334" i="19"/>
  <c r="W1327" i="19"/>
  <c r="U1321" i="19"/>
  <c r="X1314" i="19"/>
  <c r="V1308" i="19"/>
  <c r="T1302" i="19"/>
  <c r="W1295" i="19"/>
  <c r="R267" i="13" s="1"/>
  <c r="E180" i="15" s="1"/>
  <c r="F180" i="15" s="1"/>
  <c r="U1289" i="19"/>
  <c r="X1282" i="19"/>
  <c r="K1282" i="19" s="1"/>
  <c r="G667" i="22" s="1"/>
  <c r="V1276" i="19"/>
  <c r="T1270" i="19"/>
  <c r="W1263" i="19"/>
  <c r="U1257" i="19"/>
  <c r="X1250" i="19"/>
  <c r="K1250" i="19" s="1"/>
  <c r="F258" i="13" s="1"/>
  <c r="V1244" i="19"/>
  <c r="T1238" i="19"/>
  <c r="W1231" i="19"/>
  <c r="U1225" i="19"/>
  <c r="X1218" i="19"/>
  <c r="K1218" i="19" s="1"/>
  <c r="V1212" i="19"/>
  <c r="T1206" i="19"/>
  <c r="W1199" i="19"/>
  <c r="U1193" i="19"/>
  <c r="X1186" i="19"/>
  <c r="K1186" i="19" s="1"/>
  <c r="V1180" i="19"/>
  <c r="T1174" i="19"/>
  <c r="W1167" i="19"/>
  <c r="U1161" i="19"/>
  <c r="X1154" i="19"/>
  <c r="V1148" i="19"/>
  <c r="T1142" i="19"/>
  <c r="W1133" i="19"/>
  <c r="X1120" i="19"/>
  <c r="K1120" i="19" s="1"/>
  <c r="F232" i="13" s="1"/>
  <c r="T1108" i="19"/>
  <c r="U1095" i="19"/>
  <c r="V1082" i="19"/>
  <c r="W1069" i="19"/>
  <c r="X1056" i="19"/>
  <c r="K1056" i="19" s="1"/>
  <c r="G361" i="22" s="1"/>
  <c r="T1044" i="19"/>
  <c r="S1044" i="19" s="1"/>
  <c r="U1031" i="19"/>
  <c r="V1018" i="19"/>
  <c r="W1005" i="19"/>
  <c r="R209" i="13" s="1"/>
  <c r="X992" i="19"/>
  <c r="K992" i="19" s="1"/>
  <c r="T980" i="19"/>
  <c r="U967" i="19"/>
  <c r="V954" i="19"/>
  <c r="W941" i="19"/>
  <c r="X928" i="19"/>
  <c r="K928" i="19" s="1"/>
  <c r="T916" i="19"/>
  <c r="U903" i="19"/>
  <c r="W893" i="19"/>
  <c r="W33" i="19"/>
  <c r="U59" i="19"/>
  <c r="X84" i="19"/>
  <c r="V110" i="19"/>
  <c r="T136" i="19"/>
  <c r="W161" i="19"/>
  <c r="U187" i="19"/>
  <c r="X212" i="19"/>
  <c r="K212" i="19" s="1"/>
  <c r="G571" i="22" s="1"/>
  <c r="U227" i="19"/>
  <c r="T240" i="19"/>
  <c r="X252" i="19"/>
  <c r="K252" i="19" s="1"/>
  <c r="W265" i="19"/>
  <c r="R61" i="13" s="1"/>
  <c r="E44" i="15" s="1"/>
  <c r="V278" i="19"/>
  <c r="U291" i="19"/>
  <c r="T304" i="19"/>
  <c r="X316" i="19"/>
  <c r="K316" i="19" s="1"/>
  <c r="G445" i="22" s="1"/>
  <c r="W329" i="19"/>
  <c r="V342" i="19"/>
  <c r="U355" i="19"/>
  <c r="T368" i="19"/>
  <c r="X380" i="19"/>
  <c r="K380" i="19" s="1"/>
  <c r="G84" i="22" s="1"/>
  <c r="W393" i="19"/>
  <c r="V406" i="19"/>
  <c r="U419" i="19"/>
  <c r="T432" i="19"/>
  <c r="X444" i="19"/>
  <c r="W457" i="19"/>
  <c r="V470" i="19"/>
  <c r="U483" i="19"/>
  <c r="T496" i="19"/>
  <c r="X508" i="19"/>
  <c r="K508" i="19" s="1"/>
  <c r="W521" i="19"/>
  <c r="X528" i="19"/>
  <c r="K528" i="19" s="1"/>
  <c r="U535" i="19"/>
  <c r="W541" i="19"/>
  <c r="T548" i="19"/>
  <c r="V554" i="19"/>
  <c r="X560" i="19"/>
  <c r="K560" i="19" s="1"/>
  <c r="G120" i="22" s="1"/>
  <c r="U567" i="19"/>
  <c r="W573" i="19"/>
  <c r="T580" i="19"/>
  <c r="V586" i="19"/>
  <c r="X592" i="19"/>
  <c r="K592" i="19" s="1"/>
  <c r="U599" i="19"/>
  <c r="W605" i="19"/>
  <c r="R129" i="13" s="1"/>
  <c r="T612" i="19"/>
  <c r="V618" i="19"/>
  <c r="X624" i="19"/>
  <c r="U631" i="19"/>
  <c r="W637" i="19"/>
  <c r="T644" i="19"/>
  <c r="V650" i="19"/>
  <c r="X656" i="19"/>
  <c r="K656" i="19" s="1"/>
  <c r="G465" i="22" s="1"/>
  <c r="U663" i="19"/>
  <c r="W669" i="19"/>
  <c r="T676" i="19"/>
  <c r="V682" i="19"/>
  <c r="X688" i="19"/>
  <c r="K688" i="19" s="1"/>
  <c r="U695" i="19"/>
  <c r="W701" i="19"/>
  <c r="T708" i="19"/>
  <c r="V714" i="19"/>
  <c r="X720" i="19"/>
  <c r="K720" i="19" s="1"/>
  <c r="G152" i="22" s="1"/>
  <c r="U727" i="19"/>
  <c r="W733" i="19"/>
  <c r="T740" i="19"/>
  <c r="V746" i="19"/>
  <c r="X752" i="19"/>
  <c r="K752" i="19" s="1"/>
  <c r="U759" i="19"/>
  <c r="W765" i="19"/>
  <c r="R161" i="13" s="1"/>
  <c r="E105" i="15" s="1"/>
  <c r="T772" i="19"/>
  <c r="V778" i="19"/>
  <c r="X784" i="19"/>
  <c r="U791" i="19"/>
  <c r="W797" i="19"/>
  <c r="T804" i="19"/>
  <c r="V810" i="19"/>
  <c r="X816" i="19"/>
  <c r="K816" i="19" s="1"/>
  <c r="G663" i="22" s="1"/>
  <c r="U823" i="19"/>
  <c r="W829" i="19"/>
  <c r="T836" i="19"/>
  <c r="V842" i="19"/>
  <c r="X848" i="19"/>
  <c r="K848" i="19" s="1"/>
  <c r="U855" i="19"/>
  <c r="W861" i="19"/>
  <c r="T868" i="19"/>
  <c r="V874" i="19"/>
  <c r="X880" i="19"/>
  <c r="K880" i="19" s="1"/>
  <c r="F184" i="13" s="1"/>
  <c r="V890" i="19"/>
  <c r="T900" i="19"/>
  <c r="W917" i="19"/>
  <c r="U935" i="19"/>
  <c r="W949" i="19"/>
  <c r="X968" i="19"/>
  <c r="K968" i="19" s="1"/>
  <c r="V986" i="19"/>
  <c r="X1000" i="19"/>
  <c r="K1000" i="19" s="1"/>
  <c r="F208" i="13" s="1"/>
  <c r="T1020" i="19"/>
  <c r="W1037" i="19"/>
  <c r="T1052" i="19"/>
  <c r="U1071" i="19"/>
  <c r="X1088" i="19"/>
  <c r="K1088" i="19" s="1"/>
  <c r="U1103" i="19"/>
  <c r="V1122" i="19"/>
  <c r="X1138" i="19"/>
  <c r="K1138" i="19" s="1"/>
  <c r="T1146" i="19"/>
  <c r="W1155" i="19"/>
  <c r="R239" i="13" s="1"/>
  <c r="E163" i="15" s="1"/>
  <c r="F163" i="15" s="1"/>
  <c r="V1164" i="19"/>
  <c r="W1171" i="19"/>
  <c r="U1181" i="19"/>
  <c r="T1190" i="19"/>
  <c r="U1197" i="19"/>
  <c r="X1206" i="19"/>
  <c r="K1206" i="19" s="1"/>
  <c r="G501" i="22" s="1"/>
  <c r="W1215" i="19"/>
  <c r="R251" i="13" s="1"/>
  <c r="E170" i="15" s="1"/>
  <c r="F170" i="15" s="1"/>
  <c r="X1222" i="19"/>
  <c r="K1222" i="19" s="1"/>
  <c r="V1232" i="19"/>
  <c r="U1241" i="19"/>
  <c r="V1248" i="19"/>
  <c r="T1258" i="19"/>
  <c r="X1266" i="19"/>
  <c r="K1266" i="19" s="1"/>
  <c r="G594" i="22" s="1"/>
  <c r="T1274" i="19"/>
  <c r="W1283" i="19"/>
  <c r="V1292" i="19"/>
  <c r="W1299" i="19"/>
  <c r="U1309" i="19"/>
  <c r="T1318" i="19"/>
  <c r="U1325" i="19"/>
  <c r="X1334" i="19"/>
  <c r="W1343" i="19"/>
  <c r="X1350" i="19"/>
  <c r="K1350" i="19" s="1"/>
  <c r="F278" i="13" s="1"/>
  <c r="V1360" i="19"/>
  <c r="U1369" i="19"/>
  <c r="V1376" i="19"/>
  <c r="T1386" i="19"/>
  <c r="X1394" i="19"/>
  <c r="T1402" i="19"/>
  <c r="W1411" i="19"/>
  <c r="V1420" i="19"/>
  <c r="W1427" i="19"/>
  <c r="U1437" i="19"/>
  <c r="T1446" i="19"/>
  <c r="U1453" i="19"/>
  <c r="X1462" i="19"/>
  <c r="K1462" i="19" s="1"/>
  <c r="W1471" i="19"/>
  <c r="X1478" i="19"/>
  <c r="K1478" i="19" s="1"/>
  <c r="W1491" i="19"/>
  <c r="V1504" i="19"/>
  <c r="U1517" i="19"/>
  <c r="T1530" i="19"/>
  <c r="X1542" i="19"/>
  <c r="K1542" i="19" s="1"/>
  <c r="G817" i="22" s="1"/>
  <c r="W1555" i="19"/>
  <c r="R319" i="13" s="1"/>
  <c r="E217" i="15" s="1"/>
  <c r="F217" i="15" s="1"/>
  <c r="V1568" i="19"/>
  <c r="U1581" i="19"/>
  <c r="T1594" i="19"/>
  <c r="X1606" i="19"/>
  <c r="K1606" i="19" s="1"/>
  <c r="G428" i="22" s="1"/>
  <c r="W1619" i="19"/>
  <c r="V1632" i="19"/>
  <c r="U1645" i="19"/>
  <c r="T1658" i="19"/>
  <c r="X1670" i="19"/>
  <c r="K1670" i="19" s="1"/>
  <c r="F342" i="13" s="1"/>
  <c r="W1683" i="19"/>
  <c r="V1696" i="19"/>
  <c r="U1709" i="19"/>
  <c r="T1722" i="19"/>
  <c r="X1734" i="19"/>
  <c r="W1747" i="19"/>
  <c r="V1760" i="19"/>
  <c r="X1129" i="19"/>
  <c r="T1117" i="19"/>
  <c r="U1104" i="19"/>
  <c r="V1091" i="19"/>
  <c r="W1078" i="19"/>
  <c r="X1065" i="19"/>
  <c r="K1065" i="19" s="1"/>
  <c r="F221" i="13" s="1"/>
  <c r="T1053" i="19"/>
  <c r="U1040" i="19"/>
  <c r="V1027" i="19"/>
  <c r="W1014" i="19"/>
  <c r="X1001" i="19"/>
  <c r="K1001" i="19" s="1"/>
  <c r="G649" i="22" s="1"/>
  <c r="T989" i="19"/>
  <c r="U976" i="19"/>
  <c r="V963" i="19"/>
  <c r="W950" i="19"/>
  <c r="R198" i="13" s="1"/>
  <c r="E136" i="15" s="1"/>
  <c r="F136" i="15" s="1"/>
  <c r="X937" i="19"/>
  <c r="K937" i="19" s="1"/>
  <c r="T925" i="19"/>
  <c r="U912" i="19"/>
  <c r="V899" i="19"/>
  <c r="W886" i="19"/>
  <c r="X873" i="19"/>
  <c r="K873" i="19" s="1"/>
  <c r="T861" i="19"/>
  <c r="U848" i="19"/>
  <c r="V835" i="19"/>
  <c r="X821" i="19"/>
  <c r="K821" i="19" s="1"/>
  <c r="T805" i="19"/>
  <c r="V787" i="19"/>
  <c r="W770" i="19"/>
  <c r="R162" i="13" s="1"/>
  <c r="X753" i="19"/>
  <c r="K753" i="19" s="1"/>
  <c r="U736" i="19"/>
  <c r="V719" i="19"/>
  <c r="W702" i="19"/>
  <c r="T685" i="19"/>
  <c r="U668" i="19"/>
  <c r="V651" i="19"/>
  <c r="X633" i="19"/>
  <c r="K633" i="19" s="1"/>
  <c r="T617" i="19"/>
  <c r="V587" i="19"/>
  <c r="T553" i="19"/>
  <c r="U514" i="19"/>
  <c r="T447" i="19"/>
  <c r="U378" i="19"/>
  <c r="V309" i="19"/>
  <c r="U242" i="19"/>
  <c r="T131" i="19"/>
  <c r="U1133" i="19"/>
  <c r="W1099" i="19"/>
  <c r="U1065" i="19"/>
  <c r="X1030" i="19"/>
  <c r="K1030" i="19" s="1"/>
  <c r="F214" i="13" s="1"/>
  <c r="U997" i="19"/>
  <c r="X962" i="19"/>
  <c r="K962" i="19" s="1"/>
  <c r="V928" i="19"/>
  <c r="X894" i="19"/>
  <c r="V860" i="19"/>
  <c r="T826" i="19"/>
  <c r="U777" i="19"/>
  <c r="X674" i="19"/>
  <c r="V572" i="19"/>
  <c r="X416" i="19"/>
  <c r="K416" i="19" s="1"/>
  <c r="T208" i="19"/>
  <c r="X469" i="19"/>
  <c r="V367" i="19"/>
  <c r="V243" i="19"/>
  <c r="W515" i="19"/>
  <c r="R111" i="13" s="1"/>
  <c r="V320" i="19"/>
  <c r="X193" i="19"/>
  <c r="K193" i="19" s="1"/>
  <c r="U117" i="19"/>
  <c r="X1373" i="19"/>
  <c r="K1373" i="19" s="1"/>
  <c r="G790" i="22" s="1"/>
  <c r="X695" i="19"/>
  <c r="K695" i="19" s="1"/>
  <c r="G147" i="22" s="1"/>
  <c r="X20" i="19"/>
  <c r="K20" i="19" s="1"/>
  <c r="G12" i="22" s="1"/>
  <c r="V46" i="19"/>
  <c r="T72" i="19"/>
  <c r="W97" i="19"/>
  <c r="U123" i="19"/>
  <c r="X148" i="19"/>
  <c r="K148" i="19" s="1"/>
  <c r="V174" i="19"/>
  <c r="T200" i="19"/>
  <c r="X220" i="19"/>
  <c r="K220" i="19" s="1"/>
  <c r="G52" i="22" s="1"/>
  <c r="W233" i="19"/>
  <c r="V246" i="19"/>
  <c r="U259" i="19"/>
  <c r="T272" i="19"/>
  <c r="X284" i="19"/>
  <c r="W297" i="19"/>
  <c r="V310" i="19"/>
  <c r="U323" i="19"/>
  <c r="T336" i="19"/>
  <c r="X348" i="19"/>
  <c r="K348" i="19" s="1"/>
  <c r="W361" i="19"/>
  <c r="V374" i="19"/>
  <c r="U387" i="19"/>
  <c r="T400" i="19"/>
  <c r="X412" i="19"/>
  <c r="K412" i="19" s="1"/>
  <c r="G630" i="22" s="1"/>
  <c r="W425" i="19"/>
  <c r="R93" i="13" s="1"/>
  <c r="V438" i="19"/>
  <c r="U451" i="19"/>
  <c r="T464" i="19"/>
  <c r="X476" i="19"/>
  <c r="K476" i="19" s="1"/>
  <c r="G627" i="22" s="1"/>
  <c r="W489" i="19"/>
  <c r="V502" i="19"/>
  <c r="U515" i="19"/>
  <c r="W525" i="19"/>
  <c r="R113" i="13" s="1"/>
  <c r="T532" i="19"/>
  <c r="V538" i="19"/>
  <c r="X544" i="19"/>
  <c r="U551" i="19"/>
  <c r="W557" i="19"/>
  <c r="T564" i="19"/>
  <c r="V570" i="19"/>
  <c r="X576" i="19"/>
  <c r="K576" i="19" s="1"/>
  <c r="G606" i="22" s="1"/>
  <c r="U583" i="19"/>
  <c r="W589" i="19"/>
  <c r="T596" i="19"/>
  <c r="V602" i="19"/>
  <c r="X608" i="19"/>
  <c r="K608" i="19" s="1"/>
  <c r="U615" i="19"/>
  <c r="W621" i="19"/>
  <c r="T628" i="19"/>
  <c r="V634" i="19"/>
  <c r="X640" i="19"/>
  <c r="K640" i="19" s="1"/>
  <c r="F136" i="13" s="1"/>
  <c r="U647" i="19"/>
  <c r="W653" i="19"/>
  <c r="T660" i="19"/>
  <c r="V666" i="19"/>
  <c r="X672" i="19"/>
  <c r="K672" i="19" s="1"/>
  <c r="G804" i="22" s="1"/>
  <c r="U679" i="19"/>
  <c r="W685" i="19"/>
  <c r="R145" i="13" s="1"/>
  <c r="E93" i="15" s="1"/>
  <c r="F93" i="15" s="1"/>
  <c r="T692" i="19"/>
  <c r="V698" i="19"/>
  <c r="X704" i="19"/>
  <c r="U711" i="19"/>
  <c r="W717" i="19"/>
  <c r="T724" i="19"/>
  <c r="V730" i="19"/>
  <c r="X736" i="19"/>
  <c r="K736" i="19" s="1"/>
  <c r="G411" i="22" s="1"/>
  <c r="U743" i="19"/>
  <c r="W749" i="19"/>
  <c r="T756" i="19"/>
  <c r="V762" i="19"/>
  <c r="X768" i="19"/>
  <c r="K768" i="19" s="1"/>
  <c r="U775" i="19"/>
  <c r="W781" i="19"/>
  <c r="T788" i="19"/>
  <c r="V794" i="19"/>
  <c r="X800" i="19"/>
  <c r="K800" i="19" s="1"/>
  <c r="F168" i="13" s="1"/>
  <c r="U807" i="19"/>
  <c r="W813" i="19"/>
  <c r="T820" i="19"/>
  <c r="V826" i="19"/>
  <c r="X832" i="19"/>
  <c r="K832" i="19" s="1"/>
  <c r="U839" i="19"/>
  <c r="W845" i="19"/>
  <c r="R177" i="13" s="1"/>
  <c r="T852" i="19"/>
  <c r="V858" i="19"/>
  <c r="X864" i="19"/>
  <c r="U871" i="19"/>
  <c r="W877" i="19"/>
  <c r="W885" i="19"/>
  <c r="R185" i="13" s="1"/>
  <c r="E127" i="15" s="1"/>
  <c r="F127" i="15" s="1"/>
  <c r="X896" i="19"/>
  <c r="K896" i="19" s="1"/>
  <c r="G691" i="22" s="1"/>
  <c r="W909" i="19"/>
  <c r="T924" i="19"/>
  <c r="U943" i="19"/>
  <c r="X960" i="19"/>
  <c r="K960" i="19" s="1"/>
  <c r="G200" i="22" s="1"/>
  <c r="U975" i="19"/>
  <c r="V994" i="19"/>
  <c r="T1012" i="19"/>
  <c r="V1026" i="19"/>
  <c r="W1045" i="19"/>
  <c r="R217" i="13" s="1"/>
  <c r="E145" i="15" s="1"/>
  <c r="F145" i="15" s="1"/>
  <c r="U1063" i="19"/>
  <c r="W1077" i="19"/>
  <c r="X1096" i="19"/>
  <c r="K1096" i="19" s="1"/>
  <c r="G725" i="22" s="1"/>
  <c r="V1114" i="19"/>
  <c r="X1128" i="19"/>
  <c r="K1128" i="19" s="1"/>
  <c r="X1142" i="19"/>
  <c r="K1142" i="19" s="1"/>
  <c r="W1151" i="19"/>
  <c r="X1158" i="19"/>
  <c r="K1158" i="19" s="1"/>
  <c r="V1168" i="19"/>
  <c r="U1177" i="19"/>
  <c r="V1184" i="19"/>
  <c r="T1194" i="19"/>
  <c r="X1202" i="19"/>
  <c r="K1202" i="19" s="1"/>
  <c r="T1210" i="19"/>
  <c r="W1219" i="19"/>
  <c r="V1228" i="19"/>
  <c r="W1235" i="19"/>
  <c r="R255" i="13" s="1"/>
  <c r="E173" i="15" s="1"/>
  <c r="F173" i="15" s="1"/>
  <c r="U1245" i="19"/>
  <c r="T1254" i="19"/>
  <c r="U1261" i="19"/>
  <c r="X1270" i="19"/>
  <c r="K1270" i="19" s="1"/>
  <c r="G262" i="22" s="1"/>
  <c r="W1279" i="19"/>
  <c r="X1286" i="19"/>
  <c r="K1286" i="19" s="1"/>
  <c r="G421" i="22" s="1"/>
  <c r="V1296" i="19"/>
  <c r="U1305" i="19"/>
  <c r="V1312" i="19"/>
  <c r="T1322" i="19"/>
  <c r="X1330" i="19"/>
  <c r="K1330" i="19" s="1"/>
  <c r="F274" i="13" s="1"/>
  <c r="T1338" i="19"/>
  <c r="W1347" i="19"/>
  <c r="V1356" i="19"/>
  <c r="W1363" i="19"/>
  <c r="U1373" i="19"/>
  <c r="T1382" i="19"/>
  <c r="U1389" i="19"/>
  <c r="X1398" i="19"/>
  <c r="K1398" i="19" s="1"/>
  <c r="W1407" i="19"/>
  <c r="X1414" i="19"/>
  <c r="V1424" i="19"/>
  <c r="U1433" i="19"/>
  <c r="V1440" i="19"/>
  <c r="T1450" i="19"/>
  <c r="X1458" i="19"/>
  <c r="K1458" i="19" s="1"/>
  <c r="T1466" i="19"/>
  <c r="W1475" i="19"/>
  <c r="R303" i="13" s="1"/>
  <c r="U1485" i="19"/>
  <c r="T1498" i="19"/>
  <c r="X1510" i="19"/>
  <c r="K1510" i="19" s="1"/>
  <c r="F310" i="13" s="1"/>
  <c r="W1523" i="19"/>
  <c r="V1536" i="19"/>
  <c r="U1549" i="19"/>
  <c r="T1562" i="19"/>
  <c r="X1574" i="19"/>
  <c r="W1587" i="19"/>
  <c r="V1600" i="19"/>
  <c r="U1613" i="19"/>
  <c r="T1626" i="19"/>
  <c r="X1638" i="19"/>
  <c r="K1638" i="19" s="1"/>
  <c r="W1651" i="19"/>
  <c r="V1664" i="19"/>
  <c r="U1677" i="19"/>
  <c r="T1690" i="19"/>
  <c r="X1702" i="19"/>
  <c r="K1702" i="19" s="1"/>
  <c r="W1715" i="19"/>
  <c r="R351" i="13" s="1"/>
  <c r="E237" i="15" s="1"/>
  <c r="V1728" i="19"/>
  <c r="U1741" i="19"/>
  <c r="T1754" i="19"/>
  <c r="U1136" i="19"/>
  <c r="V1123" i="19"/>
  <c r="W1110" i="19"/>
  <c r="R230" i="13" s="1"/>
  <c r="AE230" i="13" s="1"/>
  <c r="X1097" i="19"/>
  <c r="K1097" i="19" s="1"/>
  <c r="G786" i="22" s="1"/>
  <c r="T1085" i="19"/>
  <c r="U1072" i="19"/>
  <c r="V1059" i="19"/>
  <c r="W1046" i="19"/>
  <c r="X1033" i="19"/>
  <c r="K1033" i="19" s="1"/>
  <c r="T1021" i="19"/>
  <c r="U1008" i="19"/>
  <c r="V995" i="19"/>
  <c r="W982" i="19"/>
  <c r="X969" i="19"/>
  <c r="T957" i="19"/>
  <c r="U944" i="19"/>
  <c r="V931" i="19"/>
  <c r="W918" i="19"/>
  <c r="X905" i="19"/>
  <c r="K905" i="19" s="1"/>
  <c r="G189" i="22" s="1"/>
  <c r="T893" i="19"/>
  <c r="U880" i="19"/>
  <c r="V867" i="19"/>
  <c r="W854" i="19"/>
  <c r="X841" i="19"/>
  <c r="K841" i="19" s="1"/>
  <c r="G724" i="22" s="1"/>
  <c r="T829" i="19"/>
  <c r="T813" i="19"/>
  <c r="U796" i="19"/>
  <c r="S796" i="19" s="1"/>
  <c r="V779" i="19"/>
  <c r="X761" i="19"/>
  <c r="K761" i="19" s="1"/>
  <c r="T745" i="19"/>
  <c r="U728" i="19"/>
  <c r="W710" i="19"/>
  <c r="R150" i="13" s="1"/>
  <c r="AE150" i="13" s="1"/>
  <c r="X693" i="19"/>
  <c r="K693" i="19" s="1"/>
  <c r="T677" i="19"/>
  <c r="V659" i="19"/>
  <c r="W642" i="19"/>
  <c r="X625" i="19"/>
  <c r="K625" i="19" s="1"/>
  <c r="F133" i="13" s="1"/>
  <c r="U604" i="19"/>
  <c r="X569" i="19"/>
  <c r="U536" i="19"/>
  <c r="W480" i="19"/>
  <c r="R104" i="13" s="1"/>
  <c r="AE104" i="13" s="1"/>
  <c r="X411" i="19"/>
  <c r="K411" i="19" s="1"/>
  <c r="G423" i="22" s="1"/>
  <c r="W344" i="19"/>
  <c r="X275" i="19"/>
  <c r="K275" i="19" s="1"/>
  <c r="U198" i="19"/>
  <c r="X63" i="19"/>
  <c r="K63" i="19" s="1"/>
  <c r="V1116" i="19"/>
  <c r="T1082" i="19"/>
  <c r="V1048" i="19"/>
  <c r="T1014" i="19"/>
  <c r="W979" i="19"/>
  <c r="T946" i="19"/>
  <c r="W911" i="19"/>
  <c r="U877" i="19"/>
  <c r="W843" i="19"/>
  <c r="U809" i="19"/>
  <c r="T726" i="19"/>
  <c r="W623" i="19"/>
  <c r="U519" i="19"/>
  <c r="V314" i="19"/>
  <c r="T521" i="19"/>
  <c r="W418" i="19"/>
  <c r="W310" i="19"/>
  <c r="R70" i="13" s="1"/>
  <c r="E47" i="15" s="1"/>
  <c r="F47" i="15" s="1"/>
  <c r="T135" i="19"/>
  <c r="X422" i="19"/>
  <c r="K422" i="19" s="1"/>
  <c r="T218" i="19"/>
  <c r="T57" i="19"/>
  <c r="T791" i="19"/>
  <c r="U1598" i="19"/>
  <c r="N358" i="10"/>
  <c r="O358" i="10" s="1"/>
  <c r="N10" i="10"/>
  <c r="O10" i="10" s="1"/>
  <c r="N294" i="10"/>
  <c r="O294" i="10" s="1"/>
  <c r="N319" i="10"/>
  <c r="O319" i="10" s="1"/>
  <c r="N131" i="10"/>
  <c r="O131" i="10" s="1"/>
  <c r="N71" i="10"/>
  <c r="O71" i="10" s="1"/>
  <c r="N39" i="10"/>
  <c r="O39" i="10" s="1"/>
  <c r="N360" i="10"/>
  <c r="O360" i="10" s="1"/>
  <c r="N328" i="10"/>
  <c r="O328" i="10" s="1"/>
  <c r="N296" i="10"/>
  <c r="O296" i="10" s="1"/>
  <c r="N264" i="10"/>
  <c r="O264" i="10" s="1"/>
  <c r="N232" i="10"/>
  <c r="O232" i="10" s="1"/>
  <c r="N200" i="10"/>
  <c r="O200" i="10" s="1"/>
  <c r="N168" i="10"/>
  <c r="O168" i="10" s="1"/>
  <c r="N136" i="10"/>
  <c r="O136" i="10" s="1"/>
  <c r="N104" i="10"/>
  <c r="O104" i="10" s="1"/>
  <c r="N72" i="10"/>
  <c r="O72" i="10" s="1"/>
  <c r="N40" i="10"/>
  <c r="O40" i="10" s="1"/>
  <c r="N194" i="10"/>
  <c r="O194" i="10" s="1"/>
  <c r="N162" i="10"/>
  <c r="O162" i="10" s="1"/>
  <c r="N130" i="10"/>
  <c r="O130" i="10" s="1"/>
  <c r="N98" i="10"/>
  <c r="O98" i="10" s="1"/>
  <c r="N66" i="10"/>
  <c r="O66" i="10" s="1"/>
  <c r="N34" i="10"/>
  <c r="O34" i="10" s="1"/>
  <c r="N339" i="10"/>
  <c r="O339" i="10" s="1"/>
  <c r="N275" i="10"/>
  <c r="O275" i="10" s="1"/>
  <c r="N211" i="10"/>
  <c r="O211" i="10" s="1"/>
  <c r="N147" i="10"/>
  <c r="O147" i="10" s="1"/>
  <c r="N341" i="10"/>
  <c r="O341" i="10" s="1"/>
  <c r="N309" i="10"/>
  <c r="O309" i="10" s="1"/>
  <c r="N277" i="10"/>
  <c r="O277" i="10" s="1"/>
  <c r="N245" i="10"/>
  <c r="O245" i="10" s="1"/>
  <c r="N213" i="10"/>
  <c r="O213" i="10" s="1"/>
  <c r="N181" i="10"/>
  <c r="O181" i="10" s="1"/>
  <c r="N149" i="10"/>
  <c r="O149" i="10" s="1"/>
  <c r="N117" i="10"/>
  <c r="O117" i="10" s="1"/>
  <c r="N85" i="10"/>
  <c r="O85" i="10" s="1"/>
  <c r="N53" i="10"/>
  <c r="O53" i="10" s="1"/>
  <c r="N21" i="10"/>
  <c r="O21" i="10" s="1"/>
  <c r="N274" i="10"/>
  <c r="O274" i="10" s="1"/>
  <c r="N335" i="10"/>
  <c r="O335" i="10" s="1"/>
  <c r="N191" i="10"/>
  <c r="O191" i="10" s="1"/>
  <c r="N79" i="10"/>
  <c r="O79" i="10" s="1"/>
  <c r="N47" i="10"/>
  <c r="O47" i="10" s="1"/>
  <c r="N15" i="10"/>
  <c r="O15" i="10" s="1"/>
  <c r="N336" i="10"/>
  <c r="O336" i="10" s="1"/>
  <c r="N304" i="10"/>
  <c r="O304" i="10" s="1"/>
  <c r="N272" i="10"/>
  <c r="O272" i="10" s="1"/>
  <c r="N240" i="10"/>
  <c r="O240" i="10" s="1"/>
  <c r="N208" i="10"/>
  <c r="O208" i="10" s="1"/>
  <c r="N176" i="10"/>
  <c r="O176" i="10" s="1"/>
  <c r="N144" i="10"/>
  <c r="O144" i="10" s="1"/>
  <c r="N112" i="10"/>
  <c r="O112" i="10" s="1"/>
  <c r="N80" i="10"/>
  <c r="O80" i="10" s="1"/>
  <c r="N48" i="10"/>
  <c r="O48" i="10" s="1"/>
  <c r="N16" i="10"/>
  <c r="O16" i="10" s="1"/>
  <c r="N170" i="10"/>
  <c r="O170" i="10" s="1"/>
  <c r="N138" i="10"/>
  <c r="O138" i="10" s="1"/>
  <c r="N106" i="10"/>
  <c r="O106" i="10" s="1"/>
  <c r="N74" i="10"/>
  <c r="O74" i="10" s="1"/>
  <c r="N42" i="10"/>
  <c r="O42" i="10" s="1"/>
  <c r="N355" i="10"/>
  <c r="O355" i="10" s="1"/>
  <c r="N291" i="10"/>
  <c r="O291" i="10" s="1"/>
  <c r="N227" i="10"/>
  <c r="O227" i="10" s="1"/>
  <c r="N163" i="10"/>
  <c r="O163" i="10" s="1"/>
  <c r="N349" i="10"/>
  <c r="O349" i="10" s="1"/>
  <c r="N317" i="10"/>
  <c r="O317" i="10" s="1"/>
  <c r="N285" i="10"/>
  <c r="O285" i="10" s="1"/>
  <c r="N253" i="10"/>
  <c r="O253" i="10" s="1"/>
  <c r="N221" i="10"/>
  <c r="O221" i="10" s="1"/>
  <c r="N189" i="10"/>
  <c r="O189" i="10" s="1"/>
  <c r="N157" i="10"/>
  <c r="O157" i="10" s="1"/>
  <c r="N125" i="10"/>
  <c r="O125" i="10" s="1"/>
  <c r="N93" i="10"/>
  <c r="O93" i="10" s="1"/>
  <c r="N61" i="10"/>
  <c r="O61" i="10" s="1"/>
  <c r="N29" i="10"/>
  <c r="O29" i="10" s="1"/>
  <c r="U1258" i="19"/>
  <c r="T1191" i="19"/>
  <c r="T648" i="19"/>
  <c r="U318" i="19"/>
  <c r="X967" i="19"/>
  <c r="K967" i="19" s="1"/>
  <c r="G609" i="22" s="1"/>
  <c r="T1168" i="19"/>
  <c r="X1372" i="19"/>
  <c r="K1372" i="19" s="1"/>
  <c r="G619" i="22" s="1"/>
  <c r="X1167" i="19"/>
  <c r="K1167" i="19" s="1"/>
  <c r="G685" i="22" s="1"/>
  <c r="W1372" i="19"/>
  <c r="T1156" i="19"/>
  <c r="X1360" i="19"/>
  <c r="K1360" i="19" s="1"/>
  <c r="G280" i="22" s="1"/>
  <c r="V1665" i="19"/>
  <c r="V1529" i="19"/>
  <c r="T1231" i="19"/>
  <c r="X1721" i="19"/>
  <c r="K1721" i="19" s="1"/>
  <c r="G671" i="22" s="1"/>
  <c r="X1653" i="19"/>
  <c r="K1653" i="19" s="1"/>
  <c r="X1585" i="19"/>
  <c r="K1585" i="19" s="1"/>
  <c r="T1517" i="19"/>
  <c r="W1450" i="19"/>
  <c r="R298" i="13" s="1"/>
  <c r="E201" i="15" s="1"/>
  <c r="F201" i="15" s="1"/>
  <c r="V1399" i="19"/>
  <c r="U1348" i="19"/>
  <c r="T1297" i="19"/>
  <c r="X1245" i="19"/>
  <c r="K1245" i="19" s="1"/>
  <c r="G257" i="22" s="1"/>
  <c r="W1194" i="19"/>
  <c r="V1143" i="19"/>
  <c r="T1047" i="19"/>
  <c r="W944" i="19"/>
  <c r="U842" i="19"/>
  <c r="X739" i="19"/>
  <c r="V637" i="19"/>
  <c r="T535" i="19"/>
  <c r="U342" i="19"/>
  <c r="T123" i="19"/>
  <c r="W31" i="19"/>
  <c r="T66" i="19"/>
  <c r="V100" i="19"/>
  <c r="T134" i="19"/>
  <c r="W151" i="19"/>
  <c r="V168" i="19"/>
  <c r="U185" i="19"/>
  <c r="X202" i="19"/>
  <c r="K202" i="19" s="1"/>
  <c r="W14" i="19"/>
  <c r="V31" i="19"/>
  <c r="T49" i="19"/>
  <c r="X65" i="19"/>
  <c r="K65" i="19" s="1"/>
  <c r="F21" i="13" s="1"/>
  <c r="W82" i="19"/>
  <c r="U100" i="19"/>
  <c r="T117" i="19"/>
  <c r="X133" i="19"/>
  <c r="K133" i="19" s="1"/>
  <c r="V151" i="19"/>
  <c r="U168" i="19"/>
  <c r="T185" i="19"/>
  <c r="S185" i="19" s="1"/>
  <c r="W202" i="19"/>
  <c r="V18" i="19"/>
  <c r="T52" i="19"/>
  <c r="U87" i="19"/>
  <c r="X120" i="19"/>
  <c r="K120" i="19" s="1"/>
  <c r="G32" i="22" s="1"/>
  <c r="V154" i="19"/>
  <c r="W181" i="19"/>
  <c r="U207" i="19"/>
  <c r="V224" i="19"/>
  <c r="U237" i="19"/>
  <c r="T250" i="19"/>
  <c r="X262" i="19"/>
  <c r="K262" i="19" s="1"/>
  <c r="G643" i="22" s="1"/>
  <c r="W275" i="19"/>
  <c r="R63" i="13" s="1"/>
  <c r="V288" i="19"/>
  <c r="U301" i="19"/>
  <c r="T314" i="19"/>
  <c r="X326" i="19"/>
  <c r="K326" i="19" s="1"/>
  <c r="W339" i="19"/>
  <c r="V352" i="19"/>
  <c r="U365" i="19"/>
  <c r="T378" i="19"/>
  <c r="X390" i="19"/>
  <c r="K390" i="19" s="1"/>
  <c r="G86" i="22" s="1"/>
  <c r="W403" i="19"/>
  <c r="V416" i="19"/>
  <c r="U429" i="19"/>
  <c r="T442" i="19"/>
  <c r="X454" i="19"/>
  <c r="W467" i="19"/>
  <c r="V480" i="19"/>
  <c r="U493" i="19"/>
  <c r="X502" i="19"/>
  <c r="K502" i="19" s="1"/>
  <c r="G802" i="22" s="1"/>
  <c r="V512" i="19"/>
  <c r="U521" i="19"/>
  <c r="V21" i="19"/>
  <c r="W40" i="19"/>
  <c r="R16" i="13" s="1"/>
  <c r="E13" i="15" s="1"/>
  <c r="F13" i="15" s="1"/>
  <c r="U58" i="19"/>
  <c r="W72" i="19"/>
  <c r="X91" i="19"/>
  <c r="K91" i="19" s="1"/>
  <c r="G737" i="22" s="1"/>
  <c r="V109" i="19"/>
  <c r="X123" i="19"/>
  <c r="K123" i="19" s="1"/>
  <c r="T143" i="19"/>
  <c r="W160" i="19"/>
  <c r="R40" i="13" s="1"/>
  <c r="E29" i="15" s="1"/>
  <c r="F29" i="15" s="1"/>
  <c r="T175" i="19"/>
  <c r="U194" i="19"/>
  <c r="X211" i="19"/>
  <c r="K211" i="19" s="1"/>
  <c r="G404" i="22" s="1"/>
  <c r="T221" i="19"/>
  <c r="W230" i="19"/>
  <c r="R54" i="13" s="1"/>
  <c r="E38" i="15" s="1"/>
  <c r="F38" i="15" s="1"/>
  <c r="V239" i="19"/>
  <c r="W246" i="19"/>
  <c r="U256" i="19"/>
  <c r="T265" i="19"/>
  <c r="U272" i="19"/>
  <c r="X281" i="19"/>
  <c r="K281" i="19" s="1"/>
  <c r="G456" i="22" s="1"/>
  <c r="W290" i="19"/>
  <c r="R66" i="13" s="1"/>
  <c r="E46" i="15" s="1"/>
  <c r="F46" i="15" s="1"/>
  <c r="X297" i="19"/>
  <c r="K297" i="19" s="1"/>
  <c r="G673" i="22" s="1"/>
  <c r="V307" i="19"/>
  <c r="U316" i="19"/>
  <c r="V323" i="19"/>
  <c r="U332" i="19"/>
  <c r="W338" i="19"/>
  <c r="T345" i="19"/>
  <c r="V351" i="19"/>
  <c r="X357" i="19"/>
  <c r="K357" i="19" s="1"/>
  <c r="U364" i="19"/>
  <c r="W370" i="19"/>
  <c r="R82" i="13" s="1"/>
  <c r="E55" i="15" s="1"/>
  <c r="F55" i="15" s="1"/>
  <c r="T377" i="19"/>
  <c r="V383" i="19"/>
  <c r="X389" i="19"/>
  <c r="U396" i="19"/>
  <c r="W402" i="19"/>
  <c r="T409" i="19"/>
  <c r="V415" i="19"/>
  <c r="X421" i="19"/>
  <c r="K421" i="19" s="1"/>
  <c r="G721" i="22" s="1"/>
  <c r="U428" i="19"/>
  <c r="W434" i="19"/>
  <c r="T441" i="19"/>
  <c r="V447" i="19"/>
  <c r="X453" i="19"/>
  <c r="K453" i="19" s="1"/>
  <c r="U460" i="19"/>
  <c r="W466" i="19"/>
  <c r="T473" i="19"/>
  <c r="V479" i="19"/>
  <c r="X485" i="19"/>
  <c r="K485" i="19" s="1"/>
  <c r="G105" i="22" s="1"/>
  <c r="U492" i="19"/>
  <c r="W498" i="19"/>
  <c r="T505" i="19"/>
  <c r="V511" i="19"/>
  <c r="X517" i="19"/>
  <c r="K517" i="19" s="1"/>
  <c r="G782" i="22" s="1"/>
  <c r="T16" i="19"/>
  <c r="W41" i="19"/>
  <c r="U67" i="19"/>
  <c r="X92" i="19"/>
  <c r="K92" i="19" s="1"/>
  <c r="V118" i="19"/>
  <c r="T144" i="19"/>
  <c r="W169" i="19"/>
  <c r="U195" i="19"/>
  <c r="V218" i="19"/>
  <c r="U231" i="19"/>
  <c r="T244" i="19"/>
  <c r="X256" i="19"/>
  <c r="K256" i="19" s="1"/>
  <c r="G556" i="22" s="1"/>
  <c r="W269" i="19"/>
  <c r="V282" i="19"/>
  <c r="U295" i="19"/>
  <c r="S295" i="19" s="1"/>
  <c r="T308" i="19"/>
  <c r="X320" i="19"/>
  <c r="K320" i="19" s="1"/>
  <c r="G72" i="22" s="1"/>
  <c r="W333" i="19"/>
  <c r="V346" i="19"/>
  <c r="U359" i="19"/>
  <c r="T372" i="19"/>
  <c r="X384" i="19"/>
  <c r="W397" i="19"/>
  <c r="V410" i="19"/>
  <c r="U423" i="19"/>
  <c r="T436" i="19"/>
  <c r="X448" i="19"/>
  <c r="K448" i="19" s="1"/>
  <c r="W461" i="19"/>
  <c r="V474" i="19"/>
  <c r="U487" i="19"/>
  <c r="T500" i="19"/>
  <c r="X512" i="19"/>
  <c r="K512" i="19" s="1"/>
  <c r="G803" i="22" s="1"/>
  <c r="V524" i="19"/>
  <c r="X530" i="19"/>
  <c r="K530" i="19" s="1"/>
  <c r="F114" i="13" s="1"/>
  <c r="U537" i="19"/>
  <c r="W543" i="19"/>
  <c r="T550" i="19"/>
  <c r="V556" i="19"/>
  <c r="X562" i="19"/>
  <c r="K562" i="19" s="1"/>
  <c r="U569" i="19"/>
  <c r="W575" i="19"/>
  <c r="R123" i="13" s="1"/>
  <c r="E82" i="15" s="1"/>
  <c r="F82" i="15" s="1"/>
  <c r="T582" i="19"/>
  <c r="V588" i="19"/>
  <c r="X594" i="19"/>
  <c r="U601" i="19"/>
  <c r="W607" i="19"/>
  <c r="T614" i="19"/>
  <c r="V620" i="19"/>
  <c r="X626" i="19"/>
  <c r="K626" i="19" s="1"/>
  <c r="G491" i="22" s="1"/>
  <c r="U633" i="19"/>
  <c r="W639" i="19"/>
  <c r="T646" i="19"/>
  <c r="V652" i="19"/>
  <c r="X658" i="19"/>
  <c r="K658" i="19" s="1"/>
  <c r="U665" i="19"/>
  <c r="W671" i="19"/>
  <c r="T678" i="19"/>
  <c r="V684" i="19"/>
  <c r="X690" i="19"/>
  <c r="K690" i="19" s="1"/>
  <c r="G146" i="22" s="1"/>
  <c r="U697" i="19"/>
  <c r="W703" i="19"/>
  <c r="T710" i="19"/>
  <c r="V716" i="19"/>
  <c r="X722" i="19"/>
  <c r="K722" i="19" s="1"/>
  <c r="U729" i="19"/>
  <c r="W735" i="19"/>
  <c r="R155" i="13" s="1"/>
  <c r="T742" i="19"/>
  <c r="V748" i="19"/>
  <c r="X754" i="19"/>
  <c r="U761" i="19"/>
  <c r="W767" i="19"/>
  <c r="T774" i="19"/>
  <c r="V780" i="19"/>
  <c r="X786" i="19"/>
  <c r="K786" i="19" s="1"/>
  <c r="G487" i="22" s="1"/>
  <c r="X790" i="19"/>
  <c r="K790" i="19" s="1"/>
  <c r="F166" i="13" s="1"/>
  <c r="W795" i="19"/>
  <c r="R167" i="13" s="1"/>
  <c r="AE167" i="13" s="1"/>
  <c r="W799" i="19"/>
  <c r="T1431" i="19"/>
  <c r="T1588" i="19"/>
  <c r="U363" i="19"/>
  <c r="V1102" i="19"/>
  <c r="U830" i="19"/>
  <c r="V982" i="19"/>
  <c r="W1321" i="19"/>
  <c r="U979" i="19"/>
  <c r="V1321" i="19"/>
  <c r="V886" i="19"/>
  <c r="W1309" i="19"/>
  <c r="W1700" i="19"/>
  <c r="R348" i="13" s="1"/>
  <c r="T1563" i="19"/>
  <c r="V1365" i="19"/>
  <c r="V1739" i="19"/>
  <c r="W1670" i="19"/>
  <c r="R342" i="13" s="1"/>
  <c r="W1602" i="19"/>
  <c r="W1534" i="19"/>
  <c r="X1465" i="19"/>
  <c r="K1465" i="19" s="1"/>
  <c r="F301" i="13" s="1"/>
  <c r="U1412" i="19"/>
  <c r="T1361" i="19"/>
  <c r="X1309" i="19"/>
  <c r="W1258" i="19"/>
  <c r="V1207" i="19"/>
  <c r="U1156" i="19"/>
  <c r="W1072" i="19"/>
  <c r="U970" i="19"/>
  <c r="X867" i="19"/>
  <c r="K867" i="19" s="1"/>
  <c r="V765" i="19"/>
  <c r="T663" i="19"/>
  <c r="W560" i="19"/>
  <c r="R120" i="13" s="1"/>
  <c r="E81" i="15" s="1"/>
  <c r="F81" i="15" s="1"/>
  <c r="V393" i="19"/>
  <c r="V193" i="19"/>
  <c r="W23" i="19"/>
  <c r="U57" i="19"/>
  <c r="W91" i="19"/>
  <c r="T126" i="19"/>
  <c r="X146" i="19"/>
  <c r="K146" i="19" s="1"/>
  <c r="G379" i="22" s="1"/>
  <c r="V164" i="19"/>
  <c r="U181" i="19"/>
  <c r="T198" i="19"/>
  <c r="W215" i="19"/>
  <c r="R51" i="13" s="1"/>
  <c r="V27" i="19"/>
  <c r="U44" i="19"/>
  <c r="X61" i="19"/>
  <c r="K61" i="19" s="1"/>
  <c r="G370" i="22" s="1"/>
  <c r="W78" i="19"/>
  <c r="V95" i="19"/>
  <c r="T113" i="19"/>
  <c r="X129" i="19"/>
  <c r="W146" i="19"/>
  <c r="U164" i="19"/>
  <c r="T181" i="19"/>
  <c r="S181" i="19" s="1"/>
  <c r="X197" i="19"/>
  <c r="K197" i="19" s="1"/>
  <c r="G583" i="22" s="1"/>
  <c r="V215" i="19"/>
  <c r="T44" i="19"/>
  <c r="W77" i="19"/>
  <c r="X112" i="19"/>
  <c r="K112" i="19" s="1"/>
  <c r="G657" i="22" s="1"/>
  <c r="V146" i="19"/>
  <c r="U175" i="19"/>
  <c r="X200" i="19"/>
  <c r="K200" i="19" s="1"/>
  <c r="U221" i="19"/>
  <c r="T234" i="19"/>
  <c r="X246" i="19"/>
  <c r="K246" i="19" s="1"/>
  <c r="G717" i="22" s="1"/>
  <c r="W259" i="19"/>
  <c r="V272" i="19"/>
  <c r="U285" i="19"/>
  <c r="T298" i="19"/>
  <c r="X310" i="19"/>
  <c r="K310" i="19" s="1"/>
  <c r="G70" i="22" s="1"/>
  <c r="W323" i="19"/>
  <c r="V336" i="19"/>
  <c r="U349" i="19"/>
  <c r="T362" i="19"/>
  <c r="X374" i="19"/>
  <c r="W387" i="19"/>
  <c r="V400" i="19"/>
  <c r="U413" i="19"/>
  <c r="T426" i="19"/>
  <c r="X438" i="19"/>
  <c r="K438" i="19" s="1"/>
  <c r="W451" i="19"/>
  <c r="V464" i="19"/>
  <c r="U477" i="19"/>
  <c r="T490" i="19"/>
  <c r="T502" i="19"/>
  <c r="U509" i="19"/>
  <c r="X518" i="19"/>
  <c r="K518" i="19" s="1"/>
  <c r="X19" i="19"/>
  <c r="U34" i="19"/>
  <c r="V53" i="19"/>
  <c r="T71" i="19"/>
  <c r="V85" i="19"/>
  <c r="W104" i="19"/>
  <c r="U122" i="19"/>
  <c r="W136" i="19"/>
  <c r="X155" i="19"/>
  <c r="K155" i="19" s="1"/>
  <c r="F39" i="13" s="1"/>
  <c r="V173" i="19"/>
  <c r="X187" i="19"/>
  <c r="K187" i="19" s="1"/>
  <c r="T207" i="19"/>
  <c r="U220" i="19"/>
  <c r="S220" i="19" s="1"/>
  <c r="V227" i="19"/>
  <c r="T237" i="19"/>
  <c r="X245" i="19"/>
  <c r="K245" i="19" s="1"/>
  <c r="F57" i="13" s="1"/>
  <c r="T253" i="19"/>
  <c r="W262" i="19"/>
  <c r="V271" i="19"/>
  <c r="W278" i="19"/>
  <c r="U288" i="19"/>
  <c r="T297" i="19"/>
  <c r="U304" i="19"/>
  <c r="X313" i="19"/>
  <c r="K313" i="19" s="1"/>
  <c r="W322" i="19"/>
  <c r="X329" i="19"/>
  <c r="U336" i="19"/>
  <c r="W342" i="19"/>
  <c r="T349" i="19"/>
  <c r="V355" i="19"/>
  <c r="X361" i="19"/>
  <c r="K361" i="19" s="1"/>
  <c r="G584" i="22" s="1"/>
  <c r="U368" i="19"/>
  <c r="W374" i="19"/>
  <c r="T381" i="19"/>
  <c r="V387" i="19"/>
  <c r="X393" i="19"/>
  <c r="K393" i="19" s="1"/>
  <c r="U400" i="19"/>
  <c r="W406" i="19"/>
  <c r="T413" i="19"/>
  <c r="S413" i="19" s="1"/>
  <c r="V419" i="19"/>
  <c r="X425" i="19"/>
  <c r="K425" i="19" s="1"/>
  <c r="F93" i="13" s="1"/>
  <c r="U432" i="19"/>
  <c r="W438" i="19"/>
  <c r="T445" i="19"/>
  <c r="V451" i="19"/>
  <c r="X457" i="19"/>
  <c r="K457" i="19" s="1"/>
  <c r="U464" i="19"/>
  <c r="S464" i="19" s="1"/>
  <c r="W470" i="19"/>
  <c r="R102" i="13" s="1"/>
  <c r="E68" i="15" s="1"/>
  <c r="F68" i="15" s="1"/>
  <c r="T477" i="19"/>
  <c r="V483" i="19"/>
  <c r="X489" i="19"/>
  <c r="U496" i="19"/>
  <c r="W502" i="19"/>
  <c r="T509" i="19"/>
  <c r="V515" i="19"/>
  <c r="X521" i="19"/>
  <c r="K521" i="19" s="1"/>
  <c r="G659" i="22" s="1"/>
  <c r="T32" i="19"/>
  <c r="W57" i="19"/>
  <c r="U83" i="19"/>
  <c r="X108" i="19"/>
  <c r="K108" i="19" s="1"/>
  <c r="V134" i="19"/>
  <c r="T160" i="19"/>
  <c r="W185" i="19"/>
  <c r="R45" i="13" s="1"/>
  <c r="E31" i="15" s="1"/>
  <c r="F31" i="15" s="1"/>
  <c r="U211" i="19"/>
  <c r="V226" i="19"/>
  <c r="U239" i="19"/>
  <c r="T252" i="19"/>
  <c r="X264" i="19"/>
  <c r="W277" i="19"/>
  <c r="V290" i="19"/>
  <c r="U303" i="19"/>
  <c r="T316" i="19"/>
  <c r="X328" i="19"/>
  <c r="K328" i="19" s="1"/>
  <c r="W341" i="19"/>
  <c r="V354" i="19"/>
  <c r="U367" i="19"/>
  <c r="T380" i="19"/>
  <c r="X392" i="19"/>
  <c r="K392" i="19" s="1"/>
  <c r="W405" i="19"/>
  <c r="R89" i="13" s="1"/>
  <c r="V418" i="19"/>
  <c r="U431" i="19"/>
  <c r="T444" i="19"/>
  <c r="X456" i="19"/>
  <c r="K456" i="19" s="1"/>
  <c r="G505" i="22" s="1"/>
  <c r="W469" i="19"/>
  <c r="V482" i="19"/>
  <c r="U495" i="19"/>
  <c r="T508" i="19"/>
  <c r="X520" i="19"/>
  <c r="K520" i="19" s="1"/>
  <c r="G112" i="22" s="1"/>
  <c r="V528" i="19"/>
  <c r="X534" i="19"/>
  <c r="U541" i="19"/>
  <c r="W547" i="19"/>
  <c r="T554" i="19"/>
  <c r="V560" i="19"/>
  <c r="X566" i="19"/>
  <c r="K566" i="19" s="1"/>
  <c r="G509" i="22" s="1"/>
  <c r="U573" i="19"/>
  <c r="W579" i="19"/>
  <c r="T586" i="19"/>
  <c r="V592" i="19"/>
  <c r="X598" i="19"/>
  <c r="K598" i="19" s="1"/>
  <c r="U605" i="19"/>
  <c r="W611" i="19"/>
  <c r="T618" i="19"/>
  <c r="V624" i="19"/>
  <c r="X630" i="19"/>
  <c r="K630" i="19" s="1"/>
  <c r="F134" i="13" s="1"/>
  <c r="U637" i="19"/>
  <c r="W643" i="19"/>
  <c r="T650" i="19"/>
  <c r="V656" i="19"/>
  <c r="X662" i="19"/>
  <c r="K662" i="19" s="1"/>
  <c r="U669" i="19"/>
  <c r="W675" i="19"/>
  <c r="R143" i="13" s="1"/>
  <c r="T682" i="19"/>
  <c r="V688" i="19"/>
  <c r="X694" i="19"/>
  <c r="U701" i="19"/>
  <c r="W707" i="19"/>
  <c r="T714" i="19"/>
  <c r="V720" i="19"/>
  <c r="X726" i="19"/>
  <c r="K726" i="19" s="1"/>
  <c r="G767" i="22" s="1"/>
  <c r="U733" i="19"/>
  <c r="W739" i="19"/>
  <c r="T746" i="19"/>
  <c r="V752" i="19"/>
  <c r="X758" i="19"/>
  <c r="K758" i="19" s="1"/>
  <c r="U765" i="19"/>
  <c r="W771" i="19"/>
  <c r="T778" i="19"/>
  <c r="V784" i="19"/>
  <c r="T790" i="19"/>
  <c r="T794" i="19"/>
  <c r="X798" i="19"/>
  <c r="K798" i="19" s="1"/>
  <c r="X802" i="19"/>
  <c r="K802" i="19" s="1"/>
  <c r="N69" i="10"/>
  <c r="O69" i="10" s="1"/>
  <c r="N133" i="10"/>
  <c r="O133" i="10" s="1"/>
  <c r="N197" i="10"/>
  <c r="O197" i="10" s="1"/>
  <c r="N261" i="10"/>
  <c r="O261" i="10" s="1"/>
  <c r="N325" i="10"/>
  <c r="O325" i="10" s="1"/>
  <c r="N179" i="10"/>
  <c r="O179" i="10" s="1"/>
  <c r="N307" i="10"/>
  <c r="O307" i="10" s="1"/>
  <c r="N50" i="10"/>
  <c r="O50" i="10" s="1"/>
  <c r="N114" i="10"/>
  <c r="O114" i="10" s="1"/>
  <c r="N178" i="10"/>
  <c r="O178" i="10" s="1"/>
  <c r="N56" i="10"/>
  <c r="O56" i="10" s="1"/>
  <c r="N120" i="10"/>
  <c r="O120" i="10" s="1"/>
  <c r="N184" i="10"/>
  <c r="O184" i="10" s="1"/>
  <c r="N248" i="10"/>
  <c r="O248" i="10" s="1"/>
  <c r="N312" i="10"/>
  <c r="O312" i="10" s="1"/>
  <c r="N23" i="10"/>
  <c r="O23" i="10" s="1"/>
  <c r="N95" i="10"/>
  <c r="O95" i="10" s="1"/>
  <c r="N238" i="10"/>
  <c r="O238" i="10" s="1"/>
  <c r="AU69" i="13"/>
  <c r="AU133" i="13"/>
  <c r="AU197" i="13"/>
  <c r="AU261" i="13"/>
  <c r="AU325" i="13"/>
  <c r="AU389" i="13"/>
  <c r="AU16" i="13"/>
  <c r="AU80" i="13"/>
  <c r="AU144" i="13"/>
  <c r="AU208" i="13"/>
  <c r="AU272" i="13"/>
  <c r="AU336" i="13"/>
  <c r="AU400" i="13"/>
  <c r="E392" i="13"/>
  <c r="E136" i="13"/>
  <c r="E337" i="13"/>
  <c r="E81" i="13"/>
  <c r="E354" i="13"/>
  <c r="E226" i="13"/>
  <c r="E98" i="13"/>
  <c r="E364" i="13"/>
  <c r="E108" i="13"/>
  <c r="E277" i="13"/>
  <c r="E21" i="13"/>
  <c r="E327" i="13"/>
  <c r="E199" i="13"/>
  <c r="E71" i="13"/>
  <c r="N45" i="10"/>
  <c r="O45" i="10" s="1"/>
  <c r="N109" i="10"/>
  <c r="O109" i="10" s="1"/>
  <c r="N173" i="10"/>
  <c r="O173" i="10" s="1"/>
  <c r="N237" i="10"/>
  <c r="O237" i="10" s="1"/>
  <c r="N301" i="10"/>
  <c r="O301" i="10" s="1"/>
  <c r="N115" i="10"/>
  <c r="O115" i="10" s="1"/>
  <c r="N259" i="10"/>
  <c r="O259" i="10" s="1"/>
  <c r="N26" i="10"/>
  <c r="O26" i="10" s="1"/>
  <c r="N90" i="10"/>
  <c r="O90" i="10" s="1"/>
  <c r="N154" i="10"/>
  <c r="O154" i="10" s="1"/>
  <c r="N32" i="10"/>
  <c r="O32" i="10" s="1"/>
  <c r="N96" i="10"/>
  <c r="O96" i="10" s="1"/>
  <c r="N160" i="10"/>
  <c r="O160" i="10" s="1"/>
  <c r="N224" i="10"/>
  <c r="O224" i="10" s="1"/>
  <c r="N288" i="10"/>
  <c r="O288" i="10" s="1"/>
  <c r="N352" i="10"/>
  <c r="O352" i="10" s="1"/>
  <c r="N63" i="10"/>
  <c r="O63" i="10" s="1"/>
  <c r="N255" i="10"/>
  <c r="O255" i="10" s="1"/>
  <c r="N266" i="10"/>
  <c r="O266" i="10" s="1"/>
  <c r="N37" i="10"/>
  <c r="O37" i="10" s="1"/>
  <c r="N101" i="10"/>
  <c r="O101" i="10" s="1"/>
  <c r="N165" i="10"/>
  <c r="O165" i="10" s="1"/>
  <c r="N229" i="10"/>
  <c r="O229" i="10" s="1"/>
  <c r="N293" i="10"/>
  <c r="O293" i="10" s="1"/>
  <c r="N357" i="10"/>
  <c r="O357" i="10" s="1"/>
  <c r="N243" i="10"/>
  <c r="O243" i="10" s="1"/>
  <c r="N18" i="10"/>
  <c r="O18" i="10" s="1"/>
  <c r="N82" i="10"/>
  <c r="O82" i="10" s="1"/>
  <c r="N146" i="10"/>
  <c r="O146" i="10" s="1"/>
  <c r="N24" i="10"/>
  <c r="O24" i="10" s="1"/>
  <c r="N88" i="10"/>
  <c r="O88" i="10" s="1"/>
  <c r="N152" i="10"/>
  <c r="O152" i="10" s="1"/>
  <c r="N216" i="10"/>
  <c r="O216" i="10" s="1"/>
  <c r="N280" i="10"/>
  <c r="O280" i="10" s="1"/>
  <c r="N344" i="10"/>
  <c r="O344" i="10" s="1"/>
  <c r="N55" i="10"/>
  <c r="O55" i="10" s="1"/>
  <c r="N207" i="10"/>
  <c r="O207" i="10" s="1"/>
  <c r="N234" i="10"/>
  <c r="O234" i="10" s="1"/>
  <c r="D112" i="10"/>
  <c r="D329" i="10"/>
  <c r="D209" i="10"/>
  <c r="D39" i="10"/>
  <c r="AU21" i="13"/>
  <c r="AU53" i="13"/>
  <c r="AU85" i="13"/>
  <c r="AU117" i="13"/>
  <c r="AU149" i="13"/>
  <c r="AU181" i="13"/>
  <c r="AU213" i="13"/>
  <c r="AU245" i="13"/>
  <c r="AU277" i="13"/>
  <c r="AU309" i="13"/>
  <c r="AU341" i="13"/>
  <c r="AU373" i="13"/>
  <c r="AU405" i="13"/>
  <c r="AU437" i="13"/>
  <c r="AU32" i="13"/>
  <c r="AU64" i="13"/>
  <c r="AU96" i="13"/>
  <c r="AU128" i="13"/>
  <c r="AU160" i="13"/>
  <c r="AU192" i="13"/>
  <c r="AU224" i="13"/>
  <c r="AU256" i="13"/>
  <c r="AU288" i="13"/>
  <c r="AU320" i="13"/>
  <c r="AU352" i="13"/>
  <c r="AU384" i="13"/>
  <c r="AU416" i="13"/>
  <c r="AU10" i="13"/>
  <c r="E328" i="13"/>
  <c r="E200" i="13"/>
  <c r="E72" i="13"/>
  <c r="E401" i="13"/>
  <c r="E273" i="13"/>
  <c r="E145" i="13"/>
  <c r="E17" i="13"/>
  <c r="E386" i="13"/>
  <c r="E322" i="13"/>
  <c r="E258" i="13"/>
  <c r="E194" i="13"/>
  <c r="E130" i="13"/>
  <c r="E66" i="13"/>
  <c r="E428" i="13"/>
  <c r="E300" i="13"/>
  <c r="E172" i="13"/>
  <c r="E44" i="13"/>
  <c r="E341" i="13"/>
  <c r="E213" i="13"/>
  <c r="E85" i="13"/>
  <c r="E423" i="13"/>
  <c r="E359" i="13"/>
  <c r="E295" i="13"/>
  <c r="E231" i="13"/>
  <c r="E167" i="13"/>
  <c r="E103" i="13"/>
  <c r="E39" i="13"/>
  <c r="D173" i="10"/>
  <c r="D64" i="10"/>
  <c r="D87" i="10"/>
  <c r="D207" i="10"/>
  <c r="D144" i="10"/>
  <c r="D312" i="10"/>
  <c r="AU19" i="13"/>
  <c r="AU51" i="13"/>
  <c r="AU83" i="13"/>
  <c r="AU115" i="13"/>
  <c r="AU147" i="13"/>
  <c r="AU179" i="13"/>
  <c r="AU211" i="13"/>
  <c r="AU243" i="13"/>
  <c r="AU275" i="13"/>
  <c r="AU307" i="13"/>
  <c r="AU339" i="13"/>
  <c r="AU371" i="13"/>
  <c r="AU403" i="13"/>
  <c r="AU435" i="13"/>
  <c r="AU30" i="13"/>
  <c r="AU62" i="13"/>
  <c r="AU94" i="13"/>
  <c r="AU126" i="13"/>
  <c r="AU158" i="13"/>
  <c r="AU190" i="13"/>
  <c r="AU222" i="13"/>
  <c r="AU254" i="13"/>
  <c r="AU286" i="13"/>
  <c r="AU318" i="13"/>
  <c r="AU350" i="13"/>
  <c r="AU382" i="13"/>
  <c r="AU414" i="13"/>
  <c r="AU446" i="13"/>
  <c r="E336" i="13"/>
  <c r="E208" i="13"/>
  <c r="E80" i="13"/>
  <c r="E409" i="13"/>
  <c r="E281" i="13"/>
  <c r="E153" i="13"/>
  <c r="E25" i="13"/>
  <c r="E390" i="13"/>
  <c r="E326" i="13"/>
  <c r="E262" i="13"/>
  <c r="E198" i="13"/>
  <c r="E134" i="13"/>
  <c r="E70" i="13"/>
  <c r="E436" i="13"/>
  <c r="E308" i="13"/>
  <c r="E180" i="13"/>
  <c r="E52" i="13"/>
  <c r="E349" i="13"/>
  <c r="E221" i="13"/>
  <c r="E93" i="13"/>
  <c r="E427" i="13"/>
  <c r="E363" i="13"/>
  <c r="E299" i="13"/>
  <c r="E235" i="13"/>
  <c r="E171" i="13"/>
  <c r="E107" i="13"/>
  <c r="E43" i="13"/>
  <c r="F344" i="10"/>
  <c r="V1462" i="19"/>
  <c r="T1335" i="19"/>
  <c r="X1579" i="19"/>
  <c r="V1157" i="19"/>
  <c r="X1592" i="19"/>
  <c r="K1592" i="19" s="1"/>
  <c r="U1210" i="19"/>
  <c r="X639" i="19"/>
  <c r="V1049" i="19"/>
  <c r="X356" i="19"/>
  <c r="K356" i="19" s="1"/>
  <c r="G389" i="22" s="1"/>
  <c r="X644" i="19"/>
  <c r="T824" i="19"/>
  <c r="W961" i="19"/>
  <c r="T1096" i="19"/>
  <c r="X311" i="19"/>
  <c r="K311" i="19" s="1"/>
  <c r="T555" i="19"/>
  <c r="V689" i="19"/>
  <c r="T827" i="19"/>
  <c r="W964" i="19"/>
  <c r="V1089" i="19"/>
  <c r="T560" i="19"/>
  <c r="W969" i="19"/>
  <c r="V1166" i="19"/>
  <c r="W1217" i="19"/>
  <c r="X1268" i="19"/>
  <c r="K1268" i="19" s="1"/>
  <c r="T1320" i="19"/>
  <c r="U1371" i="19"/>
  <c r="V1422" i="19"/>
  <c r="X556" i="19"/>
  <c r="K556" i="19" s="1"/>
  <c r="G544" i="22" s="1"/>
  <c r="V966" i="19"/>
  <c r="U1166" i="19"/>
  <c r="V1217" i="19"/>
  <c r="W1268" i="19"/>
  <c r="X1319" i="19"/>
  <c r="T1371" i="19"/>
  <c r="S1371" i="19" s="1"/>
  <c r="U1422" i="19"/>
  <c r="X404" i="19"/>
  <c r="W873" i="19"/>
  <c r="V1154" i="19"/>
  <c r="W1205" i="19"/>
  <c r="R249" i="13" s="1"/>
  <c r="E169" i="15" s="1"/>
  <c r="F169" i="15" s="1"/>
  <c r="X1256" i="19"/>
  <c r="K1256" i="19" s="1"/>
  <c r="G482" i="22" s="1"/>
  <c r="T1308" i="19"/>
  <c r="U1359" i="19"/>
  <c r="V1410" i="19"/>
  <c r="T1747" i="19"/>
  <c r="U1702" i="19"/>
  <c r="W1668" i="19"/>
  <c r="V1633" i="19"/>
  <c r="X1599" i="19"/>
  <c r="U1566" i="19"/>
  <c r="T1531" i="19"/>
  <c r="V1497" i="19"/>
  <c r="X1463" i="19"/>
  <c r="K1463" i="19" s="1"/>
  <c r="X1371" i="19"/>
  <c r="K1371" i="19" s="1"/>
  <c r="G503" i="22" s="1"/>
  <c r="V1237" i="19"/>
  <c r="V870" i="19"/>
  <c r="T1757" i="19"/>
  <c r="U1740" i="19"/>
  <c r="V1723" i="19"/>
  <c r="X1705" i="19"/>
  <c r="K1705" i="19" s="1"/>
  <c r="G349" i="22" s="1"/>
  <c r="T1689" i="19"/>
  <c r="U1672" i="19"/>
  <c r="W1654" i="19"/>
  <c r="X1637" i="19"/>
  <c r="K1637" i="19" s="1"/>
  <c r="T1621" i="19"/>
  <c r="V1603" i="19"/>
  <c r="W1586" i="19"/>
  <c r="X1569" i="19"/>
  <c r="U1552" i="19"/>
  <c r="V1535" i="19"/>
  <c r="W1518" i="19"/>
  <c r="T1501" i="19"/>
  <c r="U1484" i="19"/>
  <c r="V1467" i="19"/>
  <c r="V1451" i="19"/>
  <c r="W1438" i="19"/>
  <c r="X1425" i="19"/>
  <c r="K1425" i="19" s="1"/>
  <c r="G293" i="22" s="1"/>
  <c r="T1413" i="19"/>
  <c r="U1400" i="19"/>
  <c r="V1387" i="19"/>
  <c r="W1374" i="19"/>
  <c r="X1361" i="19"/>
  <c r="K1361" i="19" s="1"/>
  <c r="T1349" i="19"/>
  <c r="U1336" i="19"/>
  <c r="V1323" i="19"/>
  <c r="W1310" i="19"/>
  <c r="R270" i="13" s="1"/>
  <c r="E181" i="15" s="1"/>
  <c r="F181" i="15" s="1"/>
  <c r="X1297" i="19"/>
  <c r="K1297" i="19" s="1"/>
  <c r="T1285" i="19"/>
  <c r="U1272" i="19"/>
  <c r="V1259" i="19"/>
  <c r="W1246" i="19"/>
  <c r="X1233" i="19"/>
  <c r="K1233" i="19" s="1"/>
  <c r="G787" i="22" s="1"/>
  <c r="T1221" i="19"/>
  <c r="U1208" i="19"/>
  <c r="V1195" i="19"/>
  <c r="W1182" i="19"/>
  <c r="X1169" i="19"/>
  <c r="T1157" i="19"/>
  <c r="U1144" i="19"/>
  <c r="V1125" i="19"/>
  <c r="X1099" i="19"/>
  <c r="U1074" i="19"/>
  <c r="W1048" i="19"/>
  <c r="T1023" i="19"/>
  <c r="V997" i="19"/>
  <c r="X971" i="19"/>
  <c r="K971" i="19" s="1"/>
  <c r="G506" i="22" s="1"/>
  <c r="U946" i="19"/>
  <c r="W920" i="19"/>
  <c r="R192" i="13" s="1"/>
  <c r="T895" i="19"/>
  <c r="V869" i="19"/>
  <c r="X843" i="19"/>
  <c r="K843" i="19" s="1"/>
  <c r="U818" i="19"/>
  <c r="W792" i="19"/>
  <c r="T767" i="19"/>
  <c r="V741" i="19"/>
  <c r="X715" i="19"/>
  <c r="K715" i="19" s="1"/>
  <c r="G151" i="22" s="1"/>
  <c r="U690" i="19"/>
  <c r="W664" i="19"/>
  <c r="T639" i="19"/>
  <c r="V613" i="19"/>
  <c r="X587" i="19"/>
  <c r="K587" i="19" s="1"/>
  <c r="G765" i="22" s="1"/>
  <c r="U562" i="19"/>
  <c r="W536" i="19"/>
  <c r="T499" i="19"/>
  <c r="X447" i="19"/>
  <c r="K447" i="19" s="1"/>
  <c r="G779" i="22" s="1"/>
  <c r="W396" i="19"/>
  <c r="V345" i="19"/>
  <c r="U294" i="19"/>
  <c r="T243" i="19"/>
  <c r="X199" i="19"/>
  <c r="X135" i="19"/>
  <c r="K135" i="19" s="1"/>
  <c r="G35" i="22" s="1"/>
  <c r="V65" i="19"/>
  <c r="T14" i="19"/>
  <c r="T22" i="19"/>
  <c r="X30" i="19"/>
  <c r="K30" i="19" s="1"/>
  <c r="F14" i="13" s="1"/>
  <c r="W39" i="19"/>
  <c r="W47" i="19"/>
  <c r="V56" i="19"/>
  <c r="U65" i="19"/>
  <c r="U73" i="19"/>
  <c r="T82" i="19"/>
  <c r="X90" i="19"/>
  <c r="K90" i="19" s="1"/>
  <c r="G26" i="22" s="1"/>
  <c r="X98" i="19"/>
  <c r="K98" i="19" s="1"/>
  <c r="W107" i="19"/>
  <c r="V116" i="19"/>
  <c r="V124" i="19"/>
  <c r="U133" i="19"/>
  <c r="T1399" i="19"/>
  <c r="T1544" i="19"/>
  <c r="V1677" i="19"/>
  <c r="W1472" i="19"/>
  <c r="V1690" i="19"/>
  <c r="W1485" i="19"/>
  <c r="R305" i="13" s="1"/>
  <c r="U366" i="19"/>
  <c r="U854" i="19"/>
  <c r="X100" i="19"/>
  <c r="K100" i="19" s="1"/>
  <c r="W545" i="19"/>
  <c r="R117" i="13" s="1"/>
  <c r="V750" i="19"/>
  <c r="W897" i="19"/>
  <c r="T1032" i="19"/>
  <c r="X151" i="19"/>
  <c r="K151" i="19" s="1"/>
  <c r="G486" i="22" s="1"/>
  <c r="T459" i="19"/>
  <c r="V625" i="19"/>
  <c r="T763" i="19"/>
  <c r="W900" i="19"/>
  <c r="R188" i="13" s="1"/>
  <c r="T1035" i="19"/>
  <c r="W209" i="19"/>
  <c r="W777" i="19"/>
  <c r="V1142" i="19"/>
  <c r="W1193" i="19"/>
  <c r="X1244" i="19"/>
  <c r="T1296" i="19"/>
  <c r="U1347" i="19"/>
  <c r="V1398" i="19"/>
  <c r="X196" i="19"/>
  <c r="K196" i="19" s="1"/>
  <c r="G451" i="22" s="1"/>
  <c r="V774" i="19"/>
  <c r="U1142" i="19"/>
  <c r="V1193" i="19"/>
  <c r="W1244" i="19"/>
  <c r="X1295" i="19"/>
  <c r="K1295" i="19" s="1"/>
  <c r="F267" i="13" s="1"/>
  <c r="T1347" i="19"/>
  <c r="U1398" i="19"/>
  <c r="V1449" i="19"/>
  <c r="W681" i="19"/>
  <c r="U1091" i="19"/>
  <c r="W1181" i="19"/>
  <c r="X1232" i="19"/>
  <c r="K1232" i="19" s="1"/>
  <c r="G567" i="22" s="1"/>
  <c r="T1284" i="19"/>
  <c r="U1335" i="19"/>
  <c r="V1386" i="19"/>
  <c r="W1437" i="19"/>
  <c r="X1719" i="19"/>
  <c r="T1683" i="19"/>
  <c r="V1649" i="19"/>
  <c r="U1614" i="19"/>
  <c r="W1580" i="19"/>
  <c r="R324" i="13" s="1"/>
  <c r="AE324" i="13" s="1"/>
  <c r="T1547" i="19"/>
  <c r="X1511" i="19"/>
  <c r="K1511" i="19" s="1"/>
  <c r="G632" i="22" s="1"/>
  <c r="U1478" i="19"/>
  <c r="X1435" i="19"/>
  <c r="K1435" i="19" s="1"/>
  <c r="G295" i="22" s="1"/>
  <c r="T1295" i="19"/>
  <c r="W1160" i="19"/>
  <c r="R240" i="13" s="1"/>
  <c r="E164" i="15" s="1"/>
  <c r="F164" i="15" s="1"/>
  <c r="X10" i="19"/>
  <c r="K10" i="19" s="1"/>
  <c r="V1747" i="19"/>
  <c r="W1730" i="19"/>
  <c r="R354" i="13" s="1"/>
  <c r="X1713" i="19"/>
  <c r="K1713" i="19" s="1"/>
  <c r="U1696" i="19"/>
  <c r="V1679" i="19"/>
  <c r="W1662" i="19"/>
  <c r="T1645" i="19"/>
  <c r="U1628" i="19"/>
  <c r="V1611" i="19"/>
  <c r="X1593" i="19"/>
  <c r="K1593" i="19" s="1"/>
  <c r="T1577" i="19"/>
  <c r="U1560" i="19"/>
  <c r="W1542" i="19"/>
  <c r="X1525" i="19"/>
  <c r="K1525" i="19" s="1"/>
  <c r="G313" i="22" s="1"/>
  <c r="T1509" i="19"/>
  <c r="V1491" i="19"/>
  <c r="W1474" i="19"/>
  <c r="X1457" i="19"/>
  <c r="K1457" i="19" s="1"/>
  <c r="U1444" i="19"/>
  <c r="V1431" i="19"/>
  <c r="W1418" i="19"/>
  <c r="X1405" i="19"/>
  <c r="K1405" i="19" s="1"/>
  <c r="F289" i="13" s="1"/>
  <c r="T1393" i="19"/>
  <c r="U1380" i="19"/>
  <c r="V1367" i="19"/>
  <c r="W1354" i="19"/>
  <c r="X1341" i="19"/>
  <c r="K1341" i="19" s="1"/>
  <c r="G508" i="22" s="1"/>
  <c r="T1329" i="19"/>
  <c r="U1316" i="19"/>
  <c r="V1303" i="19"/>
  <c r="W1290" i="19"/>
  <c r="R266" i="13" s="1"/>
  <c r="X1277" i="19"/>
  <c r="K1277" i="19" s="1"/>
  <c r="G771" i="22" s="1"/>
  <c r="T1265" i="19"/>
  <c r="U1252" i="19"/>
  <c r="V1239" i="19"/>
  <c r="W1226" i="19"/>
  <c r="X1213" i="19"/>
  <c r="K1213" i="19" s="1"/>
  <c r="T1201" i="19"/>
  <c r="U1188" i="19"/>
  <c r="V1175" i="19"/>
  <c r="W1162" i="19"/>
  <c r="X1149" i="19"/>
  <c r="W1136" i="19"/>
  <c r="T1111" i="19"/>
  <c r="V1085" i="19"/>
  <c r="X1059" i="19"/>
  <c r="U1034" i="19"/>
  <c r="W1008" i="19"/>
  <c r="T983" i="19"/>
  <c r="V957" i="19"/>
  <c r="X931" i="19"/>
  <c r="K931" i="19" s="1"/>
  <c r="G547" i="22" s="1"/>
  <c r="U906" i="19"/>
  <c r="W880" i="19"/>
  <c r="R184" i="13" s="1"/>
  <c r="T855" i="19"/>
  <c r="V829" i="19"/>
  <c r="X803" i="19"/>
  <c r="K803" i="19" s="1"/>
  <c r="U778" i="19"/>
  <c r="W752" i="19"/>
  <c r="T727" i="19"/>
  <c r="V701" i="19"/>
  <c r="X675" i="19"/>
  <c r="K675" i="19" s="1"/>
  <c r="F143" i="13" s="1"/>
  <c r="U650" i="19"/>
  <c r="W624" i="19"/>
  <c r="T599" i="19"/>
  <c r="V573" i="19"/>
  <c r="X547" i="19"/>
  <c r="K547" i="19" s="1"/>
  <c r="G432" i="22" s="1"/>
  <c r="V521" i="19"/>
  <c r="U470" i="19"/>
  <c r="T419" i="19"/>
  <c r="X367" i="19"/>
  <c r="K367" i="19" s="1"/>
  <c r="G777" i="22" s="1"/>
  <c r="W316" i="19"/>
  <c r="V265" i="19"/>
  <c r="W220" i="19"/>
  <c r="R52" i="13" s="1"/>
  <c r="V161" i="19"/>
  <c r="T91" i="19"/>
  <c r="W20" i="19"/>
  <c r="R12" i="13" s="1"/>
  <c r="AE12" i="13" s="1"/>
  <c r="X18" i="19"/>
  <c r="K18" i="19" s="1"/>
  <c r="W27" i="19"/>
  <c r="V36" i="19"/>
  <c r="V44" i="19"/>
  <c r="U53" i="19"/>
  <c r="T62" i="19"/>
  <c r="T70" i="19"/>
  <c r="X78" i="19"/>
  <c r="K78" i="19" s="1"/>
  <c r="W87" i="19"/>
  <c r="W95" i="19"/>
  <c r="R27" i="13" s="1"/>
  <c r="V104" i="19"/>
  <c r="U113" i="19"/>
  <c r="U121" i="19"/>
  <c r="T130" i="19"/>
  <c r="V1454" i="19"/>
  <c r="U1682" i="19"/>
  <c r="U1695" i="19"/>
  <c r="T347" i="19"/>
  <c r="T88" i="19"/>
  <c r="U747" i="19"/>
  <c r="X1028" i="19"/>
  <c r="K1028" i="19" s="1"/>
  <c r="U446" i="19"/>
  <c r="X759" i="19"/>
  <c r="X1031" i="19"/>
  <c r="K1031" i="19" s="1"/>
  <c r="G507" i="22" s="1"/>
  <c r="X764" i="19"/>
  <c r="T1192" i="19"/>
  <c r="V1294" i="19"/>
  <c r="X1396" i="19"/>
  <c r="K1396" i="19" s="1"/>
  <c r="W761" i="19"/>
  <c r="X1191" i="19"/>
  <c r="K1191" i="19" s="1"/>
  <c r="G466" i="22" s="1"/>
  <c r="U1294" i="19"/>
  <c r="W1396" i="19"/>
  <c r="X668" i="19"/>
  <c r="K668" i="19" s="1"/>
  <c r="T1180" i="19"/>
  <c r="V1282" i="19"/>
  <c r="X1384" i="19"/>
  <c r="V1721" i="19"/>
  <c r="T1651" i="19"/>
  <c r="U1582" i="19"/>
  <c r="T1515" i="19"/>
  <c r="U1442" i="19"/>
  <c r="T1167" i="19"/>
  <c r="T1749" i="19"/>
  <c r="W1714" i="19"/>
  <c r="U1680" i="19"/>
  <c r="W1646" i="19"/>
  <c r="U1612" i="19"/>
  <c r="X1577" i="19"/>
  <c r="K1577" i="19" s="1"/>
  <c r="U1544" i="19"/>
  <c r="X1509" i="19"/>
  <c r="V1475" i="19"/>
  <c r="T1445" i="19"/>
  <c r="V1419" i="19"/>
  <c r="X1393" i="19"/>
  <c r="K1393" i="19" s="1"/>
  <c r="U1368" i="19"/>
  <c r="W1342" i="19"/>
  <c r="T1317" i="19"/>
  <c r="V1291" i="19"/>
  <c r="X1265" i="19"/>
  <c r="K1265" i="19" s="1"/>
  <c r="F261" i="13" s="1"/>
  <c r="U1240" i="19"/>
  <c r="W1214" i="19"/>
  <c r="T1189" i="19"/>
  <c r="V1163" i="19"/>
  <c r="X1137" i="19"/>
  <c r="K1137" i="19" s="1"/>
  <c r="T1087" i="19"/>
  <c r="X1035" i="19"/>
  <c r="K1035" i="19" s="1"/>
  <c r="W984" i="19"/>
  <c r="V933" i="19"/>
  <c r="U882" i="19"/>
  <c r="T831" i="19"/>
  <c r="X779" i="19"/>
  <c r="W728" i="19"/>
  <c r="V677" i="19"/>
  <c r="U626" i="19"/>
  <c r="T575" i="19"/>
  <c r="X523" i="19"/>
  <c r="K523" i="19" s="1"/>
  <c r="U422" i="19"/>
  <c r="X319" i="19"/>
  <c r="T227" i="19"/>
  <c r="V97" i="19"/>
  <c r="T18" i="19"/>
  <c r="X34" i="19"/>
  <c r="V52" i="19"/>
  <c r="U69" i="19"/>
  <c r="T86" i="19"/>
  <c r="W103" i="19"/>
  <c r="V120" i="19"/>
  <c r="U137" i="19"/>
  <c r="T146" i="19"/>
  <c r="X154" i="19"/>
  <c r="X162" i="19"/>
  <c r="K162" i="19" s="1"/>
  <c r="W171" i="19"/>
  <c r="V180" i="19"/>
  <c r="V188" i="19"/>
  <c r="U197" i="19"/>
  <c r="T206" i="19"/>
  <c r="T214" i="19"/>
  <c r="X17" i="19"/>
  <c r="K17" i="19" s="1"/>
  <c r="G638" i="22" s="1"/>
  <c r="W26" i="19"/>
  <c r="W34" i="19"/>
  <c r="V43" i="19"/>
  <c r="U52" i="19"/>
  <c r="U60" i="19"/>
  <c r="T69" i="19"/>
  <c r="S69" i="19" s="1"/>
  <c r="X77" i="19"/>
  <c r="K77" i="19" s="1"/>
  <c r="X85" i="19"/>
  <c r="K85" i="19" s="1"/>
  <c r="F25" i="13" s="1"/>
  <c r="W94" i="19"/>
  <c r="V103" i="19"/>
  <c r="V111" i="19"/>
  <c r="U120" i="19"/>
  <c r="T129" i="19"/>
  <c r="T137" i="19"/>
  <c r="S137" i="19" s="1"/>
  <c r="X145" i="19"/>
  <c r="K145" i="19" s="1"/>
  <c r="W154" i="19"/>
  <c r="W162" i="19"/>
  <c r="V171" i="19"/>
  <c r="U180" i="19"/>
  <c r="U188" i="19"/>
  <c r="T197" i="19"/>
  <c r="S197" i="19" s="1"/>
  <c r="X205" i="19"/>
  <c r="K205" i="19" s="1"/>
  <c r="X213" i="19"/>
  <c r="K213" i="19" s="1"/>
  <c r="X24" i="19"/>
  <c r="V42" i="19"/>
  <c r="V58" i="19"/>
  <c r="T76" i="19"/>
  <c r="W93" i="19"/>
  <c r="W109" i="19"/>
  <c r="U127" i="19"/>
  <c r="X144" i="19"/>
  <c r="X160" i="19"/>
  <c r="K160" i="19" s="1"/>
  <c r="F40" i="13" s="1"/>
  <c r="W173" i="19"/>
  <c r="V186" i="19"/>
  <c r="U199" i="19"/>
  <c r="T212" i="19"/>
  <c r="V220" i="19"/>
  <c r="X226" i="19"/>
  <c r="K226" i="19" s="1"/>
  <c r="G720" i="22" s="1"/>
  <c r="U233" i="19"/>
  <c r="W239" i="19"/>
  <c r="T246" i="19"/>
  <c r="V252" i="19"/>
  <c r="X258" i="19"/>
  <c r="K258" i="19" s="1"/>
  <c r="U265" i="19"/>
  <c r="W271" i="19"/>
  <c r="T278" i="19"/>
  <c r="V284" i="19"/>
  <c r="X290" i="19"/>
  <c r="K290" i="19" s="1"/>
  <c r="G66" i="22" s="1"/>
  <c r="U297" i="19"/>
  <c r="W303" i="19"/>
  <c r="T310" i="19"/>
  <c r="V316" i="19"/>
  <c r="X322" i="19"/>
  <c r="K322" i="19" s="1"/>
  <c r="U329" i="19"/>
  <c r="W335" i="19"/>
  <c r="R75" i="13" s="1"/>
  <c r="T342" i="19"/>
  <c r="V348" i="19"/>
  <c r="X354" i="19"/>
  <c r="U361" i="19"/>
  <c r="W367" i="19"/>
  <c r="T374" i="19"/>
  <c r="V380" i="19"/>
  <c r="X386" i="19"/>
  <c r="K386" i="19" s="1"/>
  <c r="G398" i="22" s="1"/>
  <c r="U393" i="19"/>
  <c r="W399" i="19"/>
  <c r="T406" i="19"/>
  <c r="V412" i="19"/>
  <c r="X418" i="19"/>
  <c r="K418" i="19" s="1"/>
  <c r="U425" i="19"/>
  <c r="W431" i="19"/>
  <c r="T438" i="19"/>
  <c r="V444" i="19"/>
  <c r="X450" i="19"/>
  <c r="K450" i="19" s="1"/>
  <c r="U457" i="19"/>
  <c r="W463" i="19"/>
  <c r="T470" i="19"/>
  <c r="V476" i="19"/>
  <c r="X482" i="19"/>
  <c r="K482" i="19" s="1"/>
  <c r="G781" i="22" s="1"/>
  <c r="U489" i="19"/>
  <c r="W495" i="19"/>
  <c r="R107" i="13" s="1"/>
  <c r="E73" i="15" s="1"/>
  <c r="F73" i="15" s="1"/>
  <c r="V1582" i="19"/>
  <c r="V1477" i="19"/>
  <c r="V1490" i="19"/>
  <c r="W844" i="19"/>
  <c r="V542" i="19"/>
  <c r="U891" i="19"/>
  <c r="T139" i="19"/>
  <c r="U622" i="19"/>
  <c r="U894" i="19"/>
  <c r="V158" i="19"/>
  <c r="X1140" i="19"/>
  <c r="K1140" i="19" s="1"/>
  <c r="U1243" i="19"/>
  <c r="W1345" i="19"/>
  <c r="R277" i="13" s="1"/>
  <c r="W145" i="19"/>
  <c r="R37" i="13" s="1"/>
  <c r="AE37" i="13" s="1"/>
  <c r="W1140" i="19"/>
  <c r="R236" i="13" s="1"/>
  <c r="E161" i="15" s="1"/>
  <c r="F161" i="15" s="1"/>
  <c r="T1243" i="19"/>
  <c r="V1345" i="19"/>
  <c r="X1447" i="19"/>
  <c r="K1447" i="19" s="1"/>
  <c r="G651" i="22" s="1"/>
  <c r="V1078" i="19"/>
  <c r="U1231" i="19"/>
  <c r="W1333" i="19"/>
  <c r="T1436" i="19"/>
  <c r="W1684" i="19"/>
  <c r="V1617" i="19"/>
  <c r="W1548" i="19"/>
  <c r="X1479" i="19"/>
  <c r="X1307" i="19"/>
  <c r="K1307" i="19" s="1"/>
  <c r="T10" i="19"/>
  <c r="V1731" i="19"/>
  <c r="X1697" i="19"/>
  <c r="K1697" i="19" s="1"/>
  <c r="G736" i="22" s="1"/>
  <c r="V1663" i="19"/>
  <c r="T1629" i="19"/>
  <c r="V1595" i="19"/>
  <c r="T1561" i="19"/>
  <c r="W1526" i="19"/>
  <c r="T1493" i="19"/>
  <c r="W1458" i="19"/>
  <c r="U1432" i="19"/>
  <c r="W1406" i="19"/>
  <c r="T1381" i="19"/>
  <c r="V1355" i="19"/>
  <c r="X1329" i="19"/>
  <c r="U1304" i="19"/>
  <c r="W1278" i="19"/>
  <c r="T1253" i="19"/>
  <c r="V1227" i="19"/>
  <c r="X1201" i="19"/>
  <c r="K1201" i="19" s="1"/>
  <c r="U1176" i="19"/>
  <c r="W1150" i="19"/>
  <c r="R238" i="13" s="1"/>
  <c r="E162" i="15" s="1"/>
  <c r="F162" i="15" s="1"/>
  <c r="W1112" i="19"/>
  <c r="V1061" i="19"/>
  <c r="U1010" i="19"/>
  <c r="T959" i="19"/>
  <c r="X907" i="19"/>
  <c r="K907" i="19" s="1"/>
  <c r="G768" i="22" s="1"/>
  <c r="W856" i="19"/>
  <c r="V805" i="19"/>
  <c r="U754" i="19"/>
  <c r="T703" i="19"/>
  <c r="X651" i="19"/>
  <c r="K651" i="19" s="1"/>
  <c r="G437" i="22" s="1"/>
  <c r="W600" i="19"/>
  <c r="R128" i="13" s="1"/>
  <c r="V549" i="19"/>
  <c r="V473" i="19"/>
  <c r="T371" i="19"/>
  <c r="W268" i="19"/>
  <c r="X167" i="19"/>
  <c r="K167" i="19" s="1"/>
  <c r="G542" i="22" s="1"/>
  <c r="V33" i="19"/>
  <c r="X26" i="19"/>
  <c r="K26" i="19" s="1"/>
  <c r="G364" i="22" s="1"/>
  <c r="W43" i="19"/>
  <c r="V60" i="19"/>
  <c r="T78" i="19"/>
  <c r="X94" i="19"/>
  <c r="W111" i="19"/>
  <c r="U129" i="19"/>
  <c r="T142" i="19"/>
  <c r="T150" i="19"/>
  <c r="X158" i="19"/>
  <c r="K158" i="19" s="1"/>
  <c r="W167" i="19"/>
  <c r="W175" i="19"/>
  <c r="R43" i="13" s="1"/>
  <c r="V184" i="19"/>
  <c r="U193" i="19"/>
  <c r="U201" i="19"/>
  <c r="T210" i="19"/>
  <c r="X13" i="19"/>
  <c r="K13" i="19" s="1"/>
  <c r="X21" i="19"/>
  <c r="K21" i="19" s="1"/>
  <c r="G701" i="22" s="1"/>
  <c r="W30" i="19"/>
  <c r="R14" i="13" s="1"/>
  <c r="E12" i="15" s="1"/>
  <c r="F12" i="15" s="1"/>
  <c r="V39" i="19"/>
  <c r="V47" i="19"/>
  <c r="U56" i="19"/>
  <c r="T65" i="19"/>
  <c r="T73" i="19"/>
  <c r="X81" i="19"/>
  <c r="K81" i="19" s="1"/>
  <c r="G372" i="22" s="1"/>
  <c r="W90" i="19"/>
  <c r="R26" i="13" s="1"/>
  <c r="E19" i="15" s="1"/>
  <c r="F19" i="15" s="1"/>
  <c r="W98" i="19"/>
  <c r="V107" i="19"/>
  <c r="U116" i="19"/>
  <c r="U124" i="19"/>
  <c r="T133" i="19"/>
  <c r="X141" i="19"/>
  <c r="K141" i="19" s="1"/>
  <c r="X149" i="19"/>
  <c r="W158" i="19"/>
  <c r="V167" i="19"/>
  <c r="V175" i="19"/>
  <c r="U184" i="19"/>
  <c r="T193" i="19"/>
  <c r="S193" i="19" s="1"/>
  <c r="T201" i="19"/>
  <c r="S201" i="19" s="1"/>
  <c r="X209" i="19"/>
  <c r="X16" i="19"/>
  <c r="K16" i="19" s="1"/>
  <c r="G362" i="22" s="1"/>
  <c r="X32" i="19"/>
  <c r="K32" i="19" s="1"/>
  <c r="V50" i="19"/>
  <c r="T68" i="19"/>
  <c r="T84" i="19"/>
  <c r="W101" i="19"/>
  <c r="U119" i="19"/>
  <c r="U135" i="19"/>
  <c r="X152" i="19"/>
  <c r="K152" i="19" s="1"/>
  <c r="G599" i="22" s="1"/>
  <c r="U167" i="19"/>
  <c r="T180" i="19"/>
  <c r="X192" i="19"/>
  <c r="K192" i="19" s="1"/>
  <c r="G642" i="22" s="1"/>
  <c r="W205" i="19"/>
  <c r="R49" i="13" s="1"/>
  <c r="U217" i="19"/>
  <c r="W223" i="19"/>
  <c r="T230" i="19"/>
  <c r="V236" i="19"/>
  <c r="X242" i="19"/>
  <c r="K242" i="19" s="1"/>
  <c r="G600" i="22" s="1"/>
  <c r="U249" i="19"/>
  <c r="W255" i="19"/>
  <c r="R59" i="13" s="1"/>
  <c r="AE59" i="13" s="1"/>
  <c r="T262" i="19"/>
  <c r="V268" i="19"/>
  <c r="X274" i="19"/>
  <c r="U281" i="19"/>
  <c r="W287" i="19"/>
  <c r="T294" i="19"/>
  <c r="V300" i="19"/>
  <c r="X306" i="19"/>
  <c r="K306" i="19" s="1"/>
  <c r="G385" i="22" s="1"/>
  <c r="U313" i="19"/>
  <c r="W319" i="19"/>
  <c r="T326" i="19"/>
  <c r="V332" i="19"/>
  <c r="X338" i="19"/>
  <c r="K338" i="19" s="1"/>
  <c r="U345" i="19"/>
  <c r="W351" i="19"/>
  <c r="T358" i="19"/>
  <c r="V364" i="19"/>
  <c r="X370" i="19"/>
  <c r="K370" i="19" s="1"/>
  <c r="F82" i="13" s="1"/>
  <c r="U377" i="19"/>
  <c r="W383" i="19"/>
  <c r="T390" i="19"/>
  <c r="V396" i="19"/>
  <c r="X402" i="19"/>
  <c r="K402" i="19" s="1"/>
  <c r="U409" i="19"/>
  <c r="W415" i="19"/>
  <c r="R91" i="13" s="1"/>
  <c r="AE91" i="13" s="1"/>
  <c r="T422" i="19"/>
  <c r="V428" i="19"/>
  <c r="X434" i="19"/>
  <c r="U441" i="19"/>
  <c r="W447" i="19"/>
  <c r="T454" i="19"/>
  <c r="V460" i="19"/>
  <c r="X466" i="19"/>
  <c r="K466" i="19" s="1"/>
  <c r="G443" i="22" s="1"/>
  <c r="U473" i="19"/>
  <c r="W479" i="19"/>
  <c r="T486" i="19"/>
  <c r="V492" i="19"/>
  <c r="X498" i="19"/>
  <c r="K498" i="19" s="1"/>
  <c r="U505" i="19"/>
  <c r="W511" i="19"/>
  <c r="T518" i="19"/>
  <c r="V13" i="19"/>
  <c r="U26" i="19"/>
  <c r="T39" i="19"/>
  <c r="X51" i="19"/>
  <c r="K51" i="19" s="1"/>
  <c r="G622" i="22" s="1"/>
  <c r="W64" i="19"/>
  <c r="V77" i="19"/>
  <c r="U90" i="19"/>
  <c r="T103" i="19"/>
  <c r="X115" i="19"/>
  <c r="K115" i="19" s="1"/>
  <c r="W128" i="19"/>
  <c r="V141" i="19"/>
  <c r="U154" i="19"/>
  <c r="T167" i="19"/>
  <c r="S167" i="19" s="1"/>
  <c r="X179" i="19"/>
  <c r="W192" i="19"/>
  <c r="V205" i="19"/>
  <c r="T217" i="19"/>
  <c r="S217" i="19" s="1"/>
  <c r="V223" i="19"/>
  <c r="X229" i="19"/>
  <c r="U236" i="19"/>
  <c r="W242" i="19"/>
  <c r="T249" i="19"/>
  <c r="S249" i="19" s="1"/>
  <c r="V255" i="19"/>
  <c r="X261" i="19"/>
  <c r="K261" i="19" s="1"/>
  <c r="G394" i="22" s="1"/>
  <c r="U268" i="19"/>
  <c r="W274" i="19"/>
  <c r="T281" i="19"/>
  <c r="S281" i="19" s="1"/>
  <c r="V287" i="19"/>
  <c r="X293" i="19"/>
  <c r="K293" i="19" s="1"/>
  <c r="U300" i="19"/>
  <c r="W306" i="19"/>
  <c r="T313" i="19"/>
  <c r="S313" i="19" s="1"/>
  <c r="V319" i="19"/>
  <c r="X325" i="19"/>
  <c r="K325" i="19" s="1"/>
  <c r="F73" i="13" s="1"/>
  <c r="D340" i="10"/>
  <c r="D286" i="10"/>
  <c r="D228" i="10"/>
  <c r="D237" i="10"/>
  <c r="D97" i="10"/>
  <c r="D321" i="10"/>
  <c r="D262" i="10"/>
  <c r="D348" i="10"/>
  <c r="D243" i="10"/>
  <c r="D48" i="10"/>
  <c r="D347" i="10"/>
  <c r="D171" i="10"/>
  <c r="D274" i="10"/>
  <c r="D51" i="10"/>
  <c r="D197" i="10"/>
  <c r="D72" i="10"/>
  <c r="D196" i="10"/>
  <c r="D156" i="10"/>
  <c r="D350" i="10"/>
  <c r="D227" i="10"/>
  <c r="D24" i="10"/>
  <c r="D67" i="10"/>
  <c r="D38" i="10"/>
  <c r="D147" i="10"/>
  <c r="D23" i="10"/>
  <c r="D256" i="10"/>
  <c r="D234" i="10"/>
  <c r="D346" i="10"/>
  <c r="D328" i="10"/>
  <c r="D192" i="10"/>
  <c r="D19" i="10"/>
  <c r="D360" i="10"/>
  <c r="D157" i="10"/>
  <c r="D278" i="10"/>
  <c r="D306" i="10"/>
  <c r="D13" i="10"/>
  <c r="D271" i="10"/>
  <c r="D316" i="10"/>
  <c r="D66" i="10"/>
  <c r="D290" i="10"/>
  <c r="D50" i="10"/>
  <c r="D327" i="10"/>
  <c r="D109" i="10"/>
  <c r="D75" i="10"/>
  <c r="D272" i="10"/>
  <c r="D136" i="10"/>
  <c r="D91" i="10"/>
  <c r="D311" i="10"/>
  <c r="D55" i="10"/>
  <c r="D33" i="10"/>
  <c r="D182" i="10"/>
  <c r="D332" i="10"/>
  <c r="D295" i="10"/>
  <c r="D46" i="10"/>
  <c r="D201" i="10"/>
  <c r="D325" i="10"/>
  <c r="D354" i="10"/>
  <c r="D37" i="10"/>
  <c r="D128" i="10"/>
  <c r="D160" i="10"/>
  <c r="D190" i="10"/>
  <c r="D320" i="10"/>
  <c r="D263" i="10"/>
  <c r="D308" i="10"/>
  <c r="D223" i="10"/>
  <c r="D44" i="10"/>
  <c r="D148" i="10"/>
  <c r="D195" i="10"/>
  <c r="D216" i="10"/>
  <c r="D167" i="10"/>
  <c r="D81" i="10"/>
  <c r="D242" i="10"/>
  <c r="D326" i="10"/>
  <c r="D301" i="10"/>
  <c r="D317" i="10"/>
  <c r="D194" i="10"/>
  <c r="D104" i="10"/>
  <c r="D146" i="10"/>
  <c r="D84" i="10"/>
  <c r="D186" i="10"/>
  <c r="D133" i="10"/>
  <c r="D235" i="10"/>
  <c r="D341" i="10"/>
  <c r="D353" i="10"/>
  <c r="D232" i="10"/>
  <c r="D100" i="10"/>
  <c r="D175" i="10"/>
  <c r="D323" i="10"/>
  <c r="D333" i="10"/>
  <c r="D76" i="10"/>
  <c r="D95" i="10"/>
  <c r="D158" i="10"/>
  <c r="D25" i="10"/>
  <c r="D106" i="10"/>
  <c r="D120" i="10"/>
  <c r="D260" i="10"/>
  <c r="D183" i="10"/>
  <c r="D134" i="10"/>
  <c r="D252" i="10"/>
  <c r="D22" i="10"/>
  <c r="D296" i="10"/>
  <c r="D285" i="10"/>
  <c r="D253" i="10"/>
  <c r="D61" i="10"/>
  <c r="D70" i="10"/>
  <c r="D314" i="10"/>
  <c r="D291" i="10"/>
  <c r="D337" i="10"/>
  <c r="D184" i="10"/>
  <c r="D205" i="10"/>
  <c r="D149" i="10"/>
  <c r="D172" i="10"/>
  <c r="D342" i="10"/>
  <c r="D191" i="10"/>
  <c r="D150" i="10"/>
  <c r="D324" i="10"/>
  <c r="D124" i="10"/>
  <c r="D41" i="10"/>
  <c r="D56" i="10"/>
  <c r="D281" i="10"/>
  <c r="D35" i="10"/>
  <c r="D21" i="10"/>
  <c r="D356" i="10"/>
  <c r="D251" i="10"/>
  <c r="D303" i="10"/>
  <c r="D99" i="10"/>
  <c r="D313" i="10"/>
  <c r="D315" i="10"/>
  <c r="D107" i="10"/>
  <c r="D43" i="10"/>
  <c r="D60" i="10"/>
  <c r="D63" i="10"/>
  <c r="D349" i="10"/>
  <c r="D185" i="10"/>
  <c r="D177" i="10"/>
  <c r="D168" i="10"/>
  <c r="D294" i="10"/>
  <c r="D264" i="10"/>
  <c r="D259" i="10"/>
  <c r="D68" i="10"/>
  <c r="D221" i="10"/>
  <c r="D305" i="10"/>
  <c r="D206" i="10"/>
  <c r="D34" i="10"/>
  <c r="D17" i="10"/>
  <c r="D222" i="10"/>
  <c r="D226" i="10"/>
  <c r="D233" i="10"/>
  <c r="D176" i="10"/>
  <c r="D116" i="10"/>
  <c r="D45" i="10"/>
  <c r="D199" i="10"/>
  <c r="D143" i="10"/>
  <c r="D224" i="10"/>
  <c r="D299" i="10"/>
  <c r="D111" i="10"/>
  <c r="D10" i="10"/>
  <c r="D163" i="10"/>
  <c r="D71" i="10"/>
  <c r="D335" i="10"/>
  <c r="D215" i="10"/>
  <c r="D78" i="10"/>
  <c r="D238" i="10"/>
  <c r="D334" i="10"/>
  <c r="D200" i="10"/>
  <c r="D179" i="10"/>
  <c r="D140" i="10"/>
  <c r="D213" i="10"/>
  <c r="D289" i="10"/>
  <c r="D214" i="10"/>
  <c r="D122" i="10"/>
  <c r="D293" i="10"/>
  <c r="D254" i="10"/>
  <c r="D292" i="10"/>
  <c r="D162" i="10"/>
  <c r="D258" i="10"/>
  <c r="D139" i="10"/>
  <c r="D352" i="10"/>
  <c r="D357" i="10"/>
  <c r="D85" i="10"/>
  <c r="D152" i="10"/>
  <c r="D94" i="10"/>
  <c r="D123" i="10"/>
  <c r="D27" i="10"/>
  <c r="D188" i="10"/>
  <c r="D219" i="10"/>
  <c r="D96" i="10"/>
  <c r="D80" i="10"/>
  <c r="D69" i="10"/>
  <c r="D53" i="10"/>
  <c r="D276" i="10"/>
  <c r="D246" i="10"/>
  <c r="D181" i="10"/>
  <c r="D318" i="10"/>
  <c r="D83" i="10"/>
  <c r="D355" i="10"/>
  <c r="D18" i="10"/>
  <c r="D236" i="10"/>
  <c r="D108" i="10"/>
  <c r="D302" i="10"/>
  <c r="D151" i="10"/>
  <c r="D282" i="10"/>
  <c r="D180" i="10"/>
  <c r="D319" i="10"/>
  <c r="D59" i="10"/>
  <c r="D193" i="10"/>
  <c r="D169" i="10"/>
  <c r="D220" i="10"/>
  <c r="D241" i="10"/>
  <c r="D344" i="10"/>
  <c r="D359" i="10"/>
  <c r="D115" i="10"/>
  <c r="D331" i="10"/>
  <c r="D89" i="10"/>
  <c r="D300" i="10"/>
  <c r="D330" i="10"/>
  <c r="D40" i="10"/>
  <c r="D127" i="10"/>
  <c r="D250" i="10"/>
  <c r="D212" i="10"/>
  <c r="D339" i="10"/>
  <c r="D345" i="10"/>
  <c r="D90" i="10"/>
  <c r="D257" i="10"/>
  <c r="D178" i="10"/>
  <c r="D73" i="10"/>
  <c r="D161" i="10"/>
  <c r="D31" i="10"/>
  <c r="D338" i="10"/>
  <c r="D49" i="10"/>
  <c r="D229" i="10"/>
  <c r="D189" i="10"/>
  <c r="D288" i="10"/>
  <c r="D82" i="10"/>
  <c r="D267" i="10"/>
  <c r="D270" i="10"/>
  <c r="D88" i="10"/>
  <c r="D304" i="10"/>
  <c r="D309" i="10"/>
  <c r="D77" i="10"/>
  <c r="D310" i="10"/>
  <c r="D280" i="10"/>
  <c r="D47" i="10"/>
  <c r="D248" i="10"/>
  <c r="D135" i="10"/>
  <c r="D275" i="10"/>
  <c r="D322" i="10"/>
  <c r="D266" i="10"/>
  <c r="D245" i="10"/>
  <c r="D244" i="10"/>
  <c r="D26" i="10"/>
  <c r="D102" i="10"/>
  <c r="D58" i="10"/>
  <c r="D36" i="10"/>
  <c r="D131" i="10"/>
  <c r="D155" i="10"/>
  <c r="U1747" i="19"/>
  <c r="T1696" i="19"/>
  <c r="X1644" i="19"/>
  <c r="W1593" i="19"/>
  <c r="V1542" i="19"/>
  <c r="U1491" i="19"/>
  <c r="U1418" i="19"/>
  <c r="V1213" i="19"/>
  <c r="W729" i="19"/>
  <c r="W1729" i="19"/>
  <c r="V1678" i="19"/>
  <c r="U1627" i="19"/>
  <c r="T1576" i="19"/>
  <c r="U1531" i="19"/>
  <c r="T1480" i="19"/>
  <c r="W1445" i="19"/>
  <c r="R297" i="13" s="1"/>
  <c r="E200" i="15" s="1"/>
  <c r="F200" i="15" s="1"/>
  <c r="X1347" i="19"/>
  <c r="K1347" i="19" s="1"/>
  <c r="G613" i="22" s="1"/>
  <c r="V1245" i="19"/>
  <c r="T1143" i="19"/>
  <c r="U1763" i="19"/>
  <c r="W1737" i="19"/>
  <c r="T1712" i="19"/>
  <c r="V1686" i="19"/>
  <c r="X1660" i="19"/>
  <c r="K1660" i="19" s="1"/>
  <c r="U1635" i="19"/>
  <c r="W1609" i="19"/>
  <c r="T1584" i="19"/>
  <c r="V1558" i="19"/>
  <c r="X1532" i="19"/>
  <c r="K1532" i="19" s="1"/>
  <c r="U1507" i="19"/>
  <c r="W1481" i="19"/>
  <c r="T1456" i="19"/>
  <c r="X1379" i="19"/>
  <c r="V1277" i="19"/>
  <c r="T1175" i="19"/>
  <c r="U627" i="19"/>
  <c r="T1728" i="19"/>
  <c r="X1676" i="19"/>
  <c r="K1676" i="19" s="1"/>
  <c r="W1625" i="19"/>
  <c r="R333" i="13" s="1"/>
  <c r="V1574" i="19"/>
  <c r="U1523" i="19"/>
  <c r="T1472" i="19"/>
  <c r="V1341" i="19"/>
  <c r="W17" i="19"/>
  <c r="U1723" i="19"/>
  <c r="T1672" i="19"/>
  <c r="X1620" i="19"/>
  <c r="K1620" i="19" s="1"/>
  <c r="W1569" i="19"/>
  <c r="T1512" i="19"/>
  <c r="T576" i="19"/>
  <c r="W1745" i="19"/>
  <c r="R357" i="13" s="1"/>
  <c r="E242" i="15" s="1"/>
  <c r="F242" i="15" s="1"/>
  <c r="T1720" i="19"/>
  <c r="V1694" i="19"/>
  <c r="X1668" i="19"/>
  <c r="K1668" i="19" s="1"/>
  <c r="U1643" i="19"/>
  <c r="W1617" i="19"/>
  <c r="T1592" i="19"/>
  <c r="V1566" i="19"/>
  <c r="X1540" i="19"/>
  <c r="K1540" i="19" s="1"/>
  <c r="U1515" i="19"/>
  <c r="W1489" i="19"/>
  <c r="T1464" i="19"/>
  <c r="X1411" i="19"/>
  <c r="K1411" i="19" s="1"/>
  <c r="V1309" i="19"/>
  <c r="T1207" i="19"/>
  <c r="U883" i="19"/>
  <c r="X1763" i="19"/>
  <c r="K1763" i="19" s="1"/>
  <c r="V1757" i="19"/>
  <c r="T1751" i="19"/>
  <c r="W1744" i="19"/>
  <c r="U1738" i="19"/>
  <c r="X1731" i="19"/>
  <c r="K1731" i="19" s="1"/>
  <c r="G393" i="22" s="1"/>
  <c r="V1725" i="19"/>
  <c r="T1719" i="19"/>
  <c r="W1712" i="19"/>
  <c r="U1706" i="19"/>
  <c r="X1699" i="19"/>
  <c r="V1693" i="19"/>
  <c r="T1687" i="19"/>
  <c r="W1680" i="19"/>
  <c r="R344" i="13" s="1"/>
  <c r="U1674" i="19"/>
  <c r="X1667" i="19"/>
  <c r="K1667" i="19" s="1"/>
  <c r="V1661" i="19"/>
  <c r="T1655" i="19"/>
  <c r="W1648" i="19"/>
  <c r="U1642" i="19"/>
  <c r="X1635" i="19"/>
  <c r="K1635" i="19" s="1"/>
  <c r="V1629" i="19"/>
  <c r="T1623" i="19"/>
  <c r="W1616" i="19"/>
  <c r="U1610" i="19"/>
  <c r="X1603" i="19"/>
  <c r="K1603" i="19" s="1"/>
  <c r="G616" i="22" s="1"/>
  <c r="V1597" i="19"/>
  <c r="T1591" i="19"/>
  <c r="W1584" i="19"/>
  <c r="U1578" i="19"/>
  <c r="X1571" i="19"/>
  <c r="K1571" i="19" s="1"/>
  <c r="G392" i="22" s="1"/>
  <c r="V1565" i="19"/>
  <c r="T1559" i="19"/>
  <c r="W1552" i="19"/>
  <c r="U1546" i="19"/>
  <c r="X1539" i="19"/>
  <c r="V1533" i="19"/>
  <c r="T1527" i="19"/>
  <c r="W1520" i="19"/>
  <c r="R312" i="13" s="1"/>
  <c r="U1514" i="19"/>
  <c r="X1507" i="19"/>
  <c r="K1507" i="19" s="1"/>
  <c r="V1501" i="19"/>
  <c r="T1495" i="19"/>
  <c r="W1488" i="19"/>
  <c r="U1482" i="19"/>
  <c r="X1475" i="19"/>
  <c r="K1475" i="19" s="1"/>
  <c r="F303" i="13" s="1"/>
  <c r="V1469" i="19"/>
  <c r="T1463" i="19"/>
  <c r="W1456" i="19"/>
  <c r="W1448" i="19"/>
  <c r="W1432" i="19"/>
  <c r="T1407" i="19"/>
  <c r="V1381" i="19"/>
  <c r="X1355" i="19"/>
  <c r="K1355" i="19" s="1"/>
  <c r="G279" i="22" s="1"/>
  <c r="U1330" i="19"/>
  <c r="W1304" i="19"/>
  <c r="T1279" i="19"/>
  <c r="V1253" i="19"/>
  <c r="X1227" i="19"/>
  <c r="K1227" i="19" s="1"/>
  <c r="G814" i="22" s="1"/>
  <c r="U1202" i="19"/>
  <c r="W1176" i="19"/>
  <c r="T1151" i="19"/>
  <c r="W1049" i="19"/>
  <c r="X844" i="19"/>
  <c r="T640" i="19"/>
  <c r="U347" i="19"/>
  <c r="T1764" i="19"/>
  <c r="W1757" i="19"/>
  <c r="U1751" i="19"/>
  <c r="X1744" i="19"/>
  <c r="V1738" i="19"/>
  <c r="T1732" i="19"/>
  <c r="W1725" i="19"/>
  <c r="R353" i="13" s="1"/>
  <c r="E239" i="15" s="1"/>
  <c r="F239" i="15" s="1"/>
  <c r="U1719" i="19"/>
  <c r="X1712" i="19"/>
  <c r="K1712" i="19" s="1"/>
  <c r="G680" i="22" s="1"/>
  <c r="V1706" i="19"/>
  <c r="T1700" i="19"/>
  <c r="W1693" i="19"/>
  <c r="U1687" i="19"/>
  <c r="X1680" i="19"/>
  <c r="K1680" i="19" s="1"/>
  <c r="V1674" i="19"/>
  <c r="T1668" i="19"/>
  <c r="W1661" i="19"/>
  <c r="U1655" i="19"/>
  <c r="X1648" i="19"/>
  <c r="K1648" i="19" s="1"/>
  <c r="V1642" i="19"/>
  <c r="T1636" i="19"/>
  <c r="W1629" i="19"/>
  <c r="U1623" i="19"/>
  <c r="X1616" i="19"/>
  <c r="K1616" i="19" s="1"/>
  <c r="V1610" i="19"/>
  <c r="T1604" i="19"/>
  <c r="W1597" i="19"/>
  <c r="U1591" i="19"/>
  <c r="X1584" i="19"/>
  <c r="V1578" i="19"/>
  <c r="T1572" i="19"/>
  <c r="W1565" i="19"/>
  <c r="R321" i="13" s="1"/>
  <c r="U1559" i="19"/>
  <c r="X1552" i="19"/>
  <c r="K1552" i="19" s="1"/>
  <c r="V1546" i="19"/>
  <c r="T1540" i="19"/>
  <c r="W1533" i="19"/>
  <c r="U1527" i="19"/>
  <c r="X1520" i="19"/>
  <c r="K1520" i="19" s="1"/>
  <c r="V1514" i="19"/>
  <c r="T1508" i="19"/>
  <c r="W1501" i="19"/>
  <c r="U1495" i="19"/>
  <c r="X1488" i="19"/>
  <c r="K1488" i="19" s="1"/>
  <c r="V1482" i="19"/>
  <c r="T1476" i="19"/>
  <c r="W1469" i="19"/>
  <c r="U1463" i="19"/>
  <c r="X1456" i="19"/>
  <c r="K1456" i="19" s="1"/>
  <c r="G551" i="22" s="1"/>
  <c r="X1448" i="19"/>
  <c r="K1448" i="19" s="1"/>
  <c r="U1434" i="19"/>
  <c r="W1408" i="19"/>
  <c r="T1383" i="19"/>
  <c r="V1357" i="19"/>
  <c r="X1331" i="19"/>
  <c r="K1331" i="19" s="1"/>
  <c r="G754" i="22" s="1"/>
  <c r="U1306" i="19"/>
  <c r="W1280" i="19"/>
  <c r="R264" i="13" s="1"/>
  <c r="T1255" i="19"/>
  <c r="V1229" i="19"/>
  <c r="X1203" i="19"/>
  <c r="K1203" i="19" s="1"/>
  <c r="U1178" i="19"/>
  <c r="W1152" i="19"/>
  <c r="V1062" i="19"/>
  <c r="W857" i="19"/>
  <c r="X652" i="19"/>
  <c r="K652" i="19" s="1"/>
  <c r="G464" i="22" s="1"/>
  <c r="X372" i="19"/>
  <c r="K372" i="19" s="1"/>
  <c r="G800" i="22" s="1"/>
  <c r="U30" i="19"/>
  <c r="V81" i="19"/>
  <c r="W132" i="19"/>
  <c r="X183" i="19"/>
  <c r="K183" i="19" s="1"/>
  <c r="V225" i="19"/>
  <c r="T251" i="19"/>
  <c r="W276" i="19"/>
  <c r="U302" i="19"/>
  <c r="X327" i="19"/>
  <c r="K327" i="19" s="1"/>
  <c r="V353" i="19"/>
  <c r="T379" i="19"/>
  <c r="W404" i="19"/>
  <c r="U430" i="19"/>
  <c r="X455" i="19"/>
  <c r="K455" i="19" s="1"/>
  <c r="G99" i="22" s="1"/>
  <c r="V481" i="19"/>
  <c r="T507" i="19"/>
  <c r="X527" i="19"/>
  <c r="K527" i="19" s="1"/>
  <c r="G523" i="22" s="1"/>
  <c r="W540" i="19"/>
  <c r="R116" i="13" s="1"/>
  <c r="V553" i="19"/>
  <c r="U566" i="19"/>
  <c r="T579" i="19"/>
  <c r="X591" i="19"/>
  <c r="K591" i="19" s="1"/>
  <c r="W604" i="19"/>
  <c r="V617" i="19"/>
  <c r="U630" i="19"/>
  <c r="T643" i="19"/>
  <c r="X655" i="19"/>
  <c r="K655" i="19" s="1"/>
  <c r="G139" i="22" s="1"/>
  <c r="W668" i="19"/>
  <c r="V681" i="19"/>
  <c r="U694" i="19"/>
  <c r="T707" i="19"/>
  <c r="X719" i="19"/>
  <c r="W732" i="19"/>
  <c r="V745" i="19"/>
  <c r="U758" i="19"/>
  <c r="T771" i="19"/>
  <c r="X783" i="19"/>
  <c r="K783" i="19" s="1"/>
  <c r="W796" i="19"/>
  <c r="V809" i="19"/>
  <c r="U822" i="19"/>
  <c r="T835" i="19"/>
  <c r="X847" i="19"/>
  <c r="K847" i="19" s="1"/>
  <c r="W860" i="19"/>
  <c r="R180" i="13" s="1"/>
  <c r="E122" i="15" s="1"/>
  <c r="F122" i="15" s="1"/>
  <c r="V873" i="19"/>
  <c r="U886" i="19"/>
  <c r="T899" i="19"/>
  <c r="X911" i="19"/>
  <c r="K911" i="19" s="1"/>
  <c r="G624" i="22" s="1"/>
  <c r="W924" i="19"/>
  <c r="V937" i="19"/>
  <c r="U950" i="19"/>
  <c r="T963" i="19"/>
  <c r="X975" i="19"/>
  <c r="K975" i="19" s="1"/>
  <c r="W988" i="19"/>
  <c r="V1001" i="19"/>
  <c r="U1014" i="19"/>
  <c r="T1027" i="19"/>
  <c r="X1039" i="19"/>
  <c r="W1052" i="19"/>
  <c r="V1734" i="19"/>
  <c r="U1683" i="19"/>
  <c r="T1632" i="19"/>
  <c r="X1580" i="19"/>
  <c r="K1580" i="19" s="1"/>
  <c r="W1529" i="19"/>
  <c r="V1478" i="19"/>
  <c r="T1367" i="19"/>
  <c r="U1162" i="19"/>
  <c r="X524" i="19"/>
  <c r="X1716" i="19"/>
  <c r="K1716" i="19" s="1"/>
  <c r="G719" i="22" s="1"/>
  <c r="W1665" i="19"/>
  <c r="R341" i="13" s="1"/>
  <c r="V1614" i="19"/>
  <c r="U1563" i="19"/>
  <c r="V1518" i="19"/>
  <c r="W1473" i="19"/>
  <c r="W1424" i="19"/>
  <c r="U1322" i="19"/>
  <c r="X1219" i="19"/>
  <c r="W985" i="19"/>
  <c r="R205" i="13" s="1"/>
  <c r="E138" i="15" s="1"/>
  <c r="F138" i="15" s="1"/>
  <c r="X1756" i="19"/>
  <c r="K1756" i="19" s="1"/>
  <c r="G440" i="22" s="1"/>
  <c r="U1731" i="19"/>
  <c r="W1705" i="19"/>
  <c r="R349" i="13" s="1"/>
  <c r="E235" i="15" s="1"/>
  <c r="F235" i="15" s="1"/>
  <c r="T1680" i="19"/>
  <c r="V1654" i="19"/>
  <c r="X1628" i="19"/>
  <c r="K1628" i="19" s="1"/>
  <c r="U1603" i="19"/>
  <c r="W1577" i="19"/>
  <c r="T1552" i="19"/>
  <c r="V1526" i="19"/>
  <c r="X1500" i="19"/>
  <c r="K1500" i="19" s="1"/>
  <c r="G308" i="22" s="1"/>
  <c r="U1475" i="19"/>
  <c r="T1448" i="19"/>
  <c r="U1354" i="19"/>
  <c r="X1251" i="19"/>
  <c r="K1251" i="19" s="1"/>
  <c r="V1149" i="19"/>
  <c r="W321" i="19"/>
  <c r="U1715" i="19"/>
  <c r="T1664" i="19"/>
  <c r="X1612" i="19"/>
  <c r="K1612" i="19" s="1"/>
  <c r="W1561" i="19"/>
  <c r="V1510" i="19"/>
  <c r="U1459" i="19"/>
  <c r="U1290" i="19"/>
  <c r="W1761" i="19"/>
  <c r="V1710" i="19"/>
  <c r="U1659" i="19"/>
  <c r="T1608" i="19"/>
  <c r="X1556" i="19"/>
  <c r="K1556" i="19" s="1"/>
  <c r="G762" i="22" s="1"/>
  <c r="U1499" i="19"/>
  <c r="X1764" i="19"/>
  <c r="U1739" i="19"/>
  <c r="W1713" i="19"/>
  <c r="T1688" i="19"/>
  <c r="V1662" i="19"/>
  <c r="X1636" i="19"/>
  <c r="K1636" i="19" s="1"/>
  <c r="G688" i="22" s="1"/>
  <c r="U1611" i="19"/>
  <c r="W1585" i="19"/>
  <c r="R325" i="13" s="1"/>
  <c r="E220" i="15" s="1"/>
  <c r="F220" i="15" s="1"/>
  <c r="T1560" i="19"/>
  <c r="V1534" i="19"/>
  <c r="X1508" i="19"/>
  <c r="K1508" i="19" s="1"/>
  <c r="U1483" i="19"/>
  <c r="W1457" i="19"/>
  <c r="U1386" i="19"/>
  <c r="X1283" i="19"/>
  <c r="K1283" i="19" s="1"/>
  <c r="V1181" i="19"/>
  <c r="V678" i="19"/>
  <c r="U1762" i="19"/>
  <c r="X1755" i="19"/>
  <c r="K1755" i="19" s="1"/>
  <c r="G359" i="22" s="1"/>
  <c r="V1749" i="19"/>
  <c r="T1743" i="19"/>
  <c r="W1736" i="19"/>
  <c r="U1730" i="19"/>
  <c r="X1723" i="19"/>
  <c r="K1723" i="19" s="1"/>
  <c r="V1717" i="19"/>
  <c r="T1711" i="19"/>
  <c r="W1704" i="19"/>
  <c r="U1698" i="19"/>
  <c r="X1691" i="19"/>
  <c r="K1691" i="19" s="1"/>
  <c r="G415" i="22" s="1"/>
  <c r="V1685" i="19"/>
  <c r="T1679" i="19"/>
  <c r="W1672" i="19"/>
  <c r="U1666" i="19"/>
  <c r="X1659" i="19"/>
  <c r="V1653" i="19"/>
  <c r="T1647" i="19"/>
  <c r="W1640" i="19"/>
  <c r="R336" i="13" s="1"/>
  <c r="E228" i="15" s="1"/>
  <c r="F228" i="15" s="1"/>
  <c r="U1634" i="19"/>
  <c r="X1627" i="19"/>
  <c r="K1627" i="19" s="1"/>
  <c r="V1621" i="19"/>
  <c r="T1615" i="19"/>
  <c r="W1608" i="19"/>
  <c r="U1602" i="19"/>
  <c r="X1595" i="19"/>
  <c r="K1595" i="19" s="1"/>
  <c r="V1589" i="19"/>
  <c r="T1583" i="19"/>
  <c r="W1576" i="19"/>
  <c r="U1570" i="19"/>
  <c r="X1563" i="19"/>
  <c r="K1563" i="19" s="1"/>
  <c r="V1557" i="19"/>
  <c r="T1551" i="19"/>
  <c r="W1544" i="19"/>
  <c r="U1538" i="19"/>
  <c r="X1531" i="19"/>
  <c r="K1531" i="19" s="1"/>
  <c r="G697" i="22" s="1"/>
  <c r="V1525" i="19"/>
  <c r="T1519" i="19"/>
  <c r="W1512" i="19"/>
  <c r="U1506" i="19"/>
  <c r="X1499" i="19"/>
  <c r="V1493" i="19"/>
  <c r="T1487" i="19"/>
  <c r="W1480" i="19"/>
  <c r="R304" i="13" s="1"/>
  <c r="U1474" i="19"/>
  <c r="X1467" i="19"/>
  <c r="K1467" i="19" s="1"/>
  <c r="G791" i="22" s="1"/>
  <c r="V1461" i="19"/>
  <c r="T1455" i="19"/>
  <c r="V1446" i="19"/>
  <c r="U1426" i="19"/>
  <c r="W1400" i="19"/>
  <c r="R288" i="13" s="1"/>
  <c r="T1375" i="19"/>
  <c r="V1349" i="19"/>
  <c r="X1323" i="19"/>
  <c r="K1323" i="19" s="1"/>
  <c r="U1298" i="19"/>
  <c r="W1272" i="19"/>
  <c r="T1247" i="19"/>
  <c r="V1221" i="19"/>
  <c r="X1195" i="19"/>
  <c r="K1195" i="19" s="1"/>
  <c r="G247" i="22" s="1"/>
  <c r="U1170" i="19"/>
  <c r="W1144" i="19"/>
  <c r="V998" i="19"/>
  <c r="W793" i="19"/>
  <c r="X588" i="19"/>
  <c r="K588" i="19" s="1"/>
  <c r="X244" i="19"/>
  <c r="V1762" i="19"/>
  <c r="T1756" i="19"/>
  <c r="W1749" i="19"/>
  <c r="U1743" i="19"/>
  <c r="X1736" i="19"/>
  <c r="K1736" i="19" s="1"/>
  <c r="V1730" i="19"/>
  <c r="T1724" i="19"/>
  <c r="W1717" i="19"/>
  <c r="U1711" i="19"/>
  <c r="X1704" i="19"/>
  <c r="V1698" i="19"/>
  <c r="T1692" i="19"/>
  <c r="W1685" i="19"/>
  <c r="R345" i="13" s="1"/>
  <c r="AE345" i="13" s="1"/>
  <c r="U1679" i="19"/>
  <c r="X1672" i="19"/>
  <c r="K1672" i="19" s="1"/>
  <c r="V1666" i="19"/>
  <c r="T1660" i="19"/>
  <c r="W1653" i="19"/>
  <c r="U1647" i="19"/>
  <c r="X1640" i="19"/>
  <c r="K1640" i="19" s="1"/>
  <c r="V1634" i="19"/>
  <c r="T1628" i="19"/>
  <c r="W1621" i="19"/>
  <c r="U1615" i="19"/>
  <c r="X1608" i="19"/>
  <c r="K1608" i="19" s="1"/>
  <c r="V1602" i="19"/>
  <c r="T1596" i="19"/>
  <c r="W1589" i="19"/>
  <c r="U1583" i="19"/>
  <c r="X1576" i="19"/>
  <c r="K1576" i="19" s="1"/>
  <c r="V1570" i="19"/>
  <c r="T1564" i="19"/>
  <c r="W1557" i="19"/>
  <c r="U1551" i="19"/>
  <c r="X1544" i="19"/>
  <c r="V1538" i="19"/>
  <c r="T1532" i="19"/>
  <c r="W1525" i="19"/>
  <c r="R313" i="13" s="1"/>
  <c r="AE313" i="13" s="1"/>
  <c r="U1519" i="19"/>
  <c r="X1512" i="19"/>
  <c r="K1512" i="19" s="1"/>
  <c r="V1506" i="19"/>
  <c r="T1500" i="19"/>
  <c r="W1493" i="19"/>
  <c r="U1487" i="19"/>
  <c r="X1480" i="19"/>
  <c r="K1480" i="19" s="1"/>
  <c r="V1474" i="19"/>
  <c r="T1468" i="19"/>
  <c r="W1461" i="19"/>
  <c r="U1455" i="19"/>
  <c r="T1447" i="19"/>
  <c r="X1427" i="19"/>
  <c r="K1427" i="19" s="1"/>
  <c r="U1402" i="19"/>
  <c r="W1376" i="19"/>
  <c r="T1351" i="19"/>
  <c r="V1325" i="19"/>
  <c r="X1299" i="19"/>
  <c r="U1274" i="19"/>
  <c r="W1248" i="19"/>
  <c r="T1223" i="19"/>
  <c r="V1197" i="19"/>
  <c r="X1171" i="19"/>
  <c r="K1171" i="19" s="1"/>
  <c r="G391" i="22" s="1"/>
  <c r="U1146" i="19"/>
  <c r="U1011" i="19"/>
  <c r="V806" i="19"/>
  <c r="W601" i="19"/>
  <c r="V270" i="19"/>
  <c r="T43" i="19"/>
  <c r="U94" i="19"/>
  <c r="V145" i="19"/>
  <c r="W196" i="19"/>
  <c r="X231" i="19"/>
  <c r="K231" i="19" s="1"/>
  <c r="G515" i="22" s="1"/>
  <c r="V257" i="19"/>
  <c r="T283" i="19"/>
  <c r="W308" i="19"/>
  <c r="U334" i="19"/>
  <c r="X359" i="19"/>
  <c r="V385" i="19"/>
  <c r="T411" i="19"/>
  <c r="W436" i="19"/>
  <c r="U462" i="19"/>
  <c r="X487" i="19"/>
  <c r="K487" i="19" s="1"/>
  <c r="V513" i="19"/>
  <c r="T531" i="19"/>
  <c r="X543" i="19"/>
  <c r="K543" i="19" s="1"/>
  <c r="W556" i="19"/>
  <c r="V569" i="19"/>
  <c r="U582" i="19"/>
  <c r="T595" i="19"/>
  <c r="X607" i="19"/>
  <c r="K607" i="19" s="1"/>
  <c r="W620" i="19"/>
  <c r="R132" i="13" s="1"/>
  <c r="V633" i="19"/>
  <c r="U646" i="19"/>
  <c r="T659" i="19"/>
  <c r="X671" i="19"/>
  <c r="K671" i="19" s="1"/>
  <c r="G558" i="22" s="1"/>
  <c r="W684" i="19"/>
  <c r="V697" i="19"/>
  <c r="U710" i="19"/>
  <c r="T723" i="19"/>
  <c r="X735" i="19"/>
  <c r="K735" i="19" s="1"/>
  <c r="F155" i="13" s="1"/>
  <c r="W748" i="19"/>
  <c r="V761" i="19"/>
  <c r="U774" i="19"/>
  <c r="T787" i="19"/>
  <c r="X799" i="19"/>
  <c r="W812" i="19"/>
  <c r="V825" i="19"/>
  <c r="U838" i="19"/>
  <c r="T851" i="19"/>
  <c r="X863" i="19"/>
  <c r="K863" i="19" s="1"/>
  <c r="W876" i="19"/>
  <c r="V889" i="19"/>
  <c r="U902" i="19"/>
  <c r="T915" i="19"/>
  <c r="X927" i="19"/>
  <c r="K927" i="19" s="1"/>
  <c r="G591" i="22" s="1"/>
  <c r="W940" i="19"/>
  <c r="R196" i="13" s="1"/>
  <c r="V953" i="19"/>
  <c r="U966" i="19"/>
  <c r="T979" i="19"/>
  <c r="X991" i="19"/>
  <c r="K991" i="19" s="1"/>
  <c r="W1004" i="19"/>
  <c r="V1017" i="19"/>
  <c r="U1030" i="19"/>
  <c r="T1043" i="19"/>
  <c r="X1055" i="19"/>
  <c r="K1055" i="19" s="1"/>
  <c r="G219" i="22" s="1"/>
  <c r="W1721" i="19"/>
  <c r="U1619" i="19"/>
  <c r="X1516" i="19"/>
  <c r="K1516" i="19" s="1"/>
  <c r="X1315" i="19"/>
  <c r="K1315" i="19" s="1"/>
  <c r="G271" i="22" s="1"/>
  <c r="U1755" i="19"/>
  <c r="X1652" i="19"/>
  <c r="K1652" i="19" s="1"/>
  <c r="G773" i="22" s="1"/>
  <c r="V1550" i="19"/>
  <c r="X1460" i="19"/>
  <c r="K1460" i="19" s="1"/>
  <c r="W1296" i="19"/>
  <c r="X780" i="19"/>
  <c r="K780" i="19" s="1"/>
  <c r="X1724" i="19"/>
  <c r="W1673" i="19"/>
  <c r="V1622" i="19"/>
  <c r="U1571" i="19"/>
  <c r="T1520" i="19"/>
  <c r="X1468" i="19"/>
  <c r="K1468" i="19" s="1"/>
  <c r="W1328" i="19"/>
  <c r="X1036" i="19"/>
  <c r="K1036" i="19" s="1"/>
  <c r="V1702" i="19"/>
  <c r="T1600" i="19"/>
  <c r="W1497" i="19"/>
  <c r="T1239" i="19"/>
  <c r="W1697" i="19"/>
  <c r="U1595" i="19"/>
  <c r="V1486" i="19"/>
  <c r="X1732" i="19"/>
  <c r="K1732" i="19" s="1"/>
  <c r="W1681" i="19"/>
  <c r="V1630" i="19"/>
  <c r="U1579" i="19"/>
  <c r="T1528" i="19"/>
  <c r="X1476" i="19"/>
  <c r="K1476" i="19" s="1"/>
  <c r="W1360" i="19"/>
  <c r="R280" i="13" s="1"/>
  <c r="AE280" i="13" s="1"/>
  <c r="X1155" i="19"/>
  <c r="K1155" i="19" s="1"/>
  <c r="F239" i="13" s="1"/>
  <c r="W1760" i="19"/>
  <c r="R360" i="13" s="1"/>
  <c r="X1747" i="19"/>
  <c r="K1747" i="19" s="1"/>
  <c r="T1735" i="19"/>
  <c r="U1722" i="19"/>
  <c r="V1709" i="19"/>
  <c r="W1696" i="19"/>
  <c r="X1683" i="19"/>
  <c r="K1683" i="19" s="1"/>
  <c r="T1671" i="19"/>
  <c r="U1658" i="19"/>
  <c r="V1645" i="19"/>
  <c r="W1632" i="19"/>
  <c r="X1619" i="19"/>
  <c r="T1607" i="19"/>
  <c r="U1594" i="19"/>
  <c r="V1581" i="19"/>
  <c r="W1568" i="19"/>
  <c r="X1555" i="19"/>
  <c r="K1555" i="19" s="1"/>
  <c r="T1543" i="19"/>
  <c r="U1530" i="19"/>
  <c r="V1517" i="19"/>
  <c r="W1504" i="19"/>
  <c r="X1491" i="19"/>
  <c r="K1491" i="19" s="1"/>
  <c r="G511" i="22" s="1"/>
  <c r="T1479" i="19"/>
  <c r="U1466" i="19"/>
  <c r="X1452" i="19"/>
  <c r="K1452" i="19" s="1"/>
  <c r="G614" i="22" s="1"/>
  <c r="X1419" i="19"/>
  <c r="W1368" i="19"/>
  <c r="V1317" i="19"/>
  <c r="U1266" i="19"/>
  <c r="T1215" i="19"/>
  <c r="X1163" i="19"/>
  <c r="K1163" i="19" s="1"/>
  <c r="U947" i="19"/>
  <c r="W537" i="19"/>
  <c r="X1760" i="19"/>
  <c r="K1760" i="19" s="1"/>
  <c r="T1748" i="19"/>
  <c r="U1735" i="19"/>
  <c r="V1722" i="19"/>
  <c r="W1709" i="19"/>
  <c r="X1696" i="19"/>
  <c r="K1696" i="19" s="1"/>
  <c r="G533" i="22" s="1"/>
  <c r="T1684" i="19"/>
  <c r="U1671" i="19"/>
  <c r="V1658" i="19"/>
  <c r="W1645" i="19"/>
  <c r="R337" i="13" s="1"/>
  <c r="X1632" i="19"/>
  <c r="K1632" i="19" s="1"/>
  <c r="T1620" i="19"/>
  <c r="U1607" i="19"/>
  <c r="V1594" i="19"/>
  <c r="W1581" i="19"/>
  <c r="X1568" i="19"/>
  <c r="K1568" i="19" s="1"/>
  <c r="T1556" i="19"/>
  <c r="U1543" i="19"/>
  <c r="V1530" i="19"/>
  <c r="W1517" i="19"/>
  <c r="X1504" i="19"/>
  <c r="T1492" i="19"/>
  <c r="U1479" i="19"/>
  <c r="V1466" i="19"/>
  <c r="V1453" i="19"/>
  <c r="V1421" i="19"/>
  <c r="U1370" i="19"/>
  <c r="T1319" i="19"/>
  <c r="X1267" i="19"/>
  <c r="K1267" i="19" s="1"/>
  <c r="W1216" i="19"/>
  <c r="V1165" i="19"/>
  <c r="T960" i="19"/>
  <c r="V550" i="19"/>
  <c r="X55" i="19"/>
  <c r="K55" i="19" s="1"/>
  <c r="G19" i="22" s="1"/>
  <c r="U158" i="19"/>
  <c r="U238" i="19"/>
  <c r="V289" i="19"/>
  <c r="W340" i="19"/>
  <c r="R76" i="13" s="1"/>
  <c r="E51" i="15" s="1"/>
  <c r="F51" i="15" s="1"/>
  <c r="X391" i="19"/>
  <c r="K391" i="19" s="1"/>
  <c r="T443" i="19"/>
  <c r="U494" i="19"/>
  <c r="U534" i="19"/>
  <c r="X559" i="19"/>
  <c r="V585" i="19"/>
  <c r="T611" i="19"/>
  <c r="W636" i="19"/>
  <c r="U662" i="19"/>
  <c r="X687" i="19"/>
  <c r="K687" i="19" s="1"/>
  <c r="V713" i="19"/>
  <c r="T739" i="19"/>
  <c r="W764" i="19"/>
  <c r="U790" i="19"/>
  <c r="X815" i="19"/>
  <c r="K815" i="19" s="1"/>
  <c r="V841" i="19"/>
  <c r="T867" i="19"/>
  <c r="W892" i="19"/>
  <c r="U918" i="19"/>
  <c r="X943" i="19"/>
  <c r="K943" i="19" s="1"/>
  <c r="V969" i="19"/>
  <c r="T995" i="19"/>
  <c r="W1020" i="19"/>
  <c r="R212" i="13" s="1"/>
  <c r="U1046" i="19"/>
  <c r="V1065" i="19"/>
  <c r="U1078" i="19"/>
  <c r="T1091" i="19"/>
  <c r="X1103" i="19"/>
  <c r="K1103" i="19" s="1"/>
  <c r="W1116" i="19"/>
  <c r="V1129" i="19"/>
  <c r="T24" i="19"/>
  <c r="U75" i="19"/>
  <c r="V126" i="19"/>
  <c r="W177" i="19"/>
  <c r="V222" i="19"/>
  <c r="T248" i="19"/>
  <c r="W273" i="19"/>
  <c r="U299" i="19"/>
  <c r="X324" i="19"/>
  <c r="V350" i="19"/>
  <c r="T376" i="19"/>
  <c r="W401" i="19"/>
  <c r="U427" i="19"/>
  <c r="X452" i="19"/>
  <c r="K452" i="19" s="1"/>
  <c r="V478" i="19"/>
  <c r="T504" i="19"/>
  <c r="V526" i="19"/>
  <c r="U539" i="19"/>
  <c r="T552" i="19"/>
  <c r="X564" i="19"/>
  <c r="W577" i="19"/>
  <c r="V590" i="19"/>
  <c r="U603" i="19"/>
  <c r="T616" i="19"/>
  <c r="X628" i="19"/>
  <c r="K628" i="19" s="1"/>
  <c r="W641" i="19"/>
  <c r="V654" i="19"/>
  <c r="U667" i="19"/>
  <c r="T680" i="19"/>
  <c r="X692" i="19"/>
  <c r="K692" i="19" s="1"/>
  <c r="W705" i="19"/>
  <c r="R149" i="13" s="1"/>
  <c r="V718" i="19"/>
  <c r="U731" i="19"/>
  <c r="T744" i="19"/>
  <c r="X756" i="19"/>
  <c r="K756" i="19" s="1"/>
  <c r="W769" i="19"/>
  <c r="T1760" i="19"/>
  <c r="W1657" i="19"/>
  <c r="U1555" i="19"/>
  <c r="T1452" i="19"/>
  <c r="V934" i="19"/>
  <c r="U1691" i="19"/>
  <c r="X1588" i="19"/>
  <c r="K1588" i="19" s="1"/>
  <c r="X1492" i="19"/>
  <c r="K1492" i="19" s="1"/>
  <c r="V1373" i="19"/>
  <c r="W1168" i="19"/>
  <c r="T1744" i="19"/>
  <c r="X1692" i="19"/>
  <c r="K1692" i="19" s="1"/>
  <c r="G617" i="22" s="1"/>
  <c r="W1641" i="19"/>
  <c r="V1590" i="19"/>
  <c r="U1539" i="19"/>
  <c r="T1488" i="19"/>
  <c r="V1405" i="19"/>
  <c r="W1200" i="19"/>
  <c r="R248" i="13" s="1"/>
  <c r="E168" i="15" s="1"/>
  <c r="F168" i="15" s="1"/>
  <c r="X1740" i="19"/>
  <c r="K1740" i="19" s="1"/>
  <c r="F356" i="13" s="1"/>
  <c r="V1638" i="19"/>
  <c r="T1536" i="19"/>
  <c r="W1392" i="19"/>
  <c r="T1736" i="19"/>
  <c r="W1633" i="19"/>
  <c r="X1524" i="19"/>
  <c r="T1752" i="19"/>
  <c r="X1700" i="19"/>
  <c r="K1700" i="19" s="1"/>
  <c r="G348" i="22" s="1"/>
  <c r="W1649" i="19"/>
  <c r="V1598" i="19"/>
  <c r="U1547" i="19"/>
  <c r="T1496" i="19"/>
  <c r="V1437" i="19"/>
  <c r="W1232" i="19"/>
  <c r="V10" i="19"/>
  <c r="W1752" i="19"/>
  <c r="X1739" i="19"/>
  <c r="T1727" i="19"/>
  <c r="U1714" i="19"/>
  <c r="V1701" i="19"/>
  <c r="W1688" i="19"/>
  <c r="X1675" i="19"/>
  <c r="K1675" i="19" s="1"/>
  <c r="G343" i="22" s="1"/>
  <c r="T1663" i="19"/>
  <c r="U1650" i="19"/>
  <c r="V1637" i="19"/>
  <c r="W1624" i="19"/>
  <c r="X1611" i="19"/>
  <c r="K1611" i="19" s="1"/>
  <c r="G540" i="22" s="1"/>
  <c r="T1599" i="19"/>
  <c r="U1586" i="19"/>
  <c r="V1573" i="19"/>
  <c r="W1560" i="19"/>
  <c r="R320" i="13" s="1"/>
  <c r="X1547" i="19"/>
  <c r="K1547" i="19" s="1"/>
  <c r="T1535" i="19"/>
  <c r="U1522" i="19"/>
  <c r="V1509" i="19"/>
  <c r="W1496" i="19"/>
  <c r="X1483" i="19"/>
  <c r="K1483" i="19" s="1"/>
  <c r="T1471" i="19"/>
  <c r="U1458" i="19"/>
  <c r="T1439" i="19"/>
  <c r="X1387" i="19"/>
  <c r="K1387" i="19" s="1"/>
  <c r="G539" i="22" s="1"/>
  <c r="W1336" i="19"/>
  <c r="V1285" i="19"/>
  <c r="U1234" i="19"/>
  <c r="T1183" i="19"/>
  <c r="X1100" i="19"/>
  <c r="K1100" i="19" s="1"/>
  <c r="F228" i="13" s="1"/>
  <c r="U691" i="19"/>
  <c r="U10" i="19"/>
  <c r="X1752" i="19"/>
  <c r="K1752" i="19" s="1"/>
  <c r="T1740" i="19"/>
  <c r="U1727" i="19"/>
  <c r="V1714" i="19"/>
  <c r="W1701" i="19"/>
  <c r="X1688" i="19"/>
  <c r="K1688" i="19" s="1"/>
  <c r="T1676" i="19"/>
  <c r="U1663" i="19"/>
  <c r="V1650" i="19"/>
  <c r="W1637" i="19"/>
  <c r="X1624" i="19"/>
  <c r="T1612" i="19"/>
  <c r="U1599" i="19"/>
  <c r="V1586" i="19"/>
  <c r="W1573" i="19"/>
  <c r="X1560" i="19"/>
  <c r="K1560" i="19" s="1"/>
  <c r="T1548" i="19"/>
  <c r="U1535" i="19"/>
  <c r="V1522" i="19"/>
  <c r="W1509" i="19"/>
  <c r="X1496" i="19"/>
  <c r="K1496" i="19" s="1"/>
  <c r="T1484" i="19"/>
  <c r="U1471" i="19"/>
  <c r="V1458" i="19"/>
  <c r="W1440" i="19"/>
  <c r="R296" i="13" s="1"/>
  <c r="E199" i="15" s="1"/>
  <c r="F199" i="15" s="1"/>
  <c r="V1389" i="19"/>
  <c r="U1338" i="19"/>
  <c r="T1287" i="19"/>
  <c r="X1235" i="19"/>
  <c r="K1235" i="19" s="1"/>
  <c r="F255" i="13" s="1"/>
  <c r="W1184" i="19"/>
  <c r="W1113" i="19"/>
  <c r="T704" i="19"/>
  <c r="V17" i="19"/>
  <c r="X119" i="19"/>
  <c r="T219" i="19"/>
  <c r="U270" i="19"/>
  <c r="V321" i="19"/>
  <c r="W372" i="19"/>
  <c r="X423" i="19"/>
  <c r="K423" i="19" s="1"/>
  <c r="T475" i="19"/>
  <c r="W524" i="19"/>
  <c r="U550" i="19"/>
  <c r="X575" i="19"/>
  <c r="K575" i="19" s="1"/>
  <c r="F123" i="13" s="1"/>
  <c r="V601" i="19"/>
  <c r="T627" i="19"/>
  <c r="W652" i="19"/>
  <c r="U678" i="19"/>
  <c r="X703" i="19"/>
  <c r="K703" i="19" s="1"/>
  <c r="V729" i="19"/>
  <c r="T755" i="19"/>
  <c r="W780" i="19"/>
  <c r="R164" i="13" s="1"/>
  <c r="E108" i="15" s="1"/>
  <c r="F108" i="15" s="1"/>
  <c r="U806" i="19"/>
  <c r="X831" i="19"/>
  <c r="K831" i="19" s="1"/>
  <c r="V857" i="19"/>
  <c r="T883" i="19"/>
  <c r="W908" i="19"/>
  <c r="U934" i="19"/>
  <c r="X959" i="19"/>
  <c r="V985" i="19"/>
  <c r="T1011" i="19"/>
  <c r="W1036" i="19"/>
  <c r="U1062" i="19"/>
  <c r="T1075" i="19"/>
  <c r="X1087" i="19"/>
  <c r="K1087" i="19" s="1"/>
  <c r="G611" i="22" s="1"/>
  <c r="W1100" i="19"/>
  <c r="R228" i="13" s="1"/>
  <c r="AE228" i="13" s="1"/>
  <c r="V1113" i="19"/>
  <c r="U1126" i="19"/>
  <c r="U11" i="19"/>
  <c r="V62" i="19"/>
  <c r="W113" i="19"/>
  <c r="X164" i="19"/>
  <c r="T216" i="19"/>
  <c r="W241" i="19"/>
  <c r="U267" i="19"/>
  <c r="X292" i="19"/>
  <c r="K292" i="19" s="1"/>
  <c r="V318" i="19"/>
  <c r="T344" i="19"/>
  <c r="W369" i="19"/>
  <c r="U395" i="19"/>
  <c r="X420" i="19"/>
  <c r="K420" i="19" s="1"/>
  <c r="V446" i="19"/>
  <c r="T472" i="19"/>
  <c r="W497" i="19"/>
  <c r="U523" i="19"/>
  <c r="T536" i="19"/>
  <c r="X548" i="19"/>
  <c r="K548" i="19" s="1"/>
  <c r="W561" i="19"/>
  <c r="V574" i="19"/>
  <c r="U587" i="19"/>
  <c r="T600" i="19"/>
  <c r="X612" i="19"/>
  <c r="K612" i="19" s="1"/>
  <c r="W625" i="19"/>
  <c r="R133" i="13" s="1"/>
  <c r="V638" i="19"/>
  <c r="U651" i="19"/>
  <c r="T664" i="19"/>
  <c r="S664" i="19" s="1"/>
  <c r="X676" i="19"/>
  <c r="K676" i="19" s="1"/>
  <c r="G525" i="22" s="1"/>
  <c r="W689" i="19"/>
  <c r="V702" i="19"/>
  <c r="U715" i="19"/>
  <c r="T728" i="19"/>
  <c r="X740" i="19"/>
  <c r="K740" i="19" s="1"/>
  <c r="G156" i="22" s="1"/>
  <c r="W753" i="19"/>
  <c r="V766" i="19"/>
  <c r="U779" i="19"/>
  <c r="T792" i="19"/>
  <c r="X804" i="19"/>
  <c r="W817" i="19"/>
  <c r="V830" i="19"/>
  <c r="U843" i="19"/>
  <c r="T856" i="19"/>
  <c r="X868" i="19"/>
  <c r="K868" i="19" s="1"/>
  <c r="W881" i="19"/>
  <c r="V894" i="19"/>
  <c r="U907" i="19"/>
  <c r="T920" i="19"/>
  <c r="X932" i="19"/>
  <c r="K932" i="19" s="1"/>
  <c r="W945" i="19"/>
  <c r="R197" i="13" s="1"/>
  <c r="V958" i="19"/>
  <c r="U971" i="19"/>
  <c r="T984" i="19"/>
  <c r="X996" i="19"/>
  <c r="K996" i="19" s="1"/>
  <c r="G637" i="22" s="1"/>
  <c r="W1009" i="19"/>
  <c r="V1022" i="19"/>
  <c r="U1035" i="19"/>
  <c r="T1048" i="19"/>
  <c r="X1060" i="19"/>
  <c r="K1060" i="19" s="1"/>
  <c r="W1073" i="19"/>
  <c r="V1086" i="19"/>
  <c r="U1099" i="19"/>
  <c r="T1112" i="19"/>
  <c r="X1124" i="19"/>
  <c r="X23" i="19"/>
  <c r="K23" i="19" s="1"/>
  <c r="T75" i="19"/>
  <c r="U126" i="19"/>
  <c r="V177" i="19"/>
  <c r="U222" i="19"/>
  <c r="X247" i="19"/>
  <c r="K247" i="19" s="1"/>
  <c r="V273" i="19"/>
  <c r="T299" i="19"/>
  <c r="W324" i="19"/>
  <c r="U350" i="19"/>
  <c r="X375" i="19"/>
  <c r="K375" i="19" s="1"/>
  <c r="F83" i="13" s="1"/>
  <c r="V401" i="19"/>
  <c r="T427" i="19"/>
  <c r="W452" i="19"/>
  <c r="U478" i="19"/>
  <c r="X503" i="19"/>
  <c r="K503" i="19" s="1"/>
  <c r="U526" i="19"/>
  <c r="T539" i="19"/>
  <c r="X551" i="19"/>
  <c r="K551" i="19" s="1"/>
  <c r="W564" i="19"/>
  <c r="V577" i="19"/>
  <c r="U590" i="19"/>
  <c r="T603" i="19"/>
  <c r="X615" i="19"/>
  <c r="K615" i="19" s="1"/>
  <c r="W628" i="19"/>
  <c r="V641" i="19"/>
  <c r="U654" i="19"/>
  <c r="T667" i="19"/>
  <c r="X679" i="19"/>
  <c r="W692" i="19"/>
  <c r="V705" i="19"/>
  <c r="U718" i="19"/>
  <c r="T731" i="19"/>
  <c r="X743" i="19"/>
  <c r="K743" i="19" s="1"/>
  <c r="W756" i="19"/>
  <c r="V769" i="19"/>
  <c r="U782" i="19"/>
  <c r="T795" i="19"/>
  <c r="X807" i="19"/>
  <c r="K807" i="19" s="1"/>
  <c r="W820" i="19"/>
  <c r="R172" i="13" s="1"/>
  <c r="E115" i="15" s="1"/>
  <c r="F115" i="15" s="1"/>
  <c r="V833" i="19"/>
  <c r="U846" i="19"/>
  <c r="T859" i="19"/>
  <c r="X871" i="19"/>
  <c r="K871" i="19" s="1"/>
  <c r="G481" i="22" s="1"/>
  <c r="W884" i="19"/>
  <c r="V897" i="19"/>
  <c r="U910" i="19"/>
  <c r="T923" i="19"/>
  <c r="X935" i="19"/>
  <c r="K935" i="19" s="1"/>
  <c r="F195" i="13" s="1"/>
  <c r="W948" i="19"/>
  <c r="V961" i="19"/>
  <c r="U974" i="19"/>
  <c r="T987" i="19"/>
  <c r="X999" i="19"/>
  <c r="W1012" i="19"/>
  <c r="V1025" i="19"/>
  <c r="U1038" i="19"/>
  <c r="T1051" i="19"/>
  <c r="V1670" i="19"/>
  <c r="W1465" i="19"/>
  <c r="R301" i="13" s="1"/>
  <c r="T1704" i="19"/>
  <c r="W1505" i="19"/>
  <c r="R309" i="13" s="1"/>
  <c r="U1194" i="19"/>
  <c r="U1699" i="19"/>
  <c r="X1596" i="19"/>
  <c r="K1596" i="19" s="1"/>
  <c r="G407" i="22" s="1"/>
  <c r="V1494" i="19"/>
  <c r="U1226" i="19"/>
  <c r="U1651" i="19"/>
  <c r="X1443" i="19"/>
  <c r="K1443" i="19" s="1"/>
  <c r="V1646" i="19"/>
  <c r="V1758" i="19"/>
  <c r="T1656" i="19"/>
  <c r="W1553" i="19"/>
  <c r="U1450" i="19"/>
  <c r="T424" i="19"/>
  <c r="V1741" i="19"/>
  <c r="X1715" i="19"/>
  <c r="K1715" i="19" s="1"/>
  <c r="F351" i="13" s="1"/>
  <c r="U1690" i="19"/>
  <c r="W1664" i="19"/>
  <c r="T1639" i="19"/>
  <c r="V1613" i="19"/>
  <c r="X1587" i="19"/>
  <c r="K1587" i="19" s="1"/>
  <c r="U1562" i="19"/>
  <c r="W1536" i="19"/>
  <c r="T1511" i="19"/>
  <c r="V1485" i="19"/>
  <c r="X1459" i="19"/>
  <c r="U1394" i="19"/>
  <c r="X1291" i="19"/>
  <c r="K1291" i="19" s="1"/>
  <c r="G528" i="22" s="1"/>
  <c r="V1189" i="19"/>
  <c r="V742" i="19"/>
  <c r="V1754" i="19"/>
  <c r="X1728" i="19"/>
  <c r="K1728" i="19" s="1"/>
  <c r="U1703" i="19"/>
  <c r="W1677" i="19"/>
  <c r="T1652" i="19"/>
  <c r="V1626" i="19"/>
  <c r="X1600" i="19"/>
  <c r="K1600" i="19" s="1"/>
  <c r="G328" i="22" s="1"/>
  <c r="U1575" i="19"/>
  <c r="W1549" i="19"/>
  <c r="T1524" i="19"/>
  <c r="V1498" i="19"/>
  <c r="X1472" i="19"/>
  <c r="K1472" i="19" s="1"/>
  <c r="G792" i="22" s="1"/>
  <c r="X1444" i="19"/>
  <c r="W1344" i="19"/>
  <c r="U1242" i="19"/>
  <c r="X1139" i="19"/>
  <c r="U14" i="19"/>
  <c r="V209" i="19"/>
  <c r="T315" i="19"/>
  <c r="V417" i="19"/>
  <c r="X519" i="19"/>
  <c r="W572" i="19"/>
  <c r="X623" i="19"/>
  <c r="K623" i="19" s="1"/>
  <c r="T675" i="19"/>
  <c r="U726" i="19"/>
  <c r="V777" i="19"/>
  <c r="W828" i="19"/>
  <c r="X879" i="19"/>
  <c r="T931" i="19"/>
  <c r="U982" i="19"/>
  <c r="V1033" i="19"/>
  <c r="X1071" i="19"/>
  <c r="K1071" i="19" s="1"/>
  <c r="V1097" i="19"/>
  <c r="T1123" i="19"/>
  <c r="W49" i="19"/>
  <c r="T152" i="19"/>
  <c r="U235" i="19"/>
  <c r="V286" i="19"/>
  <c r="W337" i="19"/>
  <c r="X388" i="19"/>
  <c r="K388" i="19" s="1"/>
  <c r="G778" i="22" s="1"/>
  <c r="T440" i="19"/>
  <c r="U491" i="19"/>
  <c r="X532" i="19"/>
  <c r="K532" i="19" s="1"/>
  <c r="V558" i="19"/>
  <c r="T584" i="19"/>
  <c r="W609" i="19"/>
  <c r="U635" i="19"/>
  <c r="X660" i="19"/>
  <c r="K660" i="19" s="1"/>
  <c r="G140" i="22" s="1"/>
  <c r="V686" i="19"/>
  <c r="T712" i="19"/>
  <c r="W737" i="19"/>
  <c r="U763" i="19"/>
  <c r="W785" i="19"/>
  <c r="R165" i="13" s="1"/>
  <c r="W801" i="19"/>
  <c r="X820" i="19"/>
  <c r="K820" i="19" s="1"/>
  <c r="G172" i="22" s="1"/>
  <c r="X836" i="19"/>
  <c r="K836" i="19" s="1"/>
  <c r="G444" i="22" s="1"/>
  <c r="X852" i="19"/>
  <c r="K852" i="19" s="1"/>
  <c r="G760" i="22" s="1"/>
  <c r="T872" i="19"/>
  <c r="T888" i="19"/>
  <c r="T904" i="19"/>
  <c r="U923" i="19"/>
  <c r="U939" i="19"/>
  <c r="U955" i="19"/>
  <c r="V974" i="19"/>
  <c r="V990" i="19"/>
  <c r="V1006" i="19"/>
  <c r="W1025" i="19"/>
  <c r="R213" i="13" s="1"/>
  <c r="W1041" i="19"/>
  <c r="W1057" i="19"/>
  <c r="X1076" i="19"/>
  <c r="K1076" i="19" s="1"/>
  <c r="X1092" i="19"/>
  <c r="K1092" i="19" s="1"/>
  <c r="X1108" i="19"/>
  <c r="K1108" i="19" s="1"/>
  <c r="T1128" i="19"/>
  <c r="V49" i="19"/>
  <c r="V113" i="19"/>
  <c r="U190" i="19"/>
  <c r="T235" i="19"/>
  <c r="S235" i="19" s="1"/>
  <c r="T267" i="19"/>
  <c r="V305" i="19"/>
  <c r="V337" i="19"/>
  <c r="V369" i="19"/>
  <c r="X407" i="19"/>
  <c r="K407" i="19" s="1"/>
  <c r="X439" i="19"/>
  <c r="X471" i="19"/>
  <c r="K471" i="19" s="1"/>
  <c r="U510" i="19"/>
  <c r="W532" i="19"/>
  <c r="W548" i="19"/>
  <c r="X567" i="19"/>
  <c r="K567" i="19" s="1"/>
  <c r="X583" i="19"/>
  <c r="K583" i="19" s="1"/>
  <c r="X599" i="19"/>
  <c r="T619" i="19"/>
  <c r="T635" i="19"/>
  <c r="T651" i="19"/>
  <c r="U670" i="19"/>
  <c r="U686" i="19"/>
  <c r="U702" i="19"/>
  <c r="V721" i="19"/>
  <c r="V737" i="19"/>
  <c r="V753" i="19"/>
  <c r="W772" i="19"/>
  <c r="W788" i="19"/>
  <c r="W804" i="19"/>
  <c r="X823" i="19"/>
  <c r="K823" i="19" s="1"/>
  <c r="X839" i="19"/>
  <c r="X855" i="19"/>
  <c r="K855" i="19" s="1"/>
  <c r="F179" i="13" s="1"/>
  <c r="T875" i="19"/>
  <c r="T891" i="19"/>
  <c r="T907" i="19"/>
  <c r="S907" i="19" s="1"/>
  <c r="U926" i="19"/>
  <c r="U942" i="19"/>
  <c r="U958" i="19"/>
  <c r="V977" i="19"/>
  <c r="V993" i="19"/>
  <c r="V1009" i="19"/>
  <c r="W1028" i="19"/>
  <c r="W1044" i="19"/>
  <c r="W1060" i="19"/>
  <c r="R220" i="13" s="1"/>
  <c r="V1073" i="19"/>
  <c r="U1086" i="19"/>
  <c r="T1099" i="19"/>
  <c r="X1111" i="19"/>
  <c r="K1111" i="19" s="1"/>
  <c r="G448" i="22" s="1"/>
  <c r="W1124" i="19"/>
  <c r="U107" i="19"/>
  <c r="T264" i="19"/>
  <c r="V366" i="19"/>
  <c r="X468" i="19"/>
  <c r="K468" i="19" s="1"/>
  <c r="U547" i="19"/>
  <c r="V598" i="19"/>
  <c r="W649" i="19"/>
  <c r="X700" i="19"/>
  <c r="K700" i="19" s="1"/>
  <c r="F148" i="13" s="1"/>
  <c r="T752" i="19"/>
  <c r="U803" i="19"/>
  <c r="V854" i="19"/>
  <c r="W905" i="19"/>
  <c r="R189" i="13" s="1"/>
  <c r="X956" i="19"/>
  <c r="K956" i="19" s="1"/>
  <c r="G677" i="22" s="1"/>
  <c r="T1008" i="19"/>
  <c r="U1059" i="19"/>
  <c r="V1110" i="19"/>
  <c r="U1139" i="19"/>
  <c r="W1145" i="19"/>
  <c r="R237" i="13" s="1"/>
  <c r="T1152" i="19"/>
  <c r="V1158" i="19"/>
  <c r="X1164" i="19"/>
  <c r="U1171" i="19"/>
  <c r="W1177" i="19"/>
  <c r="T1184" i="19"/>
  <c r="V1190" i="19"/>
  <c r="X1196" i="19"/>
  <c r="K1196" i="19" s="1"/>
  <c r="G439" i="22" s="1"/>
  <c r="U1203" i="19"/>
  <c r="W1209" i="19"/>
  <c r="T1216" i="19"/>
  <c r="V1222" i="19"/>
  <c r="X1228" i="19"/>
  <c r="K1228" i="19" s="1"/>
  <c r="U1235" i="19"/>
  <c r="W1241" i="19"/>
  <c r="T1248" i="19"/>
  <c r="V1254" i="19"/>
  <c r="X1260" i="19"/>
  <c r="K1260" i="19" s="1"/>
  <c r="G260" i="22" s="1"/>
  <c r="U1267" i="19"/>
  <c r="W1273" i="19"/>
  <c r="T1280" i="19"/>
  <c r="V1286" i="19"/>
  <c r="X1292" i="19"/>
  <c r="K1292" i="19" s="1"/>
  <c r="G743" i="22" s="1"/>
  <c r="U1299" i="19"/>
  <c r="W1305" i="19"/>
  <c r="R269" i="13" s="1"/>
  <c r="T1312" i="19"/>
  <c r="V1318" i="19"/>
  <c r="X1324" i="19"/>
  <c r="U1331" i="19"/>
  <c r="W1337" i="19"/>
  <c r="T1344" i="19"/>
  <c r="V1350" i="19"/>
  <c r="X1356" i="19"/>
  <c r="K1356" i="19" s="1"/>
  <c r="G375" i="22" s="1"/>
  <c r="U1363" i="19"/>
  <c r="W1369" i="19"/>
  <c r="T1376" i="19"/>
  <c r="V1382" i="19"/>
  <c r="X1388" i="19"/>
  <c r="K1388" i="19" s="1"/>
  <c r="U1395" i="19"/>
  <c r="W1401" i="19"/>
  <c r="T1408" i="19"/>
  <c r="V1414" i="19"/>
  <c r="X1420" i="19"/>
  <c r="K1420" i="19" s="1"/>
  <c r="G292" i="22" s="1"/>
  <c r="U1427" i="19"/>
  <c r="W1433" i="19"/>
  <c r="T1440" i="19"/>
  <c r="V94" i="19"/>
  <c r="W257" i="19"/>
  <c r="T360" i="19"/>
  <c r="V462" i="19"/>
  <c r="T544" i="19"/>
  <c r="U595" i="19"/>
  <c r="V646" i="19"/>
  <c r="W697" i="19"/>
  <c r="X748" i="19"/>
  <c r="K748" i="19" s="1"/>
  <c r="T800" i="19"/>
  <c r="U851" i="19"/>
  <c r="V902" i="19"/>
  <c r="W953" i="19"/>
  <c r="X1004" i="19"/>
  <c r="T1056" i="19"/>
  <c r="U1107" i="19"/>
  <c r="T1139" i="19"/>
  <c r="S1139" i="19" s="1"/>
  <c r="V1145" i="19"/>
  <c r="X1151" i="19"/>
  <c r="K1151" i="19" s="1"/>
  <c r="G593" i="22" s="1"/>
  <c r="U1158" i="19"/>
  <c r="W1164" i="19"/>
  <c r="T1171" i="19"/>
  <c r="S1171" i="19" s="1"/>
  <c r="V1177" i="19"/>
  <c r="X1183" i="19"/>
  <c r="K1183" i="19" s="1"/>
  <c r="U1190" i="19"/>
  <c r="W1196" i="19"/>
  <c r="T1203" i="19"/>
  <c r="S1203" i="19" s="1"/>
  <c r="V1209" i="19"/>
  <c r="X1215" i="19"/>
  <c r="K1215" i="19" s="1"/>
  <c r="U1222" i="19"/>
  <c r="W1228" i="19"/>
  <c r="T1235" i="19"/>
  <c r="S1235" i="19" s="1"/>
  <c r="V1241" i="19"/>
  <c r="X1247" i="19"/>
  <c r="K1247" i="19" s="1"/>
  <c r="U1254" i="19"/>
  <c r="W1260" i="19"/>
  <c r="R260" i="13" s="1"/>
  <c r="E177" i="15" s="1"/>
  <c r="F177" i="15" s="1"/>
  <c r="T1267" i="19"/>
  <c r="S1267" i="19" s="1"/>
  <c r="V1273" i="19"/>
  <c r="X1279" i="19"/>
  <c r="U1286" i="19"/>
  <c r="W1292" i="19"/>
  <c r="T1299" i="19"/>
  <c r="S1299" i="19" s="1"/>
  <c r="V1305" i="19"/>
  <c r="X1311" i="19"/>
  <c r="K1311" i="19" s="1"/>
  <c r="G761" i="22" s="1"/>
  <c r="U1318" i="19"/>
  <c r="W1324" i="19"/>
  <c r="T1331" i="19"/>
  <c r="S1331" i="19" s="1"/>
  <c r="V1337" i="19"/>
  <c r="X1343" i="19"/>
  <c r="K1343" i="19" s="1"/>
  <c r="U1350" i="19"/>
  <c r="W1356" i="19"/>
  <c r="T1363" i="19"/>
  <c r="S1363" i="19" s="1"/>
  <c r="V1369" i="19"/>
  <c r="X1375" i="19"/>
  <c r="K1375" i="19" s="1"/>
  <c r="F283" i="13" s="1"/>
  <c r="U1382" i="19"/>
  <c r="W1388" i="19"/>
  <c r="T1395" i="19"/>
  <c r="S1395" i="19" s="1"/>
  <c r="V1401" i="19"/>
  <c r="X1407" i="19"/>
  <c r="K1407" i="19" s="1"/>
  <c r="G745" i="22" s="1"/>
  <c r="U1414" i="19"/>
  <c r="W1420" i="19"/>
  <c r="R292" i="13" s="1"/>
  <c r="T1427" i="19"/>
  <c r="V1433" i="19"/>
  <c r="X1439" i="19"/>
  <c r="U1446" i="19"/>
  <c r="W1452" i="19"/>
  <c r="X132" i="19"/>
  <c r="K132" i="19" s="1"/>
  <c r="G795" i="22" s="1"/>
  <c r="X276" i="19"/>
  <c r="K276" i="19" s="1"/>
  <c r="U379" i="19"/>
  <c r="W481" i="19"/>
  <c r="W553" i="19"/>
  <c r="X604" i="19"/>
  <c r="T656" i="19"/>
  <c r="U707" i="19"/>
  <c r="V758" i="19"/>
  <c r="W809" i="19"/>
  <c r="X860" i="19"/>
  <c r="K860" i="19" s="1"/>
  <c r="T912" i="19"/>
  <c r="U963" i="19"/>
  <c r="V1014" i="19"/>
  <c r="W1065" i="19"/>
  <c r="R221" i="13" s="1"/>
  <c r="X1116" i="19"/>
  <c r="K1116" i="19" s="1"/>
  <c r="G494" i="22" s="1"/>
  <c r="T1140" i="19"/>
  <c r="V1146" i="19"/>
  <c r="X1152" i="19"/>
  <c r="K1152" i="19" s="1"/>
  <c r="U1159" i="19"/>
  <c r="W1165" i="19"/>
  <c r="R241" i="13" s="1"/>
  <c r="T1172" i="19"/>
  <c r="V1178" i="19"/>
  <c r="X1184" i="19"/>
  <c r="U1191" i="19"/>
  <c r="W1197" i="19"/>
  <c r="T1204" i="19"/>
  <c r="V1210" i="19"/>
  <c r="X1216" i="19"/>
  <c r="K1216" i="19" s="1"/>
  <c r="G578" i="22" s="1"/>
  <c r="U1223" i="19"/>
  <c r="W1229" i="19"/>
  <c r="T1236" i="19"/>
  <c r="V1242" i="19"/>
  <c r="X1248" i="19"/>
  <c r="K1248" i="19" s="1"/>
  <c r="U1255" i="19"/>
  <c r="W1261" i="19"/>
  <c r="T1268" i="19"/>
  <c r="V1274" i="19"/>
  <c r="X1280" i="19"/>
  <c r="K1280" i="19" s="1"/>
  <c r="G264" i="22" s="1"/>
  <c r="U1287" i="19"/>
  <c r="W1293" i="19"/>
  <c r="T1300" i="19"/>
  <c r="V1306" i="19"/>
  <c r="X1312" i="19"/>
  <c r="K1312" i="19" s="1"/>
  <c r="U1319" i="19"/>
  <c r="W1325" i="19"/>
  <c r="R273" i="13" s="1"/>
  <c r="AE273" i="13" s="1"/>
  <c r="T1332" i="19"/>
  <c r="V1338" i="19"/>
  <c r="X1344" i="19"/>
  <c r="U1351" i="19"/>
  <c r="W1357" i="19"/>
  <c r="T1364" i="19"/>
  <c r="V1370" i="19"/>
  <c r="X1376" i="19"/>
  <c r="K1376" i="19" s="1"/>
  <c r="U1383" i="19"/>
  <c r="W1389" i="19"/>
  <c r="T1396" i="19"/>
  <c r="V1402" i="19"/>
  <c r="X1408" i="19"/>
  <c r="K1408" i="19" s="1"/>
  <c r="U1415" i="19"/>
  <c r="W1421" i="19"/>
  <c r="T1428" i="19"/>
  <c r="V1434" i="19"/>
  <c r="X1440" i="19"/>
  <c r="K1440" i="19" s="1"/>
  <c r="V1761" i="19"/>
  <c r="T1755" i="19"/>
  <c r="S1755" i="19" s="1"/>
  <c r="W1748" i="19"/>
  <c r="U1742" i="19"/>
  <c r="X1735" i="19"/>
  <c r="K1735" i="19" s="1"/>
  <c r="F355" i="13" s="1"/>
  <c r="V1729" i="19"/>
  <c r="T1723" i="19"/>
  <c r="W1716" i="19"/>
  <c r="X1708" i="19"/>
  <c r="K1708" i="19" s="1"/>
  <c r="T1504" i="19"/>
  <c r="V1742" i="19"/>
  <c r="W1537" i="19"/>
  <c r="T1271" i="19"/>
  <c r="V1718" i="19"/>
  <c r="T1616" i="19"/>
  <c r="W1513" i="19"/>
  <c r="T1303" i="19"/>
  <c r="W1689" i="19"/>
  <c r="X1484" i="19"/>
  <c r="X1684" i="19"/>
  <c r="U1467" i="19"/>
  <c r="U1675" i="19"/>
  <c r="X1572" i="19"/>
  <c r="K1572" i="19" s="1"/>
  <c r="V1470" i="19"/>
  <c r="T1088" i="19"/>
  <c r="U1746" i="19"/>
  <c r="W1720" i="19"/>
  <c r="R352" i="13" s="1"/>
  <c r="T1695" i="19"/>
  <c r="V1669" i="19"/>
  <c r="X1643" i="19"/>
  <c r="K1643" i="19" s="1"/>
  <c r="U1618" i="19"/>
  <c r="W1592" i="19"/>
  <c r="T1567" i="19"/>
  <c r="V1541" i="19"/>
  <c r="X1515" i="19"/>
  <c r="K1515" i="19" s="1"/>
  <c r="U1490" i="19"/>
  <c r="W1464" i="19"/>
  <c r="V1413" i="19"/>
  <c r="T1311" i="19"/>
  <c r="W1208" i="19"/>
  <c r="T896" i="19"/>
  <c r="U1759" i="19"/>
  <c r="W1733" i="19"/>
  <c r="T1708" i="19"/>
  <c r="V1682" i="19"/>
  <c r="X1656" i="19"/>
  <c r="K1656" i="19" s="1"/>
  <c r="G653" i="22" s="1"/>
  <c r="U1631" i="19"/>
  <c r="W1605" i="19"/>
  <c r="R329" i="13" s="1"/>
  <c r="T1580" i="19"/>
  <c r="V1554" i="19"/>
  <c r="X1528" i="19"/>
  <c r="K1528" i="19" s="1"/>
  <c r="U1503" i="19"/>
  <c r="W1477" i="19"/>
  <c r="U1451" i="19"/>
  <c r="X1363" i="19"/>
  <c r="K1363" i="19" s="1"/>
  <c r="V1261" i="19"/>
  <c r="T1159" i="19"/>
  <c r="U475" i="19"/>
  <c r="T171" i="19"/>
  <c r="X295" i="19"/>
  <c r="K295" i="19" s="1"/>
  <c r="G67" i="22" s="1"/>
  <c r="U398" i="19"/>
  <c r="W500" i="19"/>
  <c r="R108" i="13" s="1"/>
  <c r="E74" i="15" s="1"/>
  <c r="F74" i="15" s="1"/>
  <c r="T563" i="19"/>
  <c r="U614" i="19"/>
  <c r="V665" i="19"/>
  <c r="W716" i="19"/>
  <c r="X767" i="19"/>
  <c r="K767" i="19" s="1"/>
  <c r="T819" i="19"/>
  <c r="U870" i="19"/>
  <c r="V921" i="19"/>
  <c r="W972" i="19"/>
  <c r="X1023" i="19"/>
  <c r="K1023" i="19" s="1"/>
  <c r="W1068" i="19"/>
  <c r="U1094" i="19"/>
  <c r="X1119" i="19"/>
  <c r="X36" i="19"/>
  <c r="K36" i="19" s="1"/>
  <c r="G504" i="22" s="1"/>
  <c r="U139" i="19"/>
  <c r="X228" i="19"/>
  <c r="K228" i="19" s="1"/>
  <c r="T280" i="19"/>
  <c r="U331" i="19"/>
  <c r="V382" i="19"/>
  <c r="W433" i="19"/>
  <c r="X484" i="19"/>
  <c r="W529" i="19"/>
  <c r="U555" i="19"/>
  <c r="X580" i="19"/>
  <c r="K580" i="19" s="1"/>
  <c r="G124" i="22" s="1"/>
  <c r="V606" i="19"/>
  <c r="T632" i="19"/>
  <c r="W657" i="19"/>
  <c r="U683" i="19"/>
  <c r="X708" i="19"/>
  <c r="K708" i="19" s="1"/>
  <c r="V734" i="19"/>
  <c r="T760" i="19"/>
  <c r="V782" i="19"/>
  <c r="V798" i="19"/>
  <c r="V814" i="19"/>
  <c r="W833" i="19"/>
  <c r="W849" i="19"/>
  <c r="W865" i="19"/>
  <c r="R181" i="13" s="1"/>
  <c r="E123" i="15" s="1"/>
  <c r="F123" i="15" s="1"/>
  <c r="X884" i="19"/>
  <c r="X900" i="19"/>
  <c r="K900" i="19" s="1"/>
  <c r="G188" i="22" s="1"/>
  <c r="X916" i="19"/>
  <c r="K916" i="19" s="1"/>
  <c r="G566" i="22" s="1"/>
  <c r="T936" i="19"/>
  <c r="T952" i="19"/>
  <c r="T968" i="19"/>
  <c r="U987" i="19"/>
  <c r="U1003" i="19"/>
  <c r="U1019" i="19"/>
  <c r="V1038" i="19"/>
  <c r="V1054" i="19"/>
  <c r="V1070" i="19"/>
  <c r="W1089" i="19"/>
  <c r="W1105" i="19"/>
  <c r="R229" i="13" s="1"/>
  <c r="AE229" i="13" s="1"/>
  <c r="W1121" i="19"/>
  <c r="W36" i="19"/>
  <c r="W100" i="19"/>
  <c r="R28" i="13" s="1"/>
  <c r="W164" i="19"/>
  <c r="W228" i="19"/>
  <c r="W260" i="19"/>
  <c r="R60" i="13" s="1"/>
  <c r="W292" i="19"/>
  <c r="T331" i="19"/>
  <c r="T363" i="19"/>
  <c r="T395" i="19"/>
  <c r="V433" i="19"/>
  <c r="V465" i="19"/>
  <c r="V497" i="19"/>
  <c r="V529" i="19"/>
  <c r="V545" i="19"/>
  <c r="V561" i="19"/>
  <c r="W580" i="19"/>
  <c r="R124" i="13" s="1"/>
  <c r="W596" i="19"/>
  <c r="W612" i="19"/>
  <c r="X631" i="19"/>
  <c r="K631" i="19" s="1"/>
  <c r="G660" i="22" s="1"/>
  <c r="X647" i="19"/>
  <c r="K647" i="19" s="1"/>
  <c r="X663" i="19"/>
  <c r="K663" i="19" s="1"/>
  <c r="T683" i="19"/>
  <c r="T699" i="19"/>
  <c r="T715" i="19"/>
  <c r="U734" i="19"/>
  <c r="U750" i="19"/>
  <c r="U766" i="19"/>
  <c r="V785" i="19"/>
  <c r="V801" i="19"/>
  <c r="V817" i="19"/>
  <c r="W836" i="19"/>
  <c r="W852" i="19"/>
  <c r="W868" i="19"/>
  <c r="X887" i="19"/>
  <c r="K887" i="19" s="1"/>
  <c r="X903" i="19"/>
  <c r="K903" i="19" s="1"/>
  <c r="X919" i="19"/>
  <c r="T939" i="19"/>
  <c r="T955" i="19"/>
  <c r="T971" i="19"/>
  <c r="S971" i="19" s="1"/>
  <c r="U990" i="19"/>
  <c r="U1006" i="19"/>
  <c r="U1022" i="19"/>
  <c r="V1041" i="19"/>
  <c r="V1057" i="19"/>
  <c r="U1070" i="19"/>
  <c r="T1083" i="19"/>
  <c r="X1095" i="19"/>
  <c r="K1095" i="19" s="1"/>
  <c r="W1108" i="19"/>
  <c r="V1121" i="19"/>
  <c r="T56" i="19"/>
  <c r="V238" i="19"/>
  <c r="X340" i="19"/>
  <c r="K340" i="19" s="1"/>
  <c r="F76" i="13" s="1"/>
  <c r="U443" i="19"/>
  <c r="V534" i="19"/>
  <c r="W585" i="19"/>
  <c r="R125" i="13" s="1"/>
  <c r="X636" i="19"/>
  <c r="K636" i="19" s="1"/>
  <c r="T688" i="19"/>
  <c r="U739" i="19"/>
  <c r="V790" i="19"/>
  <c r="W841" i="19"/>
  <c r="X892" i="19"/>
  <c r="K892" i="19" s="1"/>
  <c r="G806" i="22" s="1"/>
  <c r="T944" i="19"/>
  <c r="U995" i="19"/>
  <c r="V1046" i="19"/>
  <c r="W1097" i="19"/>
  <c r="W1137" i="19"/>
  <c r="T1144" i="19"/>
  <c r="V1150" i="19"/>
  <c r="X1156" i="19"/>
  <c r="K1156" i="19" s="1"/>
  <c r="G368" i="22" s="1"/>
  <c r="U1163" i="19"/>
  <c r="W1169" i="19"/>
  <c r="T1176" i="19"/>
  <c r="V1182" i="19"/>
  <c r="X1188" i="19"/>
  <c r="K1188" i="19" s="1"/>
  <c r="U1195" i="19"/>
  <c r="W1201" i="19"/>
  <c r="T1208" i="19"/>
  <c r="V1214" i="19"/>
  <c r="X1220" i="19"/>
  <c r="K1220" i="19" s="1"/>
  <c r="F252" i="13" s="1"/>
  <c r="U1227" i="19"/>
  <c r="W1233" i="19"/>
  <c r="T1240" i="19"/>
  <c r="V1246" i="19"/>
  <c r="X1252" i="19"/>
  <c r="K1252" i="19" s="1"/>
  <c r="U1259" i="19"/>
  <c r="W1265" i="19"/>
  <c r="R261" i="13" s="1"/>
  <c r="T1272" i="19"/>
  <c r="V1278" i="19"/>
  <c r="X1284" i="19"/>
  <c r="U1291" i="19"/>
  <c r="W1297" i="19"/>
  <c r="T1304" i="19"/>
  <c r="V1310" i="19"/>
  <c r="X1316" i="19"/>
  <c r="K1316" i="19" s="1"/>
  <c r="G695" i="22" s="1"/>
  <c r="U1323" i="19"/>
  <c r="W1329" i="19"/>
  <c r="T1336" i="19"/>
  <c r="V1342" i="19"/>
  <c r="X1348" i="19"/>
  <c r="K1348" i="19" s="1"/>
  <c r="U1355" i="19"/>
  <c r="W1361" i="19"/>
  <c r="T1368" i="19"/>
  <c r="V1374" i="19"/>
  <c r="X1380" i="19"/>
  <c r="K1380" i="19" s="1"/>
  <c r="U1387" i="19"/>
  <c r="W1393" i="19"/>
  <c r="T1400" i="19"/>
  <c r="V1406" i="19"/>
  <c r="X1412" i="19"/>
  <c r="K1412" i="19" s="1"/>
  <c r="U1419" i="19"/>
  <c r="W1425" i="19"/>
  <c r="R293" i="13" s="1"/>
  <c r="AE293" i="13" s="1"/>
  <c r="T1432" i="19"/>
  <c r="V1438" i="19"/>
  <c r="U43" i="19"/>
  <c r="T232" i="19"/>
  <c r="V334" i="19"/>
  <c r="X436" i="19"/>
  <c r="K436" i="19" s="1"/>
  <c r="U531" i="19"/>
  <c r="V582" i="19"/>
  <c r="W633" i="19"/>
  <c r="X684" i="19"/>
  <c r="T736" i="19"/>
  <c r="U787" i="19"/>
  <c r="V838" i="19"/>
  <c r="W889" i="19"/>
  <c r="X940" i="19"/>
  <c r="K940" i="19" s="1"/>
  <c r="F196" i="13" s="1"/>
  <c r="T992" i="19"/>
  <c r="U1043" i="19"/>
  <c r="V1094" i="19"/>
  <c r="V1137" i="19"/>
  <c r="X1143" i="19"/>
  <c r="K1143" i="19" s="1"/>
  <c r="U1150" i="19"/>
  <c r="W1156" i="19"/>
  <c r="T1163" i="19"/>
  <c r="S1163" i="19" s="1"/>
  <c r="V1169" i="19"/>
  <c r="X1175" i="19"/>
  <c r="K1175" i="19" s="1"/>
  <c r="U1182" i="19"/>
  <c r="W1188" i="19"/>
  <c r="T1195" i="19"/>
  <c r="S1195" i="19" s="1"/>
  <c r="V1201" i="19"/>
  <c r="X1207" i="19"/>
  <c r="K1207" i="19" s="1"/>
  <c r="U1214" i="19"/>
  <c r="W1220" i="19"/>
  <c r="R252" i="13" s="1"/>
  <c r="E171" i="15" s="1"/>
  <c r="F171" i="15" s="1"/>
  <c r="T1227" i="19"/>
  <c r="S1227" i="19" s="1"/>
  <c r="V1233" i="19"/>
  <c r="X1239" i="19"/>
  <c r="U1246" i="19"/>
  <c r="W1252" i="19"/>
  <c r="T1259" i="19"/>
  <c r="S1259" i="19" s="1"/>
  <c r="V1265" i="19"/>
  <c r="X1271" i="19"/>
  <c r="K1271" i="19" s="1"/>
  <c r="U1278" i="19"/>
  <c r="W1284" i="19"/>
  <c r="T1291" i="19"/>
  <c r="S1291" i="19" s="1"/>
  <c r="V1297" i="19"/>
  <c r="X1303" i="19"/>
  <c r="K1303" i="19" s="1"/>
  <c r="U1310" i="19"/>
  <c r="W1316" i="19"/>
  <c r="T1323" i="19"/>
  <c r="S1323" i="19" s="1"/>
  <c r="V1329" i="19"/>
  <c r="X1335" i="19"/>
  <c r="K1335" i="19" s="1"/>
  <c r="G275" i="22" s="1"/>
  <c r="U1342" i="19"/>
  <c r="W1348" i="19"/>
  <c r="T1355" i="19"/>
  <c r="S1355" i="19" s="1"/>
  <c r="V1361" i="19"/>
  <c r="X1367" i="19"/>
  <c r="K1367" i="19" s="1"/>
  <c r="U1374" i="19"/>
  <c r="W1380" i="19"/>
  <c r="R284" i="13" s="1"/>
  <c r="T1387" i="19"/>
  <c r="S1387" i="19" s="1"/>
  <c r="V1393" i="19"/>
  <c r="X1399" i="19"/>
  <c r="U1406" i="19"/>
  <c r="W1412" i="19"/>
  <c r="T1419" i="19"/>
  <c r="S1419" i="19" s="1"/>
  <c r="V1425" i="19"/>
  <c r="X1431" i="19"/>
  <c r="K1431" i="19" s="1"/>
  <c r="G727" i="22" s="1"/>
  <c r="U1438" i="19"/>
  <c r="W1444" i="19"/>
  <c r="T1451" i="19"/>
  <c r="W81" i="19"/>
  <c r="U251" i="19"/>
  <c r="W353" i="19"/>
  <c r="T456" i="19"/>
  <c r="X540" i="19"/>
  <c r="K540" i="19" s="1"/>
  <c r="F116" i="13" s="1"/>
  <c r="T592" i="19"/>
  <c r="U643" i="19"/>
  <c r="V694" i="19"/>
  <c r="W745" i="19"/>
  <c r="R157" i="13" s="1"/>
  <c r="E101" i="15" s="1"/>
  <c r="F101" i="15" s="1"/>
  <c r="X796" i="19"/>
  <c r="K796" i="19" s="1"/>
  <c r="G684" i="22" s="1"/>
  <c r="T848" i="19"/>
  <c r="U899" i="19"/>
  <c r="V950" i="19"/>
  <c r="W1001" i="19"/>
  <c r="X1052" i="19"/>
  <c r="K1052" i="19" s="1"/>
  <c r="T1104" i="19"/>
  <c r="V1138" i="19"/>
  <c r="X1144" i="19"/>
  <c r="U1151" i="19"/>
  <c r="W1157" i="19"/>
  <c r="T1164" i="19"/>
  <c r="V1170" i="19"/>
  <c r="X1176" i="19"/>
  <c r="K1176" i="19" s="1"/>
  <c r="G497" i="22" s="1"/>
  <c r="U1183" i="19"/>
  <c r="W1189" i="19"/>
  <c r="T1196" i="19"/>
  <c r="V1202" i="19"/>
  <c r="X1208" i="19"/>
  <c r="K1208" i="19" s="1"/>
  <c r="U1215" i="19"/>
  <c r="W1221" i="19"/>
  <c r="T1228" i="19"/>
  <c r="V1234" i="19"/>
  <c r="X1240" i="19"/>
  <c r="K1240" i="19" s="1"/>
  <c r="G256" i="22" s="1"/>
  <c r="U1247" i="19"/>
  <c r="W1253" i="19"/>
  <c r="T1260" i="19"/>
  <c r="V1266" i="19"/>
  <c r="X1272" i="19"/>
  <c r="K1272" i="19" s="1"/>
  <c r="U1279" i="19"/>
  <c r="S1279" i="19" s="1"/>
  <c r="W1285" i="19"/>
  <c r="R265" i="13" s="1"/>
  <c r="T1292" i="19"/>
  <c r="V1298" i="19"/>
  <c r="X1304" i="19"/>
  <c r="U1311" i="19"/>
  <c r="W1317" i="19"/>
  <c r="T1324" i="19"/>
  <c r="V1330" i="19"/>
  <c r="X1336" i="19"/>
  <c r="K1336" i="19" s="1"/>
  <c r="G726" i="22" s="1"/>
  <c r="U1343" i="19"/>
  <c r="W1349" i="19"/>
  <c r="T1356" i="19"/>
  <c r="V1362" i="19"/>
  <c r="X1368" i="19"/>
  <c r="K1368" i="19" s="1"/>
  <c r="U1375" i="19"/>
  <c r="W1381" i="19"/>
  <c r="T1388" i="19"/>
  <c r="V1394" i="19"/>
  <c r="X1400" i="19"/>
  <c r="K1400" i="19" s="1"/>
  <c r="U1407" i="19"/>
  <c r="W1413" i="19"/>
  <c r="T1420" i="19"/>
  <c r="V1426" i="19"/>
  <c r="X1432" i="19"/>
  <c r="K1432" i="19" s="1"/>
  <c r="G816" i="22" s="1"/>
  <c r="U1439" i="19"/>
  <c r="T1763" i="19"/>
  <c r="W1756" i="19"/>
  <c r="U1750" i="19"/>
  <c r="X1743" i="19"/>
  <c r="K1743" i="19" s="1"/>
  <c r="V1737" i="19"/>
  <c r="T1731" i="19"/>
  <c r="W1724" i="19"/>
  <c r="U1718" i="19"/>
  <c r="X1711" i="19"/>
  <c r="K1711" i="19" s="1"/>
  <c r="G459" i="22" s="1"/>
  <c r="V1705" i="19"/>
  <c r="T1699" i="19"/>
  <c r="W1692" i="19"/>
  <c r="U1686" i="19"/>
  <c r="X1679" i="19"/>
  <c r="V1673" i="19"/>
  <c r="T1667" i="19"/>
  <c r="W1660" i="19"/>
  <c r="R340" i="13" s="1"/>
  <c r="U1654" i="19"/>
  <c r="X1647" i="19"/>
  <c r="K1647" i="19" s="1"/>
  <c r="G670" i="22" s="1"/>
  <c r="V1641" i="19"/>
  <c r="T1635" i="19"/>
  <c r="S1635" i="19" s="1"/>
  <c r="W1628" i="19"/>
  <c r="U1622" i="19"/>
  <c r="X1615" i="19"/>
  <c r="K1615" i="19" s="1"/>
  <c r="V1609" i="19"/>
  <c r="T1603" i="19"/>
  <c r="S1603" i="19" s="1"/>
  <c r="W1596" i="19"/>
  <c r="U1590" i="19"/>
  <c r="X1583" i="19"/>
  <c r="K1583" i="19" s="1"/>
  <c r="V1577" i="19"/>
  <c r="T1571" i="19"/>
  <c r="W1564" i="19"/>
  <c r="U1558" i="19"/>
  <c r="X1551" i="19"/>
  <c r="K1551" i="19" s="1"/>
  <c r="V1545" i="19"/>
  <c r="T1539" i="19"/>
  <c r="W1532" i="19"/>
  <c r="U1526" i="19"/>
  <c r="X1519" i="19"/>
  <c r="V1513" i="19"/>
  <c r="T1507" i="19"/>
  <c r="W1500" i="19"/>
  <c r="R308" i="13" s="1"/>
  <c r="U1494" i="19"/>
  <c r="X1487" i="19"/>
  <c r="K1487" i="19" s="1"/>
  <c r="V1481" i="19"/>
  <c r="T1475" i="19"/>
  <c r="W1468" i="19"/>
  <c r="U1462" i="19"/>
  <c r="X1455" i="19"/>
  <c r="K1455" i="19" s="1"/>
  <c r="U1447" i="19"/>
  <c r="V1429" i="19"/>
  <c r="X1403" i="19"/>
  <c r="K1403" i="19" s="1"/>
  <c r="U1378" i="19"/>
  <c r="W1352" i="19"/>
  <c r="T1327" i="19"/>
  <c r="V1301" i="19"/>
  <c r="X1275" i="19"/>
  <c r="K1275" i="19" s="1"/>
  <c r="G263" i="22" s="1"/>
  <c r="U1250" i="19"/>
  <c r="W1224" i="19"/>
  <c r="T1199" i="19"/>
  <c r="V1173" i="19"/>
  <c r="X1147" i="19"/>
  <c r="K1147" i="19" s="1"/>
  <c r="T1024" i="19"/>
  <c r="U819" i="19"/>
  <c r="V614" i="19"/>
  <c r="T296" i="19"/>
  <c r="U1764" i="19"/>
  <c r="T1761" i="19"/>
  <c r="X1757" i="19"/>
  <c r="K1757" i="19" s="1"/>
  <c r="G757" i="22" s="1"/>
  <c r="W1754" i="19"/>
  <c r="V1751" i="19"/>
  <c r="U1748" i="19"/>
  <c r="S1748" i="19" s="1"/>
  <c r="T1745" i="19"/>
  <c r="X1741" i="19"/>
  <c r="K1741" i="19" s="1"/>
  <c r="W1738" i="19"/>
  <c r="V1735" i="19"/>
  <c r="U1732" i="19"/>
  <c r="T1729" i="19"/>
  <c r="X1725" i="19"/>
  <c r="K1725" i="19" s="1"/>
  <c r="W1722" i="19"/>
  <c r="V1719" i="19"/>
  <c r="U1716" i="19"/>
  <c r="T1713" i="19"/>
  <c r="X1709" i="19"/>
  <c r="W1706" i="19"/>
  <c r="V1703" i="19"/>
  <c r="U1700" i="19"/>
  <c r="S1700" i="19" s="1"/>
  <c r="T1697" i="19"/>
  <c r="X1693" i="19"/>
  <c r="K1693" i="19" s="1"/>
  <c r="W1690" i="19"/>
  <c r="R346" i="13" s="1"/>
  <c r="E234" i="15" s="1"/>
  <c r="F234" i="15" s="1"/>
  <c r="V1687" i="19"/>
  <c r="U1684" i="19"/>
  <c r="T1681" i="19"/>
  <c r="X1677" i="19"/>
  <c r="K1677" i="19" s="1"/>
  <c r="G524" i="22" s="1"/>
  <c r="W1674" i="19"/>
  <c r="V1671" i="19"/>
  <c r="U1668" i="19"/>
  <c r="T1665" i="19"/>
  <c r="X1661" i="19"/>
  <c r="K1661" i="19" s="1"/>
  <c r="G621" i="22" s="1"/>
  <c r="W1658" i="19"/>
  <c r="V1655" i="19"/>
  <c r="U1652" i="19"/>
  <c r="T1649" i="19"/>
  <c r="X1645" i="19"/>
  <c r="K1645" i="19" s="1"/>
  <c r="W1642" i="19"/>
  <c r="V1639" i="19"/>
  <c r="U1636" i="19"/>
  <c r="T1633" i="19"/>
  <c r="X1629" i="19"/>
  <c r="W1626" i="19"/>
  <c r="V1623" i="19"/>
  <c r="U1620" i="19"/>
  <c r="T1617" i="19"/>
  <c r="X1613" i="19"/>
  <c r="K1613" i="19" s="1"/>
  <c r="W1610" i="19"/>
  <c r="R330" i="13" s="1"/>
  <c r="AE330" i="13" s="1"/>
  <c r="V1607" i="19"/>
  <c r="U1604" i="19"/>
  <c r="T1601" i="19"/>
  <c r="X1597" i="19"/>
  <c r="K1597" i="19" s="1"/>
  <c r="G580" i="22" s="1"/>
  <c r="W1594" i="19"/>
  <c r="V1591" i="19"/>
  <c r="U1588" i="19"/>
  <c r="T1585" i="19"/>
  <c r="X1581" i="19"/>
  <c r="K1581" i="19" s="1"/>
  <c r="G652" i="22" s="1"/>
  <c r="W1578" i="19"/>
  <c r="V1575" i="19"/>
  <c r="U1572" i="19"/>
  <c r="T1569" i="19"/>
  <c r="X1565" i="19"/>
  <c r="K1565" i="19" s="1"/>
  <c r="G321" i="22" s="1"/>
  <c r="W1562" i="19"/>
  <c r="V1559" i="19"/>
  <c r="U1556" i="19"/>
  <c r="T1553" i="19"/>
  <c r="X1549" i="19"/>
  <c r="W1546" i="19"/>
  <c r="V1543" i="19"/>
  <c r="U1540" i="19"/>
  <c r="T1537" i="19"/>
  <c r="X1533" i="19"/>
  <c r="K1533" i="19" s="1"/>
  <c r="W1530" i="19"/>
  <c r="R314" i="13" s="1"/>
  <c r="E212" i="15" s="1"/>
  <c r="F212" i="15" s="1"/>
  <c r="V1527" i="19"/>
  <c r="U1524" i="19"/>
  <c r="T1521" i="19"/>
  <c r="X1517" i="19"/>
  <c r="K1517" i="19" s="1"/>
  <c r="W1514" i="19"/>
  <c r="V1511" i="19"/>
  <c r="U1508" i="19"/>
  <c r="T1505" i="19"/>
  <c r="X1501" i="19"/>
  <c r="K1501" i="19" s="1"/>
  <c r="G479" i="22" s="1"/>
  <c r="W1498" i="19"/>
  <c r="V1495" i="19"/>
  <c r="U1492" i="19"/>
  <c r="T1489" i="19"/>
  <c r="X1485" i="19"/>
  <c r="K1485" i="19" s="1"/>
  <c r="F305" i="13" s="1"/>
  <c r="W1482" i="19"/>
  <c r="V1479" i="19"/>
  <c r="U1476" i="19"/>
  <c r="T1473" i="19"/>
  <c r="X1469" i="19"/>
  <c r="W1466" i="19"/>
  <c r="V1463" i="19"/>
  <c r="U1460" i="19"/>
  <c r="T1457" i="19"/>
  <c r="T1568" i="19"/>
  <c r="W1601" i="19"/>
  <c r="V1750" i="19"/>
  <c r="W1545" i="19"/>
  <c r="R317" i="13" s="1"/>
  <c r="E215" i="15" s="1"/>
  <c r="F215" i="15" s="1"/>
  <c r="W1753" i="19"/>
  <c r="X1748" i="19"/>
  <c r="K1748" i="19" s="1"/>
  <c r="U1707" i="19"/>
  <c r="V1502" i="19"/>
  <c r="U1754" i="19"/>
  <c r="T1703" i="19"/>
  <c r="X1651" i="19"/>
  <c r="K1651" i="19" s="1"/>
  <c r="G485" i="22" s="1"/>
  <c r="W1600" i="19"/>
  <c r="R328" i="13" s="1"/>
  <c r="V1549" i="19"/>
  <c r="U1498" i="19"/>
  <c r="T1444" i="19"/>
  <c r="W1240" i="19"/>
  <c r="R256" i="13" s="1"/>
  <c r="X68" i="19"/>
  <c r="K68" i="19" s="1"/>
  <c r="T1716" i="19"/>
  <c r="X1664" i="19"/>
  <c r="W1613" i="19"/>
  <c r="V1562" i="19"/>
  <c r="U1511" i="19"/>
  <c r="T1460" i="19"/>
  <c r="S1460" i="19" s="1"/>
  <c r="V1293" i="19"/>
  <c r="U755" i="19"/>
  <c r="X263" i="19"/>
  <c r="K263" i="19" s="1"/>
  <c r="W468" i="19"/>
  <c r="U598" i="19"/>
  <c r="W700" i="19"/>
  <c r="R148" i="13" s="1"/>
  <c r="E96" i="15" s="1"/>
  <c r="F96" i="15" s="1"/>
  <c r="T803" i="19"/>
  <c r="V905" i="19"/>
  <c r="X1007" i="19"/>
  <c r="K1007" i="19" s="1"/>
  <c r="W1084" i="19"/>
  <c r="X1135" i="19"/>
  <c r="K1135" i="19" s="1"/>
  <c r="U203" i="19"/>
  <c r="T312" i="19"/>
  <c r="V414" i="19"/>
  <c r="X516" i="19"/>
  <c r="K516" i="19" s="1"/>
  <c r="G410" i="22" s="1"/>
  <c r="U571" i="19"/>
  <c r="V622" i="19"/>
  <c r="W673" i="19"/>
  <c r="X724" i="19"/>
  <c r="T776" i="19"/>
  <c r="U811" i="19"/>
  <c r="V846" i="19"/>
  <c r="V878" i="19"/>
  <c r="W913" i="19"/>
  <c r="X948" i="19"/>
  <c r="K948" i="19" s="1"/>
  <c r="X980" i="19"/>
  <c r="K980" i="19" s="1"/>
  <c r="T1016" i="19"/>
  <c r="U1051" i="19"/>
  <c r="U1083" i="19"/>
  <c r="V1118" i="19"/>
  <c r="X87" i="19"/>
  <c r="K87" i="19" s="1"/>
  <c r="X215" i="19"/>
  <c r="K215" i="19" s="1"/>
  <c r="U286" i="19"/>
  <c r="W356" i="19"/>
  <c r="W420" i="19"/>
  <c r="R92" i="13" s="1"/>
  <c r="E61" i="15" s="1"/>
  <c r="F61" i="15" s="1"/>
  <c r="T491" i="19"/>
  <c r="U542" i="19"/>
  <c r="U574" i="19"/>
  <c r="V609" i="19"/>
  <c r="W644" i="19"/>
  <c r="W676" i="19"/>
  <c r="X711" i="19"/>
  <c r="K711" i="19" s="1"/>
  <c r="G535" i="22" s="1"/>
  <c r="T747" i="19"/>
  <c r="T779" i="19"/>
  <c r="U814" i="19"/>
  <c r="V849" i="19"/>
  <c r="V881" i="19"/>
  <c r="W916" i="19"/>
  <c r="X951" i="19"/>
  <c r="K951" i="19" s="1"/>
  <c r="G559" i="22" s="1"/>
  <c r="X983" i="19"/>
  <c r="K983" i="19" s="1"/>
  <c r="T1019" i="19"/>
  <c r="U1054" i="19"/>
  <c r="X1079" i="19"/>
  <c r="V1105" i="19"/>
  <c r="T1131" i="19"/>
  <c r="U315" i="19"/>
  <c r="T520" i="19"/>
  <c r="T624" i="19"/>
  <c r="V726" i="19"/>
  <c r="X828" i="19"/>
  <c r="K828" i="19" s="1"/>
  <c r="U931" i="19"/>
  <c r="W1033" i="19"/>
  <c r="U1134" i="19"/>
  <c r="X1148" i="19"/>
  <c r="K1148" i="19" s="1"/>
  <c r="W1161" i="19"/>
  <c r="V1174" i="19"/>
  <c r="U1187" i="19"/>
  <c r="T1200" i="19"/>
  <c r="X1212" i="19"/>
  <c r="K1212" i="19" s="1"/>
  <c r="G666" i="22" s="1"/>
  <c r="W1225" i="19"/>
  <c r="R253" i="13" s="1"/>
  <c r="E172" i="15" s="1"/>
  <c r="F172" i="15" s="1"/>
  <c r="V1238" i="19"/>
  <c r="U1251" i="19"/>
  <c r="T1264" i="19"/>
  <c r="X1276" i="19"/>
  <c r="K1276" i="19" s="1"/>
  <c r="G520" i="22" s="1"/>
  <c r="W1289" i="19"/>
  <c r="V1302" i="19"/>
  <c r="U1315" i="19"/>
  <c r="T1328" i="19"/>
  <c r="X1340" i="19"/>
  <c r="K1340" i="19" s="1"/>
  <c r="F276" i="13" s="1"/>
  <c r="W1353" i="19"/>
  <c r="V1366" i="19"/>
  <c r="U1379" i="19"/>
  <c r="T1392" i="19"/>
  <c r="X1404" i="19"/>
  <c r="W1417" i="19"/>
  <c r="V1430" i="19"/>
  <c r="U1443" i="19"/>
  <c r="X308" i="19"/>
  <c r="K308" i="19" s="1"/>
  <c r="W513" i="19"/>
  <c r="X620" i="19"/>
  <c r="K620" i="19" s="1"/>
  <c r="F132" i="13" s="1"/>
  <c r="U723" i="19"/>
  <c r="W825" i="19"/>
  <c r="R173" i="13" s="1"/>
  <c r="T928" i="19"/>
  <c r="V1030" i="19"/>
  <c r="X1132" i="19"/>
  <c r="K1132" i="19" s="1"/>
  <c r="W1148" i="19"/>
  <c r="V1161" i="19"/>
  <c r="U1174" i="19"/>
  <c r="T1187" i="19"/>
  <c r="S1187" i="19" s="1"/>
  <c r="X1199" i="19"/>
  <c r="W1212" i="19"/>
  <c r="V1225" i="19"/>
  <c r="U1238" i="19"/>
  <c r="T1251" i="19"/>
  <c r="S1251" i="19" s="1"/>
  <c r="X1263" i="19"/>
  <c r="K1263" i="19" s="1"/>
  <c r="W1276" i="19"/>
  <c r="V1289" i="19"/>
  <c r="U1302" i="19"/>
  <c r="T1315" i="19"/>
  <c r="S1315" i="19" s="1"/>
  <c r="X1327" i="19"/>
  <c r="K1327" i="19" s="1"/>
  <c r="W1340" i="19"/>
  <c r="R276" i="13" s="1"/>
  <c r="V1353" i="19"/>
  <c r="U1366" i="19"/>
  <c r="T1379" i="19"/>
  <c r="S1379" i="19" s="1"/>
  <c r="X1391" i="19"/>
  <c r="K1391" i="19" s="1"/>
  <c r="G744" i="22" s="1"/>
  <c r="W1404" i="19"/>
  <c r="V1417" i="19"/>
  <c r="U1430" i="19"/>
  <c r="T1443" i="19"/>
  <c r="S1443" i="19" s="1"/>
  <c r="V30" i="19"/>
  <c r="T328" i="19"/>
  <c r="T528" i="19"/>
  <c r="V630" i="19"/>
  <c r="X732" i="19"/>
  <c r="K732" i="19" s="1"/>
  <c r="U835" i="19"/>
  <c r="W937" i="19"/>
  <c r="T1040" i="19"/>
  <c r="T1136" i="19"/>
  <c r="W1149" i="19"/>
  <c r="V1162" i="19"/>
  <c r="U1175" i="19"/>
  <c r="T1188" i="19"/>
  <c r="X1200" i="19"/>
  <c r="K1200" i="19" s="1"/>
  <c r="F248" i="13" s="1"/>
  <c r="W1213" i="19"/>
  <c r="V1226" i="19"/>
  <c r="U1239" i="19"/>
  <c r="S1239" i="19" s="1"/>
  <c r="T1252" i="19"/>
  <c r="X1264" i="19"/>
  <c r="W1277" i="19"/>
  <c r="V1290" i="19"/>
  <c r="U1303" i="19"/>
  <c r="T1316" i="19"/>
  <c r="X1328" i="19"/>
  <c r="K1328" i="19" s="1"/>
  <c r="W1341" i="19"/>
  <c r="V1354" i="19"/>
  <c r="U1367" i="19"/>
  <c r="T1380" i="19"/>
  <c r="X1392" i="19"/>
  <c r="K1392" i="19" s="1"/>
  <c r="W1405" i="19"/>
  <c r="R289" i="13" s="1"/>
  <c r="V1418" i="19"/>
  <c r="U1431" i="19"/>
  <c r="W1764" i="19"/>
  <c r="X1751" i="19"/>
  <c r="K1751" i="19" s="1"/>
  <c r="G422" i="22" s="1"/>
  <c r="T1739" i="19"/>
  <c r="U1726" i="19"/>
  <c r="V1713" i="19"/>
  <c r="X1703" i="19"/>
  <c r="K1703" i="19" s="1"/>
  <c r="X1695" i="19"/>
  <c r="K1695" i="19" s="1"/>
  <c r="X1687" i="19"/>
  <c r="K1687" i="19" s="1"/>
  <c r="U1678" i="19"/>
  <c r="U1670" i="19"/>
  <c r="U1662" i="19"/>
  <c r="W1652" i="19"/>
  <c r="W1644" i="19"/>
  <c r="W1636" i="19"/>
  <c r="T1627" i="19"/>
  <c r="S1627" i="19" s="1"/>
  <c r="T1619" i="19"/>
  <c r="T1611" i="19"/>
  <c r="V1601" i="19"/>
  <c r="V1593" i="19"/>
  <c r="V1585" i="19"/>
  <c r="X1575" i="19"/>
  <c r="K1575" i="19" s="1"/>
  <c r="G323" i="22" s="1"/>
  <c r="X1567" i="19"/>
  <c r="K1567" i="19" s="1"/>
  <c r="G615" i="22" s="1"/>
  <c r="X1559" i="19"/>
  <c r="U1550" i="19"/>
  <c r="U1542" i="19"/>
  <c r="U1534" i="19"/>
  <c r="W1524" i="19"/>
  <c r="W1516" i="19"/>
  <c r="W1508" i="19"/>
  <c r="T1499" i="19"/>
  <c r="T1491" i="19"/>
  <c r="T1483" i="19"/>
  <c r="S1483" i="19" s="1"/>
  <c r="V1473" i="19"/>
  <c r="V1465" i="19"/>
  <c r="V1457" i="19"/>
  <c r="V1445" i="19"/>
  <c r="W1416" i="19"/>
  <c r="W1384" i="19"/>
  <c r="U1346" i="19"/>
  <c r="U1314" i="19"/>
  <c r="U1282" i="19"/>
  <c r="X1243" i="19"/>
  <c r="K1243" i="19" s="1"/>
  <c r="G788" i="22" s="1"/>
  <c r="X1211" i="19"/>
  <c r="K1211" i="19" s="1"/>
  <c r="G527" i="22" s="1"/>
  <c r="X1179" i="19"/>
  <c r="V1141" i="19"/>
  <c r="W921" i="19"/>
  <c r="W665" i="19"/>
  <c r="R141" i="13" s="1"/>
  <c r="U171" i="19"/>
  <c r="W1762" i="19"/>
  <c r="W1758" i="19"/>
  <c r="X1753" i="19"/>
  <c r="K1753" i="19" s="1"/>
  <c r="X1749" i="19"/>
  <c r="X1745" i="19"/>
  <c r="K1745" i="19" s="1"/>
  <c r="T1741" i="19"/>
  <c r="T1737" i="19"/>
  <c r="T1733" i="19"/>
  <c r="U1728" i="19"/>
  <c r="U1724" i="19"/>
  <c r="U1720" i="19"/>
  <c r="V1715" i="19"/>
  <c r="V1711" i="19"/>
  <c r="V1707" i="19"/>
  <c r="W1702" i="19"/>
  <c r="W1698" i="19"/>
  <c r="W1694" i="19"/>
  <c r="X1689" i="19"/>
  <c r="X1685" i="19"/>
  <c r="K1685" i="19" s="1"/>
  <c r="F345" i="13" s="1"/>
  <c r="X1681" i="19"/>
  <c r="K1681" i="19" s="1"/>
  <c r="T1677" i="19"/>
  <c r="T1673" i="19"/>
  <c r="T1669" i="19"/>
  <c r="U1664" i="19"/>
  <c r="U1660" i="19"/>
  <c r="U1656" i="19"/>
  <c r="V1651" i="19"/>
  <c r="V1647" i="19"/>
  <c r="V1643" i="19"/>
  <c r="W1638" i="19"/>
  <c r="W1634" i="19"/>
  <c r="W1630" i="19"/>
  <c r="R334" i="13" s="1"/>
  <c r="X1625" i="19"/>
  <c r="K1625" i="19" s="1"/>
  <c r="G333" i="22" s="1"/>
  <c r="X1621" i="19"/>
  <c r="K1621" i="19" s="1"/>
  <c r="G728" i="22" s="1"/>
  <c r="X1617" i="19"/>
  <c r="K1617" i="19" s="1"/>
  <c r="T1613" i="19"/>
  <c r="T1609" i="19"/>
  <c r="T1605" i="19"/>
  <c r="U1600" i="19"/>
  <c r="U1596" i="19"/>
  <c r="U1592" i="19"/>
  <c r="V1587" i="19"/>
  <c r="V1583" i="19"/>
  <c r="V1579" i="19"/>
  <c r="W1574" i="19"/>
  <c r="W1570" i="19"/>
  <c r="R322" i="13" s="1"/>
  <c r="W1566" i="19"/>
  <c r="X1561" i="19"/>
  <c r="K1561" i="19" s="1"/>
  <c r="X1557" i="19"/>
  <c r="K1557" i="19" s="1"/>
  <c r="X1553" i="19"/>
  <c r="K1553" i="19" s="1"/>
  <c r="T1549" i="19"/>
  <c r="T1545" i="19"/>
  <c r="T1541" i="19"/>
  <c r="U1536" i="19"/>
  <c r="U1532" i="19"/>
  <c r="U1528" i="19"/>
  <c r="V1523" i="19"/>
  <c r="V1519" i="19"/>
  <c r="V1515" i="19"/>
  <c r="W1510" i="19"/>
  <c r="R310" i="13" s="1"/>
  <c r="AE310" i="13" s="1"/>
  <c r="W1506" i="19"/>
  <c r="W1502" i="19"/>
  <c r="X1497" i="19"/>
  <c r="K1497" i="19" s="1"/>
  <c r="G597" i="22" s="1"/>
  <c r="X1493" i="19"/>
  <c r="K1493" i="19" s="1"/>
  <c r="X1489" i="19"/>
  <c r="T1485" i="19"/>
  <c r="T1481" i="19"/>
  <c r="T1477" i="19"/>
  <c r="U1472" i="19"/>
  <c r="U1468" i="19"/>
  <c r="U1464" i="19"/>
  <c r="V1459" i="19"/>
  <c r="V1455" i="19"/>
  <c r="U1452" i="19"/>
  <c r="T1449" i="19"/>
  <c r="X1445" i="19"/>
  <c r="K1445" i="19" s="1"/>
  <c r="F297" i="13" s="1"/>
  <c r="W1442" i="19"/>
  <c r="V1439" i="19"/>
  <c r="U1436" i="19"/>
  <c r="T1433" i="19"/>
  <c r="X1429" i="19"/>
  <c r="W1426" i="19"/>
  <c r="V1423" i="19"/>
  <c r="U1420" i="19"/>
  <c r="T1417" i="19"/>
  <c r="X1413" i="19"/>
  <c r="K1413" i="19" s="1"/>
  <c r="W1410" i="19"/>
  <c r="R290" i="13" s="1"/>
  <c r="E196" i="15" s="1"/>
  <c r="F196" i="15" s="1"/>
  <c r="V1407" i="19"/>
  <c r="U1404" i="19"/>
  <c r="T1401" i="19"/>
  <c r="X1397" i="19"/>
  <c r="K1397" i="19" s="1"/>
  <c r="W1394" i="19"/>
  <c r="V1391" i="19"/>
  <c r="U1388" i="19"/>
  <c r="T1385" i="19"/>
  <c r="X1381" i="19"/>
  <c r="K1381" i="19" s="1"/>
  <c r="G433" i="22" s="1"/>
  <c r="W1378" i="19"/>
  <c r="V1375" i="19"/>
  <c r="U1372" i="19"/>
  <c r="T1369" i="19"/>
  <c r="X1365" i="19"/>
  <c r="K1365" i="19" s="1"/>
  <c r="W1362" i="19"/>
  <c r="V1359" i="19"/>
  <c r="U1356" i="19"/>
  <c r="T1353" i="19"/>
  <c r="X1349" i="19"/>
  <c r="W1346" i="19"/>
  <c r="V1343" i="19"/>
  <c r="U1340" i="19"/>
  <c r="T1337" i="19"/>
  <c r="X1333" i="19"/>
  <c r="K1333" i="19" s="1"/>
  <c r="W1330" i="19"/>
  <c r="R274" i="13" s="1"/>
  <c r="V1327" i="19"/>
  <c r="U1324" i="19"/>
  <c r="T1321" i="19"/>
  <c r="X1317" i="19"/>
  <c r="K1317" i="19" s="1"/>
  <c r="W1314" i="19"/>
  <c r="V1311" i="19"/>
  <c r="U1308" i="19"/>
  <c r="T1305" i="19"/>
  <c r="X1301" i="19"/>
  <c r="K1301" i="19" s="1"/>
  <c r="G521" i="22" s="1"/>
  <c r="W1298" i="19"/>
  <c r="V1295" i="19"/>
  <c r="U1292" i="19"/>
  <c r="T1289" i="19"/>
  <c r="X1285" i="19"/>
  <c r="K1285" i="19" s="1"/>
  <c r="F265" i="13" s="1"/>
  <c r="W1282" i="19"/>
  <c r="V1279" i="19"/>
  <c r="U1276" i="19"/>
  <c r="T1273" i="19"/>
  <c r="X1269" i="19"/>
  <c r="W1266" i="19"/>
  <c r="V1263" i="19"/>
  <c r="U1260" i="19"/>
  <c r="T1257" i="19"/>
  <c r="X1253" i="19"/>
  <c r="K1253" i="19" s="1"/>
  <c r="W1250" i="19"/>
  <c r="R258" i="13" s="1"/>
  <c r="E175" i="15" s="1"/>
  <c r="F175" i="15" s="1"/>
  <c r="V1247" i="19"/>
  <c r="U1244" i="19"/>
  <c r="T1241" i="19"/>
  <c r="X1237" i="19"/>
  <c r="K1237" i="19" s="1"/>
  <c r="W1234" i="19"/>
  <c r="V1231" i="19"/>
  <c r="U1228" i="19"/>
  <c r="T1225" i="19"/>
  <c r="X1221" i="19"/>
  <c r="K1221" i="19" s="1"/>
  <c r="G813" i="22" s="1"/>
  <c r="W1218" i="19"/>
  <c r="V1215" i="19"/>
  <c r="U1212" i="19"/>
  <c r="T1209" i="19"/>
  <c r="X1205" i="19"/>
  <c r="K1205" i="19" s="1"/>
  <c r="F249" i="13" s="1"/>
  <c r="W1202" i="19"/>
  <c r="V1199" i="19"/>
  <c r="U1196" i="19"/>
  <c r="T1193" i="19"/>
  <c r="X1189" i="19"/>
  <c r="W1186" i="19"/>
  <c r="V1183" i="19"/>
  <c r="U1180" i="19"/>
  <c r="T1177" i="19"/>
  <c r="X1173" i="19"/>
  <c r="K1173" i="19" s="1"/>
  <c r="W1170" i="19"/>
  <c r="R242" i="13" s="1"/>
  <c r="V1167" i="19"/>
  <c r="U1164" i="19"/>
  <c r="T1161" i="19"/>
  <c r="X1157" i="19"/>
  <c r="K1157" i="19" s="1"/>
  <c r="W1154" i="19"/>
  <c r="V1151" i="19"/>
  <c r="U1148" i="19"/>
  <c r="T1145" i="19"/>
  <c r="X1141" i="19"/>
  <c r="K1141" i="19" s="1"/>
  <c r="G712" i="22" s="1"/>
  <c r="W1138" i="19"/>
  <c r="V1133" i="19"/>
  <c r="T1127" i="19"/>
  <c r="S1127" i="19" s="1"/>
  <c r="W1120" i="19"/>
  <c r="R232" i="13" s="1"/>
  <c r="E158" i="15" s="1"/>
  <c r="F158" i="15" s="1"/>
  <c r="U1114" i="19"/>
  <c r="X1107" i="19"/>
  <c r="K1107" i="19" s="1"/>
  <c r="G811" i="22" s="1"/>
  <c r="V1101" i="19"/>
  <c r="T1095" i="19"/>
  <c r="W1088" i="19"/>
  <c r="U1082" i="19"/>
  <c r="X1075" i="19"/>
  <c r="K1075" i="19" s="1"/>
  <c r="F223" i="13" s="1"/>
  <c r="V1069" i="19"/>
  <c r="T1063" i="19"/>
  <c r="W1056" i="19"/>
  <c r="R361" i="13" s="1"/>
  <c r="AE361" i="13" s="1"/>
  <c r="U1050" i="19"/>
  <c r="X1043" i="19"/>
  <c r="K1043" i="19" s="1"/>
  <c r="V1037" i="19"/>
  <c r="T1031" i="19"/>
  <c r="W1024" i="19"/>
  <c r="U1018" i="19"/>
  <c r="X1011" i="19"/>
  <c r="K1011" i="19" s="1"/>
  <c r="G628" i="22" s="1"/>
  <c r="V1005" i="19"/>
  <c r="T999" i="19"/>
  <c r="W992" i="19"/>
  <c r="U986" i="19"/>
  <c r="X979" i="19"/>
  <c r="V973" i="19"/>
  <c r="T967" i="19"/>
  <c r="W960" i="19"/>
  <c r="R200" i="13" s="1"/>
  <c r="U954" i="19"/>
  <c r="X947" i="19"/>
  <c r="K947" i="19" s="1"/>
  <c r="G549" i="22" s="1"/>
  <c r="V941" i="19"/>
  <c r="T935" i="19"/>
  <c r="W928" i="19"/>
  <c r="U922" i="19"/>
  <c r="X915" i="19"/>
  <c r="K915" i="19" s="1"/>
  <c r="G191" i="22" s="1"/>
  <c r="V909" i="19"/>
  <c r="T903" i="19"/>
  <c r="W896" i="19"/>
  <c r="U890" i="19"/>
  <c r="X883" i="19"/>
  <c r="K883" i="19" s="1"/>
  <c r="V877" i="19"/>
  <c r="T871" i="19"/>
  <c r="W864" i="19"/>
  <c r="U858" i="19"/>
  <c r="X851" i="19"/>
  <c r="K851" i="19" s="1"/>
  <c r="V845" i="19"/>
  <c r="T839" i="19"/>
  <c r="W832" i="19"/>
  <c r="U826" i="19"/>
  <c r="X819" i="19"/>
  <c r="V813" i="19"/>
  <c r="T807" i="19"/>
  <c r="W800" i="19"/>
  <c r="R168" i="13" s="1"/>
  <c r="U794" i="19"/>
  <c r="X787" i="19"/>
  <c r="K787" i="19" s="1"/>
  <c r="G608" i="22" s="1"/>
  <c r="V781" i="19"/>
  <c r="T775" i="19"/>
  <c r="W768" i="19"/>
  <c r="U762" i="19"/>
  <c r="S762" i="19" s="1"/>
  <c r="X755" i="19"/>
  <c r="K755" i="19" s="1"/>
  <c r="F159" i="13" s="1"/>
  <c r="V749" i="19"/>
  <c r="T743" i="19"/>
  <c r="W736" i="19"/>
  <c r="U730" i="19"/>
  <c r="X723" i="19"/>
  <c r="K723" i="19" s="1"/>
  <c r="V717" i="19"/>
  <c r="T711" i="19"/>
  <c r="W704" i="19"/>
  <c r="U698" i="19"/>
  <c r="X691" i="19"/>
  <c r="K691" i="19" s="1"/>
  <c r="V685" i="19"/>
  <c r="T679" i="19"/>
  <c r="W672" i="19"/>
  <c r="U666" i="19"/>
  <c r="X659" i="19"/>
  <c r="V653" i="19"/>
  <c r="T647" i="19"/>
  <c r="W640" i="19"/>
  <c r="R136" i="13" s="1"/>
  <c r="U634" i="19"/>
  <c r="X627" i="19"/>
  <c r="K627" i="19" s="1"/>
  <c r="V621" i="19"/>
  <c r="T615" i="19"/>
  <c r="W608" i="19"/>
  <c r="U602" i="19"/>
  <c r="X595" i="19"/>
  <c r="K595" i="19" s="1"/>
  <c r="G127" i="22" s="1"/>
  <c r="V589" i="19"/>
  <c r="T583" i="19"/>
  <c r="W576" i="19"/>
  <c r="U570" i="19"/>
  <c r="X563" i="19"/>
  <c r="K563" i="19" s="1"/>
  <c r="V557" i="19"/>
  <c r="T551" i="19"/>
  <c r="W544" i="19"/>
  <c r="U538" i="19"/>
  <c r="X531" i="19"/>
  <c r="K531" i="19" s="1"/>
  <c r="G764" i="22" s="1"/>
  <c r="V525" i="19"/>
  <c r="T515" i="19"/>
  <c r="U502" i="19"/>
  <c r="V489" i="19"/>
  <c r="W476" i="19"/>
  <c r="X463" i="19"/>
  <c r="K463" i="19" s="1"/>
  <c r="T451" i="19"/>
  <c r="U438" i="19"/>
  <c r="V425" i="19"/>
  <c r="W412" i="19"/>
  <c r="X399" i="19"/>
  <c r="T387" i="19"/>
  <c r="U374" i="19"/>
  <c r="V361" i="19"/>
  <c r="W348" i="19"/>
  <c r="X335" i="19"/>
  <c r="K335" i="19" s="1"/>
  <c r="G75" i="22" s="1"/>
  <c r="T323" i="19"/>
  <c r="U310" i="19"/>
  <c r="V297" i="19"/>
  <c r="W284" i="19"/>
  <c r="X271" i="19"/>
  <c r="K271" i="19" s="1"/>
  <c r="T259" i="19"/>
  <c r="U246" i="19"/>
  <c r="V1606" i="19"/>
  <c r="T1640" i="19"/>
  <c r="U219" i="19"/>
  <c r="X1564" i="19"/>
  <c r="T832" i="19"/>
  <c r="X1187" i="19"/>
  <c r="K1187" i="19" s="1"/>
  <c r="V1726" i="19"/>
  <c r="W1521" i="19"/>
  <c r="T1759" i="19"/>
  <c r="X1707" i="19"/>
  <c r="K1707" i="19" s="1"/>
  <c r="W1656" i="19"/>
  <c r="V1605" i="19"/>
  <c r="U1554" i="19"/>
  <c r="T1503" i="19"/>
  <c r="V1450" i="19"/>
  <c r="X1259" i="19"/>
  <c r="W449" i="19"/>
  <c r="X1720" i="19"/>
  <c r="K1720" i="19" s="1"/>
  <c r="W1669" i="19"/>
  <c r="V1618" i="19"/>
  <c r="U1567" i="19"/>
  <c r="T1516" i="19"/>
  <c r="X1464" i="19"/>
  <c r="W1312" i="19"/>
  <c r="X908" i="19"/>
  <c r="K908" i="19" s="1"/>
  <c r="W244" i="19"/>
  <c r="V449" i="19"/>
  <c r="W588" i="19"/>
  <c r="T691" i="19"/>
  <c r="S691" i="19" s="1"/>
  <c r="V793" i="19"/>
  <c r="X895" i="19"/>
  <c r="K895" i="19" s="1"/>
  <c r="U998" i="19"/>
  <c r="V1081" i="19"/>
  <c r="W1132" i="19"/>
  <c r="V190" i="19"/>
  <c r="W305" i="19"/>
  <c r="R69" i="13" s="1"/>
  <c r="T408" i="19"/>
  <c r="V510" i="19"/>
  <c r="T568" i="19"/>
  <c r="U619" i="19"/>
  <c r="V670" i="19"/>
  <c r="W721" i="19"/>
  <c r="X772" i="19"/>
  <c r="K772" i="19" s="1"/>
  <c r="T808" i="19"/>
  <c r="T840" i="19"/>
  <c r="U875" i="19"/>
  <c r="V910" i="19"/>
  <c r="V942" i="19"/>
  <c r="W977" i="19"/>
  <c r="X1012" i="19"/>
  <c r="K1012" i="19" s="1"/>
  <c r="G784" i="22" s="1"/>
  <c r="X1044" i="19"/>
  <c r="T1080" i="19"/>
  <c r="U1115" i="19"/>
  <c r="U62" i="19"/>
  <c r="T203" i="19"/>
  <c r="S203" i="19" s="1"/>
  <c r="X279" i="19"/>
  <c r="X343" i="19"/>
  <c r="K343" i="19" s="1"/>
  <c r="U414" i="19"/>
  <c r="W484" i="19"/>
  <c r="X535" i="19"/>
  <c r="K535" i="19" s="1"/>
  <c r="G115" i="22" s="1"/>
  <c r="T571" i="19"/>
  <c r="U606" i="19"/>
  <c r="U638" i="19"/>
  <c r="V673" i="19"/>
  <c r="W708" i="19"/>
  <c r="W740" i="19"/>
  <c r="R156" i="13" s="1"/>
  <c r="X775" i="19"/>
  <c r="K775" i="19" s="1"/>
  <c r="F163" i="13" s="1"/>
  <c r="T811" i="19"/>
  <c r="S811" i="19" s="1"/>
  <c r="T843" i="19"/>
  <c r="U878" i="19"/>
  <c r="V913" i="19"/>
  <c r="V945" i="19"/>
  <c r="W980" i="19"/>
  <c r="R204" i="13" s="1"/>
  <c r="X1015" i="19"/>
  <c r="K1015" i="19" s="1"/>
  <c r="X1047" i="19"/>
  <c r="K1047" i="19" s="1"/>
  <c r="G751" i="22" s="1"/>
  <c r="W1076" i="19"/>
  <c r="U1102" i="19"/>
  <c r="X1127" i="19"/>
  <c r="K1127" i="19" s="1"/>
  <c r="G577" i="22" s="1"/>
  <c r="W289" i="19"/>
  <c r="V494" i="19"/>
  <c r="U611" i="19"/>
  <c r="W713" i="19"/>
  <c r="T816" i="19"/>
  <c r="V918" i="19"/>
  <c r="X1020" i="19"/>
  <c r="K1020" i="19" s="1"/>
  <c r="F212" i="13" s="1"/>
  <c r="U1123" i="19"/>
  <c r="U1147" i="19"/>
  <c r="T1160" i="19"/>
  <c r="X1172" i="19"/>
  <c r="K1172" i="19" s="1"/>
  <c r="W1185" i="19"/>
  <c r="R245" i="13" s="1"/>
  <c r="AE245" i="13" s="1"/>
  <c r="V1198" i="19"/>
  <c r="U1211" i="19"/>
  <c r="T1224" i="19"/>
  <c r="X1236" i="19"/>
  <c r="K1236" i="19" s="1"/>
  <c r="G693" i="22" s="1"/>
  <c r="W1249" i="19"/>
  <c r="V1262" i="19"/>
  <c r="U1275" i="19"/>
  <c r="T1288" i="19"/>
  <c r="X1300" i="19"/>
  <c r="K1300" i="19" s="1"/>
  <c r="W1313" i="19"/>
  <c r="V1326" i="19"/>
  <c r="U1339" i="19"/>
  <c r="T1352" i="19"/>
  <c r="X1364" i="19"/>
  <c r="W1377" i="19"/>
  <c r="V1390" i="19"/>
  <c r="U1403" i="19"/>
  <c r="T1416" i="19"/>
  <c r="X1428" i="19"/>
  <c r="K1428" i="19" s="1"/>
  <c r="W1441" i="19"/>
  <c r="U283" i="19"/>
  <c r="T488" i="19"/>
  <c r="T608" i="19"/>
  <c r="V710" i="19"/>
  <c r="X812" i="19"/>
  <c r="K812" i="19" s="1"/>
  <c r="U915" i="19"/>
  <c r="W1017" i="19"/>
  <c r="T1120" i="19"/>
  <c r="T1147" i="19"/>
  <c r="S1147" i="19" s="1"/>
  <c r="X1159" i="19"/>
  <c r="W1172" i="19"/>
  <c r="V1185" i="19"/>
  <c r="U1198" i="19"/>
  <c r="T1211" i="19"/>
  <c r="S1211" i="19" s="1"/>
  <c r="X1223" i="19"/>
  <c r="K1223" i="19" s="1"/>
  <c r="W1236" i="19"/>
  <c r="V1249" i="19"/>
  <c r="U1262" i="19"/>
  <c r="T1275" i="19"/>
  <c r="S1275" i="19" s="1"/>
  <c r="X1287" i="19"/>
  <c r="K1287" i="19" s="1"/>
  <c r="W1300" i="19"/>
  <c r="R268" i="13" s="1"/>
  <c r="V1313" i="19"/>
  <c r="U1326" i="19"/>
  <c r="T1339" i="19"/>
  <c r="S1339" i="19" s="1"/>
  <c r="X1351" i="19"/>
  <c r="K1351" i="19" s="1"/>
  <c r="W1364" i="19"/>
  <c r="V1377" i="19"/>
  <c r="U1390" i="19"/>
  <c r="T1403" i="19"/>
  <c r="S1403" i="19" s="1"/>
  <c r="X1415" i="19"/>
  <c r="K1415" i="19" s="1"/>
  <c r="G291" i="22" s="1"/>
  <c r="W1428" i="19"/>
  <c r="V1441" i="19"/>
  <c r="U1454" i="19"/>
  <c r="V302" i="19"/>
  <c r="U507" i="19"/>
  <c r="W617" i="19"/>
  <c r="T720" i="19"/>
  <c r="V822" i="19"/>
  <c r="X924" i="19"/>
  <c r="U1027" i="19"/>
  <c r="W1129" i="19"/>
  <c r="T1148" i="19"/>
  <c r="X1160" i="19"/>
  <c r="K1160" i="19" s="1"/>
  <c r="F240" i="13" s="1"/>
  <c r="W1173" i="19"/>
  <c r="V1186" i="19"/>
  <c r="U1199" i="19"/>
  <c r="T1212" i="19"/>
  <c r="X1224" i="19"/>
  <c r="W1237" i="19"/>
  <c r="V1250" i="19"/>
  <c r="U1263" i="19"/>
  <c r="T1276" i="19"/>
  <c r="X1288" i="19"/>
  <c r="K1288" i="19" s="1"/>
  <c r="W1301" i="19"/>
  <c r="V1314" i="19"/>
  <c r="U1327" i="19"/>
  <c r="T1340" i="19"/>
  <c r="S1340" i="19" s="1"/>
  <c r="X1352" i="19"/>
  <c r="K1352" i="19" s="1"/>
  <c r="G755" i="22" s="1"/>
  <c r="W1365" i="19"/>
  <c r="R281" i="13" s="1"/>
  <c r="E189" i="15" s="1"/>
  <c r="F189" i="15" s="1"/>
  <c r="V1378" i="19"/>
  <c r="U1391" i="19"/>
  <c r="T1404" i="19"/>
  <c r="X1416" i="19"/>
  <c r="K1416" i="19" s="1"/>
  <c r="G529" i="22" s="1"/>
  <c r="W1429" i="19"/>
  <c r="V1442" i="19"/>
  <c r="V1753" i="19"/>
  <c r="W1740" i="19"/>
  <c r="R356" i="13" s="1"/>
  <c r="E241" i="15" s="1"/>
  <c r="F241" i="15" s="1"/>
  <c r="X1727" i="19"/>
  <c r="K1727" i="19" s="1"/>
  <c r="T1715" i="19"/>
  <c r="T1707" i="19"/>
  <c r="V1697" i="19"/>
  <c r="V1689" i="19"/>
  <c r="V1681" i="19"/>
  <c r="X1671" i="19"/>
  <c r="K1671" i="19" s="1"/>
  <c r="X1663" i="19"/>
  <c r="K1663" i="19" s="1"/>
  <c r="X1655" i="19"/>
  <c r="K1655" i="19" s="1"/>
  <c r="G339" i="22" s="1"/>
  <c r="U1646" i="19"/>
  <c r="U1638" i="19"/>
  <c r="U1630" i="19"/>
  <c r="W1620" i="19"/>
  <c r="R332" i="13" s="1"/>
  <c r="AE332" i="13" s="1"/>
  <c r="W1612" i="19"/>
  <c r="W1604" i="19"/>
  <c r="T1595" i="19"/>
  <c r="S1595" i="19" s="1"/>
  <c r="T1587" i="19"/>
  <c r="T1579" i="19"/>
  <c r="V1569" i="19"/>
  <c r="V1561" i="19"/>
  <c r="V1553" i="19"/>
  <c r="X1543" i="19"/>
  <c r="K1543" i="19" s="1"/>
  <c r="X1535" i="19"/>
  <c r="K1535" i="19" s="1"/>
  <c r="G315" i="22" s="1"/>
  <c r="X1527" i="19"/>
  <c r="K1527" i="19" s="1"/>
  <c r="U1518" i="19"/>
  <c r="U1510" i="19"/>
  <c r="U1502" i="19"/>
  <c r="W1492" i="19"/>
  <c r="W1484" i="19"/>
  <c r="W1476" i="19"/>
  <c r="T1467" i="19"/>
  <c r="T1459" i="19"/>
  <c r="W1449" i="19"/>
  <c r="T1423" i="19"/>
  <c r="T1391" i="19"/>
  <c r="T1359" i="19"/>
  <c r="W1320" i="19"/>
  <c r="R272" i="13" s="1"/>
  <c r="E183" i="15" s="1"/>
  <c r="W1288" i="19"/>
  <c r="W1256" i="19"/>
  <c r="U1218" i="19"/>
  <c r="U1186" i="19"/>
  <c r="U1154" i="19"/>
  <c r="X972" i="19"/>
  <c r="K972" i="19" s="1"/>
  <c r="X716" i="19"/>
  <c r="K716" i="19" s="1"/>
  <c r="V398" i="19"/>
  <c r="V1763" i="19"/>
  <c r="V1759" i="19"/>
  <c r="V1755" i="19"/>
  <c r="W1750" i="19"/>
  <c r="R358" i="13" s="1"/>
  <c r="E243" i="15" s="1"/>
  <c r="F243" i="15" s="1"/>
  <c r="W1746" i="19"/>
  <c r="W1742" i="19"/>
  <c r="X1737" i="19"/>
  <c r="K1737" i="19" s="1"/>
  <c r="X1733" i="19"/>
  <c r="K1733" i="19" s="1"/>
  <c r="X1729" i="19"/>
  <c r="T1725" i="19"/>
  <c r="S1725" i="19" s="1"/>
  <c r="T1721" i="19"/>
  <c r="T1717" i="19"/>
  <c r="U1712" i="19"/>
  <c r="S1712" i="19" s="1"/>
  <c r="U1708" i="19"/>
  <c r="U1704" i="19"/>
  <c r="V1699" i="19"/>
  <c r="V1695" i="19"/>
  <c r="V1691" i="19"/>
  <c r="W1686" i="19"/>
  <c r="W1682" i="19"/>
  <c r="W1678" i="19"/>
  <c r="X1673" i="19"/>
  <c r="K1673" i="19" s="1"/>
  <c r="X1669" i="19"/>
  <c r="X1665" i="19"/>
  <c r="K1665" i="19" s="1"/>
  <c r="T1661" i="19"/>
  <c r="T1657" i="19"/>
  <c r="T1653" i="19"/>
  <c r="U1648" i="19"/>
  <c r="U1644" i="19"/>
  <c r="U1640" i="19"/>
  <c r="V1635" i="19"/>
  <c r="V1631" i="19"/>
  <c r="V1627" i="19"/>
  <c r="W1622" i="19"/>
  <c r="W1618" i="19"/>
  <c r="W1614" i="19"/>
  <c r="X1609" i="19"/>
  <c r="X1605" i="19"/>
  <c r="K1605" i="19" s="1"/>
  <c r="X1601" i="19"/>
  <c r="K1601" i="19" s="1"/>
  <c r="T1597" i="19"/>
  <c r="T1593" i="19"/>
  <c r="T1589" i="19"/>
  <c r="U1584" i="19"/>
  <c r="U1580" i="19"/>
  <c r="U1576" i="19"/>
  <c r="V1571" i="19"/>
  <c r="V1567" i="19"/>
  <c r="V1563" i="19"/>
  <c r="W1558" i="19"/>
  <c r="W1554" i="19"/>
  <c r="W1550" i="19"/>
  <c r="R318" i="13" s="1"/>
  <c r="E216" i="15" s="1"/>
  <c r="X1545" i="19"/>
  <c r="K1545" i="19" s="1"/>
  <c r="G317" i="22" s="1"/>
  <c r="X1541" i="19"/>
  <c r="K1541" i="19" s="1"/>
  <c r="G756" i="22" s="1"/>
  <c r="X1537" i="19"/>
  <c r="K1537" i="19" s="1"/>
  <c r="T1533" i="19"/>
  <c r="T1529" i="19"/>
  <c r="T1525" i="19"/>
  <c r="U1520" i="19"/>
  <c r="U1516" i="19"/>
  <c r="U1512" i="19"/>
  <c r="S1512" i="19" s="1"/>
  <c r="V1507" i="19"/>
  <c r="V1503" i="19"/>
  <c r="V1499" i="19"/>
  <c r="W1494" i="19"/>
  <c r="W1490" i="19"/>
  <c r="R306" i="13" s="1"/>
  <c r="W1486" i="19"/>
  <c r="X1481" i="19"/>
  <c r="K1481" i="19" s="1"/>
  <c r="G718" i="22" s="1"/>
  <c r="X1477" i="19"/>
  <c r="K1477" i="19" s="1"/>
  <c r="G669" i="22" s="1"/>
  <c r="X1473" i="19"/>
  <c r="K1473" i="19" s="1"/>
  <c r="T1469" i="19"/>
  <c r="T1465" i="19"/>
  <c r="T1461" i="19"/>
  <c r="U1456" i="19"/>
  <c r="T1453" i="19"/>
  <c r="X1449" i="19"/>
  <c r="W1446" i="19"/>
  <c r="V1443" i="19"/>
  <c r="U1440" i="19"/>
  <c r="T1437" i="19"/>
  <c r="X1433" i="19"/>
  <c r="K1433" i="19" s="1"/>
  <c r="W1430" i="19"/>
  <c r="R294" i="13" s="1"/>
  <c r="AE294" i="13" s="1"/>
  <c r="V1427" i="19"/>
  <c r="U1424" i="19"/>
  <c r="T1421" i="19"/>
  <c r="X1417" i="19"/>
  <c r="K1417" i="19" s="1"/>
  <c r="G668" i="22" s="1"/>
  <c r="W1414" i="19"/>
  <c r="V1411" i="19"/>
  <c r="U1408" i="19"/>
  <c r="T1405" i="19"/>
  <c r="X1401" i="19"/>
  <c r="K1401" i="19" s="1"/>
  <c r="G510" i="22" s="1"/>
  <c r="W1398" i="19"/>
  <c r="V1395" i="19"/>
  <c r="U1392" i="19"/>
  <c r="T1389" i="19"/>
  <c r="X1385" i="19"/>
  <c r="K1385" i="19" s="1"/>
  <c r="G285" i="22" s="1"/>
  <c r="W1382" i="19"/>
  <c r="V1379" i="19"/>
  <c r="U1376" i="19"/>
  <c r="S1376" i="19" s="1"/>
  <c r="T1373" i="19"/>
  <c r="X1369" i="19"/>
  <c r="W1366" i="19"/>
  <c r="V1363" i="19"/>
  <c r="U1360" i="19"/>
  <c r="T1357" i="19"/>
  <c r="X1353" i="19"/>
  <c r="K1353" i="19" s="1"/>
  <c r="W1350" i="19"/>
  <c r="R278" i="13" s="1"/>
  <c r="V1347" i="19"/>
  <c r="U1344" i="19"/>
  <c r="T1341" i="19"/>
  <c r="X1337" i="19"/>
  <c r="K1337" i="19" s="1"/>
  <c r="G815" i="22" s="1"/>
  <c r="W1334" i="19"/>
  <c r="V1331" i="19"/>
  <c r="U1328" i="19"/>
  <c r="T1325" i="19"/>
  <c r="X1321" i="19"/>
  <c r="K1321" i="19" s="1"/>
  <c r="G679" i="22" s="1"/>
  <c r="W1318" i="19"/>
  <c r="V1315" i="19"/>
  <c r="U1312" i="19"/>
  <c r="T1309" i="19"/>
  <c r="X1305" i="19"/>
  <c r="K1305" i="19" s="1"/>
  <c r="G269" i="22" s="1"/>
  <c r="W1302" i="19"/>
  <c r="V1299" i="19"/>
  <c r="U1296" i="19"/>
  <c r="T1293" i="19"/>
  <c r="X1289" i="19"/>
  <c r="W1286" i="19"/>
  <c r="V1283" i="19"/>
  <c r="U1280" i="19"/>
  <c r="T1277" i="19"/>
  <c r="X1273" i="19"/>
  <c r="K1273" i="19" s="1"/>
  <c r="W1270" i="19"/>
  <c r="R262" i="13" s="1"/>
  <c r="E179" i="15" s="1"/>
  <c r="F179" i="15" s="1"/>
  <c r="V1267" i="19"/>
  <c r="U1264" i="19"/>
  <c r="T1261" i="19"/>
  <c r="X1257" i="19"/>
  <c r="K1257" i="19" s="1"/>
  <c r="G705" i="22" s="1"/>
  <c r="W1254" i="19"/>
  <c r="V1251" i="19"/>
  <c r="U1248" i="19"/>
  <c r="T1245" i="19"/>
  <c r="X1241" i="19"/>
  <c r="K1241" i="19" s="1"/>
  <c r="W1238" i="19"/>
  <c r="V1235" i="19"/>
  <c r="U1232" i="19"/>
  <c r="T1229" i="19"/>
  <c r="X1225" i="19"/>
  <c r="K1225" i="19" s="1"/>
  <c r="F253" i="13" s="1"/>
  <c r="W1222" i="19"/>
  <c r="V1219" i="19"/>
  <c r="U1216" i="19"/>
  <c r="T1213" i="19"/>
  <c r="X1209" i="19"/>
  <c r="W1206" i="19"/>
  <c r="V1203" i="19"/>
  <c r="U1200" i="19"/>
  <c r="T1197" i="19"/>
  <c r="X1193" i="19"/>
  <c r="K1193" i="19" s="1"/>
  <c r="W1190" i="19"/>
  <c r="R246" i="13" s="1"/>
  <c r="V1187" i="19"/>
  <c r="U1184" i="19"/>
  <c r="T1181" i="19"/>
  <c r="X1177" i="19"/>
  <c r="K1177" i="19" s="1"/>
  <c r="G664" i="22" s="1"/>
  <c r="W1174" i="19"/>
  <c r="V1171" i="19"/>
  <c r="U1168" i="19"/>
  <c r="T1165" i="19"/>
  <c r="X1161" i="19"/>
  <c r="K1161" i="19" s="1"/>
  <c r="W1158" i="19"/>
  <c r="V1155" i="19"/>
  <c r="U1152" i="19"/>
  <c r="T1149" i="19"/>
  <c r="X1145" i="19"/>
  <c r="K1145" i="19" s="1"/>
  <c r="W1142" i="19"/>
  <c r="V1139" i="19"/>
  <c r="T1135" i="19"/>
  <c r="W1128" i="19"/>
  <c r="U1122" i="19"/>
  <c r="X1115" i="19"/>
  <c r="K1115" i="19" s="1"/>
  <c r="V1109" i="19"/>
  <c r="T1103" i="19"/>
  <c r="W1096" i="19"/>
  <c r="U1090" i="19"/>
  <c r="X1083" i="19"/>
  <c r="K1083" i="19" s="1"/>
  <c r="V1077" i="19"/>
  <c r="T1071" i="19"/>
  <c r="W1064" i="19"/>
  <c r="U1058" i="19"/>
  <c r="X1051" i="19"/>
  <c r="K1051" i="19" s="1"/>
  <c r="G678" i="22" s="1"/>
  <c r="V1045" i="19"/>
  <c r="T1039" i="19"/>
  <c r="W1032" i="19"/>
  <c r="U1026" i="19"/>
  <c r="S1026" i="19" s="1"/>
  <c r="X1019" i="19"/>
  <c r="V1013" i="19"/>
  <c r="T1007" i="19"/>
  <c r="W1000" i="19"/>
  <c r="R208" i="13" s="1"/>
  <c r="AE208" i="13" s="1"/>
  <c r="U994" i="19"/>
  <c r="S994" i="19" s="1"/>
  <c r="X987" i="19"/>
  <c r="K987" i="19" s="1"/>
  <c r="V981" i="19"/>
  <c r="T975" i="19"/>
  <c r="W968" i="19"/>
  <c r="U962" i="19"/>
  <c r="X955" i="19"/>
  <c r="K955" i="19" s="1"/>
  <c r="F199" i="13" s="1"/>
  <c r="V949" i="19"/>
  <c r="T943" i="19"/>
  <c r="W936" i="19"/>
  <c r="U930" i="19"/>
  <c r="X923" i="19"/>
  <c r="K923" i="19" s="1"/>
  <c r="V917" i="19"/>
  <c r="T911" i="19"/>
  <c r="W904" i="19"/>
  <c r="U898" i="19"/>
  <c r="X891" i="19"/>
  <c r="K891" i="19" s="1"/>
  <c r="G749" i="22" s="1"/>
  <c r="V885" i="19"/>
  <c r="T879" i="19"/>
  <c r="W872" i="19"/>
  <c r="U866" i="19"/>
  <c r="X859" i="19"/>
  <c r="V853" i="19"/>
  <c r="T847" i="19"/>
  <c r="W840" i="19"/>
  <c r="R176" i="13" s="1"/>
  <c r="U834" i="19"/>
  <c r="X827" i="19"/>
  <c r="K827" i="19" s="1"/>
  <c r="V821" i="19"/>
  <c r="T815" i="19"/>
  <c r="W808" i="19"/>
  <c r="U802" i="19"/>
  <c r="X795" i="19"/>
  <c r="K795" i="19" s="1"/>
  <c r="G167" i="22" s="1"/>
  <c r="V789" i="19"/>
  <c r="T783" i="19"/>
  <c r="W776" i="19"/>
  <c r="U770" i="19"/>
  <c r="X763" i="19"/>
  <c r="K763" i="19" s="1"/>
  <c r="V757" i="19"/>
  <c r="T751" i="19"/>
  <c r="W744" i="19"/>
  <c r="U738" i="19"/>
  <c r="X731" i="19"/>
  <c r="K731" i="19" s="1"/>
  <c r="G500" i="22" s="1"/>
  <c r="V725" i="19"/>
  <c r="T719" i="19"/>
  <c r="W712" i="19"/>
  <c r="U706" i="19"/>
  <c r="X699" i="19"/>
  <c r="V693" i="19"/>
  <c r="T687" i="19"/>
  <c r="W680" i="19"/>
  <c r="R144" i="13" s="1"/>
  <c r="U674" i="19"/>
  <c r="X667" i="19"/>
  <c r="K667" i="19" s="1"/>
  <c r="V661" i="19"/>
  <c r="T655" i="19"/>
  <c r="W648" i="19"/>
  <c r="U642" i="19"/>
  <c r="X635" i="19"/>
  <c r="K635" i="19" s="1"/>
  <c r="V629" i="19"/>
  <c r="T623" i="19"/>
  <c r="W616" i="19"/>
  <c r="U610" i="19"/>
  <c r="X603" i="19"/>
  <c r="K603" i="19" s="1"/>
  <c r="V597" i="19"/>
  <c r="T591" i="19"/>
  <c r="W584" i="19"/>
  <c r="U578" i="19"/>
  <c r="X571" i="19"/>
  <c r="K571" i="19" s="1"/>
  <c r="V565" i="19"/>
  <c r="T559" i="19"/>
  <c r="W552" i="19"/>
  <c r="U546" i="19"/>
  <c r="X539" i="19"/>
  <c r="V533" i="19"/>
  <c r="T527" i="19"/>
  <c r="U518" i="19"/>
  <c r="V505" i="19"/>
  <c r="W492" i="19"/>
  <c r="X479" i="19"/>
  <c r="T467" i="19"/>
  <c r="U454" i="19"/>
  <c r="V441" i="19"/>
  <c r="W428" i="19"/>
  <c r="X415" i="19"/>
  <c r="K415" i="19" s="1"/>
  <c r="T403" i="19"/>
  <c r="U390" i="19"/>
  <c r="V377" i="19"/>
  <c r="W364" i="19"/>
  <c r="X351" i="19"/>
  <c r="K351" i="19" s="1"/>
  <c r="G388" i="22" s="1"/>
  <c r="T339" i="19"/>
  <c r="U326" i="19"/>
  <c r="V313" i="19"/>
  <c r="W300" i="19"/>
  <c r="R68" i="13" s="1"/>
  <c r="X287" i="19"/>
  <c r="K287" i="19" s="1"/>
  <c r="T275" i="19"/>
  <c r="U262" i="19"/>
  <c r="V249" i="19"/>
  <c r="W236" i="19"/>
  <c r="X223" i="19"/>
  <c r="K223" i="19" s="1"/>
  <c r="U206" i="19"/>
  <c r="W180" i="19"/>
  <c r="R44" i="13" s="1"/>
  <c r="E30" i="15" s="1"/>
  <c r="F30" i="15" s="1"/>
  <c r="T155" i="19"/>
  <c r="V129" i="19"/>
  <c r="X103" i="19"/>
  <c r="K103" i="19" s="1"/>
  <c r="U78" i="19"/>
  <c r="W52" i="19"/>
  <c r="T27" i="19"/>
  <c r="U13" i="19"/>
  <c r="V16" i="19"/>
  <c r="W19" i="19"/>
  <c r="X22" i="19"/>
  <c r="K22" i="19" s="1"/>
  <c r="G774" i="22" s="1"/>
  <c r="T26" i="19"/>
  <c r="U29" i="19"/>
  <c r="V32" i="19"/>
  <c r="W35" i="19"/>
  <c r="R15" i="13" s="1"/>
  <c r="X38" i="19"/>
  <c r="K38" i="19" s="1"/>
  <c r="T42" i="19"/>
  <c r="U45" i="19"/>
  <c r="V48" i="19"/>
  <c r="W51" i="19"/>
  <c r="X54" i="19"/>
  <c r="T58" i="19"/>
  <c r="U61" i="19"/>
  <c r="V64" i="19"/>
  <c r="W67" i="19"/>
  <c r="X70" i="19"/>
  <c r="K70" i="19" s="1"/>
  <c r="F22" i="13" s="1"/>
  <c r="T74" i="19"/>
  <c r="U77" i="19"/>
  <c r="V80" i="19"/>
  <c r="W83" i="19"/>
  <c r="X86" i="19"/>
  <c r="K86" i="19" s="1"/>
  <c r="G775" i="22" s="1"/>
  <c r="T90" i="19"/>
  <c r="U93" i="19"/>
  <c r="V96" i="19"/>
  <c r="W99" i="19"/>
  <c r="X102" i="19"/>
  <c r="K102" i="19" s="1"/>
  <c r="G681" i="22" s="1"/>
  <c r="T106" i="19"/>
  <c r="U109" i="19"/>
  <c r="V112" i="19"/>
  <c r="W115" i="19"/>
  <c r="R31" i="13" s="1"/>
  <c r="X118" i="19"/>
  <c r="K118" i="19" s="1"/>
  <c r="T122" i="19"/>
  <c r="U125" i="19"/>
  <c r="V128" i="19"/>
  <c r="W131" i="19"/>
  <c r="X134" i="19"/>
  <c r="T138" i="19"/>
  <c r="U141" i="19"/>
  <c r="V144" i="19"/>
  <c r="W147" i="19"/>
  <c r="X150" i="19"/>
  <c r="K150" i="19" s="1"/>
  <c r="T154" i="19"/>
  <c r="U157" i="19"/>
  <c r="V160" i="19"/>
  <c r="W163" i="19"/>
  <c r="X166" i="19"/>
  <c r="K166" i="19" s="1"/>
  <c r="T170" i="19"/>
  <c r="U173" i="19"/>
  <c r="V176" i="19"/>
  <c r="W179" i="19"/>
  <c r="X182" i="19"/>
  <c r="K182" i="19" s="1"/>
  <c r="T186" i="19"/>
  <c r="U189" i="19"/>
  <c r="V192" i="19"/>
  <c r="W195" i="19"/>
  <c r="R47" i="13" s="1"/>
  <c r="X198" i="19"/>
  <c r="K198" i="19" s="1"/>
  <c r="T202" i="19"/>
  <c r="U205" i="19"/>
  <c r="V208" i="19"/>
  <c r="W211" i="19"/>
  <c r="X214" i="19"/>
  <c r="T13" i="19"/>
  <c r="S13" i="19" s="1"/>
  <c r="U16" i="19"/>
  <c r="V19" i="19"/>
  <c r="W22" i="19"/>
  <c r="X25" i="19"/>
  <c r="K25" i="19" s="1"/>
  <c r="G13" i="22" s="1"/>
  <c r="T29" i="19"/>
  <c r="S29" i="19" s="1"/>
  <c r="U32" i="19"/>
  <c r="V35" i="19"/>
  <c r="W38" i="19"/>
  <c r="X41" i="19"/>
  <c r="K41" i="19" s="1"/>
  <c r="G763" i="22" s="1"/>
  <c r="T45" i="19"/>
  <c r="S45" i="19" s="1"/>
  <c r="U48" i="19"/>
  <c r="V51" i="19"/>
  <c r="W54" i="19"/>
  <c r="X57" i="19"/>
  <c r="K57" i="19" s="1"/>
  <c r="T61" i="19"/>
  <c r="S61" i="19" s="1"/>
  <c r="U64" i="19"/>
  <c r="V67" i="19"/>
  <c r="W70" i="19"/>
  <c r="R22" i="13" s="1"/>
  <c r="X73" i="19"/>
  <c r="K73" i="19" s="1"/>
  <c r="T77" i="19"/>
  <c r="S77" i="19" s="1"/>
  <c r="U80" i="19"/>
  <c r="V83" i="19"/>
  <c r="W86" i="19"/>
  <c r="X89" i="19"/>
  <c r="T93" i="19"/>
  <c r="S93" i="19" s="1"/>
  <c r="U96" i="19"/>
  <c r="V99" i="19"/>
  <c r="W102" i="19"/>
  <c r="X105" i="19"/>
  <c r="K105" i="19" s="1"/>
  <c r="F29" i="13" s="1"/>
  <c r="T109" i="19"/>
  <c r="S109" i="19" s="1"/>
  <c r="U112" i="19"/>
  <c r="V115" i="19"/>
  <c r="W118" i="19"/>
  <c r="X121" i="19"/>
  <c r="K121" i="19" s="1"/>
  <c r="T125" i="19"/>
  <c r="S125" i="19" s="1"/>
  <c r="U128" i="19"/>
  <c r="V131" i="19"/>
  <c r="W134" i="19"/>
  <c r="X137" i="19"/>
  <c r="K137" i="19" s="1"/>
  <c r="T141" i="19"/>
  <c r="S141" i="19" s="1"/>
  <c r="U144" i="19"/>
  <c r="V147" i="19"/>
  <c r="W150" i="19"/>
  <c r="R38" i="13" s="1"/>
  <c r="X153" i="19"/>
  <c r="K153" i="19" s="1"/>
  <c r="T157" i="19"/>
  <c r="S157" i="19" s="1"/>
  <c r="U160" i="19"/>
  <c r="V163" i="19"/>
  <c r="W166" i="19"/>
  <c r="X169" i="19"/>
  <c r="T173" i="19"/>
  <c r="S173" i="19" s="1"/>
  <c r="U176" i="19"/>
  <c r="V179" i="19"/>
  <c r="W182" i="19"/>
  <c r="X185" i="19"/>
  <c r="K185" i="19" s="1"/>
  <c r="T189" i="19"/>
  <c r="S189" i="19" s="1"/>
  <c r="U192" i="19"/>
  <c r="V195" i="19"/>
  <c r="W198" i="19"/>
  <c r="X201" i="19"/>
  <c r="K201" i="19" s="1"/>
  <c r="G380" i="22" s="1"/>
  <c r="T205" i="19"/>
  <c r="S205" i="19" s="1"/>
  <c r="U208" i="19"/>
  <c r="V211" i="19"/>
  <c r="W214" i="19"/>
  <c r="U15" i="19"/>
  <c r="W21" i="19"/>
  <c r="T28" i="19"/>
  <c r="V34" i="19"/>
  <c r="X40" i="19"/>
  <c r="K40" i="19" s="1"/>
  <c r="U47" i="19"/>
  <c r="W53" i="19"/>
  <c r="T60" i="19"/>
  <c r="V66" i="19"/>
  <c r="X72" i="19"/>
  <c r="K72" i="19" s="1"/>
  <c r="U79" i="19"/>
  <c r="W85" i="19"/>
  <c r="R25" i="13" s="1"/>
  <c r="AE25" i="13" s="1"/>
  <c r="T92" i="19"/>
  <c r="V98" i="19"/>
  <c r="X104" i="19"/>
  <c r="U111" i="19"/>
  <c r="W117" i="19"/>
  <c r="T124" i="19"/>
  <c r="V130" i="19"/>
  <c r="X136" i="19"/>
  <c r="K136" i="19" s="1"/>
  <c r="G640" i="22" s="1"/>
  <c r="U143" i="19"/>
  <c r="W149" i="19"/>
  <c r="T156" i="19"/>
  <c r="V1134" i="19"/>
  <c r="T1648" i="19"/>
  <c r="X1548" i="19"/>
  <c r="K1548" i="19" s="1"/>
  <c r="X1604" i="19"/>
  <c r="W1728" i="19"/>
  <c r="U1626" i="19"/>
  <c r="X1523" i="19"/>
  <c r="K1523" i="19" s="1"/>
  <c r="T1343" i="19"/>
  <c r="W1741" i="19"/>
  <c r="U1639" i="19"/>
  <c r="X1536" i="19"/>
  <c r="K1536" i="19" s="1"/>
  <c r="G518" i="22" s="1"/>
  <c r="X1395" i="19"/>
  <c r="K1395" i="19" s="1"/>
  <c r="T107" i="19"/>
  <c r="T547" i="19"/>
  <c r="S547" i="19" s="1"/>
  <c r="X751" i="19"/>
  <c r="K751" i="19" s="1"/>
  <c r="G623" i="22" s="1"/>
  <c r="W956" i="19"/>
  <c r="U1110" i="19"/>
  <c r="X260" i="19"/>
  <c r="K260" i="19" s="1"/>
  <c r="F60" i="13" s="1"/>
  <c r="W465" i="19"/>
  <c r="R101" i="13" s="1"/>
  <c r="X596" i="19"/>
  <c r="K596" i="19" s="1"/>
  <c r="G499" i="22" s="1"/>
  <c r="U699" i="19"/>
  <c r="U795" i="19"/>
  <c r="V862" i="19"/>
  <c r="W929" i="19"/>
  <c r="T1000" i="19"/>
  <c r="U1067" i="19"/>
  <c r="T11" i="19"/>
  <c r="U254" i="19"/>
  <c r="W388" i="19"/>
  <c r="T523" i="19"/>
  <c r="V593" i="19"/>
  <c r="W660" i="19"/>
  <c r="R140" i="13" s="1"/>
  <c r="X727" i="19"/>
  <c r="K727" i="19" s="1"/>
  <c r="U798" i="19"/>
  <c r="V865" i="19"/>
  <c r="W932" i="19"/>
  <c r="T1003" i="19"/>
  <c r="T1067" i="19"/>
  <c r="S1067" i="19" s="1"/>
  <c r="U1118" i="19"/>
  <c r="W417" i="19"/>
  <c r="U675" i="19"/>
  <c r="T880" i="19"/>
  <c r="X1084" i="19"/>
  <c r="U1155" i="19"/>
  <c r="X1180" i="19"/>
  <c r="K1180" i="19" s="1"/>
  <c r="V1206" i="19"/>
  <c r="T1232" i="19"/>
  <c r="W1257" i="19"/>
  <c r="U1283" i="19"/>
  <c r="X1308" i="19"/>
  <c r="K1308" i="19" s="1"/>
  <c r="V1334" i="19"/>
  <c r="T1360" i="19"/>
  <c r="S1360" i="19" s="1"/>
  <c r="W1385" i="19"/>
  <c r="R285" i="13" s="1"/>
  <c r="E193" i="15" s="1"/>
  <c r="F193" i="15" s="1"/>
  <c r="U1411" i="19"/>
  <c r="X1436" i="19"/>
  <c r="K1436" i="19" s="1"/>
  <c r="G472" i="22" s="1"/>
  <c r="U411" i="19"/>
  <c r="T672" i="19"/>
  <c r="X876" i="19"/>
  <c r="K876" i="19" s="1"/>
  <c r="G537" i="22" s="1"/>
  <c r="W1081" i="19"/>
  <c r="T1155" i="19"/>
  <c r="S1155" i="19" s="1"/>
  <c r="W1180" i="19"/>
  <c r="R244" i="13" s="1"/>
  <c r="U1206" i="19"/>
  <c r="X1231" i="19"/>
  <c r="K1231" i="19" s="1"/>
  <c r="G384" i="22" s="1"/>
  <c r="V1257" i="19"/>
  <c r="T1283" i="19"/>
  <c r="S1283" i="19" s="1"/>
  <c r="W1308" i="19"/>
  <c r="U1334" i="19"/>
  <c r="X1359" i="19"/>
  <c r="V1385" i="19"/>
  <c r="T1411" i="19"/>
  <c r="S1411" i="19" s="1"/>
  <c r="W1436" i="19"/>
  <c r="W225" i="19"/>
  <c r="R53" i="13" s="1"/>
  <c r="AE53" i="13" s="1"/>
  <c r="U579" i="19"/>
  <c r="T784" i="19"/>
  <c r="X988" i="19"/>
  <c r="K988" i="19" s="1"/>
  <c r="U1143" i="19"/>
  <c r="X1168" i="19"/>
  <c r="K1168" i="19" s="1"/>
  <c r="V1194" i="19"/>
  <c r="T1220" i="19"/>
  <c r="W1245" i="19"/>
  <c r="R257" i="13" s="1"/>
  <c r="U1271" i="19"/>
  <c r="X1296" i="19"/>
  <c r="K1296" i="19" s="1"/>
  <c r="G595" i="22" s="1"/>
  <c r="V1322" i="19"/>
  <c r="T1348" i="19"/>
  <c r="W1373" i="19"/>
  <c r="U1399" i="19"/>
  <c r="X1424" i="19"/>
  <c r="U1758" i="19"/>
  <c r="W1732" i="19"/>
  <c r="W1708" i="19"/>
  <c r="T1691" i="19"/>
  <c r="T1675" i="19"/>
  <c r="V1657" i="19"/>
  <c r="X1639" i="19"/>
  <c r="X1623" i="19"/>
  <c r="K1623" i="19" s="1"/>
  <c r="U1606" i="19"/>
  <c r="W1588" i="19"/>
  <c r="W1572" i="19"/>
  <c r="T1555" i="19"/>
  <c r="V1537" i="19"/>
  <c r="V1521" i="19"/>
  <c r="X1503" i="19"/>
  <c r="K1503" i="19" s="1"/>
  <c r="U1486" i="19"/>
  <c r="U1470" i="19"/>
  <c r="X1451" i="19"/>
  <c r="K1451" i="19" s="1"/>
  <c r="V1397" i="19"/>
  <c r="V1333" i="19"/>
  <c r="T1263" i="19"/>
  <c r="S1263" i="19" s="1"/>
  <c r="W1192" i="19"/>
  <c r="U1075" i="19"/>
  <c r="X500" i="19"/>
  <c r="K500" i="19" s="1"/>
  <c r="F108" i="13" s="1"/>
  <c r="U1760" i="19"/>
  <c r="U1752" i="19"/>
  <c r="V1743" i="19"/>
  <c r="W1734" i="19"/>
  <c r="W1726" i="19"/>
  <c r="X1717" i="19"/>
  <c r="K1717" i="19" s="1"/>
  <c r="T1709" i="19"/>
  <c r="T1701" i="19"/>
  <c r="U1692" i="19"/>
  <c r="V1683" i="19"/>
  <c r="V1675" i="19"/>
  <c r="W1666" i="19"/>
  <c r="X1657" i="19"/>
  <c r="K1657" i="19" s="1"/>
  <c r="X1649" i="19"/>
  <c r="T1641" i="19"/>
  <c r="U1632" i="19"/>
  <c r="S1632" i="19" s="1"/>
  <c r="U1624" i="19"/>
  <c r="V1615" i="19"/>
  <c r="W1606" i="19"/>
  <c r="W1598" i="19"/>
  <c r="X1589" i="19"/>
  <c r="T1581" i="19"/>
  <c r="T1573" i="19"/>
  <c r="U1564" i="19"/>
  <c r="V1555" i="19"/>
  <c r="V1547" i="19"/>
  <c r="W1538" i="19"/>
  <c r="X1529" i="19"/>
  <c r="X1521" i="19"/>
  <c r="K1521" i="19" s="1"/>
  <c r="G455" i="22" s="1"/>
  <c r="T1513" i="19"/>
  <c r="U1504" i="19"/>
  <c r="U1496" i="19"/>
  <c r="V1487" i="19"/>
  <c r="W1478" i="19"/>
  <c r="W1470" i="19"/>
  <c r="R302" i="13" s="1"/>
  <c r="X1461" i="19"/>
  <c r="K1461" i="19" s="1"/>
  <c r="G596" i="22" s="1"/>
  <c r="X1453" i="19"/>
  <c r="K1453" i="19" s="1"/>
  <c r="V1447" i="19"/>
  <c r="T1441" i="19"/>
  <c r="W1434" i="19"/>
  <c r="U1428" i="19"/>
  <c r="X1421" i="19"/>
  <c r="K1421" i="19" s="1"/>
  <c r="V1415" i="19"/>
  <c r="T1409" i="19"/>
  <c r="W1402" i="19"/>
  <c r="U1396" i="19"/>
  <c r="X1389" i="19"/>
  <c r="V1383" i="19"/>
  <c r="T1377" i="19"/>
  <c r="W1370" i="19"/>
  <c r="R282" i="13" s="1"/>
  <c r="U1364" i="19"/>
  <c r="X1357" i="19"/>
  <c r="K1357" i="19" s="1"/>
  <c r="G686" i="22" s="1"/>
  <c r="V1351" i="19"/>
  <c r="T1345" i="19"/>
  <c r="W1338" i="19"/>
  <c r="U1332" i="19"/>
  <c r="X1325" i="19"/>
  <c r="K1325" i="19" s="1"/>
  <c r="V1319" i="19"/>
  <c r="T1313" i="19"/>
  <c r="W1306" i="19"/>
  <c r="U1300" i="19"/>
  <c r="X1293" i="19"/>
  <c r="K1293" i="19" s="1"/>
  <c r="V1287" i="19"/>
  <c r="T1281" i="19"/>
  <c r="W1274" i="19"/>
  <c r="U1268" i="19"/>
  <c r="X1261" i="19"/>
  <c r="K1261" i="19" s="1"/>
  <c r="G734" i="22" s="1"/>
  <c r="V1255" i="19"/>
  <c r="T1249" i="19"/>
  <c r="W1242" i="19"/>
  <c r="U1236" i="19"/>
  <c r="X1229" i="19"/>
  <c r="V1223" i="19"/>
  <c r="T1217" i="19"/>
  <c r="W1210" i="19"/>
  <c r="R250" i="13" s="1"/>
  <c r="U1204" i="19"/>
  <c r="X1197" i="19"/>
  <c r="K1197" i="19" s="1"/>
  <c r="G753" i="22" s="1"/>
  <c r="V1191" i="19"/>
  <c r="T1185" i="19"/>
  <c r="W1178" i="19"/>
  <c r="U1172" i="19"/>
  <c r="X1165" i="19"/>
  <c r="K1165" i="19" s="1"/>
  <c r="F241" i="13" s="1"/>
  <c r="V1159" i="19"/>
  <c r="T1153" i="19"/>
  <c r="W1146" i="19"/>
  <c r="U1140" i="19"/>
  <c r="U1130" i="19"/>
  <c r="V1117" i="19"/>
  <c r="W1104" i="19"/>
  <c r="X1091" i="19"/>
  <c r="K1091" i="19" s="1"/>
  <c r="T1079" i="19"/>
  <c r="U1066" i="19"/>
  <c r="V1053" i="19"/>
  <c r="W1040" i="19"/>
  <c r="R216" i="13" s="1"/>
  <c r="X1027" i="19"/>
  <c r="K1027" i="19" s="1"/>
  <c r="T1015" i="19"/>
  <c r="U1002" i="19"/>
  <c r="V989" i="19"/>
  <c r="W976" i="19"/>
  <c r="X963" i="19"/>
  <c r="K963" i="19" s="1"/>
  <c r="T951" i="19"/>
  <c r="U938" i="19"/>
  <c r="V925" i="19"/>
  <c r="W912" i="19"/>
  <c r="X899" i="19"/>
  <c r="T887" i="19"/>
  <c r="U874" i="19"/>
  <c r="V861" i="19"/>
  <c r="W848" i="19"/>
  <c r="X835" i="19"/>
  <c r="K835" i="19" s="1"/>
  <c r="T823" i="19"/>
  <c r="U810" i="19"/>
  <c r="V797" i="19"/>
  <c r="W784" i="19"/>
  <c r="X771" i="19"/>
  <c r="K771" i="19" s="1"/>
  <c r="T759" i="19"/>
  <c r="U746" i="19"/>
  <c r="V733" i="19"/>
  <c r="W720" i="19"/>
  <c r="R152" i="13" s="1"/>
  <c r="X707" i="19"/>
  <c r="K707" i="19" s="1"/>
  <c r="G662" i="22" s="1"/>
  <c r="T695" i="19"/>
  <c r="U682" i="19"/>
  <c r="V669" i="19"/>
  <c r="W656" i="19"/>
  <c r="X643" i="19"/>
  <c r="K643" i="19" s="1"/>
  <c r="T631" i="19"/>
  <c r="U618" i="19"/>
  <c r="V605" i="19"/>
  <c r="W592" i="19"/>
  <c r="X579" i="19"/>
  <c r="T567" i="19"/>
  <c r="U554" i="19"/>
  <c r="V541" i="19"/>
  <c r="W528" i="19"/>
  <c r="W508" i="19"/>
  <c r="T483" i="19"/>
  <c r="V457" i="19"/>
  <c r="X431" i="19"/>
  <c r="K431" i="19" s="1"/>
  <c r="U406" i="19"/>
  <c r="W380" i="19"/>
  <c r="R84" i="13" s="1"/>
  <c r="T355" i="19"/>
  <c r="V329" i="19"/>
  <c r="X303" i="19"/>
  <c r="K303" i="19" s="1"/>
  <c r="U278" i="19"/>
  <c r="W252" i="19"/>
  <c r="U230" i="19"/>
  <c r="W212" i="19"/>
  <c r="U174" i="19"/>
  <c r="U142" i="19"/>
  <c r="U110" i="19"/>
  <c r="X71" i="19"/>
  <c r="K71" i="19" s="1"/>
  <c r="X39" i="19"/>
  <c r="V12" i="19"/>
  <c r="U17" i="19"/>
  <c r="U21" i="19"/>
  <c r="U25" i="19"/>
  <c r="T30" i="19"/>
  <c r="T34" i="19"/>
  <c r="T38" i="19"/>
  <c r="X42" i="19"/>
  <c r="K42" i="19" s="1"/>
  <c r="X46" i="19"/>
  <c r="K46" i="19" s="1"/>
  <c r="X50" i="19"/>
  <c r="K50" i="19" s="1"/>
  <c r="W55" i="19"/>
  <c r="R19" i="13" s="1"/>
  <c r="AE19" i="13" s="1"/>
  <c r="W59" i="19"/>
  <c r="W63" i="19"/>
  <c r="V68" i="19"/>
  <c r="V72" i="19"/>
  <c r="V76" i="19"/>
  <c r="U81" i="19"/>
  <c r="U85" i="19"/>
  <c r="U89" i="19"/>
  <c r="T94" i="19"/>
  <c r="T98" i="19"/>
  <c r="T102" i="19"/>
  <c r="X106" i="19"/>
  <c r="K106" i="19" s="1"/>
  <c r="X110" i="19"/>
  <c r="K110" i="19" s="1"/>
  <c r="G30" i="22" s="1"/>
  <c r="X114" i="19"/>
  <c r="W119" i="19"/>
  <c r="W123" i="19"/>
  <c r="W127" i="19"/>
  <c r="V132" i="19"/>
  <c r="V136" i="19"/>
  <c r="V140" i="19"/>
  <c r="U145" i="19"/>
  <c r="U149" i="19"/>
  <c r="U153" i="19"/>
  <c r="T158" i="19"/>
  <c r="T162" i="19"/>
  <c r="T166" i="19"/>
  <c r="X170" i="19"/>
  <c r="K170" i="19" s="1"/>
  <c r="X174" i="19"/>
  <c r="X178" i="19"/>
  <c r="K178" i="19" s="1"/>
  <c r="W183" i="19"/>
  <c r="W187" i="19"/>
  <c r="W191" i="19"/>
  <c r="V196" i="19"/>
  <c r="V200" i="19"/>
  <c r="V204" i="19"/>
  <c r="U209" i="19"/>
  <c r="U213" i="19"/>
  <c r="U12" i="19"/>
  <c r="T17" i="19"/>
  <c r="S17" i="19" s="1"/>
  <c r="T21" i="19"/>
  <c r="S21" i="19" s="1"/>
  <c r="T25" i="19"/>
  <c r="S25" i="19" s="1"/>
  <c r="X29" i="19"/>
  <c r="X33" i="19"/>
  <c r="K33" i="19" s="1"/>
  <c r="X37" i="19"/>
  <c r="K37" i="19" s="1"/>
  <c r="W42" i="19"/>
  <c r="W46" i="19"/>
  <c r="W50" i="19"/>
  <c r="R18" i="13" s="1"/>
  <c r="V55" i="19"/>
  <c r="V59" i="19"/>
  <c r="V63" i="19"/>
  <c r="U68" i="19"/>
  <c r="U72" i="19"/>
  <c r="U76" i="19"/>
  <c r="T81" i="19"/>
  <c r="S81" i="19" s="1"/>
  <c r="T85" i="19"/>
  <c r="S85" i="19" s="1"/>
  <c r="T89" i="19"/>
  <c r="S89" i="19" s="1"/>
  <c r="X93" i="19"/>
  <c r="K93" i="19" s="1"/>
  <c r="X97" i="19"/>
  <c r="K97" i="19" s="1"/>
  <c r="G794" i="22" s="1"/>
  <c r="X101" i="19"/>
  <c r="K101" i="19" s="1"/>
  <c r="G374" i="22" s="1"/>
  <c r="W106" i="19"/>
  <c r="W110" i="19"/>
  <c r="R30" i="13" s="1"/>
  <c r="W114" i="19"/>
  <c r="V119" i="19"/>
  <c r="V123" i="19"/>
  <c r="V127" i="19"/>
  <c r="U132" i="19"/>
  <c r="U136" i="19"/>
  <c r="U140" i="19"/>
  <c r="T145" i="19"/>
  <c r="S145" i="19" s="1"/>
  <c r="T149" i="19"/>
  <c r="S149" i="19" s="1"/>
  <c r="T153" i="19"/>
  <c r="S153" i="19" s="1"/>
  <c r="X157" i="19"/>
  <c r="K157" i="19" s="1"/>
  <c r="X161" i="19"/>
  <c r="K161" i="19" s="1"/>
  <c r="G716" i="22" s="1"/>
  <c r="X165" i="19"/>
  <c r="K165" i="19" s="1"/>
  <c r="F41" i="13" s="1"/>
  <c r="W170" i="19"/>
  <c r="R42" i="13" s="1"/>
  <c r="W174" i="19"/>
  <c r="W178" i="19"/>
  <c r="V183" i="19"/>
  <c r="V187" i="19"/>
  <c r="V191" i="19"/>
  <c r="U196" i="19"/>
  <c r="U200" i="19"/>
  <c r="U204" i="19"/>
  <c r="T209" i="19"/>
  <c r="S209" i="19" s="1"/>
  <c r="T213" i="19"/>
  <c r="S213" i="19" s="1"/>
  <c r="W13" i="19"/>
  <c r="U23" i="19"/>
  <c r="U31" i="19"/>
  <c r="U39" i="19"/>
  <c r="X48" i="19"/>
  <c r="K48" i="19" s="1"/>
  <c r="X56" i="19"/>
  <c r="K56" i="19" s="1"/>
  <c r="G639" i="22" s="1"/>
  <c r="X64" i="19"/>
  <c r="V74" i="19"/>
  <c r="V82" i="19"/>
  <c r="V90" i="19"/>
  <c r="T100" i="19"/>
  <c r="T108" i="19"/>
  <c r="T116" i="19"/>
  <c r="W125" i="19"/>
  <c r="R33" i="13" s="1"/>
  <c r="W133" i="19"/>
  <c r="W141" i="19"/>
  <c r="U151" i="19"/>
  <c r="U159" i="19"/>
  <c r="W165" i="19"/>
  <c r="R41" i="13" s="1"/>
  <c r="T172" i="19"/>
  <c r="S172" i="19" s="1"/>
  <c r="V178" i="19"/>
  <c r="X184" i="19"/>
  <c r="U191" i="19"/>
  <c r="W197" i="19"/>
  <c r="T204" i="19"/>
  <c r="V210" i="19"/>
  <c r="V216" i="19"/>
  <c r="W219" i="19"/>
  <c r="X222" i="19"/>
  <c r="K222" i="19" s="1"/>
  <c r="T226" i="19"/>
  <c r="U229" i="19"/>
  <c r="V232" i="19"/>
  <c r="W235" i="19"/>
  <c r="R55" i="13" s="1"/>
  <c r="E39" i="15" s="1"/>
  <c r="F39" i="15" s="1"/>
  <c r="X238" i="19"/>
  <c r="K238" i="19" s="1"/>
  <c r="T242" i="19"/>
  <c r="U245" i="19"/>
  <c r="V248" i="19"/>
  <c r="W251" i="19"/>
  <c r="X254" i="19"/>
  <c r="T258" i="19"/>
  <c r="S258" i="19" s="1"/>
  <c r="U261" i="19"/>
  <c r="V264" i="19"/>
  <c r="W267" i="19"/>
  <c r="X270" i="19"/>
  <c r="K270" i="19" s="1"/>
  <c r="T274" i="19"/>
  <c r="U277" i="19"/>
  <c r="V280" i="19"/>
  <c r="W283" i="19"/>
  <c r="X286" i="19"/>
  <c r="K286" i="19" s="1"/>
  <c r="G682" i="22" s="1"/>
  <c r="T290" i="19"/>
  <c r="U293" i="19"/>
  <c r="V296" i="19"/>
  <c r="W299" i="19"/>
  <c r="X302" i="19"/>
  <c r="K302" i="19" s="1"/>
  <c r="T306" i="19"/>
  <c r="U309" i="19"/>
  <c r="V312" i="19"/>
  <c r="W315" i="19"/>
  <c r="R71" i="13" s="1"/>
  <c r="X318" i="19"/>
  <c r="K318" i="19" s="1"/>
  <c r="T322" i="19"/>
  <c r="U325" i="19"/>
  <c r="V328" i="19"/>
  <c r="W331" i="19"/>
  <c r="X334" i="19"/>
  <c r="T338" i="19"/>
  <c r="U341" i="19"/>
  <c r="V344" i="19"/>
  <c r="W347" i="19"/>
  <c r="X350" i="19"/>
  <c r="K350" i="19" s="1"/>
  <c r="T354" i="19"/>
  <c r="U357" i="19"/>
  <c r="V360" i="19"/>
  <c r="W363" i="19"/>
  <c r="X366" i="19"/>
  <c r="K366" i="19" s="1"/>
  <c r="G626" i="22" s="1"/>
  <c r="T370" i="19"/>
  <c r="U373" i="19"/>
  <c r="V376" i="19"/>
  <c r="W379" i="19"/>
  <c r="X382" i="19"/>
  <c r="K382" i="19" s="1"/>
  <c r="G573" i="22" s="1"/>
  <c r="T386" i="19"/>
  <c r="U389" i="19"/>
  <c r="V392" i="19"/>
  <c r="W395" i="19"/>
  <c r="R87" i="13" s="1"/>
  <c r="AE87" i="13" s="1"/>
  <c r="X398" i="19"/>
  <c r="K398" i="19" s="1"/>
  <c r="G801" i="22" s="1"/>
  <c r="T402" i="19"/>
  <c r="S402" i="19" s="1"/>
  <c r="U405" i="19"/>
  <c r="V408" i="19"/>
  <c r="W411" i="19"/>
  <c r="X414" i="19"/>
  <c r="T418" i="19"/>
  <c r="U421" i="19"/>
  <c r="V424" i="19"/>
  <c r="W427" i="19"/>
  <c r="X430" i="19"/>
  <c r="K430" i="19" s="1"/>
  <c r="T434" i="19"/>
  <c r="U437" i="19"/>
  <c r="V440" i="19"/>
  <c r="W443" i="19"/>
  <c r="X446" i="19"/>
  <c r="K446" i="19" s="1"/>
  <c r="G722" i="22" s="1"/>
  <c r="T450" i="19"/>
  <c r="S450" i="19" s="1"/>
  <c r="U453" i="19"/>
  <c r="V456" i="19"/>
  <c r="W459" i="19"/>
  <c r="X462" i="19"/>
  <c r="K462" i="19" s="1"/>
  <c r="T466" i="19"/>
  <c r="U469" i="19"/>
  <c r="V472" i="19"/>
  <c r="W475" i="19"/>
  <c r="R103" i="13" s="1"/>
  <c r="X478" i="19"/>
  <c r="K478" i="19" s="1"/>
  <c r="T482" i="19"/>
  <c r="U485" i="19"/>
  <c r="V488" i="19"/>
  <c r="W491" i="19"/>
  <c r="X494" i="19"/>
  <c r="T498" i="19"/>
  <c r="U501" i="19"/>
  <c r="V504" i="19"/>
  <c r="W507" i="19"/>
  <c r="X510" i="19"/>
  <c r="K510" i="19" s="1"/>
  <c r="T514" i="19"/>
  <c r="U517" i="19"/>
  <c r="V520" i="19"/>
  <c r="X11" i="19"/>
  <c r="K11" i="19" s="1"/>
  <c r="U18" i="19"/>
  <c r="W24" i="19"/>
  <c r="T31" i="19"/>
  <c r="V37" i="19"/>
  <c r="X43" i="19"/>
  <c r="K43" i="19" s="1"/>
  <c r="U50" i="19"/>
  <c r="W56" i="19"/>
  <c r="T63" i="19"/>
  <c r="V69" i="19"/>
  <c r="X75" i="19"/>
  <c r="K75" i="19" s="1"/>
  <c r="U82" i="19"/>
  <c r="W88" i="19"/>
  <c r="T95" i="19"/>
  <c r="V101" i="19"/>
  <c r="X107" i="19"/>
  <c r="K107" i="19" s="1"/>
  <c r="U114" i="19"/>
  <c r="W120" i="19"/>
  <c r="R32" i="13" s="1"/>
  <c r="AE32" i="13" s="1"/>
  <c r="T127" i="19"/>
  <c r="V133" i="19"/>
  <c r="X139" i="19"/>
  <c r="U146" i="19"/>
  <c r="W152" i="19"/>
  <c r="T159" i="19"/>
  <c r="S159" i="19" s="1"/>
  <c r="V165" i="19"/>
  <c r="X171" i="19"/>
  <c r="K171" i="19" s="1"/>
  <c r="G416" i="22" s="1"/>
  <c r="U178" i="19"/>
  <c r="W184" i="19"/>
  <c r="T191" i="19"/>
  <c r="S191" i="19" s="1"/>
  <c r="V197" i="19"/>
  <c r="X203" i="19"/>
  <c r="K203" i="19" s="1"/>
  <c r="U210" i="19"/>
  <c r="U216" i="19"/>
  <c r="V219" i="19"/>
  <c r="W222" i="19"/>
  <c r="X225" i="19"/>
  <c r="K225" i="19" s="1"/>
  <c r="T229" i="19"/>
  <c r="S229" i="19" s="1"/>
  <c r="U232" i="19"/>
  <c r="V235" i="19"/>
  <c r="W238" i="19"/>
  <c r="X241" i="19"/>
  <c r="K241" i="19" s="1"/>
  <c r="G461" i="22" s="1"/>
  <c r="T245" i="19"/>
  <c r="S245" i="19" s="1"/>
  <c r="U248" i="19"/>
  <c r="S248" i="19" s="1"/>
  <c r="V251" i="19"/>
  <c r="W254" i="19"/>
  <c r="X257" i="19"/>
  <c r="K257" i="19" s="1"/>
  <c r="G798" i="22" s="1"/>
  <c r="T261" i="19"/>
  <c r="S261" i="19" s="1"/>
  <c r="U264" i="19"/>
  <c r="V267" i="19"/>
  <c r="W270" i="19"/>
  <c r="R62" i="13" s="1"/>
  <c r="X273" i="19"/>
  <c r="K273" i="19" s="1"/>
  <c r="T277" i="19"/>
  <c r="S277" i="19" s="1"/>
  <c r="U280" i="19"/>
  <c r="V283" i="19"/>
  <c r="W286" i="19"/>
  <c r="X289" i="19"/>
  <c r="T293" i="19"/>
  <c r="S293" i="19" s="1"/>
  <c r="U296" i="19"/>
  <c r="V299" i="19"/>
  <c r="W302" i="19"/>
  <c r="X305" i="19"/>
  <c r="K305" i="19" s="1"/>
  <c r="T309" i="19"/>
  <c r="S309" i="19" s="1"/>
  <c r="U312" i="19"/>
  <c r="V315" i="19"/>
  <c r="W318" i="19"/>
  <c r="X321" i="19"/>
  <c r="K321" i="19" s="1"/>
  <c r="G674" i="22" s="1"/>
  <c r="T325" i="19"/>
  <c r="S325" i="19" s="1"/>
  <c r="U328" i="19"/>
  <c r="V331" i="19"/>
  <c r="W334" i="19"/>
  <c r="X337" i="19"/>
  <c r="K337" i="19" s="1"/>
  <c r="G601" i="22" s="1"/>
  <c r="T341" i="19"/>
  <c r="S341" i="19" s="1"/>
  <c r="U344" i="19"/>
  <c r="V347" i="19"/>
  <c r="W350" i="19"/>
  <c r="R78" i="13" s="1"/>
  <c r="X353" i="19"/>
  <c r="K353" i="19" s="1"/>
  <c r="T357" i="19"/>
  <c r="S357" i="19" s="1"/>
  <c r="U360" i="19"/>
  <c r="V363" i="19"/>
  <c r="W366" i="19"/>
  <c r="X369" i="19"/>
  <c r="T373" i="19"/>
  <c r="S373" i="19" s="1"/>
  <c r="U376" i="19"/>
  <c r="V379" i="19"/>
  <c r="W382" i="19"/>
  <c r="X385" i="19"/>
  <c r="K385" i="19" s="1"/>
  <c r="F85" i="13" s="1"/>
  <c r="T389" i="19"/>
  <c r="S389" i="19" s="1"/>
  <c r="U392" i="19"/>
  <c r="V395" i="19"/>
  <c r="W398" i="19"/>
  <c r="X401" i="19"/>
  <c r="K401" i="19" s="1"/>
  <c r="T405" i="19"/>
  <c r="S405" i="19" s="1"/>
  <c r="U408" i="19"/>
  <c r="V411" i="19"/>
  <c r="W414" i="19"/>
  <c r="X417" i="19"/>
  <c r="K417" i="19" s="1"/>
  <c r="T421" i="19"/>
  <c r="S421" i="19" s="1"/>
  <c r="U424" i="19"/>
  <c r="V427" i="19"/>
  <c r="W430" i="19"/>
  <c r="R94" i="13" s="1"/>
  <c r="E62" i="15" s="1"/>
  <c r="F62" i="15" s="1"/>
  <c r="X433" i="19"/>
  <c r="K433" i="19" s="1"/>
  <c r="T437" i="19"/>
  <c r="S437" i="19" s="1"/>
  <c r="U440" i="19"/>
  <c r="S440" i="19" s="1"/>
  <c r="V443" i="19"/>
  <c r="W446" i="19"/>
  <c r="X449" i="19"/>
  <c r="T453" i="19"/>
  <c r="S453" i="19" s="1"/>
  <c r="U456" i="19"/>
  <c r="V459" i="19"/>
  <c r="W462" i="19"/>
  <c r="X465" i="19"/>
  <c r="K465" i="19" s="1"/>
  <c r="T469" i="19"/>
  <c r="S469" i="19" s="1"/>
  <c r="U472" i="19"/>
  <c r="V475" i="19"/>
  <c r="W478" i="19"/>
  <c r="X481" i="19"/>
  <c r="K481" i="19" s="1"/>
  <c r="T485" i="19"/>
  <c r="S485" i="19" s="1"/>
  <c r="U488" i="19"/>
  <c r="V491" i="19"/>
  <c r="W494" i="19"/>
  <c r="X497" i="19"/>
  <c r="K497" i="19" s="1"/>
  <c r="T501" i="19"/>
  <c r="S501" i="19" s="1"/>
  <c r="U504" i="19"/>
  <c r="V507" i="19"/>
  <c r="W510" i="19"/>
  <c r="R110" i="13" s="1"/>
  <c r="E76" i="15" s="1"/>
  <c r="F76" i="15" s="1"/>
  <c r="X513" i="19"/>
  <c r="K513" i="19" s="1"/>
  <c r="T517" i="19"/>
  <c r="S517" i="19" s="1"/>
  <c r="U520" i="19"/>
  <c r="X12" i="19"/>
  <c r="K12" i="19" s="1"/>
  <c r="W25" i="19"/>
  <c r="R13" i="13" s="1"/>
  <c r="V38" i="19"/>
  <c r="U51" i="19"/>
  <c r="T64" i="19"/>
  <c r="S64" i="19" s="1"/>
  <c r="X76" i="19"/>
  <c r="K76" i="19" s="1"/>
  <c r="W89" i="19"/>
  <c r="V102" i="19"/>
  <c r="U115" i="19"/>
  <c r="T128" i="19"/>
  <c r="X140" i="19"/>
  <c r="K140" i="19" s="1"/>
  <c r="W153" i="19"/>
  <c r="V166" i="19"/>
  <c r="U179" i="19"/>
  <c r="S179" i="19" s="1"/>
  <c r="T192" i="19"/>
  <c r="X204" i="19"/>
  <c r="X216" i="19"/>
  <c r="K216" i="19" s="1"/>
  <c r="G383" i="22" s="1"/>
  <c r="U223" i="19"/>
  <c r="W229" i="19"/>
  <c r="T236" i="19"/>
  <c r="V242" i="19"/>
  <c r="X248" i="19"/>
  <c r="K248" i="19" s="1"/>
  <c r="U255" i="19"/>
  <c r="W261" i="19"/>
  <c r="T268" i="19"/>
  <c r="V274" i="19"/>
  <c r="X280" i="19"/>
  <c r="K280" i="19" s="1"/>
  <c r="F64" i="13" s="1"/>
  <c r="U287" i="19"/>
  <c r="W293" i="19"/>
  <c r="T300" i="19"/>
  <c r="V306" i="19"/>
  <c r="X312" i="19"/>
  <c r="K312" i="19" s="1"/>
  <c r="U319" i="19"/>
  <c r="W325" i="19"/>
  <c r="R73" i="13" s="1"/>
  <c r="E49" i="15" s="1"/>
  <c r="F49" i="15" s="1"/>
  <c r="T332" i="19"/>
  <c r="V338" i="19"/>
  <c r="X344" i="19"/>
  <c r="U351" i="19"/>
  <c r="W357" i="19"/>
  <c r="T364" i="19"/>
  <c r="V370" i="19"/>
  <c r="X376" i="19"/>
  <c r="K376" i="19" s="1"/>
  <c r="G413" i="22" s="1"/>
  <c r="U383" i="19"/>
  <c r="W389" i="19"/>
  <c r="T396" i="19"/>
  <c r="V402" i="19"/>
  <c r="X408" i="19"/>
  <c r="K408" i="19" s="1"/>
  <c r="U415" i="19"/>
  <c r="W421" i="19"/>
  <c r="T428" i="19"/>
  <c r="V434" i="19"/>
  <c r="X440" i="19"/>
  <c r="K440" i="19" s="1"/>
  <c r="U447" i="19"/>
  <c r="W453" i="19"/>
  <c r="T460" i="19"/>
  <c r="V466" i="19"/>
  <c r="X472" i="19"/>
  <c r="K472" i="19" s="1"/>
  <c r="U479" i="19"/>
  <c r="W485" i="19"/>
  <c r="R105" i="13" s="1"/>
  <c r="E71" i="15" s="1"/>
  <c r="F71" i="15" s="1"/>
  <c r="T492" i="19"/>
  <c r="V498" i="19"/>
  <c r="X504" i="19"/>
  <c r="U511" i="19"/>
  <c r="W517" i="19"/>
  <c r="W523" i="19"/>
  <c r="X526" i="19"/>
  <c r="K526" i="19" s="1"/>
  <c r="G447" i="22" s="1"/>
  <c r="T530" i="19"/>
  <c r="U533" i="19"/>
  <c r="V536" i="19"/>
  <c r="W539" i="19"/>
  <c r="X542" i="19"/>
  <c r="K542" i="19" s="1"/>
  <c r="T546" i="19"/>
  <c r="U549" i="19"/>
  <c r="V552" i="19"/>
  <c r="W555" i="19"/>
  <c r="R119" i="13" s="1"/>
  <c r="E80" i="15" s="1"/>
  <c r="F80" i="15" s="1"/>
  <c r="X558" i="19"/>
  <c r="K558" i="19" s="1"/>
  <c r="T562" i="19"/>
  <c r="U565" i="19"/>
  <c r="S565" i="19" s="1"/>
  <c r="V568" i="19"/>
  <c r="W571" i="19"/>
  <c r="X574" i="19"/>
  <c r="T578" i="19"/>
  <c r="U581" i="19"/>
  <c r="S581" i="19" s="1"/>
  <c r="V584" i="19"/>
  <c r="W587" i="19"/>
  <c r="X590" i="19"/>
  <c r="K590" i="19" s="1"/>
  <c r="T594" i="19"/>
  <c r="U597" i="19"/>
  <c r="V600" i="19"/>
  <c r="W603" i="19"/>
  <c r="X606" i="19"/>
  <c r="K606" i="19" s="1"/>
  <c r="G429" i="22" s="1"/>
  <c r="T610" i="19"/>
  <c r="U613" i="19"/>
  <c r="V616" i="19"/>
  <c r="W619" i="19"/>
  <c r="X622" i="19"/>
  <c r="K622" i="19" s="1"/>
  <c r="G732" i="22" s="1"/>
  <c r="T626" i="19"/>
  <c r="U629" i="19"/>
  <c r="V632" i="19"/>
  <c r="W635" i="19"/>
  <c r="R135" i="13" s="1"/>
  <c r="X638" i="19"/>
  <c r="K638" i="19" s="1"/>
  <c r="T642" i="19"/>
  <c r="S642" i="19" s="1"/>
  <c r="U645" i="19"/>
  <c r="V648" i="19"/>
  <c r="W651" i="19"/>
  <c r="X654" i="19"/>
  <c r="T658" i="19"/>
  <c r="U661" i="19"/>
  <c r="V664" i="19"/>
  <c r="W667" i="19"/>
  <c r="X670" i="19"/>
  <c r="K670" i="19" s="1"/>
  <c r="F142" i="13" s="1"/>
  <c r="T674" i="19"/>
  <c r="U677" i="19"/>
  <c r="V680" i="19"/>
  <c r="W683" i="19"/>
  <c r="X686" i="19"/>
  <c r="K686" i="19" s="1"/>
  <c r="G635" i="22" s="1"/>
  <c r="T690" i="19"/>
  <c r="U693" i="19"/>
  <c r="V696" i="19"/>
  <c r="W699" i="19"/>
  <c r="X702" i="19"/>
  <c r="K702" i="19" s="1"/>
  <c r="T706" i="19"/>
  <c r="U709" i="19"/>
  <c r="V712" i="19"/>
  <c r="W715" i="19"/>
  <c r="R151" i="13" s="1"/>
  <c r="E98" i="15" s="1"/>
  <c r="F98" i="15" s="1"/>
  <c r="X718" i="19"/>
  <c r="K718" i="19" s="1"/>
  <c r="T722" i="19"/>
  <c r="U725" i="19"/>
  <c r="V728" i="19"/>
  <c r="W731" i="19"/>
  <c r="X734" i="19"/>
  <c r="T738" i="19"/>
  <c r="U741" i="19"/>
  <c r="V744" i="19"/>
  <c r="W747" i="19"/>
  <c r="X750" i="19"/>
  <c r="K750" i="19" s="1"/>
  <c r="T754" i="19"/>
  <c r="U757" i="19"/>
  <c r="V760" i="19"/>
  <c r="W763" i="19"/>
  <c r="X766" i="19"/>
  <c r="K766" i="19" s="1"/>
  <c r="T770" i="19"/>
  <c r="S770" i="19" s="1"/>
  <c r="U773" i="19"/>
  <c r="V776" i="19"/>
  <c r="W779" i="19"/>
  <c r="X782" i="19"/>
  <c r="K782" i="19" s="1"/>
  <c r="T786" i="19"/>
  <c r="W1264" i="19"/>
  <c r="U1667" i="19"/>
  <c r="U1587" i="19"/>
  <c r="T1624" i="19"/>
  <c r="V1733" i="19"/>
  <c r="T1631" i="19"/>
  <c r="S1631" i="19" s="1"/>
  <c r="W1528" i="19"/>
  <c r="U1362" i="19"/>
  <c r="V1746" i="19"/>
  <c r="T1644" i="19"/>
  <c r="S1644" i="19" s="1"/>
  <c r="W1541" i="19"/>
  <c r="T1415" i="19"/>
  <c r="W68" i="19"/>
  <c r="V537" i="19"/>
  <c r="U742" i="19"/>
  <c r="T947" i="19"/>
  <c r="T1107" i="19"/>
  <c r="S1107" i="19" s="1"/>
  <c r="V254" i="19"/>
  <c r="U459" i="19"/>
  <c r="W593" i="19"/>
  <c r="T696" i="19"/>
  <c r="X788" i="19"/>
  <c r="K788" i="19" s="1"/>
  <c r="U859" i="19"/>
  <c r="V926" i="19"/>
  <c r="W993" i="19"/>
  <c r="T1064" i="19"/>
  <c r="U1131" i="19"/>
  <c r="V241" i="19"/>
  <c r="U382" i="19"/>
  <c r="W516" i="19"/>
  <c r="T587" i="19"/>
  <c r="V657" i="19"/>
  <c r="W724" i="19"/>
  <c r="X791" i="19"/>
  <c r="K791" i="19" s="1"/>
  <c r="U862" i="19"/>
  <c r="V929" i="19"/>
  <c r="W996" i="19"/>
  <c r="X1063" i="19"/>
  <c r="K1063" i="19" s="1"/>
  <c r="T1115" i="19"/>
  <c r="T392" i="19"/>
  <c r="V662" i="19"/>
  <c r="U867" i="19"/>
  <c r="T1072" i="19"/>
  <c r="W1153" i="19"/>
  <c r="U1179" i="19"/>
  <c r="X1204" i="19"/>
  <c r="V1230" i="19"/>
  <c r="T1256" i="19"/>
  <c r="W1281" i="19"/>
  <c r="U1307" i="19"/>
  <c r="X1332" i="19"/>
  <c r="K1332" i="19" s="1"/>
  <c r="G789" i="22" s="1"/>
  <c r="V1358" i="19"/>
  <c r="T1384" i="19"/>
  <c r="W1409" i="19"/>
  <c r="U1435" i="19"/>
  <c r="W385" i="19"/>
  <c r="R85" i="13" s="1"/>
  <c r="U659" i="19"/>
  <c r="T864" i="19"/>
  <c r="X1068" i="19"/>
  <c r="K1068" i="19" s="1"/>
  <c r="V1153" i="19"/>
  <c r="T1179" i="19"/>
  <c r="S1179" i="19" s="1"/>
  <c r="W1204" i="19"/>
  <c r="U1230" i="19"/>
  <c r="X1255" i="19"/>
  <c r="K1255" i="19" s="1"/>
  <c r="V1281" i="19"/>
  <c r="T1307" i="19"/>
  <c r="S1307" i="19" s="1"/>
  <c r="W1332" i="19"/>
  <c r="U1358" i="19"/>
  <c r="X1383" i="19"/>
  <c r="K1383" i="19" s="1"/>
  <c r="V1409" i="19"/>
  <c r="T1435" i="19"/>
  <c r="S1435" i="19" s="1"/>
  <c r="T184" i="19"/>
  <c r="V566" i="19"/>
  <c r="U771" i="19"/>
  <c r="T976" i="19"/>
  <c r="W1141" i="19"/>
  <c r="U1167" i="19"/>
  <c r="X1192" i="19"/>
  <c r="K1192" i="19" s="1"/>
  <c r="V1218" i="19"/>
  <c r="T1244" i="19"/>
  <c r="S1244" i="19" s="1"/>
  <c r="W1269" i="19"/>
  <c r="U1295" i="19"/>
  <c r="X1320" i="19"/>
  <c r="K1320" i="19" s="1"/>
  <c r="F272" i="13" s="1"/>
  <c r="V1346" i="19"/>
  <c r="T1372" i="19"/>
  <c r="W1397" i="19"/>
  <c r="U1423" i="19"/>
  <c r="X1759" i="19"/>
  <c r="U1734" i="19"/>
  <c r="U1710" i="19"/>
  <c r="U1694" i="19"/>
  <c r="W1676" i="19"/>
  <c r="T1659" i="19"/>
  <c r="T1643" i="19"/>
  <c r="V1625" i="19"/>
  <c r="X1607" i="19"/>
  <c r="K1607" i="19" s="1"/>
  <c r="X1591" i="19"/>
  <c r="K1591" i="19" s="1"/>
  <c r="G818" i="22" s="1"/>
  <c r="U1574" i="19"/>
  <c r="W1556" i="19"/>
  <c r="W1540" i="19"/>
  <c r="R316" i="13" s="1"/>
  <c r="T1523" i="19"/>
  <c r="S1523" i="19" s="1"/>
  <c r="V1505" i="19"/>
  <c r="V1489" i="19"/>
  <c r="X1471" i="19"/>
  <c r="K1471" i="19" s="1"/>
  <c r="G569" i="22" s="1"/>
  <c r="W1453" i="19"/>
  <c r="U1410" i="19"/>
  <c r="X1339" i="19"/>
  <c r="V1269" i="19"/>
  <c r="V1205" i="19"/>
  <c r="V1126" i="19"/>
  <c r="U563" i="19"/>
  <c r="X1761" i="19"/>
  <c r="K1761" i="19" s="1"/>
  <c r="G397" i="22" s="1"/>
  <c r="T1753" i="19"/>
  <c r="U1744" i="19"/>
  <c r="U1736" i="19"/>
  <c r="V1727" i="19"/>
  <c r="W1718" i="19"/>
  <c r="W1710" i="19"/>
  <c r="R350" i="13" s="1"/>
  <c r="X1701" i="19"/>
  <c r="K1701" i="19" s="1"/>
  <c r="G430" i="22" s="1"/>
  <c r="T1693" i="19"/>
  <c r="S1693" i="19" s="1"/>
  <c r="T1685" i="19"/>
  <c r="U1676" i="19"/>
  <c r="V1667" i="19"/>
  <c r="V1659" i="19"/>
  <c r="W1650" i="19"/>
  <c r="R338" i="13" s="1"/>
  <c r="X1641" i="19"/>
  <c r="K1641" i="19" s="1"/>
  <c r="X1633" i="19"/>
  <c r="K1633" i="19" s="1"/>
  <c r="T1625" i="19"/>
  <c r="U1616" i="19"/>
  <c r="U1608" i="19"/>
  <c r="V1599" i="19"/>
  <c r="W1590" i="19"/>
  <c r="R326" i="13" s="1"/>
  <c r="W1582" i="19"/>
  <c r="X1573" i="19"/>
  <c r="K1573" i="19" s="1"/>
  <c r="T1565" i="19"/>
  <c r="T1557" i="19"/>
  <c r="U1548" i="19"/>
  <c r="V1539" i="19"/>
  <c r="V1531" i="19"/>
  <c r="W1522" i="19"/>
  <c r="X1513" i="19"/>
  <c r="K1513" i="19" s="1"/>
  <c r="X1505" i="19"/>
  <c r="K1505" i="19" s="1"/>
  <c r="T1497" i="19"/>
  <c r="U1488" i="19"/>
  <c r="U1480" i="19"/>
  <c r="V1471" i="19"/>
  <c r="W1462" i="19"/>
  <c r="W1454" i="19"/>
  <c r="U1448" i="19"/>
  <c r="X1441" i="19"/>
  <c r="K1441" i="19" s="1"/>
  <c r="G517" i="22" s="1"/>
  <c r="V1435" i="19"/>
  <c r="T1429" i="19"/>
  <c r="W1422" i="19"/>
  <c r="U1416" i="19"/>
  <c r="X1409" i="19"/>
  <c r="V1403" i="19"/>
  <c r="T1397" i="19"/>
  <c r="W1390" i="19"/>
  <c r="R286" i="13" s="1"/>
  <c r="E194" i="15" s="1"/>
  <c r="F194" i="15" s="1"/>
  <c r="U1384" i="19"/>
  <c r="X1377" i="19"/>
  <c r="K1377" i="19" s="1"/>
  <c r="V1371" i="19"/>
  <c r="T1365" i="19"/>
  <c r="W1358" i="19"/>
  <c r="U1352" i="19"/>
  <c r="X1345" i="19"/>
  <c r="K1345" i="19" s="1"/>
  <c r="G277" i="22" s="1"/>
  <c r="V1339" i="19"/>
  <c r="T1333" i="19"/>
  <c r="W1326" i="19"/>
  <c r="U1320" i="19"/>
  <c r="X1313" i="19"/>
  <c r="K1313" i="19" s="1"/>
  <c r="V1307" i="19"/>
  <c r="T1301" i="19"/>
  <c r="W1294" i="19"/>
  <c r="U1288" i="19"/>
  <c r="X1281" i="19"/>
  <c r="K1281" i="19" s="1"/>
  <c r="G373" i="22" s="1"/>
  <c r="V1275" i="19"/>
  <c r="T1269" i="19"/>
  <c r="W1262" i="19"/>
  <c r="U1256" i="19"/>
  <c r="X1249" i="19"/>
  <c r="V1243" i="19"/>
  <c r="T1237" i="19"/>
  <c r="W1230" i="19"/>
  <c r="R254" i="13" s="1"/>
  <c r="U1224" i="19"/>
  <c r="X1217" i="19"/>
  <c r="K1217" i="19" s="1"/>
  <c r="V1211" i="19"/>
  <c r="T1205" i="19"/>
  <c r="W1198" i="19"/>
  <c r="U1192" i="19"/>
  <c r="X1185" i="19"/>
  <c r="K1185" i="19" s="1"/>
  <c r="V1179" i="19"/>
  <c r="T1173" i="19"/>
  <c r="W1166" i="19"/>
  <c r="U1160" i="19"/>
  <c r="X1153" i="19"/>
  <c r="K1153" i="19" s="1"/>
  <c r="V1147" i="19"/>
  <c r="T1141" i="19"/>
  <c r="X1131" i="19"/>
  <c r="K1131" i="19" s="1"/>
  <c r="T1119" i="19"/>
  <c r="U1106" i="19"/>
  <c r="V1093" i="19"/>
  <c r="W1080" i="19"/>
  <c r="R224" i="13" s="1"/>
  <c r="X1067" i="19"/>
  <c r="K1067" i="19" s="1"/>
  <c r="G785" i="22" s="1"/>
  <c r="T1055" i="19"/>
  <c r="U1042" i="19"/>
  <c r="V1029" i="19"/>
  <c r="W1016" i="19"/>
  <c r="X1003" i="19"/>
  <c r="K1003" i="19" s="1"/>
  <c r="T991" i="19"/>
  <c r="U978" i="19"/>
  <c r="V965" i="19"/>
  <c r="W952" i="19"/>
  <c r="X939" i="19"/>
  <c r="T927" i="19"/>
  <c r="U914" i="19"/>
  <c r="V901" i="19"/>
  <c r="W888" i="19"/>
  <c r="X875" i="19"/>
  <c r="K875" i="19" s="1"/>
  <c r="G183" i="22" s="1"/>
  <c r="T863" i="19"/>
  <c r="S863" i="19" s="1"/>
  <c r="U850" i="19"/>
  <c r="V837" i="19"/>
  <c r="W824" i="19"/>
  <c r="X811" i="19"/>
  <c r="K811" i="19" s="1"/>
  <c r="T799" i="19"/>
  <c r="S799" i="19" s="1"/>
  <c r="U786" i="19"/>
  <c r="V773" i="19"/>
  <c r="W760" i="19"/>
  <c r="R160" i="13" s="1"/>
  <c r="E104" i="15" s="1"/>
  <c r="F104" i="15" s="1"/>
  <c r="X747" i="19"/>
  <c r="K747" i="19" s="1"/>
  <c r="G676" i="22" s="1"/>
  <c r="T735" i="19"/>
  <c r="S735" i="19" s="1"/>
  <c r="U722" i="19"/>
  <c r="V709" i="19"/>
  <c r="W696" i="19"/>
  <c r="X683" i="19"/>
  <c r="K683" i="19" s="1"/>
  <c r="T671" i="19"/>
  <c r="U658" i="19"/>
  <c r="V645" i="19"/>
  <c r="W632" i="19"/>
  <c r="X619" i="19"/>
  <c r="T607" i="19"/>
  <c r="U594" i="19"/>
  <c r="V581" i="19"/>
  <c r="W568" i="19"/>
  <c r="X555" i="19"/>
  <c r="K555" i="19" s="1"/>
  <c r="T543" i="19"/>
  <c r="S543" i="19" s="1"/>
  <c r="U530" i="19"/>
  <c r="X511" i="19"/>
  <c r="K511" i="19" s="1"/>
  <c r="G747" i="22" s="1"/>
  <c r="U486" i="19"/>
  <c r="W460" i="19"/>
  <c r="R100" i="13" s="1"/>
  <c r="T435" i="19"/>
  <c r="V409" i="19"/>
  <c r="X383" i="19"/>
  <c r="K383" i="19" s="1"/>
  <c r="U358" i="19"/>
  <c r="W332" i="19"/>
  <c r="T307" i="19"/>
  <c r="S307" i="19" s="1"/>
  <c r="V281" i="19"/>
  <c r="X255" i="19"/>
  <c r="K255" i="19" s="1"/>
  <c r="V233" i="19"/>
  <c r="V217" i="19"/>
  <c r="T187" i="19"/>
  <c r="W148" i="19"/>
  <c r="W116" i="19"/>
  <c r="W84" i="19"/>
  <c r="U46" i="19"/>
  <c r="W11" i="19"/>
  <c r="W15" i="19"/>
  <c r="R11" i="13" s="1"/>
  <c r="V20" i="19"/>
  <c r="V24" i="19"/>
  <c r="V28" i="19"/>
  <c r="U33" i="19"/>
  <c r="U37" i="19"/>
  <c r="U41" i="19"/>
  <c r="T46" i="19"/>
  <c r="T50" i="19"/>
  <c r="T54" i="19"/>
  <c r="X58" i="19"/>
  <c r="K58" i="19" s="1"/>
  <c r="X62" i="19"/>
  <c r="K62" i="19" s="1"/>
  <c r="G654" i="22" s="1"/>
  <c r="X66" i="19"/>
  <c r="K66" i="19" s="1"/>
  <c r="W71" i="19"/>
  <c r="W75" i="19"/>
  <c r="R23" i="13" s="1"/>
  <c r="W79" i="19"/>
  <c r="V84" i="19"/>
  <c r="V88" i="19"/>
  <c r="V92" i="19"/>
  <c r="U97" i="19"/>
  <c r="U101" i="19"/>
  <c r="U105" i="19"/>
  <c r="T110" i="19"/>
  <c r="T114" i="19"/>
  <c r="T118" i="19"/>
  <c r="X122" i="19"/>
  <c r="K122" i="19" s="1"/>
  <c r="X126" i="19"/>
  <c r="K126" i="19" s="1"/>
  <c r="G706" i="22" s="1"/>
  <c r="X130" i="19"/>
  <c r="K130" i="19" s="1"/>
  <c r="W135" i="19"/>
  <c r="R35" i="13" s="1"/>
  <c r="W139" i="19"/>
  <c r="W143" i="19"/>
  <c r="V148" i="19"/>
  <c r="V152" i="19"/>
  <c r="V156" i="19"/>
  <c r="U161" i="19"/>
  <c r="U165" i="19"/>
  <c r="U169" i="19"/>
  <c r="T174" i="19"/>
  <c r="T178" i="19"/>
  <c r="T182" i="19"/>
  <c r="X186" i="19"/>
  <c r="K186" i="19" s="1"/>
  <c r="X190" i="19"/>
  <c r="K190" i="19" s="1"/>
  <c r="G46" i="22" s="1"/>
  <c r="X194" i="19"/>
  <c r="W199" i="19"/>
  <c r="W203" i="19"/>
  <c r="W207" i="19"/>
  <c r="V212" i="19"/>
  <c r="V11" i="19"/>
  <c r="V15" i="19"/>
  <c r="U20" i="19"/>
  <c r="U24" i="19"/>
  <c r="S24" i="19" s="1"/>
  <c r="U28" i="19"/>
  <c r="T33" i="19"/>
  <c r="S33" i="19" s="1"/>
  <c r="T37" i="19"/>
  <c r="S37" i="19" s="1"/>
  <c r="T41" i="19"/>
  <c r="S41" i="19" s="1"/>
  <c r="X45" i="19"/>
  <c r="K45" i="19" s="1"/>
  <c r="F17" i="13" s="1"/>
  <c r="X49" i="19"/>
  <c r="X53" i="19"/>
  <c r="K53" i="19" s="1"/>
  <c r="W58" i="19"/>
  <c r="W62" i="19"/>
  <c r="W66" i="19"/>
  <c r="V71" i="19"/>
  <c r="V75" i="19"/>
  <c r="V79" i="19"/>
  <c r="U84" i="19"/>
  <c r="U88" i="19"/>
  <c r="U92" i="19"/>
  <c r="T97" i="19"/>
  <c r="S97" i="19" s="1"/>
  <c r="T101" i="19"/>
  <c r="S101" i="19" s="1"/>
  <c r="T105" i="19"/>
  <c r="S105" i="19" s="1"/>
  <c r="X109" i="19"/>
  <c r="X113" i="19"/>
  <c r="K113" i="19" s="1"/>
  <c r="X117" i="19"/>
  <c r="K117" i="19" s="1"/>
  <c r="W122" i="19"/>
  <c r="W126" i="19"/>
  <c r="W130" i="19"/>
  <c r="R34" i="13" s="1"/>
  <c r="V135" i="19"/>
  <c r="V139" i="19"/>
  <c r="V143" i="19"/>
  <c r="U148" i="19"/>
  <c r="U152" i="19"/>
  <c r="U156" i="19"/>
  <c r="T161" i="19"/>
  <c r="S161" i="19" s="1"/>
  <c r="T165" i="19"/>
  <c r="S165" i="19" s="1"/>
  <c r="T169" i="19"/>
  <c r="S169" i="19" s="1"/>
  <c r="X173" i="19"/>
  <c r="K173" i="19" s="1"/>
  <c r="X177" i="19"/>
  <c r="K177" i="19" s="1"/>
  <c r="G641" i="22" s="1"/>
  <c r="X181" i="19"/>
  <c r="K181" i="19" s="1"/>
  <c r="W186" i="19"/>
  <c r="W190" i="19"/>
  <c r="R46" i="13" s="1"/>
  <c r="W194" i="19"/>
  <c r="V199" i="19"/>
  <c r="V203" i="19"/>
  <c r="V207" i="19"/>
  <c r="U212" i="19"/>
  <c r="T12" i="19"/>
  <c r="S12" i="19" s="1"/>
  <c r="T20" i="19"/>
  <c r="W29" i="19"/>
  <c r="W37" i="19"/>
  <c r="W45" i="19"/>
  <c r="R17" i="13" s="1"/>
  <c r="U55" i="19"/>
  <c r="U63" i="19"/>
  <c r="U71" i="19"/>
  <c r="X80" i="19"/>
  <c r="K80" i="19" s="1"/>
  <c r="F24" i="13" s="1"/>
  <c r="X88" i="19"/>
  <c r="K88" i="19" s="1"/>
  <c r="X96" i="19"/>
  <c r="K96" i="19" s="1"/>
  <c r="V106" i="19"/>
  <c r="V114" i="19"/>
  <c r="V122" i="19"/>
  <c r="T132" i="19"/>
  <c r="T140" i="19"/>
  <c r="T148" i="19"/>
  <c r="S148" i="19" s="1"/>
  <c r="W157" i="19"/>
  <c r="T164" i="19"/>
  <c r="V170" i="19"/>
  <c r="X176" i="19"/>
  <c r="K176" i="19" s="1"/>
  <c r="G470" i="22" s="1"/>
  <c r="U183" i="19"/>
  <c r="W189" i="19"/>
  <c r="T196" i="19"/>
  <c r="S196" i="19" s="1"/>
  <c r="V202" i="19"/>
  <c r="X208" i="19"/>
  <c r="K208" i="19" s="1"/>
  <c r="U215" i="19"/>
  <c r="X218" i="19"/>
  <c r="K218" i="19" s="1"/>
  <c r="T222" i="19"/>
  <c r="U225" i="19"/>
  <c r="V228" i="19"/>
  <c r="W231" i="19"/>
  <c r="X234" i="19"/>
  <c r="T238" i="19"/>
  <c r="U241" i="19"/>
  <c r="V244" i="19"/>
  <c r="W247" i="19"/>
  <c r="X250" i="19"/>
  <c r="K250" i="19" s="1"/>
  <c r="T254" i="19"/>
  <c r="U257" i="19"/>
  <c r="V260" i="19"/>
  <c r="W263" i="19"/>
  <c r="X266" i="19"/>
  <c r="K266" i="19" s="1"/>
  <c r="G702" i="22" s="1"/>
  <c r="T270" i="19"/>
  <c r="U273" i="19"/>
  <c r="V276" i="19"/>
  <c r="W279" i="19"/>
  <c r="X282" i="19"/>
  <c r="K282" i="19" s="1"/>
  <c r="G572" i="22" s="1"/>
  <c r="T286" i="19"/>
  <c r="U289" i="19"/>
  <c r="V292" i="19"/>
  <c r="W295" i="19"/>
  <c r="R67" i="13" s="1"/>
  <c r="X298" i="19"/>
  <c r="K298" i="19" s="1"/>
  <c r="T302" i="19"/>
  <c r="U305" i="19"/>
  <c r="V308" i="19"/>
  <c r="W311" i="19"/>
  <c r="X314" i="19"/>
  <c r="T318" i="19"/>
  <c r="U321" i="19"/>
  <c r="V324" i="19"/>
  <c r="W327" i="19"/>
  <c r="X330" i="19"/>
  <c r="K330" i="19" s="1"/>
  <c r="F74" i="13" s="1"/>
  <c r="T334" i="19"/>
  <c r="S334" i="19" s="1"/>
  <c r="U337" i="19"/>
  <c r="V340" i="19"/>
  <c r="W343" i="19"/>
  <c r="X346" i="19"/>
  <c r="K346" i="19" s="1"/>
  <c r="G412" i="22" s="1"/>
  <c r="T350" i="19"/>
  <c r="U353" i="19"/>
  <c r="V356" i="19"/>
  <c r="W359" i="19"/>
  <c r="X362" i="19"/>
  <c r="K362" i="19" s="1"/>
  <c r="T366" i="19"/>
  <c r="U369" i="19"/>
  <c r="V372" i="19"/>
  <c r="W375" i="19"/>
  <c r="R83" i="13" s="1"/>
  <c r="X378" i="19"/>
  <c r="K378" i="19" s="1"/>
  <c r="T382" i="19"/>
  <c r="U385" i="19"/>
  <c r="V388" i="19"/>
  <c r="W391" i="19"/>
  <c r="X394" i="19"/>
  <c r="T398" i="19"/>
  <c r="U401" i="19"/>
  <c r="V404" i="19"/>
  <c r="W407" i="19"/>
  <c r="X410" i="19"/>
  <c r="K410" i="19" s="1"/>
  <c r="F90" i="13" s="1"/>
  <c r="T414" i="19"/>
  <c r="U417" i="19"/>
  <c r="V420" i="19"/>
  <c r="W423" i="19"/>
  <c r="X426" i="19"/>
  <c r="K426" i="19" s="1"/>
  <c r="T430" i="19"/>
  <c r="U433" i="19"/>
  <c r="V436" i="19"/>
  <c r="W439" i="19"/>
  <c r="X442" i="19"/>
  <c r="K442" i="19" s="1"/>
  <c r="T446" i="19"/>
  <c r="U449" i="19"/>
  <c r="V452" i="19"/>
  <c r="W455" i="19"/>
  <c r="R99" i="13" s="1"/>
  <c r="X458" i="19"/>
  <c r="K458" i="19" s="1"/>
  <c r="T462" i="19"/>
  <c r="U465" i="19"/>
  <c r="V468" i="19"/>
  <c r="W471" i="19"/>
  <c r="X474" i="19"/>
  <c r="T478" i="19"/>
  <c r="U481" i="19"/>
  <c r="V484" i="19"/>
  <c r="W487" i="19"/>
  <c r="X490" i="19"/>
  <c r="K490" i="19" s="1"/>
  <c r="G106" i="22" s="1"/>
  <c r="T494" i="19"/>
  <c r="U497" i="19"/>
  <c r="V500" i="19"/>
  <c r="W503" i="19"/>
  <c r="X506" i="19"/>
  <c r="K506" i="19" s="1"/>
  <c r="G634" i="22" s="1"/>
  <c r="T510" i="19"/>
  <c r="U513" i="19"/>
  <c r="V516" i="19"/>
  <c r="W519" i="19"/>
  <c r="X522" i="19"/>
  <c r="K522" i="19" s="1"/>
  <c r="W16" i="19"/>
  <c r="T23" i="19"/>
  <c r="V29" i="19"/>
  <c r="X35" i="19"/>
  <c r="K35" i="19" s="1"/>
  <c r="G15" i="22" s="1"/>
  <c r="U42" i="19"/>
  <c r="W48" i="19"/>
  <c r="T55" i="19"/>
  <c r="S55" i="19" s="1"/>
  <c r="V61" i="19"/>
  <c r="X67" i="19"/>
  <c r="K67" i="19" s="1"/>
  <c r="G655" i="22" s="1"/>
  <c r="U74" i="19"/>
  <c r="W80" i="19"/>
  <c r="R24" i="13" s="1"/>
  <c r="T87" i="19"/>
  <c r="V93" i="19"/>
  <c r="X99" i="19"/>
  <c r="U106" i="19"/>
  <c r="W112" i="19"/>
  <c r="T119" i="19"/>
  <c r="V125" i="19"/>
  <c r="X131" i="19"/>
  <c r="K131" i="19" s="1"/>
  <c r="G541" i="22" s="1"/>
  <c r="U138" i="19"/>
  <c r="W144" i="19"/>
  <c r="T151" i="19"/>
  <c r="S151" i="19" s="1"/>
  <c r="V157" i="19"/>
  <c r="X163" i="19"/>
  <c r="K163" i="19" s="1"/>
  <c r="U170" i="19"/>
  <c r="W176" i="19"/>
  <c r="T183" i="19"/>
  <c r="S183" i="19" s="1"/>
  <c r="V189" i="19"/>
  <c r="X195" i="19"/>
  <c r="K195" i="19" s="1"/>
  <c r="U202" i="19"/>
  <c r="W208" i="19"/>
  <c r="T215" i="19"/>
  <c r="S215" i="19" s="1"/>
  <c r="W218" i="19"/>
  <c r="X221" i="19"/>
  <c r="K221" i="19" s="1"/>
  <c r="T225" i="19"/>
  <c r="S225" i="19" s="1"/>
  <c r="U228" i="19"/>
  <c r="V231" i="19"/>
  <c r="W234" i="19"/>
  <c r="X237" i="19"/>
  <c r="K237" i="19" s="1"/>
  <c r="T241" i="19"/>
  <c r="S241" i="19" s="1"/>
  <c r="U244" i="19"/>
  <c r="V247" i="19"/>
  <c r="W250" i="19"/>
  <c r="R58" i="13" s="1"/>
  <c r="AE58" i="13" s="1"/>
  <c r="X253" i="19"/>
  <c r="K253" i="19" s="1"/>
  <c r="T257" i="19"/>
  <c r="S257" i="19" s="1"/>
  <c r="U260" i="19"/>
  <c r="V263" i="19"/>
  <c r="W266" i="19"/>
  <c r="X269" i="19"/>
  <c r="T273" i="19"/>
  <c r="S273" i="19" s="1"/>
  <c r="U276" i="19"/>
  <c r="V279" i="19"/>
  <c r="W282" i="19"/>
  <c r="X285" i="19"/>
  <c r="K285" i="19" s="1"/>
  <c r="T289" i="19"/>
  <c r="S289" i="19" s="1"/>
  <c r="U292" i="19"/>
  <c r="V295" i="19"/>
  <c r="W298" i="19"/>
  <c r="X301" i="19"/>
  <c r="K301" i="19" s="1"/>
  <c r="T305" i="19"/>
  <c r="S305" i="19" s="1"/>
  <c r="U308" i="19"/>
  <c r="V311" i="19"/>
  <c r="W314" i="19"/>
  <c r="X317" i="19"/>
  <c r="K317" i="19" s="1"/>
  <c r="G522" i="22" s="1"/>
  <c r="T321" i="19"/>
  <c r="S321" i="19" s="1"/>
  <c r="U324" i="19"/>
  <c r="V327" i="19"/>
  <c r="W330" i="19"/>
  <c r="R74" i="13" s="1"/>
  <c r="AE74" i="13" s="1"/>
  <c r="X333" i="19"/>
  <c r="K333" i="19" s="1"/>
  <c r="T337" i="19"/>
  <c r="S337" i="19" s="1"/>
  <c r="U340" i="19"/>
  <c r="V343" i="19"/>
  <c r="W346" i="19"/>
  <c r="X349" i="19"/>
  <c r="T353" i="19"/>
  <c r="S353" i="19" s="1"/>
  <c r="U356" i="19"/>
  <c r="V359" i="19"/>
  <c r="W362" i="19"/>
  <c r="X365" i="19"/>
  <c r="K365" i="19" s="1"/>
  <c r="T369" i="19"/>
  <c r="S369" i="19" s="1"/>
  <c r="U372" i="19"/>
  <c r="V375" i="19"/>
  <c r="W378" i="19"/>
  <c r="X381" i="19"/>
  <c r="K381" i="19" s="1"/>
  <c r="T385" i="19"/>
  <c r="S385" i="19" s="1"/>
  <c r="U388" i="19"/>
  <c r="V391" i="19"/>
  <c r="W394" i="19"/>
  <c r="X397" i="19"/>
  <c r="K397" i="19" s="1"/>
  <c r="G645" i="22" s="1"/>
  <c r="T401" i="19"/>
  <c r="S401" i="19" s="1"/>
  <c r="U404" i="19"/>
  <c r="V407" i="19"/>
  <c r="W410" i="19"/>
  <c r="R90" i="13" s="1"/>
  <c r="X413" i="19"/>
  <c r="K413" i="19" s="1"/>
  <c r="T417" i="19"/>
  <c r="S417" i="19" s="1"/>
  <c r="U420" i="19"/>
  <c r="V423" i="19"/>
  <c r="W426" i="19"/>
  <c r="X429" i="19"/>
  <c r="T433" i="19"/>
  <c r="S433" i="19" s="1"/>
  <c r="U436" i="19"/>
  <c r="V439" i="19"/>
  <c r="W442" i="19"/>
  <c r="X445" i="19"/>
  <c r="K445" i="19" s="1"/>
  <c r="F97" i="13" s="1"/>
  <c r="T449" i="19"/>
  <c r="S449" i="19" s="1"/>
  <c r="U452" i="19"/>
  <c r="V455" i="19"/>
  <c r="W458" i="19"/>
  <c r="X461" i="19"/>
  <c r="K461" i="19" s="1"/>
  <c r="G604" i="22" s="1"/>
  <c r="T465" i="19"/>
  <c r="S465" i="19" s="1"/>
  <c r="U468" i="19"/>
  <c r="V471" i="19"/>
  <c r="W474" i="19"/>
  <c r="X477" i="19"/>
  <c r="K477" i="19" s="1"/>
  <c r="G780" i="22" s="1"/>
  <c r="T481" i="19"/>
  <c r="S481" i="19" s="1"/>
  <c r="U484" i="19"/>
  <c r="V487" i="19"/>
  <c r="W490" i="19"/>
  <c r="R106" i="13" s="1"/>
  <c r="X493" i="19"/>
  <c r="K493" i="19" s="1"/>
  <c r="T497" i="19"/>
  <c r="S497" i="19" s="1"/>
  <c r="U500" i="19"/>
  <c r="V503" i="19"/>
  <c r="W506" i="19"/>
  <c r="X509" i="19"/>
  <c r="T513" i="19"/>
  <c r="S513" i="19" s="1"/>
  <c r="U516" i="19"/>
  <c r="V519" i="19"/>
  <c r="W522" i="19"/>
  <c r="V22" i="19"/>
  <c r="U35" i="19"/>
  <c r="T48" i="19"/>
  <c r="X60" i="19"/>
  <c r="K60" i="19" s="1"/>
  <c r="W73" i="19"/>
  <c r="V86" i="19"/>
  <c r="U99" i="19"/>
  <c r="T112" i="19"/>
  <c r="X124" i="19"/>
  <c r="W137" i="19"/>
  <c r="V150" i="19"/>
  <c r="U163" i="19"/>
  <c r="T176" i="19"/>
  <c r="X188" i="19"/>
  <c r="K188" i="19" s="1"/>
  <c r="W201" i="19"/>
  <c r="V214" i="19"/>
  <c r="W221" i="19"/>
  <c r="T228" i="19"/>
  <c r="V234" i="19"/>
  <c r="X240" i="19"/>
  <c r="K240" i="19" s="1"/>
  <c r="U247" i="19"/>
  <c r="W253" i="19"/>
  <c r="T260" i="19"/>
  <c r="V266" i="19"/>
  <c r="X272" i="19"/>
  <c r="K272" i="19" s="1"/>
  <c r="G462" i="22" s="1"/>
  <c r="U279" i="19"/>
  <c r="W285" i="19"/>
  <c r="R65" i="13" s="1"/>
  <c r="AE65" i="13" s="1"/>
  <c r="T292" i="19"/>
  <c r="S292" i="19" s="1"/>
  <c r="V298" i="19"/>
  <c r="X304" i="19"/>
  <c r="U311" i="19"/>
  <c r="W317" i="19"/>
  <c r="T324" i="19"/>
  <c r="V330" i="19"/>
  <c r="X336" i="19"/>
  <c r="K336" i="19" s="1"/>
  <c r="G463" i="22" s="1"/>
  <c r="U343" i="19"/>
  <c r="W349" i="19"/>
  <c r="T356" i="19"/>
  <c r="V362" i="19"/>
  <c r="X368" i="19"/>
  <c r="K368" i="19" s="1"/>
  <c r="U375" i="19"/>
  <c r="W381" i="19"/>
  <c r="R375" i="13" s="1"/>
  <c r="T388" i="19"/>
  <c r="V394" i="19"/>
  <c r="X400" i="19"/>
  <c r="K400" i="19" s="1"/>
  <c r="U407" i="19"/>
  <c r="W413" i="19"/>
  <c r="T420" i="19"/>
  <c r="S420" i="19" s="1"/>
  <c r="V426" i="19"/>
  <c r="X432" i="19"/>
  <c r="K432" i="19" s="1"/>
  <c r="G574" i="22" s="1"/>
  <c r="U439" i="19"/>
  <c r="W445" i="19"/>
  <c r="R97" i="13" s="1"/>
  <c r="E65" i="15" s="1"/>
  <c r="F65" i="15" s="1"/>
  <c r="T452" i="19"/>
  <c r="V458" i="19"/>
  <c r="X464" i="19"/>
  <c r="U471" i="19"/>
  <c r="W477" i="19"/>
  <c r="T484" i="19"/>
  <c r="V490" i="19"/>
  <c r="X496" i="19"/>
  <c r="K496" i="19" s="1"/>
  <c r="G675" i="22" s="1"/>
  <c r="U503" i="19"/>
  <c r="W509" i="19"/>
  <c r="T516" i="19"/>
  <c r="V522" i="19"/>
  <c r="T526" i="19"/>
  <c r="U529" i="19"/>
  <c r="V532" i="19"/>
  <c r="W535" i="19"/>
  <c r="R115" i="13" s="1"/>
  <c r="X538" i="19"/>
  <c r="K538" i="19" s="1"/>
  <c r="T542" i="19"/>
  <c r="U545" i="19"/>
  <c r="V548" i="19"/>
  <c r="W551" i="19"/>
  <c r="X554" i="19"/>
  <c r="T558" i="19"/>
  <c r="U561" i="19"/>
  <c r="V564" i="19"/>
  <c r="W567" i="19"/>
  <c r="X570" i="19"/>
  <c r="K570" i="19" s="1"/>
  <c r="G122" i="22" s="1"/>
  <c r="T574" i="19"/>
  <c r="U577" i="19"/>
  <c r="V580" i="19"/>
  <c r="W583" i="19"/>
  <c r="X586" i="19"/>
  <c r="K586" i="19" s="1"/>
  <c r="T590" i="19"/>
  <c r="U593" i="19"/>
  <c r="V596" i="19"/>
  <c r="W599" i="19"/>
  <c r="X602" i="19"/>
  <c r="K602" i="19" s="1"/>
  <c r="G587" i="22" s="1"/>
  <c r="T606" i="19"/>
  <c r="U609" i="19"/>
  <c r="V612" i="19"/>
  <c r="W615" i="19"/>
  <c r="R131" i="13" s="1"/>
  <c r="AE131" i="13" s="1"/>
  <c r="X618" i="19"/>
  <c r="K618" i="19" s="1"/>
  <c r="T622" i="19"/>
  <c r="U625" i="19"/>
  <c r="V628" i="19"/>
  <c r="W631" i="19"/>
  <c r="X634" i="19"/>
  <c r="T638" i="19"/>
  <c r="S638" i="19" s="1"/>
  <c r="U641" i="19"/>
  <c r="V644" i="19"/>
  <c r="W647" i="19"/>
  <c r="X650" i="19"/>
  <c r="K650" i="19" s="1"/>
  <c r="T654" i="19"/>
  <c r="S654" i="19" s="1"/>
  <c r="U657" i="19"/>
  <c r="V660" i="19"/>
  <c r="W663" i="19"/>
  <c r="X666" i="19"/>
  <c r="K666" i="19" s="1"/>
  <c r="T670" i="19"/>
  <c r="U673" i="19"/>
  <c r="V676" i="19"/>
  <c r="W679" i="19"/>
  <c r="X682" i="19"/>
  <c r="K682" i="19" s="1"/>
  <c r="T686" i="19"/>
  <c r="U689" i="19"/>
  <c r="V692" i="19"/>
  <c r="W695" i="19"/>
  <c r="R147" i="13" s="1"/>
  <c r="E95" i="15" s="1"/>
  <c r="F95" i="15" s="1"/>
  <c r="X698" i="19"/>
  <c r="K698" i="19" s="1"/>
  <c r="T702" i="19"/>
  <c r="U705" i="19"/>
  <c r="V708" i="19"/>
  <c r="W711" i="19"/>
  <c r="X714" i="19"/>
  <c r="T718" i="19"/>
  <c r="U721" i="19"/>
  <c r="V724" i="19"/>
  <c r="W727" i="19"/>
  <c r="X730" i="19"/>
  <c r="K730" i="19" s="1"/>
  <c r="F154" i="13" s="1"/>
  <c r="T734" i="19"/>
  <c r="U737" i="19"/>
  <c r="V740" i="19"/>
  <c r="W743" i="19"/>
  <c r="X746" i="19"/>
  <c r="K746" i="19" s="1"/>
  <c r="G458" i="22" s="1"/>
  <c r="T750" i="19"/>
  <c r="U753" i="19"/>
  <c r="V756" i="19"/>
  <c r="W759" i="19"/>
  <c r="X762" i="19"/>
  <c r="K762" i="19" s="1"/>
  <c r="T766" i="19"/>
  <c r="U769" i="19"/>
  <c r="V772" i="19"/>
  <c r="W775" i="19"/>
  <c r="R163" i="13" s="1"/>
  <c r="E107" i="15" s="1"/>
  <c r="F107" i="15" s="1"/>
  <c r="X778" i="19"/>
  <c r="K778" i="19" s="1"/>
  <c r="T782" i="19"/>
  <c r="U785" i="19"/>
  <c r="V788" i="19"/>
  <c r="W791" i="19"/>
  <c r="X794" i="19"/>
  <c r="T798" i="19"/>
  <c r="U801" i="19"/>
  <c r="V804" i="19"/>
  <c r="W807" i="19"/>
  <c r="X810" i="19"/>
  <c r="K810" i="19" s="1"/>
  <c r="F170" i="13" s="1"/>
  <c r="T814" i="19"/>
  <c r="U817" i="19"/>
  <c r="V820" i="19"/>
  <c r="W823" i="19"/>
  <c r="X826" i="19"/>
  <c r="K826" i="19" s="1"/>
  <c r="G588" i="22" s="1"/>
  <c r="T830" i="19"/>
  <c r="U833" i="19"/>
  <c r="V836" i="19"/>
  <c r="W839" i="19"/>
  <c r="X842" i="19"/>
  <c r="K842" i="19" s="1"/>
  <c r="T846" i="19"/>
  <c r="U849" i="19"/>
  <c r="V852" i="19"/>
  <c r="W855" i="19"/>
  <c r="R179" i="13" s="1"/>
  <c r="E121" i="15" s="1"/>
  <c r="F121" i="15" s="1"/>
  <c r="X858" i="19"/>
  <c r="K858" i="19" s="1"/>
  <c r="T862" i="19"/>
  <c r="U865" i="19"/>
  <c r="V868" i="19"/>
  <c r="W871" i="19"/>
  <c r="R404" i="13" s="1"/>
  <c r="E288" i="15" s="1"/>
  <c r="F288" i="15" s="1"/>
  <c r="X874" i="19"/>
  <c r="T878" i="19"/>
  <c r="S878" i="19" s="1"/>
  <c r="U881" i="19"/>
  <c r="V884" i="19"/>
  <c r="W887" i="19"/>
  <c r="X890" i="19"/>
  <c r="K890" i="19" s="1"/>
  <c r="T894" i="19"/>
  <c r="U897" i="19"/>
  <c r="V900" i="19"/>
  <c r="W903" i="19"/>
  <c r="X906" i="19"/>
  <c r="K906" i="19" s="1"/>
  <c r="G484" i="22" s="1"/>
  <c r="T910" i="19"/>
  <c r="S910" i="19" s="1"/>
  <c r="U913" i="19"/>
  <c r="V916" i="19"/>
  <c r="W919" i="19"/>
  <c r="X922" i="19"/>
  <c r="K922" i="19" s="1"/>
  <c r="T926" i="19"/>
  <c r="S926" i="19" s="1"/>
  <c r="U929" i="19"/>
  <c r="V932" i="19"/>
  <c r="W935" i="19"/>
  <c r="R195" i="13" s="1"/>
  <c r="E134" i="15" s="1"/>
  <c r="F134" i="15" s="1"/>
  <c r="X938" i="19"/>
  <c r="K938" i="19" s="1"/>
  <c r="T942" i="19"/>
  <c r="S942" i="19" s="1"/>
  <c r="U945" i="19"/>
  <c r="V948" i="19"/>
  <c r="W951" i="19"/>
  <c r="X954" i="19"/>
  <c r="T958" i="19"/>
  <c r="S958" i="19" s="1"/>
  <c r="U961" i="19"/>
  <c r="V964" i="19"/>
  <c r="W967" i="19"/>
  <c r="X970" i="19"/>
  <c r="K970" i="19" s="1"/>
  <c r="T974" i="19"/>
  <c r="U977" i="19"/>
  <c r="V980" i="19"/>
  <c r="W983" i="19"/>
  <c r="X986" i="19"/>
  <c r="K986" i="19" s="1"/>
  <c r="T990" i="19"/>
  <c r="U993" i="19"/>
  <c r="V996" i="19"/>
  <c r="W999" i="19"/>
  <c r="X1002" i="19"/>
  <c r="K1002" i="19" s="1"/>
  <c r="G809" i="22" s="1"/>
  <c r="T1006" i="19"/>
  <c r="U1009" i="19"/>
  <c r="V1012" i="19"/>
  <c r="W1015" i="19"/>
  <c r="R211" i="13" s="1"/>
  <c r="X1018" i="19"/>
  <c r="K1018" i="19" s="1"/>
  <c r="T1022" i="19"/>
  <c r="U1025" i="19"/>
  <c r="V1028" i="19"/>
  <c r="W1031" i="19"/>
  <c r="X1034" i="19"/>
  <c r="T1038" i="19"/>
  <c r="U1041" i="19"/>
  <c r="V1044" i="19"/>
  <c r="W1047" i="19"/>
  <c r="X1050" i="19"/>
  <c r="K1050" i="19" s="1"/>
  <c r="G218" i="22" s="1"/>
  <c r="T1054" i="19"/>
  <c r="U1057" i="19"/>
  <c r="V1060" i="19"/>
  <c r="W1063" i="19"/>
  <c r="X1066" i="19"/>
  <c r="K1066" i="19" s="1"/>
  <c r="G752" i="22" s="1"/>
  <c r="T1070" i="19"/>
  <c r="U1073" i="19"/>
  <c r="V1076" i="19"/>
  <c r="W1079" i="19"/>
  <c r="X1082" i="19"/>
  <c r="K1082" i="19" s="1"/>
  <c r="T1086" i="19"/>
  <c r="S1086" i="19" s="1"/>
  <c r="U1089" i="19"/>
  <c r="V1092" i="19"/>
  <c r="W1095" i="19"/>
  <c r="R227" i="13" s="1"/>
  <c r="X1098" i="19"/>
  <c r="K1098" i="19" s="1"/>
  <c r="T1102" i="19"/>
  <c r="U1105" i="19"/>
  <c r="V1108" i="19"/>
  <c r="W1111" i="19"/>
  <c r="X1114" i="19"/>
  <c r="T1118" i="19"/>
  <c r="U1121" i="19"/>
  <c r="V1124" i="19"/>
  <c r="W1127" i="19"/>
  <c r="X1130" i="19"/>
  <c r="K1130" i="19" s="1"/>
  <c r="G234" i="22" s="1"/>
  <c r="T1134" i="19"/>
  <c r="S1134" i="19" s="1"/>
  <c r="U1137" i="19"/>
  <c r="U22" i="19"/>
  <c r="T35" i="19"/>
  <c r="S35" i="19" s="1"/>
  <c r="X47" i="19"/>
  <c r="K47" i="19" s="1"/>
  <c r="W60" i="19"/>
  <c r="R20" i="13" s="1"/>
  <c r="V73" i="19"/>
  <c r="U86" i="19"/>
  <c r="T99" i="19"/>
  <c r="S99" i="19" s="1"/>
  <c r="X111" i="19"/>
  <c r="K111" i="19" s="1"/>
  <c r="G490" i="22" s="1"/>
  <c r="W124" i="19"/>
  <c r="V137" i="19"/>
  <c r="U150" i="19"/>
  <c r="T163" i="19"/>
  <c r="S163" i="19" s="1"/>
  <c r="X175" i="19"/>
  <c r="K175" i="19" s="1"/>
  <c r="F43" i="13" s="1"/>
  <c r="W188" i="19"/>
  <c r="V201" i="19"/>
  <c r="U214" i="19"/>
  <c r="V221" i="19"/>
  <c r="X227" i="19"/>
  <c r="K227" i="19" s="1"/>
  <c r="U234" i="19"/>
  <c r="W240" i="19"/>
  <c r="R56" i="13" s="1"/>
  <c r="T247" i="19"/>
  <c r="S247" i="19" s="1"/>
  <c r="V253" i="19"/>
  <c r="X259" i="19"/>
  <c r="U266" i="19"/>
  <c r="W272" i="19"/>
  <c r="T279" i="19"/>
  <c r="S279" i="19" s="1"/>
  <c r="V285" i="19"/>
  <c r="X291" i="19"/>
  <c r="K291" i="19" s="1"/>
  <c r="G689" i="22" s="1"/>
  <c r="U298" i="19"/>
  <c r="W304" i="19"/>
  <c r="T311" i="19"/>
  <c r="S311" i="19" s="1"/>
  <c r="V317" i="19"/>
  <c r="X323" i="19"/>
  <c r="K323" i="19" s="1"/>
  <c r="U330" i="19"/>
  <c r="W336" i="19"/>
  <c r="T343" i="19"/>
  <c r="S343" i="19" s="1"/>
  <c r="V349" i="19"/>
  <c r="X355" i="19"/>
  <c r="K355" i="19" s="1"/>
  <c r="U362" i="19"/>
  <c r="W368" i="19"/>
  <c r="T375" i="19"/>
  <c r="S375" i="19" s="1"/>
  <c r="V381" i="19"/>
  <c r="X387" i="19"/>
  <c r="K387" i="19" s="1"/>
  <c r="G565" i="22" s="1"/>
  <c r="U394" i="19"/>
  <c r="W400" i="19"/>
  <c r="R88" i="13" s="1"/>
  <c r="AE88" i="13" s="1"/>
  <c r="T407" i="19"/>
  <c r="S407" i="19" s="1"/>
  <c r="V413" i="19"/>
  <c r="X419" i="19"/>
  <c r="U426" i="19"/>
  <c r="W432" i="19"/>
  <c r="T439" i="19"/>
  <c r="S439" i="19" s="1"/>
  <c r="V445" i="19"/>
  <c r="X451" i="19"/>
  <c r="K451" i="19" s="1"/>
  <c r="G446" i="22" s="1"/>
  <c r="U458" i="19"/>
  <c r="W464" i="19"/>
  <c r="T471" i="19"/>
  <c r="S471" i="19" s="1"/>
  <c r="V477" i="19"/>
  <c r="X483" i="19"/>
  <c r="K483" i="19" s="1"/>
  <c r="U490" i="19"/>
  <c r="W496" i="19"/>
  <c r="T503" i="19"/>
  <c r="S503" i="19" s="1"/>
  <c r="V509" i="19"/>
  <c r="X515" i="19"/>
  <c r="K515" i="19" s="1"/>
  <c r="G111" i="22" s="1"/>
  <c r="U522" i="19"/>
  <c r="X525" i="19"/>
  <c r="K525" i="19" s="1"/>
  <c r="G113" i="22" s="1"/>
  <c r="T529" i="19"/>
  <c r="S529" i="19" s="1"/>
  <c r="U532" i="19"/>
  <c r="V535" i="19"/>
  <c r="W538" i="19"/>
  <c r="X541" i="19"/>
  <c r="K541" i="19" s="1"/>
  <c r="T545" i="19"/>
  <c r="S545" i="19" s="1"/>
  <c r="U548" i="19"/>
  <c r="V551" i="19"/>
  <c r="W554" i="19"/>
  <c r="X557" i="19"/>
  <c r="K557" i="19" s="1"/>
  <c r="T561" i="19"/>
  <c r="S561" i="19" s="1"/>
  <c r="U564" i="19"/>
  <c r="V567" i="19"/>
  <c r="W570" i="19"/>
  <c r="R122" i="13" s="1"/>
  <c r="X573" i="19"/>
  <c r="K573" i="19" s="1"/>
  <c r="T577" i="19"/>
  <c r="S577" i="19" s="1"/>
  <c r="U580" i="19"/>
  <c r="V583" i="19"/>
  <c r="W586" i="19"/>
  <c r="X589" i="19"/>
  <c r="T593" i="19"/>
  <c r="S593" i="19" s="1"/>
  <c r="U596" i="19"/>
  <c r="V599" i="19"/>
  <c r="W602" i="19"/>
  <c r="X605" i="19"/>
  <c r="K605" i="19" s="1"/>
  <c r="G129" i="22" s="1"/>
  <c r="T609" i="19"/>
  <c r="S609" i="19" s="1"/>
  <c r="U612" i="19"/>
  <c r="V615" i="19"/>
  <c r="W618" i="19"/>
  <c r="X621" i="19"/>
  <c r="K621" i="19" s="1"/>
  <c r="G532" i="22" s="1"/>
  <c r="T625" i="19"/>
  <c r="S625" i="19" s="1"/>
  <c r="U628" i="19"/>
  <c r="V631" i="19"/>
  <c r="W634" i="19"/>
  <c r="X637" i="19"/>
  <c r="K637" i="19" s="1"/>
  <c r="G575" i="22" s="1"/>
  <c r="T641" i="19"/>
  <c r="S641" i="19" s="1"/>
  <c r="U644" i="19"/>
  <c r="V647" i="19"/>
  <c r="W650" i="19"/>
  <c r="R138" i="13" s="1"/>
  <c r="X653" i="19"/>
  <c r="K653" i="19" s="1"/>
  <c r="T657" i="19"/>
  <c r="S657" i="19" s="1"/>
  <c r="U660" i="19"/>
  <c r="V663" i="19"/>
  <c r="W666" i="19"/>
  <c r="X669" i="19"/>
  <c r="T673" i="19"/>
  <c r="S673" i="19" s="1"/>
  <c r="U676" i="19"/>
  <c r="V679" i="19"/>
  <c r="W682" i="19"/>
  <c r="X685" i="19"/>
  <c r="K685" i="19" s="1"/>
  <c r="G145" i="22" s="1"/>
  <c r="T689" i="19"/>
  <c r="S689" i="19" s="1"/>
  <c r="U692" i="19"/>
  <c r="V695" i="19"/>
  <c r="W698" i="19"/>
  <c r="X701" i="19"/>
  <c r="K701" i="19" s="1"/>
  <c r="G636" i="22" s="1"/>
  <c r="T705" i="19"/>
  <c r="S705" i="19" s="1"/>
  <c r="U708" i="19"/>
  <c r="V711" i="19"/>
  <c r="W714" i="19"/>
  <c r="X717" i="19"/>
  <c r="K717" i="19" s="1"/>
  <c r="T721" i="19"/>
  <c r="S721" i="19" s="1"/>
  <c r="U724" i="19"/>
  <c r="V727" i="19"/>
  <c r="W730" i="19"/>
  <c r="R154" i="13" s="1"/>
  <c r="X733" i="19"/>
  <c r="K733" i="19" s="1"/>
  <c r="T737" i="19"/>
  <c r="S737" i="19" s="1"/>
  <c r="U740" i="19"/>
  <c r="V743" i="19"/>
  <c r="W746" i="19"/>
  <c r="X749" i="19"/>
  <c r="T753" i="19"/>
  <c r="S753" i="19" s="1"/>
  <c r="U756" i="19"/>
  <c r="V759" i="19"/>
  <c r="W762" i="19"/>
  <c r="X765" i="19"/>
  <c r="K765" i="19" s="1"/>
  <c r="F161" i="13" s="1"/>
  <c r="T769" i="19"/>
  <c r="S769" i="19" s="1"/>
  <c r="U772" i="19"/>
  <c r="V775" i="19"/>
  <c r="W778" i="19"/>
  <c r="X781" i="19"/>
  <c r="K781" i="19" s="1"/>
  <c r="G647" i="22" s="1"/>
  <c r="T785" i="19"/>
  <c r="S785" i="19" s="1"/>
  <c r="U788" i="19"/>
  <c r="V791" i="19"/>
  <c r="W794" i="19"/>
  <c r="X797" i="19"/>
  <c r="K797" i="19" s="1"/>
  <c r="T801" i="19"/>
  <c r="S801" i="19" s="1"/>
  <c r="U804" i="19"/>
  <c r="V807" i="19"/>
  <c r="W810" i="19"/>
  <c r="R170" i="13" s="1"/>
  <c r="E113" i="15" s="1"/>
  <c r="F113" i="15" s="1"/>
  <c r="X813" i="19"/>
  <c r="K813" i="19" s="1"/>
  <c r="T817" i="19"/>
  <c r="S817" i="19" s="1"/>
  <c r="U820" i="19"/>
  <c r="V823" i="19"/>
  <c r="G367" i="22"/>
  <c r="F68" i="13"/>
  <c r="G176" i="22"/>
  <c r="N87" i="10"/>
  <c r="O87" i="10" s="1"/>
  <c r="N143" i="10"/>
  <c r="O143" i="10" s="1"/>
  <c r="N271" i="10"/>
  <c r="O271" i="10" s="1"/>
  <c r="N270" i="10"/>
  <c r="O270" i="10" s="1"/>
  <c r="N306" i="10"/>
  <c r="O306" i="10" s="1"/>
  <c r="N230" i="10"/>
  <c r="O230" i="10" s="1"/>
  <c r="F160" i="13"/>
  <c r="F206" i="13"/>
  <c r="AP1766" i="19"/>
  <c r="G173" i="22"/>
  <c r="G585" i="22"/>
  <c r="D145" i="10"/>
  <c r="D240" i="10"/>
  <c r="D12" i="10"/>
  <c r="D92" i="10"/>
  <c r="D217" i="10"/>
  <c r="D283" i="10"/>
  <c r="D225" i="10"/>
  <c r="D138" i="10"/>
  <c r="D142" i="10"/>
  <c r="D29" i="10"/>
  <c r="D273" i="10"/>
  <c r="D11" i="10"/>
  <c r="D113" i="10"/>
  <c r="D153" i="10"/>
  <c r="D336" i="10"/>
  <c r="D284" i="10"/>
  <c r="D187" i="10"/>
  <c r="D343" i="10"/>
  <c r="D231" i="10"/>
  <c r="D268" i="10"/>
  <c r="D230" i="10"/>
  <c r="D154" i="10"/>
  <c r="D351" i="10"/>
  <c r="D117" i="10"/>
  <c r="D16" i="10"/>
  <c r="D298" i="10"/>
  <c r="D121" i="10"/>
  <c r="D202" i="10"/>
  <c r="D57" i="10"/>
  <c r="D86" i="10"/>
  <c r="D132" i="10"/>
  <c r="D110" i="10"/>
  <c r="D203" i="10"/>
  <c r="D265" i="10"/>
  <c r="D74" i="10"/>
  <c r="D210" i="10"/>
  <c r="D125" i="10"/>
  <c r="D165" i="10"/>
  <c r="D54" i="10"/>
  <c r="D103" i="10"/>
  <c r="D166" i="10"/>
  <c r="D28" i="10"/>
  <c r="D79" i="10"/>
  <c r="D137" i="10"/>
  <c r="D98" i="10"/>
  <c r="D358" i="10"/>
  <c r="D15" i="10"/>
  <c r="D118" i="10"/>
  <c r="D255" i="10"/>
  <c r="D14" i="10"/>
  <c r="D62" i="10"/>
  <c r="D30" i="10"/>
  <c r="D20" i="10"/>
  <c r="D159" i="10"/>
  <c r="D32" i="10"/>
  <c r="D287" i="10"/>
  <c r="D130" i="10"/>
  <c r="D247" i="10"/>
  <c r="D141" i="10"/>
  <c r="D279" i="10"/>
  <c r="D65" i="10"/>
  <c r="D249" i="10"/>
  <c r="D211" i="10"/>
  <c r="D126" i="10"/>
  <c r="D164" i="10"/>
  <c r="D52" i="10"/>
  <c r="D277" i="10"/>
  <c r="D170" i="10"/>
  <c r="D105" i="10"/>
  <c r="D129" i="10"/>
  <c r="D218" i="10"/>
  <c r="D208" i="10"/>
  <c r="D239" i="10"/>
  <c r="D101" i="10"/>
  <c r="D198" i="10"/>
  <c r="D307" i="10"/>
  <c r="D119" i="10"/>
  <c r="G203" i="15"/>
  <c r="G188" i="15"/>
  <c r="F165" i="13"/>
  <c r="G326" i="22"/>
  <c r="AU11" i="13"/>
  <c r="AU27" i="13"/>
  <c r="AU43" i="13"/>
  <c r="AU59" i="13"/>
  <c r="AU75" i="13"/>
  <c r="AU91" i="13"/>
  <c r="AU107" i="13"/>
  <c r="AU123" i="13"/>
  <c r="AU139" i="13"/>
  <c r="AU155" i="13"/>
  <c r="AU171" i="13"/>
  <c r="AU187" i="13"/>
  <c r="AU203" i="13"/>
  <c r="AU219" i="13"/>
  <c r="AU235" i="13"/>
  <c r="AU251" i="13"/>
  <c r="AU267" i="13"/>
  <c r="AU283" i="13"/>
  <c r="AU299" i="13"/>
  <c r="AU315" i="13"/>
  <c r="AU331" i="13"/>
  <c r="AU347" i="13"/>
  <c r="AU363" i="13"/>
  <c r="AU379" i="13"/>
  <c r="AU395" i="13"/>
  <c r="AU411" i="13"/>
  <c r="AU427" i="13"/>
  <c r="AU443" i="13"/>
  <c r="AU22" i="13"/>
  <c r="AU38" i="13"/>
  <c r="AU54" i="13"/>
  <c r="AU70" i="13"/>
  <c r="AU86" i="13"/>
  <c r="AU102" i="13"/>
  <c r="AU118" i="13"/>
  <c r="AU134" i="13"/>
  <c r="AU150" i="13"/>
  <c r="AU166" i="13"/>
  <c r="AU182" i="13"/>
  <c r="AU198" i="13"/>
  <c r="AU214" i="13"/>
  <c r="AU230" i="13"/>
  <c r="AU246" i="13"/>
  <c r="AU262" i="13"/>
  <c r="AU278" i="13"/>
  <c r="AU294" i="13"/>
  <c r="AU310" i="13"/>
  <c r="AU326" i="13"/>
  <c r="AU342" i="13"/>
  <c r="AU358" i="13"/>
  <c r="AU374" i="13"/>
  <c r="AU390" i="13"/>
  <c r="AU406" i="13"/>
  <c r="AU422" i="13"/>
  <c r="AU438" i="13"/>
  <c r="E432" i="13"/>
  <c r="E368" i="13"/>
  <c r="E304" i="13"/>
  <c r="E240" i="13"/>
  <c r="E176" i="13"/>
  <c r="E112" i="13"/>
  <c r="E48" i="13"/>
  <c r="E441" i="13"/>
  <c r="E377" i="13"/>
  <c r="E313" i="13"/>
  <c r="E249" i="13"/>
  <c r="E185" i="13"/>
  <c r="E121" i="13"/>
  <c r="E57" i="13"/>
  <c r="E438" i="13"/>
  <c r="E406" i="13"/>
  <c r="E374" i="13"/>
  <c r="E342" i="13"/>
  <c r="E310" i="13"/>
  <c r="E278" i="13"/>
  <c r="E246" i="13"/>
  <c r="E214" i="13"/>
  <c r="E182" i="13"/>
  <c r="E150" i="13"/>
  <c r="E118" i="13"/>
  <c r="E86" i="13"/>
  <c r="E54" i="13"/>
  <c r="E22" i="13"/>
  <c r="E404" i="13"/>
  <c r="E340" i="13"/>
  <c r="E276" i="13"/>
  <c r="E212" i="13"/>
  <c r="E148" i="13"/>
  <c r="E84" i="13"/>
  <c r="E445" i="13"/>
  <c r="E381" i="13"/>
  <c r="E317" i="13"/>
  <c r="E253" i="13"/>
  <c r="E189" i="13"/>
  <c r="E125" i="13"/>
  <c r="E61" i="13"/>
  <c r="E443" i="13"/>
  <c r="E411" i="13"/>
  <c r="E379" i="13"/>
  <c r="E347" i="13"/>
  <c r="E315" i="13"/>
  <c r="E283" i="13"/>
  <c r="E251" i="13"/>
  <c r="E219" i="13"/>
  <c r="E187" i="13"/>
  <c r="E155" i="13"/>
  <c r="E123" i="13"/>
  <c r="E91" i="13"/>
  <c r="E59" i="13"/>
  <c r="S1116" i="19"/>
  <c r="E15" i="13"/>
  <c r="E31" i="13"/>
  <c r="E47" i="13"/>
  <c r="E63" i="13"/>
  <c r="E79" i="13"/>
  <c r="E95" i="13"/>
  <c r="E111" i="13"/>
  <c r="E127" i="13"/>
  <c r="E143" i="13"/>
  <c r="E159" i="13"/>
  <c r="E175" i="13"/>
  <c r="E191" i="13"/>
  <c r="E207" i="13"/>
  <c r="E223" i="13"/>
  <c r="E239" i="13"/>
  <c r="E255" i="13"/>
  <c r="E271" i="13"/>
  <c r="E287" i="13"/>
  <c r="E303" i="13"/>
  <c r="E319" i="13"/>
  <c r="E335" i="13"/>
  <c r="E351" i="13"/>
  <c r="E367" i="13"/>
  <c r="E383" i="13"/>
  <c r="E399" i="13"/>
  <c r="E415" i="13"/>
  <c r="E431" i="13"/>
  <c r="E447" i="13"/>
  <c r="E37" i="13"/>
  <c r="E69" i="13"/>
  <c r="E101" i="13"/>
  <c r="E133" i="13"/>
  <c r="E165" i="13"/>
  <c r="E197" i="13"/>
  <c r="E229" i="13"/>
  <c r="E261" i="13"/>
  <c r="E293" i="13"/>
  <c r="E325" i="13"/>
  <c r="E357" i="13"/>
  <c r="E389" i="13"/>
  <c r="E421" i="13"/>
  <c r="E16" i="13"/>
  <c r="E60" i="13"/>
  <c r="E92" i="13"/>
  <c r="E124" i="13"/>
  <c r="E156" i="13"/>
  <c r="E188" i="13"/>
  <c r="E220" i="13"/>
  <c r="E252" i="13"/>
  <c r="E284" i="13"/>
  <c r="E316" i="13"/>
  <c r="E348" i="13"/>
  <c r="E380" i="13"/>
  <c r="E412" i="13"/>
  <c r="E444" i="13"/>
  <c r="E26" i="13"/>
  <c r="E42" i="13"/>
  <c r="E58" i="13"/>
  <c r="E74" i="13"/>
  <c r="E90" i="13"/>
  <c r="E106" i="13"/>
  <c r="E122" i="13"/>
  <c r="E138" i="13"/>
  <c r="E154" i="13"/>
  <c r="E170" i="13"/>
  <c r="E186" i="13"/>
  <c r="E202" i="13"/>
  <c r="E218" i="13"/>
  <c r="E234" i="13"/>
  <c r="E250" i="13"/>
  <c r="E266" i="13"/>
  <c r="E282" i="13"/>
  <c r="E298" i="13"/>
  <c r="E314" i="13"/>
  <c r="E330" i="13"/>
  <c r="E346" i="13"/>
  <c r="E362" i="13"/>
  <c r="E378" i="13"/>
  <c r="E394" i="13"/>
  <c r="E410" i="13"/>
  <c r="E426" i="13"/>
  <c r="E442" i="13"/>
  <c r="E33" i="13"/>
  <c r="E65" i="13"/>
  <c r="E97" i="13"/>
  <c r="E129" i="13"/>
  <c r="E161" i="13"/>
  <c r="E193" i="13"/>
  <c r="E225" i="13"/>
  <c r="E257" i="13"/>
  <c r="E289" i="13"/>
  <c r="E321" i="13"/>
  <c r="E353" i="13"/>
  <c r="E385" i="13"/>
  <c r="E417" i="13"/>
  <c r="E10" i="13"/>
  <c r="E28" i="13"/>
  <c r="E56" i="13"/>
  <c r="E88" i="13"/>
  <c r="E120" i="13"/>
  <c r="E152" i="13"/>
  <c r="E184" i="13"/>
  <c r="E216" i="13"/>
  <c r="E248" i="13"/>
  <c r="E280" i="13"/>
  <c r="E312" i="13"/>
  <c r="E344" i="13"/>
  <c r="E376" i="13"/>
  <c r="E408" i="13"/>
  <c r="E440" i="13"/>
  <c r="AU444" i="13"/>
  <c r="AU436" i="13"/>
  <c r="AU428" i="13"/>
  <c r="AU420" i="13"/>
  <c r="AU412" i="13"/>
  <c r="AU404" i="13"/>
  <c r="AU396" i="13"/>
  <c r="AU388" i="13"/>
  <c r="AU380" i="13"/>
  <c r="AU372" i="13"/>
  <c r="AU364" i="13"/>
  <c r="AU356" i="13"/>
  <c r="AU348" i="13"/>
  <c r="AU340" i="13"/>
  <c r="AU332" i="13"/>
  <c r="AU324" i="13"/>
  <c r="AU316" i="13"/>
  <c r="AU308" i="13"/>
  <c r="AU300" i="13"/>
  <c r="AU292" i="13"/>
  <c r="AU284" i="13"/>
  <c r="AU276" i="13"/>
  <c r="AU268" i="13"/>
  <c r="AU260" i="13"/>
  <c r="AU252" i="13"/>
  <c r="AU244" i="13"/>
  <c r="AU236" i="13"/>
  <c r="AU228" i="13"/>
  <c r="AU220" i="13"/>
  <c r="AU212" i="13"/>
  <c r="AU204" i="13"/>
  <c r="AU196" i="13"/>
  <c r="AU188" i="13"/>
  <c r="AU180" i="13"/>
  <c r="AU172" i="13"/>
  <c r="AU164" i="13"/>
  <c r="AU156" i="13"/>
  <c r="AU148" i="13"/>
  <c r="AU140" i="13"/>
  <c r="AU132" i="13"/>
  <c r="AU124" i="13"/>
  <c r="AU116" i="13"/>
  <c r="AU108" i="13"/>
  <c r="AU100" i="13"/>
  <c r="AU92" i="13"/>
  <c r="AU84" i="13"/>
  <c r="AU76" i="13"/>
  <c r="AU68" i="13"/>
  <c r="AU60" i="13"/>
  <c r="AU52" i="13"/>
  <c r="AU44" i="13"/>
  <c r="AU36" i="13"/>
  <c r="AU28" i="13"/>
  <c r="AU20" i="13"/>
  <c r="AU12" i="13"/>
  <c r="AU441" i="13"/>
  <c r="AU433" i="13"/>
  <c r="AU425" i="13"/>
  <c r="AU417" i="13"/>
  <c r="AU409" i="13"/>
  <c r="AU401" i="13"/>
  <c r="AU393" i="13"/>
  <c r="AU385" i="13"/>
  <c r="AU377" i="13"/>
  <c r="AU369" i="13"/>
  <c r="AU361" i="13"/>
  <c r="AU353" i="13"/>
  <c r="AU345" i="13"/>
  <c r="AU337" i="13"/>
  <c r="AU329" i="13"/>
  <c r="AU321" i="13"/>
  <c r="AU313" i="13"/>
  <c r="AU305" i="13"/>
  <c r="AU297" i="13"/>
  <c r="AU289" i="13"/>
  <c r="AU281" i="13"/>
  <c r="AU273" i="13"/>
  <c r="AU265" i="13"/>
  <c r="AU257" i="13"/>
  <c r="AU249" i="13"/>
  <c r="AU241" i="13"/>
  <c r="AU233" i="13"/>
  <c r="AU225" i="13"/>
  <c r="AU217" i="13"/>
  <c r="AU209" i="13"/>
  <c r="AU201" i="13"/>
  <c r="AU193" i="13"/>
  <c r="AU185" i="13"/>
  <c r="AU177" i="13"/>
  <c r="AU169" i="13"/>
  <c r="AU161" i="13"/>
  <c r="AU153" i="13"/>
  <c r="AU145" i="13"/>
  <c r="AU137" i="13"/>
  <c r="AU129" i="13"/>
  <c r="AU121" i="13"/>
  <c r="AU113" i="13"/>
  <c r="AU105" i="13"/>
  <c r="AU97" i="13"/>
  <c r="AU89" i="13"/>
  <c r="AU81" i="13"/>
  <c r="AU73" i="13"/>
  <c r="AU65" i="13"/>
  <c r="AU57" i="13"/>
  <c r="AU49" i="13"/>
  <c r="AU41" i="13"/>
  <c r="AU33" i="13"/>
  <c r="AU25" i="13"/>
  <c r="AU17" i="13"/>
  <c r="E19" i="13"/>
  <c r="E35" i="13"/>
  <c r="E51" i="13"/>
  <c r="E67" i="13"/>
  <c r="E83" i="13"/>
  <c r="E99" i="13"/>
  <c r="E115" i="13"/>
  <c r="E131" i="13"/>
  <c r="E147" i="13"/>
  <c r="E163" i="13"/>
  <c r="E179" i="13"/>
  <c r="E195" i="13"/>
  <c r="E211" i="13"/>
  <c r="E227" i="13"/>
  <c r="E243" i="13"/>
  <c r="E259" i="13"/>
  <c r="E275" i="13"/>
  <c r="E291" i="13"/>
  <c r="E307" i="13"/>
  <c r="E323" i="13"/>
  <c r="E339" i="13"/>
  <c r="E355" i="13"/>
  <c r="E371" i="13"/>
  <c r="E387" i="13"/>
  <c r="E403" i="13"/>
  <c r="E419" i="13"/>
  <c r="E435" i="13"/>
  <c r="E13" i="13"/>
  <c r="E45" i="13"/>
  <c r="E77" i="13"/>
  <c r="E109" i="13"/>
  <c r="E141" i="13"/>
  <c r="E173" i="13"/>
  <c r="E205" i="13"/>
  <c r="E237" i="13"/>
  <c r="E269" i="13"/>
  <c r="E301" i="13"/>
  <c r="E333" i="13"/>
  <c r="E365" i="13"/>
  <c r="E397" i="13"/>
  <c r="E429" i="13"/>
  <c r="E36" i="13"/>
  <c r="E68" i="13"/>
  <c r="E100" i="13"/>
  <c r="E132" i="13"/>
  <c r="E164" i="13"/>
  <c r="E196" i="13"/>
  <c r="E228" i="13"/>
  <c r="E260" i="13"/>
  <c r="E292" i="13"/>
  <c r="E324" i="13"/>
  <c r="E356" i="13"/>
  <c r="E388" i="13"/>
  <c r="E420" i="13"/>
  <c r="E14" i="13"/>
  <c r="E30" i="13"/>
  <c r="E46" i="13"/>
  <c r="E62" i="13"/>
  <c r="E78" i="13"/>
  <c r="E94" i="13"/>
  <c r="E110" i="13"/>
  <c r="E126" i="13"/>
  <c r="E142" i="13"/>
  <c r="E158" i="13"/>
  <c r="E174" i="13"/>
  <c r="E190" i="13"/>
  <c r="E206" i="13"/>
  <c r="E222" i="13"/>
  <c r="E238" i="13"/>
  <c r="E254" i="13"/>
  <c r="E270" i="13"/>
  <c r="E286" i="13"/>
  <c r="E302" i="13"/>
  <c r="E318" i="13"/>
  <c r="E334" i="13"/>
  <c r="E350" i="13"/>
  <c r="E366" i="13"/>
  <c r="E382" i="13"/>
  <c r="E398" i="13"/>
  <c r="E414" i="13"/>
  <c r="E430" i="13"/>
  <c r="E446" i="13"/>
  <c r="E41" i="13"/>
  <c r="E73" i="13"/>
  <c r="E105" i="13"/>
  <c r="E137" i="13"/>
  <c r="E169" i="13"/>
  <c r="E201" i="13"/>
  <c r="E233" i="13"/>
  <c r="E265" i="13"/>
  <c r="E297" i="13"/>
  <c r="E329" i="13"/>
  <c r="E361" i="13"/>
  <c r="E393" i="13"/>
  <c r="E425" i="13"/>
  <c r="E12" i="13"/>
  <c r="E32" i="13"/>
  <c r="E64" i="13"/>
  <c r="E96" i="13"/>
  <c r="E128" i="13"/>
  <c r="E160" i="13"/>
  <c r="E192" i="13"/>
  <c r="E224" i="13"/>
  <c r="E256" i="13"/>
  <c r="E288" i="13"/>
  <c r="E320" i="13"/>
  <c r="E352" i="13"/>
  <c r="E384" i="13"/>
  <c r="E416" i="13"/>
  <c r="E448" i="13"/>
  <c r="AU442" i="13"/>
  <c r="AU434" i="13"/>
  <c r="AU426" i="13"/>
  <c r="AU418" i="13"/>
  <c r="AU410" i="13"/>
  <c r="AU402" i="13"/>
  <c r="AU394" i="13"/>
  <c r="AU386" i="13"/>
  <c r="AU378" i="13"/>
  <c r="AU370" i="13"/>
  <c r="AU362" i="13"/>
  <c r="AU354" i="13"/>
  <c r="AU346" i="13"/>
  <c r="AU338" i="13"/>
  <c r="AU330" i="13"/>
  <c r="AU322" i="13"/>
  <c r="AU314" i="13"/>
  <c r="AU306" i="13"/>
  <c r="AU298" i="13"/>
  <c r="AU290" i="13"/>
  <c r="AU282" i="13"/>
  <c r="AU274" i="13"/>
  <c r="AU266" i="13"/>
  <c r="AU258" i="13"/>
  <c r="AU250" i="13"/>
  <c r="AU242" i="13"/>
  <c r="AU234" i="13"/>
  <c r="AU226" i="13"/>
  <c r="AU218" i="13"/>
  <c r="AU210" i="13"/>
  <c r="AU202" i="13"/>
  <c r="AU194" i="13"/>
  <c r="AU186" i="13"/>
  <c r="AU178" i="13"/>
  <c r="AU170" i="13"/>
  <c r="AU162" i="13"/>
  <c r="AU154" i="13"/>
  <c r="AU146" i="13"/>
  <c r="AU138" i="13"/>
  <c r="AU130" i="13"/>
  <c r="AU122" i="13"/>
  <c r="AU114" i="13"/>
  <c r="AU106" i="13"/>
  <c r="AU98" i="13"/>
  <c r="AU90" i="13"/>
  <c r="AU82" i="13"/>
  <c r="AU74" i="13"/>
  <c r="AU66" i="13"/>
  <c r="AU58" i="13"/>
  <c r="AU50" i="13"/>
  <c r="AU42" i="13"/>
  <c r="AU34" i="13"/>
  <c r="AU26" i="13"/>
  <c r="AU18" i="13"/>
  <c r="AU447" i="13"/>
  <c r="AU439" i="13"/>
  <c r="AU431" i="13"/>
  <c r="AU423" i="13"/>
  <c r="AU415" i="13"/>
  <c r="AU407" i="13"/>
  <c r="AU399" i="13"/>
  <c r="AU391" i="13"/>
  <c r="AU383" i="13"/>
  <c r="AU375" i="13"/>
  <c r="AU367" i="13"/>
  <c r="AU359" i="13"/>
  <c r="AU351" i="13"/>
  <c r="AU343" i="13"/>
  <c r="AU335" i="13"/>
  <c r="AU327" i="13"/>
  <c r="AU319" i="13"/>
  <c r="AU311" i="13"/>
  <c r="AU303" i="13"/>
  <c r="AU295" i="13"/>
  <c r="AU287" i="13"/>
  <c r="AU279" i="13"/>
  <c r="AU271" i="13"/>
  <c r="AU263" i="13"/>
  <c r="AU255" i="13"/>
  <c r="AU247" i="13"/>
  <c r="AU239" i="13"/>
  <c r="AU231" i="13"/>
  <c r="AU223" i="13"/>
  <c r="AU215" i="13"/>
  <c r="AU207" i="13"/>
  <c r="AU199" i="13"/>
  <c r="AU191" i="13"/>
  <c r="AU183" i="13"/>
  <c r="AU175" i="13"/>
  <c r="AU167" i="13"/>
  <c r="AU159" i="13"/>
  <c r="AU151" i="13"/>
  <c r="AU143" i="13"/>
  <c r="AU135" i="13"/>
  <c r="AU127" i="13"/>
  <c r="AU119" i="13"/>
  <c r="AU111" i="13"/>
  <c r="AU103" i="13"/>
  <c r="AU95" i="13"/>
  <c r="AU87" i="13"/>
  <c r="AU79" i="13"/>
  <c r="AU71" i="13"/>
  <c r="AU63" i="13"/>
  <c r="AU55" i="13"/>
  <c r="AU47" i="13"/>
  <c r="AU39" i="13"/>
  <c r="AU31" i="13"/>
  <c r="AU23" i="13"/>
  <c r="AU15" i="13"/>
  <c r="AU13" i="13"/>
  <c r="AU29" i="13"/>
  <c r="AU45" i="13"/>
  <c r="AU61" i="13"/>
  <c r="AU77" i="13"/>
  <c r="AU93" i="13"/>
  <c r="AU109" i="13"/>
  <c r="AU125" i="13"/>
  <c r="AU141" i="13"/>
  <c r="AU157" i="13"/>
  <c r="AU173" i="13"/>
  <c r="AU189" i="13"/>
  <c r="AU205" i="13"/>
  <c r="AU221" i="13"/>
  <c r="AU237" i="13"/>
  <c r="AU253" i="13"/>
  <c r="AU269" i="13"/>
  <c r="AU285" i="13"/>
  <c r="AU301" i="13"/>
  <c r="AU317" i="13"/>
  <c r="AU333" i="13"/>
  <c r="AU349" i="13"/>
  <c r="AU365" i="13"/>
  <c r="AU381" i="13"/>
  <c r="AU397" i="13"/>
  <c r="AU413" i="13"/>
  <c r="AU429" i="13"/>
  <c r="AU445" i="13"/>
  <c r="AU24" i="13"/>
  <c r="AU40" i="13"/>
  <c r="AU56" i="13"/>
  <c r="AU72" i="13"/>
  <c r="AU88" i="13"/>
  <c r="AU104" i="13"/>
  <c r="AU120" i="13"/>
  <c r="AU136" i="13"/>
  <c r="AU152" i="13"/>
  <c r="AU168" i="13"/>
  <c r="AU184" i="13"/>
  <c r="AU200" i="13"/>
  <c r="AU216" i="13"/>
  <c r="AU232" i="13"/>
  <c r="AU248" i="13"/>
  <c r="AU264" i="13"/>
  <c r="AU280" i="13"/>
  <c r="AU296" i="13"/>
  <c r="AU312" i="13"/>
  <c r="AU328" i="13"/>
  <c r="AU344" i="13"/>
  <c r="AU360" i="13"/>
  <c r="AU376" i="13"/>
  <c r="AU392" i="13"/>
  <c r="AU408" i="13"/>
  <c r="AU424" i="13"/>
  <c r="AU440" i="13"/>
  <c r="E424" i="13"/>
  <c r="E360" i="13"/>
  <c r="E296" i="13"/>
  <c r="E232" i="13"/>
  <c r="E168" i="13"/>
  <c r="E104" i="13"/>
  <c r="E40" i="13"/>
  <c r="E433" i="13"/>
  <c r="E369" i="13"/>
  <c r="E305" i="13"/>
  <c r="E241" i="13"/>
  <c r="E177" i="13"/>
  <c r="E113" i="13"/>
  <c r="E49" i="13"/>
  <c r="E434" i="13"/>
  <c r="E402" i="13"/>
  <c r="E370" i="13"/>
  <c r="E338" i="13"/>
  <c r="E306" i="13"/>
  <c r="E274" i="13"/>
  <c r="E242" i="13"/>
  <c r="E210" i="13"/>
  <c r="E178" i="13"/>
  <c r="E146" i="13"/>
  <c r="E114" i="13"/>
  <c r="E82" i="13"/>
  <c r="E50" i="13"/>
  <c r="E18" i="13"/>
  <c r="E396" i="13"/>
  <c r="E332" i="13"/>
  <c r="E268" i="13"/>
  <c r="E204" i="13"/>
  <c r="E140" i="13"/>
  <c r="E76" i="13"/>
  <c r="E437" i="13"/>
  <c r="E373" i="13"/>
  <c r="E309" i="13"/>
  <c r="E245" i="13"/>
  <c r="E181" i="13"/>
  <c r="E117" i="13"/>
  <c r="E53" i="13"/>
  <c r="E439" i="13"/>
  <c r="E407" i="13"/>
  <c r="E375" i="13"/>
  <c r="E343" i="13"/>
  <c r="E311" i="13"/>
  <c r="E279" i="13"/>
  <c r="E247" i="13"/>
  <c r="E215" i="13"/>
  <c r="E183" i="13"/>
  <c r="E151" i="13"/>
  <c r="E119" i="13"/>
  <c r="E87" i="13"/>
  <c r="E55" i="13"/>
  <c r="E23" i="13"/>
  <c r="N123" i="10"/>
  <c r="O123" i="10" s="1"/>
  <c r="N175" i="10"/>
  <c r="O175" i="10" s="1"/>
  <c r="N239" i="10"/>
  <c r="O239" i="10" s="1"/>
  <c r="N303" i="10"/>
  <c r="O303" i="10" s="1"/>
  <c r="N206" i="10"/>
  <c r="O206" i="10" s="1"/>
  <c r="N334" i="10"/>
  <c r="O334" i="10" s="1"/>
  <c r="N242" i="10"/>
  <c r="O242" i="10" s="1"/>
  <c r="N202" i="10"/>
  <c r="O202" i="10" s="1"/>
  <c r="N330" i="10"/>
  <c r="O330" i="10" s="1"/>
  <c r="N326" i="10"/>
  <c r="O326" i="10" s="1"/>
  <c r="N111" i="10"/>
  <c r="O111" i="10" s="1"/>
  <c r="N159" i="10"/>
  <c r="O159" i="10" s="1"/>
  <c r="N223" i="10"/>
  <c r="O223" i="10" s="1"/>
  <c r="N287" i="10"/>
  <c r="O287" i="10" s="1"/>
  <c r="N351" i="10"/>
  <c r="O351" i="10" s="1"/>
  <c r="N302" i="10"/>
  <c r="O302" i="10" s="1"/>
  <c r="N210" i="10"/>
  <c r="O210" i="10" s="1"/>
  <c r="N338" i="10"/>
  <c r="O338" i="10" s="1"/>
  <c r="N298" i="10"/>
  <c r="O298" i="10" s="1"/>
  <c r="N278" i="10"/>
  <c r="O278" i="10" s="1"/>
  <c r="G386" i="22"/>
  <c r="G740" i="22"/>
  <c r="G192" i="15"/>
  <c r="G214" i="15"/>
  <c r="G300" i="15"/>
  <c r="G292" i="15"/>
  <c r="G241" i="15"/>
  <c r="G232" i="15"/>
  <c r="G219" i="15"/>
  <c r="G206" i="15"/>
  <c r="G148" i="15"/>
  <c r="G108" i="15"/>
  <c r="G104" i="15"/>
  <c r="G96" i="15"/>
  <c r="G92" i="15"/>
  <c r="G90" i="15"/>
  <c r="G67" i="15"/>
  <c r="G59" i="15"/>
  <c r="G26" i="15"/>
  <c r="G22" i="15"/>
  <c r="G13" i="15"/>
  <c r="G104" i="22"/>
  <c r="G55" i="22"/>
  <c r="F185" i="13"/>
  <c r="F314" i="13"/>
  <c r="G33" i="22"/>
  <c r="N17" i="10"/>
  <c r="O17" i="10" s="1"/>
  <c r="N33" i="10"/>
  <c r="O33" i="10" s="1"/>
  <c r="N49" i="10"/>
  <c r="O49" i="10" s="1"/>
  <c r="N65" i="10"/>
  <c r="O65" i="10" s="1"/>
  <c r="N81" i="10"/>
  <c r="O81" i="10" s="1"/>
  <c r="N97" i="10"/>
  <c r="O97" i="10" s="1"/>
  <c r="N113" i="10"/>
  <c r="O113" i="10" s="1"/>
  <c r="N129" i="10"/>
  <c r="O129" i="10" s="1"/>
  <c r="N145" i="10"/>
  <c r="O145" i="10" s="1"/>
  <c r="N161" i="10"/>
  <c r="O161" i="10" s="1"/>
  <c r="N177" i="10"/>
  <c r="O177" i="10" s="1"/>
  <c r="N193" i="10"/>
  <c r="O193" i="10" s="1"/>
  <c r="N209" i="10"/>
  <c r="O209" i="10" s="1"/>
  <c r="N225" i="10"/>
  <c r="O225" i="10" s="1"/>
  <c r="N241" i="10"/>
  <c r="O241" i="10" s="1"/>
  <c r="N257" i="10"/>
  <c r="O257" i="10" s="1"/>
  <c r="N273" i="10"/>
  <c r="O273" i="10" s="1"/>
  <c r="N289" i="10"/>
  <c r="O289" i="10" s="1"/>
  <c r="N305" i="10"/>
  <c r="O305" i="10" s="1"/>
  <c r="N321" i="10"/>
  <c r="O321" i="10" s="1"/>
  <c r="N337" i="10"/>
  <c r="O337" i="10" s="1"/>
  <c r="N353" i="10"/>
  <c r="O353" i="10" s="1"/>
  <c r="N139" i="10"/>
  <c r="O139" i="10" s="1"/>
  <c r="N171" i="10"/>
  <c r="O171" i="10" s="1"/>
  <c r="N203" i="10"/>
  <c r="O203" i="10" s="1"/>
  <c r="N235" i="10"/>
  <c r="O235" i="10" s="1"/>
  <c r="N267" i="10"/>
  <c r="O267" i="10" s="1"/>
  <c r="N299" i="10"/>
  <c r="O299" i="10" s="1"/>
  <c r="N331" i="10"/>
  <c r="O331" i="10" s="1"/>
  <c r="N14" i="10"/>
  <c r="O14" i="10" s="1"/>
  <c r="N30" i="10"/>
  <c r="O30" i="10" s="1"/>
  <c r="N46" i="10"/>
  <c r="O46" i="10" s="1"/>
  <c r="N62" i="10"/>
  <c r="O62" i="10" s="1"/>
  <c r="N78" i="10"/>
  <c r="O78" i="10" s="1"/>
  <c r="N94" i="10"/>
  <c r="O94" i="10" s="1"/>
  <c r="N110" i="10"/>
  <c r="O110" i="10" s="1"/>
  <c r="N126" i="10"/>
  <c r="O126" i="10" s="1"/>
  <c r="N142" i="10"/>
  <c r="O142" i="10" s="1"/>
  <c r="N158" i="10"/>
  <c r="O158" i="10" s="1"/>
  <c r="N174" i="10"/>
  <c r="O174" i="10" s="1"/>
  <c r="N190" i="10"/>
  <c r="O190" i="10" s="1"/>
  <c r="N20" i="10"/>
  <c r="O20" i="10" s="1"/>
  <c r="N36" i="10"/>
  <c r="O36" i="10" s="1"/>
  <c r="N52" i="10"/>
  <c r="O52" i="10" s="1"/>
  <c r="N68" i="10"/>
  <c r="O68" i="10" s="1"/>
  <c r="N84" i="10"/>
  <c r="O84" i="10" s="1"/>
  <c r="N100" i="10"/>
  <c r="O100" i="10" s="1"/>
  <c r="N116" i="10"/>
  <c r="O116" i="10" s="1"/>
  <c r="N132" i="10"/>
  <c r="O132" i="10" s="1"/>
  <c r="N148" i="10"/>
  <c r="O148" i="10" s="1"/>
  <c r="N164" i="10"/>
  <c r="O164" i="10" s="1"/>
  <c r="N180" i="10"/>
  <c r="O180" i="10" s="1"/>
  <c r="N196" i="10"/>
  <c r="O196" i="10" s="1"/>
  <c r="N212" i="10"/>
  <c r="O212" i="10" s="1"/>
  <c r="N228" i="10"/>
  <c r="O228" i="10" s="1"/>
  <c r="N244" i="10"/>
  <c r="O244" i="10" s="1"/>
  <c r="N260" i="10"/>
  <c r="O260" i="10" s="1"/>
  <c r="N276" i="10"/>
  <c r="O276" i="10" s="1"/>
  <c r="N292" i="10"/>
  <c r="O292" i="10" s="1"/>
  <c r="N308" i="10"/>
  <c r="O308" i="10" s="1"/>
  <c r="N324" i="10"/>
  <c r="O324" i="10" s="1"/>
  <c r="N340" i="10"/>
  <c r="O340" i="10" s="1"/>
  <c r="N356" i="10"/>
  <c r="O356" i="10" s="1"/>
  <c r="N19" i="10"/>
  <c r="O19" i="10" s="1"/>
  <c r="N35" i="10"/>
  <c r="O35" i="10" s="1"/>
  <c r="N51" i="10"/>
  <c r="O51" i="10" s="1"/>
  <c r="N67" i="10"/>
  <c r="O67" i="10" s="1"/>
  <c r="N83" i="10"/>
  <c r="O83" i="10" s="1"/>
  <c r="N99" i="10"/>
  <c r="O99" i="10" s="1"/>
  <c r="N119" i="10"/>
  <c r="O119" i="10" s="1"/>
  <c r="N135" i="10"/>
  <c r="O135" i="10" s="1"/>
  <c r="N167" i="10"/>
  <c r="O167" i="10" s="1"/>
  <c r="N199" i="10"/>
  <c r="O199" i="10" s="1"/>
  <c r="N231" i="10"/>
  <c r="O231" i="10" s="1"/>
  <c r="N263" i="10"/>
  <c r="O263" i="10" s="1"/>
  <c r="N295" i="10"/>
  <c r="O295" i="10" s="1"/>
  <c r="N327" i="10"/>
  <c r="O327" i="10" s="1"/>
  <c r="N359" i="10"/>
  <c r="O359" i="10" s="1"/>
  <c r="N254" i="10"/>
  <c r="O254" i="10" s="1"/>
  <c r="N318" i="10"/>
  <c r="O318" i="10" s="1"/>
  <c r="N262" i="10"/>
  <c r="O262" i="10" s="1"/>
  <c r="N226" i="10"/>
  <c r="O226" i="10" s="1"/>
  <c r="N290" i="10"/>
  <c r="O290" i="10" s="1"/>
  <c r="N354" i="10"/>
  <c r="O354" i="10" s="1"/>
  <c r="N250" i="10"/>
  <c r="O250" i="10" s="1"/>
  <c r="N314" i="10"/>
  <c r="O314" i="10" s="1"/>
  <c r="N198" i="10"/>
  <c r="O198" i="10" s="1"/>
  <c r="N310" i="10"/>
  <c r="O310" i="10" s="1"/>
  <c r="N13" i="10"/>
  <c r="O13" i="10" s="1"/>
  <c r="N25" i="10"/>
  <c r="O25" i="10" s="1"/>
  <c r="N41" i="10"/>
  <c r="O41" i="10" s="1"/>
  <c r="N57" i="10"/>
  <c r="O57" i="10" s="1"/>
  <c r="N73" i="10"/>
  <c r="O73" i="10" s="1"/>
  <c r="N89" i="10"/>
  <c r="O89" i="10" s="1"/>
  <c r="N105" i="10"/>
  <c r="O105" i="10" s="1"/>
  <c r="N121" i="10"/>
  <c r="O121" i="10" s="1"/>
  <c r="N137" i="10"/>
  <c r="O137" i="10" s="1"/>
  <c r="N153" i="10"/>
  <c r="O153" i="10" s="1"/>
  <c r="N169" i="10"/>
  <c r="O169" i="10" s="1"/>
  <c r="N185" i="10"/>
  <c r="O185" i="10" s="1"/>
  <c r="N201" i="10"/>
  <c r="O201" i="10" s="1"/>
  <c r="N217" i="10"/>
  <c r="O217" i="10" s="1"/>
  <c r="N233" i="10"/>
  <c r="O233" i="10" s="1"/>
  <c r="N249" i="10"/>
  <c r="O249" i="10" s="1"/>
  <c r="N265" i="10"/>
  <c r="O265" i="10" s="1"/>
  <c r="N281" i="10"/>
  <c r="O281" i="10" s="1"/>
  <c r="N297" i="10"/>
  <c r="O297" i="10" s="1"/>
  <c r="N313" i="10"/>
  <c r="O313" i="10" s="1"/>
  <c r="N329" i="10"/>
  <c r="O329" i="10" s="1"/>
  <c r="N345" i="10"/>
  <c r="O345" i="10" s="1"/>
  <c r="N361" i="10"/>
  <c r="N155" i="10"/>
  <c r="O155" i="10" s="1"/>
  <c r="N187" i="10"/>
  <c r="O187" i="10" s="1"/>
  <c r="N219" i="10"/>
  <c r="O219" i="10" s="1"/>
  <c r="N251" i="10"/>
  <c r="O251" i="10" s="1"/>
  <c r="N283" i="10"/>
  <c r="O283" i="10" s="1"/>
  <c r="N315" i="10"/>
  <c r="O315" i="10" s="1"/>
  <c r="N347" i="10"/>
  <c r="O347" i="10" s="1"/>
  <c r="N22" i="10"/>
  <c r="O22" i="10" s="1"/>
  <c r="N38" i="10"/>
  <c r="O38" i="10" s="1"/>
  <c r="N54" i="10"/>
  <c r="O54" i="10" s="1"/>
  <c r="N70" i="10"/>
  <c r="O70" i="10" s="1"/>
  <c r="N86" i="10"/>
  <c r="O86" i="10" s="1"/>
  <c r="N102" i="10"/>
  <c r="O102" i="10" s="1"/>
  <c r="N118" i="10"/>
  <c r="O118" i="10" s="1"/>
  <c r="N134" i="10"/>
  <c r="O134" i="10" s="1"/>
  <c r="N150" i="10"/>
  <c r="O150" i="10" s="1"/>
  <c r="N166" i="10"/>
  <c r="O166" i="10" s="1"/>
  <c r="N182" i="10"/>
  <c r="O182" i="10" s="1"/>
  <c r="N12" i="10"/>
  <c r="O12" i="10" s="1"/>
  <c r="N28" i="10"/>
  <c r="O28" i="10" s="1"/>
  <c r="N44" i="10"/>
  <c r="O44" i="10" s="1"/>
  <c r="N60" i="10"/>
  <c r="O60" i="10" s="1"/>
  <c r="N76" i="10"/>
  <c r="O76" i="10" s="1"/>
  <c r="N92" i="10"/>
  <c r="O92" i="10" s="1"/>
  <c r="N108" i="10"/>
  <c r="O108" i="10" s="1"/>
  <c r="N124" i="10"/>
  <c r="O124" i="10" s="1"/>
  <c r="N140" i="10"/>
  <c r="O140" i="10" s="1"/>
  <c r="N156" i="10"/>
  <c r="O156" i="10" s="1"/>
  <c r="N172" i="10"/>
  <c r="O172" i="10" s="1"/>
  <c r="N188" i="10"/>
  <c r="O188" i="10" s="1"/>
  <c r="N204" i="10"/>
  <c r="O204" i="10" s="1"/>
  <c r="N220" i="10"/>
  <c r="O220" i="10" s="1"/>
  <c r="N236" i="10"/>
  <c r="O236" i="10" s="1"/>
  <c r="N252" i="10"/>
  <c r="O252" i="10" s="1"/>
  <c r="N268" i="10"/>
  <c r="O268" i="10" s="1"/>
  <c r="N284" i="10"/>
  <c r="O284" i="10" s="1"/>
  <c r="N300" i="10"/>
  <c r="O300" i="10" s="1"/>
  <c r="N316" i="10"/>
  <c r="O316" i="10" s="1"/>
  <c r="N332" i="10"/>
  <c r="O332" i="10" s="1"/>
  <c r="N348" i="10"/>
  <c r="O348" i="10" s="1"/>
  <c r="N11" i="10"/>
  <c r="N27" i="10"/>
  <c r="O27" i="10" s="1"/>
  <c r="N43" i="10"/>
  <c r="O43" i="10" s="1"/>
  <c r="N59" i="10"/>
  <c r="O59" i="10" s="1"/>
  <c r="N75" i="10"/>
  <c r="O75" i="10" s="1"/>
  <c r="N91" i="10"/>
  <c r="O91" i="10" s="1"/>
  <c r="N107" i="10"/>
  <c r="O107" i="10" s="1"/>
  <c r="N127" i="10"/>
  <c r="O127" i="10" s="1"/>
  <c r="N151" i="10"/>
  <c r="O151" i="10" s="1"/>
  <c r="N183" i="10"/>
  <c r="O183" i="10" s="1"/>
  <c r="N215" i="10"/>
  <c r="O215" i="10" s="1"/>
  <c r="N247" i="10"/>
  <c r="O247" i="10" s="1"/>
  <c r="N279" i="10"/>
  <c r="O279" i="10" s="1"/>
  <c r="N311" i="10"/>
  <c r="O311" i="10" s="1"/>
  <c r="N343" i="10"/>
  <c r="O343" i="10" s="1"/>
  <c r="N222" i="10"/>
  <c r="O222" i="10" s="1"/>
  <c r="N286" i="10"/>
  <c r="O286" i="10" s="1"/>
  <c r="N350" i="10"/>
  <c r="O350" i="10" s="1"/>
  <c r="N342" i="10"/>
  <c r="O342" i="10" s="1"/>
  <c r="N258" i="10"/>
  <c r="O258" i="10" s="1"/>
  <c r="N322" i="10"/>
  <c r="O322" i="10" s="1"/>
  <c r="N218" i="10"/>
  <c r="O218" i="10" s="1"/>
  <c r="N282" i="10"/>
  <c r="O282" i="10" s="1"/>
  <c r="N346" i="10"/>
  <c r="O346" i="10" s="1"/>
  <c r="N246" i="10"/>
  <c r="O246" i="10" s="1"/>
  <c r="A6" i="8"/>
  <c r="C10" i="8" s="1"/>
  <c r="B52" i="16"/>
  <c r="B36" i="16"/>
  <c r="B20" i="16"/>
  <c r="B53" i="16"/>
  <c r="B37" i="16"/>
  <c r="B63" i="16"/>
  <c r="B54" i="16"/>
  <c r="B39" i="16"/>
  <c r="B35" i="16"/>
  <c r="B27" i="16"/>
  <c r="B42" i="16"/>
  <c r="B60" i="16"/>
  <c r="B44" i="16"/>
  <c r="B28" i="16"/>
  <c r="B61" i="16"/>
  <c r="B45" i="16"/>
  <c r="B29" i="16"/>
  <c r="B46" i="16"/>
  <c r="B31" i="16"/>
  <c r="B22" i="16"/>
  <c r="B50" i="16"/>
  <c r="B26" i="16"/>
  <c r="B34" i="16"/>
  <c r="B21" i="16"/>
  <c r="B64" i="16"/>
  <c r="B48" i="16"/>
  <c r="B32" i="16"/>
  <c r="B65" i="16"/>
  <c r="B49" i="16"/>
  <c r="B33" i="16"/>
  <c r="B62" i="16"/>
  <c r="B47" i="16"/>
  <c r="B38" i="16"/>
  <c r="B23" i="16"/>
  <c r="B58" i="16"/>
  <c r="B59" i="16"/>
  <c r="D9" i="12"/>
  <c r="A6" i="7"/>
  <c r="C26" i="9"/>
  <c r="AE190" i="13" l="1"/>
  <c r="E112" i="15"/>
  <c r="F112" i="15" s="1"/>
  <c r="AO185" i="13"/>
  <c r="AS185" i="13"/>
  <c r="AS170" i="13"/>
  <c r="AO170" i="13"/>
  <c r="AO64" i="13"/>
  <c r="AS64" i="13"/>
  <c r="AS22" i="13"/>
  <c r="AO22" i="13"/>
  <c r="H169" i="15"/>
  <c r="I169" i="15" s="1"/>
  <c r="AO249" i="13"/>
  <c r="AS249" i="13"/>
  <c r="AO355" i="13"/>
  <c r="AS355" i="13"/>
  <c r="AS123" i="13"/>
  <c r="AO123" i="13"/>
  <c r="AO303" i="13"/>
  <c r="AS303" i="13"/>
  <c r="AO73" i="13"/>
  <c r="AS73" i="13"/>
  <c r="AS310" i="13"/>
  <c r="AO310" i="13"/>
  <c r="AO232" i="13"/>
  <c r="AS232" i="13"/>
  <c r="AS198" i="13"/>
  <c r="AO198" i="13"/>
  <c r="AS314" i="13"/>
  <c r="AO314" i="13"/>
  <c r="AO24" i="13"/>
  <c r="AS24" i="13"/>
  <c r="AO17" i="13"/>
  <c r="AS17" i="13"/>
  <c r="AO41" i="13"/>
  <c r="AS41" i="13"/>
  <c r="AO240" i="13"/>
  <c r="AS240" i="13"/>
  <c r="AO212" i="13"/>
  <c r="AS212" i="13"/>
  <c r="AO345" i="13"/>
  <c r="AS345" i="13"/>
  <c r="AO132" i="13"/>
  <c r="AS132" i="13"/>
  <c r="AO252" i="13"/>
  <c r="AS252" i="13"/>
  <c r="AO261" i="13"/>
  <c r="AS261" i="13"/>
  <c r="AO301" i="13"/>
  <c r="AS301" i="13"/>
  <c r="AO133" i="13"/>
  <c r="AS133" i="13"/>
  <c r="AO274" i="13"/>
  <c r="AS274" i="13"/>
  <c r="AO136" i="13"/>
  <c r="AS136" i="13"/>
  <c r="AO290" i="13"/>
  <c r="AS290" i="13"/>
  <c r="AO302" i="13"/>
  <c r="AS302" i="13"/>
  <c r="AO137" i="13"/>
  <c r="AS137" i="13"/>
  <c r="AS246" i="13"/>
  <c r="AO246" i="13"/>
  <c r="AO173" i="13"/>
  <c r="AS173" i="13"/>
  <c r="AO206" i="13"/>
  <c r="AS206" i="13"/>
  <c r="H103" i="15"/>
  <c r="I103" i="15" s="1"/>
  <c r="AS159" i="13"/>
  <c r="AO159" i="13"/>
  <c r="AS297" i="13"/>
  <c r="AO297" i="13"/>
  <c r="AO276" i="13"/>
  <c r="AS276" i="13"/>
  <c r="H79" i="15"/>
  <c r="AO116" i="13"/>
  <c r="AS116" i="13"/>
  <c r="AO76" i="13"/>
  <c r="AS76" i="13"/>
  <c r="AO148" i="13"/>
  <c r="AS148" i="13"/>
  <c r="H241" i="15"/>
  <c r="I241" i="15" s="1"/>
  <c r="AO356" i="13"/>
  <c r="AS356" i="13"/>
  <c r="AO239" i="13"/>
  <c r="AS239" i="13"/>
  <c r="AO21" i="13"/>
  <c r="AS21" i="13"/>
  <c r="AO168" i="13"/>
  <c r="AS168" i="13"/>
  <c r="AO214" i="13"/>
  <c r="AS214" i="13"/>
  <c r="AO77" i="13"/>
  <c r="AS77" i="13"/>
  <c r="AS55" i="13"/>
  <c r="AO55" i="13"/>
  <c r="AO182" i="13"/>
  <c r="AS182" i="13"/>
  <c r="AO104" i="13"/>
  <c r="AS104" i="13"/>
  <c r="AO230" i="13"/>
  <c r="AS230" i="13"/>
  <c r="AO33" i="13"/>
  <c r="AS33" i="13"/>
  <c r="AS326" i="13"/>
  <c r="AO326" i="13"/>
  <c r="AO144" i="13"/>
  <c r="AS144" i="13"/>
  <c r="AO160" i="13"/>
  <c r="AS160" i="13"/>
  <c r="AO68" i="13"/>
  <c r="AS68" i="13"/>
  <c r="AO161" i="13"/>
  <c r="AS161" i="13"/>
  <c r="AO97" i="13"/>
  <c r="AS97" i="13"/>
  <c r="AO74" i="13"/>
  <c r="AS74" i="13"/>
  <c r="AO60" i="13"/>
  <c r="AS60" i="13"/>
  <c r="AO199" i="13"/>
  <c r="AS199" i="13"/>
  <c r="AS253" i="13"/>
  <c r="AO253" i="13"/>
  <c r="AO163" i="13"/>
  <c r="AS163" i="13"/>
  <c r="AS305" i="13"/>
  <c r="AO305" i="13"/>
  <c r="AO255" i="13"/>
  <c r="AS255" i="13"/>
  <c r="AO143" i="13"/>
  <c r="AS143" i="13"/>
  <c r="H180" i="15"/>
  <c r="I180" i="15" s="1"/>
  <c r="AO267" i="13"/>
  <c r="AS267" i="13"/>
  <c r="AO57" i="13"/>
  <c r="AS57" i="13"/>
  <c r="H78" i="15"/>
  <c r="I78" i="15" s="1"/>
  <c r="AS114" i="13"/>
  <c r="AO114" i="13"/>
  <c r="AO221" i="13"/>
  <c r="AS221" i="13"/>
  <c r="AO208" i="13"/>
  <c r="AS208" i="13"/>
  <c r="AO184" i="13"/>
  <c r="AS184" i="13"/>
  <c r="AO354" i="13"/>
  <c r="AS354" i="13"/>
  <c r="AO192" i="13"/>
  <c r="AS192" i="13"/>
  <c r="AO229" i="13"/>
  <c r="AS229" i="13"/>
  <c r="H117" i="15"/>
  <c r="I117" i="15" s="1"/>
  <c r="AO174" i="13"/>
  <c r="AS174" i="13"/>
  <c r="AS222" i="13"/>
  <c r="AO222" i="13"/>
  <c r="AS103" i="13"/>
  <c r="AO103" i="13"/>
  <c r="AO125" i="13"/>
  <c r="AS125" i="13"/>
  <c r="AS87" i="13"/>
  <c r="AO87" i="13"/>
  <c r="H198" i="15"/>
  <c r="AO294" i="13"/>
  <c r="AS294" i="13"/>
  <c r="AS226" i="13"/>
  <c r="AO226" i="13"/>
  <c r="H23" i="15"/>
  <c r="AO165" i="13"/>
  <c r="AS165" i="13"/>
  <c r="AS142" i="13"/>
  <c r="AO142" i="13"/>
  <c r="AO179" i="13"/>
  <c r="AS179" i="13"/>
  <c r="H159" i="15"/>
  <c r="AS233" i="13"/>
  <c r="AO233" i="13"/>
  <c r="AO107" i="13"/>
  <c r="AS107" i="13"/>
  <c r="AS241" i="13"/>
  <c r="AO241" i="13"/>
  <c r="H237" i="15"/>
  <c r="AO351" i="13"/>
  <c r="AS351" i="13"/>
  <c r="H134" i="15"/>
  <c r="I134" i="15" s="1"/>
  <c r="AS195" i="13"/>
  <c r="AO195" i="13"/>
  <c r="AO14" i="13"/>
  <c r="AS14" i="13"/>
  <c r="AO342" i="13"/>
  <c r="AS342" i="13"/>
  <c r="AO258" i="13"/>
  <c r="AS258" i="13"/>
  <c r="AS306" i="13"/>
  <c r="AO306" i="13"/>
  <c r="AO286" i="13"/>
  <c r="AS286" i="13"/>
  <c r="H236" i="15"/>
  <c r="AS350" i="13"/>
  <c r="AO350" i="13"/>
  <c r="AO43" i="13"/>
  <c r="AS43" i="13"/>
  <c r="AO154" i="13"/>
  <c r="AS154" i="13"/>
  <c r="AO90" i="13"/>
  <c r="AS90" i="13"/>
  <c r="AO272" i="13"/>
  <c r="AS272" i="13"/>
  <c r="AO85" i="13"/>
  <c r="AS85" i="13"/>
  <c r="AO108" i="13"/>
  <c r="AS108" i="13"/>
  <c r="AO29" i="13"/>
  <c r="AS29" i="13"/>
  <c r="H151" i="15"/>
  <c r="AO223" i="13"/>
  <c r="AS223" i="13"/>
  <c r="AS265" i="13"/>
  <c r="AO265" i="13"/>
  <c r="AO248" i="13"/>
  <c r="AS248" i="13"/>
  <c r="AO196" i="13"/>
  <c r="AS196" i="13"/>
  <c r="AO283" i="13"/>
  <c r="AS283" i="13"/>
  <c r="AO83" i="13"/>
  <c r="AS83" i="13"/>
  <c r="AO228" i="13"/>
  <c r="AS228" i="13"/>
  <c r="AO155" i="13"/>
  <c r="AS155" i="13"/>
  <c r="AO82" i="13"/>
  <c r="AS82" i="13"/>
  <c r="AO40" i="13"/>
  <c r="AS40" i="13"/>
  <c r="AO25" i="13"/>
  <c r="AS25" i="13"/>
  <c r="AO289" i="13"/>
  <c r="AS289" i="13"/>
  <c r="AO134" i="13"/>
  <c r="AS134" i="13"/>
  <c r="AO93" i="13"/>
  <c r="AS93" i="13"/>
  <c r="H28" i="15"/>
  <c r="I28" i="15" s="1"/>
  <c r="AO39" i="13"/>
  <c r="AS39" i="13"/>
  <c r="AO166" i="13"/>
  <c r="AS166" i="13"/>
  <c r="AO278" i="13"/>
  <c r="AS278" i="13"/>
  <c r="AO177" i="13"/>
  <c r="AS177" i="13"/>
  <c r="AS254" i="13"/>
  <c r="AO254" i="13"/>
  <c r="AO318" i="13"/>
  <c r="AS318" i="13"/>
  <c r="AO181" i="13"/>
  <c r="AS181" i="13"/>
  <c r="AO153" i="13"/>
  <c r="AS153" i="13"/>
  <c r="AO130" i="13"/>
  <c r="AS130" i="13"/>
  <c r="AS346" i="13"/>
  <c r="AO346" i="13"/>
  <c r="AO71" i="13"/>
  <c r="AS71" i="13"/>
  <c r="AO176" i="13"/>
  <c r="AS176" i="13"/>
  <c r="AO100" i="13"/>
  <c r="AS100" i="13"/>
  <c r="AE355" i="13"/>
  <c r="E66" i="15"/>
  <c r="F66" i="15" s="1"/>
  <c r="F14" i="7"/>
  <c r="C28" i="7"/>
  <c r="J47" i="16"/>
  <c r="J51" i="16"/>
  <c r="J55" i="16"/>
  <c r="J59" i="16"/>
  <c r="J63" i="16"/>
  <c r="J67" i="16"/>
  <c r="J38" i="16"/>
  <c r="J50" i="16"/>
  <c r="J54" i="16"/>
  <c r="J58" i="16"/>
  <c r="J62" i="16"/>
  <c r="J66" i="16"/>
  <c r="J41" i="16"/>
  <c r="J49" i="16"/>
  <c r="J53" i="16"/>
  <c r="J57" i="16"/>
  <c r="J61" i="16"/>
  <c r="J65" i="16"/>
  <c r="J48" i="16"/>
  <c r="J52" i="16"/>
  <c r="J56" i="16"/>
  <c r="J60" i="16"/>
  <c r="J64" i="16"/>
  <c r="AE307" i="13"/>
  <c r="AE283" i="13"/>
  <c r="E153" i="15"/>
  <c r="F153" i="15" s="1"/>
  <c r="AE96" i="13"/>
  <c r="AE223" i="13"/>
  <c r="S732" i="19"/>
  <c r="S1427" i="19"/>
  <c r="G346" i="22"/>
  <c r="U43" i="16"/>
  <c r="U47" i="16"/>
  <c r="U51" i="16"/>
  <c r="U55" i="16"/>
  <c r="U59" i="16"/>
  <c r="U63" i="16"/>
  <c r="U67" i="16"/>
  <c r="T39" i="16"/>
  <c r="T47" i="16"/>
  <c r="T51" i="16"/>
  <c r="T55" i="16"/>
  <c r="T59" i="16"/>
  <c r="T63" i="16"/>
  <c r="T67" i="16"/>
  <c r="Q36" i="16"/>
  <c r="Q44" i="16"/>
  <c r="Q48" i="16"/>
  <c r="R49" i="16"/>
  <c r="S50" i="16"/>
  <c r="Q52" i="16"/>
  <c r="R53" i="16"/>
  <c r="S54" i="16"/>
  <c r="Q56" i="16"/>
  <c r="R57" i="16"/>
  <c r="S58" i="16"/>
  <c r="Q60" i="16"/>
  <c r="R61" i="16"/>
  <c r="S62" i="16"/>
  <c r="Q64" i="16"/>
  <c r="R65" i="16"/>
  <c r="S66" i="16"/>
  <c r="P49" i="16"/>
  <c r="P53" i="16"/>
  <c r="P57" i="16"/>
  <c r="P61" i="16"/>
  <c r="P65" i="16"/>
  <c r="O48" i="16"/>
  <c r="O52" i="16"/>
  <c r="O56" i="16"/>
  <c r="O60" i="16"/>
  <c r="O64" i="16"/>
  <c r="N40" i="16"/>
  <c r="N48" i="16"/>
  <c r="N52" i="16"/>
  <c r="N56" i="16"/>
  <c r="N60" i="16"/>
  <c r="N64" i="16"/>
  <c r="Q42" i="16"/>
  <c r="S52" i="16"/>
  <c r="S56" i="16"/>
  <c r="R59" i="16"/>
  <c r="Q62" i="16"/>
  <c r="S64" i="16"/>
  <c r="R67" i="16"/>
  <c r="P47" i="16"/>
  <c r="P55" i="16"/>
  <c r="P63" i="16"/>
  <c r="O50" i="16"/>
  <c r="O58" i="16"/>
  <c r="O66" i="16"/>
  <c r="N50" i="16"/>
  <c r="N58" i="16"/>
  <c r="N66" i="16"/>
  <c r="U44" i="16"/>
  <c r="U52" i="16"/>
  <c r="U60" i="16"/>
  <c r="T36" i="16"/>
  <c r="T44" i="16"/>
  <c r="T52" i="16"/>
  <c r="T60" i="16"/>
  <c r="R40" i="16"/>
  <c r="R48" i="16"/>
  <c r="Q51" i="16"/>
  <c r="S53" i="16"/>
  <c r="R56" i="16"/>
  <c r="Q59" i="16"/>
  <c r="S61" i="16"/>
  <c r="R64" i="16"/>
  <c r="Q67" i="16"/>
  <c r="P54" i="16"/>
  <c r="P62" i="16"/>
  <c r="O53" i="16"/>
  <c r="O61" i="16"/>
  <c r="N49" i="16"/>
  <c r="N57" i="16"/>
  <c r="N65" i="16"/>
  <c r="U50" i="16"/>
  <c r="U54" i="16"/>
  <c r="U58" i="16"/>
  <c r="U62" i="16"/>
  <c r="U66" i="16"/>
  <c r="T50" i="16"/>
  <c r="T54" i="16"/>
  <c r="T58" i="16"/>
  <c r="T62" i="16"/>
  <c r="T66" i="16"/>
  <c r="R42" i="16"/>
  <c r="S42" i="16" s="1"/>
  <c r="S47" i="16"/>
  <c r="Q49" i="16"/>
  <c r="R50" i="16"/>
  <c r="S51" i="16"/>
  <c r="Q53" i="16"/>
  <c r="R54" i="16"/>
  <c r="S55" i="16"/>
  <c r="Q57" i="16"/>
  <c r="R58" i="16"/>
  <c r="S59" i="16"/>
  <c r="Q61" i="16"/>
  <c r="R62" i="16"/>
  <c r="S63" i="16"/>
  <c r="Q65" i="16"/>
  <c r="R66" i="16"/>
  <c r="S67" i="16"/>
  <c r="P48" i="16"/>
  <c r="P52" i="16"/>
  <c r="P56" i="16"/>
  <c r="P60" i="16"/>
  <c r="P64" i="16"/>
  <c r="O43" i="16"/>
  <c r="O47" i="16"/>
  <c r="O51" i="16"/>
  <c r="O55" i="16"/>
  <c r="O59" i="16"/>
  <c r="O63" i="16"/>
  <c r="O67" i="16"/>
  <c r="N43" i="16"/>
  <c r="P43" i="16" s="1"/>
  <c r="N47" i="16"/>
  <c r="N51" i="16"/>
  <c r="N55" i="16"/>
  <c r="N59" i="16"/>
  <c r="N63" i="16"/>
  <c r="N67" i="16"/>
  <c r="U41" i="16"/>
  <c r="U49" i="16"/>
  <c r="U53" i="16"/>
  <c r="U57" i="16"/>
  <c r="U61" i="16"/>
  <c r="U65" i="16"/>
  <c r="T41" i="16"/>
  <c r="T49" i="16"/>
  <c r="T53" i="16"/>
  <c r="T57" i="16"/>
  <c r="T61" i="16"/>
  <c r="T65" i="16"/>
  <c r="R39" i="16"/>
  <c r="S39" i="16" s="1"/>
  <c r="R47" i="16"/>
  <c r="S48" i="16"/>
  <c r="Q50" i="16"/>
  <c r="R51" i="16"/>
  <c r="Q54" i="16"/>
  <c r="R55" i="16"/>
  <c r="Q58" i="16"/>
  <c r="S60" i="16"/>
  <c r="R63" i="16"/>
  <c r="Q66" i="16"/>
  <c r="P51" i="16"/>
  <c r="P59" i="16"/>
  <c r="P67" i="16"/>
  <c r="O42" i="16"/>
  <c r="O54" i="16"/>
  <c r="O62" i="16"/>
  <c r="N38" i="16"/>
  <c r="N54" i="16"/>
  <c r="N62" i="16"/>
  <c r="U40" i="16"/>
  <c r="U48" i="16"/>
  <c r="U56" i="16"/>
  <c r="U64" i="16"/>
  <c r="T40" i="16"/>
  <c r="T48" i="16"/>
  <c r="T56" i="16"/>
  <c r="T64" i="16"/>
  <c r="R36" i="16"/>
  <c r="S36" i="16" s="1"/>
  <c r="R44" i="16"/>
  <c r="S44" i="16" s="1"/>
  <c r="Q47" i="16"/>
  <c r="S49" i="16"/>
  <c r="R52" i="16"/>
  <c r="Q55" i="16"/>
  <c r="S57" i="16"/>
  <c r="R60" i="16"/>
  <c r="Q63" i="16"/>
  <c r="S65" i="16"/>
  <c r="P50" i="16"/>
  <c r="P58" i="16"/>
  <c r="P66" i="16"/>
  <c r="O49" i="16"/>
  <c r="O57" i="16"/>
  <c r="O65" i="16"/>
  <c r="N53" i="16"/>
  <c r="N61" i="16"/>
  <c r="F54" i="13"/>
  <c r="H38" i="15" s="1"/>
  <c r="I38" i="15" s="1"/>
  <c r="S435" i="19"/>
  <c r="S275" i="19"/>
  <c r="S655" i="19"/>
  <c r="S1039" i="19"/>
  <c r="F322" i="13"/>
  <c r="S418" i="19"/>
  <c r="S1597" i="19"/>
  <c r="AE182" i="13"/>
  <c r="AE80" i="13"/>
  <c r="E195" i="15"/>
  <c r="F195" i="15" s="1"/>
  <c r="E176" i="15"/>
  <c r="F176" i="15" s="1"/>
  <c r="E52" i="15"/>
  <c r="F52" i="15" s="1"/>
  <c r="AE109" i="13"/>
  <c r="L16" i="9"/>
  <c r="M47" i="16"/>
  <c r="M51" i="16"/>
  <c r="M55" i="16"/>
  <c r="M59" i="16"/>
  <c r="M63" i="16"/>
  <c r="M67" i="16"/>
  <c r="L42" i="16"/>
  <c r="L50" i="16"/>
  <c r="L54" i="16"/>
  <c r="L58" i="16"/>
  <c r="L62" i="16"/>
  <c r="L66" i="16"/>
  <c r="K49" i="16"/>
  <c r="K53" i="16"/>
  <c r="K57" i="16"/>
  <c r="K61" i="16"/>
  <c r="K65" i="16"/>
  <c r="I48" i="16"/>
  <c r="I52" i="16"/>
  <c r="I56" i="16"/>
  <c r="I60" i="16"/>
  <c r="I64" i="16"/>
  <c r="H47" i="16"/>
  <c r="H51" i="16"/>
  <c r="H55" i="16"/>
  <c r="H59" i="16"/>
  <c r="H63" i="16"/>
  <c r="H67" i="16"/>
  <c r="G47" i="16"/>
  <c r="G51" i="16"/>
  <c r="G55" i="16"/>
  <c r="G59" i="16"/>
  <c r="G63" i="16"/>
  <c r="G67" i="16"/>
  <c r="L59" i="16"/>
  <c r="K54" i="16"/>
  <c r="K62" i="16"/>
  <c r="I49" i="16"/>
  <c r="I57" i="16"/>
  <c r="I65" i="16"/>
  <c r="H48" i="16"/>
  <c r="H56" i="16"/>
  <c r="H64" i="16"/>
  <c r="G48" i="16"/>
  <c r="G52" i="16"/>
  <c r="G60" i="16"/>
  <c r="M50" i="16"/>
  <c r="M54" i="16"/>
  <c r="M58" i="16"/>
  <c r="M62" i="16"/>
  <c r="M66" i="16"/>
  <c r="L41" i="16"/>
  <c r="L49" i="16"/>
  <c r="L53" i="16"/>
  <c r="L57" i="16"/>
  <c r="L61" i="16"/>
  <c r="L65" i="16"/>
  <c r="K48" i="16"/>
  <c r="K52" i="16"/>
  <c r="K56" i="16"/>
  <c r="K60" i="16"/>
  <c r="K64" i="16"/>
  <c r="I47" i="16"/>
  <c r="I51" i="16"/>
  <c r="I55" i="16"/>
  <c r="I59" i="16"/>
  <c r="I63" i="16"/>
  <c r="I67" i="16"/>
  <c r="H42" i="16"/>
  <c r="H50" i="16"/>
  <c r="H54" i="16"/>
  <c r="H58" i="16"/>
  <c r="H62" i="16"/>
  <c r="H66" i="16"/>
  <c r="G50" i="16"/>
  <c r="G54" i="16"/>
  <c r="G58" i="16"/>
  <c r="G62" i="16"/>
  <c r="G66" i="16"/>
  <c r="M49" i="16"/>
  <c r="M53" i="16"/>
  <c r="M57" i="16"/>
  <c r="M61" i="16"/>
  <c r="M65" i="16"/>
  <c r="L48" i="16"/>
  <c r="L52" i="16"/>
  <c r="L56" i="16"/>
  <c r="L60" i="16"/>
  <c r="L64" i="16"/>
  <c r="K47" i="16"/>
  <c r="K51" i="16"/>
  <c r="K55" i="16"/>
  <c r="K59" i="16"/>
  <c r="K63" i="16"/>
  <c r="K67" i="16"/>
  <c r="I50" i="16"/>
  <c r="I54" i="16"/>
  <c r="I58" i="16"/>
  <c r="I62" i="16"/>
  <c r="I66" i="16"/>
  <c r="H49" i="16"/>
  <c r="H53" i="16"/>
  <c r="H57" i="16"/>
  <c r="H61" i="16"/>
  <c r="H65" i="16"/>
  <c r="G49" i="16"/>
  <c r="G53" i="16"/>
  <c r="G57" i="16"/>
  <c r="G61" i="16"/>
  <c r="G65" i="16"/>
  <c r="M48" i="16"/>
  <c r="M52" i="16"/>
  <c r="M56" i="16"/>
  <c r="M60" i="16"/>
  <c r="M64" i="16"/>
  <c r="L47" i="16"/>
  <c r="L51" i="16"/>
  <c r="L55" i="16"/>
  <c r="L63" i="16"/>
  <c r="L67" i="16"/>
  <c r="K50" i="16"/>
  <c r="K58" i="16"/>
  <c r="K66" i="16"/>
  <c r="I53" i="16"/>
  <c r="I61" i="16"/>
  <c r="H52" i="16"/>
  <c r="H60" i="16"/>
  <c r="G56" i="16"/>
  <c r="G64" i="16"/>
  <c r="S448" i="19"/>
  <c r="F22" i="16"/>
  <c r="F26" i="16"/>
  <c r="F30" i="16"/>
  <c r="F34" i="16"/>
  <c r="F38" i="16"/>
  <c r="F42" i="16"/>
  <c r="F46" i="16"/>
  <c r="F50" i="16"/>
  <c r="F54" i="16"/>
  <c r="F58" i="16"/>
  <c r="F62" i="16"/>
  <c r="F66" i="16"/>
  <c r="E22" i="16"/>
  <c r="E26" i="16"/>
  <c r="E30" i="16"/>
  <c r="U30" i="16" s="1"/>
  <c r="E34" i="16"/>
  <c r="T34" i="16" s="1"/>
  <c r="E38" i="16"/>
  <c r="R38" i="16" s="1"/>
  <c r="E42" i="16"/>
  <c r="T42" i="16" s="1"/>
  <c r="E46" i="16"/>
  <c r="Q46" i="16" s="1"/>
  <c r="E50" i="16"/>
  <c r="E54" i="16"/>
  <c r="E58" i="16"/>
  <c r="E62" i="16"/>
  <c r="E66" i="16"/>
  <c r="A22" i="16"/>
  <c r="H22" i="16" s="1"/>
  <c r="J22" i="16" s="1"/>
  <c r="A26" i="16"/>
  <c r="K26" i="16" s="1"/>
  <c r="A30" i="16"/>
  <c r="K30" i="16" s="1"/>
  <c r="A34" i="16"/>
  <c r="L34" i="16" s="1"/>
  <c r="A38" i="16"/>
  <c r="H38" i="16" s="1"/>
  <c r="A42" i="16"/>
  <c r="G42" i="16" s="1"/>
  <c r="A46" i="16"/>
  <c r="H46" i="16" s="1"/>
  <c r="J46" i="16" s="1"/>
  <c r="A50" i="16"/>
  <c r="A54" i="16"/>
  <c r="A58" i="16"/>
  <c r="A62" i="16"/>
  <c r="A66" i="16"/>
  <c r="F20" i="16"/>
  <c r="F28" i="16"/>
  <c r="F36" i="16"/>
  <c r="F44" i="16"/>
  <c r="F52" i="16"/>
  <c r="F60" i="16"/>
  <c r="E20" i="16"/>
  <c r="A20" i="16" s="1"/>
  <c r="E28" i="16"/>
  <c r="A28" i="16" s="1"/>
  <c r="N28" i="16" s="1"/>
  <c r="E36" i="16"/>
  <c r="U36" i="16" s="1"/>
  <c r="E44" i="16"/>
  <c r="E52" i="16"/>
  <c r="E60" i="16"/>
  <c r="A36" i="16"/>
  <c r="K36" i="16" s="1"/>
  <c r="A44" i="16"/>
  <c r="K44" i="16" s="1"/>
  <c r="A52" i="16"/>
  <c r="A60" i="16"/>
  <c r="F23" i="16"/>
  <c r="F31" i="16"/>
  <c r="F39" i="16"/>
  <c r="F47" i="16"/>
  <c r="F55" i="16"/>
  <c r="F63" i="16"/>
  <c r="E23" i="16"/>
  <c r="A23" i="16" s="1"/>
  <c r="E31" i="16"/>
  <c r="U31" i="16" s="1"/>
  <c r="E39" i="16"/>
  <c r="Q39" i="16" s="1"/>
  <c r="E47" i="16"/>
  <c r="E55" i="16"/>
  <c r="E63" i="16"/>
  <c r="A39" i="16"/>
  <c r="H39" i="16" s="1"/>
  <c r="J39" i="16" s="1"/>
  <c r="A47" i="16"/>
  <c r="A55" i="16"/>
  <c r="A63" i="16"/>
  <c r="F21" i="16"/>
  <c r="F25" i="16"/>
  <c r="F29" i="16"/>
  <c r="F33" i="16"/>
  <c r="F37" i="16"/>
  <c r="F41" i="16"/>
  <c r="F45" i="16"/>
  <c r="F49" i="16"/>
  <c r="F53" i="16"/>
  <c r="F57" i="16"/>
  <c r="F61" i="16"/>
  <c r="F65" i="16"/>
  <c r="E21" i="16"/>
  <c r="E25" i="16"/>
  <c r="E29" i="16"/>
  <c r="R29" i="16" s="1"/>
  <c r="E33" i="16"/>
  <c r="Q33" i="16" s="1"/>
  <c r="E37" i="16"/>
  <c r="R37" i="16" s="1"/>
  <c r="E41" i="16"/>
  <c r="R41" i="16" s="1"/>
  <c r="E45" i="16"/>
  <c r="R45" i="16" s="1"/>
  <c r="E49" i="16"/>
  <c r="E53" i="16"/>
  <c r="E57" i="16"/>
  <c r="E61" i="16"/>
  <c r="E65" i="16"/>
  <c r="A21" i="16"/>
  <c r="A25" i="16"/>
  <c r="H25" i="16" s="1"/>
  <c r="J25" i="16" s="1"/>
  <c r="A29" i="16"/>
  <c r="H29" i="16" s="1"/>
  <c r="J29" i="16" s="1"/>
  <c r="A33" i="16"/>
  <c r="K33" i="16" s="1"/>
  <c r="A37" i="16"/>
  <c r="L37" i="16" s="1"/>
  <c r="A41" i="16"/>
  <c r="H41" i="16" s="1"/>
  <c r="A45" i="16"/>
  <c r="H45" i="16" s="1"/>
  <c r="J45" i="16" s="1"/>
  <c r="A49" i="16"/>
  <c r="A53" i="16"/>
  <c r="A57" i="16"/>
  <c r="A61" i="16"/>
  <c r="A65" i="16"/>
  <c r="F24" i="16"/>
  <c r="F32" i="16"/>
  <c r="F40" i="16"/>
  <c r="F48" i="16"/>
  <c r="F56" i="16"/>
  <c r="F64" i="16"/>
  <c r="E24" i="16"/>
  <c r="A24" i="16" s="1"/>
  <c r="E32" i="16"/>
  <c r="A32" i="16" s="1"/>
  <c r="N32" i="16" s="1"/>
  <c r="E40" i="16"/>
  <c r="A40" i="16" s="1"/>
  <c r="O40" i="16" s="1"/>
  <c r="P40" i="16" s="1"/>
  <c r="E48" i="16"/>
  <c r="E56" i="16"/>
  <c r="E64" i="16"/>
  <c r="A48" i="16"/>
  <c r="A56" i="16"/>
  <c r="A64" i="16"/>
  <c r="F27" i="16"/>
  <c r="F35" i="16"/>
  <c r="F43" i="16"/>
  <c r="F51" i="16"/>
  <c r="F59" i="16"/>
  <c r="F67" i="16"/>
  <c r="E27" i="16"/>
  <c r="A27" i="16" s="1"/>
  <c r="O27" i="16" s="1"/>
  <c r="E35" i="16"/>
  <c r="A35" i="16" s="1"/>
  <c r="K35" i="16" s="1"/>
  <c r="E43" i="16"/>
  <c r="Q43" i="16" s="1"/>
  <c r="E51" i="16"/>
  <c r="E59" i="16"/>
  <c r="E67" i="16"/>
  <c r="A43" i="16"/>
  <c r="K43" i="16" s="1"/>
  <c r="A51" i="16"/>
  <c r="A59" i="16"/>
  <c r="A67" i="16"/>
  <c r="E19" i="16"/>
  <c r="A19" i="16" s="1"/>
  <c r="G19" i="16" s="1"/>
  <c r="F19" i="16"/>
  <c r="S988" i="19"/>
  <c r="F83" i="10"/>
  <c r="G83" i="10" s="1"/>
  <c r="F83" i="22" s="1"/>
  <c r="F333" i="10"/>
  <c r="G333" i="10" s="1"/>
  <c r="F333" i="22" s="1"/>
  <c r="F205" i="13"/>
  <c r="H138" i="15" s="1"/>
  <c r="I138" i="15" s="1"/>
  <c r="S773" i="19"/>
  <c r="S511" i="19"/>
  <c r="S274" i="19"/>
  <c r="S166" i="19"/>
  <c r="S1002" i="19"/>
  <c r="S1758" i="19"/>
  <c r="S866" i="19"/>
  <c r="S1424" i="19"/>
  <c r="F198" i="10"/>
  <c r="G198" i="10" s="1"/>
  <c r="F198" i="22" s="1"/>
  <c r="F65" i="10"/>
  <c r="G65" i="10" s="1"/>
  <c r="F65" i="22" s="1"/>
  <c r="F213" i="13"/>
  <c r="F330" i="10"/>
  <c r="G330" i="10" s="1"/>
  <c r="F330" i="22" s="1"/>
  <c r="F265" i="10"/>
  <c r="G265" i="10" s="1"/>
  <c r="F265" i="22" s="1"/>
  <c r="F287" i="10"/>
  <c r="G287" i="10" s="1"/>
  <c r="F287" i="22" s="1"/>
  <c r="F129" i="10"/>
  <c r="G129" i="10" s="1"/>
  <c r="F129" i="22" s="1"/>
  <c r="F245" i="10"/>
  <c r="G245" i="10" s="1"/>
  <c r="F245" i="22" s="1"/>
  <c r="F294" i="10"/>
  <c r="G294" i="10" s="1"/>
  <c r="F294" i="22" s="1"/>
  <c r="F26" i="10"/>
  <c r="G26" i="10" s="1"/>
  <c r="F26" i="22" s="1"/>
  <c r="F295" i="10"/>
  <c r="G295" i="10" s="1"/>
  <c r="F295" i="22" s="1"/>
  <c r="F293" i="10"/>
  <c r="G293" i="10" s="1"/>
  <c r="F293" i="22" s="1"/>
  <c r="F181" i="10"/>
  <c r="G181" i="10" s="1"/>
  <c r="F181" i="22" s="1"/>
  <c r="F232" i="10"/>
  <c r="G232" i="10" s="1"/>
  <c r="F232" i="22" s="1"/>
  <c r="F354" i="10"/>
  <c r="G354" i="10" s="1"/>
  <c r="F354" i="22" s="1"/>
  <c r="F71" i="10"/>
  <c r="G71" i="10" s="1"/>
  <c r="F71" i="22" s="1"/>
  <c r="F190" i="10"/>
  <c r="G190" i="10" s="1"/>
  <c r="F190" i="22" s="1"/>
  <c r="F258" i="10"/>
  <c r="G258" i="10" s="1"/>
  <c r="F258" i="22" s="1"/>
  <c r="F79" i="10"/>
  <c r="G79" i="10" s="1"/>
  <c r="F79" i="22" s="1"/>
  <c r="F347" i="10"/>
  <c r="G347" i="10" s="1"/>
  <c r="F347" i="22" s="1"/>
  <c r="F91" i="10"/>
  <c r="G91" i="10" s="1"/>
  <c r="F91" i="22" s="1"/>
  <c r="F277" i="10"/>
  <c r="G277" i="10" s="1"/>
  <c r="F277" i="22" s="1"/>
  <c r="F217" i="10"/>
  <c r="G217" i="10" s="1"/>
  <c r="F217" i="22" s="1"/>
  <c r="F146" i="10"/>
  <c r="G146" i="10" s="1"/>
  <c r="F146" i="22" s="1"/>
  <c r="F227" i="10"/>
  <c r="G227" i="10" s="1"/>
  <c r="F227" i="22" s="1"/>
  <c r="F136" i="10"/>
  <c r="G136" i="10" s="1"/>
  <c r="F136" i="22" s="1"/>
  <c r="F76" i="10"/>
  <c r="G76" i="10" s="1"/>
  <c r="F76" i="22" s="1"/>
  <c r="F323" i="10"/>
  <c r="G323" i="10" s="1"/>
  <c r="F323" i="22" s="1"/>
  <c r="F199" i="10"/>
  <c r="G199" i="10" s="1"/>
  <c r="F199" i="22" s="1"/>
  <c r="F59" i="10"/>
  <c r="G59" i="10" s="1"/>
  <c r="F59" i="22" s="1"/>
  <c r="F221" i="10"/>
  <c r="G221" i="10" s="1"/>
  <c r="F221" i="22" s="1"/>
  <c r="F285" i="10"/>
  <c r="G285" i="10" s="1"/>
  <c r="F285" i="22" s="1"/>
  <c r="F132" i="10"/>
  <c r="G132" i="10" s="1"/>
  <c r="F132" i="22" s="1"/>
  <c r="F120" i="10"/>
  <c r="G120" i="10" s="1"/>
  <c r="F120" i="22" s="1"/>
  <c r="F42" i="10"/>
  <c r="G42" i="10" s="1"/>
  <c r="F42" i="22" s="1"/>
  <c r="F157" i="10"/>
  <c r="G157" i="10" s="1"/>
  <c r="F157" i="22" s="1"/>
  <c r="F50" i="10"/>
  <c r="G50" i="10" s="1"/>
  <c r="F50" i="22" s="1"/>
  <c r="F242" i="10"/>
  <c r="G242" i="10" s="1"/>
  <c r="F242" i="22" s="1"/>
  <c r="F357" i="10"/>
  <c r="G357" i="10" s="1"/>
  <c r="F357" i="22" s="1"/>
  <c r="F70" i="10"/>
  <c r="G70" i="10" s="1"/>
  <c r="F70" i="22" s="1"/>
  <c r="F239" i="10"/>
  <c r="G239" i="10" s="1"/>
  <c r="F239" i="22" s="1"/>
  <c r="F385" i="13"/>
  <c r="G184" i="22"/>
  <c r="S879" i="19"/>
  <c r="S1007" i="19"/>
  <c r="S1135" i="19"/>
  <c r="F334" i="13"/>
  <c r="G103" i="22"/>
  <c r="S623" i="19"/>
  <c r="S1341" i="19"/>
  <c r="G125" i="22"/>
  <c r="S1490" i="19"/>
  <c r="S1610" i="19"/>
  <c r="E57" i="15"/>
  <c r="F57" i="15" s="1"/>
  <c r="AE339" i="13"/>
  <c r="H153" i="15"/>
  <c r="AE36" i="13"/>
  <c r="AE207" i="13"/>
  <c r="AE218" i="13"/>
  <c r="AM71" i="13"/>
  <c r="AE178" i="13"/>
  <c r="E159" i="15"/>
  <c r="F159" i="15" s="1"/>
  <c r="AE29" i="13"/>
  <c r="AE271" i="13"/>
  <c r="E109" i="15"/>
  <c r="F109" i="15" s="1"/>
  <c r="E63" i="15"/>
  <c r="F63" i="15" s="1"/>
  <c r="AE300" i="13"/>
  <c r="AE39" i="13"/>
  <c r="AE72" i="13"/>
  <c r="AE335" i="13"/>
  <c r="AE153" i="13"/>
  <c r="F317" i="10"/>
  <c r="G317" i="10" s="1"/>
  <c r="F317" i="22" s="1"/>
  <c r="F58" i="10"/>
  <c r="G58" i="10" s="1"/>
  <c r="F58" i="22" s="1"/>
  <c r="F332" i="10"/>
  <c r="G332" i="10" s="1"/>
  <c r="F332" i="22" s="1"/>
  <c r="F21" i="10"/>
  <c r="G21" i="10" s="1"/>
  <c r="F21" i="22" s="1"/>
  <c r="F314" i="10"/>
  <c r="G314" i="10" s="1"/>
  <c r="F314" i="22" s="1"/>
  <c r="F101" i="10"/>
  <c r="G101" i="10" s="1"/>
  <c r="F101" i="22" s="1"/>
  <c r="F324" i="10"/>
  <c r="G324" i="10" s="1"/>
  <c r="F324" i="22" s="1"/>
  <c r="F286" i="10"/>
  <c r="G286" i="10" s="1"/>
  <c r="F286" i="22" s="1"/>
  <c r="F342" i="10"/>
  <c r="G342" i="10" s="1"/>
  <c r="F342" i="22" s="1"/>
  <c r="F106" i="10"/>
  <c r="G106" i="10" s="1"/>
  <c r="F106" i="22" s="1"/>
  <c r="F234" i="10"/>
  <c r="G234" i="10" s="1"/>
  <c r="F234" i="22" s="1"/>
  <c r="F244" i="10"/>
  <c r="G244" i="10" s="1"/>
  <c r="F155" i="10"/>
  <c r="G155" i="10" s="1"/>
  <c r="F155" i="22" s="1"/>
  <c r="F196" i="10"/>
  <c r="G196" i="10" s="1"/>
  <c r="F196" i="22" s="1"/>
  <c r="F289" i="10"/>
  <c r="G289" i="10" s="1"/>
  <c r="F289" i="22" s="1"/>
  <c r="F164" i="10"/>
  <c r="G164" i="10" s="1"/>
  <c r="F164" i="22" s="1"/>
  <c r="F125" i="10"/>
  <c r="G125" i="10" s="1"/>
  <c r="F125" i="22" s="1"/>
  <c r="F305" i="10"/>
  <c r="G305" i="10" s="1"/>
  <c r="F305" i="22" s="1"/>
  <c r="F235" i="10"/>
  <c r="G235" i="10" s="1"/>
  <c r="F235" i="22" s="1"/>
  <c r="F126" i="10"/>
  <c r="G126" i="10" s="1"/>
  <c r="F126" i="22" s="1"/>
  <c r="F38" i="10"/>
  <c r="G38" i="10" s="1"/>
  <c r="F38" i="22" s="1"/>
  <c r="F31" i="10"/>
  <c r="G31" i="10" s="1"/>
  <c r="F31" i="22" s="1"/>
  <c r="F159" i="10"/>
  <c r="G159" i="10" s="1"/>
  <c r="F159" i="22" s="1"/>
  <c r="F109" i="10"/>
  <c r="G109" i="10" s="1"/>
  <c r="F109" i="22" s="1"/>
  <c r="F56" i="10"/>
  <c r="G56" i="10" s="1"/>
  <c r="F56" i="22" s="1"/>
  <c r="F147" i="10"/>
  <c r="G147" i="10" s="1"/>
  <c r="F147" i="22" s="1"/>
  <c r="F210" i="10"/>
  <c r="G210" i="10" s="1"/>
  <c r="F210" i="22" s="1"/>
  <c r="F341" i="10"/>
  <c r="G341" i="10" s="1"/>
  <c r="F341" i="22" s="1"/>
  <c r="F319" i="10"/>
  <c r="G319" i="10" s="1"/>
  <c r="F319" i="22" s="1"/>
  <c r="F90" i="10"/>
  <c r="G90" i="10" s="1"/>
  <c r="F90" i="22" s="1"/>
  <c r="F302" i="10"/>
  <c r="G302" i="10" s="1"/>
  <c r="F302" i="22" s="1"/>
  <c r="F46" i="10"/>
  <c r="G46" i="10" s="1"/>
  <c r="F46" i="22" s="1"/>
  <c r="F222" i="10"/>
  <c r="G222" i="10" s="1"/>
  <c r="F222" i="22" s="1"/>
  <c r="F89" i="10"/>
  <c r="G89" i="10" s="1"/>
  <c r="F89" i="22" s="1"/>
  <c r="F209" i="10"/>
  <c r="G209" i="10" s="1"/>
  <c r="F209" i="22" s="1"/>
  <c r="F10" i="10"/>
  <c r="G10" i="10" s="1"/>
  <c r="F10" i="22" s="1"/>
  <c r="F48" i="10"/>
  <c r="G48" i="10" s="1"/>
  <c r="F48" i="22" s="1"/>
  <c r="F55" i="10"/>
  <c r="G55" i="10" s="1"/>
  <c r="F55" i="22" s="1"/>
  <c r="F128" i="10"/>
  <c r="G128" i="10" s="1"/>
  <c r="F128" i="22" s="1"/>
  <c r="F252" i="10"/>
  <c r="G252" i="10" s="1"/>
  <c r="F252" i="22" s="1"/>
  <c r="F267" i="10"/>
  <c r="G267" i="10" s="1"/>
  <c r="F267" i="22" s="1"/>
  <c r="F300" i="10"/>
  <c r="G300" i="10" s="1"/>
  <c r="F300" i="22" s="1"/>
  <c r="F184" i="10"/>
  <c r="G184" i="10" s="1"/>
  <c r="F184" i="22" s="1"/>
  <c r="F41" i="10"/>
  <c r="G41" i="10" s="1"/>
  <c r="F41" i="22" s="1"/>
  <c r="F351" i="10"/>
  <c r="G351" i="10" s="1"/>
  <c r="F351" i="22" s="1"/>
  <c r="F160" i="10"/>
  <c r="G160" i="10" s="1"/>
  <c r="F160" i="22" s="1"/>
  <c r="F321" i="10"/>
  <c r="G321" i="10" s="1"/>
  <c r="F321" i="22" s="1"/>
  <c r="F358" i="10"/>
  <c r="G358" i="10" s="1"/>
  <c r="F358" i="22" s="1"/>
  <c r="F175" i="10"/>
  <c r="G175" i="10" s="1"/>
  <c r="F175" i="22" s="1"/>
  <c r="F185" i="10"/>
  <c r="G185" i="10" s="1"/>
  <c r="F185" i="22" s="1"/>
  <c r="F343" i="10"/>
  <c r="G343" i="10" s="1"/>
  <c r="F169" i="10"/>
  <c r="G169" i="10" s="1"/>
  <c r="F169" i="22" s="1"/>
  <c r="F219" i="10"/>
  <c r="G219" i="10" s="1"/>
  <c r="F219" i="22" s="1"/>
  <c r="F72" i="10"/>
  <c r="G72" i="10" s="1"/>
  <c r="F72" i="22" s="1"/>
  <c r="F260" i="10"/>
  <c r="G260" i="10" s="1"/>
  <c r="F260" i="22" s="1"/>
  <c r="F163" i="10"/>
  <c r="G163" i="10" s="1"/>
  <c r="F163" i="22" s="1"/>
  <c r="F177" i="10"/>
  <c r="G177" i="10" s="1"/>
  <c r="F177" i="22" s="1"/>
  <c r="F11" i="10"/>
  <c r="G11" i="10" s="1"/>
  <c r="F315" i="10"/>
  <c r="G315" i="10" s="1"/>
  <c r="F315" i="22" s="1"/>
  <c r="F224" i="10"/>
  <c r="G224" i="10" s="1"/>
  <c r="F224" i="22" s="1"/>
  <c r="F166" i="10"/>
  <c r="G166" i="10" s="1"/>
  <c r="F301" i="10"/>
  <c r="G301" i="10" s="1"/>
  <c r="F301" i="22" s="1"/>
  <c r="F165" i="10"/>
  <c r="G165" i="10" s="1"/>
  <c r="F165" i="22" s="1"/>
  <c r="F61" i="10"/>
  <c r="G61" i="10" s="1"/>
  <c r="F61" i="22" s="1"/>
  <c r="F356" i="10"/>
  <c r="G356" i="10" s="1"/>
  <c r="F356" i="22" s="1"/>
  <c r="F310" i="10"/>
  <c r="G310" i="10" s="1"/>
  <c r="F310" i="22" s="1"/>
  <c r="F327" i="10"/>
  <c r="G327" i="10" s="1"/>
  <c r="F327" i="22" s="1"/>
  <c r="F276" i="10"/>
  <c r="G276" i="10" s="1"/>
  <c r="F276" i="22" s="1"/>
  <c r="F345" i="10"/>
  <c r="G345" i="10" s="1"/>
  <c r="F345" i="22" s="1"/>
  <c r="F189" i="10"/>
  <c r="G189" i="10" s="1"/>
  <c r="F189" i="22" s="1"/>
  <c r="F18" i="10"/>
  <c r="G18" i="10" s="1"/>
  <c r="F18" i="22" s="1"/>
  <c r="F57" i="10"/>
  <c r="G57" i="10" s="1"/>
  <c r="F57" i="22" s="1"/>
  <c r="F201" i="10"/>
  <c r="G201" i="10" s="1"/>
  <c r="F201" i="22" s="1"/>
  <c r="F134" i="10"/>
  <c r="G134" i="10" s="1"/>
  <c r="F134" i="22" s="1"/>
  <c r="F122" i="10"/>
  <c r="G122" i="10" s="1"/>
  <c r="F122" i="22" s="1"/>
  <c r="F311" i="10"/>
  <c r="G311" i="10" s="1"/>
  <c r="F311" i="22" s="1"/>
  <c r="F214" i="10"/>
  <c r="G214" i="10" s="1"/>
  <c r="F214" i="22" s="1"/>
  <c r="F28" i="10"/>
  <c r="G28" i="10" s="1"/>
  <c r="F28" i="22" s="1"/>
  <c r="F307" i="10"/>
  <c r="G307" i="10" s="1"/>
  <c r="F307" i="22" s="1"/>
  <c r="G94" i="10"/>
  <c r="F94" i="22" s="1"/>
  <c r="F52" i="10"/>
  <c r="G52" i="10" s="1"/>
  <c r="F52" i="22" s="1"/>
  <c r="F254" i="10"/>
  <c r="G254" i="10" s="1"/>
  <c r="F254" i="22" s="1"/>
  <c r="F228" i="10"/>
  <c r="G228" i="10" s="1"/>
  <c r="F228" i="22" s="1"/>
  <c r="F85" i="10"/>
  <c r="G85" i="10" s="1"/>
  <c r="F85" i="22" s="1"/>
  <c r="F318" i="10"/>
  <c r="G318" i="10" s="1"/>
  <c r="F318" i="22" s="1"/>
  <c r="F77" i="10"/>
  <c r="G77" i="10" s="1"/>
  <c r="F77" i="22" s="1"/>
  <c r="F99" i="10"/>
  <c r="G99" i="10" s="1"/>
  <c r="F99" i="22" s="1"/>
  <c r="F92" i="10"/>
  <c r="G92" i="10" s="1"/>
  <c r="F92" i="22" s="1"/>
  <c r="F176" i="10"/>
  <c r="G176" i="10" s="1"/>
  <c r="F176" i="22" s="1"/>
  <c r="F225" i="10"/>
  <c r="G225" i="10" s="1"/>
  <c r="F225" i="22" s="1"/>
  <c r="F316" i="10"/>
  <c r="G316" i="10" s="1"/>
  <c r="F316" i="22" s="1"/>
  <c r="F81" i="10"/>
  <c r="G81" i="10" s="1"/>
  <c r="F81" i="22" s="1"/>
  <c r="F259" i="10"/>
  <c r="G259" i="10" s="1"/>
  <c r="F259" i="22" s="1"/>
  <c r="F39" i="10"/>
  <c r="G39" i="10" s="1"/>
  <c r="F39" i="22" s="1"/>
  <c r="F264" i="10"/>
  <c r="G264" i="10" s="1"/>
  <c r="F264" i="22" s="1"/>
  <c r="F78" i="10"/>
  <c r="G78" i="10" s="1"/>
  <c r="F78" i="22" s="1"/>
  <c r="F148" i="10"/>
  <c r="G148" i="10" s="1"/>
  <c r="F148" i="22" s="1"/>
  <c r="F110" i="10"/>
  <c r="G110" i="10" s="1"/>
  <c r="F110" i="22" s="1"/>
  <c r="F336" i="10"/>
  <c r="G336" i="10" s="1"/>
  <c r="F336" i="22" s="1"/>
  <c r="F140" i="10"/>
  <c r="G140" i="10" s="1"/>
  <c r="F205" i="10"/>
  <c r="G205" i="10" s="1"/>
  <c r="F205" i="22" s="1"/>
  <c r="F105" i="10"/>
  <c r="G105" i="10" s="1"/>
  <c r="F105" i="22" s="1"/>
  <c r="F40" i="10"/>
  <c r="G40" i="10" s="1"/>
  <c r="F40" i="22" s="1"/>
  <c r="F119" i="10"/>
  <c r="G119" i="10" s="1"/>
  <c r="F119" i="22" s="1"/>
  <c r="F22" i="10"/>
  <c r="G22" i="10" s="1"/>
  <c r="F22" i="22" s="1"/>
  <c r="F139" i="10"/>
  <c r="G139" i="10" s="1"/>
  <c r="F139" i="22" s="1"/>
  <c r="F290" i="10"/>
  <c r="G290" i="10" s="1"/>
  <c r="F290" i="22" s="1"/>
  <c r="F121" i="10"/>
  <c r="G121" i="10" s="1"/>
  <c r="F121" i="22" s="1"/>
  <c r="F303" i="10"/>
  <c r="G303" i="10" s="1"/>
  <c r="F303" i="22" s="1"/>
  <c r="F195" i="10"/>
  <c r="G195" i="10" s="1"/>
  <c r="F195" i="22" s="1"/>
  <c r="F14" i="10"/>
  <c r="G14" i="10" s="1"/>
  <c r="F14" i="22" s="1"/>
  <c r="F115" i="10"/>
  <c r="G115" i="10" s="1"/>
  <c r="F115" i="22" s="1"/>
  <c r="F237" i="10"/>
  <c r="G237" i="10" s="1"/>
  <c r="F237" i="22" s="1"/>
  <c r="F193" i="10"/>
  <c r="G193" i="10" s="1"/>
  <c r="F193" i="22" s="1"/>
  <c r="F288" i="10"/>
  <c r="G288" i="10" s="1"/>
  <c r="F288" i="22" s="1"/>
  <c r="F183" i="10"/>
  <c r="G183" i="10" s="1"/>
  <c r="F183" i="22" s="1"/>
  <c r="F34" i="10"/>
  <c r="G34" i="10" s="1"/>
  <c r="F34" i="22" s="1"/>
  <c r="F308" i="10"/>
  <c r="G308" i="10" s="1"/>
  <c r="F308" i="22" s="1"/>
  <c r="F12" i="10"/>
  <c r="G12" i="10" s="1"/>
  <c r="F12" i="22" s="1"/>
  <c r="F15" i="10"/>
  <c r="G15" i="10" s="1"/>
  <c r="F15" i="22" s="1"/>
  <c r="F218" i="10"/>
  <c r="G218" i="10" s="1"/>
  <c r="F218" i="22" s="1"/>
  <c r="F194" i="10"/>
  <c r="G194" i="10" s="1"/>
  <c r="F194" i="22" s="1"/>
  <c r="F66" i="10"/>
  <c r="G66" i="10" s="1"/>
  <c r="F66" i="22" s="1"/>
  <c r="F304" i="10"/>
  <c r="G304" i="10" s="1"/>
  <c r="F304" i="22" s="1"/>
  <c r="F131" i="10"/>
  <c r="G131" i="10" s="1"/>
  <c r="F131" i="22" s="1"/>
  <c r="F229" i="10"/>
  <c r="G229" i="10" s="1"/>
  <c r="F229" i="22" s="1"/>
  <c r="F233" i="10"/>
  <c r="G233" i="10" s="1"/>
  <c r="F233" i="22" s="1"/>
  <c r="F220" i="10"/>
  <c r="G220" i="10" s="1"/>
  <c r="F220" i="22" s="1"/>
  <c r="F270" i="10"/>
  <c r="G270" i="10" s="1"/>
  <c r="F270" i="22" s="1"/>
  <c r="F292" i="10"/>
  <c r="G292" i="10" s="1"/>
  <c r="F292" i="22" s="1"/>
  <c r="F215" i="10"/>
  <c r="G215" i="10" s="1"/>
  <c r="F215" i="22" s="1"/>
  <c r="F108" i="10"/>
  <c r="G108" i="10" s="1"/>
  <c r="F108" i="22" s="1"/>
  <c r="F261" i="10"/>
  <c r="G261" i="10" s="1"/>
  <c r="F261" i="22" s="1"/>
  <c r="F54" i="10"/>
  <c r="G54" i="10" s="1"/>
  <c r="F54" i="22" s="1"/>
  <c r="F30" i="10"/>
  <c r="G30" i="10" s="1"/>
  <c r="F30" i="22" s="1"/>
  <c r="F278" i="10"/>
  <c r="G278" i="10" s="1"/>
  <c r="F278" i="22" s="1"/>
  <c r="F192" i="10"/>
  <c r="G192" i="10" s="1"/>
  <c r="F192" i="22" s="1"/>
  <c r="F329" i="10"/>
  <c r="G329" i="10" s="1"/>
  <c r="F329" i="22" s="1"/>
  <c r="F170" i="10"/>
  <c r="G170" i="10" s="1"/>
  <c r="F170" i="22" s="1"/>
  <c r="F25" i="10"/>
  <c r="G25" i="10" s="1"/>
  <c r="F25" i="22" s="1"/>
  <c r="F150" i="10"/>
  <c r="G150" i="10" s="1"/>
  <c r="F150" i="22" s="1"/>
  <c r="F179" i="10"/>
  <c r="G179" i="10" s="1"/>
  <c r="F179" i="22" s="1"/>
  <c r="F143" i="10"/>
  <c r="G143" i="10" s="1"/>
  <c r="F143" i="22" s="1"/>
  <c r="F334" i="10"/>
  <c r="G334" i="10" s="1"/>
  <c r="F334" i="22" s="1"/>
  <c r="F162" i="10"/>
  <c r="G162" i="10" s="1"/>
  <c r="F162" i="22" s="1"/>
  <c r="F291" i="10"/>
  <c r="G291" i="10" s="1"/>
  <c r="F291" i="22" s="1"/>
  <c r="F167" i="10"/>
  <c r="G167" i="10" s="1"/>
  <c r="F13" i="10"/>
  <c r="F204" i="10"/>
  <c r="G204" i="10" s="1"/>
  <c r="F204" i="22" s="1"/>
  <c r="F43" i="10"/>
  <c r="G43" i="10" s="1"/>
  <c r="F43" i="22" s="1"/>
  <c r="F173" i="10"/>
  <c r="G173" i="10" s="1"/>
  <c r="F173" i="22" s="1"/>
  <c r="F86" i="10"/>
  <c r="G86" i="10" s="1"/>
  <c r="F86" i="22" s="1"/>
  <c r="F53" i="10"/>
  <c r="G53" i="10" s="1"/>
  <c r="F53" i="22" s="1"/>
  <c r="F24" i="10"/>
  <c r="G24" i="10" s="1"/>
  <c r="F24" i="22" s="1"/>
  <c r="F124" i="10"/>
  <c r="G124" i="10" s="1"/>
  <c r="F124" i="22" s="1"/>
  <c r="F337" i="10"/>
  <c r="G337" i="10" s="1"/>
  <c r="F337" i="22" s="1"/>
  <c r="F243" i="10"/>
  <c r="G243" i="10" s="1"/>
  <c r="F243" i="22" s="1"/>
  <c r="F168" i="10"/>
  <c r="G168" i="10" s="1"/>
  <c r="F168" i="22" s="1"/>
  <c r="F281" i="10"/>
  <c r="G281" i="10" s="1"/>
  <c r="F281" i="22" s="1"/>
  <c r="F117" i="10"/>
  <c r="G117" i="10" s="1"/>
  <c r="F117" i="22" s="1"/>
  <c r="F283" i="10"/>
  <c r="G283" i="10" s="1"/>
  <c r="F283" i="22" s="1"/>
  <c r="F133" i="10"/>
  <c r="G133" i="10" s="1"/>
  <c r="F133" i="22" s="1"/>
  <c r="F37" i="10"/>
  <c r="G37" i="10" s="1"/>
  <c r="F37" i="22" s="1"/>
  <c r="F256" i="10"/>
  <c r="G256" i="10" s="1"/>
  <c r="F256" i="22" s="1"/>
  <c r="F349" i="10"/>
  <c r="G349" i="10" s="1"/>
  <c r="F349" i="22" s="1"/>
  <c r="F23" i="10"/>
  <c r="G23" i="10" s="1"/>
  <c r="F23" i="22" s="1"/>
  <c r="F263" i="10"/>
  <c r="G263" i="10" s="1"/>
  <c r="F263" i="22" s="1"/>
  <c r="F236" i="10"/>
  <c r="G236" i="10" s="1"/>
  <c r="F236" i="22" s="1"/>
  <c r="F49" i="10"/>
  <c r="G49" i="10" s="1"/>
  <c r="F49" i="22" s="1"/>
  <c r="F348" i="10"/>
  <c r="G348" i="10" s="1"/>
  <c r="F348" i="22" s="1"/>
  <c r="F247" i="10"/>
  <c r="G247" i="10" s="1"/>
  <c r="F247" i="22" s="1"/>
  <c r="F32" i="10"/>
  <c r="G32" i="10" s="1"/>
  <c r="F32" i="22" s="1"/>
  <c r="F51" i="10"/>
  <c r="G51" i="10" s="1"/>
  <c r="F51" i="22" s="1"/>
  <c r="F320" i="10"/>
  <c r="G320" i="10" s="1"/>
  <c r="F320" i="22" s="1"/>
  <c r="F135" i="10"/>
  <c r="G135" i="10" s="1"/>
  <c r="F135" i="22" s="1"/>
  <c r="F186" i="10"/>
  <c r="G186" i="10" s="1"/>
  <c r="F186" i="22" s="1"/>
  <c r="F67" i="10"/>
  <c r="G67" i="10" s="1"/>
  <c r="F67" i="22" s="1"/>
  <c r="F359" i="10"/>
  <c r="G359" i="10" s="1"/>
  <c r="F359" i="22" s="1"/>
  <c r="F191" i="10"/>
  <c r="G191" i="10" s="1"/>
  <c r="F191" i="22" s="1"/>
  <c r="F202" i="10"/>
  <c r="G202" i="10" s="1"/>
  <c r="F202" i="22" s="1"/>
  <c r="F80" i="10"/>
  <c r="G80" i="10" s="1"/>
  <c r="F80" i="22" s="1"/>
  <c r="F299" i="10"/>
  <c r="G299" i="10" s="1"/>
  <c r="F299" i="22" s="1"/>
  <c r="F340" i="10"/>
  <c r="G340" i="10" s="1"/>
  <c r="F340" i="22" s="1"/>
  <c r="F211" i="10"/>
  <c r="G211" i="10" s="1"/>
  <c r="F211" i="22" s="1"/>
  <c r="F113" i="10"/>
  <c r="G113" i="10" s="1"/>
  <c r="F113" i="22" s="1"/>
  <c r="F114" i="10"/>
  <c r="G114" i="10" s="1"/>
  <c r="F114" i="22" s="1"/>
  <c r="F268" i="10"/>
  <c r="G268" i="10" s="1"/>
  <c r="F268" i="22" s="1"/>
  <c r="F141" i="10"/>
  <c r="G141" i="10" s="1"/>
  <c r="F141" i="22" s="1"/>
  <c r="F138" i="10"/>
  <c r="G138" i="10" s="1"/>
  <c r="F138" i="22" s="1"/>
  <c r="F223" i="10"/>
  <c r="G223" i="10" s="1"/>
  <c r="F223" i="22" s="1"/>
  <c r="F84" i="10"/>
  <c r="G84" i="10" s="1"/>
  <c r="F84" i="22" s="1"/>
  <c r="F338" i="10"/>
  <c r="G338" i="10" s="1"/>
  <c r="F338" i="22" s="1"/>
  <c r="F75" i="10"/>
  <c r="G75" i="10" s="1"/>
  <c r="F75" i="22" s="1"/>
  <c r="F82" i="10"/>
  <c r="G82" i="10" s="1"/>
  <c r="F82" i="22" s="1"/>
  <c r="F262" i="10"/>
  <c r="G262" i="10" s="1"/>
  <c r="F262" i="22" s="1"/>
  <c r="F251" i="10"/>
  <c r="G251" i="10" s="1"/>
  <c r="F251" i="22" s="1"/>
  <c r="F137" i="10"/>
  <c r="G137" i="10" s="1"/>
  <c r="F137" i="22" s="1"/>
  <c r="F153" i="10"/>
  <c r="G153" i="10" s="1"/>
  <c r="F153" i="22" s="1"/>
  <c r="F151" i="10"/>
  <c r="G151" i="10" s="1"/>
  <c r="F151" i="22" s="1"/>
  <c r="F64" i="10"/>
  <c r="G64" i="10" s="1"/>
  <c r="F64" i="22" s="1"/>
  <c r="F98" i="10"/>
  <c r="G98" i="10" s="1"/>
  <c r="F98" i="22" s="1"/>
  <c r="F158" i="10"/>
  <c r="G158" i="10" s="1"/>
  <c r="F158" i="22" s="1"/>
  <c r="F335" i="10"/>
  <c r="G335" i="10" s="1"/>
  <c r="F335" i="22" s="1"/>
  <c r="F182" i="10"/>
  <c r="G182" i="10" s="1"/>
  <c r="F182" i="22" s="1"/>
  <c r="F280" i="10"/>
  <c r="G280" i="10" s="1"/>
  <c r="F280" i="22" s="1"/>
  <c r="F156" i="10"/>
  <c r="G156" i="10" s="1"/>
  <c r="F156" i="22" s="1"/>
  <c r="F87" i="10"/>
  <c r="G87" i="10" s="1"/>
  <c r="F87" i="22" s="1"/>
  <c r="F73" i="10"/>
  <c r="G73" i="10" s="1"/>
  <c r="F73" i="22" s="1"/>
  <c r="F20" i="10"/>
  <c r="G20" i="10" s="1"/>
  <c r="F20" i="22" s="1"/>
  <c r="F116" i="10"/>
  <c r="G116" i="10" s="1"/>
  <c r="F116" i="22" s="1"/>
  <c r="F203" i="10"/>
  <c r="G203" i="10" s="1"/>
  <c r="F203" i="22" s="1"/>
  <c r="F16" i="10"/>
  <c r="G16" i="10" s="1"/>
  <c r="F16" i="22" s="1"/>
  <c r="F207" i="10"/>
  <c r="G207" i="10" s="1"/>
  <c r="F207" i="22" s="1"/>
  <c r="F240" i="10"/>
  <c r="G240" i="10" s="1"/>
  <c r="F240" i="22" s="1"/>
  <c r="F326" i="10"/>
  <c r="G326" i="10" s="1"/>
  <c r="F326" i="22" s="1"/>
  <c r="F298" i="10"/>
  <c r="G298" i="10" s="1"/>
  <c r="F298" i="22" s="1"/>
  <c r="F246" i="10"/>
  <c r="G246" i="10" s="1"/>
  <c r="F246" i="22" s="1"/>
  <c r="F360" i="10"/>
  <c r="G360" i="10" s="1"/>
  <c r="F749" i="22" s="1"/>
  <c r="F355" i="10"/>
  <c r="G355" i="10" s="1"/>
  <c r="F355" i="22" s="1"/>
  <c r="F297" i="10"/>
  <c r="G297" i="10" s="1"/>
  <c r="F297" i="22" s="1"/>
  <c r="F63" i="10"/>
  <c r="G63" i="10" s="1"/>
  <c r="F63" i="22" s="1"/>
  <c r="F45" i="10"/>
  <c r="G45" i="10" s="1"/>
  <c r="F45" i="22" s="1"/>
  <c r="F213" i="10"/>
  <c r="G213" i="10" s="1"/>
  <c r="F213" i="22" s="1"/>
  <c r="F231" i="10"/>
  <c r="G231" i="10" s="1"/>
  <c r="F231" i="22" s="1"/>
  <c r="F188" i="10"/>
  <c r="G188" i="10" s="1"/>
  <c r="F188" i="22" s="1"/>
  <c r="F145" i="10"/>
  <c r="G145" i="10" s="1"/>
  <c r="F145" i="22" s="1"/>
  <c r="F197" i="10"/>
  <c r="G197" i="10" s="1"/>
  <c r="F197" i="22" s="1"/>
  <c r="F69" i="10"/>
  <c r="G69" i="10" s="1"/>
  <c r="F69" i="22" s="1"/>
  <c r="F144" i="10"/>
  <c r="G144" i="10" s="1"/>
  <c r="F144" i="22" s="1"/>
  <c r="F47" i="10"/>
  <c r="G47" i="10" s="1"/>
  <c r="F47" i="22" s="1"/>
  <c r="F200" i="10"/>
  <c r="G200" i="10" s="1"/>
  <c r="F200" i="22" s="1"/>
  <c r="F104" i="10"/>
  <c r="G104" i="10" s="1"/>
  <c r="F104" i="22" s="1"/>
  <c r="F100" i="10"/>
  <c r="G100" i="10" s="1"/>
  <c r="F100" i="22" s="1"/>
  <c r="F97" i="10"/>
  <c r="G97" i="10" s="1"/>
  <c r="F97" i="22" s="1"/>
  <c r="F60" i="10"/>
  <c r="G60" i="10" s="1"/>
  <c r="F60" i="22" s="1"/>
  <c r="F19" i="10"/>
  <c r="G19" i="10" s="1"/>
  <c r="F19" i="22" s="1"/>
  <c r="F142" i="10"/>
  <c r="G142" i="10" s="1"/>
  <c r="F142" i="22" s="1"/>
  <c r="F17" i="10"/>
  <c r="G17" i="10" s="1"/>
  <c r="F17" i="22" s="1"/>
  <c r="F130" i="10"/>
  <c r="G130" i="10" s="1"/>
  <c r="F130" i="22" s="1"/>
  <c r="F29" i="10"/>
  <c r="G29" i="10" s="1"/>
  <c r="F29" i="22" s="1"/>
  <c r="F102" i="10"/>
  <c r="F350" i="10"/>
  <c r="G350" i="10" s="1"/>
  <c r="F350" i="22" s="1"/>
  <c r="F161" i="10"/>
  <c r="G161" i="10" s="1"/>
  <c r="F161" i="22" s="1"/>
  <c r="F123" i="10"/>
  <c r="G123" i="10" s="1"/>
  <c r="F123" i="22" s="1"/>
  <c r="F216" i="10"/>
  <c r="G216" i="10" s="1"/>
  <c r="F216" i="22" s="1"/>
  <c r="F230" i="10"/>
  <c r="G230" i="10" s="1"/>
  <c r="F230" i="22" s="1"/>
  <c r="F187" i="10"/>
  <c r="G187" i="10" s="1"/>
  <c r="F187" i="22" s="1"/>
  <c r="F112" i="10"/>
  <c r="G112" i="10" s="1"/>
  <c r="F112" i="22" s="1"/>
  <c r="F353" i="10"/>
  <c r="G353" i="10" s="1"/>
  <c r="F353" i="22" s="1"/>
  <c r="F226" i="10"/>
  <c r="G226" i="10" s="1"/>
  <c r="F226" i="22" s="1"/>
  <c r="F282" i="10"/>
  <c r="G282" i="10" s="1"/>
  <c r="F282" i="22" s="1"/>
  <c r="F74" i="10"/>
  <c r="G74" i="10" s="1"/>
  <c r="F74" i="22" s="1"/>
  <c r="F174" i="10"/>
  <c r="G174" i="10" s="1"/>
  <c r="F174" i="22" s="1"/>
  <c r="F253" i="10"/>
  <c r="G253" i="10" s="1"/>
  <c r="F253" i="22" s="1"/>
  <c r="F88" i="10"/>
  <c r="G88" i="10" s="1"/>
  <c r="F88" i="22" s="1"/>
  <c r="F238" i="10"/>
  <c r="G238" i="10" s="1"/>
  <c r="F238" i="22" s="1"/>
  <c r="F241" i="10"/>
  <c r="G241" i="10" s="1"/>
  <c r="F241" i="22" s="1"/>
  <c r="F284" i="10"/>
  <c r="G284" i="10" s="1"/>
  <c r="F284" i="22" s="1"/>
  <c r="F273" i="10"/>
  <c r="G273" i="10" s="1"/>
  <c r="F27" i="10"/>
  <c r="G27" i="10" s="1"/>
  <c r="F27" i="22" s="1"/>
  <c r="F257" i="10"/>
  <c r="G257" i="10" s="1"/>
  <c r="F257" i="22" s="1"/>
  <c r="F306" i="10"/>
  <c r="G306" i="10" s="1"/>
  <c r="F306" i="22" s="1"/>
  <c r="F272" i="10"/>
  <c r="G272" i="10" s="1"/>
  <c r="F272" i="22" s="1"/>
  <c r="F33" i="10"/>
  <c r="G33" i="10" s="1"/>
  <c r="F33" i="22" s="1"/>
  <c r="F68" i="10"/>
  <c r="G68" i="10" s="1"/>
  <c r="F68" i="22" s="1"/>
  <c r="F313" i="10"/>
  <c r="G313" i="10" s="1"/>
  <c r="F313" i="22" s="1"/>
  <c r="F271" i="10"/>
  <c r="G271" i="10" s="1"/>
  <c r="F271" i="22" s="1"/>
  <c r="F149" i="10"/>
  <c r="G149" i="10" s="1"/>
  <c r="F149" i="22" s="1"/>
  <c r="F266" i="10"/>
  <c r="G266" i="10" s="1"/>
  <c r="F266" i="22" s="1"/>
  <c r="F279" i="10"/>
  <c r="G279" i="10" s="1"/>
  <c r="F279" i="22" s="1"/>
  <c r="F44" i="10"/>
  <c r="G44" i="10" s="1"/>
  <c r="F44" i="22" s="1"/>
  <c r="F250" i="10"/>
  <c r="G250" i="10" s="1"/>
  <c r="F250" i="22" s="1"/>
  <c r="F180" i="10"/>
  <c r="G180" i="10" s="1"/>
  <c r="F180" i="22" s="1"/>
  <c r="F107" i="10"/>
  <c r="G107" i="10" s="1"/>
  <c r="F107" i="22" s="1"/>
  <c r="F274" i="10"/>
  <c r="G274" i="10" s="1"/>
  <c r="F274" i="22" s="1"/>
  <c r="F331" i="10"/>
  <c r="G331" i="10" s="1"/>
  <c r="F331" i="22" s="1"/>
  <c r="F296" i="10"/>
  <c r="G296" i="10" s="1"/>
  <c r="F296" i="22" s="1"/>
  <c r="F346" i="10"/>
  <c r="G346" i="10" s="1"/>
  <c r="F346" i="22" s="1"/>
  <c r="F255" i="10"/>
  <c r="G255" i="10" s="1"/>
  <c r="F255" i="22" s="1"/>
  <c r="F95" i="10"/>
  <c r="G95" i="10" s="1"/>
  <c r="F95" i="22" s="1"/>
  <c r="F208" i="10"/>
  <c r="G208" i="10" s="1"/>
  <c r="F208" i="22" s="1"/>
  <c r="F111" i="10"/>
  <c r="G111" i="10" s="1"/>
  <c r="F111" i="22" s="1"/>
  <c r="F96" i="10"/>
  <c r="G96" i="10" s="1"/>
  <c r="F96" i="22" s="1"/>
  <c r="F103" i="10"/>
  <c r="G103" i="10" s="1"/>
  <c r="F103" i="22" s="1"/>
  <c r="F269" i="10"/>
  <c r="G269" i="10" s="1"/>
  <c r="F269" i="22" s="1"/>
  <c r="F118" i="10"/>
  <c r="G118" i="10" s="1"/>
  <c r="F118" i="22" s="1"/>
  <c r="F309" i="10"/>
  <c r="G309" i="10" s="1"/>
  <c r="F309" i="22" s="1"/>
  <c r="F62" i="10"/>
  <c r="G62" i="10" s="1"/>
  <c r="F62" i="22" s="1"/>
  <c r="F36" i="10"/>
  <c r="G36" i="10" s="1"/>
  <c r="F36" i="22" s="1"/>
  <c r="F212" i="10"/>
  <c r="G212" i="10" s="1"/>
  <c r="F212" i="22" s="1"/>
  <c r="F325" i="10"/>
  <c r="G325" i="10" s="1"/>
  <c r="F325" i="22" s="1"/>
  <c r="F322" i="10"/>
  <c r="G322" i="10" s="1"/>
  <c r="F322" i="22" s="1"/>
  <c r="F248" i="10"/>
  <c r="G248" i="10" s="1"/>
  <c r="F248" i="22" s="1"/>
  <c r="F154" i="10"/>
  <c r="G154" i="10" s="1"/>
  <c r="F154" i="22" s="1"/>
  <c r="F328" i="10"/>
  <c r="G328" i="10" s="1"/>
  <c r="F328" i="22" s="1"/>
  <c r="F127" i="10"/>
  <c r="G127" i="10" s="1"/>
  <c r="F127" i="22" s="1"/>
  <c r="F172" i="10"/>
  <c r="G172" i="10" s="1"/>
  <c r="F172" i="22" s="1"/>
  <c r="F249" i="10"/>
  <c r="G249" i="10" s="1"/>
  <c r="F249" i="22" s="1"/>
  <c r="F275" i="10"/>
  <c r="G275" i="10" s="1"/>
  <c r="F275" i="22" s="1"/>
  <c r="F352" i="10"/>
  <c r="G352" i="10" s="1"/>
  <c r="F352" i="22" s="1"/>
  <c r="F171" i="10"/>
  <c r="G171" i="10" s="1"/>
  <c r="F171" i="22" s="1"/>
  <c r="F312" i="10"/>
  <c r="G312" i="10" s="1"/>
  <c r="F312" i="22" s="1"/>
  <c r="F152" i="10"/>
  <c r="G152" i="10" s="1"/>
  <c r="F152" i="22" s="1"/>
  <c r="F206" i="10"/>
  <c r="G206" i="10" s="1"/>
  <c r="F206" i="22" s="1"/>
  <c r="F35" i="10"/>
  <c r="G35" i="10" s="1"/>
  <c r="F35" i="22" s="1"/>
  <c r="F178" i="10"/>
  <c r="G178" i="10" s="1"/>
  <c r="F178" i="22" s="1"/>
  <c r="F93" i="10"/>
  <c r="G93" i="10" s="1"/>
  <c r="F93" i="22" s="1"/>
  <c r="F339" i="10"/>
  <c r="G339" i="10" s="1"/>
  <c r="F339" i="22" s="1"/>
  <c r="S876" i="19"/>
  <c r="S724" i="19"/>
  <c r="S596" i="19"/>
  <c r="K699" i="19"/>
  <c r="S533" i="19"/>
  <c r="S51" i="19"/>
  <c r="S111" i="19"/>
  <c r="S1357" i="19"/>
  <c r="S120" i="19"/>
  <c r="S194" i="19"/>
  <c r="R396" i="13"/>
  <c r="E280" i="15" s="1"/>
  <c r="F280" i="15" s="1"/>
  <c r="S1162" i="19"/>
  <c r="AE70" i="13"/>
  <c r="G192" i="22"/>
  <c r="S1630" i="19"/>
  <c r="G87" i="22"/>
  <c r="AE183" i="13"/>
  <c r="F61" i="13"/>
  <c r="S558" i="19"/>
  <c r="S404" i="19"/>
  <c r="R429" i="13"/>
  <c r="E313" i="15" s="1"/>
  <c r="F313" i="15" s="1"/>
  <c r="S672" i="19"/>
  <c r="S911" i="19"/>
  <c r="S962" i="19"/>
  <c r="S1229" i="19"/>
  <c r="S1293" i="19"/>
  <c r="S1120" i="19"/>
  <c r="S570" i="19"/>
  <c r="AE185" i="13"/>
  <c r="H156" i="15"/>
  <c r="G174" i="22"/>
  <c r="S661" i="19"/>
  <c r="S858" i="19"/>
  <c r="S1114" i="19"/>
  <c r="S482" i="19"/>
  <c r="S748" i="19"/>
  <c r="G208" i="22"/>
  <c r="AE57" i="13"/>
  <c r="G229" i="22"/>
  <c r="S1137" i="19"/>
  <c r="S1009" i="19"/>
  <c r="S881" i="19"/>
  <c r="S54" i="19"/>
  <c r="S978" i="19"/>
  <c r="S319" i="19"/>
  <c r="S306" i="19"/>
  <c r="K774" i="19"/>
  <c r="H162" i="10" s="1"/>
  <c r="S568" i="19"/>
  <c r="S1347" i="19"/>
  <c r="S668" i="19"/>
  <c r="AE174" i="13"/>
  <c r="S512" i="19"/>
  <c r="S572" i="19"/>
  <c r="F189" i="13"/>
  <c r="H149" i="15"/>
  <c r="S861" i="19"/>
  <c r="S1121" i="19"/>
  <c r="S993" i="19"/>
  <c r="S597" i="19"/>
  <c r="S938" i="19"/>
  <c r="S679" i="19"/>
  <c r="S935" i="19"/>
  <c r="S1241" i="19"/>
  <c r="AE61" i="13"/>
  <c r="E128" i="15"/>
  <c r="F128" i="15" s="1"/>
  <c r="S865" i="19"/>
  <c r="S1581" i="19"/>
  <c r="S323" i="19"/>
  <c r="S551" i="19"/>
  <c r="S807" i="19"/>
  <c r="S1177" i="19"/>
  <c r="S1431" i="19"/>
  <c r="S728" i="19"/>
  <c r="S710" i="19"/>
  <c r="S1274" i="19"/>
  <c r="G221" i="22"/>
  <c r="AE267" i="13"/>
  <c r="G354" i="22"/>
  <c r="S804" i="19"/>
  <c r="S676" i="19"/>
  <c r="S548" i="19"/>
  <c r="S1493" i="19"/>
  <c r="F217" i="13"/>
  <c r="AE235" i="13"/>
  <c r="E150" i="15"/>
  <c r="F150" i="15" s="1"/>
  <c r="F117" i="13"/>
  <c r="G153" i="22"/>
  <c r="S681" i="19"/>
  <c r="S892" i="19"/>
  <c r="G318" i="22"/>
  <c r="S991" i="19"/>
  <c r="S1269" i="19"/>
  <c r="K729" i="19"/>
  <c r="S844" i="19"/>
  <c r="AE359" i="13"/>
  <c r="F403" i="13"/>
  <c r="H287" i="15" s="1"/>
  <c r="S1141" i="19"/>
  <c r="S1397" i="19"/>
  <c r="S1734" i="19"/>
  <c r="S1217" i="19"/>
  <c r="S1345" i="19"/>
  <c r="F282" i="13"/>
  <c r="F216" i="13"/>
  <c r="AE126" i="13"/>
  <c r="E133" i="15"/>
  <c r="F133" i="15" s="1"/>
  <c r="AE112" i="13"/>
  <c r="G100" i="22"/>
  <c r="S613" i="19"/>
  <c r="S1050" i="19"/>
  <c r="S1337" i="19"/>
  <c r="S1243" i="19"/>
  <c r="F280" i="13"/>
  <c r="H188" i="15" s="1"/>
  <c r="S1100" i="19"/>
  <c r="S700" i="19"/>
  <c r="G198" i="22"/>
  <c r="S767" i="19"/>
  <c r="S1071" i="19"/>
  <c r="S266" i="19"/>
  <c r="S741" i="19"/>
  <c r="S467" i="19"/>
  <c r="S1149" i="19"/>
  <c r="S1405" i="19"/>
  <c r="S864" i="19"/>
  <c r="S498" i="19"/>
  <c r="R370" i="13"/>
  <c r="E254" i="15" s="1"/>
  <c r="F254" i="15" s="1"/>
  <c r="S751" i="19"/>
  <c r="S1661" i="19"/>
  <c r="S698" i="19"/>
  <c r="E33" i="15"/>
  <c r="F33" i="15" s="1"/>
  <c r="AE191" i="13"/>
  <c r="AE130" i="13"/>
  <c r="F44" i="13"/>
  <c r="F266" i="13"/>
  <c r="F242" i="13"/>
  <c r="E165" i="15"/>
  <c r="F165" i="15" s="1"/>
  <c r="F120" i="13"/>
  <c r="H116" i="15"/>
  <c r="G246" i="22"/>
  <c r="G233" i="22"/>
  <c r="S1565" i="19"/>
  <c r="R384" i="13"/>
  <c r="AE384" i="13" s="1"/>
  <c r="S47" i="19"/>
  <c r="S403" i="19"/>
  <c r="S719" i="19"/>
  <c r="S1469" i="19"/>
  <c r="S1401" i="19"/>
  <c r="S928" i="19"/>
  <c r="S886" i="19"/>
  <c r="S553" i="19"/>
  <c r="S186" i="19"/>
  <c r="S1465" i="19"/>
  <c r="S832" i="19"/>
  <c r="G73" i="22"/>
  <c r="S1338" i="19"/>
  <c r="S272" i="19"/>
  <c r="S940" i="19"/>
  <c r="S956" i="19"/>
  <c r="S601" i="19"/>
  <c r="S636" i="19"/>
  <c r="K1124" i="19"/>
  <c r="G130" i="22"/>
  <c r="G181" i="22"/>
  <c r="AE198" i="13"/>
  <c r="S522" i="19"/>
  <c r="S1410" i="19"/>
  <c r="S15" i="19"/>
  <c r="S1525" i="19"/>
  <c r="S954" i="19"/>
  <c r="S1289" i="19"/>
  <c r="S1678" i="19"/>
  <c r="S1473" i="19"/>
  <c r="S1537" i="19"/>
  <c r="S1601" i="19"/>
  <c r="S1665" i="19"/>
  <c r="S1729" i="19"/>
  <c r="S1242" i="19"/>
  <c r="R387" i="13"/>
  <c r="AE387" i="13" s="1"/>
  <c r="S960" i="19"/>
  <c r="S1642" i="19"/>
  <c r="F169" i="13"/>
  <c r="F257" i="13"/>
  <c r="G177" i="22"/>
  <c r="S244" i="19"/>
  <c r="S742" i="19"/>
  <c r="S1153" i="19"/>
  <c r="S1222" i="19"/>
  <c r="S1290" i="19"/>
  <c r="S630" i="19"/>
  <c r="S371" i="19"/>
  <c r="S818" i="19"/>
  <c r="S1501" i="19"/>
  <c r="AE50" i="13"/>
  <c r="S444" i="19"/>
  <c r="S1085" i="19"/>
  <c r="S777" i="19"/>
  <c r="E97" i="15"/>
  <c r="F97" i="15" s="1"/>
  <c r="F146" i="13"/>
  <c r="AE16" i="13"/>
  <c r="S500" i="19"/>
  <c r="R410" i="13"/>
  <c r="E294" i="15" s="1"/>
  <c r="F294" i="15" s="1"/>
  <c r="S1389" i="19"/>
  <c r="H119" i="15"/>
  <c r="F84" i="13"/>
  <c r="G254" i="22"/>
  <c r="F89" i="13"/>
  <c r="S1041" i="19"/>
  <c r="S913" i="19"/>
  <c r="K289" i="19"/>
  <c r="S182" i="19"/>
  <c r="S1358" i="19"/>
  <c r="S709" i="19"/>
  <c r="S383" i="19"/>
  <c r="S338" i="19"/>
  <c r="S98" i="19"/>
  <c r="S1606" i="19"/>
  <c r="S339" i="19"/>
  <c r="S687" i="19"/>
  <c r="S1533" i="19"/>
  <c r="S1653" i="19"/>
  <c r="S1218" i="19"/>
  <c r="S840" i="19"/>
  <c r="S634" i="19"/>
  <c r="S992" i="19"/>
  <c r="S968" i="19"/>
  <c r="S896" i="19"/>
  <c r="S1056" i="19"/>
  <c r="AE323" i="13"/>
  <c r="S252" i="19"/>
  <c r="S1412" i="19"/>
  <c r="S429" i="19"/>
  <c r="S604" i="19"/>
  <c r="S102" i="19"/>
  <c r="S1461" i="19"/>
  <c r="S1529" i="19"/>
  <c r="S1717" i="19"/>
  <c r="F418" i="13"/>
  <c r="S1550" i="19"/>
  <c r="S1286" i="19"/>
  <c r="S982" i="19"/>
  <c r="S806" i="19"/>
  <c r="S966" i="19"/>
  <c r="S917" i="19"/>
  <c r="S860" i="19"/>
  <c r="S282" i="19"/>
  <c r="AE54" i="13"/>
  <c r="S1545" i="19"/>
  <c r="S1238" i="19"/>
  <c r="S573" i="19"/>
  <c r="AE331" i="13"/>
  <c r="G137" i="22"/>
  <c r="S1165" i="19"/>
  <c r="S91" i="19"/>
  <c r="S1446" i="19"/>
  <c r="G212" i="22"/>
  <c r="F26" i="13"/>
  <c r="S22" i="19"/>
  <c r="S1112" i="19"/>
  <c r="S918" i="19"/>
  <c r="S882" i="19"/>
  <c r="S1265" i="19"/>
  <c r="AE127" i="13"/>
  <c r="S243" i="19"/>
  <c r="S884" i="19"/>
  <c r="S1087" i="19"/>
  <c r="S1309" i="19"/>
  <c r="S528" i="19"/>
  <c r="S1530" i="19"/>
  <c r="S694" i="19"/>
  <c r="S1306" i="19"/>
  <c r="S1629" i="19"/>
  <c r="S393" i="19"/>
  <c r="S895" i="19"/>
  <c r="S537" i="19"/>
  <c r="S168" i="19"/>
  <c r="S1381" i="19"/>
  <c r="F238" i="13"/>
  <c r="H162" i="15" s="1"/>
  <c r="I162" i="15" s="1"/>
  <c r="S1057" i="19"/>
  <c r="S929" i="19"/>
  <c r="S340" i="19"/>
  <c r="S696" i="19"/>
  <c r="S287" i="19"/>
  <c r="S354" i="19"/>
  <c r="S290" i="19"/>
  <c r="K1184" i="19"/>
  <c r="H244" i="10" s="1"/>
  <c r="I244" i="10" s="1"/>
  <c r="S834" i="19"/>
  <c r="S1090" i="19"/>
  <c r="K884" i="19"/>
  <c r="L883" i="19" s="1"/>
  <c r="S986" i="19"/>
  <c r="S1726" i="19"/>
  <c r="S1406" i="19"/>
  <c r="S1278" i="19"/>
  <c r="S1150" i="19"/>
  <c r="K649" i="19"/>
  <c r="S1354" i="19"/>
  <c r="S575" i="19"/>
  <c r="S745" i="19"/>
  <c r="S972" i="19"/>
  <c r="S1069" i="19"/>
  <c r="S620" i="19"/>
  <c r="S40" i="19"/>
  <c r="R385" i="13"/>
  <c r="E269" i="15" s="1"/>
  <c r="F269" i="15" s="1"/>
  <c r="AE81" i="13"/>
  <c r="S1133" i="19"/>
  <c r="F358" i="13"/>
  <c r="E197" i="15"/>
  <c r="F197" i="15" s="1"/>
  <c r="G355" i="22"/>
  <c r="AE193" i="13"/>
  <c r="G182" i="22"/>
  <c r="F150" i="13"/>
  <c r="AE297" i="13"/>
  <c r="F128" i="13"/>
  <c r="F118" i="13"/>
  <c r="G230" i="22"/>
  <c r="H221" i="15"/>
  <c r="S740" i="19"/>
  <c r="S612" i="19"/>
  <c r="S394" i="19"/>
  <c r="S894" i="19"/>
  <c r="S88" i="19"/>
  <c r="S671" i="19"/>
  <c r="S927" i="19"/>
  <c r="S1237" i="19"/>
  <c r="S1365" i="19"/>
  <c r="S1710" i="19"/>
  <c r="S1064" i="19"/>
  <c r="S754" i="19"/>
  <c r="R389" i="13"/>
  <c r="AE389" i="13" s="1"/>
  <c r="S562" i="19"/>
  <c r="S549" i="19"/>
  <c r="S115" i="19"/>
  <c r="S434" i="19"/>
  <c r="S38" i="19"/>
  <c r="S1130" i="19"/>
  <c r="S1313" i="19"/>
  <c r="S1441" i="19"/>
  <c r="S26" i="19"/>
  <c r="S802" i="19"/>
  <c r="S1213" i="19"/>
  <c r="S1277" i="19"/>
  <c r="R399" i="13"/>
  <c r="E283" i="15" s="1"/>
  <c r="S1188" i="19"/>
  <c r="S1444" i="19"/>
  <c r="S124" i="19"/>
  <c r="S1482" i="19"/>
  <c r="S924" i="19"/>
  <c r="S1074" i="19"/>
  <c r="E156" i="15"/>
  <c r="F156" i="15" s="1"/>
  <c r="AE298" i="13"/>
  <c r="G134" i="22"/>
  <c r="G166" i="22"/>
  <c r="G278" i="22"/>
  <c r="S788" i="19"/>
  <c r="S660" i="19"/>
  <c r="S532" i="19"/>
  <c r="S490" i="19"/>
  <c r="S234" i="19"/>
  <c r="R369" i="13"/>
  <c r="E253" i="15" s="1"/>
  <c r="F253" i="15" s="1"/>
  <c r="S1753" i="19"/>
  <c r="S725" i="19"/>
  <c r="S415" i="19"/>
  <c r="S1513" i="19"/>
  <c r="K634" i="19"/>
  <c r="K794" i="19"/>
  <c r="H166" i="10" s="1"/>
  <c r="I166" i="10" s="1"/>
  <c r="S100" i="19"/>
  <c r="S1588" i="19"/>
  <c r="S1586" i="19"/>
  <c r="S1202" i="19"/>
  <c r="AE327" i="13"/>
  <c r="G77" i="22"/>
  <c r="S1697" i="19"/>
  <c r="S1761" i="19"/>
  <c r="F109" i="13"/>
  <c r="H75" i="15" s="1"/>
  <c r="I75" i="15" s="1"/>
  <c r="G286" i="22"/>
  <c r="S1633" i="19"/>
  <c r="S584" i="19"/>
  <c r="F95" i="13"/>
  <c r="H63" i="15" s="1"/>
  <c r="G258" i="22"/>
  <c r="G40" i="22"/>
  <c r="K944" i="19"/>
  <c r="F384" i="13"/>
  <c r="H268" i="15" s="1"/>
  <c r="H52" i="15"/>
  <c r="G350" i="22"/>
  <c r="F224" i="13"/>
  <c r="AE187" i="13"/>
  <c r="F293" i="13"/>
  <c r="AE114" i="13"/>
  <c r="AE134" i="13"/>
  <c r="S622" i="19"/>
  <c r="S468" i="19"/>
  <c r="S276" i="19"/>
  <c r="K239" i="19"/>
  <c r="H55" i="10" s="1"/>
  <c r="K89" i="19"/>
  <c r="L87" i="19" s="1"/>
  <c r="S118" i="19"/>
  <c r="S1042" i="19"/>
  <c r="S1192" i="19"/>
  <c r="S1167" i="19"/>
  <c r="S82" i="19"/>
  <c r="S887" i="19"/>
  <c r="S1110" i="19"/>
  <c r="S27" i="19"/>
  <c r="S527" i="19"/>
  <c r="S783" i="19"/>
  <c r="S1421" i="19"/>
  <c r="S62" i="19"/>
  <c r="S1176" i="19"/>
  <c r="AE205" i="13"/>
  <c r="S702" i="19"/>
  <c r="S370" i="19"/>
  <c r="S1079" i="19"/>
  <c r="S1185" i="19"/>
  <c r="S1646" i="19"/>
  <c r="S1454" i="19"/>
  <c r="S1198" i="19"/>
  <c r="S1208" i="19"/>
  <c r="S544" i="19"/>
  <c r="S752" i="19"/>
  <c r="S616" i="19"/>
  <c r="S1672" i="19"/>
  <c r="S586" i="19"/>
  <c r="S400" i="19"/>
  <c r="S1621" i="19"/>
  <c r="S588" i="19"/>
  <c r="G93" i="22"/>
  <c r="F349" i="13"/>
  <c r="R413" i="13"/>
  <c r="AE413" i="13" s="1"/>
  <c r="S184" i="19"/>
  <c r="S116" i="19"/>
  <c r="S390" i="19"/>
  <c r="S1296" i="19"/>
  <c r="K1529" i="19"/>
  <c r="S967" i="19"/>
  <c r="S1257" i="19"/>
  <c r="S1254" i="19"/>
  <c r="S1458" i="19"/>
  <c r="F113" i="13"/>
  <c r="S10" i="19"/>
  <c r="S1747" i="19"/>
  <c r="AE281" i="13"/>
  <c r="E60" i="15"/>
  <c r="F60" i="15" s="1"/>
  <c r="F279" i="13"/>
  <c r="S1563" i="19"/>
  <c r="H157" i="15"/>
  <c r="S508" i="19"/>
  <c r="S1413" i="19"/>
  <c r="S1068" i="19"/>
  <c r="S384" i="19"/>
  <c r="S828" i="19"/>
  <c r="S320" i="19"/>
  <c r="S716" i="19"/>
  <c r="S812" i="19"/>
  <c r="E70" i="15"/>
  <c r="F70" i="15" s="1"/>
  <c r="G133" i="22"/>
  <c r="G136" i="22"/>
  <c r="G301" i="22"/>
  <c r="AE172" i="13"/>
  <c r="S766" i="19"/>
  <c r="S510" i="19"/>
  <c r="S318" i="19"/>
  <c r="S164" i="19"/>
  <c r="S242" i="19"/>
  <c r="S1058" i="19"/>
  <c r="S1611" i="19"/>
  <c r="S936" i="19"/>
  <c r="G303" i="22"/>
  <c r="E188" i="15"/>
  <c r="F188" i="15" s="1"/>
  <c r="AE351" i="13"/>
  <c r="G132" i="22"/>
  <c r="S574" i="19"/>
  <c r="S87" i="19"/>
  <c r="S72" i="19"/>
  <c r="S1075" i="19"/>
  <c r="S1456" i="19"/>
  <c r="R418" i="13"/>
  <c r="AE418" i="13" s="1"/>
  <c r="G252" i="22"/>
  <c r="AE318" i="13"/>
  <c r="F374" i="13"/>
  <c r="AE161" i="13"/>
  <c r="AE314" i="13"/>
  <c r="F151" i="13"/>
  <c r="F359" i="13"/>
  <c r="H244" i="15" s="1"/>
  <c r="I244" i="15" s="1"/>
  <c r="G306" i="22"/>
  <c r="E119" i="15"/>
  <c r="F119" i="15" s="1"/>
  <c r="AE236" i="13"/>
  <c r="AE252" i="13"/>
  <c r="AE159" i="13"/>
  <c r="S820" i="19"/>
  <c r="S692" i="19"/>
  <c r="S564" i="19"/>
  <c r="S298" i="19"/>
  <c r="S514" i="19"/>
  <c r="S208" i="19"/>
  <c r="S975" i="19"/>
  <c r="S1103" i="19"/>
  <c r="S1325" i="19"/>
  <c r="S451" i="19"/>
  <c r="S666" i="19"/>
  <c r="S743" i="19"/>
  <c r="S922" i="19"/>
  <c r="S1670" i="19"/>
  <c r="S1194" i="19"/>
  <c r="K809" i="19"/>
  <c r="H169" i="10" s="1"/>
  <c r="S1062" i="19"/>
  <c r="S838" i="19"/>
  <c r="S640" i="19"/>
  <c r="R372" i="13"/>
  <c r="AE372" i="13" s="1"/>
  <c r="S703" i="19"/>
  <c r="S599" i="19"/>
  <c r="S906" i="19"/>
  <c r="S1614" i="19"/>
  <c r="S1166" i="19"/>
  <c r="F291" i="13"/>
  <c r="G90" i="22"/>
  <c r="G83" i="22"/>
  <c r="K1214" i="19"/>
  <c r="H250" i="10" s="1"/>
  <c r="E110" i="15"/>
  <c r="F110" i="15" s="1"/>
  <c r="AE319" i="13"/>
  <c r="AE357" i="13"/>
  <c r="H21" i="15"/>
  <c r="I21" i="15" s="1"/>
  <c r="G310" i="22"/>
  <c r="AE177" i="13"/>
  <c r="G223" i="22"/>
  <c r="G274" i="22"/>
  <c r="K259" i="19"/>
  <c r="H59" i="10" s="1"/>
  <c r="S76" i="19"/>
  <c r="K869" i="19"/>
  <c r="K849" i="19"/>
  <c r="L846" i="19" s="1"/>
  <c r="S1170" i="19"/>
  <c r="S557" i="19"/>
  <c r="S147" i="19"/>
  <c r="S1132" i="19"/>
  <c r="S1004" i="19"/>
  <c r="S637" i="19"/>
  <c r="F386" i="13"/>
  <c r="S1013" i="19"/>
  <c r="S1434" i="19"/>
  <c r="S352" i="19"/>
  <c r="S607" i="19"/>
  <c r="E223" i="15"/>
  <c r="F223" i="15" s="1"/>
  <c r="F315" i="13"/>
  <c r="S1737" i="19"/>
  <c r="S726" i="19"/>
  <c r="F19" i="13"/>
  <c r="G108" i="22"/>
  <c r="AE164" i="13"/>
  <c r="K1559" i="19"/>
  <c r="K539" i="19"/>
  <c r="G248" i="22"/>
  <c r="AE353" i="13"/>
  <c r="F295" i="13"/>
  <c r="AE239" i="13"/>
  <c r="H171" i="15"/>
  <c r="I171" i="15" s="1"/>
  <c r="H210" i="15"/>
  <c r="G143" i="22"/>
  <c r="AE248" i="13"/>
  <c r="R431" i="13"/>
  <c r="AE431" i="13" s="1"/>
  <c r="K209" i="19"/>
  <c r="H49" i="10" s="1"/>
  <c r="I49" i="10" s="1"/>
  <c r="S1480" i="19"/>
  <c r="S1685" i="19"/>
  <c r="S492" i="19"/>
  <c r="S364" i="19"/>
  <c r="R374" i="13"/>
  <c r="E258" i="15" s="1"/>
  <c r="F258" i="15" s="1"/>
  <c r="S210" i="19"/>
  <c r="S226" i="19"/>
  <c r="S68" i="19"/>
  <c r="K34" i="19"/>
  <c r="H14" i="10" s="1"/>
  <c r="I14" i="10" s="1"/>
  <c r="S34" i="19"/>
  <c r="S230" i="19"/>
  <c r="S1000" i="19"/>
  <c r="S1186" i="19"/>
  <c r="S1518" i="19"/>
  <c r="S1390" i="19"/>
  <c r="S1433" i="19"/>
  <c r="S1613" i="19"/>
  <c r="S1314" i="19"/>
  <c r="S1380" i="19"/>
  <c r="S1040" i="19"/>
  <c r="S747" i="19"/>
  <c r="K1139" i="19"/>
  <c r="S1378" i="19"/>
  <c r="S1558" i="19"/>
  <c r="S1686" i="19"/>
  <c r="S1432" i="19"/>
  <c r="S1094" i="19"/>
  <c r="S1414" i="19"/>
  <c r="S1158" i="19"/>
  <c r="S872" i="19"/>
  <c r="S662" i="19"/>
  <c r="S1370" i="19"/>
  <c r="S1466" i="19"/>
  <c r="S1570" i="19"/>
  <c r="S1698" i="19"/>
  <c r="S758" i="19"/>
  <c r="S1674" i="19"/>
  <c r="S1207" i="19"/>
  <c r="S701" i="19"/>
  <c r="S367" i="19"/>
  <c r="S496" i="19"/>
  <c r="S633" i="19"/>
  <c r="S231" i="19"/>
  <c r="S556" i="19"/>
  <c r="E86" i="15"/>
  <c r="F86" i="15" s="1"/>
  <c r="G85" i="22"/>
  <c r="G265" i="22"/>
  <c r="S1022" i="19"/>
  <c r="R416" i="13"/>
  <c r="AE416" i="13" s="1"/>
  <c r="S1160" i="19"/>
  <c r="S1643" i="19"/>
  <c r="K1064" i="19"/>
  <c r="K474" i="19"/>
  <c r="S1709" i="19"/>
  <c r="S880" i="19"/>
  <c r="S1593" i="19"/>
  <c r="S720" i="19"/>
  <c r="S903" i="19"/>
  <c r="S1225" i="19"/>
  <c r="S1353" i="19"/>
  <c r="S1609" i="19"/>
  <c r="S1542" i="19"/>
  <c r="S1136" i="19"/>
  <c r="S1250" i="19"/>
  <c r="S1475" i="19"/>
  <c r="S1311" i="19"/>
  <c r="S1190" i="19"/>
  <c r="S627" i="19"/>
  <c r="S790" i="19"/>
  <c r="S1658" i="19"/>
  <c r="S774" i="19"/>
  <c r="S1500" i="19"/>
  <c r="S822" i="19"/>
  <c r="S297" i="19"/>
  <c r="R363" i="13"/>
  <c r="E247" i="15" s="1"/>
  <c r="F247" i="15" s="1"/>
  <c r="S1582" i="19"/>
  <c r="S827" i="19"/>
  <c r="S285" i="19"/>
  <c r="S764" i="19"/>
  <c r="S749" i="19"/>
  <c r="I151" i="15"/>
  <c r="S1681" i="19"/>
  <c r="S1745" i="19"/>
  <c r="S1546" i="19"/>
  <c r="E186" i="15"/>
  <c r="F186" i="15" s="1"/>
  <c r="S1478" i="19"/>
  <c r="S1349" i="19"/>
  <c r="S973" i="19"/>
  <c r="K1044" i="19"/>
  <c r="H216" i="10" s="1"/>
  <c r="S524" i="19"/>
  <c r="S870" i="19"/>
  <c r="S79" i="19"/>
  <c r="S499" i="19"/>
  <c r="G123" i="22"/>
  <c r="F188" i="13"/>
  <c r="F271" i="13"/>
  <c r="G240" i="22"/>
  <c r="AE76" i="13"/>
  <c r="G226" i="22"/>
  <c r="AE148" i="13"/>
  <c r="G342" i="22"/>
  <c r="F219" i="13"/>
  <c r="E89" i="15"/>
  <c r="F89" i="15" s="1"/>
  <c r="AE247" i="13"/>
  <c r="AE315" i="13"/>
  <c r="F99" i="13"/>
  <c r="S974" i="19"/>
  <c r="S718" i="19"/>
  <c r="S462" i="19"/>
  <c r="S398" i="19"/>
  <c r="S94" i="19"/>
  <c r="S1691" i="19"/>
  <c r="K564" i="19"/>
  <c r="L561" i="19" s="1"/>
  <c r="S474" i="19"/>
  <c r="S1362" i="19"/>
  <c r="K969" i="19"/>
  <c r="S585" i="19"/>
  <c r="S271" i="19"/>
  <c r="G214" i="22"/>
  <c r="R430" i="13"/>
  <c r="E314" i="15" s="1"/>
  <c r="F314" i="15" s="1"/>
  <c r="S1541" i="19"/>
  <c r="S1438" i="19"/>
  <c r="S1182" i="19"/>
  <c r="S566" i="19"/>
  <c r="S1514" i="19"/>
  <c r="S103" i="19"/>
  <c r="K1204" i="19"/>
  <c r="S53" i="19"/>
  <c r="S824" i="19"/>
  <c r="S256" i="19"/>
  <c r="S592" i="19"/>
  <c r="S1310" i="19"/>
  <c r="S688" i="19"/>
  <c r="S934" i="19"/>
  <c r="S1030" i="19"/>
  <c r="G24" i="22"/>
  <c r="F191" i="13"/>
  <c r="F201" i="13"/>
  <c r="H58" i="15"/>
  <c r="G21" i="22"/>
  <c r="F362" i="13"/>
  <c r="G222" i="22"/>
  <c r="K904" i="19"/>
  <c r="L903" i="19" s="1"/>
  <c r="E27" i="15"/>
  <c r="F27" i="15" s="1"/>
  <c r="F27" i="13"/>
  <c r="G427" i="22"/>
  <c r="K694" i="19"/>
  <c r="S1193" i="19"/>
  <c r="K1164" i="19"/>
  <c r="L1160" i="19" s="1"/>
  <c r="S1526" i="19"/>
  <c r="S888" i="19"/>
  <c r="S1298" i="19"/>
  <c r="S756" i="19"/>
  <c r="K284" i="19"/>
  <c r="H64" i="10" s="1"/>
  <c r="AE262" i="13"/>
  <c r="F124" i="13"/>
  <c r="K124" i="19"/>
  <c r="S677" i="19"/>
  <c r="S1626" i="19"/>
  <c r="S1510" i="19"/>
  <c r="S259" i="19"/>
  <c r="S515" i="19"/>
  <c r="S647" i="19"/>
  <c r="S775" i="19"/>
  <c r="S1677" i="19"/>
  <c r="S776" i="19"/>
  <c r="S1654" i="19"/>
  <c r="S1618" i="19"/>
  <c r="K979" i="19"/>
  <c r="G22" i="22"/>
  <c r="AE55" i="13"/>
  <c r="AE82" i="13"/>
  <c r="F298" i="13"/>
  <c r="H201" i="15" s="1"/>
  <c r="I201" i="15" s="1"/>
  <c r="AE206" i="13"/>
  <c r="F72" i="13"/>
  <c r="G168" i="22"/>
  <c r="AE255" i="13"/>
  <c r="AE290" i="13"/>
  <c r="H12" i="15"/>
  <c r="I12" i="15" s="1"/>
  <c r="G267" i="22"/>
  <c r="F408" i="13"/>
  <c r="K719" i="19"/>
  <c r="L717" i="19" s="1"/>
  <c r="K924" i="19"/>
  <c r="S178" i="19"/>
  <c r="S1694" i="19"/>
  <c r="S1072" i="19"/>
  <c r="S757" i="19"/>
  <c r="S479" i="19"/>
  <c r="S386" i="19"/>
  <c r="R380" i="13"/>
  <c r="E264" i="15" s="1"/>
  <c r="F264" i="15" s="1"/>
  <c r="S591" i="19"/>
  <c r="S847" i="19"/>
  <c r="S1502" i="19"/>
  <c r="S1638" i="19"/>
  <c r="S1080" i="19"/>
  <c r="S808" i="19"/>
  <c r="S999" i="19"/>
  <c r="S1273" i="19"/>
  <c r="S1605" i="19"/>
  <c r="S1366" i="19"/>
  <c r="K1009" i="19"/>
  <c r="S598" i="19"/>
  <c r="S1024" i="19"/>
  <c r="S1494" i="19"/>
  <c r="S1622" i="19"/>
  <c r="K889" i="19"/>
  <c r="S952" i="19"/>
  <c r="K1024" i="19"/>
  <c r="K569" i="19"/>
  <c r="K1074" i="19"/>
  <c r="S1226" i="19"/>
  <c r="S1556" i="19"/>
  <c r="R419" i="13"/>
  <c r="E303" i="15" s="1"/>
  <c r="F303" i="15" s="1"/>
  <c r="S1738" i="19"/>
  <c r="S188" i="19"/>
  <c r="S831" i="19"/>
  <c r="R365" i="13"/>
  <c r="AE365" i="13" s="1"/>
  <c r="S1544" i="19"/>
  <c r="K1464" i="19"/>
  <c r="H300" i="10" s="1"/>
  <c r="I300" i="10" s="1"/>
  <c r="AE142" i="13"/>
  <c r="S380" i="19"/>
  <c r="S250" i="19"/>
  <c r="S648" i="19"/>
  <c r="S135" i="19"/>
  <c r="S809" i="19"/>
  <c r="S1104" i="19"/>
  <c r="S1020" i="19"/>
  <c r="S836" i="19"/>
  <c r="S1109" i="19"/>
  <c r="S1088" i="19"/>
  <c r="S1602" i="19"/>
  <c r="S1578" i="19"/>
  <c r="S1706" i="19"/>
  <c r="S1034" i="19"/>
  <c r="S1577" i="19"/>
  <c r="S1398" i="19"/>
  <c r="S1157" i="19"/>
  <c r="S1566" i="19"/>
  <c r="G294" i="22"/>
  <c r="K1059" i="19"/>
  <c r="H219" i="10" s="1"/>
  <c r="S665" i="19"/>
  <c r="S989" i="19"/>
  <c r="S652" i="19"/>
  <c r="S1634" i="19"/>
  <c r="S717" i="19"/>
  <c r="S399" i="19"/>
  <c r="G82" i="22"/>
  <c r="K159" i="19"/>
  <c r="H39" i="10" s="1"/>
  <c r="P39" i="10" s="1"/>
  <c r="S1645" i="19"/>
  <c r="S621" i="19"/>
  <c r="S416" i="19"/>
  <c r="F66" i="13"/>
  <c r="H46" i="15" s="1"/>
  <c r="I46" i="15" s="1"/>
  <c r="G25" i="22"/>
  <c r="K589" i="19"/>
  <c r="S446" i="19"/>
  <c r="S1295" i="19"/>
  <c r="S690" i="19"/>
  <c r="S626" i="19"/>
  <c r="S268" i="19"/>
  <c r="F404" i="13"/>
  <c r="K1369" i="19"/>
  <c r="S1302" i="19"/>
  <c r="AE180" i="13"/>
  <c r="F12" i="13"/>
  <c r="AE296" i="13"/>
  <c r="S961" i="19"/>
  <c r="R407" i="13"/>
  <c r="E291" i="15" s="1"/>
  <c r="F291" i="15" s="1"/>
  <c r="R395" i="13"/>
  <c r="E279" i="15" s="1"/>
  <c r="F279" i="15" s="1"/>
  <c r="S1741" i="19"/>
  <c r="S632" i="19"/>
  <c r="R412" i="13"/>
  <c r="AE412" i="13" s="1"/>
  <c r="K554" i="19"/>
  <c r="K549" i="19"/>
  <c r="H117" i="10" s="1"/>
  <c r="S1386" i="19"/>
  <c r="S457" i="19"/>
  <c r="S854" i="19"/>
  <c r="S1210" i="19"/>
  <c r="F190" i="13"/>
  <c r="K1034" i="19"/>
  <c r="L1030" i="19" s="1"/>
  <c r="S131" i="19"/>
  <c r="S617" i="19"/>
  <c r="S925" i="19"/>
  <c r="S1052" i="19"/>
  <c r="F247" i="13"/>
  <c r="K579" i="19"/>
  <c r="AE107" i="13"/>
  <c r="AE299" i="13"/>
  <c r="AE26" i="13"/>
  <c r="G114" i="22"/>
  <c r="F193" i="13"/>
  <c r="S628" i="19"/>
  <c r="S1089" i="19"/>
  <c r="S833" i="19"/>
  <c r="S212" i="19"/>
  <c r="K1674" i="19"/>
  <c r="S1262" i="19"/>
  <c r="S1485" i="19"/>
  <c r="F250" i="13"/>
  <c r="G378" i="22"/>
  <c r="F406" i="13"/>
  <c r="F30" i="13"/>
  <c r="K679" i="19"/>
  <c r="F308" i="13"/>
  <c r="E141" i="15"/>
  <c r="F141" i="15" s="1"/>
  <c r="K964" i="19"/>
  <c r="K949" i="19"/>
  <c r="H197" i="10" s="1"/>
  <c r="F264" i="13"/>
  <c r="F445" i="13"/>
  <c r="K1624" i="19"/>
  <c r="F361" i="13"/>
  <c r="E211" i="15"/>
  <c r="F211" i="15" s="1"/>
  <c r="G289" i="22"/>
  <c r="H178" i="15"/>
  <c r="E16" i="15"/>
  <c r="F16" i="15" s="1"/>
  <c r="G272" i="22"/>
  <c r="K1409" i="19"/>
  <c r="H289" i="10" s="1"/>
  <c r="I289" i="10" s="1"/>
  <c r="AE238" i="13"/>
  <c r="G39" i="22"/>
  <c r="R397" i="13"/>
  <c r="E281" i="15" s="1"/>
  <c r="F281" i="15" s="1"/>
  <c r="S708" i="19"/>
  <c r="S580" i="19"/>
  <c r="K359" i="19"/>
  <c r="H79" i="10" s="1"/>
  <c r="S330" i="19"/>
  <c r="S1105" i="19"/>
  <c r="S977" i="19"/>
  <c r="S849" i="19"/>
  <c r="S1055" i="19"/>
  <c r="S1173" i="19"/>
  <c r="S1301" i="19"/>
  <c r="S1429" i="19"/>
  <c r="S1557" i="19"/>
  <c r="K1259" i="19"/>
  <c r="S460" i="19"/>
  <c r="S332" i="19"/>
  <c r="S951" i="19"/>
  <c r="S1249" i="19"/>
  <c r="S1377" i="19"/>
  <c r="S32" i="19"/>
  <c r="S1721" i="19"/>
  <c r="S1326" i="19"/>
  <c r="S1554" i="19"/>
  <c r="S890" i="19"/>
  <c r="S1095" i="19"/>
  <c r="S1180" i="19"/>
  <c r="S1321" i="19"/>
  <c r="S1449" i="19"/>
  <c r="S1481" i="19"/>
  <c r="S1669" i="19"/>
  <c r="S1430" i="19"/>
  <c r="S1174" i="19"/>
  <c r="S1568" i="19"/>
  <c r="S1505" i="19"/>
  <c r="S1569" i="19"/>
  <c r="S1374" i="19"/>
  <c r="S1246" i="19"/>
  <c r="S1059" i="19"/>
  <c r="K859" i="19"/>
  <c r="H179" i="10" s="1"/>
  <c r="S1128" i="19"/>
  <c r="S1126" i="19"/>
  <c r="S1547" i="19"/>
  <c r="S1046" i="19"/>
  <c r="AE40" i="13"/>
  <c r="K19" i="19"/>
  <c r="S361" i="19"/>
  <c r="S233" i="19"/>
  <c r="S1023" i="19"/>
  <c r="S1285" i="19"/>
  <c r="S729" i="19"/>
  <c r="S123" i="19"/>
  <c r="S1258" i="19"/>
  <c r="S877" i="19"/>
  <c r="S284" i="19"/>
  <c r="S1138" i="19"/>
  <c r="S1125" i="19"/>
  <c r="S1061" i="19"/>
  <c r="S997" i="19"/>
  <c r="S781" i="19"/>
  <c r="S540" i="19"/>
  <c r="S1598" i="19"/>
  <c r="S921" i="19"/>
  <c r="S857" i="19"/>
  <c r="S348" i="19"/>
  <c r="S391" i="19"/>
  <c r="S269" i="19"/>
  <c r="S495" i="19"/>
  <c r="S970" i="19"/>
  <c r="S885" i="19"/>
  <c r="S1757" i="19"/>
  <c r="S1005" i="19"/>
  <c r="S224" i="19"/>
  <c r="G344" i="10"/>
  <c r="F344" i="22" s="1"/>
  <c r="K1149" i="19"/>
  <c r="K1404" i="19"/>
  <c r="L1402" i="19" s="1"/>
  <c r="K1274" i="19"/>
  <c r="K784" i="19"/>
  <c r="L783" i="19" s="1"/>
  <c r="F410" i="13"/>
  <c r="S1561" i="19"/>
  <c r="S278" i="19"/>
  <c r="K1399" i="19"/>
  <c r="S1682" i="19"/>
  <c r="S113" i="19"/>
  <c r="K79" i="19"/>
  <c r="H23" i="10" s="1"/>
  <c r="K804" i="19"/>
  <c r="H168" i="10" s="1"/>
  <c r="S639" i="19"/>
  <c r="S946" i="19"/>
  <c r="F149" i="13"/>
  <c r="S650" i="19"/>
  <c r="K599" i="19"/>
  <c r="H127" i="10" s="1"/>
  <c r="S1361" i="19"/>
  <c r="S442" i="19"/>
  <c r="R406" i="13"/>
  <c r="AE406" i="13" s="1"/>
  <c r="S1047" i="19"/>
  <c r="S1297" i="19"/>
  <c r="S1156" i="19"/>
  <c r="S240" i="19"/>
  <c r="S1076" i="19"/>
  <c r="S948" i="19"/>
  <c r="S653" i="19"/>
  <c r="S1097" i="19"/>
  <c r="S841" i="19"/>
  <c r="S589" i="19"/>
  <c r="S1101" i="19"/>
  <c r="S845" i="19"/>
  <c r="S480" i="19"/>
  <c r="K1054" i="19"/>
  <c r="AE317" i="13"/>
  <c r="F67" i="13"/>
  <c r="S28" i="19"/>
  <c r="S944" i="19"/>
  <c r="S839" i="19"/>
  <c r="S387" i="19"/>
  <c r="K874" i="19"/>
  <c r="S1402" i="19"/>
  <c r="K724" i="19"/>
  <c r="K594" i="19"/>
  <c r="L592" i="19" s="1"/>
  <c r="S916" i="19"/>
  <c r="S1334" i="19"/>
  <c r="S1462" i="19"/>
  <c r="S67" i="19"/>
  <c r="K149" i="19"/>
  <c r="H37" i="10" s="1"/>
  <c r="S1394" i="19"/>
  <c r="S933" i="19"/>
  <c r="S920" i="19"/>
  <c r="S950" i="19"/>
  <c r="S932" i="19"/>
  <c r="S1060" i="19"/>
  <c r="S1049" i="19"/>
  <c r="K714" i="19"/>
  <c r="L712" i="19" s="1"/>
  <c r="S218" i="19"/>
  <c r="S1053" i="19"/>
  <c r="S1705" i="19"/>
  <c r="S525" i="19"/>
  <c r="S19" i="19"/>
  <c r="R402" i="13"/>
  <c r="AE402" i="13" s="1"/>
  <c r="S1021" i="19"/>
  <c r="S66" i="19"/>
  <c r="S909" i="19"/>
  <c r="S1209" i="19"/>
  <c r="S1418" i="19"/>
  <c r="G475" i="22"/>
  <c r="K39" i="19"/>
  <c r="G283" i="22"/>
  <c r="F402" i="13"/>
  <c r="G228" i="22"/>
  <c r="G29" i="22"/>
  <c r="AE195" i="13"/>
  <c r="S819" i="19"/>
  <c r="K1144" i="19"/>
  <c r="L1142" i="19" s="1"/>
  <c r="G179" i="22"/>
  <c r="K299" i="19"/>
  <c r="K329" i="19"/>
  <c r="K954" i="19"/>
  <c r="F433" i="13"/>
  <c r="H317" i="15" s="1"/>
  <c r="G196" i="22"/>
  <c r="K179" i="19"/>
  <c r="H43" i="10" s="1"/>
  <c r="E22" i="15"/>
  <c r="F22" i="15" s="1"/>
  <c r="K1374" i="19"/>
  <c r="H282" i="10" s="1"/>
  <c r="G154" i="22"/>
  <c r="G170" i="22"/>
  <c r="K1114" i="19"/>
  <c r="H230" i="10" s="1"/>
  <c r="I230" i="10" s="1"/>
  <c r="F167" i="13"/>
  <c r="G43" i="22"/>
  <c r="G480" i="22"/>
  <c r="K399" i="19"/>
  <c r="H87" i="10" s="1"/>
  <c r="P87" i="10" s="1"/>
  <c r="H49" i="15"/>
  <c r="I49" i="15" s="1"/>
  <c r="K1104" i="19"/>
  <c r="L1101" i="19" s="1"/>
  <c r="F75" i="13"/>
  <c r="F70" i="13"/>
  <c r="G155" i="22"/>
  <c r="S362" i="19"/>
  <c r="S150" i="19"/>
  <c r="K49" i="19"/>
  <c r="K1084" i="19"/>
  <c r="H224" i="10" s="1"/>
  <c r="S1070" i="19"/>
  <c r="R426" i="13"/>
  <c r="S814" i="19"/>
  <c r="K764" i="19"/>
  <c r="H160" i="10" s="1"/>
  <c r="S750" i="19"/>
  <c r="R420" i="13"/>
  <c r="E304" i="15" s="1"/>
  <c r="F304" i="15" s="1"/>
  <c r="S686" i="19"/>
  <c r="S516" i="19"/>
  <c r="S388" i="19"/>
  <c r="S260" i="19"/>
  <c r="F383" i="13"/>
  <c r="S106" i="19"/>
  <c r="S494" i="19"/>
  <c r="S430" i="19"/>
  <c r="R421" i="13"/>
  <c r="E305" i="15" s="1"/>
  <c r="F305" i="15" s="1"/>
  <c r="K379" i="19"/>
  <c r="S366" i="19"/>
  <c r="S302" i="19"/>
  <c r="S238" i="19"/>
  <c r="R444" i="13"/>
  <c r="AE444" i="13" s="1"/>
  <c r="S152" i="19"/>
  <c r="K119" i="19"/>
  <c r="H31" i="10" s="1"/>
  <c r="S84" i="19"/>
  <c r="R403" i="13"/>
  <c r="AE403" i="13" s="1"/>
  <c r="S50" i="19"/>
  <c r="R373" i="13"/>
  <c r="E257" i="15" s="1"/>
  <c r="F257" i="15" s="1"/>
  <c r="K684" i="19"/>
  <c r="L682" i="19" s="1"/>
  <c r="S1320" i="19"/>
  <c r="S1448" i="19"/>
  <c r="K1514" i="19"/>
  <c r="S1659" i="19"/>
  <c r="S1372" i="19"/>
  <c r="S1384" i="19"/>
  <c r="K754" i="19"/>
  <c r="L751" i="19" s="1"/>
  <c r="S738" i="19"/>
  <c r="S610" i="19"/>
  <c r="R368" i="13"/>
  <c r="E252" i="15" s="1"/>
  <c r="F252" i="15" s="1"/>
  <c r="K314" i="19"/>
  <c r="L311" i="19" s="1"/>
  <c r="S236" i="19"/>
  <c r="F427" i="13"/>
  <c r="H311" i="15" s="1"/>
  <c r="S456" i="19"/>
  <c r="S136" i="19"/>
  <c r="S110" i="19"/>
  <c r="F379" i="13"/>
  <c r="S631" i="19"/>
  <c r="S682" i="19"/>
  <c r="K839" i="19"/>
  <c r="S1268" i="19"/>
  <c r="K1294" i="19"/>
  <c r="L1290" i="19" s="1"/>
  <c r="S1396" i="19"/>
  <c r="K1719" i="19"/>
  <c r="L1718" i="19" s="1"/>
  <c r="K1454" i="19"/>
  <c r="L1451" i="19" s="1"/>
  <c r="S60" i="19"/>
  <c r="S326" i="19"/>
  <c r="S578" i="19"/>
  <c r="K604" i="19"/>
  <c r="S706" i="19"/>
  <c r="K1119" i="19"/>
  <c r="S1152" i="19"/>
  <c r="S1280" i="19"/>
  <c r="K1434" i="19"/>
  <c r="H294" i="10" s="1"/>
  <c r="S1587" i="19"/>
  <c r="K1724" i="19"/>
  <c r="S1503" i="19"/>
  <c r="K1709" i="19"/>
  <c r="F389" i="13"/>
  <c r="S602" i="19"/>
  <c r="S730" i="19"/>
  <c r="S1063" i="19"/>
  <c r="S1305" i="19"/>
  <c r="K1319" i="19"/>
  <c r="L1317" i="19" s="1"/>
  <c r="S1369" i="19"/>
  <c r="S1477" i="19"/>
  <c r="S1733" i="19"/>
  <c r="K1689" i="19"/>
  <c r="S1175" i="19"/>
  <c r="S1019" i="19"/>
  <c r="S1016" i="19"/>
  <c r="S803" i="19"/>
  <c r="S1498" i="19"/>
  <c r="S1489" i="19"/>
  <c r="S1540" i="19"/>
  <c r="S1553" i="19"/>
  <c r="S1617" i="19"/>
  <c r="S1668" i="19"/>
  <c r="R388" i="13"/>
  <c r="E272" i="15" s="1"/>
  <c r="F272" i="15" s="1"/>
  <c r="K1459" i="19"/>
  <c r="L1455" i="19" s="1"/>
  <c r="K1584" i="19"/>
  <c r="H324" i="10" s="1"/>
  <c r="I324" i="10" s="1"/>
  <c r="S1763" i="19"/>
  <c r="F396" i="13"/>
  <c r="S715" i="19"/>
  <c r="R408" i="13"/>
  <c r="E292" i="15" s="1"/>
  <c r="F292" i="15" s="1"/>
  <c r="S1746" i="19"/>
  <c r="K1379" i="19"/>
  <c r="S1223" i="19"/>
  <c r="K279" i="19"/>
  <c r="H63" i="10" s="1"/>
  <c r="K424" i="19"/>
  <c r="S704" i="19"/>
  <c r="S1234" i="19"/>
  <c r="S552" i="19"/>
  <c r="S1684" i="19"/>
  <c r="K489" i="19"/>
  <c r="S1426" i="19"/>
  <c r="S1688" i="19"/>
  <c r="S1322" i="19"/>
  <c r="S1014" i="19"/>
  <c r="S1178" i="19"/>
  <c r="F270" i="13"/>
  <c r="S130" i="19"/>
  <c r="S1142" i="19"/>
  <c r="S1221" i="19"/>
  <c r="S1689" i="19"/>
  <c r="S239" i="19"/>
  <c r="S569" i="19"/>
  <c r="S195" i="19"/>
  <c r="S365" i="19"/>
  <c r="S842" i="19"/>
  <c r="S1117" i="19"/>
  <c r="S789" i="19"/>
  <c r="S937" i="19"/>
  <c r="S263" i="19"/>
  <c r="R371" i="13"/>
  <c r="E255" i="15" s="1"/>
  <c r="F255" i="15" s="1"/>
  <c r="S1637" i="19"/>
  <c r="E184" i="15"/>
  <c r="F184" i="15" s="1"/>
  <c r="E166" i="15"/>
  <c r="F166" i="15" s="1"/>
  <c r="H158" i="15"/>
  <c r="I158" i="15" s="1"/>
  <c r="AE145" i="13"/>
  <c r="F200" i="13"/>
  <c r="H137" i="15" s="1"/>
  <c r="K739" i="19"/>
  <c r="L736" i="19" s="1"/>
  <c r="AE102" i="13"/>
  <c r="F411" i="13"/>
  <c r="R405" i="13"/>
  <c r="E289" i="15" s="1"/>
  <c r="F289" i="15" s="1"/>
  <c r="K1099" i="19"/>
  <c r="L1098" i="19" s="1"/>
  <c r="S1073" i="19"/>
  <c r="S945" i="19"/>
  <c r="S830" i="19"/>
  <c r="S1573" i="19"/>
  <c r="S1641" i="19"/>
  <c r="S1206" i="19"/>
  <c r="R428" i="13"/>
  <c r="E312" i="15" s="1"/>
  <c r="F312" i="15" s="1"/>
  <c r="S816" i="19"/>
  <c r="K899" i="19"/>
  <c r="L898" i="19" s="1"/>
  <c r="R423" i="13"/>
  <c r="E307" i="15" s="1"/>
  <c r="F307" i="15" s="1"/>
  <c r="K1614" i="19"/>
  <c r="L1613" i="19" s="1"/>
  <c r="K1414" i="19"/>
  <c r="L1413" i="19" s="1"/>
  <c r="R376" i="13"/>
  <c r="S1048" i="19"/>
  <c r="S792" i="19"/>
  <c r="S536" i="19"/>
  <c r="S1756" i="19"/>
  <c r="S576" i="19"/>
  <c r="S778" i="19"/>
  <c r="S368" i="19"/>
  <c r="AE325" i="13"/>
  <c r="AE260" i="13"/>
  <c r="S1574" i="19"/>
  <c r="S447" i="19"/>
  <c r="S567" i="19"/>
  <c r="S823" i="19"/>
  <c r="S1082" i="19"/>
  <c r="K1394" i="19"/>
  <c r="S656" i="19"/>
  <c r="S1266" i="19"/>
  <c r="K609" i="19"/>
  <c r="L607" i="19" s="1"/>
  <c r="K1069" i="19"/>
  <c r="F234" i="13"/>
  <c r="K914" i="19"/>
  <c r="G76" i="22"/>
  <c r="H89" i="15"/>
  <c r="F372" i="13"/>
  <c r="G502" i="22"/>
  <c r="F378" i="13"/>
  <c r="F152" i="13"/>
  <c r="K1389" i="19"/>
  <c r="AE232" i="13"/>
  <c r="AE219" i="13"/>
  <c r="AE157" i="13"/>
  <c r="G290" i="22"/>
  <c r="F102" i="13"/>
  <c r="G41" i="22"/>
  <c r="F86" i="13"/>
  <c r="F365" i="13"/>
  <c r="F157" i="13"/>
  <c r="G144" i="22"/>
  <c r="AE253" i="13"/>
  <c r="F330" i="13"/>
  <c r="F112" i="13"/>
  <c r="F80" i="13"/>
  <c r="S426" i="19"/>
  <c r="K669" i="19"/>
  <c r="H141" i="10" s="1"/>
  <c r="S436" i="19"/>
  <c r="S71" i="19"/>
  <c r="S187" i="19"/>
  <c r="S1497" i="19"/>
  <c r="S976" i="19"/>
  <c r="S629" i="19"/>
  <c r="S428" i="19"/>
  <c r="S223" i="19"/>
  <c r="S95" i="19"/>
  <c r="S322" i="19"/>
  <c r="S108" i="19"/>
  <c r="S554" i="19"/>
  <c r="S810" i="19"/>
  <c r="S1701" i="19"/>
  <c r="S1220" i="19"/>
  <c r="S144" i="19"/>
  <c r="S80" i="19"/>
  <c r="S1261" i="19"/>
  <c r="K1539" i="19"/>
  <c r="S538" i="19"/>
  <c r="S615" i="19"/>
  <c r="S871" i="19"/>
  <c r="S1145" i="19"/>
  <c r="S1534" i="19"/>
  <c r="S1457" i="19"/>
  <c r="S1521" i="19"/>
  <c r="K1534" i="19"/>
  <c r="S1585" i="19"/>
  <c r="S1649" i="19"/>
  <c r="S1713" i="19"/>
  <c r="S1342" i="19"/>
  <c r="S1214" i="19"/>
  <c r="S736" i="19"/>
  <c r="S912" i="19"/>
  <c r="S1350" i="19"/>
  <c r="S800" i="19"/>
  <c r="S190" i="19"/>
  <c r="F392" i="13"/>
  <c r="S1562" i="19"/>
  <c r="S424" i="19"/>
  <c r="S680" i="19"/>
  <c r="S1506" i="19"/>
  <c r="S1762" i="19"/>
  <c r="G57" i="22"/>
  <c r="S52" i="19"/>
  <c r="F105" i="13"/>
  <c r="S714" i="19"/>
  <c r="S381" i="19"/>
  <c r="K249" i="19"/>
  <c r="S57" i="19"/>
  <c r="S207" i="19"/>
  <c r="S49" i="19"/>
  <c r="S1270" i="19"/>
  <c r="K309" i="19"/>
  <c r="AE66" i="13"/>
  <c r="G457" i="22"/>
  <c r="S358" i="19"/>
  <c r="S1168" i="19"/>
  <c r="S583" i="19"/>
  <c r="S711" i="19"/>
  <c r="S1549" i="19"/>
  <c r="S1754" i="19"/>
  <c r="S1191" i="19"/>
  <c r="S300" i="19"/>
  <c r="S959" i="19"/>
  <c r="S1368" i="19"/>
  <c r="S1749" i="19"/>
  <c r="S727" i="19"/>
  <c r="R377" i="13"/>
  <c r="AE377" i="13" s="1"/>
  <c r="K1364" i="19"/>
  <c r="L1361" i="19" s="1"/>
  <c r="S303" i="19"/>
  <c r="S336" i="19"/>
  <c r="S237" i="19"/>
  <c r="S473" i="19"/>
  <c r="S316" i="19"/>
  <c r="K214" i="19"/>
  <c r="S521" i="19"/>
  <c r="S378" i="19"/>
  <c r="S134" i="19"/>
  <c r="S957" i="19"/>
  <c r="S1012" i="19"/>
  <c r="H92" i="15"/>
  <c r="S765" i="19"/>
  <c r="AE285" i="13"/>
  <c r="AE181" i="13"/>
  <c r="K1049" i="19"/>
  <c r="H217" i="10" s="1"/>
  <c r="K929" i="19"/>
  <c r="L925" i="19" s="1"/>
  <c r="E116" i="15"/>
  <c r="F116" i="15" s="1"/>
  <c r="S308" i="19"/>
  <c r="S459" i="19"/>
  <c r="K94" i="19"/>
  <c r="L90" i="19" s="1"/>
  <c r="S454" i="19"/>
  <c r="S1197" i="19"/>
  <c r="S1740" i="19"/>
  <c r="AE10" i="13"/>
  <c r="F178" i="13"/>
  <c r="S329" i="19"/>
  <c r="S1445" i="19"/>
  <c r="S1111" i="19"/>
  <c r="S1329" i="19"/>
  <c r="H73" i="15"/>
  <c r="I73" i="15" s="1"/>
  <c r="S541" i="19"/>
  <c r="S83" i="19"/>
  <c r="S304" i="19"/>
  <c r="S44" i="19"/>
  <c r="S423" i="19"/>
  <c r="S1008" i="19"/>
  <c r="S1690" i="19"/>
  <c r="S1450" i="19"/>
  <c r="K1339" i="19"/>
  <c r="H275" i="10" s="1"/>
  <c r="G261" i="22"/>
  <c r="AE240" i="13"/>
  <c r="E198" i="15"/>
  <c r="F198" i="15" s="1"/>
  <c r="G477" i="22"/>
  <c r="AE14" i="13"/>
  <c r="K1284" i="19"/>
  <c r="L1281" i="19" s="1"/>
  <c r="F275" i="13"/>
  <c r="F407" i="13"/>
  <c r="AE336" i="13"/>
  <c r="S119" i="19"/>
  <c r="S246" i="19"/>
  <c r="S502" i="19"/>
  <c r="S856" i="19"/>
  <c r="AE146" i="13"/>
  <c r="F115" i="13"/>
  <c r="K1489" i="19"/>
  <c r="K1269" i="19"/>
  <c r="K374" i="19"/>
  <c r="K344" i="19"/>
  <c r="G232" i="22"/>
  <c r="K129" i="19"/>
  <c r="G302" i="22"/>
  <c r="G390" i="22"/>
  <c r="G60" i="22"/>
  <c r="K1299" i="19"/>
  <c r="K504" i="19"/>
  <c r="L501" i="19" s="1"/>
  <c r="K1334" i="19"/>
  <c r="L1330" i="19" s="1"/>
  <c r="F172" i="13"/>
  <c r="AE73" i="13"/>
  <c r="AE44" i="13"/>
  <c r="AE110" i="13"/>
  <c r="F147" i="13"/>
  <c r="AE160" i="13"/>
  <c r="F197" i="13"/>
  <c r="K1439" i="19"/>
  <c r="H295" i="10" s="1"/>
  <c r="I295" i="10" s="1"/>
  <c r="F390" i="13"/>
  <c r="AE120" i="13"/>
  <c r="AE270" i="13"/>
  <c r="K1714" i="19"/>
  <c r="L1711" i="19" s="1"/>
  <c r="F140" i="13"/>
  <c r="F262" i="13"/>
  <c r="F343" i="13"/>
  <c r="F338" i="13"/>
  <c r="S772" i="19"/>
  <c r="S644" i="19"/>
  <c r="S458" i="19"/>
  <c r="S1118" i="19"/>
  <c r="R422" i="13"/>
  <c r="AE422" i="13" s="1"/>
  <c r="S862" i="19"/>
  <c r="S542" i="19"/>
  <c r="K414" i="19"/>
  <c r="F414" i="13"/>
  <c r="R400" i="13"/>
  <c r="E284" i="15" s="1"/>
  <c r="F284" i="15" s="1"/>
  <c r="S478" i="19"/>
  <c r="F413" i="13"/>
  <c r="K364" i="19"/>
  <c r="L362" i="19" s="1"/>
  <c r="S286" i="19"/>
  <c r="K184" i="19"/>
  <c r="L180" i="19" s="1"/>
  <c r="S46" i="19"/>
  <c r="S850" i="19"/>
  <c r="S1106" i="19"/>
  <c r="S1488" i="19"/>
  <c r="S1625" i="19"/>
  <c r="S1256" i="19"/>
  <c r="S1415" i="19"/>
  <c r="K674" i="19"/>
  <c r="S645" i="19"/>
  <c r="F387" i="13"/>
  <c r="S255" i="19"/>
  <c r="F430" i="13"/>
  <c r="S466" i="19"/>
  <c r="S200" i="19"/>
  <c r="S30" i="19"/>
  <c r="S355" i="19"/>
  <c r="S695" i="19"/>
  <c r="S1760" i="19"/>
  <c r="S1470" i="19"/>
  <c r="S1143" i="19"/>
  <c r="S160" i="19"/>
  <c r="F439" i="13"/>
  <c r="S96" i="19"/>
  <c r="S58" i="19"/>
  <c r="S155" i="19"/>
  <c r="S559" i="19"/>
  <c r="S815" i="19"/>
  <c r="S1122" i="19"/>
  <c r="S1232" i="19"/>
  <c r="S1373" i="19"/>
  <c r="S1437" i="19"/>
  <c r="K1664" i="19"/>
  <c r="L1662" i="19" s="1"/>
  <c r="K1224" i="19"/>
  <c r="S608" i="19"/>
  <c r="K1429" i="19"/>
  <c r="L1428" i="19" s="1"/>
  <c r="S1018" i="19"/>
  <c r="S1308" i="19"/>
  <c r="S1385" i="19"/>
  <c r="S1662" i="19"/>
  <c r="S1739" i="19"/>
  <c r="S1590" i="19"/>
  <c r="S1718" i="19"/>
  <c r="R392" i="13"/>
  <c r="AE392" i="13" s="1"/>
  <c r="S651" i="19"/>
  <c r="S1714" i="19"/>
  <c r="S534" i="19"/>
  <c r="S902" i="19"/>
  <c r="S646" i="19"/>
  <c r="S441" i="19"/>
  <c r="S489" i="19"/>
  <c r="S199" i="19"/>
  <c r="S1317" i="19"/>
  <c r="S1442" i="19"/>
  <c r="S121" i="19"/>
  <c r="S419" i="19"/>
  <c r="S983" i="19"/>
  <c r="AE171" i="13"/>
  <c r="AE217" i="13"/>
  <c r="S198" i="19"/>
  <c r="S493" i="19"/>
  <c r="S1517" i="19"/>
  <c r="S1594" i="19"/>
  <c r="K529" i="19"/>
  <c r="S432" i="19"/>
  <c r="S797" i="19"/>
  <c r="S1093" i="19"/>
  <c r="S837" i="19"/>
  <c r="S889" i="19"/>
  <c r="K254" i="19"/>
  <c r="H58" i="10" s="1"/>
  <c r="K1669" i="19"/>
  <c r="L1667" i="19" s="1"/>
  <c r="K1019" i="19"/>
  <c r="L1017" i="19" s="1"/>
  <c r="S374" i="19"/>
  <c r="R425" i="13"/>
  <c r="AE425" i="13" s="1"/>
  <c r="S1528" i="19"/>
  <c r="K1684" i="19"/>
  <c r="L1682" i="19" s="1"/>
  <c r="K264" i="19"/>
  <c r="S1716" i="19"/>
  <c r="K1304" i="19"/>
  <c r="K1254" i="19"/>
  <c r="L1253" i="19" s="1"/>
  <c r="S363" i="19"/>
  <c r="S267" i="19"/>
  <c r="S712" i="19"/>
  <c r="S731" i="19"/>
  <c r="S427" i="19"/>
  <c r="S1035" i="19"/>
  <c r="S984" i="19"/>
  <c r="K934" i="19"/>
  <c r="L933" i="19" s="1"/>
  <c r="S1011" i="19"/>
  <c r="S1287" i="19"/>
  <c r="K1564" i="19"/>
  <c r="S1612" i="19"/>
  <c r="S1650" i="19"/>
  <c r="K394" i="19"/>
  <c r="S1722" i="19"/>
  <c r="K1484" i="19"/>
  <c r="L1482" i="19" s="1"/>
  <c r="K1324" i="19"/>
  <c r="S1519" i="19"/>
  <c r="S1647" i="19"/>
  <c r="R378" i="13"/>
  <c r="E262" i="15" s="1"/>
  <c r="F262" i="15" s="1"/>
  <c r="S1330" i="19"/>
  <c r="S342" i="19"/>
  <c r="S855" i="19"/>
  <c r="S733" i="19"/>
  <c r="S288" i="19"/>
  <c r="S900" i="19"/>
  <c r="S868" i="19"/>
  <c r="S291" i="19"/>
  <c r="S980" i="19"/>
  <c r="K819" i="19"/>
  <c r="H171" i="10" s="1"/>
  <c r="S669" i="19"/>
  <c r="S998" i="19"/>
  <c r="S1205" i="19"/>
  <c r="S1282" i="19"/>
  <c r="S1589" i="19"/>
  <c r="S1032" i="19"/>
  <c r="S981" i="19"/>
  <c r="S853" i="19"/>
  <c r="S760" i="19"/>
  <c r="S941" i="19"/>
  <c r="K1694" i="19"/>
  <c r="S969" i="19"/>
  <c r="S905" i="19"/>
  <c r="K644" i="19"/>
  <c r="S874" i="19"/>
  <c r="S314" i="19"/>
  <c r="S327" i="19"/>
  <c r="S487" i="19"/>
  <c r="S211" i="19"/>
  <c r="S949" i="19"/>
  <c r="S829" i="19"/>
  <c r="S445" i="19"/>
  <c r="S768" i="19"/>
  <c r="F207" i="13"/>
  <c r="G207" i="22"/>
  <c r="F210" i="13"/>
  <c r="G210" i="22"/>
  <c r="S964" i="19"/>
  <c r="S1092" i="19"/>
  <c r="S519" i="19"/>
  <c r="F63" i="13"/>
  <c r="G63" i="22"/>
  <c r="E106" i="15"/>
  <c r="F106" i="15" s="1"/>
  <c r="AE162" i="13"/>
  <c r="F382" i="13"/>
  <c r="F256" i="13"/>
  <c r="K509" i="19"/>
  <c r="H109" i="10" s="1"/>
  <c r="P109" i="10" s="1"/>
  <c r="G543" i="22"/>
  <c r="G116" i="22"/>
  <c r="K1234" i="19"/>
  <c r="G356" i="22"/>
  <c r="F35" i="13"/>
  <c r="G17" i="22"/>
  <c r="K324" i="19"/>
  <c r="E210" i="15"/>
  <c r="F210" i="15" s="1"/>
  <c r="E11" i="15"/>
  <c r="F11" i="15" s="1"/>
  <c r="G14" i="22"/>
  <c r="E233" i="15"/>
  <c r="F233" i="15" s="1"/>
  <c r="K524" i="19"/>
  <c r="H112" i="10" s="1"/>
  <c r="K1574" i="19"/>
  <c r="S396" i="19"/>
  <c r="S784" i="19"/>
  <c r="S90" i="19"/>
  <c r="S206" i="19"/>
  <c r="S1154" i="19"/>
  <c r="S826" i="19"/>
  <c r="S1417" i="19"/>
  <c r="S891" i="19"/>
  <c r="S1666" i="19"/>
  <c r="S1560" i="19"/>
  <c r="S1531" i="19"/>
  <c r="S1696" i="19"/>
  <c r="S1284" i="19"/>
  <c r="S1422" i="19"/>
  <c r="S761" i="19"/>
  <c r="S791" i="19"/>
  <c r="S59" i="19"/>
  <c r="S476" i="19"/>
  <c r="S713" i="19"/>
  <c r="S1113" i="19"/>
  <c r="S333" i="19"/>
  <c r="S1219" i="19"/>
  <c r="H185" i="15"/>
  <c r="G141" i="22"/>
  <c r="F141" i="13"/>
  <c r="G50" i="22"/>
  <c r="F50" i="13"/>
  <c r="K584" i="19"/>
  <c r="L583" i="19" s="1"/>
  <c r="K1349" i="19"/>
  <c r="L1346" i="19" s="1"/>
  <c r="K84" i="19"/>
  <c r="E42" i="15"/>
  <c r="F42" i="15" s="1"/>
  <c r="F417" i="13"/>
  <c r="K139" i="19"/>
  <c r="L137" i="19" s="1"/>
  <c r="K1704" i="19"/>
  <c r="F381" i="13"/>
  <c r="F419" i="13"/>
  <c r="E157" i="15"/>
  <c r="F157" i="15" s="1"/>
  <c r="K459" i="19"/>
  <c r="L457" i="19" s="1"/>
  <c r="S406" i="19"/>
  <c r="S618" i="19"/>
  <c r="S143" i="19"/>
  <c r="S930" i="19"/>
  <c r="S1031" i="19"/>
  <c r="S1161" i="19"/>
  <c r="S1318" i="19"/>
  <c r="S1078" i="19"/>
  <c r="S979" i="19"/>
  <c r="S1146" i="19"/>
  <c r="S1628" i="19"/>
  <c r="S1538" i="19"/>
  <c r="F363" i="13"/>
  <c r="H247" i="15" s="1"/>
  <c r="E185" i="15"/>
  <c r="F185" i="15" s="1"/>
  <c r="F395" i="13"/>
  <c r="K1474" i="19"/>
  <c r="K999" i="19"/>
  <c r="G142" i="22"/>
  <c r="G199" i="22"/>
  <c r="K494" i="19"/>
  <c r="K1469" i="19"/>
  <c r="L1468" i="19" s="1"/>
  <c r="K1199" i="19"/>
  <c r="H247" i="10" s="1"/>
  <c r="K1279" i="19"/>
  <c r="F121" i="13"/>
  <c r="F285" i="13"/>
  <c r="K1209" i="19"/>
  <c r="K234" i="19"/>
  <c r="L231" i="19" s="1"/>
  <c r="F412" i="13"/>
  <c r="G436" i="22"/>
  <c r="G249" i="22"/>
  <c r="K659" i="19"/>
  <c r="L656" i="19" s="1"/>
  <c r="AE346" i="13"/>
  <c r="AE123" i="13"/>
  <c r="G341" i="22"/>
  <c r="F292" i="13"/>
  <c r="K404" i="19"/>
  <c r="H88" i="10" s="1"/>
  <c r="F339" i="13"/>
  <c r="F333" i="13"/>
  <c r="F139" i="13"/>
  <c r="K1699" i="19"/>
  <c r="G71" i="22"/>
  <c r="AE108" i="13"/>
  <c r="G148" i="22"/>
  <c r="G231" i="22"/>
  <c r="G345" i="22"/>
  <c r="AE356" i="13"/>
  <c r="F13" i="13"/>
  <c r="F52" i="13"/>
  <c r="S1025" i="19"/>
  <c r="S897" i="19"/>
  <c r="S372" i="19"/>
  <c r="R382" i="13"/>
  <c r="S486" i="19"/>
  <c r="S914" i="19"/>
  <c r="S1119" i="19"/>
  <c r="S1333" i="19"/>
  <c r="S1230" i="19"/>
  <c r="S693" i="19"/>
  <c r="S351" i="19"/>
  <c r="S39" i="19"/>
  <c r="S162" i="19"/>
  <c r="S483" i="19"/>
  <c r="S759" i="19"/>
  <c r="S1015" i="19"/>
  <c r="S1066" i="19"/>
  <c r="S1281" i="19"/>
  <c r="S1409" i="19"/>
  <c r="S1486" i="19"/>
  <c r="S16" i="19"/>
  <c r="S78" i="19"/>
  <c r="S898" i="19"/>
  <c r="S1453" i="19"/>
  <c r="S1657" i="19"/>
  <c r="S794" i="19"/>
  <c r="S1673" i="19"/>
  <c r="S1750" i="19"/>
  <c r="S848" i="19"/>
  <c r="S1240" i="19"/>
  <c r="S1742" i="19"/>
  <c r="S904" i="19"/>
  <c r="S1575" i="19"/>
  <c r="S126" i="19"/>
  <c r="S600" i="19"/>
  <c r="S550" i="19"/>
  <c r="S1522" i="19"/>
  <c r="K994" i="19"/>
  <c r="S582" i="19"/>
  <c r="S345" i="19"/>
  <c r="S1010" i="19"/>
  <c r="S1231" i="19"/>
  <c r="S1189" i="19"/>
  <c r="S1201" i="19"/>
  <c r="S560" i="19"/>
  <c r="F194" i="13"/>
  <c r="H40" i="15"/>
  <c r="I40" i="15" s="1"/>
  <c r="F32" i="13"/>
  <c r="G107" i="22"/>
  <c r="AE251" i="13"/>
  <c r="S605" i="19"/>
  <c r="S431" i="19"/>
  <c r="S477" i="19"/>
  <c r="S349" i="19"/>
  <c r="S253" i="19"/>
  <c r="S663" i="19"/>
  <c r="S265" i="19"/>
  <c r="S175" i="19"/>
  <c r="S301" i="19"/>
  <c r="S535" i="19"/>
  <c r="S685" i="19"/>
  <c r="S1108" i="19"/>
  <c r="S1028" i="19"/>
  <c r="S1129" i="19"/>
  <c r="S1065" i="19"/>
  <c r="S1001" i="19"/>
  <c r="S873" i="19"/>
  <c r="S461" i="19"/>
  <c r="S506" i="19"/>
  <c r="G225" i="22"/>
  <c r="F225" i="13"/>
  <c r="F307" i="13"/>
  <c r="G307" i="22"/>
  <c r="F11" i="13"/>
  <c r="G11" i="22"/>
  <c r="F162" i="13"/>
  <c r="G162" i="22"/>
  <c r="F158" i="13"/>
  <c r="G405" i="22"/>
  <c r="K1179" i="19"/>
  <c r="H243" i="10" s="1"/>
  <c r="F409" i="13"/>
  <c r="S990" i="19"/>
  <c r="K939" i="19"/>
  <c r="H195" i="10" s="1"/>
  <c r="S670" i="19"/>
  <c r="S222" i="19"/>
  <c r="S947" i="19"/>
  <c r="K144" i="19"/>
  <c r="H36" i="10" s="1"/>
  <c r="I36" i="10" s="1"/>
  <c r="S376" i="19"/>
  <c r="S127" i="19"/>
  <c r="S142" i="19"/>
  <c r="S746" i="19"/>
  <c r="K1329" i="19"/>
  <c r="H273" i="10" s="1"/>
  <c r="I273" i="10" s="1"/>
  <c r="S1348" i="19"/>
  <c r="R379" i="13"/>
  <c r="S122" i="19"/>
  <c r="S943" i="19"/>
  <c r="S1181" i="19"/>
  <c r="S1245" i="19"/>
  <c r="S1359" i="19"/>
  <c r="S1436" i="19"/>
  <c r="S1346" i="19"/>
  <c r="S624" i="19"/>
  <c r="S1400" i="19"/>
  <c r="S1144" i="19"/>
  <c r="S1382" i="19"/>
  <c r="K614" i="19"/>
  <c r="S678" i="19"/>
  <c r="S744" i="19"/>
  <c r="S1474" i="19"/>
  <c r="S1730" i="19"/>
  <c r="S1515" i="19"/>
  <c r="F209" i="13"/>
  <c r="S505" i="19"/>
  <c r="S377" i="19"/>
  <c r="S133" i="19"/>
  <c r="S65" i="19"/>
  <c r="S1253" i="19"/>
  <c r="S425" i="19"/>
  <c r="S227" i="19"/>
  <c r="S1294" i="19"/>
  <c r="S70" i="19"/>
  <c r="S1393" i="19"/>
  <c r="S1509" i="19"/>
  <c r="S1702" i="19"/>
  <c r="S1096" i="19"/>
  <c r="AE210" i="13"/>
  <c r="AE158" i="13"/>
  <c r="AE45" i="13"/>
  <c r="S509" i="19"/>
  <c r="S697" i="19"/>
  <c r="S359" i="19"/>
  <c r="S117" i="19"/>
  <c r="S813" i="19"/>
  <c r="S852" i="19"/>
  <c r="S805" i="19"/>
  <c r="S397" i="19"/>
  <c r="S965" i="19"/>
  <c r="S901" i="19"/>
  <c r="S455" i="19"/>
  <c r="S36" i="19"/>
  <c r="S919" i="19"/>
  <c r="S996" i="19"/>
  <c r="S1124" i="19"/>
  <c r="S1017" i="19"/>
  <c r="S953" i="19"/>
  <c r="S177" i="19"/>
  <c r="S1098" i="19"/>
  <c r="S893" i="19"/>
  <c r="S412" i="19"/>
  <c r="K1244" i="19"/>
  <c r="K1384" i="19"/>
  <c r="H284" i="10" s="1"/>
  <c r="I284" i="10" s="1"/>
  <c r="K444" i="19"/>
  <c r="L440" i="19" s="1"/>
  <c r="R436" i="13"/>
  <c r="E320" i="15" s="1"/>
  <c r="F320" i="15" s="1"/>
  <c r="K1014" i="19"/>
  <c r="K1549" i="19"/>
  <c r="L1547" i="19" s="1"/>
  <c r="K1594" i="19"/>
  <c r="G562" i="22"/>
  <c r="K759" i="19"/>
  <c r="H159" i="10" s="1"/>
  <c r="F341" i="13"/>
  <c r="F369" i="13"/>
  <c r="K439" i="19"/>
  <c r="L436" i="19" s="1"/>
  <c r="S1683" i="19"/>
  <c r="F313" i="13"/>
  <c r="F48" i="13"/>
  <c r="G48" i="22"/>
  <c r="G325" i="22"/>
  <c r="F325" i="13"/>
  <c r="AU448" i="13"/>
  <c r="G297" i="22"/>
  <c r="G158" i="22"/>
  <c r="H352" i="10"/>
  <c r="P352" i="10" s="1"/>
  <c r="K519" i="19"/>
  <c r="E225" i="15"/>
  <c r="F225" i="15" s="1"/>
  <c r="K1759" i="19"/>
  <c r="L1758" i="19" s="1"/>
  <c r="AE92" i="13"/>
  <c r="G514" i="22"/>
  <c r="K1449" i="19"/>
  <c r="F263" i="13"/>
  <c r="H214" i="10"/>
  <c r="P214" i="10" s="1"/>
  <c r="G402" i="22"/>
  <c r="G417" i="22"/>
  <c r="K59" i="19"/>
  <c r="H19" i="10" s="1"/>
  <c r="G530" i="22"/>
  <c r="AE151" i="13"/>
  <c r="E37" i="15"/>
  <c r="F37" i="15" s="1"/>
  <c r="G629" i="22"/>
  <c r="F429" i="13"/>
  <c r="K919" i="19"/>
  <c r="L918" i="19" s="1"/>
  <c r="AE147" i="13"/>
  <c r="K749" i="19"/>
  <c r="L745" i="19" s="1"/>
  <c r="K479" i="19"/>
  <c r="L477" i="19" s="1"/>
  <c r="H200" i="15"/>
  <c r="I200" i="15" s="1"/>
  <c r="G351" i="22"/>
  <c r="G715" i="22"/>
  <c r="S1038" i="19"/>
  <c r="S782" i="19"/>
  <c r="S526" i="19"/>
  <c r="S270" i="19"/>
  <c r="S1736" i="19"/>
  <c r="S296" i="19"/>
  <c r="K274" i="19"/>
  <c r="L270" i="19" s="1"/>
  <c r="F428" i="13"/>
  <c r="S1252" i="19"/>
  <c r="S56" i="19"/>
  <c r="S614" i="19"/>
  <c r="S1484" i="19"/>
  <c r="S1091" i="19"/>
  <c r="S409" i="19"/>
  <c r="F421" i="13"/>
  <c r="K1479" i="19"/>
  <c r="L1475" i="19" s="1"/>
  <c r="K354" i="19"/>
  <c r="L351" i="19" s="1"/>
  <c r="K1194" i="19"/>
  <c r="L1192" i="19" s="1"/>
  <c r="S1272" i="19"/>
  <c r="R367" i="13"/>
  <c r="S14" i="19"/>
  <c r="S1651" i="19"/>
  <c r="S1552" i="19"/>
  <c r="S347" i="19"/>
  <c r="S438" i="19"/>
  <c r="S146" i="19"/>
  <c r="S1316" i="19"/>
  <c r="K1639" i="19"/>
  <c r="L1638" i="19" s="1"/>
  <c r="S221" i="19"/>
  <c r="G592" i="22"/>
  <c r="F47" i="13"/>
  <c r="K199" i="19"/>
  <c r="L196" i="19" s="1"/>
  <c r="K689" i="19"/>
  <c r="E25" i="15"/>
  <c r="F25" i="15" s="1"/>
  <c r="F398" i="13"/>
  <c r="H70" i="10"/>
  <c r="G241" i="22"/>
  <c r="H163" i="15"/>
  <c r="I163" i="15" s="1"/>
  <c r="K1169" i="19"/>
  <c r="F269" i="13"/>
  <c r="F432" i="13"/>
  <c r="K574" i="19"/>
  <c r="H122" i="10" s="1"/>
  <c r="I122" i="10" s="1"/>
  <c r="F231" i="13"/>
  <c r="F111" i="13"/>
  <c r="K24" i="19"/>
  <c r="F423" i="13"/>
  <c r="F317" i="13"/>
  <c r="AE272" i="13"/>
  <c r="K559" i="19"/>
  <c r="L555" i="19" s="1"/>
  <c r="S1496" i="19"/>
  <c r="S1555" i="19"/>
  <c r="S11" i="19"/>
  <c r="S170" i="19"/>
  <c r="F373" i="13"/>
  <c r="S1184" i="19"/>
  <c r="S1312" i="19"/>
  <c r="S1440" i="19"/>
  <c r="S488" i="19"/>
  <c r="E14" i="15"/>
  <c r="F14" i="15" s="1"/>
  <c r="AE17" i="13"/>
  <c r="G366" i="22"/>
  <c r="F364" i="13"/>
  <c r="G45" i="22"/>
  <c r="F45" i="13"/>
  <c r="G474" i="22"/>
  <c r="K1604" i="19"/>
  <c r="L593" i="19"/>
  <c r="K229" i="19"/>
  <c r="L225" i="19" s="1"/>
  <c r="S606" i="19"/>
  <c r="S23" i="19"/>
  <c r="S414" i="19"/>
  <c r="K134" i="19"/>
  <c r="L132" i="19" s="1"/>
  <c r="S392" i="19"/>
  <c r="S658" i="19"/>
  <c r="K469" i="19"/>
  <c r="S1300" i="19"/>
  <c r="S1428" i="19"/>
  <c r="S1675" i="19"/>
  <c r="S1343" i="19"/>
  <c r="S86" i="19"/>
  <c r="S18" i="19"/>
  <c r="F96" i="13"/>
  <c r="G96" i="22"/>
  <c r="AE33" i="13"/>
  <c r="E23" i="15"/>
  <c r="F23" i="15" s="1"/>
  <c r="G739" i="22"/>
  <c r="K409" i="19"/>
  <c r="L407" i="19" s="1"/>
  <c r="G239" i="22"/>
  <c r="K1159" i="19"/>
  <c r="L1157" i="19" s="1"/>
  <c r="G699" i="22"/>
  <c r="K1739" i="19"/>
  <c r="L1736" i="19" s="1"/>
  <c r="F327" i="13"/>
  <c r="K1599" i="19"/>
  <c r="L1597" i="19" s="1"/>
  <c r="G94" i="22"/>
  <c r="K434" i="19"/>
  <c r="H94" i="10" s="1"/>
  <c r="F94" i="13"/>
  <c r="G377" i="22"/>
  <c r="K1424" i="19"/>
  <c r="L1423" i="19" s="1"/>
  <c r="AE144" i="13"/>
  <c r="E92" i="15"/>
  <c r="F92" i="15" s="1"/>
  <c r="G708" i="22"/>
  <c r="K629" i="19"/>
  <c r="L625" i="19" s="1"/>
  <c r="G550" i="22"/>
  <c r="K1079" i="19"/>
  <c r="L1075" i="19" s="1"/>
  <c r="F320" i="13"/>
  <c r="G320" i="22"/>
  <c r="F426" i="13"/>
  <c r="E41" i="15"/>
  <c r="F41" i="15" s="1"/>
  <c r="AE274" i="13"/>
  <c r="F129" i="13"/>
  <c r="E59" i="15"/>
  <c r="F59" i="15" s="1"/>
  <c r="K1004" i="19"/>
  <c r="H208" i="10" s="1"/>
  <c r="F218" i="13"/>
  <c r="F106" i="13"/>
  <c r="AE35" i="13"/>
  <c r="K69" i="19"/>
  <c r="L68" i="19" s="1"/>
  <c r="F438" i="13"/>
  <c r="F393" i="13"/>
  <c r="K1344" i="19"/>
  <c r="K349" i="19"/>
  <c r="L346" i="19" s="1"/>
  <c r="H150" i="15"/>
  <c r="F348" i="13"/>
  <c r="AE119" i="13"/>
  <c r="K1089" i="19"/>
  <c r="H225" i="10" s="1"/>
  <c r="P225" i="10" s="1"/>
  <c r="F367" i="13"/>
  <c r="K1359" i="19"/>
  <c r="L1357" i="19" s="1"/>
  <c r="G47" i="22"/>
  <c r="K1659" i="19"/>
  <c r="G327" i="22"/>
  <c r="E18" i="15"/>
  <c r="F18" i="15" s="1"/>
  <c r="F371" i="13"/>
  <c r="F145" i="13"/>
  <c r="K389" i="19"/>
  <c r="L386" i="19" s="1"/>
  <c r="G195" i="22"/>
  <c r="G276" i="22"/>
  <c r="K624" i="19"/>
  <c r="L622" i="19" s="1"/>
  <c r="K1129" i="19"/>
  <c r="L1128" i="19" s="1"/>
  <c r="K454" i="19"/>
  <c r="L453" i="19" s="1"/>
  <c r="K989" i="19"/>
  <c r="H205" i="10" s="1"/>
  <c r="AE249" i="13"/>
  <c r="R434" i="13"/>
  <c r="AE434" i="13" s="1"/>
  <c r="S214" i="19"/>
  <c r="R393" i="13"/>
  <c r="AE393" i="13" s="1"/>
  <c r="K654" i="19"/>
  <c r="S112" i="19"/>
  <c r="K64" i="19"/>
  <c r="L61" i="19" s="1"/>
  <c r="K384" i="19"/>
  <c r="L383" i="19" s="1"/>
  <c r="R437" i="13"/>
  <c r="E321" i="15" s="1"/>
  <c r="F321" i="15" s="1"/>
  <c r="K164" i="19"/>
  <c r="L162" i="19" s="1"/>
  <c r="R442" i="13"/>
  <c r="E326" i="15" s="1"/>
  <c r="F326" i="15" s="1"/>
  <c r="S382" i="19"/>
  <c r="S254" i="19"/>
  <c r="S132" i="19"/>
  <c r="K174" i="19"/>
  <c r="L172" i="19" s="1"/>
  <c r="S156" i="19"/>
  <c r="R447" i="13"/>
  <c r="E331" i="15" s="1"/>
  <c r="F331" i="15" s="1"/>
  <c r="S174" i="19"/>
  <c r="R398" i="13"/>
  <c r="AE398" i="13" s="1"/>
  <c r="F443" i="13"/>
  <c r="K1189" i="19"/>
  <c r="H245" i="10" s="1"/>
  <c r="S1288" i="19"/>
  <c r="K1314" i="19"/>
  <c r="L1310" i="19" s="1"/>
  <c r="S1416" i="19"/>
  <c r="S1744" i="19"/>
  <c r="R381" i="13"/>
  <c r="AE381" i="13" s="1"/>
  <c r="K789" i="19"/>
  <c r="H165" i="10" s="1"/>
  <c r="R445" i="13"/>
  <c r="AE445" i="13" s="1"/>
  <c r="R440" i="13"/>
  <c r="E324" i="15" s="1"/>
  <c r="F324" i="15" s="1"/>
  <c r="F441" i="13"/>
  <c r="R441" i="13"/>
  <c r="E325" i="15" s="1"/>
  <c r="F325" i="15" s="1"/>
  <c r="S140" i="19"/>
  <c r="R362" i="13"/>
  <c r="AE362" i="13" s="1"/>
  <c r="S158" i="19"/>
  <c r="K304" i="19"/>
  <c r="L301" i="19" s="1"/>
  <c r="R383" i="13"/>
  <c r="E267" i="15" s="1"/>
  <c r="F267" i="15" s="1"/>
  <c r="K1029" i="19"/>
  <c r="L1025" i="19" s="1"/>
  <c r="S1504" i="19"/>
  <c r="K1504" i="19"/>
  <c r="H308" i="10" s="1"/>
  <c r="I308" i="10" s="1"/>
  <c r="S1399" i="19"/>
  <c r="S523" i="19"/>
  <c r="S1648" i="19"/>
  <c r="S92" i="19"/>
  <c r="K44" i="19"/>
  <c r="L43" i="19" s="1"/>
  <c r="K154" i="19"/>
  <c r="S128" i="19"/>
  <c r="R435" i="13"/>
  <c r="AE435" i="13" s="1"/>
  <c r="K169" i="19"/>
  <c r="L168" i="19" s="1"/>
  <c r="S154" i="19"/>
  <c r="S262" i="19"/>
  <c r="K419" i="19"/>
  <c r="L418" i="19" s="1"/>
  <c r="S518" i="19"/>
  <c r="R364" i="13"/>
  <c r="K1229" i="19"/>
  <c r="L1227" i="19" s="1"/>
  <c r="S1264" i="19"/>
  <c r="S1328" i="19"/>
  <c r="S1576" i="19"/>
  <c r="S1423" i="19"/>
  <c r="S1579" i="19"/>
  <c r="S1715" i="19"/>
  <c r="K1289" i="19"/>
  <c r="L1287" i="19" s="1"/>
  <c r="S1352" i="19"/>
  <c r="R432" i="13"/>
  <c r="AE432" i="13" s="1"/>
  <c r="S310" i="19"/>
  <c r="K464" i="19"/>
  <c r="L461" i="19" s="1"/>
  <c r="K1174" i="19"/>
  <c r="L1170" i="19" s="1"/>
  <c r="R417" i="13"/>
  <c r="E301" i="15" s="1"/>
  <c r="F301" i="15" s="1"/>
  <c r="K734" i="19"/>
  <c r="L732" i="19" s="1"/>
  <c r="S779" i="19"/>
  <c r="S491" i="19"/>
  <c r="K1554" i="19"/>
  <c r="L1550" i="19" s="1"/>
  <c r="S1731" i="19"/>
  <c r="R390" i="13"/>
  <c r="S1324" i="19"/>
  <c r="S1196" i="19"/>
  <c r="S1336" i="19"/>
  <c r="S939" i="19"/>
  <c r="K664" i="19"/>
  <c r="H140" i="10" s="1"/>
  <c r="I140" i="10" s="1"/>
  <c r="S395" i="19"/>
  <c r="K709" i="19"/>
  <c r="L707" i="19" s="1"/>
  <c r="S563" i="19"/>
  <c r="K1519" i="19"/>
  <c r="L1517" i="19" s="1"/>
  <c r="S1723" i="19"/>
  <c r="S1332" i="19"/>
  <c r="S1204" i="19"/>
  <c r="K1154" i="19"/>
  <c r="L1150" i="19" s="1"/>
  <c r="K864" i="19"/>
  <c r="L863" i="19" s="1"/>
  <c r="S619" i="19"/>
  <c r="K534" i="19"/>
  <c r="L532" i="19" s="1"/>
  <c r="S539" i="19"/>
  <c r="S75" i="19"/>
  <c r="R401" i="13"/>
  <c r="E285" i="15" s="1"/>
  <c r="F285" i="15" s="1"/>
  <c r="K1754" i="19"/>
  <c r="L1751" i="19" s="1"/>
  <c r="S1183" i="19"/>
  <c r="S1535" i="19"/>
  <c r="K1494" i="19"/>
  <c r="L1491" i="19" s="1"/>
  <c r="S1452" i="19"/>
  <c r="S995" i="19"/>
  <c r="S1319" i="19"/>
  <c r="S1620" i="19"/>
  <c r="S1607" i="19"/>
  <c r="K1734" i="19"/>
  <c r="H354" i="10" s="1"/>
  <c r="I354" i="10" s="1"/>
  <c r="S1571" i="19"/>
  <c r="R394" i="13"/>
  <c r="AE394" i="13" s="1"/>
  <c r="S1351" i="19"/>
  <c r="S1487" i="19"/>
  <c r="S1615" i="19"/>
  <c r="S1743" i="19"/>
  <c r="S1407" i="19"/>
  <c r="S1463" i="19"/>
  <c r="S1591" i="19"/>
  <c r="S1719" i="19"/>
  <c r="S470" i="19"/>
  <c r="S1499" i="19"/>
  <c r="S1508" i="19"/>
  <c r="S1636" i="19"/>
  <c r="S1759" i="19"/>
  <c r="R415" i="13"/>
  <c r="AE415" i="13" s="1"/>
  <c r="S1199" i="19"/>
  <c r="S1539" i="19"/>
  <c r="S1388" i="19"/>
  <c r="S1260" i="19"/>
  <c r="S1451" i="19"/>
  <c r="S331" i="19"/>
  <c r="S963" i="19"/>
  <c r="L470" i="19"/>
  <c r="H102" i="10"/>
  <c r="P102" i="10" s="1"/>
  <c r="L1258" i="19"/>
  <c r="L1256" i="19"/>
  <c r="H341" i="10"/>
  <c r="G434" i="22"/>
  <c r="K1644" i="19"/>
  <c r="L1640" i="19" s="1"/>
  <c r="K109" i="19"/>
  <c r="L105" i="19" s="1"/>
  <c r="G570" i="22"/>
  <c r="F424" i="13"/>
  <c r="G700" i="22"/>
  <c r="K1744" i="19"/>
  <c r="L1741" i="19" s="1"/>
  <c r="F156" i="13"/>
  <c r="K744" i="19"/>
  <c r="G690" i="22"/>
  <c r="K834" i="19"/>
  <c r="H174" i="10" s="1"/>
  <c r="I174" i="10" s="1"/>
  <c r="G255" i="22"/>
  <c r="K1239" i="19"/>
  <c r="H255" i="10" s="1"/>
  <c r="G453" i="22"/>
  <c r="K1499" i="19"/>
  <c r="G203" i="22"/>
  <c r="F203" i="13"/>
  <c r="G450" i="22"/>
  <c r="K1679" i="19"/>
  <c r="H343" i="10" s="1"/>
  <c r="H168" i="15"/>
  <c r="I168" i="15" s="1"/>
  <c r="G554" i="22"/>
  <c r="K99" i="19"/>
  <c r="H27" i="10" s="1"/>
  <c r="F422" i="13"/>
  <c r="F46" i="13"/>
  <c r="K194" i="19"/>
  <c r="H46" i="10" s="1"/>
  <c r="G408" i="22"/>
  <c r="F380" i="13"/>
  <c r="G401" i="22"/>
  <c r="F281" i="13"/>
  <c r="G281" i="22"/>
  <c r="G51" i="22"/>
  <c r="F51" i="13"/>
  <c r="G742" i="22"/>
  <c r="F442" i="13"/>
  <c r="W1765" i="19"/>
  <c r="R411" i="13"/>
  <c r="K1419" i="19"/>
  <c r="G305" i="22"/>
  <c r="K224" i="19"/>
  <c r="L220" i="19" s="1"/>
  <c r="K1444" i="19"/>
  <c r="H296" i="10" s="1"/>
  <c r="K1579" i="19"/>
  <c r="K1629" i="19"/>
  <c r="L1627" i="19" s="1"/>
  <c r="F127" i="13"/>
  <c r="F415" i="13"/>
  <c r="E58" i="15"/>
  <c r="F58" i="15" s="1"/>
  <c r="K1109" i="19"/>
  <c r="L1108" i="19" s="1"/>
  <c r="F388" i="13"/>
  <c r="L591" i="19"/>
  <c r="F91" i="13"/>
  <c r="F437" i="13"/>
  <c r="F436" i="13"/>
  <c r="G163" i="22"/>
  <c r="E245" i="15"/>
  <c r="F245" i="15" s="1"/>
  <c r="K824" i="19"/>
  <c r="L822" i="19" s="1"/>
  <c r="AE105" i="13"/>
  <c r="E45" i="15"/>
  <c r="F45" i="15" s="1"/>
  <c r="G64" i="22"/>
  <c r="F277" i="13"/>
  <c r="F328" i="13"/>
  <c r="F440" i="13"/>
  <c r="K244" i="19"/>
  <c r="H56" i="10" s="1"/>
  <c r="G253" i="22"/>
  <c r="AE258" i="13"/>
  <c r="G713" i="22"/>
  <c r="F416" i="13"/>
  <c r="E155" i="15"/>
  <c r="F155" i="15" s="1"/>
  <c r="K1764" i="19"/>
  <c r="L1761" i="19" s="1"/>
  <c r="AE94" i="13"/>
  <c r="F370" i="13"/>
  <c r="F394" i="13"/>
  <c r="AE349" i="13"/>
  <c r="G381" i="22"/>
  <c r="K1544" i="19"/>
  <c r="L1543" i="19" s="1"/>
  <c r="F202" i="13"/>
  <c r="K974" i="19"/>
  <c r="L970" i="19" s="1"/>
  <c r="G783" i="22"/>
  <c r="K844" i="19"/>
  <c r="H176" i="10" s="1"/>
  <c r="I176" i="10" s="1"/>
  <c r="G729" i="22"/>
  <c r="K14" i="19"/>
  <c r="H10" i="10" s="1"/>
  <c r="I10" i="10" s="1"/>
  <c r="K74" i="19"/>
  <c r="L70" i="19" s="1"/>
  <c r="G460" i="22"/>
  <c r="L1057" i="19"/>
  <c r="L1056" i="19"/>
  <c r="H88" i="15"/>
  <c r="G586" i="22"/>
  <c r="K544" i="19"/>
  <c r="L543" i="19" s="1"/>
  <c r="G79" i="22"/>
  <c r="F79" i="13"/>
  <c r="K619" i="19"/>
  <c r="H131" i="10" s="1"/>
  <c r="E259" i="15"/>
  <c r="F259" i="15" s="1"/>
  <c r="AE375" i="13"/>
  <c r="AE106" i="13"/>
  <c r="E72" i="15"/>
  <c r="F72" i="15" s="1"/>
  <c r="G512" i="22"/>
  <c r="K429" i="19"/>
  <c r="L427" i="19" s="1"/>
  <c r="E221" i="15"/>
  <c r="F221" i="15" s="1"/>
  <c r="AE326" i="13"/>
  <c r="K1609" i="19"/>
  <c r="L1608" i="19" s="1"/>
  <c r="G598" i="22"/>
  <c r="G23" i="22"/>
  <c r="F23" i="13"/>
  <c r="G135" i="22"/>
  <c r="F135" i="13"/>
  <c r="R424" i="13"/>
  <c r="E308" i="15" s="1"/>
  <c r="F308" i="15" s="1"/>
  <c r="F245" i="13"/>
  <c r="K449" i="19"/>
  <c r="H97" i="10" s="1"/>
  <c r="I97" i="10" s="1"/>
  <c r="H100" i="15"/>
  <c r="L1161" i="19"/>
  <c r="G91" i="22"/>
  <c r="G138" i="22"/>
  <c r="G161" i="22"/>
  <c r="H107" i="15"/>
  <c r="I107" i="15" s="1"/>
  <c r="G97" i="22"/>
  <c r="AE97" i="13"/>
  <c r="H50" i="15"/>
  <c r="L88" i="19"/>
  <c r="K704" i="19"/>
  <c r="H148" i="10" s="1"/>
  <c r="I148" i="10" s="1"/>
  <c r="F447" i="13"/>
  <c r="K799" i="19"/>
  <c r="L798" i="19" s="1"/>
  <c r="S1054" i="19"/>
  <c r="K814" i="19"/>
  <c r="H170" i="10" s="1"/>
  <c r="S734" i="19"/>
  <c r="S350" i="19"/>
  <c r="R433" i="13"/>
  <c r="S504" i="19"/>
  <c r="K339" i="19"/>
  <c r="L338" i="19" s="1"/>
  <c r="L657" i="19"/>
  <c r="L655" i="19"/>
  <c r="L1360" i="19"/>
  <c r="L1363" i="19"/>
  <c r="H164" i="10"/>
  <c r="I164" i="10" s="1"/>
  <c r="L781" i="19"/>
  <c r="H67" i="15"/>
  <c r="F122" i="13"/>
  <c r="G758" i="22"/>
  <c r="F444" i="13"/>
  <c r="L310" i="19"/>
  <c r="L312" i="19"/>
  <c r="G618" i="22"/>
  <c r="K484" i="19"/>
  <c r="H104" i="10" s="1"/>
  <c r="G53" i="22"/>
  <c r="F53" i="13"/>
  <c r="G414" i="22"/>
  <c r="F244" i="13"/>
  <c r="G244" i="22"/>
  <c r="F446" i="13"/>
  <c r="F15" i="13"/>
  <c r="K294" i="19"/>
  <c r="L290" i="19" s="1"/>
  <c r="F138" i="13"/>
  <c r="K334" i="19"/>
  <c r="L332" i="19" s="1"/>
  <c r="K769" i="19"/>
  <c r="L768" i="19" s="1"/>
  <c r="K879" i="19"/>
  <c r="K909" i="19"/>
  <c r="L907" i="19" s="1"/>
  <c r="K219" i="19"/>
  <c r="L217" i="19" s="1"/>
  <c r="F435" i="13"/>
  <c r="G20" i="22"/>
  <c r="H280" i="10"/>
  <c r="I280" i="10" s="1"/>
  <c r="K1354" i="19"/>
  <c r="H278" i="10" s="1"/>
  <c r="F377" i="13"/>
  <c r="AE286" i="13"/>
  <c r="K1654" i="19"/>
  <c r="L1650" i="19" s="1"/>
  <c r="H211" i="10"/>
  <c r="P211" i="10" s="1"/>
  <c r="S1006" i="19"/>
  <c r="K894" i="19"/>
  <c r="H186" i="10" s="1"/>
  <c r="P186" i="10" s="1"/>
  <c r="K829" i="19"/>
  <c r="H173" i="10" s="1"/>
  <c r="I173" i="10" s="1"/>
  <c r="K369" i="19"/>
  <c r="H81" i="10" s="1"/>
  <c r="S1616" i="19"/>
  <c r="S674" i="19"/>
  <c r="R446" i="13"/>
  <c r="AE446" i="13" s="1"/>
  <c r="K54" i="19"/>
  <c r="L53" i="19" s="1"/>
  <c r="S1003" i="19"/>
  <c r="S107" i="19"/>
  <c r="K204" i="19"/>
  <c r="L202" i="19" s="1"/>
  <c r="E34" i="15"/>
  <c r="F34" i="15" s="1"/>
  <c r="AE49" i="13"/>
  <c r="G236" i="22"/>
  <c r="F236" i="13"/>
  <c r="G37" i="22"/>
  <c r="F37" i="13"/>
  <c r="AE52" i="13"/>
  <c r="E36" i="15"/>
  <c r="F36" i="15" s="1"/>
  <c r="E126" i="15"/>
  <c r="F126" i="15" s="1"/>
  <c r="AE184" i="13"/>
  <c r="F28" i="13"/>
  <c r="G28" i="22"/>
  <c r="H240" i="15"/>
  <c r="I240" i="15" s="1"/>
  <c r="H109" i="15"/>
  <c r="H104" i="15"/>
  <c r="I104" i="15" s="1"/>
  <c r="H183" i="15"/>
  <c r="I183" i="15" s="1"/>
  <c r="H74" i="15"/>
  <c r="I74" i="15" s="1"/>
  <c r="H191" i="15"/>
  <c r="I191" i="15" s="1"/>
  <c r="H155" i="15"/>
  <c r="F31" i="13"/>
  <c r="G31" i="22"/>
  <c r="H18" i="15"/>
  <c r="F215" i="13"/>
  <c r="G215" i="22"/>
  <c r="E20" i="15"/>
  <c r="F20" i="15" s="1"/>
  <c r="AE27" i="13"/>
  <c r="E207" i="15"/>
  <c r="F207" i="15" s="1"/>
  <c r="AE305" i="13"/>
  <c r="H25" i="10"/>
  <c r="I25" i="10" s="1"/>
  <c r="H151" i="10"/>
  <c r="I151" i="10" s="1"/>
  <c r="F366" i="13"/>
  <c r="AE358" i="13"/>
  <c r="G159" i="22"/>
  <c r="S1102" i="19"/>
  <c r="S846" i="19"/>
  <c r="S590" i="19"/>
  <c r="R414" i="13"/>
  <c r="R438" i="13"/>
  <c r="AE438" i="13" s="1"/>
  <c r="S587" i="19"/>
  <c r="S1467" i="19"/>
  <c r="S1695" i="19"/>
  <c r="S763" i="19"/>
  <c r="S1680" i="19"/>
  <c r="R439" i="13"/>
  <c r="S422" i="19"/>
  <c r="S294" i="19"/>
  <c r="F98" i="13"/>
  <c r="G98" i="22"/>
  <c r="S1459" i="19"/>
  <c r="S843" i="19"/>
  <c r="S1491" i="19"/>
  <c r="S555" i="19"/>
  <c r="S139" i="19"/>
  <c r="E219" i="15"/>
  <c r="F219" i="15" s="1"/>
  <c r="S180" i="19"/>
  <c r="S129" i="19"/>
  <c r="G49" i="22"/>
  <c r="F49" i="13"/>
  <c r="G10" i="22"/>
  <c r="F10" i="13"/>
  <c r="S1619" i="19"/>
  <c r="S1476" i="19"/>
  <c r="S1507" i="19"/>
  <c r="S1304" i="19"/>
  <c r="R443" i="13"/>
  <c r="AE443" i="13" s="1"/>
  <c r="S73" i="19"/>
  <c r="S1335" i="19"/>
  <c r="I237" i="15"/>
  <c r="F183" i="15"/>
  <c r="F10" i="15"/>
  <c r="H99" i="10"/>
  <c r="I99" i="10" s="1"/>
  <c r="L455" i="19"/>
  <c r="L1096" i="19"/>
  <c r="H44" i="10"/>
  <c r="I44" i="10" s="1"/>
  <c r="H14" i="15"/>
  <c r="G483" i="22"/>
  <c r="F405" i="13"/>
  <c r="G56" i="22"/>
  <c r="F56" i="13"/>
  <c r="G396" i="22"/>
  <c r="F375" i="13"/>
  <c r="E152" i="15"/>
  <c r="F152" i="15" s="1"/>
  <c r="AE224" i="13"/>
  <c r="G309" i="22"/>
  <c r="F309" i="13"/>
  <c r="F69" i="13"/>
  <c r="G69" i="22"/>
  <c r="F110" i="13"/>
  <c r="K514" i="19"/>
  <c r="G110" i="22"/>
  <c r="E205" i="15"/>
  <c r="F205" i="15" s="1"/>
  <c r="AE302" i="13"/>
  <c r="G16" i="22"/>
  <c r="F16" i="13"/>
  <c r="G376" i="22"/>
  <c r="F368" i="13"/>
  <c r="F268" i="13"/>
  <c r="G268" i="22"/>
  <c r="G187" i="22"/>
  <c r="F187" i="13"/>
  <c r="E111" i="15"/>
  <c r="F111" i="15" s="1"/>
  <c r="AE168" i="13"/>
  <c r="F357" i="13"/>
  <c r="G357" i="22"/>
  <c r="H207" i="15"/>
  <c r="F288" i="13"/>
  <c r="G288" i="22"/>
  <c r="E43" i="15"/>
  <c r="F43" i="15" s="1"/>
  <c r="AE60" i="13"/>
  <c r="G311" i="22"/>
  <c r="F311" i="13"/>
  <c r="AE352" i="13"/>
  <c r="E238" i="15"/>
  <c r="F238" i="15" s="1"/>
  <c r="E149" i="15"/>
  <c r="F149" i="15" s="1"/>
  <c r="AE221" i="13"/>
  <c r="G180" i="22"/>
  <c r="F180" i="13"/>
  <c r="G251" i="22"/>
  <c r="K1219" i="19"/>
  <c r="F251" i="13"/>
  <c r="E143" i="15"/>
  <c r="F143" i="15" s="1"/>
  <c r="AE213" i="13"/>
  <c r="E209" i="15"/>
  <c r="F209" i="15" s="1"/>
  <c r="AE309" i="13"/>
  <c r="F319" i="13"/>
  <c r="G319" i="22"/>
  <c r="G473" i="22"/>
  <c r="F401" i="13"/>
  <c r="K1039" i="19"/>
  <c r="F164" i="13"/>
  <c r="G164" i="22"/>
  <c r="F344" i="13"/>
  <c r="G344" i="22"/>
  <c r="S1200" i="19"/>
  <c r="S280" i="19"/>
  <c r="S1344" i="19"/>
  <c r="S1216" i="19"/>
  <c r="S315" i="19"/>
  <c r="S1051" i="19"/>
  <c r="S795" i="19"/>
  <c r="S344" i="19"/>
  <c r="S1548" i="19"/>
  <c r="S443" i="19"/>
  <c r="S723" i="19"/>
  <c r="S411" i="19"/>
  <c r="S1447" i="19"/>
  <c r="S1664" i="19"/>
  <c r="S1027" i="19"/>
  <c r="S771" i="19"/>
  <c r="S507" i="19"/>
  <c r="S1255" i="19"/>
  <c r="S1604" i="19"/>
  <c r="S1732" i="19"/>
  <c r="S1464" i="19"/>
  <c r="S1472" i="19"/>
  <c r="K1749" i="19"/>
  <c r="H105" i="15"/>
  <c r="I105" i="15" s="1"/>
  <c r="E236" i="15"/>
  <c r="AE350" i="13"/>
  <c r="G441" i="22"/>
  <c r="F391" i="13"/>
  <c r="E100" i="15"/>
  <c r="F100" i="15" s="1"/>
  <c r="AE154" i="13"/>
  <c r="F88" i="13"/>
  <c r="G88" i="22"/>
  <c r="E17" i="15"/>
  <c r="F17" i="15" s="1"/>
  <c r="AE23" i="13"/>
  <c r="G119" i="22"/>
  <c r="F119" i="13"/>
  <c r="F126" i="13"/>
  <c r="G126" i="22"/>
  <c r="G633" i="22"/>
  <c r="F431" i="13"/>
  <c r="AE103" i="13"/>
  <c r="E69" i="15"/>
  <c r="F69" i="15" s="1"/>
  <c r="F62" i="13"/>
  <c r="G62" i="22"/>
  <c r="E32" i="15"/>
  <c r="F32" i="15" s="1"/>
  <c r="AE47" i="13"/>
  <c r="G237" i="22"/>
  <c r="F237" i="13"/>
  <c r="E187" i="15"/>
  <c r="F187" i="15" s="1"/>
  <c r="AE278" i="13"/>
  <c r="F329" i="13"/>
  <c r="G329" i="22"/>
  <c r="E88" i="15"/>
  <c r="F88" i="15" s="1"/>
  <c r="AE136" i="13"/>
  <c r="G353" i="22"/>
  <c r="F353" i="13"/>
  <c r="K1729" i="19"/>
  <c r="AE261" i="13"/>
  <c r="E178" i="15"/>
  <c r="F178" i="15" s="1"/>
  <c r="F296" i="13"/>
  <c r="G296" i="22"/>
  <c r="F220" i="13"/>
  <c r="G220" i="22"/>
  <c r="F171" i="13"/>
  <c r="G171" i="22"/>
  <c r="G360" i="22"/>
  <c r="F360" i="13"/>
  <c r="G469" i="22"/>
  <c r="F399" i="13"/>
  <c r="E135" i="15"/>
  <c r="F135" i="15" s="1"/>
  <c r="AE196" i="13"/>
  <c r="AE304" i="13"/>
  <c r="E206" i="15"/>
  <c r="F206" i="15" s="1"/>
  <c r="E231" i="15"/>
  <c r="F231" i="15" s="1"/>
  <c r="AE341" i="13"/>
  <c r="G312" i="22"/>
  <c r="K1524" i="19"/>
  <c r="F312" i="13"/>
  <c r="F335" i="13"/>
  <c r="G335" i="22"/>
  <c r="G316" i="22"/>
  <c r="F316" i="13"/>
  <c r="G332" i="22"/>
  <c r="F332" i="13"/>
  <c r="S63" i="19"/>
  <c r="K29" i="19"/>
  <c r="H13" i="10" s="1"/>
  <c r="P13" i="10" s="1"/>
  <c r="K1134" i="19"/>
  <c r="L1131" i="19" s="1"/>
  <c r="G245" i="22"/>
  <c r="K959" i="19"/>
  <c r="L957" i="19" s="1"/>
  <c r="F425" i="13"/>
  <c r="K114" i="19"/>
  <c r="L110" i="19" s="1"/>
  <c r="L1450" i="19"/>
  <c r="H227" i="10"/>
  <c r="I227" i="10" s="1"/>
  <c r="K269" i="19"/>
  <c r="H61" i="10" s="1"/>
  <c r="I61" i="10" s="1"/>
  <c r="F420" i="13"/>
  <c r="L437" i="19"/>
  <c r="L658" i="19"/>
  <c r="K319" i="19"/>
  <c r="H71" i="10" s="1"/>
  <c r="I71" i="10" s="1"/>
  <c r="G202" i="22"/>
  <c r="L466" i="19"/>
  <c r="L1666" i="19"/>
  <c r="L313" i="19"/>
  <c r="K104" i="19"/>
  <c r="L103" i="19" s="1"/>
  <c r="G74" i="22"/>
  <c r="K779" i="19"/>
  <c r="L775" i="19" s="1"/>
  <c r="AE170" i="13"/>
  <c r="AE163" i="13"/>
  <c r="AE179" i="13"/>
  <c r="F183" i="13"/>
  <c r="F434" i="13"/>
  <c r="L85" i="19"/>
  <c r="L917" i="19"/>
  <c r="H239" i="10"/>
  <c r="I239" i="10" s="1"/>
  <c r="K189" i="19"/>
  <c r="L185" i="19" s="1"/>
  <c r="F400" i="13"/>
  <c r="K854" i="19"/>
  <c r="H178" i="10" s="1"/>
  <c r="I178" i="10" s="1"/>
  <c r="F20" i="13"/>
  <c r="F397" i="13"/>
  <c r="K499" i="19"/>
  <c r="L496" i="19" s="1"/>
  <c r="L1610" i="19"/>
  <c r="L1033" i="19"/>
  <c r="L1427" i="19"/>
  <c r="L1476" i="19"/>
  <c r="K639" i="19"/>
  <c r="H135" i="10" s="1"/>
  <c r="I135" i="10" s="1"/>
  <c r="AE173" i="13"/>
  <c r="F323" i="13"/>
  <c r="H293" i="10"/>
  <c r="S452" i="19"/>
  <c r="S324" i="19"/>
  <c r="S176" i="19"/>
  <c r="S1115" i="19"/>
  <c r="S42" i="19"/>
  <c r="S1640" i="19"/>
  <c r="S1391" i="19"/>
  <c r="S1707" i="19"/>
  <c r="S1404" i="19"/>
  <c r="S1148" i="19"/>
  <c r="S1303" i="19"/>
  <c r="S328" i="19"/>
  <c r="S520" i="19"/>
  <c r="S312" i="19"/>
  <c r="S1327" i="19"/>
  <c r="S1699" i="19"/>
  <c r="S1356" i="19"/>
  <c r="S1228" i="19"/>
  <c r="S1083" i="19"/>
  <c r="S955" i="19"/>
  <c r="S683" i="19"/>
  <c r="S1708" i="19"/>
  <c r="S1364" i="19"/>
  <c r="S1236" i="19"/>
  <c r="S1159" i="19"/>
  <c r="R427" i="13"/>
  <c r="K1249" i="19"/>
  <c r="J20" i="12" s="1"/>
  <c r="S1248" i="19"/>
  <c r="S264" i="19"/>
  <c r="S1099" i="19"/>
  <c r="S635" i="19"/>
  <c r="S675" i="19"/>
  <c r="S859" i="19"/>
  <c r="S603" i="19"/>
  <c r="S472" i="19"/>
  <c r="S755" i="19"/>
  <c r="S1471" i="19"/>
  <c r="S1727" i="19"/>
  <c r="S1536" i="19"/>
  <c r="S611" i="19"/>
  <c r="S1215" i="19"/>
  <c r="S1543" i="19"/>
  <c r="S1520" i="19"/>
  <c r="S1043" i="19"/>
  <c r="S787" i="19"/>
  <c r="S531" i="19"/>
  <c r="S43" i="19"/>
  <c r="S1468" i="19"/>
  <c r="S1596" i="19"/>
  <c r="S1724" i="19"/>
  <c r="S1375" i="19"/>
  <c r="S1455" i="19"/>
  <c r="S1583" i="19"/>
  <c r="S1711" i="19"/>
  <c r="S1608" i="19"/>
  <c r="S1367" i="19"/>
  <c r="S835" i="19"/>
  <c r="S579" i="19"/>
  <c r="S1572" i="19"/>
  <c r="S1559" i="19"/>
  <c r="S1687" i="19"/>
  <c r="S1584" i="19"/>
  <c r="G65" i="22"/>
  <c r="F65" i="13"/>
  <c r="E56" i="15"/>
  <c r="F56" i="15" s="1"/>
  <c r="AE83" i="13"/>
  <c r="E24" i="15"/>
  <c r="F24" i="15" s="1"/>
  <c r="AE34" i="13"/>
  <c r="F34" i="13"/>
  <c r="G34" i="22"/>
  <c r="F59" i="13"/>
  <c r="G59" i="22"/>
  <c r="AE100" i="13"/>
  <c r="E67" i="15"/>
  <c r="F67" i="15" s="1"/>
  <c r="AE316" i="13"/>
  <c r="E214" i="15"/>
  <c r="F214" i="15" s="1"/>
  <c r="G259" i="22"/>
  <c r="F259" i="13"/>
  <c r="AM64" i="13"/>
  <c r="F36" i="13"/>
  <c r="G36" i="22"/>
  <c r="F101" i="13"/>
  <c r="G101" i="22"/>
  <c r="F78" i="13"/>
  <c r="G78" i="22"/>
  <c r="G273" i="22"/>
  <c r="F273" i="13"/>
  <c r="E174" i="15"/>
  <c r="F174" i="15" s="1"/>
  <c r="AE257" i="13"/>
  <c r="E90" i="15"/>
  <c r="F90" i="15" s="1"/>
  <c r="AE140" i="13"/>
  <c r="G287" i="22"/>
  <c r="F287" i="13"/>
  <c r="E118" i="15"/>
  <c r="F118" i="15" s="1"/>
  <c r="AE176" i="13"/>
  <c r="H233" i="15"/>
  <c r="G347" i="22"/>
  <c r="F347" i="13"/>
  <c r="G204" i="22"/>
  <c r="F204" i="13"/>
  <c r="F337" i="13"/>
  <c r="G337" i="22"/>
  <c r="K1649" i="19"/>
  <c r="G331" i="22"/>
  <c r="F331" i="13"/>
  <c r="F227" i="13"/>
  <c r="G227" i="22"/>
  <c r="E148" i="15"/>
  <c r="F148" i="15" s="1"/>
  <c r="AE220" i="13"/>
  <c r="E204" i="15"/>
  <c r="F204" i="15" s="1"/>
  <c r="AE301" i="13"/>
  <c r="F131" i="13"/>
  <c r="G131" i="22"/>
  <c r="G300" i="22"/>
  <c r="F300" i="13"/>
  <c r="G336" i="22"/>
  <c r="F336" i="13"/>
  <c r="G324" i="22"/>
  <c r="F324" i="13"/>
  <c r="E79" i="15"/>
  <c r="F79" i="15" s="1"/>
  <c r="AE116" i="13"/>
  <c r="E232" i="15"/>
  <c r="F232" i="15" s="1"/>
  <c r="AE344" i="13"/>
  <c r="F340" i="13"/>
  <c r="G340" i="22"/>
  <c r="AE404" i="13"/>
  <c r="L1426" i="19"/>
  <c r="H223" i="10"/>
  <c r="I223" i="10" s="1"/>
  <c r="L1752" i="19"/>
  <c r="K1509" i="19"/>
  <c r="L1505" i="19" s="1"/>
  <c r="E50" i="15"/>
  <c r="F50" i="15" s="1"/>
  <c r="S798" i="19"/>
  <c r="S484" i="19"/>
  <c r="S356" i="19"/>
  <c r="S228" i="19"/>
  <c r="S114" i="19"/>
  <c r="S786" i="19"/>
  <c r="S722" i="19"/>
  <c r="S594" i="19"/>
  <c r="S530" i="19"/>
  <c r="S192" i="19"/>
  <c r="S204" i="19"/>
  <c r="S1624" i="19"/>
  <c r="R409" i="13"/>
  <c r="S1212" i="19"/>
  <c r="S1224" i="19"/>
  <c r="S571" i="19"/>
  <c r="S408" i="19"/>
  <c r="S1667" i="19"/>
  <c r="S232" i="19"/>
  <c r="S699" i="19"/>
  <c r="S1580" i="19"/>
  <c r="S1567" i="19"/>
  <c r="S1271" i="19"/>
  <c r="S1140" i="19"/>
  <c r="S360" i="19"/>
  <c r="S1408" i="19"/>
  <c r="S931" i="19"/>
  <c r="S1652" i="19"/>
  <c r="S1639" i="19"/>
  <c r="S1656" i="19"/>
  <c r="S923" i="19"/>
  <c r="S667" i="19"/>
  <c r="S299" i="19"/>
  <c r="S883" i="19"/>
  <c r="S219" i="19"/>
  <c r="S1676" i="19"/>
  <c r="S1663" i="19"/>
  <c r="S1752" i="19"/>
  <c r="S739" i="19"/>
  <c r="S1492" i="19"/>
  <c r="S1479" i="19"/>
  <c r="S1735" i="19"/>
  <c r="S1600" i="19"/>
  <c r="S851" i="19"/>
  <c r="S595" i="19"/>
  <c r="S1564" i="19"/>
  <c r="S1692" i="19"/>
  <c r="S1247" i="19"/>
  <c r="S1551" i="19"/>
  <c r="S1679" i="19"/>
  <c r="S899" i="19"/>
  <c r="S643" i="19"/>
  <c r="S251" i="19"/>
  <c r="K1619" i="19"/>
  <c r="S1151" i="19"/>
  <c r="S1527" i="19"/>
  <c r="S1655" i="19"/>
  <c r="S1720" i="19"/>
  <c r="K984" i="19"/>
  <c r="E154" i="15"/>
  <c r="F154" i="15" s="1"/>
  <c r="AE227" i="13"/>
  <c r="G186" i="22"/>
  <c r="F186" i="13"/>
  <c r="G81" i="22"/>
  <c r="F81" i="13"/>
  <c r="F58" i="13"/>
  <c r="G58" i="22"/>
  <c r="E15" i="15"/>
  <c r="F15" i="15" s="1"/>
  <c r="AE18" i="13"/>
  <c r="G42" i="22"/>
  <c r="F42" i="13"/>
  <c r="G18" i="22"/>
  <c r="F18" i="13"/>
  <c r="G175" i="22"/>
  <c r="F175" i="13"/>
  <c r="E144" i="15"/>
  <c r="F144" i="15" s="1"/>
  <c r="AE216" i="13"/>
  <c r="G692" i="22"/>
  <c r="K1094" i="19"/>
  <c r="E190" i="15"/>
  <c r="F190" i="15" s="1"/>
  <c r="AE282" i="13"/>
  <c r="F38" i="13"/>
  <c r="G38" i="22"/>
  <c r="G399" i="22"/>
  <c r="F376" i="13"/>
  <c r="G211" i="22"/>
  <c r="F211" i="13"/>
  <c r="F352" i="13"/>
  <c r="G352" i="22"/>
  <c r="E137" i="15"/>
  <c r="F137" i="15" s="1"/>
  <c r="AE200" i="13"/>
  <c r="E226" i="15"/>
  <c r="F226" i="15" s="1"/>
  <c r="AE334" i="13"/>
  <c r="F235" i="13"/>
  <c r="G235" i="22"/>
  <c r="F321" i="13"/>
  <c r="K1569" i="19"/>
  <c r="F299" i="13"/>
  <c r="G299" i="22"/>
  <c r="E230" i="15"/>
  <c r="F230" i="15" s="1"/>
  <c r="AE340" i="13"/>
  <c r="E192" i="15"/>
  <c r="F192" i="15" s="1"/>
  <c r="AE284" i="13"/>
  <c r="F243" i="13"/>
  <c r="G243" i="22"/>
  <c r="F284" i="13"/>
  <c r="G284" i="22"/>
  <c r="F260" i="13"/>
  <c r="K1264" i="19"/>
  <c r="H260" i="10" s="1"/>
  <c r="F92" i="13"/>
  <c r="G92" i="22"/>
  <c r="F304" i="13"/>
  <c r="G304" i="22"/>
  <c r="L1031" i="19"/>
  <c r="X1765" i="19"/>
  <c r="S20" i="19"/>
  <c r="S546" i="19"/>
  <c r="S31" i="19"/>
  <c r="S48" i="19"/>
  <c r="S202" i="19"/>
  <c r="S138" i="19"/>
  <c r="S74" i="19"/>
  <c r="K1309" i="19"/>
  <c r="R391" i="13"/>
  <c r="S1276" i="19"/>
  <c r="S1516" i="19"/>
  <c r="S171" i="19"/>
  <c r="S1392" i="19"/>
  <c r="S1131" i="19"/>
  <c r="S1703" i="19"/>
  <c r="S1420" i="19"/>
  <c r="S1292" i="19"/>
  <c r="S1164" i="19"/>
  <c r="R366" i="13"/>
  <c r="S1172" i="19"/>
  <c r="S875" i="19"/>
  <c r="S1123" i="19"/>
  <c r="S1524" i="19"/>
  <c r="S1511" i="19"/>
  <c r="S1704" i="19"/>
  <c r="S987" i="19"/>
  <c r="S216" i="19"/>
  <c r="S475" i="19"/>
  <c r="S1439" i="19"/>
  <c r="S1599" i="19"/>
  <c r="K1589" i="19"/>
  <c r="S867" i="19"/>
  <c r="K1634" i="19"/>
  <c r="S1671" i="19"/>
  <c r="S915" i="19"/>
  <c r="S659" i="19"/>
  <c r="S283" i="19"/>
  <c r="R386" i="13"/>
  <c r="S1532" i="19"/>
  <c r="S1660" i="19"/>
  <c r="S707" i="19"/>
  <c r="S379" i="19"/>
  <c r="S1383" i="19"/>
  <c r="S1764" i="19"/>
  <c r="S1495" i="19"/>
  <c r="S1623" i="19"/>
  <c r="S1751" i="19"/>
  <c r="S1592" i="19"/>
  <c r="S1728" i="19"/>
  <c r="H173" i="15"/>
  <c r="I173" i="15" s="1"/>
  <c r="H187" i="15"/>
  <c r="L1463" i="19"/>
  <c r="L1461" i="19"/>
  <c r="L1460" i="19"/>
  <c r="L1462" i="19"/>
  <c r="L1721" i="19"/>
  <c r="L1720" i="19"/>
  <c r="L1722" i="19"/>
  <c r="L1723" i="19"/>
  <c r="L711" i="19"/>
  <c r="L750" i="19"/>
  <c r="L1663" i="19"/>
  <c r="H44" i="15"/>
  <c r="I44" i="15" s="1"/>
  <c r="L718" i="19"/>
  <c r="L716" i="19"/>
  <c r="H69" i="15"/>
  <c r="I160" i="10"/>
  <c r="P160" i="10"/>
  <c r="L1103" i="19"/>
  <c r="H228" i="10"/>
  <c r="P228" i="10" s="1"/>
  <c r="L1405" i="19"/>
  <c r="L1408" i="19"/>
  <c r="L882" i="19"/>
  <c r="L880" i="19"/>
  <c r="H184" i="10"/>
  <c r="L881" i="19"/>
  <c r="H299" i="10"/>
  <c r="P299" i="10" s="1"/>
  <c r="L1456" i="19"/>
  <c r="L680" i="19"/>
  <c r="H144" i="10"/>
  <c r="L681" i="19"/>
  <c r="L1738" i="19"/>
  <c r="L927" i="19"/>
  <c r="H118" i="15"/>
  <c r="L430" i="19"/>
  <c r="G12" i="8"/>
  <c r="L1403" i="19"/>
  <c r="L1400" i="19"/>
  <c r="H288" i="10"/>
  <c r="L1401" i="19"/>
  <c r="L662" i="19"/>
  <c r="H57" i="15"/>
  <c r="I55" i="10"/>
  <c r="P55" i="10"/>
  <c r="I186" i="10"/>
  <c r="P230" i="10"/>
  <c r="L1383" i="19"/>
  <c r="L1381" i="19"/>
  <c r="L278" i="19"/>
  <c r="L275" i="19"/>
  <c r="L276" i="19"/>
  <c r="L277" i="19"/>
  <c r="L1558" i="19"/>
  <c r="L1556" i="19"/>
  <c r="L1555" i="19"/>
  <c r="L1557" i="19"/>
  <c r="H319" i="10"/>
  <c r="L915" i="19"/>
  <c r="L916" i="19"/>
  <c r="L536" i="19"/>
  <c r="L535" i="19"/>
  <c r="L538" i="19"/>
  <c r="L537" i="19"/>
  <c r="L1512" i="19"/>
  <c r="L1511" i="19"/>
  <c r="L1510" i="19"/>
  <c r="H310" i="10"/>
  <c r="P310" i="10" s="1"/>
  <c r="L1513" i="19"/>
  <c r="H99" i="15"/>
  <c r="I99" i="15" s="1"/>
  <c r="H139" i="15"/>
  <c r="I139" i="15" s="1"/>
  <c r="L1695" i="19"/>
  <c r="L1696" i="19"/>
  <c r="L1698" i="19"/>
  <c r="L1697" i="19"/>
  <c r="H347" i="10"/>
  <c r="I347" i="10" s="1"/>
  <c r="AM85" i="13"/>
  <c r="L630" i="19"/>
  <c r="L631" i="19"/>
  <c r="L633" i="19"/>
  <c r="L632" i="19"/>
  <c r="H147" i="15"/>
  <c r="I147" i="15" s="1"/>
  <c r="H96" i="15"/>
  <c r="I96" i="15" s="1"/>
  <c r="L115" i="19"/>
  <c r="L116" i="19"/>
  <c r="L117" i="19"/>
  <c r="L118" i="19"/>
  <c r="L780" i="19"/>
  <c r="L782" i="19"/>
  <c r="L706" i="19"/>
  <c r="L398" i="19"/>
  <c r="L397" i="19"/>
  <c r="L1582" i="19"/>
  <c r="L1580" i="19"/>
  <c r="L1581" i="19"/>
  <c r="L763" i="19"/>
  <c r="L760" i="19"/>
  <c r="L762" i="19"/>
  <c r="L761" i="19"/>
  <c r="L1162" i="19"/>
  <c r="L845" i="19"/>
  <c r="H158" i="10"/>
  <c r="P158" i="10" s="1"/>
  <c r="L500" i="19"/>
  <c r="H191" i="10"/>
  <c r="F237" i="15"/>
  <c r="L1621" i="19"/>
  <c r="L1622" i="19"/>
  <c r="L1620" i="19"/>
  <c r="L1623" i="19"/>
  <c r="H332" i="10"/>
  <c r="I332" i="10" s="1"/>
  <c r="L1111" i="19"/>
  <c r="L1110" i="19"/>
  <c r="L932" i="19"/>
  <c r="L930" i="19"/>
  <c r="L897" i="19"/>
  <c r="L896" i="19"/>
  <c r="H187" i="10"/>
  <c r="I187" i="10" s="1"/>
  <c r="L865" i="19"/>
  <c r="L867" i="19"/>
  <c r="L866" i="19"/>
  <c r="L868" i="19"/>
  <c r="L1756" i="19"/>
  <c r="L1155" i="19"/>
  <c r="L322" i="19"/>
  <c r="L321" i="19"/>
  <c r="L320" i="19"/>
  <c r="H72" i="10"/>
  <c r="L323" i="19"/>
  <c r="L1601" i="19"/>
  <c r="L1602" i="19"/>
  <c r="L1603" i="19"/>
  <c r="L1600" i="19"/>
  <c r="H328" i="10"/>
  <c r="L1422" i="19"/>
  <c r="AM342" i="13"/>
  <c r="L1202" i="19"/>
  <c r="L1203" i="19"/>
  <c r="L1200" i="19"/>
  <c r="L1201" i="19"/>
  <c r="H123" i="15"/>
  <c r="I123" i="15" s="1"/>
  <c r="L573" i="19"/>
  <c r="L570" i="19"/>
  <c r="L387" i="19"/>
  <c r="L385" i="19"/>
  <c r="L388" i="19"/>
  <c r="L1027" i="19"/>
  <c r="I245" i="10"/>
  <c r="P245" i="10"/>
  <c r="L1115" i="19"/>
  <c r="L1116" i="19"/>
  <c r="L1117" i="19"/>
  <c r="L1118" i="19"/>
  <c r="H231" i="10"/>
  <c r="I231" i="10" s="1"/>
  <c r="I31" i="10"/>
  <c r="P31" i="10"/>
  <c r="L1327" i="19"/>
  <c r="L1325" i="19"/>
  <c r="L1326" i="19"/>
  <c r="L1328" i="19"/>
  <c r="H181" i="10"/>
  <c r="H47" i="10"/>
  <c r="L893" i="19"/>
  <c r="L358" i="19"/>
  <c r="L356" i="19"/>
  <c r="L355" i="19"/>
  <c r="L357" i="19"/>
  <c r="L1656" i="19"/>
  <c r="L1655" i="19"/>
  <c r="L1657" i="19"/>
  <c r="H339" i="10"/>
  <c r="L1658" i="19"/>
  <c r="L1047" i="19"/>
  <c r="L1731" i="19"/>
  <c r="L1293" i="19"/>
  <c r="L1291" i="19"/>
  <c r="H172" i="15"/>
  <c r="I172" i="15" s="1"/>
  <c r="L1186" i="19"/>
  <c r="L1188" i="19"/>
  <c r="L1187" i="19"/>
  <c r="L1185" i="19"/>
  <c r="L1551" i="19"/>
  <c r="L471" i="19"/>
  <c r="L473" i="19"/>
  <c r="L472" i="19"/>
  <c r="H132" i="10"/>
  <c r="I132" i="10" s="1"/>
  <c r="H248" i="10"/>
  <c r="F227" i="15"/>
  <c r="L807" i="19"/>
  <c r="L808" i="19"/>
  <c r="L805" i="19"/>
  <c r="L806" i="19"/>
  <c r="L93" i="19"/>
  <c r="L92" i="19"/>
  <c r="L91" i="19"/>
  <c r="H26" i="10"/>
  <c r="L1181" i="19"/>
  <c r="L1182" i="19"/>
  <c r="L1183" i="19"/>
  <c r="L1180" i="19"/>
  <c r="L406" i="19"/>
  <c r="L802" i="19"/>
  <c r="L803" i="19"/>
  <c r="L800" i="19"/>
  <c r="L801" i="19"/>
  <c r="L238" i="19"/>
  <c r="L237" i="19"/>
  <c r="L235" i="19"/>
  <c r="L236" i="19"/>
  <c r="L702" i="19"/>
  <c r="L700" i="19"/>
  <c r="L33" i="19"/>
  <c r="L30" i="19"/>
  <c r="L32" i="19"/>
  <c r="L31" i="19"/>
  <c r="H216" i="15"/>
  <c r="I216" i="15" s="1"/>
  <c r="H111" i="15"/>
  <c r="L858" i="19"/>
  <c r="L857" i="19"/>
  <c r="L855" i="19"/>
  <c r="L856" i="19"/>
  <c r="L1438" i="19"/>
  <c r="L1435" i="19"/>
  <c r="L1436" i="19"/>
  <c r="L843" i="19"/>
  <c r="L1318" i="19"/>
  <c r="L1316" i="19"/>
  <c r="L792" i="19"/>
  <c r="L790" i="19"/>
  <c r="L791" i="19"/>
  <c r="L793" i="19"/>
  <c r="AM133" i="13"/>
  <c r="L1058" i="19"/>
  <c r="L1055" i="19"/>
  <c r="L747" i="19"/>
  <c r="H157" i="10"/>
  <c r="L478" i="19"/>
  <c r="L475" i="19"/>
  <c r="L476" i="19"/>
  <c r="L208" i="19"/>
  <c r="L207" i="19"/>
  <c r="L205" i="19"/>
  <c r="L206" i="19"/>
  <c r="H204" i="15"/>
  <c r="H177" i="10"/>
  <c r="I177" i="10" s="1"/>
  <c r="L895" i="19"/>
  <c r="H194" i="10"/>
  <c r="H93" i="10"/>
  <c r="H115" i="10"/>
  <c r="H134" i="10"/>
  <c r="I134" i="10" s="1"/>
  <c r="I59" i="10"/>
  <c r="I197" i="10"/>
  <c r="P197" i="10"/>
  <c r="H311" i="10"/>
  <c r="I311" i="10" s="1"/>
  <c r="L961" i="19"/>
  <c r="L963" i="19"/>
  <c r="L960" i="19"/>
  <c r="L962" i="19"/>
  <c r="H200" i="10"/>
  <c r="H136" i="10"/>
  <c r="L640" i="19"/>
  <c r="L642" i="19"/>
  <c r="L643" i="19"/>
  <c r="L641" i="19"/>
  <c r="L646" i="19"/>
  <c r="L648" i="19"/>
  <c r="L645" i="19"/>
  <c r="L647" i="19"/>
  <c r="H137" i="10"/>
  <c r="P137" i="10" s="1"/>
  <c r="H210" i="10"/>
  <c r="P210" i="10" s="1"/>
  <c r="L1010" i="19"/>
  <c r="L1011" i="19"/>
  <c r="L1013" i="19"/>
  <c r="L1012" i="19"/>
  <c r="L1483" i="19"/>
  <c r="H304" i="10"/>
  <c r="L1255" i="19"/>
  <c r="H259" i="10"/>
  <c r="L1257" i="19"/>
  <c r="I159" i="10"/>
  <c r="H344" i="10"/>
  <c r="L1683" i="19"/>
  <c r="L1332" i="19"/>
  <c r="H274" i="10"/>
  <c r="L1333" i="19"/>
  <c r="L752" i="19"/>
  <c r="L753" i="19"/>
  <c r="L253" i="19"/>
  <c r="L251" i="19"/>
  <c r="L252" i="19"/>
  <c r="L1743" i="19"/>
  <c r="L1373" i="19"/>
  <c r="L1371" i="19"/>
  <c r="L1372" i="19"/>
  <c r="L1370" i="19"/>
  <c r="I102" i="10"/>
  <c r="H113" i="15"/>
  <c r="I113" i="15" s="1"/>
  <c r="L1272" i="19"/>
  <c r="H262" i="10"/>
  <c r="I262" i="10" s="1"/>
  <c r="L1270" i="19"/>
  <c r="L1273" i="19"/>
  <c r="L1271" i="19"/>
  <c r="L123" i="19"/>
  <c r="L120" i="19"/>
  <c r="H32" i="10"/>
  <c r="L121" i="19"/>
  <c r="L122" i="19"/>
  <c r="L17" i="19"/>
  <c r="L18" i="19"/>
  <c r="L16" i="19"/>
  <c r="H11" i="10"/>
  <c r="L15" i="19"/>
  <c r="L1303" i="19"/>
  <c r="L1300" i="19"/>
  <c r="H268" i="10"/>
  <c r="P268" i="10" s="1"/>
  <c r="L1302" i="19"/>
  <c r="L1301" i="19"/>
  <c r="L551" i="19"/>
  <c r="L550" i="19"/>
  <c r="L553" i="19"/>
  <c r="L552" i="19"/>
  <c r="H118" i="10"/>
  <c r="P118" i="10" s="1"/>
  <c r="L521" i="19"/>
  <c r="L520" i="19"/>
  <c r="L1592" i="19"/>
  <c r="L1590" i="19"/>
  <c r="L1593" i="19"/>
  <c r="L1591" i="19"/>
  <c r="H326" i="10"/>
  <c r="L503" i="19"/>
  <c r="H108" i="10"/>
  <c r="I108" i="10" s="1"/>
  <c r="H62" i="10"/>
  <c r="I62" i="10" s="1"/>
  <c r="L273" i="19"/>
  <c r="L272" i="19"/>
  <c r="L542" i="19"/>
  <c r="H164" i="15"/>
  <c r="I164" i="15" s="1"/>
  <c r="L1233" i="19"/>
  <c r="L1230" i="19"/>
  <c r="L1231" i="19"/>
  <c r="H254" i="10"/>
  <c r="P254" i="10" s="1"/>
  <c r="L1232" i="19"/>
  <c r="L756" i="19"/>
  <c r="L757" i="19"/>
  <c r="L758" i="19"/>
  <c r="L755" i="19"/>
  <c r="H87" i="15"/>
  <c r="I87" i="15" s="1"/>
  <c r="AM21" i="13"/>
  <c r="L1088" i="19"/>
  <c r="H196" i="15"/>
  <c r="I196" i="15" s="1"/>
  <c r="L401" i="19"/>
  <c r="L403" i="19"/>
  <c r="L402" i="19"/>
  <c r="L400" i="19"/>
  <c r="H51" i="10"/>
  <c r="P51" i="10" s="1"/>
  <c r="H139" i="10"/>
  <c r="P139" i="10" s="1"/>
  <c r="P159" i="10"/>
  <c r="H345" i="10"/>
  <c r="P345" i="10" s="1"/>
  <c r="L1687" i="19"/>
  <c r="L1685" i="19"/>
  <c r="L1688" i="19"/>
  <c r="L1686" i="19"/>
  <c r="L232" i="19"/>
  <c r="L1062" i="19"/>
  <c r="L1063" i="19"/>
  <c r="H220" i="10"/>
  <c r="P220" i="10" s="1"/>
  <c r="L1060" i="19"/>
  <c r="L1061" i="19"/>
  <c r="H317" i="10"/>
  <c r="L1548" i="19"/>
  <c r="L1545" i="19"/>
  <c r="L1546" i="19"/>
  <c r="L1163" i="19"/>
  <c r="H240" i="10"/>
  <c r="L442" i="19"/>
  <c r="H96" i="10"/>
  <c r="L443" i="19"/>
  <c r="L1397" i="19"/>
  <c r="L1398" i="19"/>
  <c r="L1396" i="19"/>
  <c r="H287" i="10"/>
  <c r="L1395" i="19"/>
  <c r="L258" i="19"/>
  <c r="L255" i="19"/>
  <c r="L257" i="19"/>
  <c r="L256" i="19"/>
  <c r="AM165" i="13"/>
  <c r="L765" i="19"/>
  <c r="L920" i="19"/>
  <c r="H192" i="10"/>
  <c r="L923" i="19"/>
  <c r="L922" i="19"/>
  <c r="L921" i="19"/>
  <c r="AM254" i="13"/>
  <c r="L590" i="19"/>
  <c r="H126" i="10"/>
  <c r="P126" i="10" s="1"/>
  <c r="H264" i="10"/>
  <c r="L1283" i="19"/>
  <c r="AM241" i="13"/>
  <c r="L735" i="19"/>
  <c r="D361" i="10"/>
  <c r="L587" i="19"/>
  <c r="L585" i="19"/>
  <c r="L588" i="19"/>
  <c r="L586" i="19"/>
  <c r="H125" i="10"/>
  <c r="L1716" i="19"/>
  <c r="L1717" i="19"/>
  <c r="L1715" i="19"/>
  <c r="H351" i="10"/>
  <c r="L138" i="19"/>
  <c r="H35" i="10"/>
  <c r="I35" i="10" s="1"/>
  <c r="L348" i="19"/>
  <c r="L345" i="19"/>
  <c r="H18" i="10"/>
  <c r="L948" i="19"/>
  <c r="L947" i="19"/>
  <c r="L945" i="19"/>
  <c r="L946" i="19"/>
  <c r="L1643" i="19"/>
  <c r="L1641" i="19"/>
  <c r="L1211" i="19"/>
  <c r="L1210" i="19"/>
  <c r="L1212" i="19"/>
  <c r="L1213" i="19"/>
  <c r="L696" i="19"/>
  <c r="L697" i="19"/>
  <c r="L698" i="19"/>
  <c r="L695" i="19"/>
  <c r="H147" i="10"/>
  <c r="L227" i="19"/>
  <c r="H315" i="10"/>
  <c r="I315" i="10" s="1"/>
  <c r="L1535" i="19"/>
  <c r="L1538" i="19"/>
  <c r="L1536" i="19"/>
  <c r="L1537" i="19"/>
  <c r="H348" i="10"/>
  <c r="P348" i="10" s="1"/>
  <c r="L1703" i="19"/>
  <c r="L1702" i="19"/>
  <c r="L1700" i="19"/>
  <c r="L1701" i="19"/>
  <c r="L47" i="19"/>
  <c r="L46" i="19"/>
  <c r="L48" i="19"/>
  <c r="H17" i="10"/>
  <c r="P17" i="10" s="1"/>
  <c r="L45" i="19"/>
  <c r="H74" i="10"/>
  <c r="L333" i="19"/>
  <c r="H150" i="10"/>
  <c r="P150" i="10" s="1"/>
  <c r="L710" i="19"/>
  <c r="L1368" i="19"/>
  <c r="H281" i="10"/>
  <c r="P281" i="10" s="1"/>
  <c r="L1366" i="19"/>
  <c r="L1365" i="19"/>
  <c r="L1367" i="19"/>
  <c r="L1167" i="19"/>
  <c r="L1165" i="19"/>
  <c r="L1168" i="19"/>
  <c r="L1166" i="19"/>
  <c r="H241" i="10"/>
  <c r="I241" i="10" s="1"/>
  <c r="L862" i="19"/>
  <c r="L861" i="19"/>
  <c r="L905" i="19"/>
  <c r="L908" i="19"/>
  <c r="H189" i="10"/>
  <c r="H65" i="15"/>
  <c r="I65" i="15" s="1"/>
  <c r="L463" i="19"/>
  <c r="I64" i="10"/>
  <c r="P64" i="10"/>
  <c r="I117" i="10"/>
  <c r="P117" i="10"/>
  <c r="I127" i="10"/>
  <c r="I243" i="10"/>
  <c r="P243" i="10"/>
  <c r="I275" i="10"/>
  <c r="P275" i="10"/>
  <c r="I109" i="10"/>
  <c r="I23" i="10"/>
  <c r="P23" i="10"/>
  <c r="I37" i="10"/>
  <c r="P37" i="10"/>
  <c r="I250" i="10"/>
  <c r="L1410" i="19"/>
  <c r="L1412" i="19"/>
  <c r="L1446" i="19"/>
  <c r="L1445" i="19"/>
  <c r="L1448" i="19"/>
  <c r="L1447" i="19"/>
  <c r="H297" i="10"/>
  <c r="P297" i="10" s="1"/>
  <c r="L1625" i="19"/>
  <c r="H15" i="10"/>
  <c r="L38" i="19"/>
  <c r="L36" i="19"/>
  <c r="L35" i="19"/>
  <c r="L37" i="19"/>
  <c r="H51" i="15"/>
  <c r="I51" i="15" s="1"/>
  <c r="L1525" i="19"/>
  <c r="H313" i="10"/>
  <c r="P313" i="10" s="1"/>
  <c r="L1527" i="19"/>
  <c r="L1526" i="19"/>
  <c r="L1528" i="19"/>
  <c r="L1051" i="19"/>
  <c r="L1053" i="19"/>
  <c r="L1052" i="19"/>
  <c r="L1050" i="19"/>
  <c r="H218" i="10"/>
  <c r="P218" i="10" s="1"/>
  <c r="L1392" i="19"/>
  <c r="H286" i="10"/>
  <c r="P286" i="10" s="1"/>
  <c r="L1393" i="19"/>
  <c r="L1391" i="19"/>
  <c r="L1390" i="19"/>
  <c r="L1578" i="19"/>
  <c r="L1577" i="19"/>
  <c r="L1575" i="19"/>
  <c r="L1576" i="19"/>
  <c r="H323" i="10"/>
  <c r="I247" i="10"/>
  <c r="L998" i="19"/>
  <c r="L995" i="19"/>
  <c r="L997" i="19"/>
  <c r="H207" i="10"/>
  <c r="L996" i="19"/>
  <c r="L952" i="19"/>
  <c r="L950" i="19"/>
  <c r="H198" i="10"/>
  <c r="P198" i="10" s="1"/>
  <c r="L951" i="19"/>
  <c r="L953" i="19"/>
  <c r="L1002" i="19"/>
  <c r="L1003" i="19"/>
  <c r="L1000" i="19"/>
  <c r="L1001" i="19"/>
  <c r="F216" i="15"/>
  <c r="L1152" i="19"/>
  <c r="I169" i="10"/>
  <c r="L66" i="19"/>
  <c r="L67" i="19"/>
  <c r="H21" i="10"/>
  <c r="L65" i="19"/>
  <c r="O11" i="10"/>
  <c r="N364" i="10"/>
  <c r="P300" i="10"/>
  <c r="P166" i="10"/>
  <c r="P295" i="10"/>
  <c r="P19" i="10"/>
  <c r="P308" i="10"/>
  <c r="P244" i="10"/>
  <c r="P171" i="10"/>
  <c r="H124" i="10"/>
  <c r="P124" i="10" s="1"/>
  <c r="L581" i="19"/>
  <c r="L580" i="19"/>
  <c r="L286" i="19"/>
  <c r="L288" i="19"/>
  <c r="L285" i="19"/>
  <c r="H65" i="10"/>
  <c r="L287" i="19"/>
  <c r="L606" i="19"/>
  <c r="L608" i="19"/>
  <c r="L605" i="19"/>
  <c r="H129" i="10"/>
  <c r="L1670" i="19"/>
  <c r="L1672" i="19"/>
  <c r="L1671" i="19"/>
  <c r="L1673" i="19"/>
  <c r="H342" i="10"/>
  <c r="P342" i="10" s="1"/>
  <c r="H277" i="10"/>
  <c r="L1347" i="19"/>
  <c r="L1345" i="19"/>
  <c r="L1073" i="19"/>
  <c r="H222" i="10"/>
  <c r="P222" i="10" s="1"/>
  <c r="L1071" i="19"/>
  <c r="L1070" i="19"/>
  <c r="L1072" i="19"/>
  <c r="L295" i="19"/>
  <c r="L298" i="19"/>
  <c r="L297" i="19"/>
  <c r="H67" i="10"/>
  <c r="P67" i="10" s="1"/>
  <c r="L296" i="19"/>
  <c r="L423" i="19"/>
  <c r="H92" i="10"/>
  <c r="P92" i="10" s="1"/>
  <c r="L421" i="19"/>
  <c r="L422" i="19"/>
  <c r="L420" i="19"/>
  <c r="L912" i="19"/>
  <c r="L910" i="19"/>
  <c r="L911" i="19"/>
  <c r="L913" i="19"/>
  <c r="L835" i="19"/>
  <c r="L836" i="19"/>
  <c r="L837" i="19"/>
  <c r="H175" i="10"/>
  <c r="L838" i="19"/>
  <c r="H76" i="10"/>
  <c r="P76" i="10" s="1"/>
  <c r="L342" i="19"/>
  <c r="L340" i="19"/>
  <c r="L343" i="19"/>
  <c r="L341" i="19"/>
  <c r="L1375" i="19"/>
  <c r="L1376" i="19"/>
  <c r="L1378" i="19"/>
  <c r="H283" i="10"/>
  <c r="P283" i="10" s="1"/>
  <c r="L1377" i="19"/>
  <c r="L125" i="19"/>
  <c r="L128" i="19"/>
  <c r="L127" i="19"/>
  <c r="L126" i="19"/>
  <c r="H33" i="10"/>
  <c r="L305" i="19"/>
  <c r="H69" i="10"/>
  <c r="L306" i="19"/>
  <c r="L308" i="19"/>
  <c r="L307" i="19"/>
  <c r="L1023" i="19"/>
  <c r="L1021" i="19"/>
  <c r="H212" i="10"/>
  <c r="L1022" i="19"/>
  <c r="L1020" i="19"/>
  <c r="H85" i="15"/>
  <c r="I85" i="15" s="1"/>
  <c r="L493" i="19"/>
  <c r="L490" i="19"/>
  <c r="L492" i="19"/>
  <c r="H106" i="10"/>
  <c r="L491" i="19"/>
  <c r="L1323" i="19"/>
  <c r="L1321" i="19"/>
  <c r="L1320" i="19"/>
  <c r="H272" i="10"/>
  <c r="L1322" i="19"/>
  <c r="H55" i="15"/>
  <c r="I55" i="15" s="1"/>
  <c r="L676" i="19"/>
  <c r="L677" i="19"/>
  <c r="L678" i="19"/>
  <c r="L675" i="19"/>
  <c r="H143" i="10"/>
  <c r="L1467" i="19"/>
  <c r="L1466" i="19"/>
  <c r="L1573" i="19"/>
  <c r="L1571" i="19"/>
  <c r="L1570" i="19"/>
  <c r="H322" i="10"/>
  <c r="P322" i="10" s="1"/>
  <c r="L1572" i="19"/>
  <c r="L1252" i="19"/>
  <c r="L1250" i="19"/>
  <c r="L1275" i="19"/>
  <c r="L1277" i="19"/>
  <c r="H263" i="10"/>
  <c r="P263" i="10" s="1"/>
  <c r="L1276" i="19"/>
  <c r="L1278" i="19"/>
  <c r="H121" i="15"/>
  <c r="I121" i="15" s="1"/>
  <c r="L566" i="19"/>
  <c r="L568" i="19"/>
  <c r="H121" i="10"/>
  <c r="P121" i="10" s="1"/>
  <c r="L567" i="19"/>
  <c r="L565" i="19"/>
  <c r="H136" i="15"/>
  <c r="I136" i="15" s="1"/>
  <c r="L1008" i="19"/>
  <c r="L1007" i="19"/>
  <c r="H209" i="10"/>
  <c r="P209" i="10" s="1"/>
  <c r="L1006" i="19"/>
  <c r="L1005" i="19"/>
  <c r="H135" i="15"/>
  <c r="L668" i="19"/>
  <c r="L665" i="19"/>
  <c r="L667" i="19"/>
  <c r="L666" i="19"/>
  <c r="L976" i="19"/>
  <c r="H203" i="10"/>
  <c r="L977" i="19"/>
  <c r="L978" i="19"/>
  <c r="L975" i="19"/>
  <c r="L482" i="19"/>
  <c r="L178" i="19"/>
  <c r="L176" i="19"/>
  <c r="L177" i="19"/>
  <c r="L175" i="19"/>
  <c r="L55" i="19"/>
  <c r="L57" i="19"/>
  <c r="L56" i="19"/>
  <c r="L58" i="19"/>
  <c r="H253" i="10"/>
  <c r="H144" i="15"/>
  <c r="F132" i="15"/>
  <c r="L818" i="19"/>
  <c r="L816" i="19"/>
  <c r="L245" i="19"/>
  <c r="L247" i="19"/>
  <c r="H57" i="10"/>
  <c r="L248" i="19"/>
  <c r="L246" i="19"/>
  <c r="L870" i="19"/>
  <c r="L871" i="19"/>
  <c r="L872" i="19"/>
  <c r="L873" i="19"/>
  <c r="L602" i="19"/>
  <c r="L600" i="19"/>
  <c r="H128" i="10"/>
  <c r="L603" i="19"/>
  <c r="L601" i="19"/>
  <c r="F44" i="15"/>
  <c r="P282" i="10"/>
  <c r="P43" i="10"/>
  <c r="P70" i="10"/>
  <c r="P217" i="10"/>
  <c r="P25" i="10"/>
  <c r="P148" i="10"/>
  <c r="P14" i="10"/>
  <c r="P289" i="10"/>
  <c r="P97" i="10"/>
  <c r="P27" i="10"/>
  <c r="P250" i="10"/>
  <c r="P99" i="10"/>
  <c r="P324" i="10"/>
  <c r="P273" i="10"/>
  <c r="L688" i="19"/>
  <c r="L685" i="19"/>
  <c r="L686" i="19"/>
  <c r="L687" i="19"/>
  <c r="L936" i="19"/>
  <c r="L935" i="19"/>
  <c r="L938" i="19"/>
  <c r="L937" i="19"/>
  <c r="L1418" i="19"/>
  <c r="L1417" i="19"/>
  <c r="L1415" i="19"/>
  <c r="L1416" i="19"/>
  <c r="H291" i="10"/>
  <c r="H78" i="10"/>
  <c r="P78" i="10" s="1"/>
  <c r="L353" i="19"/>
  <c r="L350" i="19"/>
  <c r="L352" i="19"/>
  <c r="L1440" i="19"/>
  <c r="L1443" i="19"/>
  <c r="L210" i="19"/>
  <c r="L212" i="19"/>
  <c r="L213" i="19"/>
  <c r="L211" i="19"/>
  <c r="L1472" i="19"/>
  <c r="L1470" i="19"/>
  <c r="H302" i="10"/>
  <c r="L1473" i="19"/>
  <c r="L1471" i="19"/>
  <c r="L373" i="19"/>
  <c r="L371" i="19"/>
  <c r="L372" i="19"/>
  <c r="L370" i="19"/>
  <c r="H82" i="10"/>
  <c r="L671" i="19"/>
  <c r="H142" i="10"/>
  <c r="L673" i="19"/>
  <c r="L670" i="19"/>
  <c r="L672" i="19"/>
  <c r="L1220" i="19"/>
  <c r="L1222" i="19"/>
  <c r="H252" i="10"/>
  <c r="P252" i="10" s="1"/>
  <c r="L1223" i="19"/>
  <c r="L1221" i="19"/>
  <c r="L153" i="19"/>
  <c r="L150" i="19"/>
  <c r="L151" i="19"/>
  <c r="H38" i="10"/>
  <c r="P38" i="10" s="1"/>
  <c r="L152" i="19"/>
  <c r="P88" i="10"/>
  <c r="I88" i="10"/>
  <c r="L967" i="19"/>
  <c r="L968" i="19"/>
  <c r="L965" i="19"/>
  <c r="L966" i="19"/>
  <c r="L1690" i="19"/>
  <c r="L1691" i="19"/>
  <c r="L1692" i="19"/>
  <c r="L1693" i="19"/>
  <c r="H346" i="10"/>
  <c r="P346" i="10" s="1"/>
  <c r="H212" i="15"/>
  <c r="I212" i="15" s="1"/>
  <c r="L157" i="19"/>
  <c r="L158" i="19"/>
  <c r="L156" i="19"/>
  <c r="L155" i="19"/>
  <c r="L1196" i="19"/>
  <c r="L1198" i="19"/>
  <c r="L1197" i="19"/>
  <c r="L1195" i="19"/>
  <c r="H127" i="15"/>
  <c r="I127" i="15" s="1"/>
  <c r="L576" i="19"/>
  <c r="L578" i="19"/>
  <c r="H123" i="10"/>
  <c r="L577" i="19"/>
  <c r="L575" i="19"/>
  <c r="H29" i="15"/>
  <c r="I29" i="15" s="1"/>
  <c r="H39" i="15"/>
  <c r="I39" i="15" s="1"/>
  <c r="AM214" i="13"/>
  <c r="L410" i="19"/>
  <c r="L413" i="19"/>
  <c r="H90" i="10"/>
  <c r="L411" i="19"/>
  <c r="L412" i="19"/>
  <c r="I141" i="10"/>
  <c r="P141" i="10"/>
  <c r="L728" i="19"/>
  <c r="L727" i="19"/>
  <c r="H153" i="10"/>
  <c r="L725" i="19"/>
  <c r="L726" i="19"/>
  <c r="H43" i="15"/>
  <c r="L1171" i="19"/>
  <c r="I43" i="10"/>
  <c r="L1138" i="19"/>
  <c r="L1135" i="19"/>
  <c r="L1136" i="19"/>
  <c r="H235" i="10"/>
  <c r="L1137" i="19"/>
  <c r="I216" i="10"/>
  <c r="P216" i="10"/>
  <c r="I171" i="10"/>
  <c r="F105" i="15"/>
  <c r="L78" i="19"/>
  <c r="L75" i="19"/>
  <c r="L76" i="19"/>
  <c r="L77" i="19"/>
  <c r="L13" i="19"/>
  <c r="L1432" i="19"/>
  <c r="L1433" i="19"/>
  <c r="L1430" i="19"/>
  <c r="L1431" i="19"/>
  <c r="L1081" i="19"/>
  <c r="L1083" i="19"/>
  <c r="L1082" i="19"/>
  <c r="L1080" i="19"/>
  <c r="L525" i="19"/>
  <c r="L527" i="19"/>
  <c r="L528" i="19"/>
  <c r="H113" i="10"/>
  <c r="P113" i="10" s="1"/>
  <c r="L526" i="19"/>
  <c r="L1388" i="19"/>
  <c r="L1386" i="19"/>
  <c r="H285" i="10"/>
  <c r="L1387" i="19"/>
  <c r="L1385" i="19"/>
  <c r="H182" i="10"/>
  <c r="H194" i="15"/>
  <c r="I194" i="15" s="1"/>
  <c r="L1338" i="19"/>
  <c r="L1336" i="19"/>
  <c r="L1335" i="19"/>
  <c r="L1337" i="19"/>
  <c r="L1485" i="19"/>
  <c r="L1488" i="19"/>
  <c r="L1487" i="19"/>
  <c r="L1486" i="19"/>
  <c r="H305" i="10"/>
  <c r="P305" i="10" s="1"/>
  <c r="H221" i="10"/>
  <c r="L1065" i="19"/>
  <c r="L1068" i="19"/>
  <c r="L1067" i="19"/>
  <c r="L1066" i="19"/>
  <c r="L81" i="19"/>
  <c r="L80" i="19"/>
  <c r="H24" i="10"/>
  <c r="L83" i="19"/>
  <c r="L82" i="19"/>
  <c r="L327" i="19"/>
  <c r="L328" i="19"/>
  <c r="H73" i="10"/>
  <c r="L325" i="19"/>
  <c r="L326" i="19"/>
  <c r="H141" i="15"/>
  <c r="L130" i="19"/>
  <c r="L131" i="19"/>
  <c r="H34" i="10"/>
  <c r="H229" i="10"/>
  <c r="L1107" i="19"/>
  <c r="AM201" i="13"/>
  <c r="L1533" i="19"/>
  <c r="L1530" i="19"/>
  <c r="H314" i="10"/>
  <c r="P314" i="10" s="1"/>
  <c r="L1532" i="19"/>
  <c r="L1531" i="19"/>
  <c r="I282" i="10"/>
  <c r="L72" i="19"/>
  <c r="L1706" i="19"/>
  <c r="L1708" i="19"/>
  <c r="L1705" i="19"/>
  <c r="L1707" i="19"/>
  <c r="H349" i="10"/>
  <c r="L1503" i="19"/>
  <c r="L1500" i="19"/>
  <c r="L1501" i="19"/>
  <c r="H175" i="15"/>
  <c r="I175" i="15" s="1"/>
  <c r="L1241" i="19"/>
  <c r="L1242" i="19"/>
  <c r="L1243" i="19"/>
  <c r="L1240" i="19"/>
  <c r="H256" i="10"/>
  <c r="L786" i="19"/>
  <c r="L785" i="19"/>
  <c r="L788" i="19"/>
  <c r="H82" i="15"/>
  <c r="I82" i="15" s="1"/>
  <c r="L517" i="19"/>
  <c r="L515" i="19"/>
  <c r="L518" i="19"/>
  <c r="L516" i="19"/>
  <c r="H111" i="10"/>
  <c r="I214" i="10"/>
  <c r="L690" i="19"/>
  <c r="L693" i="19"/>
  <c r="L691" i="19"/>
  <c r="L692" i="19"/>
  <c r="L142" i="19"/>
  <c r="L143" i="19"/>
  <c r="L140" i="19"/>
  <c r="L141" i="19"/>
  <c r="L193" i="19"/>
  <c r="L192" i="19"/>
  <c r="L191" i="19"/>
  <c r="L190" i="19"/>
  <c r="L485" i="19"/>
  <c r="H105" i="10"/>
  <c r="P105" i="10" s="1"/>
  <c r="L488" i="19"/>
  <c r="L486" i="19"/>
  <c r="L487" i="19"/>
  <c r="I168" i="10"/>
  <c r="P168" i="10"/>
  <c r="I162" i="10"/>
  <c r="P162" i="10"/>
  <c r="L261" i="19"/>
  <c r="L263" i="19"/>
  <c r="L262" i="19"/>
  <c r="H60" i="10"/>
  <c r="P60" i="10" s="1"/>
  <c r="L260" i="19"/>
  <c r="L1296" i="19"/>
  <c r="L1295" i="19"/>
  <c r="L1297" i="19"/>
  <c r="L1298" i="19"/>
  <c r="L303" i="19"/>
  <c r="H68" i="10"/>
  <c r="P68" i="10" s="1"/>
  <c r="L302" i="19"/>
  <c r="L147" i="19"/>
  <c r="L145" i="19"/>
  <c r="L148" i="19"/>
  <c r="L146" i="19"/>
  <c r="I19" i="10"/>
  <c r="L382" i="19"/>
  <c r="L381" i="19"/>
  <c r="L380" i="19"/>
  <c r="H84" i="10"/>
  <c r="P84" i="10" s="1"/>
  <c r="L1341" i="19"/>
  <c r="H276" i="10"/>
  <c r="P276" i="10" s="1"/>
  <c r="L1343" i="19"/>
  <c r="L1340" i="19"/>
  <c r="L1342" i="19"/>
  <c r="L416" i="19"/>
  <c r="L417" i="19"/>
  <c r="L415" i="19"/>
  <c r="L392" i="19"/>
  <c r="L391" i="19"/>
  <c r="H86" i="10"/>
  <c r="P86" i="10" s="1"/>
  <c r="L393" i="19"/>
  <c r="L390" i="19"/>
  <c r="I27" i="10"/>
  <c r="I294" i="10"/>
  <c r="P294" i="10"/>
  <c r="H124" i="15"/>
  <c r="I124" i="15" s="1"/>
  <c r="L653" i="19"/>
  <c r="L652" i="19"/>
  <c r="H138" i="10"/>
  <c r="L651" i="19"/>
  <c r="L650" i="19"/>
  <c r="L1208" i="19"/>
  <c r="L1205" i="19"/>
  <c r="L1207" i="19"/>
  <c r="H249" i="10"/>
  <c r="L1206" i="19"/>
  <c r="H56" i="15"/>
  <c r="H290" i="10"/>
  <c r="P290" i="10" s="1"/>
  <c r="H201" i="10"/>
  <c r="P201" i="10" s="1"/>
  <c r="H146" i="10"/>
  <c r="P247" i="10"/>
  <c r="P127" i="10"/>
  <c r="P59" i="10"/>
  <c r="P284" i="10"/>
  <c r="P169" i="10"/>
  <c r="P36" i="10"/>
  <c r="P49" i="10"/>
  <c r="L595" i="19"/>
  <c r="L597" i="19"/>
  <c r="L598" i="19"/>
  <c r="L596" i="19"/>
  <c r="L1266" i="19"/>
  <c r="L1268" i="19"/>
  <c r="H261" i="10"/>
  <c r="L1267" i="19"/>
  <c r="L1265" i="19"/>
  <c r="H91" i="15"/>
  <c r="I91" i="15" s="1"/>
  <c r="H232" i="10"/>
  <c r="L1122" i="19"/>
  <c r="L1120" i="19"/>
  <c r="L1123" i="19"/>
  <c r="L1121" i="19"/>
  <c r="L958" i="19"/>
  <c r="L112" i="19"/>
  <c r="I217" i="10"/>
  <c r="H234" i="15"/>
  <c r="I234" i="15" s="1"/>
  <c r="H205" i="15"/>
  <c r="L888" i="19"/>
  <c r="L887" i="19"/>
  <c r="L886" i="19"/>
  <c r="H185" i="10"/>
  <c r="L885" i="19"/>
  <c r="P179" i="10"/>
  <c r="I179" i="10"/>
  <c r="L448" i="19"/>
  <c r="L447" i="19"/>
  <c r="L445" i="19"/>
  <c r="L941" i="19"/>
  <c r="L943" i="19"/>
  <c r="H196" i="10"/>
  <c r="L942" i="19"/>
  <c r="L940" i="19"/>
  <c r="L293" i="19"/>
  <c r="L292" i="19"/>
  <c r="H66" i="10"/>
  <c r="L773" i="19"/>
  <c r="L771" i="19"/>
  <c r="L770" i="19"/>
  <c r="L772" i="19"/>
  <c r="L267" i="19"/>
  <c r="L266" i="19"/>
  <c r="L268" i="19"/>
  <c r="L283" i="19"/>
  <c r="L282" i="19"/>
  <c r="L280" i="19"/>
  <c r="L281" i="19"/>
  <c r="H70" i="15"/>
  <c r="L1178" i="19"/>
  <c r="L1175" i="19"/>
  <c r="L1177" i="19"/>
  <c r="L1176" i="19"/>
  <c r="L1145" i="19"/>
  <c r="L1148" i="19"/>
  <c r="L1147" i="19"/>
  <c r="H237" i="10"/>
  <c r="L1146" i="19"/>
  <c r="L1042" i="19"/>
  <c r="L1041" i="19"/>
  <c r="L1040" i="19"/>
  <c r="L1043" i="19"/>
  <c r="H126" i="15"/>
  <c r="L721" i="19"/>
  <c r="L723" i="19"/>
  <c r="L720" i="19"/>
  <c r="L722" i="19"/>
  <c r="H152" i="10"/>
  <c r="L508" i="19"/>
  <c r="L505" i="19"/>
  <c r="L506" i="19"/>
  <c r="L507" i="19"/>
  <c r="L96" i="19"/>
  <c r="L95" i="19"/>
  <c r="L98" i="19"/>
  <c r="L97" i="19"/>
  <c r="I224" i="10"/>
  <c r="P224" i="10"/>
  <c r="L1561" i="19"/>
  <c r="L1563" i="19"/>
  <c r="L1562" i="19"/>
  <c r="L1560" i="19"/>
  <c r="H320" i="10"/>
  <c r="L971" i="19"/>
  <c r="L548" i="19"/>
  <c r="L546" i="19"/>
  <c r="L545" i="19"/>
  <c r="L547" i="19"/>
  <c r="L377" i="19"/>
  <c r="H83" i="10"/>
  <c r="P83" i="10" s="1"/>
  <c r="L378" i="19"/>
  <c r="L376" i="19"/>
  <c r="L375" i="19"/>
  <c r="I70" i="10"/>
  <c r="H50" i="10"/>
  <c r="H267" i="10"/>
  <c r="H190" i="10"/>
  <c r="H145" i="10"/>
  <c r="G10" i="8"/>
  <c r="B5" i="9"/>
  <c r="B6" i="8"/>
  <c r="G11" i="8"/>
  <c r="C14" i="8"/>
  <c r="C12" i="8"/>
  <c r="C15" i="8"/>
  <c r="C11" i="8"/>
  <c r="I14" i="12"/>
  <c r="H13" i="12"/>
  <c r="I19" i="12"/>
  <c r="I13" i="12"/>
  <c r="H19" i="12"/>
  <c r="G14" i="12"/>
  <c r="F16" i="12"/>
  <c r="I20" i="12"/>
  <c r="F13" i="12"/>
  <c r="G15" i="12"/>
  <c r="J15" i="12"/>
  <c r="J16" i="12"/>
  <c r="F15" i="12"/>
  <c r="G9" i="12"/>
  <c r="J19" i="12"/>
  <c r="H9" i="12"/>
  <c r="J13" i="12"/>
  <c r="E9" i="12"/>
  <c r="I15" i="12"/>
  <c r="F14" i="12"/>
  <c r="H20" i="12"/>
  <c r="G13" i="12"/>
  <c r="H14" i="12"/>
  <c r="G19" i="12"/>
  <c r="G20" i="12"/>
  <c r="I9" i="12"/>
  <c r="H15" i="12"/>
  <c r="F9" i="12"/>
  <c r="I16" i="12"/>
  <c r="H16" i="12"/>
  <c r="G16" i="12"/>
  <c r="J14" i="12"/>
  <c r="F20" i="12"/>
  <c r="F19" i="12"/>
  <c r="E10" i="9"/>
  <c r="I10" i="9"/>
  <c r="D10" i="9"/>
  <c r="J10" i="9"/>
  <c r="H10" i="9"/>
  <c r="N10" i="9"/>
  <c r="F10" i="9"/>
  <c r="R10" i="9"/>
  <c r="K10" i="9"/>
  <c r="K20" i="9" s="1"/>
  <c r="C10" i="9"/>
  <c r="P10" i="9"/>
  <c r="G10" i="9"/>
  <c r="O10" i="9"/>
  <c r="T11" i="7"/>
  <c r="AC12" i="7"/>
  <c r="AA13" i="7"/>
  <c r="X12" i="7"/>
  <c r="Z12" i="7"/>
  <c r="Y11" i="7"/>
  <c r="AC11" i="7"/>
  <c r="W11" i="7"/>
  <c r="S13" i="7"/>
  <c r="F13" i="7"/>
  <c r="V13" i="7"/>
  <c r="AA11" i="7"/>
  <c r="U11" i="7"/>
  <c r="S12" i="7"/>
  <c r="Y13" i="7"/>
  <c r="AB11" i="7"/>
  <c r="Z13" i="7"/>
  <c r="X11" i="7"/>
  <c r="W13" i="7"/>
  <c r="F12" i="7"/>
  <c r="S11" i="7"/>
  <c r="C12" i="7"/>
  <c r="AA12" i="7"/>
  <c r="AB12" i="7"/>
  <c r="U13" i="7"/>
  <c r="V12" i="7"/>
  <c r="U12" i="7"/>
  <c r="B6" i="7"/>
  <c r="Y12" i="7"/>
  <c r="AB13" i="7"/>
  <c r="Z11" i="7"/>
  <c r="X13" i="7"/>
  <c r="T13" i="7"/>
  <c r="T12" i="7"/>
  <c r="W12" i="7"/>
  <c r="F17" i="7"/>
  <c r="V11" i="7"/>
  <c r="AC13" i="7"/>
  <c r="F11" i="7"/>
  <c r="P178" i="10" l="1"/>
  <c r="L906" i="19"/>
  <c r="P61" i="10"/>
  <c r="L435" i="19"/>
  <c r="L173" i="19"/>
  <c r="H213" i="10"/>
  <c r="P213" i="10" s="1"/>
  <c r="L1191" i="19"/>
  <c r="H103" i="10"/>
  <c r="P103" i="10" s="1"/>
  <c r="H271" i="10"/>
  <c r="H100" i="10"/>
  <c r="I100" i="10" s="1"/>
  <c r="L441" i="19"/>
  <c r="L1668" i="19"/>
  <c r="L1315" i="19"/>
  <c r="AE399" i="13"/>
  <c r="AE420" i="13"/>
  <c r="AO287" i="13"/>
  <c r="AS287" i="13"/>
  <c r="AS34" i="13"/>
  <c r="AO34" i="13"/>
  <c r="AO171" i="13"/>
  <c r="AS171" i="13"/>
  <c r="AO391" i="13"/>
  <c r="AS391" i="13"/>
  <c r="AO180" i="13"/>
  <c r="AS180" i="13"/>
  <c r="AO405" i="13"/>
  <c r="AS405" i="13"/>
  <c r="AO49" i="13"/>
  <c r="AS49" i="13"/>
  <c r="AS394" i="13"/>
  <c r="AO394" i="13"/>
  <c r="AS281" i="13"/>
  <c r="AO281" i="13"/>
  <c r="AO145" i="13"/>
  <c r="AS145" i="13"/>
  <c r="AO398" i="13"/>
  <c r="AS398" i="13"/>
  <c r="H303" i="15"/>
  <c r="I303" i="15" s="1"/>
  <c r="AO419" i="13"/>
  <c r="AS419" i="13"/>
  <c r="AO256" i="13"/>
  <c r="AS256" i="13"/>
  <c r="AO387" i="13"/>
  <c r="AS387" i="13"/>
  <c r="AO140" i="13"/>
  <c r="AS140" i="13"/>
  <c r="AO407" i="13"/>
  <c r="AS407" i="13"/>
  <c r="AO365" i="13"/>
  <c r="AS365" i="13"/>
  <c r="AO234" i="13"/>
  <c r="AS234" i="13"/>
  <c r="H280" i="15"/>
  <c r="AS396" i="13"/>
  <c r="AO396" i="13"/>
  <c r="AS402" i="13"/>
  <c r="AO402" i="13"/>
  <c r="AS67" i="13"/>
  <c r="AO67" i="13"/>
  <c r="AO72" i="13"/>
  <c r="AS72" i="13"/>
  <c r="AO188" i="13"/>
  <c r="AS188" i="13"/>
  <c r="AO315" i="13"/>
  <c r="AS315" i="13"/>
  <c r="AO113" i="13"/>
  <c r="AS113" i="13"/>
  <c r="AO224" i="13"/>
  <c r="AS224" i="13"/>
  <c r="AO26" i="13"/>
  <c r="AS26" i="13"/>
  <c r="AO284" i="13"/>
  <c r="AS284" i="13"/>
  <c r="AO235" i="13"/>
  <c r="AS235" i="13"/>
  <c r="AS227" i="13"/>
  <c r="AO227" i="13"/>
  <c r="AO101" i="13"/>
  <c r="AS101" i="13"/>
  <c r="AO399" i="13"/>
  <c r="AS399" i="13"/>
  <c r="AO164" i="13"/>
  <c r="AS164" i="13"/>
  <c r="AO16" i="13"/>
  <c r="AS16" i="13"/>
  <c r="AO98" i="13"/>
  <c r="AS98" i="13"/>
  <c r="AS435" i="13"/>
  <c r="AO435" i="13"/>
  <c r="AO15" i="13"/>
  <c r="AS15" i="13"/>
  <c r="AO328" i="13"/>
  <c r="AS328" i="13"/>
  <c r="AS380" i="13"/>
  <c r="AO380" i="13"/>
  <c r="AS422" i="13"/>
  <c r="AO422" i="13"/>
  <c r="AO441" i="13"/>
  <c r="AS441" i="13"/>
  <c r="AO367" i="13"/>
  <c r="AS367" i="13"/>
  <c r="AO438" i="13"/>
  <c r="AS438" i="13"/>
  <c r="AO218" i="13"/>
  <c r="AS218" i="13"/>
  <c r="AS320" i="13"/>
  <c r="AO320" i="13"/>
  <c r="AO45" i="13"/>
  <c r="AS45" i="13"/>
  <c r="AS111" i="13"/>
  <c r="AO111" i="13"/>
  <c r="AS269" i="13"/>
  <c r="AO269" i="13"/>
  <c r="AO225" i="13"/>
  <c r="AS225" i="13"/>
  <c r="AO13" i="13"/>
  <c r="AS13" i="13"/>
  <c r="AS139" i="13"/>
  <c r="AO139" i="13"/>
  <c r="AO292" i="13"/>
  <c r="AS292" i="13"/>
  <c r="AO395" i="13"/>
  <c r="AS395" i="13"/>
  <c r="AO141" i="13"/>
  <c r="AS141" i="13"/>
  <c r="AS262" i="13"/>
  <c r="AO262" i="13"/>
  <c r="AS178" i="13"/>
  <c r="AO178" i="13"/>
  <c r="AO112" i="13"/>
  <c r="AS112" i="13"/>
  <c r="AO157" i="13"/>
  <c r="AS157" i="13"/>
  <c r="AO102" i="13"/>
  <c r="AS102" i="13"/>
  <c r="AO411" i="13"/>
  <c r="AS411" i="13"/>
  <c r="AO383" i="13"/>
  <c r="AS383" i="13"/>
  <c r="AS70" i="13"/>
  <c r="AO70" i="13"/>
  <c r="AS410" i="13"/>
  <c r="AO410" i="13"/>
  <c r="AO361" i="13"/>
  <c r="AS361" i="13"/>
  <c r="AO250" i="13"/>
  <c r="AS250" i="13"/>
  <c r="AO193" i="13"/>
  <c r="AS193" i="13"/>
  <c r="AO190" i="13"/>
  <c r="AS190" i="13"/>
  <c r="AO124" i="13"/>
  <c r="AS124" i="13"/>
  <c r="AO271" i="13"/>
  <c r="AS271" i="13"/>
  <c r="AO359" i="13"/>
  <c r="AS359" i="13"/>
  <c r="AO374" i="13"/>
  <c r="AS374" i="13"/>
  <c r="AO279" i="13"/>
  <c r="AS279" i="13"/>
  <c r="AO349" i="13"/>
  <c r="AS349" i="13"/>
  <c r="AO384" i="13"/>
  <c r="AS384" i="13"/>
  <c r="AS95" i="13"/>
  <c r="AO95" i="13"/>
  <c r="AO109" i="13"/>
  <c r="AS109" i="13"/>
  <c r="AS118" i="13"/>
  <c r="AO118" i="13"/>
  <c r="AS358" i="13"/>
  <c r="AO358" i="13"/>
  <c r="AO238" i="13"/>
  <c r="AS238" i="13"/>
  <c r="AS418" i="13"/>
  <c r="AO418" i="13"/>
  <c r="AO169" i="13"/>
  <c r="AS169" i="13"/>
  <c r="AO120" i="13"/>
  <c r="AS120" i="13"/>
  <c r="AO44" i="13"/>
  <c r="AS44" i="13"/>
  <c r="AS280" i="13"/>
  <c r="AO280" i="13"/>
  <c r="AO403" i="13"/>
  <c r="AS403" i="13"/>
  <c r="AO334" i="13"/>
  <c r="AS334" i="13"/>
  <c r="AO213" i="13"/>
  <c r="AS213" i="13"/>
  <c r="AO54" i="13"/>
  <c r="AS54" i="13"/>
  <c r="AO376" i="13"/>
  <c r="AS376" i="13"/>
  <c r="AO81" i="13"/>
  <c r="AS81" i="13"/>
  <c r="AS336" i="13"/>
  <c r="AO336" i="13"/>
  <c r="AS337" i="13"/>
  <c r="AO337" i="13"/>
  <c r="AO332" i="13"/>
  <c r="AS332" i="13"/>
  <c r="AO353" i="13"/>
  <c r="AS353" i="13"/>
  <c r="AO431" i="13"/>
  <c r="AS431" i="13"/>
  <c r="AO319" i="13"/>
  <c r="AS319" i="13"/>
  <c r="AO268" i="13"/>
  <c r="AS268" i="13"/>
  <c r="AO375" i="13"/>
  <c r="AS375" i="13"/>
  <c r="AO446" i="13"/>
  <c r="AS446" i="13"/>
  <c r="AO53" i="13"/>
  <c r="AS53" i="13"/>
  <c r="AS122" i="13"/>
  <c r="AO122" i="13"/>
  <c r="AS436" i="13"/>
  <c r="AO436" i="13"/>
  <c r="AO437" i="13"/>
  <c r="AS437" i="13"/>
  <c r="AO327" i="13"/>
  <c r="AS327" i="13"/>
  <c r="H215" i="15"/>
  <c r="I215" i="15" s="1"/>
  <c r="AO317" i="13"/>
  <c r="AS317" i="13"/>
  <c r="AO429" i="13"/>
  <c r="AS429" i="13"/>
  <c r="AO48" i="13"/>
  <c r="AS48" i="13"/>
  <c r="AS158" i="13"/>
  <c r="AO158" i="13"/>
  <c r="AO11" i="13"/>
  <c r="AS11" i="13"/>
  <c r="AO333" i="13"/>
  <c r="AS333" i="13"/>
  <c r="AO417" i="13"/>
  <c r="AS417" i="13"/>
  <c r="AS207" i="13"/>
  <c r="AO207" i="13"/>
  <c r="H323" i="15"/>
  <c r="AO439" i="13"/>
  <c r="AS439" i="13"/>
  <c r="AO414" i="13"/>
  <c r="AS414" i="13"/>
  <c r="AO390" i="13"/>
  <c r="AS390" i="13"/>
  <c r="AS147" i="13"/>
  <c r="AO147" i="13"/>
  <c r="AO172" i="13"/>
  <c r="AS172" i="13"/>
  <c r="AS330" i="13"/>
  <c r="AO330" i="13"/>
  <c r="AS372" i="13"/>
  <c r="AO372" i="13"/>
  <c r="AO389" i="13"/>
  <c r="AS389" i="13"/>
  <c r="AS75" i="13"/>
  <c r="AO75" i="13"/>
  <c r="AO30" i="13"/>
  <c r="AS30" i="13"/>
  <c r="AO291" i="13"/>
  <c r="AS291" i="13"/>
  <c r="H98" i="15"/>
  <c r="I98" i="15" s="1"/>
  <c r="AS151" i="13"/>
  <c r="AO151" i="13"/>
  <c r="AM128" i="13"/>
  <c r="AO128" i="13"/>
  <c r="AS128" i="13"/>
  <c r="AO84" i="13"/>
  <c r="AS84" i="13"/>
  <c r="AO216" i="13"/>
  <c r="AS216" i="13"/>
  <c r="AO217" i="13"/>
  <c r="AS217" i="13"/>
  <c r="AO385" i="13"/>
  <c r="AS385" i="13"/>
  <c r="AO92" i="13"/>
  <c r="AS92" i="13"/>
  <c r="AO299" i="13"/>
  <c r="AS299" i="13"/>
  <c r="AO38" i="13"/>
  <c r="AS38" i="13"/>
  <c r="AS58" i="13"/>
  <c r="AO58" i="13"/>
  <c r="AO347" i="13"/>
  <c r="AS347" i="13"/>
  <c r="AO259" i="13"/>
  <c r="AS259" i="13"/>
  <c r="AO20" i="13"/>
  <c r="AS20" i="13"/>
  <c r="AS183" i="13"/>
  <c r="AO183" i="13"/>
  <c r="AS126" i="13"/>
  <c r="AO126" i="13"/>
  <c r="AS288" i="13"/>
  <c r="AO288" i="13"/>
  <c r="AO69" i="13"/>
  <c r="AS69" i="13"/>
  <c r="AO37" i="13"/>
  <c r="AS37" i="13"/>
  <c r="AO377" i="13"/>
  <c r="AS377" i="13"/>
  <c r="AS447" i="13"/>
  <c r="AO447" i="13"/>
  <c r="AS135" i="13"/>
  <c r="AO135" i="13"/>
  <c r="AS79" i="13"/>
  <c r="AO79" i="13"/>
  <c r="AO202" i="13"/>
  <c r="AS202" i="13"/>
  <c r="AS388" i="13"/>
  <c r="AO388" i="13"/>
  <c r="AO127" i="13"/>
  <c r="AS127" i="13"/>
  <c r="AO442" i="13"/>
  <c r="AS442" i="13"/>
  <c r="AS211" i="13"/>
  <c r="AO211" i="13"/>
  <c r="AS175" i="13"/>
  <c r="AO175" i="13"/>
  <c r="AO42" i="13"/>
  <c r="AS42" i="13"/>
  <c r="AS186" i="13"/>
  <c r="AO186" i="13"/>
  <c r="AS324" i="13"/>
  <c r="AO324" i="13"/>
  <c r="AO300" i="13"/>
  <c r="AS300" i="13"/>
  <c r="AO273" i="13"/>
  <c r="AS273" i="13"/>
  <c r="AO59" i="13"/>
  <c r="AS59" i="13"/>
  <c r="AO323" i="13"/>
  <c r="AS323" i="13"/>
  <c r="AO397" i="13"/>
  <c r="AS397" i="13"/>
  <c r="AO434" i="13"/>
  <c r="AS434" i="13"/>
  <c r="AO425" i="13"/>
  <c r="AS425" i="13"/>
  <c r="AO316" i="13"/>
  <c r="AS316" i="13"/>
  <c r="AO312" i="13"/>
  <c r="AS312" i="13"/>
  <c r="AO220" i="13"/>
  <c r="AS220" i="13"/>
  <c r="AO311" i="13"/>
  <c r="AS311" i="13"/>
  <c r="AO357" i="13"/>
  <c r="AS357" i="13"/>
  <c r="AO56" i="13"/>
  <c r="AS56" i="13"/>
  <c r="AS10" i="13"/>
  <c r="AO10" i="13"/>
  <c r="AO215" i="13"/>
  <c r="AS215" i="13"/>
  <c r="AS31" i="13"/>
  <c r="AO31" i="13"/>
  <c r="AO28" i="13"/>
  <c r="AS28" i="13"/>
  <c r="AO244" i="13"/>
  <c r="AS244" i="13"/>
  <c r="AS444" i="13"/>
  <c r="AO444" i="13"/>
  <c r="AS440" i="13"/>
  <c r="AO440" i="13"/>
  <c r="AO415" i="13"/>
  <c r="AS415" i="13"/>
  <c r="AS46" i="13"/>
  <c r="AO46" i="13"/>
  <c r="AO156" i="13"/>
  <c r="AS156" i="13"/>
  <c r="AO424" i="13"/>
  <c r="AS424" i="13"/>
  <c r="AO348" i="13"/>
  <c r="AS348" i="13"/>
  <c r="AO393" i="13"/>
  <c r="AS393" i="13"/>
  <c r="AS106" i="13"/>
  <c r="AO106" i="13"/>
  <c r="AO129" i="13"/>
  <c r="AS129" i="13"/>
  <c r="AO432" i="13"/>
  <c r="AS432" i="13"/>
  <c r="AO421" i="13"/>
  <c r="AS421" i="13"/>
  <c r="AS313" i="13"/>
  <c r="AO313" i="13"/>
  <c r="AO341" i="13"/>
  <c r="AS341" i="13"/>
  <c r="AO209" i="13"/>
  <c r="AS209" i="13"/>
  <c r="AO162" i="13"/>
  <c r="AS162" i="13"/>
  <c r="AO307" i="13"/>
  <c r="AS307" i="13"/>
  <c r="AO32" i="13"/>
  <c r="AS32" i="13"/>
  <c r="AO52" i="13"/>
  <c r="AS52" i="13"/>
  <c r="AS412" i="13"/>
  <c r="AO412" i="13"/>
  <c r="AO121" i="13"/>
  <c r="AS121" i="13"/>
  <c r="AO35" i="13"/>
  <c r="AS35" i="13"/>
  <c r="AS210" i="13"/>
  <c r="AO210" i="13"/>
  <c r="AS430" i="13"/>
  <c r="AO430" i="13"/>
  <c r="AM343" i="13"/>
  <c r="AO343" i="13"/>
  <c r="AS343" i="13"/>
  <c r="AO197" i="13"/>
  <c r="AS197" i="13"/>
  <c r="AO105" i="13"/>
  <c r="AS105" i="13"/>
  <c r="AO392" i="13"/>
  <c r="AS392" i="13"/>
  <c r="H53" i="15"/>
  <c r="I53" i="15" s="1"/>
  <c r="AO80" i="13"/>
  <c r="AS80" i="13"/>
  <c r="AS378" i="13"/>
  <c r="AO378" i="13"/>
  <c r="AO200" i="13"/>
  <c r="AS200" i="13"/>
  <c r="H181" i="15"/>
  <c r="I181" i="15" s="1"/>
  <c r="AS270" i="13"/>
  <c r="AO270" i="13"/>
  <c r="AO379" i="13"/>
  <c r="AS379" i="13"/>
  <c r="AO427" i="13"/>
  <c r="AS427" i="13"/>
  <c r="AS167" i="13"/>
  <c r="AO167" i="13"/>
  <c r="AO433" i="13"/>
  <c r="AS433" i="13"/>
  <c r="AO264" i="13"/>
  <c r="AS264" i="13"/>
  <c r="AO308" i="13"/>
  <c r="AS308" i="13"/>
  <c r="AO12" i="13"/>
  <c r="AS12" i="13"/>
  <c r="AS404" i="13"/>
  <c r="AO404" i="13"/>
  <c r="AS66" i="13"/>
  <c r="AO66" i="13"/>
  <c r="AO408" i="13"/>
  <c r="AS408" i="13"/>
  <c r="AS298" i="13"/>
  <c r="AO298" i="13"/>
  <c r="AO27" i="13"/>
  <c r="AS27" i="13"/>
  <c r="AO362" i="13"/>
  <c r="AS362" i="13"/>
  <c r="AO191" i="13"/>
  <c r="AS191" i="13"/>
  <c r="AO295" i="13"/>
  <c r="AS295" i="13"/>
  <c r="H270" i="15"/>
  <c r="AS386" i="13"/>
  <c r="AO386" i="13"/>
  <c r="AO293" i="13"/>
  <c r="AS293" i="13"/>
  <c r="AS150" i="13"/>
  <c r="AO150" i="13"/>
  <c r="AO89" i="13"/>
  <c r="AS89" i="13"/>
  <c r="AO146" i="13"/>
  <c r="AS146" i="13"/>
  <c r="AS257" i="13"/>
  <c r="AO257" i="13"/>
  <c r="AS266" i="13"/>
  <c r="AO266" i="13"/>
  <c r="AO205" i="13"/>
  <c r="AS205" i="13"/>
  <c r="AO322" i="13"/>
  <c r="AS322" i="13"/>
  <c r="H269" i="15"/>
  <c r="I269" i="15" s="1"/>
  <c r="AM30" i="13"/>
  <c r="H152" i="15"/>
  <c r="I152" i="15" s="1"/>
  <c r="E315" i="15"/>
  <c r="F315" i="15" s="1"/>
  <c r="AS18" i="13"/>
  <c r="AO18" i="13"/>
  <c r="AO331" i="13"/>
  <c r="AS331" i="13"/>
  <c r="AS296" i="13"/>
  <c r="AO296" i="13"/>
  <c r="AO237" i="13"/>
  <c r="AS237" i="13"/>
  <c r="AS119" i="13"/>
  <c r="AO119" i="13"/>
  <c r="AS309" i="13"/>
  <c r="AO309" i="13"/>
  <c r="AO277" i="13"/>
  <c r="AS277" i="13"/>
  <c r="AS94" i="13"/>
  <c r="AO94" i="13"/>
  <c r="AO96" i="13"/>
  <c r="AS96" i="13"/>
  <c r="AO231" i="13"/>
  <c r="AS231" i="13"/>
  <c r="H32" i="15"/>
  <c r="I32" i="15" s="1"/>
  <c r="AS47" i="13"/>
  <c r="AO47" i="13"/>
  <c r="AS194" i="13"/>
  <c r="AO194" i="13"/>
  <c r="AS304" i="13"/>
  <c r="AO304" i="13"/>
  <c r="AO260" i="13"/>
  <c r="AS260" i="13"/>
  <c r="AO243" i="13"/>
  <c r="AS243" i="13"/>
  <c r="AO321" i="13"/>
  <c r="AS321" i="13"/>
  <c r="AS352" i="13"/>
  <c r="AO352" i="13"/>
  <c r="AO340" i="13"/>
  <c r="AS340" i="13"/>
  <c r="AO131" i="13"/>
  <c r="AS131" i="13"/>
  <c r="AO204" i="13"/>
  <c r="AS204" i="13"/>
  <c r="AS78" i="13"/>
  <c r="AO78" i="13"/>
  <c r="AO36" i="13"/>
  <c r="AS36" i="13"/>
  <c r="AO65" i="13"/>
  <c r="AS65" i="13"/>
  <c r="AO400" i="13"/>
  <c r="AS400" i="13"/>
  <c r="AS420" i="13"/>
  <c r="AO420" i="13"/>
  <c r="AO335" i="13"/>
  <c r="AS335" i="13"/>
  <c r="AO360" i="13"/>
  <c r="AS360" i="13"/>
  <c r="AS329" i="13"/>
  <c r="AO329" i="13"/>
  <c r="AO62" i="13"/>
  <c r="AS62" i="13"/>
  <c r="AO88" i="13"/>
  <c r="AS88" i="13"/>
  <c r="AS344" i="13"/>
  <c r="AO344" i="13"/>
  <c r="AO401" i="13"/>
  <c r="AS401" i="13"/>
  <c r="AO251" i="13"/>
  <c r="AS251" i="13"/>
  <c r="AO187" i="13"/>
  <c r="AS187" i="13"/>
  <c r="AO368" i="13"/>
  <c r="AS368" i="13"/>
  <c r="AO110" i="13"/>
  <c r="AS110" i="13"/>
  <c r="AO366" i="13"/>
  <c r="AS366" i="13"/>
  <c r="AO236" i="13"/>
  <c r="AS236" i="13"/>
  <c r="AS138" i="13"/>
  <c r="AO138" i="13"/>
  <c r="AS245" i="13"/>
  <c r="AO245" i="13"/>
  <c r="AS23" i="13"/>
  <c r="AO23" i="13"/>
  <c r="AS370" i="13"/>
  <c r="AO370" i="13"/>
  <c r="H300" i="15"/>
  <c r="AO416" i="13"/>
  <c r="AS416" i="13"/>
  <c r="AS91" i="13"/>
  <c r="AO91" i="13"/>
  <c r="AO51" i="13"/>
  <c r="AS51" i="13"/>
  <c r="AO203" i="13"/>
  <c r="AS203" i="13"/>
  <c r="AO443" i="13"/>
  <c r="AS443" i="13"/>
  <c r="H255" i="15"/>
  <c r="I255" i="15" s="1"/>
  <c r="AO371" i="13"/>
  <c r="AS371" i="13"/>
  <c r="AS426" i="13"/>
  <c r="AO426" i="13"/>
  <c r="AS364" i="13"/>
  <c r="AO364" i="13"/>
  <c r="AO373" i="13"/>
  <c r="AS373" i="13"/>
  <c r="H307" i="15"/>
  <c r="I307" i="15" s="1"/>
  <c r="AO423" i="13"/>
  <c r="AS423" i="13"/>
  <c r="AS428" i="13"/>
  <c r="AO428" i="13"/>
  <c r="AO263" i="13"/>
  <c r="AS263" i="13"/>
  <c r="AS325" i="13"/>
  <c r="AO325" i="13"/>
  <c r="AO369" i="13"/>
  <c r="AS369" i="13"/>
  <c r="AO409" i="13"/>
  <c r="AS409" i="13"/>
  <c r="AO339" i="13"/>
  <c r="AS339" i="13"/>
  <c r="AO285" i="13"/>
  <c r="AS285" i="13"/>
  <c r="AO363" i="13"/>
  <c r="AS363" i="13"/>
  <c r="AO381" i="13"/>
  <c r="AS381" i="13"/>
  <c r="AS50" i="13"/>
  <c r="AO50" i="13"/>
  <c r="AO382" i="13"/>
  <c r="AS382" i="13"/>
  <c r="AO63" i="13"/>
  <c r="AS63" i="13"/>
  <c r="AO413" i="13"/>
  <c r="AS413" i="13"/>
  <c r="AS338" i="13"/>
  <c r="AO338" i="13"/>
  <c r="AS115" i="13"/>
  <c r="AO115" i="13"/>
  <c r="AO275" i="13"/>
  <c r="AS275" i="13"/>
  <c r="AO86" i="13"/>
  <c r="AS86" i="13"/>
  <c r="AO152" i="13"/>
  <c r="AS152" i="13"/>
  <c r="AO149" i="13"/>
  <c r="AS149" i="13"/>
  <c r="AO445" i="13"/>
  <c r="AS445" i="13"/>
  <c r="AO406" i="13"/>
  <c r="AS406" i="13"/>
  <c r="AO247" i="13"/>
  <c r="AS247" i="13"/>
  <c r="AO201" i="13"/>
  <c r="AS201" i="13"/>
  <c r="AO99" i="13"/>
  <c r="AS99" i="13"/>
  <c r="AS219" i="13"/>
  <c r="AO219" i="13"/>
  <c r="AS19" i="13"/>
  <c r="AO19" i="13"/>
  <c r="AS242" i="13"/>
  <c r="AO242" i="13"/>
  <c r="AS282" i="13"/>
  <c r="AO282" i="13"/>
  <c r="AO117" i="13"/>
  <c r="AS117" i="13"/>
  <c r="AO189" i="13"/>
  <c r="AS189" i="13"/>
  <c r="AO61" i="13"/>
  <c r="AS61" i="13"/>
  <c r="AE396" i="13"/>
  <c r="H288" i="15"/>
  <c r="I288" i="15" s="1"/>
  <c r="H146" i="15"/>
  <c r="I146" i="15" s="1"/>
  <c r="H11" i="15"/>
  <c r="I11" i="15" s="1"/>
  <c r="E271" i="15"/>
  <c r="F271" i="15" s="1"/>
  <c r="E300" i="15"/>
  <c r="F300" i="15" s="1"/>
  <c r="AE369" i="13"/>
  <c r="H262" i="15"/>
  <c r="I262" i="15" s="1"/>
  <c r="H174" i="15"/>
  <c r="E287" i="15"/>
  <c r="F287" i="15" s="1"/>
  <c r="AE405" i="13"/>
  <c r="E249" i="15"/>
  <c r="F249" i="15" s="1"/>
  <c r="AM84" i="13"/>
  <c r="H112" i="15"/>
  <c r="I112" i="15" s="1"/>
  <c r="H101" i="15"/>
  <c r="I101" i="15" s="1"/>
  <c r="E268" i="15"/>
  <c r="F268" i="15" s="1"/>
  <c r="H145" i="15"/>
  <c r="I145" i="15" s="1"/>
  <c r="AM266" i="13"/>
  <c r="H190" i="15"/>
  <c r="I190" i="15" s="1"/>
  <c r="AE410" i="13"/>
  <c r="H286" i="15"/>
  <c r="L183" i="19"/>
  <c r="L1097" i="19"/>
  <c r="L1660" i="19"/>
  <c r="H133" i="10"/>
  <c r="L1018" i="19"/>
  <c r="L111" i="19"/>
  <c r="L71" i="19"/>
  <c r="L1106" i="19"/>
  <c r="L1225" i="19"/>
  <c r="L1226" i="19"/>
  <c r="L1085" i="19"/>
  <c r="L661" i="19"/>
  <c r="H303" i="10"/>
  <c r="I303" i="10" s="1"/>
  <c r="H30" i="10"/>
  <c r="P30" i="10" s="1"/>
  <c r="L73" i="19"/>
  <c r="L1105" i="19"/>
  <c r="L1173" i="19"/>
  <c r="L815" i="19"/>
  <c r="L1228" i="19"/>
  <c r="L1251" i="19"/>
  <c r="L1465" i="19"/>
  <c r="L223" i="19"/>
  <c r="L582" i="19"/>
  <c r="H238" i="10"/>
  <c r="L1411" i="19"/>
  <c r="L738" i="19"/>
  <c r="L1280" i="19"/>
  <c r="H54" i="10"/>
  <c r="P54" i="10" s="1"/>
  <c r="L522" i="19"/>
  <c r="L1680" i="19"/>
  <c r="L1681" i="19"/>
  <c r="L1515" i="19"/>
  <c r="L615" i="19"/>
  <c r="L1292" i="19"/>
  <c r="L1732" i="19"/>
  <c r="L1045" i="19"/>
  <c r="H40" i="10"/>
  <c r="L795" i="19"/>
  <c r="L1420" i="19"/>
  <c r="L931" i="19"/>
  <c r="L1112" i="19"/>
  <c r="L396" i="19"/>
  <c r="L367" i="19"/>
  <c r="L660" i="19"/>
  <c r="I87" i="10"/>
  <c r="L1636" i="19"/>
  <c r="L1477" i="19"/>
  <c r="L626" i="19"/>
  <c r="L628" i="19"/>
  <c r="L181" i="19"/>
  <c r="L182" i="19"/>
  <c r="L1095" i="19"/>
  <c r="L1661" i="19"/>
  <c r="H242" i="10"/>
  <c r="P140" i="10"/>
  <c r="L1153" i="19"/>
  <c r="L1151" i="19"/>
  <c r="L1516" i="19"/>
  <c r="L1733" i="19"/>
  <c r="L1421" i="19"/>
  <c r="L1757" i="19"/>
  <c r="L113" i="19"/>
  <c r="H22" i="10"/>
  <c r="L1172" i="19"/>
  <c r="I352" i="10"/>
  <c r="L817" i="19"/>
  <c r="H258" i="10"/>
  <c r="P258" i="10" s="1"/>
  <c r="H301" i="10"/>
  <c r="L222" i="19"/>
  <c r="P354" i="10"/>
  <c r="L737" i="19"/>
  <c r="L1282" i="19"/>
  <c r="L523" i="19"/>
  <c r="L1518" i="19"/>
  <c r="H266" i="10"/>
  <c r="L1730" i="19"/>
  <c r="L1046" i="19"/>
  <c r="L160" i="19"/>
  <c r="H40" i="22" s="1"/>
  <c r="L796" i="19"/>
  <c r="H292" i="10"/>
  <c r="P292" i="10" s="1"/>
  <c r="L1113" i="19"/>
  <c r="L395" i="19"/>
  <c r="E290" i="15"/>
  <c r="F290" i="15" s="1"/>
  <c r="L663" i="19"/>
  <c r="H340" i="10"/>
  <c r="I340" i="10" s="1"/>
  <c r="L1478" i="19"/>
  <c r="L1479" i="19" s="1"/>
  <c r="L1015" i="19"/>
  <c r="O34" i="16"/>
  <c r="Q34" i="16"/>
  <c r="S34" i="16" s="1"/>
  <c r="R33" i="16"/>
  <c r="T33" i="16"/>
  <c r="U32" i="16"/>
  <c r="S41" i="16"/>
  <c r="L43" i="16"/>
  <c r="O33" i="16"/>
  <c r="N46" i="16"/>
  <c r="T43" i="16"/>
  <c r="V43" i="16" s="1"/>
  <c r="K42" i="16"/>
  <c r="M42" i="16" s="1"/>
  <c r="K41" i="16"/>
  <c r="M41" i="16" s="1"/>
  <c r="N45" i="16"/>
  <c r="R43" i="16"/>
  <c r="S43" i="16" s="1"/>
  <c r="T29" i="16"/>
  <c r="U37" i="16"/>
  <c r="N39" i="16"/>
  <c r="O39" i="16"/>
  <c r="R46" i="16"/>
  <c r="S46" i="16" s="1"/>
  <c r="Q41" i="16"/>
  <c r="T46" i="16"/>
  <c r="U42" i="16"/>
  <c r="V42" i="16" s="1"/>
  <c r="N41" i="16"/>
  <c r="O45" i="16"/>
  <c r="T28" i="16"/>
  <c r="N42" i="16"/>
  <c r="P42" i="16" s="1"/>
  <c r="O46" i="16"/>
  <c r="P46" i="16" s="1"/>
  <c r="O44" i="16"/>
  <c r="T31" i="16"/>
  <c r="V31" i="16" s="1"/>
  <c r="U39" i="16"/>
  <c r="V39" i="16" s="1"/>
  <c r="I42" i="16"/>
  <c r="U46" i="16"/>
  <c r="G43" i="16"/>
  <c r="U45" i="16"/>
  <c r="R34" i="16"/>
  <c r="J42" i="16"/>
  <c r="L45" i="16"/>
  <c r="H43" i="16"/>
  <c r="N37" i="16"/>
  <c r="O41" i="16"/>
  <c r="P41" i="16" s="1"/>
  <c r="T45" i="16"/>
  <c r="Q45" i="16"/>
  <c r="S45" i="16" s="1"/>
  <c r="N29" i="16"/>
  <c r="O37" i="16"/>
  <c r="P37" i="16" s="1"/>
  <c r="N44" i="16"/>
  <c r="Q40" i="16"/>
  <c r="S40" i="16" s="1"/>
  <c r="S33" i="16"/>
  <c r="R35" i="16"/>
  <c r="N35" i="16"/>
  <c r="U34" i="16"/>
  <c r="V34" i="16" s="1"/>
  <c r="O30" i="16"/>
  <c r="O28" i="16"/>
  <c r="P28" i="16" s="1"/>
  <c r="T35" i="16"/>
  <c r="N30" i="16"/>
  <c r="A31" i="16"/>
  <c r="O31" i="16" s="1"/>
  <c r="K37" i="16"/>
  <c r="R28" i="16"/>
  <c r="Q30" i="16"/>
  <c r="T37" i="16"/>
  <c r="U29" i="16"/>
  <c r="O35" i="16"/>
  <c r="P35" i="16" s="1"/>
  <c r="Q37" i="16"/>
  <c r="S37" i="16" s="1"/>
  <c r="Q29" i="16"/>
  <c r="S29" i="16" s="1"/>
  <c r="T38" i="16"/>
  <c r="U38" i="16"/>
  <c r="Q35" i="16"/>
  <c r="O38" i="16"/>
  <c r="P38" i="16" s="1"/>
  <c r="N36" i="16"/>
  <c r="O36" i="16"/>
  <c r="Q28" i="16"/>
  <c r="U35" i="16"/>
  <c r="Q31" i="16"/>
  <c r="Q38" i="16"/>
  <c r="S38" i="16" s="1"/>
  <c r="R31" i="16"/>
  <c r="U33" i="16"/>
  <c r="N27" i="16"/>
  <c r="P27" i="16" s="1"/>
  <c r="O29" i="16"/>
  <c r="U28" i="16"/>
  <c r="T27" i="16"/>
  <c r="H95" i="15"/>
  <c r="I95" i="15" s="1"/>
  <c r="H273" i="15"/>
  <c r="H47" i="15"/>
  <c r="I47" i="15" s="1"/>
  <c r="AE374" i="13"/>
  <c r="E309" i="15"/>
  <c r="F309" i="15" s="1"/>
  <c r="H81" i="15"/>
  <c r="I81" i="15" s="1"/>
  <c r="H267" i="15"/>
  <c r="I267" i="15" s="1"/>
  <c r="H322" i="15"/>
  <c r="E261" i="15"/>
  <c r="F261" i="15" s="1"/>
  <c r="AM291" i="13"/>
  <c r="H313" i="15"/>
  <c r="I313" i="15" s="1"/>
  <c r="H248" i="15"/>
  <c r="AE419" i="13"/>
  <c r="AM250" i="13"/>
  <c r="H182" i="15"/>
  <c r="I182" i="15" s="1"/>
  <c r="H115" i="15"/>
  <c r="I115" i="15" s="1"/>
  <c r="H292" i="15"/>
  <c r="I292" i="15" s="1"/>
  <c r="H62" i="15"/>
  <c r="I62" i="15" s="1"/>
  <c r="AE447" i="13"/>
  <c r="H302" i="15"/>
  <c r="H256" i="15"/>
  <c r="AE421" i="13"/>
  <c r="H279" i="15"/>
  <c r="I279" i="15" s="1"/>
  <c r="H93" i="15"/>
  <c r="I93" i="15" s="1"/>
  <c r="H271" i="15"/>
  <c r="H298" i="15"/>
  <c r="I153" i="15"/>
  <c r="AE407" i="13"/>
  <c r="H16" i="15"/>
  <c r="I16" i="15" s="1"/>
  <c r="H167" i="15"/>
  <c r="I167" i="15" s="1"/>
  <c r="H226" i="15"/>
  <c r="I226" i="15" s="1"/>
  <c r="AM67" i="13"/>
  <c r="H143" i="15"/>
  <c r="I143" i="15" s="1"/>
  <c r="L701" i="19"/>
  <c r="L1490" i="19"/>
  <c r="L1596" i="19"/>
  <c r="L458" i="19"/>
  <c r="I158" i="10"/>
  <c r="J158" i="10" s="1"/>
  <c r="K158" i="10" s="1"/>
  <c r="Y158" i="10" s="1"/>
  <c r="L767" i="19"/>
  <c r="L703" i="19"/>
  <c r="L456" i="19"/>
  <c r="L620" i="19"/>
  <c r="H48" i="10"/>
  <c r="L776" i="19"/>
  <c r="L1236" i="19"/>
  <c r="L1238" i="19"/>
  <c r="H53" i="10"/>
  <c r="L167" i="19"/>
  <c r="I219" i="10"/>
  <c r="P219" i="10"/>
  <c r="L1425" i="19"/>
  <c r="H293" i="22" s="1"/>
  <c r="P187" i="10"/>
  <c r="L480" i="19"/>
  <c r="L1642" i="19"/>
  <c r="L766" i="19"/>
  <c r="L769" i="19" s="1"/>
  <c r="L1742" i="19"/>
  <c r="L852" i="19"/>
  <c r="H329" i="10"/>
  <c r="I329" i="10" s="1"/>
  <c r="L1665" i="19"/>
  <c r="H341" i="22" s="1"/>
  <c r="AM13" i="13"/>
  <c r="L28" i="19"/>
  <c r="L891" i="19"/>
  <c r="L850" i="19"/>
  <c r="H178" i="22" s="1"/>
  <c r="I52" i="15"/>
  <c r="V60" i="16"/>
  <c r="O23" i="16"/>
  <c r="V64" i="16"/>
  <c r="O25" i="16"/>
  <c r="P33" i="16"/>
  <c r="Q26" i="16"/>
  <c r="T30" i="16"/>
  <c r="V30" i="16" s="1"/>
  <c r="R32" i="16"/>
  <c r="O32" i="16"/>
  <c r="P32" i="16" s="1"/>
  <c r="U27" i="16"/>
  <c r="V40" i="16"/>
  <c r="R27" i="16"/>
  <c r="R30" i="16"/>
  <c r="S30" i="16" s="1"/>
  <c r="N33" i="16"/>
  <c r="N34" i="16"/>
  <c r="T32" i="16"/>
  <c r="Q25" i="16"/>
  <c r="Q27" i="16"/>
  <c r="V52" i="16"/>
  <c r="Q32" i="16"/>
  <c r="N20" i="16"/>
  <c r="V55" i="16"/>
  <c r="N19" i="16"/>
  <c r="Q23" i="16"/>
  <c r="N22" i="16"/>
  <c r="Q19" i="16"/>
  <c r="H26" i="16"/>
  <c r="J26" i="16" s="1"/>
  <c r="Q22" i="16"/>
  <c r="V61" i="16"/>
  <c r="V54" i="16"/>
  <c r="K21" i="16"/>
  <c r="N25" i="16"/>
  <c r="V48" i="16"/>
  <c r="K19" i="16"/>
  <c r="V65" i="16"/>
  <c r="V49" i="16"/>
  <c r="Q21" i="16"/>
  <c r="V58" i="16"/>
  <c r="N21" i="16"/>
  <c r="V36" i="16"/>
  <c r="N26" i="16"/>
  <c r="N24" i="16"/>
  <c r="V63" i="16"/>
  <c r="V47" i="16"/>
  <c r="V57" i="16"/>
  <c r="V41" i="16"/>
  <c r="V66" i="16"/>
  <c r="V50" i="16"/>
  <c r="V59" i="16"/>
  <c r="Q20" i="16"/>
  <c r="V56" i="16"/>
  <c r="O26" i="16"/>
  <c r="V53" i="16"/>
  <c r="N23" i="16"/>
  <c r="V62" i="16"/>
  <c r="V44" i="16"/>
  <c r="O22" i="16"/>
  <c r="Q24" i="16"/>
  <c r="V67" i="16"/>
  <c r="V51" i="16"/>
  <c r="H24" i="16"/>
  <c r="J24" i="16" s="1"/>
  <c r="K24" i="16"/>
  <c r="K38" i="16"/>
  <c r="K25" i="16"/>
  <c r="L38" i="16"/>
  <c r="G36" i="16"/>
  <c r="M37" i="16"/>
  <c r="G26" i="16"/>
  <c r="L29" i="16"/>
  <c r="L188" i="19"/>
  <c r="L1127" i="19"/>
  <c r="L1259" i="19"/>
  <c r="L659" i="19"/>
  <c r="I213" i="10"/>
  <c r="J213" i="10" s="1"/>
  <c r="K213" i="10" s="1"/>
  <c r="J213" i="13" s="1"/>
  <c r="L133" i="19"/>
  <c r="L1441" i="19"/>
  <c r="L226" i="19"/>
  <c r="L347" i="19"/>
  <c r="L136" i="19"/>
  <c r="L230" i="19"/>
  <c r="H54" i="22" s="1"/>
  <c r="L271" i="19"/>
  <c r="L250" i="19"/>
  <c r="H89" i="10"/>
  <c r="I89" i="10" s="1"/>
  <c r="L616" i="19"/>
  <c r="O21" i="16" s="1"/>
  <c r="L408" i="19"/>
  <c r="H306" i="10"/>
  <c r="L1755" i="19"/>
  <c r="L708" i="19"/>
  <c r="L825" i="19"/>
  <c r="L431" i="19"/>
  <c r="L928" i="19"/>
  <c r="L730" i="19"/>
  <c r="AE423" i="13"/>
  <c r="H41" i="10"/>
  <c r="I41" i="10" s="1"/>
  <c r="J41" i="10" s="1"/>
  <c r="K41" i="10" s="1"/>
  <c r="J41" i="13" s="1"/>
  <c r="L683" i="19"/>
  <c r="L86" i="19"/>
  <c r="L89" i="19" s="1"/>
  <c r="L1457" i="19"/>
  <c r="L1442" i="19"/>
  <c r="H327" i="15"/>
  <c r="H77" i="10"/>
  <c r="P77" i="10" s="1"/>
  <c r="L617" i="19"/>
  <c r="L405" i="19"/>
  <c r="L1493" i="19"/>
  <c r="L40" i="19"/>
  <c r="H16" i="22" s="1"/>
  <c r="H359" i="10"/>
  <c r="H149" i="10"/>
  <c r="L705" i="19"/>
  <c r="L200" i="19"/>
  <c r="H48" i="22" s="1"/>
  <c r="L433" i="19"/>
  <c r="L1737" i="19"/>
  <c r="L228" i="19"/>
  <c r="E277" i="15"/>
  <c r="F277" i="15" s="1"/>
  <c r="L165" i="19"/>
  <c r="H295" i="15"/>
  <c r="H193" i="10"/>
  <c r="L988" i="19"/>
  <c r="L1407" i="19"/>
  <c r="H197" i="15"/>
  <c r="I197" i="15" s="1"/>
  <c r="H120" i="10"/>
  <c r="L1458" i="19"/>
  <c r="L1459" i="19" s="1"/>
  <c r="L618" i="19"/>
  <c r="L623" i="19"/>
  <c r="L1492" i="19"/>
  <c r="L41" i="19"/>
  <c r="L432" i="19"/>
  <c r="L1735" i="19"/>
  <c r="H80" i="10"/>
  <c r="E329" i="15"/>
  <c r="F329" i="15" s="1"/>
  <c r="L166" i="19"/>
  <c r="L621" i="19"/>
  <c r="AE397" i="13"/>
  <c r="L1406" i="19"/>
  <c r="H77" i="15"/>
  <c r="I77" i="15" s="1"/>
  <c r="H72" i="15"/>
  <c r="I72" i="15" s="1"/>
  <c r="AM279" i="13"/>
  <c r="E319" i="15"/>
  <c r="F319" i="15" s="1"/>
  <c r="H229" i="15"/>
  <c r="I229" i="15" s="1"/>
  <c r="H110" i="15"/>
  <c r="I110" i="15" s="1"/>
  <c r="H30" i="15"/>
  <c r="I30" i="15" s="1"/>
  <c r="H294" i="15"/>
  <c r="I294" i="15" s="1"/>
  <c r="AM256" i="13"/>
  <c r="AM264" i="13"/>
  <c r="H249" i="15"/>
  <c r="E273" i="15"/>
  <c r="F273" i="15" s="1"/>
  <c r="H235" i="15"/>
  <c r="I235" i="15" s="1"/>
  <c r="H223" i="15"/>
  <c r="I223" i="15" s="1"/>
  <c r="AE370" i="13"/>
  <c r="H326" i="15"/>
  <c r="I326" i="15" s="1"/>
  <c r="H276" i="15"/>
  <c r="AM308" i="13"/>
  <c r="H282" i="15"/>
  <c r="AM277" i="13"/>
  <c r="H325" i="15"/>
  <c r="I325" i="15" s="1"/>
  <c r="AE388" i="13"/>
  <c r="AE371" i="13"/>
  <c r="AE430" i="13"/>
  <c r="H355" i="10"/>
  <c r="H60" i="15"/>
  <c r="I60" i="15" s="1"/>
  <c r="H305" i="15"/>
  <c r="I305" i="15" s="1"/>
  <c r="H193" i="15"/>
  <c r="I193" i="15" s="1"/>
  <c r="H246" i="15"/>
  <c r="H68" i="15"/>
  <c r="I68" i="15" s="1"/>
  <c r="AE436" i="13"/>
  <c r="H257" i="15"/>
  <c r="I257" i="15" s="1"/>
  <c r="AM99" i="13"/>
  <c r="AE437" i="13"/>
  <c r="L1607" i="19"/>
  <c r="H16" i="10"/>
  <c r="L233" i="19"/>
  <c r="L1710" i="19"/>
  <c r="H350" i="22" s="1"/>
  <c r="C16" i="8"/>
  <c r="K27" i="16"/>
  <c r="G27" i="16"/>
  <c r="H27" i="16"/>
  <c r="J27" i="16" s="1"/>
  <c r="L27" i="16"/>
  <c r="K28" i="16"/>
  <c r="H28" i="16"/>
  <c r="J28" i="16" s="1"/>
  <c r="L28" i="16"/>
  <c r="G28" i="16"/>
  <c r="G40" i="16"/>
  <c r="L40" i="16"/>
  <c r="K40" i="16"/>
  <c r="H40" i="16"/>
  <c r="J40" i="16" s="1"/>
  <c r="L32" i="16"/>
  <c r="H32" i="16"/>
  <c r="G32" i="16"/>
  <c r="K32" i="16"/>
  <c r="H23" i="16"/>
  <c r="J23" i="16" s="1"/>
  <c r="G23" i="16"/>
  <c r="K23" i="16"/>
  <c r="M43" i="16"/>
  <c r="H44" i="16"/>
  <c r="J44" i="16" s="1"/>
  <c r="G33" i="16"/>
  <c r="H33" i="16"/>
  <c r="J33" i="16" s="1"/>
  <c r="L44" i="16"/>
  <c r="M44" i="16" s="1"/>
  <c r="G24" i="16"/>
  <c r="K46" i="16"/>
  <c r="G44" i="16"/>
  <c r="L35" i="16"/>
  <c r="M35" i="16" s="1"/>
  <c r="G41" i="16"/>
  <c r="I41" i="16" s="1"/>
  <c r="G25" i="16"/>
  <c r="I25" i="16" s="1"/>
  <c r="L36" i="16"/>
  <c r="M36" i="16" s="1"/>
  <c r="G34" i="16"/>
  <c r="H34" i="16"/>
  <c r="J34" i="16" s="1"/>
  <c r="L33" i="16"/>
  <c r="M33" i="16" s="1"/>
  <c r="K22" i="16"/>
  <c r="G35" i="16"/>
  <c r="H35" i="16"/>
  <c r="J35" i="16" s="1"/>
  <c r="K45" i="16"/>
  <c r="M45" i="16" s="1"/>
  <c r="K29" i="16"/>
  <c r="L46" i="16"/>
  <c r="M46" i="16" s="1"/>
  <c r="L30" i="16"/>
  <c r="M30" i="16" s="1"/>
  <c r="H20" i="16"/>
  <c r="J20" i="16" s="1"/>
  <c r="G37" i="16"/>
  <c r="G21" i="16"/>
  <c r="H37" i="16"/>
  <c r="J37" i="16" s="1"/>
  <c r="H21" i="16"/>
  <c r="J21" i="16" s="1"/>
  <c r="G46" i="16"/>
  <c r="I46" i="16" s="1"/>
  <c r="G30" i="16"/>
  <c r="H30" i="16"/>
  <c r="J30" i="16" s="1"/>
  <c r="G20" i="16"/>
  <c r="H36" i="16"/>
  <c r="K34" i="16"/>
  <c r="M34" i="16" s="1"/>
  <c r="L39" i="16"/>
  <c r="M39" i="16" s="1"/>
  <c r="G45" i="16"/>
  <c r="I45" i="16" s="1"/>
  <c r="G29" i="16"/>
  <c r="I29" i="16" s="1"/>
  <c r="G38" i="16"/>
  <c r="I38" i="16" s="1"/>
  <c r="G22" i="16"/>
  <c r="I22" i="16" s="1"/>
  <c r="K20" i="16"/>
  <c r="K39" i="16"/>
  <c r="G39" i="16"/>
  <c r="I39" i="16" s="1"/>
  <c r="H19" i="16"/>
  <c r="J19" i="16" s="1"/>
  <c r="L1164" i="19"/>
  <c r="I165" i="10"/>
  <c r="P165" i="10"/>
  <c r="L848" i="19"/>
  <c r="H243" i="15"/>
  <c r="I243" i="15" s="1"/>
  <c r="L973" i="19"/>
  <c r="H199" i="10"/>
  <c r="P199" i="10" s="1"/>
  <c r="L956" i="19"/>
  <c r="P164" i="10"/>
  <c r="P10" i="10"/>
  <c r="L813" i="19"/>
  <c r="H91" i="10"/>
  <c r="H202" i="10"/>
  <c r="P202" i="10" s="1"/>
  <c r="L265" i="19"/>
  <c r="H61" i="22" s="1"/>
  <c r="L291" i="19"/>
  <c r="L446" i="19"/>
  <c r="L955" i="19"/>
  <c r="H199" i="22" s="1"/>
  <c r="P177" i="10"/>
  <c r="P100" i="10"/>
  <c r="L300" i="19"/>
  <c r="L787" i="19"/>
  <c r="L789" i="19" s="1"/>
  <c r="L1502" i="19"/>
  <c r="L10" i="19"/>
  <c r="P132" i="10"/>
  <c r="P329" i="10"/>
  <c r="L1348" i="19"/>
  <c r="H180" i="10"/>
  <c r="P180" i="10" s="1"/>
  <c r="L860" i="19"/>
  <c r="L331" i="19"/>
  <c r="O20" i="16" s="1"/>
  <c r="H336" i="10"/>
  <c r="L135" i="19"/>
  <c r="H161" i="10"/>
  <c r="P161" i="10" s="1"/>
  <c r="L215" i="19"/>
  <c r="L216" i="19"/>
  <c r="H356" i="10"/>
  <c r="P356" i="10" s="1"/>
  <c r="L1740" i="19"/>
  <c r="L1331" i="19"/>
  <c r="L748" i="19"/>
  <c r="L746" i="19"/>
  <c r="L1437" i="19"/>
  <c r="L1439" i="19" s="1"/>
  <c r="P280" i="10"/>
  <c r="AE441" i="13"/>
  <c r="L1048" i="19"/>
  <c r="L1049" i="19" s="1"/>
  <c r="L892" i="19"/>
  <c r="L187" i="19"/>
  <c r="L1352" i="19"/>
  <c r="L428" i="19"/>
  <c r="H119" i="10"/>
  <c r="I119" i="10" s="1"/>
  <c r="J119" i="10" s="1"/>
  <c r="AD119" i="10" s="1"/>
  <c r="AF119" i="10" s="1"/>
  <c r="H85" i="10"/>
  <c r="L571" i="19"/>
  <c r="L195" i="19"/>
  <c r="H47" i="22" s="1"/>
  <c r="L1583" i="19"/>
  <c r="L1380" i="19"/>
  <c r="L821" i="19"/>
  <c r="L1605" i="19"/>
  <c r="H329" i="22" s="1"/>
  <c r="L361" i="19"/>
  <c r="L170" i="19"/>
  <c r="H42" i="22" s="1"/>
  <c r="L360" i="19"/>
  <c r="H80" i="22" s="1"/>
  <c r="L1311" i="19"/>
  <c r="L1076" i="19"/>
  <c r="H90" i="15"/>
  <c r="I90" i="15" s="1"/>
  <c r="H132" i="15"/>
  <c r="I132" i="15" s="1"/>
  <c r="L1612" i="19"/>
  <c r="J244" i="10"/>
  <c r="T244" i="10" s="1"/>
  <c r="U244" i="10" s="1"/>
  <c r="L11" i="19"/>
  <c r="O19" i="16" s="1"/>
  <c r="L330" i="19"/>
  <c r="L218" i="19"/>
  <c r="L972" i="19"/>
  <c r="H321" i="15"/>
  <c r="I321" i="15" s="1"/>
  <c r="L12" i="19"/>
  <c r="H166" i="15"/>
  <c r="I166" i="15" s="1"/>
  <c r="L1133" i="19"/>
  <c r="L1763" i="19"/>
  <c r="L830" i="19"/>
  <c r="L890" i="19"/>
  <c r="L186" i="19"/>
  <c r="H250" i="15"/>
  <c r="L572" i="19"/>
  <c r="L1382" i="19"/>
  <c r="L1606" i="19"/>
  <c r="L812" i="19"/>
  <c r="E328" i="15"/>
  <c r="F328" i="15" s="1"/>
  <c r="L713" i="19"/>
  <c r="L1032" i="19"/>
  <c r="L1034" i="19" s="1"/>
  <c r="L847" i="19"/>
  <c r="J166" i="10"/>
  <c r="K166" i="10" s="1"/>
  <c r="J89" i="6" s="1"/>
  <c r="K89" i="6" s="1"/>
  <c r="G102" i="10"/>
  <c r="F102" i="22" s="1"/>
  <c r="H102" i="22" s="1"/>
  <c r="H94" i="22"/>
  <c r="I109" i="15"/>
  <c r="P340" i="10"/>
  <c r="L733" i="19"/>
  <c r="H167" i="10"/>
  <c r="L1125" i="19"/>
  <c r="H233" i="22" s="1"/>
  <c r="L1016" i="19"/>
  <c r="L1019" i="19" s="1"/>
  <c r="L926" i="19"/>
  <c r="H214" i="22"/>
  <c r="P231" i="10"/>
  <c r="H45" i="10"/>
  <c r="H96" i="22"/>
  <c r="J273" i="10"/>
  <c r="K273" i="10" s="1"/>
  <c r="J377" i="6" s="1"/>
  <c r="K377" i="6" s="1"/>
  <c r="I63" i="15"/>
  <c r="I280" i="15"/>
  <c r="I89" i="15"/>
  <c r="J214" i="10"/>
  <c r="K214" i="10" s="1"/>
  <c r="AE214" i="10" s="1"/>
  <c r="I57" i="15"/>
  <c r="I159" i="15"/>
  <c r="I94" i="10"/>
  <c r="J94" i="10" s="1"/>
  <c r="K94" i="10" s="1"/>
  <c r="J54" i="6" s="1"/>
  <c r="K54" i="6" s="1"/>
  <c r="P94" i="10"/>
  <c r="P332" i="10"/>
  <c r="E299" i="15"/>
  <c r="F299" i="15" s="1"/>
  <c r="L62" i="19"/>
  <c r="L1126" i="19"/>
  <c r="L627" i="19"/>
  <c r="H299" i="22"/>
  <c r="H133" i="22"/>
  <c r="H193" i="22"/>
  <c r="H306" i="15"/>
  <c r="H94" i="15"/>
  <c r="I94" i="15" s="1"/>
  <c r="H310" i="15"/>
  <c r="H102" i="15"/>
  <c r="I102" i="15" s="1"/>
  <c r="AM129" i="13"/>
  <c r="AM124" i="13"/>
  <c r="H316" i="15"/>
  <c r="H64" i="15"/>
  <c r="I64" i="15" s="1"/>
  <c r="AE385" i="13"/>
  <c r="E316" i="15"/>
  <c r="F316" i="15" s="1"/>
  <c r="AE426" i="13"/>
  <c r="H301" i="15"/>
  <c r="I301" i="15" s="1"/>
  <c r="H296" i="15"/>
  <c r="H320" i="15"/>
  <c r="I320" i="15" s="1"/>
  <c r="H25" i="15"/>
  <c r="I25" i="15" s="1"/>
  <c r="H312" i="15"/>
  <c r="I312" i="15" s="1"/>
  <c r="H254" i="15"/>
  <c r="I254" i="15" s="1"/>
  <c r="H179" i="15"/>
  <c r="I179" i="15" s="1"/>
  <c r="H36" i="15"/>
  <c r="I36" i="15" s="1"/>
  <c r="E276" i="15"/>
  <c r="F276" i="15" s="1"/>
  <c r="AE440" i="13"/>
  <c r="AE368" i="13"/>
  <c r="E310" i="15"/>
  <c r="F310" i="15" s="1"/>
  <c r="E297" i="15"/>
  <c r="F297" i="15" s="1"/>
  <c r="AE395" i="13"/>
  <c r="E318" i="15"/>
  <c r="F318" i="15" s="1"/>
  <c r="E278" i="15"/>
  <c r="F278" i="15" s="1"/>
  <c r="E302" i="15"/>
  <c r="F302" i="15" s="1"/>
  <c r="H304" i="15"/>
  <c r="I304" i="15" s="1"/>
  <c r="H277" i="15"/>
  <c r="AM292" i="13"/>
  <c r="H97" i="15"/>
  <c r="I97" i="15" s="1"/>
  <c r="H213" i="15"/>
  <c r="I213" i="15" s="1"/>
  <c r="H329" i="15"/>
  <c r="H253" i="15"/>
  <c r="I253" i="15" s="1"/>
  <c r="H20" i="15"/>
  <c r="I20" i="15" s="1"/>
  <c r="AE383" i="13"/>
  <c r="AE363" i="13"/>
  <c r="H211" i="15"/>
  <c r="I211" i="15" s="1"/>
  <c r="H293" i="15"/>
  <c r="H290" i="15"/>
  <c r="H272" i="15"/>
  <c r="I272" i="15" s="1"/>
  <c r="H258" i="15"/>
  <c r="I258" i="15" s="1"/>
  <c r="H84" i="15"/>
  <c r="I84" i="15" s="1"/>
  <c r="H251" i="15"/>
  <c r="H291" i="15"/>
  <c r="I291" i="15" s="1"/>
  <c r="H48" i="15"/>
  <c r="I48" i="15" s="1"/>
  <c r="H314" i="15"/>
  <c r="I314" i="15" s="1"/>
  <c r="H265" i="15"/>
  <c r="H19" i="15"/>
  <c r="I19" i="15" s="1"/>
  <c r="AE429" i="13"/>
  <c r="H299" i="15"/>
  <c r="AM122" i="13"/>
  <c r="H266" i="15"/>
  <c r="H131" i="15"/>
  <c r="I131" i="15" s="1"/>
  <c r="AM115" i="13"/>
  <c r="E256" i="15"/>
  <c r="F256" i="15" s="1"/>
  <c r="H186" i="15"/>
  <c r="I186" i="15" s="1"/>
  <c r="H17" i="15"/>
  <c r="I17" i="15" s="1"/>
  <c r="AM113" i="13"/>
  <c r="H274" i="15"/>
  <c r="E265" i="15"/>
  <c r="F265" i="15" s="1"/>
  <c r="AE400" i="13"/>
  <c r="AE373" i="13"/>
  <c r="E306" i="15"/>
  <c r="F306" i="15" s="1"/>
  <c r="E286" i="15"/>
  <c r="F286" i="15" s="1"/>
  <c r="E296" i="15"/>
  <c r="F296" i="15" s="1"/>
  <c r="H309" i="15"/>
  <c r="R448" i="13"/>
  <c r="E332" i="15" s="1"/>
  <c r="F332" i="15" s="1"/>
  <c r="F448" i="13"/>
  <c r="E282" i="15"/>
  <c r="F282" i="15" s="1"/>
  <c r="F361" i="10"/>
  <c r="G13" i="10"/>
  <c r="F13" i="22" s="1"/>
  <c r="I150" i="15"/>
  <c r="L42" i="19"/>
  <c r="H303" i="22"/>
  <c r="J140" i="10"/>
  <c r="K140" i="10" s="1"/>
  <c r="J140" i="13" s="1"/>
  <c r="L1078" i="19"/>
  <c r="H223" i="22"/>
  <c r="L363" i="19"/>
  <c r="L1077" i="19"/>
  <c r="H155" i="10"/>
  <c r="P241" i="10"/>
  <c r="C18" i="8"/>
  <c r="I156" i="15"/>
  <c r="I70" i="15"/>
  <c r="P62" i="10"/>
  <c r="P262" i="10"/>
  <c r="L497" i="19"/>
  <c r="L797" i="19"/>
  <c r="AE424" i="13"/>
  <c r="H271" i="22"/>
  <c r="H125" i="15"/>
  <c r="I125" i="15" s="1"/>
  <c r="H28" i="10"/>
  <c r="P28" i="10" s="1"/>
  <c r="I119" i="15"/>
  <c r="L163" i="19"/>
  <c r="L853" i="19"/>
  <c r="AE401" i="13"/>
  <c r="H233" i="10"/>
  <c r="L161" i="19"/>
  <c r="H298" i="22"/>
  <c r="I247" i="15"/>
  <c r="I188" i="15"/>
  <c r="H281" i="15"/>
  <c r="I281" i="15" s="1"/>
  <c r="L754" i="19"/>
  <c r="J294" i="10"/>
  <c r="K294" i="10" s="1"/>
  <c r="Q294" i="10" s="1"/>
  <c r="R294" i="10" s="1"/>
  <c r="S294" i="10" s="1"/>
  <c r="Z294" i="10" s="1"/>
  <c r="L444" i="19"/>
  <c r="L184" i="19"/>
  <c r="L314" i="19"/>
  <c r="E248" i="15"/>
  <c r="F248" i="15" s="1"/>
  <c r="J62" i="10"/>
  <c r="AD62" i="10" s="1"/>
  <c r="AF62" i="10" s="1"/>
  <c r="H95" i="22"/>
  <c r="J174" i="10"/>
  <c r="K174" i="10" s="1"/>
  <c r="J174" i="13" s="1"/>
  <c r="K174" i="13" s="1"/>
  <c r="L174" i="13" s="1"/>
  <c r="J179" i="10"/>
  <c r="K179" i="10" s="1"/>
  <c r="J179" i="13" s="1"/>
  <c r="I81" i="10"/>
  <c r="J81" i="10" s="1"/>
  <c r="K81" i="10" s="1"/>
  <c r="P81" i="10"/>
  <c r="P79" i="10"/>
  <c r="I79" i="10"/>
  <c r="J79" i="10" s="1"/>
  <c r="AD79" i="10" s="1"/>
  <c r="AF79" i="10" s="1"/>
  <c r="L315" i="19"/>
  <c r="P227" i="10"/>
  <c r="P347" i="10"/>
  <c r="L1130" i="19"/>
  <c r="L221" i="19"/>
  <c r="L224" i="19" s="1"/>
  <c r="L1626" i="19"/>
  <c r="L462" i="19"/>
  <c r="L52" i="19"/>
  <c r="L1086" i="19"/>
  <c r="L533" i="19"/>
  <c r="H116" i="10"/>
  <c r="P116" i="10" s="1"/>
  <c r="L541" i="19"/>
  <c r="H264" i="15"/>
  <c r="I264" i="15" s="1"/>
  <c r="L1356" i="19"/>
  <c r="H172" i="10"/>
  <c r="I172" i="10" s="1"/>
  <c r="J172" i="10" s="1"/>
  <c r="K172" i="10" s="1"/>
  <c r="J172" i="13" s="1"/>
  <c r="L840" i="19"/>
  <c r="P176" i="10"/>
  <c r="L831" i="19"/>
  <c r="L1351" i="19"/>
  <c r="L1028" i="19"/>
  <c r="L557" i="19"/>
  <c r="AE442" i="13"/>
  <c r="L368" i="19"/>
  <c r="L365" i="19"/>
  <c r="H81" i="22" s="1"/>
  <c r="L1288" i="19"/>
  <c r="L1540" i="19"/>
  <c r="H316" i="22" s="1"/>
  <c r="H316" i="10"/>
  <c r="L108" i="19"/>
  <c r="L460" i="19"/>
  <c r="H100" i="22" s="1"/>
  <c r="AE428" i="13"/>
  <c r="L1026" i="19"/>
  <c r="L1313" i="19"/>
  <c r="H236" i="10"/>
  <c r="AE380" i="13"/>
  <c r="L451" i="19"/>
  <c r="H327" i="10"/>
  <c r="L1100" i="19"/>
  <c r="H228" i="22" s="1"/>
  <c r="L1143" i="19"/>
  <c r="L1452" i="19"/>
  <c r="L530" i="19"/>
  <c r="H114" i="22" s="1"/>
  <c r="H330" i="10"/>
  <c r="AE364" i="13"/>
  <c r="H42" i="10"/>
  <c r="H246" i="10"/>
  <c r="L1141" i="19"/>
  <c r="L902" i="19"/>
  <c r="L562" i="19"/>
  <c r="H144" i="22"/>
  <c r="I211" i="10"/>
  <c r="J211" i="10" s="1"/>
  <c r="K211" i="10" s="1"/>
  <c r="J141" i="6" s="1"/>
  <c r="K141" i="6" s="1"/>
  <c r="P122" i="10"/>
  <c r="AM15" i="13"/>
  <c r="L1132" i="19"/>
  <c r="H52" i="10"/>
  <c r="P174" i="10"/>
  <c r="P151" i="10"/>
  <c r="L1628" i="19"/>
  <c r="L50" i="19"/>
  <c r="L51" i="19"/>
  <c r="L1087" i="19"/>
  <c r="H114" i="10"/>
  <c r="P114" i="10" s="1"/>
  <c r="L540" i="19"/>
  <c r="H116" i="22" s="1"/>
  <c r="I103" i="10"/>
  <c r="L820" i="19"/>
  <c r="H172" i="22" s="1"/>
  <c r="L842" i="19"/>
  <c r="L832" i="19"/>
  <c r="L1350" i="19"/>
  <c r="H278" i="22" s="1"/>
  <c r="L558" i="19"/>
  <c r="L556" i="19"/>
  <c r="H319" i="15"/>
  <c r="L366" i="19"/>
  <c r="H297" i="15"/>
  <c r="L502" i="19"/>
  <c r="L504" i="19" s="1"/>
  <c r="H358" i="10"/>
  <c r="L1675" i="19"/>
  <c r="L1453" i="19"/>
  <c r="E246" i="15"/>
  <c r="F246" i="15" s="1"/>
  <c r="L1312" i="19"/>
  <c r="H70" i="22"/>
  <c r="L450" i="19"/>
  <c r="H98" i="22" s="1"/>
  <c r="H298" i="10"/>
  <c r="L1480" i="19"/>
  <c r="H304" i="22" s="1"/>
  <c r="AE408" i="13"/>
  <c r="H98" i="10"/>
  <c r="P98" i="10" s="1"/>
  <c r="L63" i="19"/>
  <c r="L715" i="19"/>
  <c r="H151" i="22" s="1"/>
  <c r="L1193" i="19"/>
  <c r="L1611" i="19"/>
  <c r="L1286" i="19"/>
  <c r="L171" i="19"/>
  <c r="L1713" i="19"/>
  <c r="AM139" i="13"/>
  <c r="L900" i="19"/>
  <c r="AM149" i="13"/>
  <c r="L901" i="19"/>
  <c r="P89" i="10"/>
  <c r="H234" i="10"/>
  <c r="P234" i="10" s="1"/>
  <c r="H333" i="10"/>
  <c r="I333" i="10" s="1"/>
  <c r="J333" i="10" s="1"/>
  <c r="K333" i="10" s="1"/>
  <c r="P239" i="10"/>
  <c r="L531" i="19"/>
  <c r="L823" i="19"/>
  <c r="L479" i="19"/>
  <c r="L841" i="19"/>
  <c r="L833" i="19"/>
  <c r="L1353" i="19"/>
  <c r="L1750" i="19"/>
  <c r="H358" i="22" s="1"/>
  <c r="L1285" i="19"/>
  <c r="H265" i="22" s="1"/>
  <c r="H270" i="10"/>
  <c r="L106" i="19"/>
  <c r="H263" i="15"/>
  <c r="L1102" i="19"/>
  <c r="L1481" i="19"/>
  <c r="L452" i="19"/>
  <c r="L1190" i="19"/>
  <c r="H246" i="22" s="1"/>
  <c r="L560" i="19"/>
  <c r="H120" i="22" s="1"/>
  <c r="H188" i="10"/>
  <c r="L1140" i="19"/>
  <c r="H236" i="22" s="1"/>
  <c r="L563" i="19"/>
  <c r="J55" i="10"/>
  <c r="T55" i="10" s="1"/>
  <c r="U55" i="10" s="1"/>
  <c r="H240" i="22"/>
  <c r="H173" i="22"/>
  <c r="J280" i="10"/>
  <c r="K280" i="10" s="1"/>
  <c r="F463" i="22"/>
  <c r="AE417" i="13"/>
  <c r="H119" i="22"/>
  <c r="L1362" i="19"/>
  <c r="L1364" i="19" s="1"/>
  <c r="H355" i="22"/>
  <c r="F432" i="22"/>
  <c r="H432" i="22" s="1"/>
  <c r="F789" i="22"/>
  <c r="H789" i="22" s="1"/>
  <c r="F645" i="22"/>
  <c r="H645" i="22" s="1"/>
  <c r="F758" i="22"/>
  <c r="I141" i="15"/>
  <c r="F635" i="22"/>
  <c r="H635" i="22" s="1"/>
  <c r="F429" i="22"/>
  <c r="H429" i="22" s="1"/>
  <c r="F734" i="22"/>
  <c r="J35" i="10"/>
  <c r="K35" i="10" s="1"/>
  <c r="J288" i="6" s="1"/>
  <c r="K288" i="6" s="1"/>
  <c r="F599" i="22"/>
  <c r="H599" i="22" s="1"/>
  <c r="F726" i="22"/>
  <c r="H726" i="22" s="1"/>
  <c r="F650" i="22"/>
  <c r="F773" i="22"/>
  <c r="F560" i="22"/>
  <c r="H560" i="22" s="1"/>
  <c r="F443" i="22"/>
  <c r="H443" i="22" s="1"/>
  <c r="F774" i="22"/>
  <c r="J289" i="10"/>
  <c r="K289" i="10" s="1"/>
  <c r="J387" i="6" s="1"/>
  <c r="K387" i="6" s="1"/>
  <c r="H130" i="15"/>
  <c r="I130" i="15" s="1"/>
  <c r="P315" i="10"/>
  <c r="P303" i="10"/>
  <c r="H245" i="15"/>
  <c r="I245" i="15" s="1"/>
  <c r="H132" i="22"/>
  <c r="H280" i="22"/>
  <c r="H347" i="22"/>
  <c r="J347" i="10"/>
  <c r="K347" i="10" s="1"/>
  <c r="J378" i="6" s="1"/>
  <c r="K378" i="6" s="1"/>
  <c r="J300" i="10"/>
  <c r="K300" i="10" s="1"/>
  <c r="J300" i="13" s="1"/>
  <c r="J109" i="10"/>
  <c r="AD109" i="10" s="1"/>
  <c r="AF109" i="10" s="1"/>
  <c r="F273" i="22"/>
  <c r="H273" i="22" s="1"/>
  <c r="H289" i="22"/>
  <c r="J230" i="10"/>
  <c r="T230" i="10" s="1"/>
  <c r="U230" i="10" s="1"/>
  <c r="J27" i="10"/>
  <c r="K27" i="10" s="1"/>
  <c r="Q27" i="10" s="1"/>
  <c r="R27" i="10" s="1"/>
  <c r="S27" i="10" s="1"/>
  <c r="Z27" i="10" s="1"/>
  <c r="H158" i="22"/>
  <c r="H32" i="22"/>
  <c r="J329" i="10"/>
  <c r="F381" i="22"/>
  <c r="H381" i="22" s="1"/>
  <c r="F711" i="22"/>
  <c r="H711" i="22" s="1"/>
  <c r="F518" i="22"/>
  <c r="H518" i="22" s="1"/>
  <c r="F759" i="22"/>
  <c r="H759" i="22" s="1"/>
  <c r="F644" i="22"/>
  <c r="H644" i="22" s="1"/>
  <c r="F763" i="22"/>
  <c r="H763" i="22" s="1"/>
  <c r="F611" i="22"/>
  <c r="F386" i="22"/>
  <c r="H386" i="22" s="1"/>
  <c r="F697" i="22"/>
  <c r="H697" i="22" s="1"/>
  <c r="F519" i="22"/>
  <c r="H519" i="22" s="1"/>
  <c r="J64" i="10"/>
  <c r="K64" i="10" s="1"/>
  <c r="J104" i="6" s="1"/>
  <c r="K104" i="6" s="1"/>
  <c r="J148" i="10"/>
  <c r="K148" i="10" s="1"/>
  <c r="J148" i="13" s="1"/>
  <c r="J59" i="10"/>
  <c r="K59" i="10" s="1"/>
  <c r="J440" i="6" s="1"/>
  <c r="K440" i="6" s="1"/>
  <c r="H179" i="22"/>
  <c r="J245" i="10"/>
  <c r="K245" i="10" s="1"/>
  <c r="I116" i="15"/>
  <c r="J173" i="10"/>
  <c r="K173" i="10" s="1"/>
  <c r="J236" i="6" s="1"/>
  <c r="K236" i="6" s="1"/>
  <c r="F568" i="22"/>
  <c r="H568" i="22" s="1"/>
  <c r="F379" i="22"/>
  <c r="H379" i="22" s="1"/>
  <c r="F419" i="22"/>
  <c r="H419" i="22" s="1"/>
  <c r="F536" i="22"/>
  <c r="H536" i="22" s="1"/>
  <c r="F600" i="22"/>
  <c r="F788" i="22"/>
  <c r="H788" i="22" s="1"/>
  <c r="F627" i="22"/>
  <c r="H627" i="22" s="1"/>
  <c r="F638" i="22"/>
  <c r="H638" i="22" s="1"/>
  <c r="F769" i="22"/>
  <c r="H769" i="22" s="1"/>
  <c r="F502" i="22"/>
  <c r="H502" i="22" s="1"/>
  <c r="F457" i="22"/>
  <c r="F565" i="22"/>
  <c r="H565" i="22" s="1"/>
  <c r="F383" i="22"/>
  <c r="F684" i="22"/>
  <c r="H684" i="22" s="1"/>
  <c r="F631" i="22"/>
  <c r="H631" i="22" s="1"/>
  <c r="F556" i="22"/>
  <c r="H556" i="22" s="1"/>
  <c r="F812" i="22"/>
  <c r="H812" i="22" s="1"/>
  <c r="F382" i="22"/>
  <c r="H382" i="22" s="1"/>
  <c r="J247" i="10"/>
  <c r="K247" i="10" s="1"/>
  <c r="J395" i="6" s="1"/>
  <c r="K395" i="6" s="1"/>
  <c r="H189" i="22"/>
  <c r="H168" i="22"/>
  <c r="J354" i="10"/>
  <c r="K354" i="10" s="1"/>
  <c r="J354" i="13" s="1"/>
  <c r="F513" i="22"/>
  <c r="H513" i="22" s="1"/>
  <c r="F808" i="22"/>
  <c r="H808" i="22" s="1"/>
  <c r="F493" i="22"/>
  <c r="F523" i="22"/>
  <c r="H523" i="22" s="1"/>
  <c r="F672" i="22"/>
  <c r="F785" i="22"/>
  <c r="H785" i="22" s="1"/>
  <c r="F820" i="22"/>
  <c r="H820" i="22" s="1"/>
  <c r="F584" i="22"/>
  <c r="F702" i="22"/>
  <c r="H702" i="22" s="1"/>
  <c r="F756" i="22"/>
  <c r="F626" i="22"/>
  <c r="F681" i="22"/>
  <c r="F389" i="22"/>
  <c r="H389" i="22" s="1"/>
  <c r="H154" i="10"/>
  <c r="AE378" i="13"/>
  <c r="L731" i="19"/>
  <c r="I343" i="10"/>
  <c r="J343" i="10" s="1"/>
  <c r="AD343" i="10" s="1"/>
  <c r="AF343" i="10" s="1"/>
  <c r="P343" i="10"/>
  <c r="AE376" i="13"/>
  <c r="E260" i="15"/>
  <c r="F260" i="15" s="1"/>
  <c r="L851" i="19"/>
  <c r="H148" i="22"/>
  <c r="H71" i="15"/>
  <c r="I71" i="15" s="1"/>
  <c r="H230" i="22"/>
  <c r="H154" i="22"/>
  <c r="I92" i="15"/>
  <c r="J168" i="10"/>
  <c r="T168" i="10" s="1"/>
  <c r="U168" i="10" s="1"/>
  <c r="I18" i="15"/>
  <c r="J216" i="10"/>
  <c r="K216" i="10" s="1"/>
  <c r="J216" i="13" s="1"/>
  <c r="J352" i="10"/>
  <c r="K352" i="10" s="1"/>
  <c r="J352" i="13" s="1"/>
  <c r="F140" i="22"/>
  <c r="H140" i="22" s="1"/>
  <c r="F167" i="22"/>
  <c r="H167" i="22" s="1"/>
  <c r="J134" i="10"/>
  <c r="K134" i="10" s="1"/>
  <c r="J302" i="6" s="1"/>
  <c r="K302" i="6" s="1"/>
  <c r="H300" i="22"/>
  <c r="J70" i="10"/>
  <c r="K70" i="10" s="1"/>
  <c r="AE70" i="10" s="1"/>
  <c r="I198" i="15"/>
  <c r="J227" i="10"/>
  <c r="K227" i="10" s="1"/>
  <c r="J165" i="10"/>
  <c r="K165" i="10" s="1"/>
  <c r="J256" i="6" s="1"/>
  <c r="K256" i="6" s="1"/>
  <c r="F544" i="22"/>
  <c r="F529" i="22"/>
  <c r="H529" i="22" s="1"/>
  <c r="I157" i="15"/>
  <c r="F781" i="22"/>
  <c r="H781" i="22" s="1"/>
  <c r="F394" i="22"/>
  <c r="H394" i="22" s="1"/>
  <c r="F388" i="22"/>
  <c r="H388" i="22" s="1"/>
  <c r="F436" i="22"/>
  <c r="H436" i="22" s="1"/>
  <c r="F466" i="22"/>
  <c r="H466" i="22" s="1"/>
  <c r="F597" i="22"/>
  <c r="F587" i="22"/>
  <c r="H587" i="22" s="1"/>
  <c r="F585" i="22"/>
  <c r="F601" i="22"/>
  <c r="F814" i="22"/>
  <c r="H814" i="22" s="1"/>
  <c r="F561" i="22"/>
  <c r="H561" i="22" s="1"/>
  <c r="F387" i="22"/>
  <c r="H387" i="22" s="1"/>
  <c r="F699" i="22"/>
  <c r="H699" i="22" s="1"/>
  <c r="F614" i="22"/>
  <c r="F790" i="22"/>
  <c r="H790" i="22" s="1"/>
  <c r="F497" i="22"/>
  <c r="H497" i="22" s="1"/>
  <c r="F494" i="22"/>
  <c r="H494" i="22" s="1"/>
  <c r="F543" i="22"/>
  <c r="H543" i="22" s="1"/>
  <c r="F484" i="22"/>
  <c r="H484" i="22" s="1"/>
  <c r="F539" i="22"/>
  <c r="H539" i="22" s="1"/>
  <c r="F639" i="22"/>
  <c r="H639" i="22" s="1"/>
  <c r="F807" i="22"/>
  <c r="H807" i="22" s="1"/>
  <c r="F691" i="22"/>
  <c r="H691" i="22" s="1"/>
  <c r="F414" i="22"/>
  <c r="H414" i="22" s="1"/>
  <c r="F748" i="22"/>
  <c r="H748" i="22" s="1"/>
  <c r="F654" i="22"/>
  <c r="F689" i="22"/>
  <c r="H689" i="22" s="1"/>
  <c r="J324" i="10"/>
  <c r="K324" i="10" s="1"/>
  <c r="J324" i="13" s="1"/>
  <c r="H306" i="22"/>
  <c r="F710" i="22"/>
  <c r="H710" i="22" s="1"/>
  <c r="F786" i="22"/>
  <c r="H786" i="22" s="1"/>
  <c r="F636" i="22"/>
  <c r="H636" i="22" s="1"/>
  <c r="F673" i="22"/>
  <c r="H673" i="22" s="1"/>
  <c r="F700" i="22"/>
  <c r="H700" i="22" s="1"/>
  <c r="F486" i="22"/>
  <c r="H486" i="22" s="1"/>
  <c r="F532" i="22"/>
  <c r="H532" i="22" s="1"/>
  <c r="F577" i="22"/>
  <c r="F449" i="22"/>
  <c r="H449" i="22" s="1"/>
  <c r="F729" i="22"/>
  <c r="H729" i="22" s="1"/>
  <c r="F590" i="22"/>
  <c r="H590" i="22" s="1"/>
  <c r="F430" i="22"/>
  <c r="H430" i="22" s="1"/>
  <c r="F693" i="22"/>
  <c r="H693" i="22" s="1"/>
  <c r="F804" i="22"/>
  <c r="H804" i="22" s="1"/>
  <c r="F745" i="22"/>
  <c r="H745" i="22" s="1"/>
  <c r="F753" i="22"/>
  <c r="H753" i="22" s="1"/>
  <c r="F736" i="22"/>
  <c r="H736" i="22" s="1"/>
  <c r="F512" i="22"/>
  <c r="F505" i="22"/>
  <c r="H505" i="22" s="1"/>
  <c r="F747" i="22"/>
  <c r="F662" i="22"/>
  <c r="H662" i="22" s="1"/>
  <c r="F743" i="22"/>
  <c r="H743" i="22" s="1"/>
  <c r="F490" i="22"/>
  <c r="H490" i="22" s="1"/>
  <c r="F428" i="22"/>
  <c r="H428" i="22" s="1"/>
  <c r="F571" i="22"/>
  <c r="H571" i="22" s="1"/>
  <c r="F619" i="22"/>
  <c r="H619" i="22" s="1"/>
  <c r="F365" i="22"/>
  <c r="H365" i="22" s="1"/>
  <c r="F665" i="22"/>
  <c r="H665" i="22" s="1"/>
  <c r="F742" i="22"/>
  <c r="H742" i="22" s="1"/>
  <c r="L1712" i="19"/>
  <c r="H350" i="10"/>
  <c r="H120" i="15"/>
  <c r="I120" i="15" s="1"/>
  <c r="H284" i="22"/>
  <c r="H177" i="22"/>
  <c r="H324" i="22"/>
  <c r="H45" i="22"/>
  <c r="H191" i="22"/>
  <c r="H72" i="22"/>
  <c r="E323" i="15"/>
  <c r="F323" i="15" s="1"/>
  <c r="H139" i="22"/>
  <c r="J122" i="10"/>
  <c r="K122" i="10" s="1"/>
  <c r="J25" i="6" s="1"/>
  <c r="K25" i="6" s="1"/>
  <c r="J171" i="10"/>
  <c r="T171" i="10" s="1"/>
  <c r="U171" i="10" s="1"/>
  <c r="J97" i="10"/>
  <c r="K97" i="10" s="1"/>
  <c r="Q97" i="10" s="1"/>
  <c r="R97" i="10" s="1"/>
  <c r="S97" i="10" s="1"/>
  <c r="F776" i="22"/>
  <c r="H776" i="22" s="1"/>
  <c r="F503" i="22"/>
  <c r="H503" i="22" s="1"/>
  <c r="F562" i="22"/>
  <c r="H562" i="22" s="1"/>
  <c r="F667" i="22"/>
  <c r="H667" i="22" s="1"/>
  <c r="F725" i="22"/>
  <c r="H725" i="22" s="1"/>
  <c r="F819" i="22"/>
  <c r="H819" i="22" s="1"/>
  <c r="F411" i="22"/>
  <c r="H411" i="22" s="1"/>
  <c r="F378" i="22"/>
  <c r="H378" i="22" s="1"/>
  <c r="F421" i="22"/>
  <c r="F366" i="22"/>
  <c r="H366" i="22" s="1"/>
  <c r="F521" i="22"/>
  <c r="H521" i="22" s="1"/>
  <c r="F818" i="22"/>
  <c r="H818" i="22" s="1"/>
  <c r="F551" i="22"/>
  <c r="H551" i="22" s="1"/>
  <c r="F410" i="22"/>
  <c r="H410" i="22" s="1"/>
  <c r="F687" i="22"/>
  <c r="H687" i="22" s="1"/>
  <c r="F708" i="22"/>
  <c r="F407" i="22"/>
  <c r="H407" i="22" s="1"/>
  <c r="F582" i="22"/>
  <c r="H582" i="22" s="1"/>
  <c r="F433" i="22"/>
  <c r="H433" i="22" s="1"/>
  <c r="F364" i="22"/>
  <c r="F431" i="22"/>
  <c r="H431" i="22" s="1"/>
  <c r="F613" i="22"/>
  <c r="H613" i="22" s="1"/>
  <c r="F548" i="22"/>
  <c r="H548" i="22" s="1"/>
  <c r="F498" i="22"/>
  <c r="H498" i="22" s="1"/>
  <c r="F671" i="22"/>
  <c r="H671" i="22" s="1"/>
  <c r="F375" i="22"/>
  <c r="F467" i="22"/>
  <c r="H467" i="22" s="1"/>
  <c r="F669" i="22"/>
  <c r="H669" i="22" s="1"/>
  <c r="F487" i="22"/>
  <c r="H487" i="22" s="1"/>
  <c r="F372" i="22"/>
  <c r="H372" i="22" s="1"/>
  <c r="F677" i="22"/>
  <c r="H677" i="22" s="1"/>
  <c r="F728" i="22"/>
  <c r="H728" i="22" s="1"/>
  <c r="F629" i="22"/>
  <c r="H629" i="22" s="1"/>
  <c r="F608" i="22"/>
  <c r="F716" i="22"/>
  <c r="F426" i="22"/>
  <c r="H426" i="22" s="1"/>
  <c r="F408" i="22"/>
  <c r="H408" i="22" s="1"/>
  <c r="F558" i="22"/>
  <c r="H558" i="22" s="1"/>
  <c r="F754" i="22"/>
  <c r="H754" i="22" s="1"/>
  <c r="F522" i="22"/>
  <c r="F514" i="22"/>
  <c r="F442" i="22"/>
  <c r="H442" i="22" s="1"/>
  <c r="F500" i="22"/>
  <c r="F393" i="22"/>
  <c r="H393" i="22" s="1"/>
  <c r="F434" i="22"/>
  <c r="H434" i="22" s="1"/>
  <c r="F797" i="22"/>
  <c r="H797" i="22" s="1"/>
  <c r="F553" i="22"/>
  <c r="H553" i="22" s="1"/>
  <c r="F805" i="22"/>
  <c r="H805" i="22" s="1"/>
  <c r="F399" i="22"/>
  <c r="H399" i="22" s="1"/>
  <c r="F427" i="22"/>
  <c r="H427" i="22" s="1"/>
  <c r="F499" i="22"/>
  <c r="H499" i="22" s="1"/>
  <c r="F588" i="22"/>
  <c r="F624" i="22"/>
  <c r="H624" i="22" s="1"/>
  <c r="F424" i="22"/>
  <c r="H424" i="22" s="1"/>
  <c r="F461" i="22"/>
  <c r="F572" i="22"/>
  <c r="H572" i="22" s="1"/>
  <c r="F472" i="22"/>
  <c r="H472" i="22" s="1"/>
  <c r="F766" i="22"/>
  <c r="H766" i="22" s="1"/>
  <c r="F377" i="22"/>
  <c r="H377" i="22" s="1"/>
  <c r="F809" i="22"/>
  <c r="H809" i="22" s="1"/>
  <c r="F594" i="22"/>
  <c r="H594" i="22" s="1"/>
  <c r="F526" i="22"/>
  <c r="H526" i="22" s="1"/>
  <c r="F793" i="22"/>
  <c r="H793" i="22" s="1"/>
  <c r="F815" i="22"/>
  <c r="H815" i="22" s="1"/>
  <c r="F454" i="22"/>
  <c r="F675" i="22"/>
  <c r="H675" i="22" s="1"/>
  <c r="F688" i="22"/>
  <c r="H688" i="22" s="1"/>
  <c r="F715" i="22"/>
  <c r="H715" i="22" s="1"/>
  <c r="F733" i="22"/>
  <c r="H733" i="22" s="1"/>
  <c r="F444" i="22"/>
  <c r="H444" i="22" s="1"/>
  <c r="F632" i="22"/>
  <c r="H632" i="22" s="1"/>
  <c r="F738" i="22"/>
  <c r="H738" i="22" s="1"/>
  <c r="F690" i="22"/>
  <c r="F637" i="22"/>
  <c r="H637" i="22" s="1"/>
  <c r="F374" i="22"/>
  <c r="F704" i="22"/>
  <c r="H704" i="22" s="1"/>
  <c r="F709" i="22"/>
  <c r="H709" i="22" s="1"/>
  <c r="F768" i="22"/>
  <c r="H768" i="22" s="1"/>
  <c r="F435" i="22"/>
  <c r="H435" i="22" s="1"/>
  <c r="F649" i="22"/>
  <c r="H649" i="22" s="1"/>
  <c r="F661" i="22"/>
  <c r="H661" i="22" s="1"/>
  <c r="F802" i="22"/>
  <c r="F642" i="22"/>
  <c r="H642" i="22" s="1"/>
  <c r="F610" i="22"/>
  <c r="F398" i="22"/>
  <c r="H398" i="22" s="1"/>
  <c r="F462" i="22"/>
  <c r="H462" i="22" s="1"/>
  <c r="F746" i="22"/>
  <c r="F612" i="22"/>
  <c r="H612" i="22" s="1"/>
  <c r="F618" i="22"/>
  <c r="F361" i="22"/>
  <c r="H361" i="22" s="1"/>
  <c r="F489" i="22"/>
  <c r="F606" i="22"/>
  <c r="H606" i="22" s="1"/>
  <c r="F557" i="22"/>
  <c r="H557" i="22" s="1"/>
  <c r="F362" i="22"/>
  <c r="H362" i="22" s="1"/>
  <c r="F460" i="22"/>
  <c r="H460" i="22" s="1"/>
  <c r="F481" i="22"/>
  <c r="H481" i="22" s="1"/>
  <c r="F575" i="22"/>
  <c r="F598" i="22"/>
  <c r="H598" i="22" s="1"/>
  <c r="F737" i="22"/>
  <c r="H737" i="22" s="1"/>
  <c r="F396" i="22"/>
  <c r="H396" i="22" s="1"/>
  <c r="F792" i="22"/>
  <c r="H792" i="22" s="1"/>
  <c r="F524" i="22"/>
  <c r="F376" i="22"/>
  <c r="F450" i="22"/>
  <c r="F369" i="22"/>
  <c r="H369" i="22" s="1"/>
  <c r="F621" i="22"/>
  <c r="H621" i="22" s="1"/>
  <c r="F717" i="22"/>
  <c r="H717" i="22" s="1"/>
  <c r="F732" i="22"/>
  <c r="H732" i="22" s="1"/>
  <c r="F694" i="22"/>
  <c r="F397" i="22"/>
  <c r="H397" i="22" s="1"/>
  <c r="F447" i="22"/>
  <c r="H447" i="22" s="1"/>
  <c r="F491" i="22"/>
  <c r="H491" i="22" s="1"/>
  <c r="F664" i="22"/>
  <c r="H664" i="22" s="1"/>
  <c r="F796" i="22"/>
  <c r="H796" i="22" s="1"/>
  <c r="F515" i="22"/>
  <c r="H515" i="22" s="1"/>
  <c r="F343" i="22"/>
  <c r="J311" i="10"/>
  <c r="K311" i="10" s="1"/>
  <c r="J311" i="13" s="1"/>
  <c r="H169" i="22"/>
  <c r="F550" i="22"/>
  <c r="H550" i="22" s="1"/>
  <c r="F477" i="22"/>
  <c r="H477" i="22" s="1"/>
  <c r="F676" i="22"/>
  <c r="H676" i="22" s="1"/>
  <c r="F816" i="22"/>
  <c r="H816" i="22" s="1"/>
  <c r="F422" i="22"/>
  <c r="H422" i="22" s="1"/>
  <c r="F622" i="22"/>
  <c r="F535" i="22"/>
  <c r="H535" i="22" s="1"/>
  <c r="F403" i="22"/>
  <c r="H403" i="22" s="1"/>
  <c r="F363" i="22"/>
  <c r="H363" i="22" s="1"/>
  <c r="F439" i="22"/>
  <c r="H439" i="22" s="1"/>
  <c r="F566" i="22"/>
  <c r="H566" i="22" s="1"/>
  <c r="F511" i="22"/>
  <c r="H511" i="22" s="1"/>
  <c r="F547" i="22"/>
  <c r="H547" i="22" s="1"/>
  <c r="F545" i="22"/>
  <c r="H545" i="22" s="1"/>
  <c r="F437" i="22"/>
  <c r="H437" i="22" s="1"/>
  <c r="F506" i="22"/>
  <c r="H506" i="22" s="1"/>
  <c r="F451" i="22"/>
  <c r="H451" i="22" s="1"/>
  <c r="F392" i="22"/>
  <c r="H392" i="22" s="1"/>
  <c r="F695" i="22"/>
  <c r="H695" i="22" s="1"/>
  <c r="F798" i="22"/>
  <c r="H798" i="22" s="1"/>
  <c r="F583" i="22"/>
  <c r="F696" i="22"/>
  <c r="H696" i="22" s="1"/>
  <c r="F784" i="22"/>
  <c r="H784" i="22" s="1"/>
  <c r="F779" i="22"/>
  <c r="H779" i="22" s="1"/>
  <c r="F400" i="22"/>
  <c r="H400" i="22" s="1"/>
  <c r="F739" i="22"/>
  <c r="H739" i="22" s="1"/>
  <c r="F384" i="22"/>
  <c r="H384" i="22" s="1"/>
  <c r="F564" i="22"/>
  <c r="H564" i="22" s="1"/>
  <c r="F507" i="22"/>
  <c r="H507" i="22" s="1"/>
  <c r="F509" i="22"/>
  <c r="H509" i="22" s="1"/>
  <c r="F760" i="22"/>
  <c r="H760" i="22" s="1"/>
  <c r="F630" i="22"/>
  <c r="H630" i="22" s="1"/>
  <c r="F640" i="22"/>
  <c r="H640" i="22" s="1"/>
  <c r="F663" i="22"/>
  <c r="H663" i="22" s="1"/>
  <c r="F609" i="22"/>
  <c r="H609" i="22" s="1"/>
  <c r="F755" i="22"/>
  <c r="F806" i="22"/>
  <c r="H806" i="22" s="1"/>
  <c r="F817" i="22"/>
  <c r="F615" i="22"/>
  <c r="F404" i="22"/>
  <c r="H404" i="22" s="1"/>
  <c r="F757" i="22"/>
  <c r="H757" i="22" s="1"/>
  <c r="F474" i="22"/>
  <c r="H474" i="22" s="1"/>
  <c r="F660" i="22"/>
  <c r="H660" i="22" s="1"/>
  <c r="F445" i="22"/>
  <c r="F714" i="22"/>
  <c r="H714" i="22" s="1"/>
  <c r="F555" i="22"/>
  <c r="H555" i="22" s="1"/>
  <c r="F473" i="22"/>
  <c r="F651" i="22"/>
  <c r="H651" i="22" s="1"/>
  <c r="F692" i="22"/>
  <c r="F485" i="22"/>
  <c r="F719" i="22"/>
  <c r="H719" i="22" s="1"/>
  <c r="F810" i="22"/>
  <c r="F731" i="22"/>
  <c r="F559" i="22"/>
  <c r="H559" i="22" s="1"/>
  <c r="F721" i="22"/>
  <c r="H721" i="22" s="1"/>
  <c r="F455" i="22"/>
  <c r="F713" i="22"/>
  <c r="H713" i="22" s="1"/>
  <c r="F775" i="22"/>
  <c r="F685" i="22"/>
  <c r="H685" i="22" s="1"/>
  <c r="F496" i="22"/>
  <c r="H496" i="22" s="1"/>
  <c r="F531" i="22"/>
  <c r="F370" i="22"/>
  <c r="H370" i="22" s="1"/>
  <c r="F488" i="22"/>
  <c r="F744" i="22"/>
  <c r="H744" i="22" s="1"/>
  <c r="F674" i="22"/>
  <c r="H674" i="22" s="1"/>
  <c r="F727" i="22"/>
  <c r="H727" i="22" s="1"/>
  <c r="F579" i="22"/>
  <c r="F423" i="22"/>
  <c r="H423" i="22" s="1"/>
  <c r="F778" i="22"/>
  <c r="H778" i="22" s="1"/>
  <c r="F595" i="22"/>
  <c r="H595" i="22" s="1"/>
  <c r="F504" i="22"/>
  <c r="H504" i="22" s="1"/>
  <c r="F686" i="22"/>
  <c r="H686" i="22" s="1"/>
  <c r="F740" i="22"/>
  <c r="H740" i="22" s="1"/>
  <c r="F750" i="22"/>
  <c r="H750" i="22" s="1"/>
  <c r="F492" i="22"/>
  <c r="H492" i="22" s="1"/>
  <c r="F658" i="22"/>
  <c r="H658" i="22" s="1"/>
  <c r="F479" i="22"/>
  <c r="H479" i="22" s="1"/>
  <c r="F402" i="22"/>
  <c r="H402" i="22" s="1"/>
  <c r="F416" i="22"/>
  <c r="F537" i="22"/>
  <c r="F554" i="22"/>
  <c r="H554" i="22" s="1"/>
  <c r="F655" i="22"/>
  <c r="H655" i="22" s="1"/>
  <c r="F643" i="22"/>
  <c r="H643" i="22" s="1"/>
  <c r="F533" i="22"/>
  <c r="H533" i="22" s="1"/>
  <c r="F417" i="22"/>
  <c r="H417" i="22" s="1"/>
  <c r="F448" i="22"/>
  <c r="H448" i="22" s="1"/>
  <c r="F563" i="22"/>
  <c r="H563" i="22" s="1"/>
  <c r="F530" i="22"/>
  <c r="H530" i="22" s="1"/>
  <c r="F623" i="22"/>
  <c r="H623" i="22" s="1"/>
  <c r="F528" i="22"/>
  <c r="H528" i="22" s="1"/>
  <c r="F682" i="22"/>
  <c r="H682" i="22" s="1"/>
  <c r="F581" i="22"/>
  <c r="F580" i="22"/>
  <c r="H580" i="22" s="1"/>
  <c r="F751" i="22"/>
  <c r="H751" i="22" s="1"/>
  <c r="F783" i="22"/>
  <c r="F546" i="22"/>
  <c r="F371" i="22"/>
  <c r="F764" i="22"/>
  <c r="F540" i="22"/>
  <c r="F406" i="22"/>
  <c r="F679" i="22"/>
  <c r="H679" i="22" s="1"/>
  <c r="F520" i="22"/>
  <c r="H520" i="22" s="1"/>
  <c r="F659" i="22"/>
  <c r="H659" i="22" s="1"/>
  <c r="F459" i="22"/>
  <c r="H459" i="22" s="1"/>
  <c r="F770" i="22"/>
  <c r="F534" i="22"/>
  <c r="H534" i="22" s="1"/>
  <c r="F803" i="22"/>
  <c r="F596" i="22"/>
  <c r="H596" i="22" s="1"/>
  <c r="F762" i="22"/>
  <c r="H762" i="22" s="1"/>
  <c r="F469" i="22"/>
  <c r="H469" i="22" s="1"/>
  <c r="F698" i="22"/>
  <c r="F395" i="22"/>
  <c r="H395" i="22" s="1"/>
  <c r="F420" i="22"/>
  <c r="H420" i="22" s="1"/>
  <c r="F780" i="22"/>
  <c r="H780" i="22" s="1"/>
  <c r="F591" i="22"/>
  <c r="H591" i="22" s="1"/>
  <c r="F368" i="22"/>
  <c r="J169" i="10"/>
  <c r="K169" i="10" s="1"/>
  <c r="Y169" i="10" s="1"/>
  <c r="J19" i="10"/>
  <c r="K19" i="10" s="1"/>
  <c r="J117" i="10"/>
  <c r="K117" i="10" s="1"/>
  <c r="J35" i="6" s="1"/>
  <c r="K35" i="6" s="1"/>
  <c r="J315" i="10"/>
  <c r="J197" i="10"/>
  <c r="T197" i="10" s="1"/>
  <c r="U197" i="10" s="1"/>
  <c r="J176" i="10"/>
  <c r="AD176" i="10" s="1"/>
  <c r="AF176" i="10" s="1"/>
  <c r="J99" i="10"/>
  <c r="K99" i="10" s="1"/>
  <c r="Q99" i="10" s="1"/>
  <c r="R99" i="10" s="1"/>
  <c r="S99" i="10" s="1"/>
  <c r="F633" i="22"/>
  <c r="H633" i="22" s="1"/>
  <c r="F701" i="22"/>
  <c r="F552" i="22"/>
  <c r="F720" i="22"/>
  <c r="F373" i="22"/>
  <c r="H373" i="22" s="1"/>
  <c r="F495" i="22"/>
  <c r="F412" i="22"/>
  <c r="H412" i="22" s="1"/>
  <c r="F589" i="22"/>
  <c r="H589" i="22" s="1"/>
  <c r="F527" i="22"/>
  <c r="H527" i="22" s="1"/>
  <c r="F573" i="22"/>
  <c r="H573" i="22" s="1"/>
  <c r="F730" i="22"/>
  <c r="F360" i="22"/>
  <c r="F441" i="22"/>
  <c r="H441" i="22" s="1"/>
  <c r="F549" i="22"/>
  <c r="H549" i="22" s="1"/>
  <c r="F478" i="22"/>
  <c r="H478" i="22" s="1"/>
  <c r="F476" i="22"/>
  <c r="H476" i="22" s="1"/>
  <c r="F425" i="22"/>
  <c r="H425" i="22" s="1"/>
  <c r="F703" i="22"/>
  <c r="H703" i="22" s="1"/>
  <c r="F799" i="22"/>
  <c r="H799" i="22" s="1"/>
  <c r="F607" i="22"/>
  <c r="H607" i="22" s="1"/>
  <c r="F586" i="22"/>
  <c r="F765" i="22"/>
  <c r="H765" i="22" s="1"/>
  <c r="F483" i="22"/>
  <c r="H483" i="22" s="1"/>
  <c r="F705" i="22"/>
  <c r="H705" i="22" s="1"/>
  <c r="F401" i="22"/>
  <c r="F657" i="22"/>
  <c r="H657" i="22" s="1"/>
  <c r="F723" i="22"/>
  <c r="H723" i="22" s="1"/>
  <c r="F517" i="22"/>
  <c r="H517" i="22" s="1"/>
  <c r="F458" i="22"/>
  <c r="F367" i="22"/>
  <c r="F415" i="22"/>
  <c r="H415" i="22" s="1"/>
  <c r="F576" i="22"/>
  <c r="H576" i="22" s="1"/>
  <c r="F480" i="22"/>
  <c r="F724" i="22"/>
  <c r="F470" i="22"/>
  <c r="H470" i="22" s="1"/>
  <c r="F646" i="22"/>
  <c r="F501" i="22"/>
  <c r="H501" i="22" s="1"/>
  <c r="F628" i="22"/>
  <c r="H628" i="22" s="1"/>
  <c r="F468" i="22"/>
  <c r="H468" i="22" s="1"/>
  <c r="F772" i="22"/>
  <c r="H772" i="22" s="1"/>
  <c r="F453" i="22"/>
  <c r="F800" i="22"/>
  <c r="H800" i="22" s="1"/>
  <c r="F656" i="22"/>
  <c r="H656" i="22" s="1"/>
  <c r="F771" i="22"/>
  <c r="H771" i="22" s="1"/>
  <c r="F712" i="22"/>
  <c r="F722" i="22"/>
  <c r="H722" i="22" s="1"/>
  <c r="F409" i="22"/>
  <c r="F641" i="22"/>
  <c r="H641" i="22" s="1"/>
  <c r="F647" i="22"/>
  <c r="H647" i="22" s="1"/>
  <c r="F795" i="22"/>
  <c r="H795" i="22" s="1"/>
  <c r="F569" i="22"/>
  <c r="H569" i="22" s="1"/>
  <c r="F604" i="22"/>
  <c r="H604" i="22" s="1"/>
  <c r="F777" i="22"/>
  <c r="H777" i="22" s="1"/>
  <c r="F678" i="22"/>
  <c r="H678" i="22" s="1"/>
  <c r="F616" i="22"/>
  <c r="H616" i="22" s="1"/>
  <c r="F620" i="22"/>
  <c r="H620" i="22" s="1"/>
  <c r="F782" i="22"/>
  <c r="H782" i="22" s="1"/>
  <c r="F752" i="22"/>
  <c r="H752" i="22" s="1"/>
  <c r="F438" i="22"/>
  <c r="H438" i="22" s="1"/>
  <c r="F670" i="22"/>
  <c r="F811" i="22"/>
  <c r="H811" i="22" s="1"/>
  <c r="F390" i="22"/>
  <c r="H390" i="22" s="1"/>
  <c r="F707" i="22"/>
  <c r="H707" i="22" s="1"/>
  <c r="F508" i="22"/>
  <c r="H508" i="22" s="1"/>
  <c r="F471" i="22"/>
  <c r="F791" i="22"/>
  <c r="H791" i="22" s="1"/>
  <c r="F680" i="22"/>
  <c r="F821" i="22"/>
  <c r="H821" i="22" s="1"/>
  <c r="F652" i="22"/>
  <c r="H652" i="22" s="1"/>
  <c r="F567" i="22"/>
  <c r="H567" i="22" s="1"/>
  <c r="F666" i="22"/>
  <c r="H666" i="22" s="1"/>
  <c r="F761" i="22"/>
  <c r="F735" i="22"/>
  <c r="H735" i="22" s="1"/>
  <c r="F413" i="22"/>
  <c r="H413" i="22" s="1"/>
  <c r="F634" i="22"/>
  <c r="H634" i="22" s="1"/>
  <c r="F464" i="22"/>
  <c r="H464" i="22" s="1"/>
  <c r="F456" i="22"/>
  <c r="H456" i="22" s="1"/>
  <c r="F391" i="22"/>
  <c r="H391" i="22" s="1"/>
  <c r="F648" i="22"/>
  <c r="H648" i="22" s="1"/>
  <c r="F794" i="22"/>
  <c r="H794" i="22" s="1"/>
  <c r="F570" i="22"/>
  <c r="F465" i="22"/>
  <c r="H465" i="22" s="1"/>
  <c r="F787" i="22"/>
  <c r="H787" i="22" s="1"/>
  <c r="F605" i="22"/>
  <c r="H605" i="22" s="1"/>
  <c r="F668" i="22"/>
  <c r="H668" i="22" s="1"/>
  <c r="F767" i="22"/>
  <c r="H767" i="22" s="1"/>
  <c r="F516" i="22"/>
  <c r="H516" i="22" s="1"/>
  <c r="F592" i="22"/>
  <c r="F525" i="22"/>
  <c r="H525" i="22" s="1"/>
  <c r="F418" i="22"/>
  <c r="H418" i="22" s="1"/>
  <c r="F603" i="22"/>
  <c r="H603" i="22" s="1"/>
  <c r="F718" i="22"/>
  <c r="F475" i="22"/>
  <c r="H475" i="22" s="1"/>
  <c r="F405" i="22"/>
  <c r="H405" i="22" s="1"/>
  <c r="F578" i="22"/>
  <c r="F706" i="22"/>
  <c r="H706" i="22" s="1"/>
  <c r="F538" i="22"/>
  <c r="H538" i="22" s="1"/>
  <c r="F617" i="22"/>
  <c r="H617" i="22" s="1"/>
  <c r="F482" i="22"/>
  <c r="H482" i="22" s="1"/>
  <c r="F385" i="22"/>
  <c r="H385" i="22" s="1"/>
  <c r="F510" i="22"/>
  <c r="H510" i="22" s="1"/>
  <c r="F446" i="22"/>
  <c r="F625" i="22"/>
  <c r="H625" i="22" s="1"/>
  <c r="F593" i="22"/>
  <c r="H593" i="22" s="1"/>
  <c r="F452" i="22"/>
  <c r="F440" i="22"/>
  <c r="H440" i="22" s="1"/>
  <c r="F813" i="22"/>
  <c r="H813" i="22" s="1"/>
  <c r="F380" i="22"/>
  <c r="F653" i="22"/>
  <c r="H653" i="22" s="1"/>
  <c r="F683" i="22"/>
  <c r="H683" i="22" s="1"/>
  <c r="F574" i="22"/>
  <c r="H574" i="22" s="1"/>
  <c r="F542" i="22"/>
  <c r="F602" i="22"/>
  <c r="H602" i="22" s="1"/>
  <c r="F741" i="22"/>
  <c r="H741" i="22" s="1"/>
  <c r="F801" i="22"/>
  <c r="H801" i="22" s="1"/>
  <c r="F541" i="22"/>
  <c r="H541" i="22" s="1"/>
  <c r="J36" i="10"/>
  <c r="K36" i="10" s="1"/>
  <c r="J418" i="6" s="1"/>
  <c r="K418" i="6" s="1"/>
  <c r="H115" i="22"/>
  <c r="I210" i="15"/>
  <c r="J178" i="10"/>
  <c r="T178" i="10" s="1"/>
  <c r="U178" i="10" s="1"/>
  <c r="J177" i="10"/>
  <c r="K177" i="10" s="1"/>
  <c r="J284" i="10"/>
  <c r="K284" i="10" s="1"/>
  <c r="J284" i="13" s="1"/>
  <c r="J219" i="10"/>
  <c r="K219" i="10" s="1"/>
  <c r="Y219" i="10" s="1"/>
  <c r="J132" i="10"/>
  <c r="AD132" i="10" s="1"/>
  <c r="AF132" i="10" s="1"/>
  <c r="J231" i="10"/>
  <c r="K231" i="10" s="1"/>
  <c r="J332" i="10"/>
  <c r="J87" i="10"/>
  <c r="K87" i="10" s="1"/>
  <c r="AE87" i="10" s="1"/>
  <c r="J303" i="10"/>
  <c r="K303" i="10" s="1"/>
  <c r="J117" i="6" s="1"/>
  <c r="K117" i="6" s="1"/>
  <c r="I233" i="15"/>
  <c r="J295" i="10"/>
  <c r="K295" i="10" s="1"/>
  <c r="J295" i="6" s="1"/>
  <c r="K295" i="6" s="1"/>
  <c r="J224" i="10"/>
  <c r="K224" i="10" s="1"/>
  <c r="AE224" i="10" s="1"/>
  <c r="J141" i="10"/>
  <c r="K141" i="10" s="1"/>
  <c r="J141" i="13" s="1"/>
  <c r="J88" i="10"/>
  <c r="K88" i="10" s="1"/>
  <c r="Q88" i="10" s="1"/>
  <c r="R88" i="10" s="1"/>
  <c r="S88" i="10" s="1"/>
  <c r="Z88" i="10" s="1"/>
  <c r="I185" i="15"/>
  <c r="J61" i="10"/>
  <c r="T61" i="10" s="1"/>
  <c r="U61" i="10" s="1"/>
  <c r="J243" i="10"/>
  <c r="K243" i="10" s="1"/>
  <c r="J306" i="6" s="1"/>
  <c r="K306" i="6" s="1"/>
  <c r="H155" i="22"/>
  <c r="J71" i="10"/>
  <c r="K71" i="10" s="1"/>
  <c r="J170" i="6" s="1"/>
  <c r="K170" i="6" s="1"/>
  <c r="P56" i="10"/>
  <c r="I56" i="10"/>
  <c r="J56" i="10" s="1"/>
  <c r="K56" i="10" s="1"/>
  <c r="J248" i="6" s="1"/>
  <c r="K248" i="6" s="1"/>
  <c r="AM11" i="13"/>
  <c r="E266" i="15"/>
  <c r="F266" i="15" s="1"/>
  <c r="AE382" i="13"/>
  <c r="H140" i="15"/>
  <c r="I140" i="15" s="1"/>
  <c r="P35" i="10"/>
  <c r="H219" i="22"/>
  <c r="E327" i="15"/>
  <c r="F327" i="15" s="1"/>
  <c r="AM225" i="13"/>
  <c r="H22" i="15"/>
  <c r="I22" i="15" s="1"/>
  <c r="H35" i="15"/>
  <c r="I35" i="15" s="1"/>
  <c r="H106" i="15"/>
  <c r="I106" i="15" s="1"/>
  <c r="H208" i="15"/>
  <c r="I208" i="15" s="1"/>
  <c r="L991" i="19"/>
  <c r="H206" i="10"/>
  <c r="L990" i="19"/>
  <c r="H206" i="22" s="1"/>
  <c r="L992" i="19"/>
  <c r="L993" i="19"/>
  <c r="H142" i="15"/>
  <c r="I142" i="15" s="1"/>
  <c r="L474" i="19"/>
  <c r="L613" i="19"/>
  <c r="L611" i="19"/>
  <c r="L610" i="19"/>
  <c r="L612" i="19"/>
  <c r="H130" i="10"/>
  <c r="AE379" i="13"/>
  <c r="E263" i="15"/>
  <c r="F263" i="15" s="1"/>
  <c r="H133" i="15"/>
  <c r="I133" i="15" s="1"/>
  <c r="H220" i="15"/>
  <c r="I220" i="15" s="1"/>
  <c r="H95" i="10"/>
  <c r="L438" i="19"/>
  <c r="L439" i="19" s="1"/>
  <c r="H335" i="10"/>
  <c r="L1635" i="19"/>
  <c r="H335" i="22" s="1"/>
  <c r="L1637" i="19"/>
  <c r="E251" i="15"/>
  <c r="F251" i="15" s="1"/>
  <c r="AE367" i="13"/>
  <c r="H33" i="15"/>
  <c r="I33" i="15" s="1"/>
  <c r="H231" i="15"/>
  <c r="I231" i="15" s="1"/>
  <c r="AE439" i="13"/>
  <c r="L1753" i="19"/>
  <c r="H265" i="10"/>
  <c r="I23" i="15"/>
  <c r="I14" i="15"/>
  <c r="P170" i="10"/>
  <c r="I170" i="10"/>
  <c r="J170" i="10" s="1"/>
  <c r="I205" i="10"/>
  <c r="J205" i="10" s="1"/>
  <c r="AD205" i="10" s="1"/>
  <c r="AF205" i="10" s="1"/>
  <c r="P205" i="10"/>
  <c r="P131" i="10"/>
  <c r="I131" i="10"/>
  <c r="J131" i="10" s="1"/>
  <c r="K131" i="10" s="1"/>
  <c r="H222" i="15"/>
  <c r="I222" i="15" s="1"/>
  <c r="H31" i="15"/>
  <c r="I31" i="15" s="1"/>
  <c r="L22" i="19"/>
  <c r="L20" i="19"/>
  <c r="H12" i="22" s="1"/>
  <c r="L21" i="19"/>
  <c r="H12" i="10"/>
  <c r="L23" i="19"/>
  <c r="H217" i="22"/>
  <c r="H330" i="22"/>
  <c r="E274" i="15"/>
  <c r="F274" i="15" s="1"/>
  <c r="AE390" i="13"/>
  <c r="L60" i="19"/>
  <c r="H20" i="10"/>
  <c r="H279" i="10"/>
  <c r="L1358" i="19"/>
  <c r="L1355" i="19"/>
  <c r="H279" i="22" s="1"/>
  <c r="AM320" i="13"/>
  <c r="L1595" i="19"/>
  <c r="L1598" i="19"/>
  <c r="L1158" i="19"/>
  <c r="L1156" i="19"/>
  <c r="H239" i="22"/>
  <c r="L985" i="19"/>
  <c r="L986" i="19"/>
  <c r="L987" i="19"/>
  <c r="L1369" i="19"/>
  <c r="L799" i="19"/>
  <c r="L899" i="19"/>
  <c r="H213" i="22"/>
  <c r="H25" i="22"/>
  <c r="H227" i="22"/>
  <c r="H211" i="22"/>
  <c r="H126" i="22"/>
  <c r="L1553" i="19"/>
  <c r="H318" i="10"/>
  <c r="L1552" i="19"/>
  <c r="L467" i="19"/>
  <c r="L468" i="19"/>
  <c r="H101" i="10"/>
  <c r="L465" i="19"/>
  <c r="L197" i="19"/>
  <c r="L198" i="19"/>
  <c r="H164" i="22"/>
  <c r="H231" i="22"/>
  <c r="L594" i="19"/>
  <c r="H137" i="22"/>
  <c r="I111" i="15"/>
  <c r="H351" i="22"/>
  <c r="I137" i="15"/>
  <c r="I155" i="15"/>
  <c r="H318" i="22"/>
  <c r="H184" i="22"/>
  <c r="I126" i="15"/>
  <c r="I58" i="15"/>
  <c r="H99" i="22"/>
  <c r="H340" i="22"/>
  <c r="J23" i="10"/>
  <c r="T23" i="10" s="1"/>
  <c r="U23" i="10" s="1"/>
  <c r="J262" i="10"/>
  <c r="K262" i="10" s="1"/>
  <c r="J262" i="13" s="1"/>
  <c r="H160" i="22"/>
  <c r="J44" i="10"/>
  <c r="K44" i="10" s="1"/>
  <c r="J44" i="13" s="1"/>
  <c r="H268" i="22"/>
  <c r="J14" i="10"/>
  <c r="K14" i="10" s="1"/>
  <c r="J14" i="13" s="1"/>
  <c r="J31" i="10"/>
  <c r="AD31" i="10" s="1"/>
  <c r="AF31" i="10" s="1"/>
  <c r="J160" i="10"/>
  <c r="AD160" i="10" s="1"/>
  <c r="AF160" i="10" s="1"/>
  <c r="I187" i="15"/>
  <c r="I118" i="15"/>
  <c r="I79" i="15"/>
  <c r="J217" i="10"/>
  <c r="AD217" i="10" s="1"/>
  <c r="AF217" i="10" s="1"/>
  <c r="J223" i="10"/>
  <c r="K223" i="10" s="1"/>
  <c r="I135" i="15"/>
  <c r="F244" i="22"/>
  <c r="H244" i="22" s="1"/>
  <c r="I56" i="15"/>
  <c r="H287" i="22"/>
  <c r="J89" i="10"/>
  <c r="I204" i="15"/>
  <c r="I174" i="15"/>
  <c r="H288" i="22"/>
  <c r="J340" i="10"/>
  <c r="K340" i="10" s="1"/>
  <c r="J340" i="13" s="1"/>
  <c r="J135" i="10"/>
  <c r="K135" i="10" s="1"/>
  <c r="J223" i="6" s="1"/>
  <c r="K223" i="6" s="1"/>
  <c r="I207" i="15"/>
  <c r="J100" i="10"/>
  <c r="K100" i="10" s="1"/>
  <c r="Y100" i="10" s="1"/>
  <c r="J241" i="10"/>
  <c r="K241" i="10" s="1"/>
  <c r="J241" i="13" s="1"/>
  <c r="J308" i="10"/>
  <c r="AD308" i="10" s="1"/>
  <c r="AF308" i="10" s="1"/>
  <c r="J164" i="10"/>
  <c r="K164" i="10" s="1"/>
  <c r="J127" i="10"/>
  <c r="T127" i="10" s="1"/>
  <c r="U127" i="10" s="1"/>
  <c r="H150" i="22"/>
  <c r="H58" i="22"/>
  <c r="H749" i="22"/>
  <c r="J186" i="10"/>
  <c r="AD186" i="10" s="1"/>
  <c r="AF186" i="10" s="1"/>
  <c r="H338" i="22"/>
  <c r="H53" i="22"/>
  <c r="I278" i="10"/>
  <c r="J278" i="10" s="1"/>
  <c r="AD278" i="10" s="1"/>
  <c r="AF278" i="10" s="1"/>
  <c r="P278" i="10"/>
  <c r="H161" i="15"/>
  <c r="I161" i="15" s="1"/>
  <c r="H261" i="15"/>
  <c r="H183" i="10"/>
  <c r="L875" i="19"/>
  <c r="L337" i="19"/>
  <c r="L335" i="19"/>
  <c r="H75" i="22" s="1"/>
  <c r="AM202" i="13"/>
  <c r="H324" i="15"/>
  <c r="I324" i="15" s="1"/>
  <c r="H189" i="15"/>
  <c r="I189" i="15" s="1"/>
  <c r="I255" i="10"/>
  <c r="J255" i="10" s="1"/>
  <c r="K255" i="10" s="1"/>
  <c r="P255" i="10"/>
  <c r="H10" i="15"/>
  <c r="I10" i="15" s="1"/>
  <c r="L425" i="19"/>
  <c r="L426" i="19"/>
  <c r="H278" i="15"/>
  <c r="L242" i="19"/>
  <c r="L240" i="19"/>
  <c r="L243" i="19"/>
  <c r="L241" i="19"/>
  <c r="L742" i="19"/>
  <c r="L741" i="19"/>
  <c r="H156" i="10"/>
  <c r="L743" i="19"/>
  <c r="L740" i="19"/>
  <c r="I341" i="10"/>
  <c r="J341" i="10" s="1"/>
  <c r="T341" i="10" s="1"/>
  <c r="U341" i="10" s="1"/>
  <c r="P341" i="10"/>
  <c r="L714" i="19"/>
  <c r="L317" i="19"/>
  <c r="P135" i="10"/>
  <c r="L739" i="19"/>
  <c r="L1669" i="19"/>
  <c r="P311" i="10"/>
  <c r="L483" i="19"/>
  <c r="L27" i="19"/>
  <c r="L26" i="19"/>
  <c r="P44" i="10"/>
  <c r="P71" i="10"/>
  <c r="L778" i="19"/>
  <c r="L100" i="19"/>
  <c r="H28" i="22" s="1"/>
  <c r="L102" i="19"/>
  <c r="H360" i="10"/>
  <c r="I360" i="10" s="1"/>
  <c r="J360" i="10" s="1"/>
  <c r="L1762" i="19"/>
  <c r="AM20" i="13"/>
  <c r="L203" i="19"/>
  <c r="L827" i="19"/>
  <c r="L719" i="19"/>
  <c r="E330" i="15"/>
  <c r="F330" i="15" s="1"/>
  <c r="L336" i="19"/>
  <c r="E322" i="15"/>
  <c r="F322" i="15" s="1"/>
  <c r="H29" i="10"/>
  <c r="H34" i="15"/>
  <c r="I34" i="15" s="1"/>
  <c r="H27" i="15"/>
  <c r="I27" i="15" s="1"/>
  <c r="H37" i="15"/>
  <c r="I37" i="15" s="1"/>
  <c r="E317" i="15"/>
  <c r="F317" i="15" s="1"/>
  <c r="AE433" i="13"/>
  <c r="AE411" i="13"/>
  <c r="E295" i="15"/>
  <c r="L1676" i="19"/>
  <c r="L1677" i="19"/>
  <c r="L1678" i="19"/>
  <c r="H307" i="10"/>
  <c r="L1496" i="19"/>
  <c r="L1497" i="19"/>
  <c r="L1498" i="19"/>
  <c r="L1495" i="19"/>
  <c r="H307" i="22" s="1"/>
  <c r="H308" i="15"/>
  <c r="I308" i="15" s="1"/>
  <c r="H270" i="22"/>
  <c r="L684" i="19"/>
  <c r="K1765" i="19"/>
  <c r="C26" i="3" s="1"/>
  <c r="H328" i="15"/>
  <c r="L1099" i="19"/>
  <c r="P173" i="10"/>
  <c r="P134" i="10"/>
  <c r="L784" i="19"/>
  <c r="L1319" i="19"/>
  <c r="L481" i="19"/>
  <c r="H330" i="15"/>
  <c r="L25" i="19"/>
  <c r="I39" i="10"/>
  <c r="J39" i="10" s="1"/>
  <c r="K39" i="10" s="1"/>
  <c r="Q39" i="10" s="1"/>
  <c r="R39" i="10" s="1"/>
  <c r="S39" i="10" s="1"/>
  <c r="Z39" i="10" s="1"/>
  <c r="H26" i="22"/>
  <c r="H63" i="22"/>
  <c r="H163" i="10"/>
  <c r="I163" i="10" s="1"/>
  <c r="J163" i="10" s="1"/>
  <c r="H29" i="22"/>
  <c r="L101" i="19"/>
  <c r="L1760" i="19"/>
  <c r="L201" i="19"/>
  <c r="L828" i="19"/>
  <c r="H75" i="10"/>
  <c r="L877" i="19"/>
  <c r="I221" i="15"/>
  <c r="L107" i="19"/>
  <c r="L1652" i="19"/>
  <c r="L1651" i="19"/>
  <c r="L1653" i="19"/>
  <c r="H66" i="15"/>
  <c r="I66" i="15" s="1"/>
  <c r="AE414" i="13"/>
  <c r="E298" i="15"/>
  <c r="F298" i="15" s="1"/>
  <c r="AM28" i="13"/>
  <c r="AM244" i="13"/>
  <c r="L810" i="19"/>
  <c r="H170" i="22" s="1"/>
  <c r="L811" i="19"/>
  <c r="H331" i="15"/>
  <c r="I331" i="15" s="1"/>
  <c r="AM135" i="13"/>
  <c r="L1541" i="19"/>
  <c r="L1542" i="19"/>
  <c r="AM328" i="13"/>
  <c r="L1235" i="19"/>
  <c r="L1237" i="19"/>
  <c r="H108" i="22"/>
  <c r="C15" i="7"/>
  <c r="L318" i="19"/>
  <c r="L316" i="19"/>
  <c r="L777" i="19"/>
  <c r="L876" i="19"/>
  <c r="L826" i="19"/>
  <c r="L1664" i="19"/>
  <c r="L878" i="19"/>
  <c r="L1609" i="19"/>
  <c r="H161" i="22"/>
  <c r="H338" i="10"/>
  <c r="I100" i="15"/>
  <c r="H44" i="22"/>
  <c r="I205" i="15"/>
  <c r="J162" i="10"/>
  <c r="T162" i="10" s="1"/>
  <c r="U162" i="10" s="1"/>
  <c r="H359" i="22"/>
  <c r="I69" i="15"/>
  <c r="J282" i="10"/>
  <c r="AD282" i="10" s="1"/>
  <c r="AF282" i="10" s="1"/>
  <c r="I67" i="15"/>
  <c r="I43" i="15"/>
  <c r="J37" i="10"/>
  <c r="K37" i="10" s="1"/>
  <c r="J37" i="13" s="1"/>
  <c r="J239" i="10"/>
  <c r="K239" i="10" s="1"/>
  <c r="H187" i="22"/>
  <c r="J187" i="10"/>
  <c r="AD187" i="10" s="1"/>
  <c r="AF187" i="10" s="1"/>
  <c r="H181" i="22"/>
  <c r="J108" i="10"/>
  <c r="K108" i="10" s="1"/>
  <c r="I144" i="15"/>
  <c r="J250" i="10"/>
  <c r="K250" i="10" s="1"/>
  <c r="Y250" i="10" s="1"/>
  <c r="F166" i="22"/>
  <c r="H166" i="22" s="1"/>
  <c r="J25" i="10"/>
  <c r="AD25" i="10" s="1"/>
  <c r="AF25" i="10" s="1"/>
  <c r="J103" i="10"/>
  <c r="K103" i="10" s="1"/>
  <c r="J422" i="6" s="1"/>
  <c r="K422" i="6" s="1"/>
  <c r="J159" i="10"/>
  <c r="H103" i="22"/>
  <c r="I88" i="15"/>
  <c r="J151" i="10"/>
  <c r="J49" i="10"/>
  <c r="J43" i="10"/>
  <c r="T43" i="10" s="1"/>
  <c r="U43" i="10" s="1"/>
  <c r="H159" i="22"/>
  <c r="J275" i="10"/>
  <c r="K275" i="10" s="1"/>
  <c r="AE275" i="10" s="1"/>
  <c r="I149" i="15"/>
  <c r="I260" i="10"/>
  <c r="J260" i="10" s="1"/>
  <c r="P260" i="10"/>
  <c r="L1305" i="19"/>
  <c r="L1306" i="19"/>
  <c r="L1307" i="19"/>
  <c r="L1308" i="19"/>
  <c r="H269" i="10"/>
  <c r="H177" i="15"/>
  <c r="I177" i="15" s="1"/>
  <c r="H165" i="15"/>
  <c r="I165" i="15" s="1"/>
  <c r="AM321" i="13"/>
  <c r="H238" i="15"/>
  <c r="I238" i="15" s="1"/>
  <c r="H41" i="15"/>
  <c r="I41" i="15" s="1"/>
  <c r="E293" i="15"/>
  <c r="F293" i="15" s="1"/>
  <c r="AE409" i="13"/>
  <c r="L1507" i="19"/>
  <c r="L1508" i="19"/>
  <c r="H309" i="10"/>
  <c r="L1506" i="19"/>
  <c r="H228" i="15"/>
  <c r="I228" i="15" s="1"/>
  <c r="H224" i="15"/>
  <c r="I224" i="15" s="1"/>
  <c r="AM337" i="13"/>
  <c r="H184" i="15"/>
  <c r="I184" i="15" s="1"/>
  <c r="H45" i="15"/>
  <c r="I45" i="15" s="1"/>
  <c r="H284" i="15"/>
  <c r="I284" i="15" s="1"/>
  <c r="L1522" i="19"/>
  <c r="L1521" i="19"/>
  <c r="L1520" i="19"/>
  <c r="L1523" i="19"/>
  <c r="H312" i="10"/>
  <c r="H283" i="15"/>
  <c r="I283" i="15" s="1"/>
  <c r="L1726" i="19"/>
  <c r="L1725" i="19"/>
  <c r="H353" i="22" s="1"/>
  <c r="L1727" i="19"/>
  <c r="L1728" i="19"/>
  <c r="H353" i="10"/>
  <c r="H83" i="15"/>
  <c r="I83" i="15" s="1"/>
  <c r="H59" i="15"/>
  <c r="I59" i="15" s="1"/>
  <c r="H232" i="15"/>
  <c r="I232" i="15" s="1"/>
  <c r="H285" i="15"/>
  <c r="I285" i="15" s="1"/>
  <c r="L174" i="19"/>
  <c r="P223" i="10"/>
  <c r="L459" i="19"/>
  <c r="L1633" i="19"/>
  <c r="H334" i="10"/>
  <c r="L1631" i="19"/>
  <c r="L1630" i="19"/>
  <c r="H334" i="22" s="1"/>
  <c r="L1632" i="19"/>
  <c r="AE391" i="13"/>
  <c r="E275" i="15"/>
  <c r="F275" i="15" s="1"/>
  <c r="H206" i="15"/>
  <c r="I206" i="15" s="1"/>
  <c r="L1568" i="19"/>
  <c r="L1567" i="19"/>
  <c r="H321" i="10"/>
  <c r="L1565" i="19"/>
  <c r="L1566" i="19"/>
  <c r="H260" i="15"/>
  <c r="H15" i="15"/>
  <c r="I15" i="15" s="1"/>
  <c r="H128" i="15"/>
  <c r="I128" i="15" s="1"/>
  <c r="H154" i="15"/>
  <c r="I154" i="15" s="1"/>
  <c r="H26" i="15"/>
  <c r="I26" i="15" s="1"/>
  <c r="H24" i="15"/>
  <c r="I24" i="15" s="1"/>
  <c r="L638" i="19"/>
  <c r="L636" i="19"/>
  <c r="L635" i="19"/>
  <c r="L637" i="19"/>
  <c r="H318" i="15"/>
  <c r="H214" i="15"/>
  <c r="I214" i="15" s="1"/>
  <c r="H148" i="15"/>
  <c r="I148" i="15" s="1"/>
  <c r="H275" i="15"/>
  <c r="I275" i="15" s="1"/>
  <c r="I236" i="15"/>
  <c r="F236" i="15"/>
  <c r="H215" i="10"/>
  <c r="L1038" i="19"/>
  <c r="L1036" i="19"/>
  <c r="L1035" i="19"/>
  <c r="L1037" i="19"/>
  <c r="H217" i="15"/>
  <c r="I217" i="15" s="1"/>
  <c r="L1216" i="19"/>
  <c r="L1218" i="19"/>
  <c r="H251" i="10"/>
  <c r="L1217" i="19"/>
  <c r="L1215" i="19"/>
  <c r="H13" i="15"/>
  <c r="I13" i="15" s="1"/>
  <c r="H76" i="15"/>
  <c r="I76" i="15" s="1"/>
  <c r="L629" i="19"/>
  <c r="I50" i="15"/>
  <c r="E270" i="15"/>
  <c r="AE386" i="13"/>
  <c r="L1262" i="19"/>
  <c r="L1263" i="19"/>
  <c r="L1261" i="19"/>
  <c r="O24" i="16" s="1"/>
  <c r="L1260" i="19"/>
  <c r="H192" i="15"/>
  <c r="I192" i="15" s="1"/>
  <c r="H202" i="15"/>
  <c r="I202" i="15" s="1"/>
  <c r="H160" i="15"/>
  <c r="I160" i="15" s="1"/>
  <c r="AM38" i="13"/>
  <c r="L1615" i="19"/>
  <c r="H331" i="22" s="1"/>
  <c r="L1618" i="19"/>
  <c r="H331" i="10"/>
  <c r="L1617" i="19"/>
  <c r="L1616" i="19"/>
  <c r="H219" i="15"/>
  <c r="I219" i="15" s="1"/>
  <c r="H203" i="15"/>
  <c r="I203" i="15" s="1"/>
  <c r="L1648" i="19"/>
  <c r="L1646" i="19"/>
  <c r="L1645" i="19"/>
  <c r="H337" i="10"/>
  <c r="L1647" i="19"/>
  <c r="H195" i="15"/>
  <c r="I195" i="15" s="1"/>
  <c r="H176" i="15"/>
  <c r="I176" i="15" s="1"/>
  <c r="E311" i="15"/>
  <c r="F311" i="15" s="1"/>
  <c r="AE427" i="13"/>
  <c r="H107" i="10"/>
  <c r="L498" i="19"/>
  <c r="L495" i="19"/>
  <c r="H227" i="15"/>
  <c r="I227" i="15" s="1"/>
  <c r="AM360" i="13"/>
  <c r="AM329" i="13"/>
  <c r="L1746" i="19"/>
  <c r="L1747" i="19"/>
  <c r="L1745" i="19"/>
  <c r="L1748" i="19"/>
  <c r="H357" i="10"/>
  <c r="H108" i="15"/>
  <c r="I108" i="15" s="1"/>
  <c r="H170" i="15"/>
  <c r="I170" i="15" s="1"/>
  <c r="H242" i="15"/>
  <c r="I242" i="15" s="1"/>
  <c r="L512" i="19"/>
  <c r="L511" i="19"/>
  <c r="L510" i="19"/>
  <c r="H110" i="10"/>
  <c r="L513" i="19"/>
  <c r="H209" i="15"/>
  <c r="I209" i="15" s="1"/>
  <c r="H259" i="15"/>
  <c r="I259" i="15" s="1"/>
  <c r="H289" i="15"/>
  <c r="I289" i="15" s="1"/>
  <c r="H41" i="22"/>
  <c r="P108" i="10"/>
  <c r="L1464" i="19"/>
  <c r="I178" i="15"/>
  <c r="L1587" i="19"/>
  <c r="L1588" i="19"/>
  <c r="H325" i="10"/>
  <c r="L1585" i="19"/>
  <c r="L1586" i="19"/>
  <c r="E250" i="15"/>
  <c r="F250" i="15" s="1"/>
  <c r="AE366" i="13"/>
  <c r="H61" i="15"/>
  <c r="I61" i="15" s="1"/>
  <c r="AM211" i="13"/>
  <c r="L1090" i="19"/>
  <c r="L1092" i="19"/>
  <c r="H226" i="10"/>
  <c r="L1093" i="19"/>
  <c r="L1091" i="19"/>
  <c r="AM175" i="13"/>
  <c r="H54" i="15"/>
  <c r="I54" i="15" s="1"/>
  <c r="L982" i="19"/>
  <c r="L980" i="19"/>
  <c r="L981" i="19"/>
  <c r="L983" i="19"/>
  <c r="H204" i="10"/>
  <c r="H230" i="15"/>
  <c r="I230" i="15" s="1"/>
  <c r="H86" i="15"/>
  <c r="I86" i="15" s="1"/>
  <c r="AM101" i="13"/>
  <c r="H42" i="15"/>
  <c r="I42" i="15" s="1"/>
  <c r="L1248" i="19"/>
  <c r="I21" i="12" s="1"/>
  <c r="L1247" i="19"/>
  <c r="L1245" i="19"/>
  <c r="L1246" i="19"/>
  <c r="H257" i="10"/>
  <c r="C20" i="8" s="1"/>
  <c r="P293" i="10"/>
  <c r="I293" i="10"/>
  <c r="J293" i="10" s="1"/>
  <c r="H218" i="15"/>
  <c r="I218" i="15" s="1"/>
  <c r="H225" i="15"/>
  <c r="I225" i="15" s="1"/>
  <c r="H114" i="15"/>
  <c r="I114" i="15" s="1"/>
  <c r="H199" i="15"/>
  <c r="I199" i="15" s="1"/>
  <c r="H239" i="15"/>
  <c r="I239" i="15" s="1"/>
  <c r="AM237" i="13"/>
  <c r="H315" i="15"/>
  <c r="H80" i="15"/>
  <c r="I80" i="15" s="1"/>
  <c r="H122" i="15"/>
  <c r="I122" i="15" s="1"/>
  <c r="H129" i="15"/>
  <c r="I129" i="15" s="1"/>
  <c r="H252" i="15"/>
  <c r="I252" i="15" s="1"/>
  <c r="H14" i="22"/>
  <c r="L1409" i="19"/>
  <c r="L884" i="19"/>
  <c r="H352" i="22"/>
  <c r="L1724" i="19"/>
  <c r="L1699" i="19"/>
  <c r="L1384" i="19"/>
  <c r="L664" i="19"/>
  <c r="H309" i="22"/>
  <c r="L1059" i="19"/>
  <c r="I184" i="10"/>
  <c r="J184" i="10" s="1"/>
  <c r="K184" i="10" s="1"/>
  <c r="P184" i="10"/>
  <c r="I228" i="10"/>
  <c r="J228" i="10" s="1"/>
  <c r="P144" i="10"/>
  <c r="I144" i="10"/>
  <c r="J144" i="10" s="1"/>
  <c r="AD144" i="10" s="1"/>
  <c r="AF144" i="10" s="1"/>
  <c r="L919" i="19"/>
  <c r="L1759" i="19"/>
  <c r="L1739" i="19"/>
  <c r="I299" i="10"/>
  <c r="J299" i="10" s="1"/>
  <c r="K299" i="10" s="1"/>
  <c r="L794" i="19"/>
  <c r="L94" i="19"/>
  <c r="L539" i="19"/>
  <c r="L279" i="19"/>
  <c r="L1404" i="19"/>
  <c r="I288" i="10"/>
  <c r="J288" i="10" s="1"/>
  <c r="P288" i="10"/>
  <c r="L559" i="19"/>
  <c r="L434" i="19"/>
  <c r="H157" i="22"/>
  <c r="L749" i="19"/>
  <c r="H295" i="22"/>
  <c r="P26" i="10"/>
  <c r="I26" i="10"/>
  <c r="J26" i="10" s="1"/>
  <c r="T26" i="10" s="1"/>
  <c r="U26" i="10" s="1"/>
  <c r="L1734" i="19"/>
  <c r="H354" i="22"/>
  <c r="P47" i="10"/>
  <c r="I47" i="10"/>
  <c r="J47" i="10" s="1"/>
  <c r="T47" i="10" s="1"/>
  <c r="U47" i="10" s="1"/>
  <c r="H122" i="22"/>
  <c r="F283" i="15"/>
  <c r="H292" i="22"/>
  <c r="L1424" i="19"/>
  <c r="I328" i="10"/>
  <c r="J328" i="10" s="1"/>
  <c r="K328" i="10" s="1"/>
  <c r="P328" i="10"/>
  <c r="L869" i="19"/>
  <c r="L119" i="19"/>
  <c r="H31" i="22"/>
  <c r="L1184" i="19"/>
  <c r="L359" i="19"/>
  <c r="L1329" i="19"/>
  <c r="L1114" i="19"/>
  <c r="L1624" i="19"/>
  <c r="I248" i="10"/>
  <c r="J248" i="10" s="1"/>
  <c r="P248" i="10"/>
  <c r="I266" i="10"/>
  <c r="J266" i="10" s="1"/>
  <c r="K266" i="10" s="1"/>
  <c r="P266" i="10"/>
  <c r="H266" i="22"/>
  <c r="L1294" i="19"/>
  <c r="P339" i="10"/>
  <c r="I339" i="10"/>
  <c r="J339" i="10" s="1"/>
  <c r="I85" i="10"/>
  <c r="J85" i="10" s="1"/>
  <c r="P85" i="10"/>
  <c r="I292" i="10"/>
  <c r="J292" i="10" s="1"/>
  <c r="I319" i="10"/>
  <c r="J319" i="10" s="1"/>
  <c r="P319" i="10"/>
  <c r="L324" i="19"/>
  <c r="H332" i="22"/>
  <c r="L764" i="19"/>
  <c r="P115" i="10"/>
  <c r="I115" i="10"/>
  <c r="J115" i="10" s="1"/>
  <c r="AD115" i="10" s="1"/>
  <c r="AF115" i="10" s="1"/>
  <c r="I194" i="10"/>
  <c r="J194" i="10" s="1"/>
  <c r="K194" i="10" s="1"/>
  <c r="P194" i="10"/>
  <c r="P157" i="10"/>
  <c r="I157" i="10"/>
  <c r="J157" i="10" s="1"/>
  <c r="H131" i="22"/>
  <c r="L409" i="19"/>
  <c r="H89" i="22"/>
  <c r="L1189" i="19"/>
  <c r="H245" i="22"/>
  <c r="L1204" i="19"/>
  <c r="H248" i="22"/>
  <c r="I72" i="10"/>
  <c r="J72" i="10" s="1"/>
  <c r="K72" i="10" s="1"/>
  <c r="P72" i="10"/>
  <c r="L934" i="19"/>
  <c r="H194" i="22"/>
  <c r="I191" i="10"/>
  <c r="J191" i="10" s="1"/>
  <c r="AD191" i="10" s="1"/>
  <c r="AF191" i="10" s="1"/>
  <c r="P191" i="10"/>
  <c r="P149" i="10"/>
  <c r="I149" i="10"/>
  <c r="J149" i="10" s="1"/>
  <c r="K149" i="10" s="1"/>
  <c r="L709" i="19"/>
  <c r="H149" i="22"/>
  <c r="L1514" i="19"/>
  <c r="H310" i="22"/>
  <c r="L859" i="19"/>
  <c r="L34" i="19"/>
  <c r="L809" i="19"/>
  <c r="L1119" i="19"/>
  <c r="H79" i="22"/>
  <c r="L1584" i="19"/>
  <c r="I93" i="10"/>
  <c r="J93" i="10" s="1"/>
  <c r="P93" i="10"/>
  <c r="L209" i="19"/>
  <c r="H49" i="22"/>
  <c r="H176" i="22"/>
  <c r="H55" i="22"/>
  <c r="L239" i="19"/>
  <c r="I48" i="10"/>
  <c r="J48" i="10" s="1"/>
  <c r="P48" i="10"/>
  <c r="P306" i="10"/>
  <c r="I306" i="10"/>
  <c r="J306" i="10" s="1"/>
  <c r="I40" i="10"/>
  <c r="J40" i="10" s="1"/>
  <c r="AD40" i="10" s="1"/>
  <c r="AF40" i="10" s="1"/>
  <c r="P40" i="10"/>
  <c r="L1659" i="19"/>
  <c r="H339" i="22"/>
  <c r="L894" i="19"/>
  <c r="H186" i="22"/>
  <c r="I45" i="10"/>
  <c r="J45" i="10" s="1"/>
  <c r="AD45" i="10" s="1"/>
  <c r="AF45" i="10" s="1"/>
  <c r="P45" i="10"/>
  <c r="I181" i="10"/>
  <c r="J181" i="10" s="1"/>
  <c r="P181" i="10"/>
  <c r="L389" i="19"/>
  <c r="H85" i="22"/>
  <c r="L1604" i="19"/>
  <c r="H328" i="22"/>
  <c r="L399" i="19"/>
  <c r="H87" i="22"/>
  <c r="H134" i="22"/>
  <c r="L634" i="19"/>
  <c r="I310" i="10"/>
  <c r="J310" i="10" s="1"/>
  <c r="K310" i="10" s="1"/>
  <c r="L1559" i="19"/>
  <c r="H319" i="22"/>
  <c r="I63" i="10"/>
  <c r="J63" i="10" s="1"/>
  <c r="K63" i="10" s="1"/>
  <c r="P63" i="10"/>
  <c r="L704" i="19"/>
  <c r="L804" i="19"/>
  <c r="L189" i="19"/>
  <c r="I281" i="10"/>
  <c r="J281" i="10" s="1"/>
  <c r="K281" i="10" s="1"/>
  <c r="I74" i="10"/>
  <c r="J74" i="10" s="1"/>
  <c r="P74" i="10"/>
  <c r="H18" i="22"/>
  <c r="L349" i="19"/>
  <c r="H77" i="22"/>
  <c r="H125" i="22"/>
  <c r="L589" i="19"/>
  <c r="I126" i="10"/>
  <c r="J126" i="10" s="1"/>
  <c r="K126" i="10" s="1"/>
  <c r="I192" i="10"/>
  <c r="J192" i="10" s="1"/>
  <c r="K192" i="10" s="1"/>
  <c r="P192" i="10"/>
  <c r="I220" i="10"/>
  <c r="J220" i="10" s="1"/>
  <c r="K220" i="10" s="1"/>
  <c r="I51" i="10"/>
  <c r="J51" i="10" s="1"/>
  <c r="K51" i="10" s="1"/>
  <c r="I114" i="10"/>
  <c r="J114" i="10" s="1"/>
  <c r="K114" i="10" s="1"/>
  <c r="H254" i="22"/>
  <c r="L1234" i="19"/>
  <c r="I326" i="10"/>
  <c r="J326" i="10" s="1"/>
  <c r="K326" i="10" s="1"/>
  <c r="I11" i="10"/>
  <c r="J11" i="10" s="1"/>
  <c r="H274" i="22"/>
  <c r="L1334" i="19"/>
  <c r="P259" i="10"/>
  <c r="I259" i="10"/>
  <c r="J259" i="10" s="1"/>
  <c r="I210" i="10"/>
  <c r="J210" i="10" s="1"/>
  <c r="K210" i="10" s="1"/>
  <c r="I200" i="10"/>
  <c r="J200" i="10" s="1"/>
  <c r="K200" i="10" s="1"/>
  <c r="P200" i="10"/>
  <c r="H281" i="22"/>
  <c r="H192" i="22"/>
  <c r="L274" i="19"/>
  <c r="L909" i="19"/>
  <c r="I180" i="10"/>
  <c r="J180" i="10" s="1"/>
  <c r="H180" i="22"/>
  <c r="L864" i="19"/>
  <c r="I150" i="10"/>
  <c r="J150" i="10" s="1"/>
  <c r="K150" i="10" s="1"/>
  <c r="H74" i="22"/>
  <c r="H348" i="22"/>
  <c r="L1704" i="19"/>
  <c r="L699" i="19"/>
  <c r="H147" i="22"/>
  <c r="P351" i="10"/>
  <c r="I351" i="10"/>
  <c r="J351" i="10" s="1"/>
  <c r="F11" i="22"/>
  <c r="H11" i="22" s="1"/>
  <c r="H264" i="22"/>
  <c r="L1284" i="19"/>
  <c r="H163" i="22"/>
  <c r="I240" i="10"/>
  <c r="J240" i="10" s="1"/>
  <c r="P240" i="10"/>
  <c r="H317" i="22"/>
  <c r="L1549" i="19"/>
  <c r="L1064" i="19"/>
  <c r="H220" i="22"/>
  <c r="I54" i="10"/>
  <c r="J54" i="10" s="1"/>
  <c r="K54" i="10" s="1"/>
  <c r="H345" i="22"/>
  <c r="L1689" i="19"/>
  <c r="I139" i="10"/>
  <c r="J139" i="10" s="1"/>
  <c r="L404" i="19"/>
  <c r="H88" i="22"/>
  <c r="I225" i="10"/>
  <c r="J225" i="10" s="1"/>
  <c r="K225" i="10" s="1"/>
  <c r="L544" i="19"/>
  <c r="L1594" i="19"/>
  <c r="H326" i="22"/>
  <c r="H112" i="22"/>
  <c r="L524" i="19"/>
  <c r="L19" i="19"/>
  <c r="L1274" i="19"/>
  <c r="H262" i="22"/>
  <c r="P344" i="10"/>
  <c r="I344" i="10"/>
  <c r="J344" i="10" s="1"/>
  <c r="L1014" i="19"/>
  <c r="H210" i="22"/>
  <c r="H197" i="22"/>
  <c r="P326" i="10"/>
  <c r="L124" i="19"/>
  <c r="L649" i="19"/>
  <c r="I189" i="10"/>
  <c r="J189" i="10" s="1"/>
  <c r="K189" i="10" s="1"/>
  <c r="P189" i="10"/>
  <c r="H241" i="22"/>
  <c r="L1169" i="19"/>
  <c r="I17" i="10"/>
  <c r="J17" i="10" s="1"/>
  <c r="K17" i="10" s="1"/>
  <c r="I348" i="10"/>
  <c r="J348" i="10" s="1"/>
  <c r="K348" i="10" s="1"/>
  <c r="H315" i="22"/>
  <c r="L1539" i="19"/>
  <c r="P147" i="10"/>
  <c r="I147" i="10"/>
  <c r="J147" i="10" s="1"/>
  <c r="P336" i="10"/>
  <c r="I336" i="10"/>
  <c r="J336" i="10" s="1"/>
  <c r="H35" i="22"/>
  <c r="L139" i="19"/>
  <c r="I264" i="10"/>
  <c r="J264" i="10" s="1"/>
  <c r="K264" i="10" s="1"/>
  <c r="P264" i="10"/>
  <c r="L259" i="19"/>
  <c r="H59" i="22"/>
  <c r="H51" i="22"/>
  <c r="I254" i="10"/>
  <c r="J254" i="10" s="1"/>
  <c r="I118" i="10"/>
  <c r="J118" i="10" s="1"/>
  <c r="K118" i="10" s="1"/>
  <c r="I32" i="10"/>
  <c r="J32" i="10" s="1"/>
  <c r="P32" i="10"/>
  <c r="L1374" i="19"/>
  <c r="H282" i="22"/>
  <c r="I356" i="10"/>
  <c r="J356" i="10" s="1"/>
  <c r="K356" i="10" s="1"/>
  <c r="H356" i="22"/>
  <c r="P58" i="10"/>
  <c r="I58" i="10"/>
  <c r="J58" i="10" s="1"/>
  <c r="K58" i="10" s="1"/>
  <c r="I274" i="10"/>
  <c r="J274" i="10" s="1"/>
  <c r="P274" i="10"/>
  <c r="I304" i="10"/>
  <c r="J304" i="10" s="1"/>
  <c r="P304" i="10"/>
  <c r="I136" i="10"/>
  <c r="J136" i="10" s="1"/>
  <c r="K136" i="10" s="1"/>
  <c r="P136" i="10"/>
  <c r="L964" i="19"/>
  <c r="H200" i="22"/>
  <c r="L1519" i="19"/>
  <c r="H311" i="22"/>
  <c r="L1399" i="19"/>
  <c r="L1304" i="19"/>
  <c r="H17" i="22"/>
  <c r="L49" i="19"/>
  <c r="L1214" i="19"/>
  <c r="H250" i="22"/>
  <c r="H336" i="22"/>
  <c r="L1644" i="19"/>
  <c r="I18" i="10"/>
  <c r="J18" i="10" s="1"/>
  <c r="P18" i="10"/>
  <c r="I125" i="10"/>
  <c r="J125" i="10" s="1"/>
  <c r="K125" i="10" s="1"/>
  <c r="P125" i="10"/>
  <c r="I161" i="10"/>
  <c r="J161" i="10" s="1"/>
  <c r="K161" i="10" s="1"/>
  <c r="I287" i="10"/>
  <c r="J287" i="10" s="1"/>
  <c r="I96" i="10"/>
  <c r="J96" i="10" s="1"/>
  <c r="P96" i="10"/>
  <c r="I317" i="10"/>
  <c r="J317" i="10" s="1"/>
  <c r="P317" i="10"/>
  <c r="I345" i="10"/>
  <c r="J345" i="10" s="1"/>
  <c r="H225" i="22"/>
  <c r="L1089" i="19"/>
  <c r="I116" i="10"/>
  <c r="J116" i="10" s="1"/>
  <c r="I112" i="10"/>
  <c r="J112" i="10" s="1"/>
  <c r="K112" i="10" s="1"/>
  <c r="P112" i="10"/>
  <c r="L554" i="19"/>
  <c r="H118" i="22"/>
  <c r="I268" i="10"/>
  <c r="J268" i="10" s="1"/>
  <c r="K268" i="10" s="1"/>
  <c r="L1684" i="19"/>
  <c r="H344" i="22"/>
  <c r="I137" i="10"/>
  <c r="J137" i="10" s="1"/>
  <c r="K137" i="10" s="1"/>
  <c r="L644" i="19"/>
  <c r="H136" i="22"/>
  <c r="L949" i="19"/>
  <c r="L1719" i="19"/>
  <c r="L924" i="19"/>
  <c r="H62" i="22"/>
  <c r="L759" i="19"/>
  <c r="L254" i="19"/>
  <c r="H259" i="22"/>
  <c r="P287" i="10"/>
  <c r="I190" i="10"/>
  <c r="J190" i="10" s="1"/>
  <c r="H117" i="22"/>
  <c r="L549" i="19"/>
  <c r="P237" i="10"/>
  <c r="I237" i="10"/>
  <c r="J237" i="10" s="1"/>
  <c r="H243" i="22"/>
  <c r="L1179" i="19"/>
  <c r="L284" i="19"/>
  <c r="H64" i="22"/>
  <c r="L379" i="19"/>
  <c r="H83" i="22"/>
  <c r="L509" i="19"/>
  <c r="H109" i="22"/>
  <c r="L724" i="19"/>
  <c r="H152" i="22"/>
  <c r="L1149" i="19"/>
  <c r="H237" i="22"/>
  <c r="I185" i="10"/>
  <c r="J185" i="10" s="1"/>
  <c r="K185" i="10" s="1"/>
  <c r="L959" i="19"/>
  <c r="L1124" i="19"/>
  <c r="H232" i="22"/>
  <c r="L1269" i="19"/>
  <c r="H261" i="22"/>
  <c r="H127" i="22"/>
  <c r="L599" i="19"/>
  <c r="I249" i="10"/>
  <c r="J249" i="10" s="1"/>
  <c r="L654" i="19"/>
  <c r="H138" i="22"/>
  <c r="L419" i="19"/>
  <c r="H91" i="22"/>
  <c r="L264" i="19"/>
  <c r="H60" i="22"/>
  <c r="I256" i="10"/>
  <c r="J256" i="10" s="1"/>
  <c r="K256" i="10" s="1"/>
  <c r="P256" i="10"/>
  <c r="L1504" i="19"/>
  <c r="H308" i="22"/>
  <c r="I22" i="10"/>
  <c r="J22" i="10" s="1"/>
  <c r="L1109" i="19"/>
  <c r="H229" i="22"/>
  <c r="I221" i="10"/>
  <c r="J221" i="10" s="1"/>
  <c r="K221" i="10" s="1"/>
  <c r="P221" i="10"/>
  <c r="I285" i="10"/>
  <c r="J285" i="10" s="1"/>
  <c r="K285" i="10" s="1"/>
  <c r="P285" i="10"/>
  <c r="I113" i="10"/>
  <c r="J113" i="10" s="1"/>
  <c r="K113" i="10" s="1"/>
  <c r="AA113" i="10" s="1"/>
  <c r="L1084" i="19"/>
  <c r="H224" i="22"/>
  <c r="L729" i="19"/>
  <c r="H153" i="22"/>
  <c r="P123" i="10"/>
  <c r="I123" i="10"/>
  <c r="J123" i="10" s="1"/>
  <c r="L1199" i="19"/>
  <c r="H247" i="22"/>
  <c r="L159" i="19"/>
  <c r="H39" i="22"/>
  <c r="L969" i="19"/>
  <c r="H201" i="22"/>
  <c r="L154" i="19"/>
  <c r="H38" i="22"/>
  <c r="L1224" i="19"/>
  <c r="H252" i="22"/>
  <c r="I142" i="10"/>
  <c r="J142" i="10" s="1"/>
  <c r="L1444" i="19"/>
  <c r="H296" i="22"/>
  <c r="I291" i="10"/>
  <c r="J291" i="10" s="1"/>
  <c r="K291" i="10" s="1"/>
  <c r="P291" i="10"/>
  <c r="L939" i="19"/>
  <c r="H195" i="22"/>
  <c r="L689" i="19"/>
  <c r="H145" i="22"/>
  <c r="H57" i="22"/>
  <c r="L249" i="19"/>
  <c r="L179" i="19"/>
  <c r="H43" i="22"/>
  <c r="H104" i="22"/>
  <c r="I203" i="10"/>
  <c r="J203" i="10" s="1"/>
  <c r="L669" i="19"/>
  <c r="H141" i="22"/>
  <c r="I301" i="10"/>
  <c r="J301" i="10" s="1"/>
  <c r="K301" i="10" s="1"/>
  <c r="P301" i="10"/>
  <c r="I212" i="10"/>
  <c r="J212" i="10" s="1"/>
  <c r="K212" i="10" s="1"/>
  <c r="I33" i="10"/>
  <c r="J33" i="10" s="1"/>
  <c r="L129" i="19"/>
  <c r="H33" i="22"/>
  <c r="I76" i="10"/>
  <c r="J76" i="10" s="1"/>
  <c r="K76" i="10" s="1"/>
  <c r="L914" i="19"/>
  <c r="H190" i="22"/>
  <c r="H234" i="22"/>
  <c r="I67" i="10"/>
  <c r="J67" i="10" s="1"/>
  <c r="K67" i="10" s="1"/>
  <c r="L1349" i="19"/>
  <c r="H277" i="22"/>
  <c r="I342" i="10"/>
  <c r="J342" i="10" s="1"/>
  <c r="L1674" i="19"/>
  <c r="H342" i="22"/>
  <c r="L609" i="19"/>
  <c r="H129" i="22"/>
  <c r="I65" i="10"/>
  <c r="J65" i="10" s="1"/>
  <c r="K65" i="10" s="1"/>
  <c r="P11" i="10"/>
  <c r="O361" i="10"/>
  <c r="L1154" i="19"/>
  <c r="H238" i="22"/>
  <c r="I208" i="10"/>
  <c r="J208" i="10" s="1"/>
  <c r="K208" i="10" s="1"/>
  <c r="P208" i="10"/>
  <c r="I198" i="10"/>
  <c r="J198" i="10" s="1"/>
  <c r="I207" i="10"/>
  <c r="J207" i="10" s="1"/>
  <c r="K207" i="10" s="1"/>
  <c r="P207" i="10"/>
  <c r="L1394" i="19"/>
  <c r="H286" i="22"/>
  <c r="I218" i="10"/>
  <c r="J218" i="10" s="1"/>
  <c r="K218" i="10" s="1"/>
  <c r="I313" i="10"/>
  <c r="J313" i="10" s="1"/>
  <c r="L39" i="19"/>
  <c r="H15" i="22"/>
  <c r="I145" i="10"/>
  <c r="J145" i="10" s="1"/>
  <c r="K145" i="10" s="1"/>
  <c r="I91" i="10"/>
  <c r="J91" i="10" s="1"/>
  <c r="I196" i="10"/>
  <c r="J196" i="10" s="1"/>
  <c r="K196" i="10" s="1"/>
  <c r="P146" i="10"/>
  <c r="I146" i="10"/>
  <c r="J146" i="10" s="1"/>
  <c r="I105" i="10"/>
  <c r="J105" i="10" s="1"/>
  <c r="K105" i="10" s="1"/>
  <c r="L144" i="19"/>
  <c r="H36" i="22"/>
  <c r="I73" i="10"/>
  <c r="J73" i="10" s="1"/>
  <c r="K73" i="10" s="1"/>
  <c r="I182" i="10"/>
  <c r="J182" i="10" s="1"/>
  <c r="I267" i="10"/>
  <c r="J267" i="10" s="1"/>
  <c r="I83" i="10"/>
  <c r="J83" i="10" s="1"/>
  <c r="K83" i="10" s="1"/>
  <c r="L1564" i="19"/>
  <c r="H320" i="22"/>
  <c r="L449" i="19"/>
  <c r="H97" i="22"/>
  <c r="L889" i="19"/>
  <c r="H185" i="22"/>
  <c r="I30" i="10"/>
  <c r="J30" i="10" s="1"/>
  <c r="L394" i="19"/>
  <c r="H86" i="22"/>
  <c r="I276" i="10"/>
  <c r="J276" i="10" s="1"/>
  <c r="L149" i="19"/>
  <c r="H37" i="22"/>
  <c r="L304" i="19"/>
  <c r="H68" i="22"/>
  <c r="I349" i="10"/>
  <c r="J349" i="10" s="1"/>
  <c r="K349" i="10" s="1"/>
  <c r="P349" i="10"/>
  <c r="L1534" i="19"/>
  <c r="H314" i="22"/>
  <c r="L134" i="19"/>
  <c r="H34" i="22"/>
  <c r="L329" i="19"/>
  <c r="H73" i="22"/>
  <c r="L1069" i="19"/>
  <c r="H221" i="22"/>
  <c r="L1339" i="19"/>
  <c r="H275" i="22"/>
  <c r="L529" i="19"/>
  <c r="H113" i="22"/>
  <c r="L14" i="19"/>
  <c r="H10" i="22"/>
  <c r="I235" i="10"/>
  <c r="J235" i="10" s="1"/>
  <c r="I242" i="10"/>
  <c r="J242" i="10" s="1"/>
  <c r="K242" i="10" s="1"/>
  <c r="P242" i="10"/>
  <c r="I90" i="10"/>
  <c r="J90" i="10" s="1"/>
  <c r="K90" i="10" s="1"/>
  <c r="P90" i="10"/>
  <c r="L374" i="19"/>
  <c r="H82" i="22"/>
  <c r="L214" i="19"/>
  <c r="H50" i="22"/>
  <c r="H182" i="22"/>
  <c r="L874" i="19"/>
  <c r="L819" i="19"/>
  <c r="H171" i="22"/>
  <c r="L59" i="19"/>
  <c r="H19" i="22"/>
  <c r="I209" i="10"/>
  <c r="J209" i="10" s="1"/>
  <c r="K209" i="10" s="1"/>
  <c r="L569" i="19"/>
  <c r="H121" i="22"/>
  <c r="I263" i="10"/>
  <c r="J263" i="10" s="1"/>
  <c r="I258" i="10"/>
  <c r="J258" i="10" s="1"/>
  <c r="K258" i="10" s="1"/>
  <c r="Y258" i="10" s="1"/>
  <c r="L679" i="19"/>
  <c r="H143" i="22"/>
  <c r="H106" i="22"/>
  <c r="L494" i="19"/>
  <c r="L309" i="19"/>
  <c r="H69" i="22"/>
  <c r="L299" i="19"/>
  <c r="H67" i="22"/>
  <c r="I52" i="10"/>
  <c r="J52" i="10" s="1"/>
  <c r="I13" i="10"/>
  <c r="L1074" i="19"/>
  <c r="H222" i="22"/>
  <c r="L584" i="19"/>
  <c r="H124" i="22"/>
  <c r="I124" i="10"/>
  <c r="J124" i="10" s="1"/>
  <c r="I323" i="10"/>
  <c r="J323" i="10" s="1"/>
  <c r="K323" i="10" s="1"/>
  <c r="P323" i="10"/>
  <c r="I286" i="10"/>
  <c r="J286" i="10" s="1"/>
  <c r="I15" i="10"/>
  <c r="J15" i="10" s="1"/>
  <c r="P15" i="10"/>
  <c r="H333" i="22"/>
  <c r="P267" i="10"/>
  <c r="P22" i="10"/>
  <c r="P145" i="10"/>
  <c r="P235" i="10"/>
  <c r="P185" i="10"/>
  <c r="P249" i="10"/>
  <c r="I202" i="10"/>
  <c r="J202" i="10" s="1"/>
  <c r="I152" i="10"/>
  <c r="J152" i="10" s="1"/>
  <c r="K152" i="10" s="1"/>
  <c r="P152" i="10"/>
  <c r="P66" i="10"/>
  <c r="I66" i="10"/>
  <c r="L944" i="19"/>
  <c r="H196" i="22"/>
  <c r="L114" i="19"/>
  <c r="H30" i="22"/>
  <c r="I232" i="10"/>
  <c r="J232" i="10" s="1"/>
  <c r="K232" i="10" s="1"/>
  <c r="P232" i="10"/>
  <c r="I261" i="10"/>
  <c r="J261" i="10" s="1"/>
  <c r="P261" i="10"/>
  <c r="I290" i="10"/>
  <c r="J290" i="10" s="1"/>
  <c r="L1209" i="19"/>
  <c r="H249" i="22"/>
  <c r="I138" i="10"/>
  <c r="J138" i="10" s="1"/>
  <c r="P138" i="10"/>
  <c r="L384" i="19"/>
  <c r="H84" i="22"/>
  <c r="H267" i="22"/>
  <c r="L1299" i="19"/>
  <c r="L194" i="19"/>
  <c r="H46" i="22"/>
  <c r="I111" i="10"/>
  <c r="J111" i="10" s="1"/>
  <c r="P111" i="10"/>
  <c r="H165" i="22"/>
  <c r="I314" i="10"/>
  <c r="J314" i="10" s="1"/>
  <c r="P229" i="10"/>
  <c r="I229" i="10"/>
  <c r="J229" i="10" s="1"/>
  <c r="L84" i="19"/>
  <c r="H24" i="22"/>
  <c r="L1389" i="19"/>
  <c r="H285" i="22"/>
  <c r="H23" i="22"/>
  <c r="L79" i="19"/>
  <c r="L579" i="19"/>
  <c r="H123" i="22"/>
  <c r="I346" i="10"/>
  <c r="J346" i="10" s="1"/>
  <c r="K346" i="10" s="1"/>
  <c r="L1694" i="19"/>
  <c r="H346" i="22"/>
  <c r="I38" i="10"/>
  <c r="J38" i="10" s="1"/>
  <c r="K38" i="10" s="1"/>
  <c r="I252" i="10"/>
  <c r="J252" i="10" s="1"/>
  <c r="K252" i="10" s="1"/>
  <c r="AE252" i="10" s="1"/>
  <c r="L674" i="19"/>
  <c r="H142" i="22"/>
  <c r="I82" i="10"/>
  <c r="J82" i="10" s="1"/>
  <c r="K82" i="10" s="1"/>
  <c r="P82" i="10"/>
  <c r="H302" i="22"/>
  <c r="L1474" i="19"/>
  <c r="I296" i="10"/>
  <c r="J296" i="10" s="1"/>
  <c r="P296" i="10"/>
  <c r="L354" i="19"/>
  <c r="H78" i="22"/>
  <c r="H291" i="22"/>
  <c r="L1419" i="19"/>
  <c r="I195" i="10"/>
  <c r="J195" i="10" s="1"/>
  <c r="P195" i="10"/>
  <c r="L604" i="19"/>
  <c r="H128" i="22"/>
  <c r="I57" i="10"/>
  <c r="J57" i="10" s="1"/>
  <c r="P253" i="10"/>
  <c r="I253" i="10"/>
  <c r="J253" i="10" s="1"/>
  <c r="L1574" i="19"/>
  <c r="H322" i="22"/>
  <c r="I143" i="10"/>
  <c r="J143" i="10" s="1"/>
  <c r="K143" i="10" s="1"/>
  <c r="P143" i="10"/>
  <c r="L1324" i="19"/>
  <c r="H272" i="22"/>
  <c r="H212" i="22"/>
  <c r="L1024" i="19"/>
  <c r="I69" i="10"/>
  <c r="J69" i="10" s="1"/>
  <c r="K69" i="10" s="1"/>
  <c r="P69" i="10"/>
  <c r="I283" i="10"/>
  <c r="J283" i="10" s="1"/>
  <c r="K283" i="10" s="1"/>
  <c r="AE283" i="10" s="1"/>
  <c r="L344" i="19"/>
  <c r="H76" i="22"/>
  <c r="I175" i="10"/>
  <c r="J175" i="10" s="1"/>
  <c r="K175" i="10" s="1"/>
  <c r="P175" i="10"/>
  <c r="H92" i="22"/>
  <c r="L424" i="19"/>
  <c r="H52" i="22"/>
  <c r="I277" i="10"/>
  <c r="J277" i="10" s="1"/>
  <c r="K277" i="10" s="1"/>
  <c r="P277" i="10"/>
  <c r="I129" i="10"/>
  <c r="J129" i="10" s="1"/>
  <c r="K129" i="10" s="1"/>
  <c r="P21" i="10"/>
  <c r="I21" i="10"/>
  <c r="J21" i="10" s="1"/>
  <c r="H208" i="22"/>
  <c r="L1004" i="19"/>
  <c r="H207" i="22"/>
  <c r="L999" i="19"/>
  <c r="I297" i="10"/>
  <c r="J297" i="10" s="1"/>
  <c r="K297" i="10" s="1"/>
  <c r="P203" i="10"/>
  <c r="P196" i="10"/>
  <c r="P33" i="10"/>
  <c r="P142" i="10"/>
  <c r="P212" i="10"/>
  <c r="P65" i="10"/>
  <c r="P57" i="10"/>
  <c r="I320" i="10"/>
  <c r="J320" i="10" s="1"/>
  <c r="K320" i="10" s="1"/>
  <c r="P320" i="10"/>
  <c r="L99" i="19"/>
  <c r="H27" i="22"/>
  <c r="P50" i="10"/>
  <c r="I50" i="10"/>
  <c r="J50" i="10" s="1"/>
  <c r="H202" i="22"/>
  <c r="H71" i="22"/>
  <c r="H216" i="22"/>
  <c r="L1044" i="19"/>
  <c r="L774" i="19"/>
  <c r="H162" i="22"/>
  <c r="L294" i="19"/>
  <c r="H66" i="22"/>
  <c r="I199" i="10"/>
  <c r="J199" i="10" s="1"/>
  <c r="I201" i="10"/>
  <c r="J201" i="10" s="1"/>
  <c r="I86" i="10"/>
  <c r="J86" i="10" s="1"/>
  <c r="K86" i="10" s="1"/>
  <c r="L1344" i="19"/>
  <c r="H276" i="22"/>
  <c r="I84" i="10"/>
  <c r="J84" i="10" s="1"/>
  <c r="I68" i="10"/>
  <c r="J68" i="10" s="1"/>
  <c r="I60" i="10"/>
  <c r="J60" i="10" s="1"/>
  <c r="L489" i="19"/>
  <c r="H105" i="22"/>
  <c r="I46" i="10"/>
  <c r="J46" i="10" s="1"/>
  <c r="K46" i="10" s="1"/>
  <c r="L694" i="19"/>
  <c r="H146" i="22"/>
  <c r="H111" i="22"/>
  <c r="L519" i="19"/>
  <c r="L1244" i="19"/>
  <c r="H256" i="22"/>
  <c r="H349" i="22"/>
  <c r="L1709" i="19"/>
  <c r="L74" i="19"/>
  <c r="H22" i="22"/>
  <c r="P34" i="10"/>
  <c r="I34" i="10"/>
  <c r="J34" i="10" s="1"/>
  <c r="K34" i="10" s="1"/>
  <c r="P24" i="10"/>
  <c r="I24" i="10"/>
  <c r="J24" i="10" s="1"/>
  <c r="K24" i="10" s="1"/>
  <c r="I305" i="10"/>
  <c r="J305" i="10" s="1"/>
  <c r="K305" i="10" s="1"/>
  <c r="AE305" i="10" s="1"/>
  <c r="L1489" i="19"/>
  <c r="H305" i="22"/>
  <c r="H294" i="22"/>
  <c r="L1434" i="19"/>
  <c r="L1139" i="19"/>
  <c r="H235" i="22"/>
  <c r="L1174" i="19"/>
  <c r="H242" i="22"/>
  <c r="I153" i="10"/>
  <c r="J153" i="10" s="1"/>
  <c r="H90" i="22"/>
  <c r="L414" i="19"/>
  <c r="I302" i="10"/>
  <c r="J302" i="10" s="1"/>
  <c r="K302" i="10" s="1"/>
  <c r="P302" i="10"/>
  <c r="I78" i="10"/>
  <c r="J78" i="10" s="1"/>
  <c r="K78" i="10" s="1"/>
  <c r="I128" i="10"/>
  <c r="J128" i="10" s="1"/>
  <c r="K128" i="10" s="1"/>
  <c r="P128" i="10"/>
  <c r="L1229" i="19"/>
  <c r="H253" i="22"/>
  <c r="I104" i="10"/>
  <c r="J104" i="10" s="1"/>
  <c r="P104" i="10"/>
  <c r="L979" i="19"/>
  <c r="H203" i="22"/>
  <c r="L1009" i="19"/>
  <c r="H209" i="22"/>
  <c r="I121" i="10"/>
  <c r="J121" i="10" s="1"/>
  <c r="L1279" i="19"/>
  <c r="H263" i="22"/>
  <c r="L1254" i="19"/>
  <c r="H258" i="22"/>
  <c r="I322" i="10"/>
  <c r="J322" i="10" s="1"/>
  <c r="L1469" i="19"/>
  <c r="H301" i="22"/>
  <c r="I272" i="10"/>
  <c r="J272" i="10" s="1"/>
  <c r="P272" i="10"/>
  <c r="P106" i="10"/>
  <c r="I106" i="10"/>
  <c r="J106" i="10" s="1"/>
  <c r="K106" i="10" s="1"/>
  <c r="L1379" i="19"/>
  <c r="H283" i="22"/>
  <c r="L839" i="19"/>
  <c r="H175" i="22"/>
  <c r="I92" i="10"/>
  <c r="J92" i="10" s="1"/>
  <c r="I234" i="10"/>
  <c r="J234" i="10" s="1"/>
  <c r="K234" i="10" s="1"/>
  <c r="I222" i="10"/>
  <c r="J222" i="10" s="1"/>
  <c r="L289" i="19"/>
  <c r="H65" i="22"/>
  <c r="L69" i="19"/>
  <c r="H21" i="22"/>
  <c r="P238" i="10"/>
  <c r="I238" i="10"/>
  <c r="J238" i="10" s="1"/>
  <c r="H198" i="22"/>
  <c r="L954" i="19"/>
  <c r="L1579" i="19"/>
  <c r="H323" i="22"/>
  <c r="H218" i="22"/>
  <c r="L1054" i="19"/>
  <c r="L1529" i="19"/>
  <c r="H313" i="22"/>
  <c r="P333" i="10"/>
  <c r="L1449" i="19"/>
  <c r="H297" i="22"/>
  <c r="L1414" i="19"/>
  <c r="H290" i="22"/>
  <c r="J10" i="10"/>
  <c r="P190" i="10"/>
  <c r="P73" i="10"/>
  <c r="P182" i="10"/>
  <c r="P91" i="10"/>
  <c r="P153" i="10"/>
  <c r="P129" i="10"/>
  <c r="P46" i="10"/>
  <c r="P52" i="10"/>
  <c r="O21" i="9"/>
  <c r="O13" i="9"/>
  <c r="O15" i="9"/>
  <c r="O19" i="9"/>
  <c r="O16" i="9"/>
  <c r="O22" i="9"/>
  <c r="O18" i="9"/>
  <c r="O12" i="9"/>
  <c r="O20" i="9"/>
  <c r="O14" i="9"/>
  <c r="C16" i="9"/>
  <c r="C20" i="9"/>
  <c r="C15" i="9"/>
  <c r="C22" i="9"/>
  <c r="C14" i="9"/>
  <c r="C17" i="9"/>
  <c r="C13" i="9"/>
  <c r="C12" i="9"/>
  <c r="C21" i="9"/>
  <c r="C18" i="9"/>
  <c r="C19" i="9"/>
  <c r="I17" i="9"/>
  <c r="I22" i="9"/>
  <c r="I14" i="9"/>
  <c r="I21" i="9"/>
  <c r="I19" i="9"/>
  <c r="I13" i="9"/>
  <c r="I18" i="9"/>
  <c r="I15" i="9"/>
  <c r="I20" i="9"/>
  <c r="I16" i="9"/>
  <c r="I12" i="9"/>
  <c r="F15" i="7"/>
  <c r="F20" i="7" s="1"/>
  <c r="P17" i="9"/>
  <c r="P12" i="9"/>
  <c r="P19" i="9"/>
  <c r="P15" i="9"/>
  <c r="P20" i="9"/>
  <c r="P21" i="9"/>
  <c r="P16" i="9"/>
  <c r="P13" i="9"/>
  <c r="P14" i="9"/>
  <c r="P22" i="9"/>
  <c r="P18" i="9"/>
  <c r="F13" i="9"/>
  <c r="F12" i="9"/>
  <c r="F14" i="9"/>
  <c r="F17" i="9"/>
  <c r="F20" i="9"/>
  <c r="F16" i="9"/>
  <c r="F21" i="9"/>
  <c r="F18" i="9"/>
  <c r="F19" i="9"/>
  <c r="F22" i="9"/>
  <c r="F15" i="9"/>
  <c r="D22" i="9"/>
  <c r="D20" i="9"/>
  <c r="D13" i="9"/>
  <c r="D21" i="9"/>
  <c r="D19" i="9"/>
  <c r="D18" i="9"/>
  <c r="D12" i="9"/>
  <c r="D14" i="9"/>
  <c r="D17" i="9"/>
  <c r="D15" i="9"/>
  <c r="D16" i="9"/>
  <c r="L22" i="9"/>
  <c r="L21" i="9"/>
  <c r="L20" i="9"/>
  <c r="L12" i="9"/>
  <c r="L15" i="9"/>
  <c r="L17" i="9"/>
  <c r="L13" i="9"/>
  <c r="L14" i="9"/>
  <c r="L19" i="9"/>
  <c r="L18" i="9"/>
  <c r="J17" i="9"/>
  <c r="J18" i="9"/>
  <c r="J22" i="9"/>
  <c r="J12" i="9"/>
  <c r="J14" i="9"/>
  <c r="J21" i="9"/>
  <c r="J15" i="9"/>
  <c r="J13" i="9"/>
  <c r="J20" i="9"/>
  <c r="J19" i="9"/>
  <c r="J16" i="9"/>
  <c r="N14" i="9"/>
  <c r="N19" i="9"/>
  <c r="N22" i="9"/>
  <c r="N16" i="9"/>
  <c r="N21" i="9"/>
  <c r="N18" i="9"/>
  <c r="N13" i="9"/>
  <c r="N17" i="9"/>
  <c r="N20" i="9"/>
  <c r="N12" i="9"/>
  <c r="N15" i="9"/>
  <c r="G20" i="9"/>
  <c r="G21" i="9"/>
  <c r="G22" i="9"/>
  <c r="G14" i="9"/>
  <c r="G17" i="9"/>
  <c r="G18" i="9"/>
  <c r="G19" i="9"/>
  <c r="G15" i="9"/>
  <c r="G12" i="9"/>
  <c r="G16" i="9"/>
  <c r="G13" i="9"/>
  <c r="K15" i="9"/>
  <c r="K21" i="9"/>
  <c r="K17" i="9"/>
  <c r="K14" i="9"/>
  <c r="K16" i="9"/>
  <c r="K22" i="9"/>
  <c r="K13" i="9"/>
  <c r="K18" i="9"/>
  <c r="K12" i="9"/>
  <c r="K19" i="9"/>
  <c r="H13" i="9"/>
  <c r="H22" i="9"/>
  <c r="H16" i="9"/>
  <c r="H21" i="9"/>
  <c r="H14" i="9"/>
  <c r="H17" i="9"/>
  <c r="H15" i="9"/>
  <c r="H19" i="9"/>
  <c r="H12" i="9"/>
  <c r="H20" i="9"/>
  <c r="H18" i="9"/>
  <c r="E13" i="9"/>
  <c r="E17" i="9"/>
  <c r="E22" i="9"/>
  <c r="E20" i="9"/>
  <c r="E12" i="9"/>
  <c r="E18" i="9"/>
  <c r="E19" i="9"/>
  <c r="E14" i="9"/>
  <c r="E21" i="9"/>
  <c r="E15" i="9"/>
  <c r="E16" i="9"/>
  <c r="F18" i="7"/>
  <c r="H584" i="22" l="1"/>
  <c r="I249" i="15"/>
  <c r="I271" i="10"/>
  <c r="J271" i="10" s="1"/>
  <c r="K271" i="10" s="1"/>
  <c r="P271" i="10"/>
  <c r="L1029" i="19"/>
  <c r="I315" i="15"/>
  <c r="I271" i="15"/>
  <c r="I300" i="15"/>
  <c r="I287" i="15"/>
  <c r="I268" i="15"/>
  <c r="I290" i="15"/>
  <c r="V33" i="16"/>
  <c r="L1744" i="19"/>
  <c r="L1494" i="19"/>
  <c r="P133" i="10"/>
  <c r="I133" i="10"/>
  <c r="J133" i="10" s="1"/>
  <c r="K133" i="10" s="1"/>
  <c r="J139" i="6" s="1"/>
  <c r="K139" i="6" s="1"/>
  <c r="P172" i="10"/>
  <c r="Q172" i="10" s="1"/>
  <c r="R172" i="10" s="1"/>
  <c r="S172" i="10" s="1"/>
  <c r="Z172" i="10" s="1"/>
  <c r="F21" i="12"/>
  <c r="H21" i="12"/>
  <c r="L229" i="19"/>
  <c r="L169" i="19"/>
  <c r="L534" i="19"/>
  <c r="L1079" i="19"/>
  <c r="L1354" i="19"/>
  <c r="L619" i="19"/>
  <c r="I77" i="10"/>
  <c r="J77" i="10" s="1"/>
  <c r="K77" i="10" s="1"/>
  <c r="L464" i="19"/>
  <c r="H542" i="22"/>
  <c r="L1429" i="19"/>
  <c r="L234" i="19"/>
  <c r="H367" i="22"/>
  <c r="H731" i="22"/>
  <c r="H577" i="22"/>
  <c r="L854" i="19"/>
  <c r="AD11" i="7"/>
  <c r="V37" i="16"/>
  <c r="V46" i="16"/>
  <c r="T21" i="16"/>
  <c r="V32" i="16"/>
  <c r="V35" i="16"/>
  <c r="G31" i="16"/>
  <c r="I31" i="16" s="1"/>
  <c r="K31" i="16"/>
  <c r="V27" i="16"/>
  <c r="P29" i="16"/>
  <c r="P34" i="16"/>
  <c r="V38" i="16"/>
  <c r="V45" i="16"/>
  <c r="I43" i="16"/>
  <c r="J43" i="16"/>
  <c r="H31" i="16"/>
  <c r="J31" i="16" s="1"/>
  <c r="V29" i="16"/>
  <c r="S35" i="16"/>
  <c r="P44" i="16"/>
  <c r="P45" i="16"/>
  <c r="V28" i="16"/>
  <c r="P39" i="16"/>
  <c r="I36" i="16"/>
  <c r="J36" i="16"/>
  <c r="I32" i="16"/>
  <c r="J32" i="16"/>
  <c r="L31" i="16"/>
  <c r="M31" i="16" s="1"/>
  <c r="N31" i="16"/>
  <c r="P31" i="16" s="1"/>
  <c r="M38" i="16"/>
  <c r="S31" i="16"/>
  <c r="P30" i="16"/>
  <c r="P36" i="16"/>
  <c r="S28" i="16"/>
  <c r="I261" i="15"/>
  <c r="I309" i="15"/>
  <c r="H708" i="22"/>
  <c r="H546" i="22"/>
  <c r="H383" i="22"/>
  <c r="H761" i="22"/>
  <c r="L1629" i="19"/>
  <c r="L1134" i="19"/>
  <c r="G12" i="7"/>
  <c r="H452" i="22"/>
  <c r="H458" i="22"/>
  <c r="I53" i="10"/>
  <c r="J53" i="10" s="1"/>
  <c r="AD53" i="10" s="1"/>
  <c r="AF53" i="10" s="1"/>
  <c r="P53" i="10"/>
  <c r="L974" i="19"/>
  <c r="L844" i="19"/>
  <c r="L54" i="19"/>
  <c r="H755" i="22"/>
  <c r="L574" i="19"/>
  <c r="L834" i="19"/>
  <c r="L219" i="19"/>
  <c r="L269" i="19"/>
  <c r="Q177" i="10"/>
  <c r="R177" i="10" s="1"/>
  <c r="S177" i="10" s="1"/>
  <c r="Z177" i="10" s="1"/>
  <c r="H730" i="22"/>
  <c r="H775" i="22"/>
  <c r="H654" i="22"/>
  <c r="L929" i="19"/>
  <c r="H174" i="22"/>
  <c r="AE231" i="10"/>
  <c r="H720" i="22"/>
  <c r="L734" i="19"/>
  <c r="H650" i="22"/>
  <c r="P41" i="10"/>
  <c r="Y41" i="10" s="1"/>
  <c r="L334" i="19"/>
  <c r="I28" i="10"/>
  <c r="J28" i="10" s="1"/>
  <c r="T28" i="10" s="1"/>
  <c r="U28" i="10" s="1"/>
  <c r="L369" i="19"/>
  <c r="L44" i="19"/>
  <c r="G11" i="7"/>
  <c r="H11" i="7" s="1"/>
  <c r="I11" i="7" s="1"/>
  <c r="H586" i="22"/>
  <c r="H810" i="22"/>
  <c r="H608" i="22"/>
  <c r="H493" i="22"/>
  <c r="L1614" i="19"/>
  <c r="P25" i="16"/>
  <c r="P20" i="16"/>
  <c r="P23" i="16"/>
  <c r="P26" i="16"/>
  <c r="T25" i="16"/>
  <c r="H758" i="22"/>
  <c r="L849" i="19"/>
  <c r="P24" i="16"/>
  <c r="T26" i="16"/>
  <c r="M29" i="16"/>
  <c r="I24" i="16"/>
  <c r="I26" i="16"/>
  <c r="P19" i="16"/>
  <c r="S32" i="16"/>
  <c r="S27" i="16"/>
  <c r="P21" i="16"/>
  <c r="P22" i="16"/>
  <c r="L364" i="19"/>
  <c r="L1129" i="19"/>
  <c r="I37" i="16"/>
  <c r="I35" i="16"/>
  <c r="I34" i="16"/>
  <c r="I28" i="16"/>
  <c r="I30" i="16"/>
  <c r="I27" i="16"/>
  <c r="I98" i="10"/>
  <c r="J98" i="10" s="1"/>
  <c r="T98" i="10" s="1"/>
  <c r="U98" i="10" s="1"/>
  <c r="H416" i="22"/>
  <c r="H488" i="22"/>
  <c r="L1359" i="19"/>
  <c r="H446" i="22"/>
  <c r="I277" i="15"/>
  <c r="I329" i="15"/>
  <c r="L624" i="19"/>
  <c r="P80" i="10"/>
  <c r="I80" i="10"/>
  <c r="J80" i="10" s="1"/>
  <c r="K80" i="10" s="1"/>
  <c r="I120" i="10"/>
  <c r="J120" i="10" s="1"/>
  <c r="AD120" i="10" s="1"/>
  <c r="AF120" i="10" s="1"/>
  <c r="P120" i="10"/>
  <c r="I193" i="10"/>
  <c r="J193" i="10" s="1"/>
  <c r="K193" i="10" s="1"/>
  <c r="J100" i="6" s="1"/>
  <c r="K100" i="6" s="1"/>
  <c r="P193" i="10"/>
  <c r="I359" i="10"/>
  <c r="J359" i="10" s="1"/>
  <c r="T359" i="10" s="1"/>
  <c r="U359" i="10" s="1"/>
  <c r="P359" i="10"/>
  <c r="H531" i="22"/>
  <c r="H376" i="22"/>
  <c r="H716" i="22"/>
  <c r="I273" i="15"/>
  <c r="H712" i="22"/>
  <c r="H406" i="22"/>
  <c r="H802" i="22"/>
  <c r="H375" i="22"/>
  <c r="H690" i="22"/>
  <c r="H514" i="22"/>
  <c r="H626" i="22"/>
  <c r="H622" i="22"/>
  <c r="H614" i="22"/>
  <c r="I319" i="15"/>
  <c r="P119" i="10"/>
  <c r="L1314" i="19"/>
  <c r="H770" i="22"/>
  <c r="Q166" i="10"/>
  <c r="R166" i="10" s="1"/>
  <c r="S166" i="10" s="1"/>
  <c r="Z166" i="10" s="1"/>
  <c r="J166" i="13"/>
  <c r="K166" i="13" s="1"/>
  <c r="L166" i="13" s="1"/>
  <c r="I355" i="10"/>
  <c r="J355" i="10" s="1"/>
  <c r="K355" i="10" s="1"/>
  <c r="J341" i="6" s="1"/>
  <c r="K341" i="6" s="1"/>
  <c r="P355" i="10"/>
  <c r="L1754" i="19"/>
  <c r="H544" i="22"/>
  <c r="I16" i="10"/>
  <c r="J16" i="10" s="1"/>
  <c r="K16" i="10" s="1"/>
  <c r="J405" i="6" s="1"/>
  <c r="K405" i="6" s="1"/>
  <c r="P16" i="10"/>
  <c r="K244" i="10"/>
  <c r="J307" i="6" s="1"/>
  <c r="K307" i="6" s="1"/>
  <c r="L1764" i="19"/>
  <c r="G21" i="12"/>
  <c r="I19" i="16"/>
  <c r="I33" i="16"/>
  <c r="M40" i="16"/>
  <c r="M28" i="16"/>
  <c r="I21" i="16"/>
  <c r="I20" i="16"/>
  <c r="I44" i="16"/>
  <c r="I23" i="16"/>
  <c r="M32" i="16"/>
  <c r="I40" i="16"/>
  <c r="M27" i="16"/>
  <c r="L779" i="19"/>
  <c r="I328" i="15"/>
  <c r="AD166" i="10"/>
  <c r="AF166" i="10" s="1"/>
  <c r="Y166" i="10"/>
  <c r="AE166" i="10"/>
  <c r="T166" i="10"/>
  <c r="U166" i="10" s="1"/>
  <c r="L164" i="19"/>
  <c r="AD244" i="10"/>
  <c r="AF244" i="10" s="1"/>
  <c r="I299" i="15"/>
  <c r="Y94" i="10"/>
  <c r="J155" i="6"/>
  <c r="K155" i="6" s="1"/>
  <c r="Q94" i="10"/>
  <c r="R94" i="10" s="1"/>
  <c r="S94" i="10" s="1"/>
  <c r="Z94" i="10" s="1"/>
  <c r="J102" i="10"/>
  <c r="K102" i="10" s="1"/>
  <c r="J102" i="13" s="1"/>
  <c r="Q214" i="10"/>
  <c r="R214" i="10" s="1"/>
  <c r="S214" i="10" s="1"/>
  <c r="J94" i="13"/>
  <c r="K94" i="13" s="1"/>
  <c r="L94" i="13" s="1"/>
  <c r="AE273" i="10"/>
  <c r="T94" i="10"/>
  <c r="U94" i="10" s="1"/>
  <c r="I316" i="15"/>
  <c r="J222" i="6"/>
  <c r="K222" i="6" s="1"/>
  <c r="Y273" i="10"/>
  <c r="AD214" i="10"/>
  <c r="AF214" i="10" s="1"/>
  <c r="Y214" i="10"/>
  <c r="J273" i="13"/>
  <c r="AD94" i="10"/>
  <c r="AF94" i="10" s="1"/>
  <c r="J214" i="13"/>
  <c r="K214" i="13" s="1"/>
  <c r="L214" i="13" s="1"/>
  <c r="AE94" i="10"/>
  <c r="Q273" i="10"/>
  <c r="R273" i="10" s="1"/>
  <c r="S273" i="10" s="1"/>
  <c r="Z273" i="10" s="1"/>
  <c r="T214" i="10"/>
  <c r="U214" i="10" s="1"/>
  <c r="AD273" i="10"/>
  <c r="AF273" i="10" s="1"/>
  <c r="T273" i="10"/>
  <c r="U273" i="10" s="1"/>
  <c r="I318" i="15"/>
  <c r="Y140" i="10"/>
  <c r="I282" i="15"/>
  <c r="K140" i="13"/>
  <c r="L140" i="13" s="1"/>
  <c r="I167" i="10"/>
  <c r="J167" i="10" s="1"/>
  <c r="K167" i="10" s="1"/>
  <c r="P167" i="10"/>
  <c r="I310" i="15"/>
  <c r="L1289" i="19"/>
  <c r="H13" i="22"/>
  <c r="I256" i="15"/>
  <c r="I276" i="15"/>
  <c r="H332" i="15"/>
  <c r="H333" i="15" s="1"/>
  <c r="I297" i="15"/>
  <c r="I278" i="15"/>
  <c r="I286" i="15"/>
  <c r="I265" i="15"/>
  <c r="I302" i="15"/>
  <c r="I306" i="15"/>
  <c r="I296" i="15"/>
  <c r="G361" i="10"/>
  <c r="Q140" i="10"/>
  <c r="R140" i="10" s="1"/>
  <c r="S140" i="10" s="1"/>
  <c r="AD140" i="10"/>
  <c r="AF140" i="10" s="1"/>
  <c r="AE140" i="10"/>
  <c r="J13" i="10"/>
  <c r="K13" i="10" s="1"/>
  <c r="J13" i="6" s="1"/>
  <c r="K13" i="6" s="1"/>
  <c r="T140" i="10"/>
  <c r="U140" i="10" s="1"/>
  <c r="P360" i="10"/>
  <c r="I155" i="10"/>
  <c r="J155" i="10" s="1"/>
  <c r="K155" i="10" s="1"/>
  <c r="J345" i="6" s="1"/>
  <c r="K345" i="6" s="1"/>
  <c r="P155" i="10"/>
  <c r="J66" i="10"/>
  <c r="K66" i="10" s="1"/>
  <c r="J331" i="6" s="1"/>
  <c r="K331" i="6" s="1"/>
  <c r="AA158" i="10"/>
  <c r="J158" i="13"/>
  <c r="AE158" i="10"/>
  <c r="T158" i="10"/>
  <c r="U158" i="10" s="1"/>
  <c r="AD158" i="10"/>
  <c r="AF158" i="10" s="1"/>
  <c r="Q227" i="10"/>
  <c r="R227" i="10" s="1"/>
  <c r="S227" i="10" s="1"/>
  <c r="Z227" i="10" s="1"/>
  <c r="Q81" i="10"/>
  <c r="R81" i="10" s="1"/>
  <c r="S81" i="10" s="1"/>
  <c r="Z81" i="10" s="1"/>
  <c r="H343" i="22"/>
  <c r="Q158" i="10"/>
  <c r="R158" i="10" s="1"/>
  <c r="S158" i="10" s="1"/>
  <c r="Z158" i="10" s="1"/>
  <c r="AD294" i="10"/>
  <c r="AF294" i="10" s="1"/>
  <c r="J271" i="6"/>
  <c r="K271" i="6" s="1"/>
  <c r="J294" i="13"/>
  <c r="K294" i="13" s="1"/>
  <c r="L294" i="13" s="1"/>
  <c r="Y179" i="10"/>
  <c r="AA289" i="10"/>
  <c r="Q300" i="10"/>
  <c r="R300" i="10" s="1"/>
  <c r="S300" i="10" s="1"/>
  <c r="Z300" i="10" s="1"/>
  <c r="L824" i="19"/>
  <c r="L1454" i="19"/>
  <c r="P233" i="10"/>
  <c r="I233" i="10"/>
  <c r="J233" i="10" s="1"/>
  <c r="AD233" i="10" s="1"/>
  <c r="AF233" i="10" s="1"/>
  <c r="Q219" i="10"/>
  <c r="R219" i="10" s="1"/>
  <c r="S219" i="10" s="1"/>
  <c r="Z219" i="10" s="1"/>
  <c r="J184" i="6"/>
  <c r="K184" i="6" s="1"/>
  <c r="AA179" i="10"/>
  <c r="Q179" i="10"/>
  <c r="R179" i="10" s="1"/>
  <c r="S179" i="10" s="1"/>
  <c r="Z179" i="10" s="1"/>
  <c r="AD280" i="10"/>
  <c r="AF280" i="10" s="1"/>
  <c r="AD179" i="10"/>
  <c r="AF179" i="10" s="1"/>
  <c r="AD64" i="10"/>
  <c r="AF64" i="10" s="1"/>
  <c r="J337" i="6"/>
  <c r="K337" i="6" s="1"/>
  <c r="AE294" i="10"/>
  <c r="J458" i="6"/>
  <c r="K458" i="6" s="1"/>
  <c r="AD271" i="10"/>
  <c r="AF271" i="10" s="1"/>
  <c r="J122" i="13"/>
  <c r="K122" i="13" s="1"/>
  <c r="L122" i="13" s="1"/>
  <c r="L29" i="19"/>
  <c r="H540" i="22"/>
  <c r="AA174" i="10"/>
  <c r="Q174" i="10"/>
  <c r="R174" i="10" s="1"/>
  <c r="S174" i="10" s="1"/>
  <c r="Z174" i="10" s="1"/>
  <c r="J332" i="6"/>
  <c r="K332" i="6" s="1"/>
  <c r="J271" i="13"/>
  <c r="AD211" i="10"/>
  <c r="AF211" i="10" s="1"/>
  <c r="AE174" i="10"/>
  <c r="Y271" i="10"/>
  <c r="Y294" i="10"/>
  <c r="J369" i="6"/>
  <c r="K369" i="6" s="1"/>
  <c r="H615" i="22"/>
  <c r="T311" i="10"/>
  <c r="U311" i="10" s="1"/>
  <c r="T174" i="10"/>
  <c r="U174" i="10" s="1"/>
  <c r="AD174" i="10"/>
  <c r="AF174" i="10" s="1"/>
  <c r="T294" i="10"/>
  <c r="U294" i="10" s="1"/>
  <c r="V294" i="10" s="1"/>
  <c r="J165" i="13"/>
  <c r="K165" i="13" s="1"/>
  <c r="L165" i="13" s="1"/>
  <c r="Y174" i="10"/>
  <c r="I246" i="15"/>
  <c r="I248" i="15"/>
  <c r="L829" i="19"/>
  <c r="H364" i="22"/>
  <c r="H522" i="22"/>
  <c r="L1484" i="19"/>
  <c r="L64" i="19"/>
  <c r="L1639" i="19"/>
  <c r="H718" i="22"/>
  <c r="H454" i="22"/>
  <c r="H421" i="22"/>
  <c r="L454" i="19"/>
  <c r="L1104" i="19"/>
  <c r="L484" i="19"/>
  <c r="H480" i="22"/>
  <c r="Q347" i="10"/>
  <c r="R347" i="10" s="1"/>
  <c r="S347" i="10" s="1"/>
  <c r="Z347" i="10" s="1"/>
  <c r="K62" i="10"/>
  <c r="J62" i="13" s="1"/>
  <c r="K62" i="13" s="1"/>
  <c r="L62" i="13" s="1"/>
  <c r="Y211" i="10"/>
  <c r="Q211" i="10"/>
  <c r="R211" i="10" s="1"/>
  <c r="S211" i="10" s="1"/>
  <c r="Z211" i="10" s="1"/>
  <c r="T62" i="10"/>
  <c r="U62" i="10" s="1"/>
  <c r="AA172" i="10"/>
  <c r="Q352" i="10"/>
  <c r="R352" i="10" s="1"/>
  <c r="S352" i="10" s="1"/>
  <c r="Z352" i="10" s="1"/>
  <c r="Y64" i="10"/>
  <c r="Y289" i="10"/>
  <c r="T179" i="10"/>
  <c r="U179" i="10" s="1"/>
  <c r="J244" i="6"/>
  <c r="K244" i="6" s="1"/>
  <c r="AD55" i="10"/>
  <c r="AF55" i="10" s="1"/>
  <c r="H585" i="22"/>
  <c r="Y300" i="10"/>
  <c r="AE179" i="10"/>
  <c r="T280" i="10"/>
  <c r="U280" i="10" s="1"/>
  <c r="H552" i="22"/>
  <c r="K55" i="10"/>
  <c r="J55" i="13" s="1"/>
  <c r="K55" i="13" s="1"/>
  <c r="L55" i="13" s="1"/>
  <c r="AD324" i="10"/>
  <c r="AF324" i="10" s="1"/>
  <c r="P270" i="10"/>
  <c r="I270" i="10"/>
  <c r="J270" i="10" s="1"/>
  <c r="K270" i="10" s="1"/>
  <c r="J270" i="13" s="1"/>
  <c r="P42" i="10"/>
  <c r="I42" i="10"/>
  <c r="J42" i="10" s="1"/>
  <c r="K42" i="10" s="1"/>
  <c r="J65" i="6" s="1"/>
  <c r="K65" i="6" s="1"/>
  <c r="I327" i="10"/>
  <c r="J327" i="10" s="1"/>
  <c r="P327" i="10"/>
  <c r="P163" i="10"/>
  <c r="AE239" i="10"/>
  <c r="H463" i="22"/>
  <c r="T172" i="10"/>
  <c r="U172" i="10" s="1"/>
  <c r="AD172" i="10"/>
  <c r="AF172" i="10" s="1"/>
  <c r="H783" i="22"/>
  <c r="L564" i="19"/>
  <c r="I188" i="10"/>
  <c r="J188" i="10" s="1"/>
  <c r="K188" i="10" s="1"/>
  <c r="J102" i="6" s="1"/>
  <c r="K102" i="6" s="1"/>
  <c r="P188" i="10"/>
  <c r="I298" i="10"/>
  <c r="J298" i="10" s="1"/>
  <c r="P298" i="10"/>
  <c r="I246" i="10"/>
  <c r="J246" i="10" s="1"/>
  <c r="P246" i="10"/>
  <c r="I236" i="10"/>
  <c r="J236" i="10" s="1"/>
  <c r="AD236" i="10" s="1"/>
  <c r="AF236" i="10" s="1"/>
  <c r="P236" i="10"/>
  <c r="I358" i="10"/>
  <c r="J358" i="10" s="1"/>
  <c r="AD358" i="10" s="1"/>
  <c r="AF358" i="10" s="1"/>
  <c r="P358" i="10"/>
  <c r="I330" i="10"/>
  <c r="J330" i="10" s="1"/>
  <c r="K330" i="10" s="1"/>
  <c r="J330" i="13" s="1"/>
  <c r="P330" i="10"/>
  <c r="I316" i="10"/>
  <c r="J316" i="10" s="1"/>
  <c r="K316" i="10" s="1"/>
  <c r="P316" i="10"/>
  <c r="L104" i="19"/>
  <c r="L109" i="19"/>
  <c r="K172" i="13"/>
  <c r="L172" i="13" s="1"/>
  <c r="H570" i="22"/>
  <c r="H401" i="22"/>
  <c r="L1714" i="19"/>
  <c r="L1194" i="19"/>
  <c r="L1144" i="19"/>
  <c r="H724" i="22"/>
  <c r="H764" i="22"/>
  <c r="H611" i="22"/>
  <c r="L904" i="19"/>
  <c r="H188" i="22"/>
  <c r="AE59" i="10"/>
  <c r="AD352" i="10"/>
  <c r="AF352" i="10" s="1"/>
  <c r="Y231" i="10"/>
  <c r="J202" i="6"/>
  <c r="K202" i="6" s="1"/>
  <c r="Q271" i="10"/>
  <c r="R271" i="10" s="1"/>
  <c r="S271" i="10" s="1"/>
  <c r="Z271" i="10" s="1"/>
  <c r="AE35" i="10"/>
  <c r="AE27" i="10"/>
  <c r="AD61" i="10"/>
  <c r="AF61" i="10" s="1"/>
  <c r="AE295" i="10"/>
  <c r="AA347" i="10"/>
  <c r="Y324" i="10"/>
  <c r="J364" i="6"/>
  <c r="K364" i="6" s="1"/>
  <c r="J181" i="6"/>
  <c r="K181" i="6" s="1"/>
  <c r="J353" i="6"/>
  <c r="K353" i="6" s="1"/>
  <c r="T27" i="10"/>
  <c r="U27" i="10" s="1"/>
  <c r="V27" i="10" s="1"/>
  <c r="K79" i="10"/>
  <c r="Y79" i="10" s="1"/>
  <c r="AE289" i="10"/>
  <c r="J224" i="13"/>
  <c r="AD27" i="10"/>
  <c r="AF27" i="10" s="1"/>
  <c r="AE97" i="10"/>
  <c r="Y59" i="10"/>
  <c r="T271" i="10"/>
  <c r="U271" i="10" s="1"/>
  <c r="Q324" i="10"/>
  <c r="R324" i="10" s="1"/>
  <c r="S324" i="10" s="1"/>
  <c r="Z324" i="10" s="1"/>
  <c r="AD168" i="10"/>
  <c r="AF168" i="10" s="1"/>
  <c r="J97" i="13"/>
  <c r="J35" i="13"/>
  <c r="J204" i="6"/>
  <c r="K204" i="6" s="1"/>
  <c r="AE311" i="10"/>
  <c r="T211" i="10"/>
  <c r="U211" i="10" s="1"/>
  <c r="AE211" i="10"/>
  <c r="J352" i="6"/>
  <c r="K352" i="6" s="1"/>
  <c r="J10" i="6"/>
  <c r="K10" i="6" s="1"/>
  <c r="J361" i="13" s="1"/>
  <c r="H457" i="22"/>
  <c r="T219" i="10"/>
  <c r="U219" i="10" s="1"/>
  <c r="AD219" i="10"/>
  <c r="AF219" i="10" s="1"/>
  <c r="AE219" i="10"/>
  <c r="J211" i="13"/>
  <c r="J219" i="13"/>
  <c r="T176" i="10"/>
  <c r="U176" i="10" s="1"/>
  <c r="K176" i="10"/>
  <c r="Q176" i="10" s="1"/>
  <c r="R176" i="10" s="1"/>
  <c r="S176" i="10" s="1"/>
  <c r="Y311" i="10"/>
  <c r="K311" i="13"/>
  <c r="L311" i="13" s="1"/>
  <c r="AE300" i="10"/>
  <c r="Y35" i="10"/>
  <c r="Q59" i="10"/>
  <c r="R59" i="10" s="1"/>
  <c r="S59" i="10" s="1"/>
  <c r="AE324" i="10"/>
  <c r="J421" i="6"/>
  <c r="K421" i="6" s="1"/>
  <c r="J59" i="13"/>
  <c r="AD97" i="10"/>
  <c r="AF97" i="10" s="1"/>
  <c r="AD300" i="10"/>
  <c r="AF300" i="10" s="1"/>
  <c r="AD59" i="10"/>
  <c r="AF59" i="10" s="1"/>
  <c r="AE64" i="10"/>
  <c r="Y97" i="10"/>
  <c r="Y247" i="10"/>
  <c r="Q122" i="10"/>
  <c r="R122" i="10" s="1"/>
  <c r="S122" i="10" s="1"/>
  <c r="Z122" i="10" s="1"/>
  <c r="H610" i="22"/>
  <c r="T300" i="10"/>
  <c r="U300" i="10" s="1"/>
  <c r="H588" i="22"/>
  <c r="K324" i="13"/>
  <c r="L324" i="13" s="1"/>
  <c r="H450" i="22"/>
  <c r="T59" i="10"/>
  <c r="U59" i="10" s="1"/>
  <c r="T97" i="10"/>
  <c r="U97" i="10" s="1"/>
  <c r="V97" i="10" s="1"/>
  <c r="AA97" i="10" s="1"/>
  <c r="H774" i="22"/>
  <c r="T324" i="10"/>
  <c r="U324" i="10" s="1"/>
  <c r="H500" i="22"/>
  <c r="Q289" i="10"/>
  <c r="R289" i="10" s="1"/>
  <c r="S289" i="10" s="1"/>
  <c r="J436" i="6"/>
  <c r="K436" i="6" s="1"/>
  <c r="Y122" i="10"/>
  <c r="H773" i="22"/>
  <c r="T347" i="10"/>
  <c r="U347" i="10" s="1"/>
  <c r="J289" i="13"/>
  <c r="K289" i="13" s="1"/>
  <c r="L289" i="13" s="1"/>
  <c r="T289" i="10"/>
  <c r="U289" i="10" s="1"/>
  <c r="T186" i="10"/>
  <c r="U186" i="10" s="1"/>
  <c r="J161" i="6"/>
  <c r="K161" i="6" s="1"/>
  <c r="K278" i="10"/>
  <c r="Q278" i="10" s="1"/>
  <c r="R278" i="10" s="1"/>
  <c r="S278" i="10" s="1"/>
  <c r="H734" i="22"/>
  <c r="AD347" i="10"/>
  <c r="AF347" i="10" s="1"/>
  <c r="AD289" i="10"/>
  <c r="AF289" i="10" s="1"/>
  <c r="J454" i="6"/>
  <c r="K454" i="6" s="1"/>
  <c r="J27" i="13"/>
  <c r="Q35" i="10"/>
  <c r="R35" i="10" s="1"/>
  <c r="S35" i="10" s="1"/>
  <c r="Z35" i="10" s="1"/>
  <c r="T173" i="10"/>
  <c r="U173" i="10" s="1"/>
  <c r="T308" i="10"/>
  <c r="U308" i="10" s="1"/>
  <c r="Y27" i="10"/>
  <c r="Y347" i="10"/>
  <c r="Y81" i="10"/>
  <c r="J347" i="13"/>
  <c r="K347" i="13" s="1"/>
  <c r="L347" i="13" s="1"/>
  <c r="J419" i="6"/>
  <c r="K419" i="6" s="1"/>
  <c r="T354" i="10"/>
  <c r="U354" i="10" s="1"/>
  <c r="AD284" i="10"/>
  <c r="AF284" i="10" s="1"/>
  <c r="T343" i="10"/>
  <c r="U343" i="10" s="1"/>
  <c r="AE354" i="10"/>
  <c r="Q44" i="10"/>
  <c r="R44" i="10" s="1"/>
  <c r="S44" i="10" s="1"/>
  <c r="Z44" i="10" s="1"/>
  <c r="AE347" i="10"/>
  <c r="T81" i="10"/>
  <c r="U81" i="10" s="1"/>
  <c r="AE173" i="10"/>
  <c r="H601" i="22"/>
  <c r="AD247" i="10"/>
  <c r="AF247" i="10" s="1"/>
  <c r="AD35" i="10"/>
  <c r="AF35" i="10" s="1"/>
  <c r="T35" i="10"/>
  <c r="U35" i="10" s="1"/>
  <c r="Q173" i="10"/>
  <c r="R173" i="10" s="1"/>
  <c r="S173" i="10" s="1"/>
  <c r="Z173" i="10" s="1"/>
  <c r="K61" i="10"/>
  <c r="AE61" i="10" s="1"/>
  <c r="K127" i="10"/>
  <c r="AE127" i="10" s="1"/>
  <c r="Y148" i="10"/>
  <c r="K230" i="10"/>
  <c r="J230" i="13" s="1"/>
  <c r="AD148" i="10"/>
  <c r="AF148" i="10" s="1"/>
  <c r="T148" i="10"/>
  <c r="U148" i="10" s="1"/>
  <c r="H453" i="22"/>
  <c r="H471" i="22"/>
  <c r="K109" i="10"/>
  <c r="J282" i="6" s="1"/>
  <c r="K282" i="6" s="1"/>
  <c r="H445" i="22"/>
  <c r="AD19" i="10"/>
  <c r="AF19" i="10" s="1"/>
  <c r="T88" i="10"/>
  <c r="U88" i="10" s="1"/>
  <c r="V88" i="10" s="1"/>
  <c r="T19" i="10"/>
  <c r="U19" i="10" s="1"/>
  <c r="T109" i="10"/>
  <c r="U109" i="10" s="1"/>
  <c r="Q148" i="10"/>
  <c r="R148" i="10" s="1"/>
  <c r="S148" i="10" s="1"/>
  <c r="J284" i="6"/>
  <c r="K284" i="6" s="1"/>
  <c r="AE131" i="10"/>
  <c r="K343" i="10"/>
  <c r="Y343" i="10" s="1"/>
  <c r="J367" i="6"/>
  <c r="K367" i="6" s="1"/>
  <c r="AD230" i="10"/>
  <c r="AF230" i="10" s="1"/>
  <c r="T134" i="10"/>
  <c r="U134" i="10" s="1"/>
  <c r="H512" i="22"/>
  <c r="AE148" i="10"/>
  <c r="T131" i="10"/>
  <c r="U131" i="10" s="1"/>
  <c r="I260" i="15"/>
  <c r="J80" i="6"/>
  <c r="K80" i="6" s="1"/>
  <c r="T352" i="10"/>
  <c r="U352" i="10" s="1"/>
  <c r="J313" i="6"/>
  <c r="K313" i="6" s="1"/>
  <c r="AE241" i="10"/>
  <c r="J220" i="6"/>
  <c r="K220" i="6" s="1"/>
  <c r="T245" i="10"/>
  <c r="U245" i="10" s="1"/>
  <c r="J190" i="6"/>
  <c r="K190" i="6" s="1"/>
  <c r="H692" i="22"/>
  <c r="H670" i="22"/>
  <c r="H672" i="22"/>
  <c r="J177" i="13"/>
  <c r="K177" i="13" s="1"/>
  <c r="L177" i="13" s="1"/>
  <c r="J64" i="13"/>
  <c r="AD245" i="10"/>
  <c r="AF245" i="10" s="1"/>
  <c r="H600" i="22"/>
  <c r="K329" i="10"/>
  <c r="T329" i="10"/>
  <c r="U329" i="10" s="1"/>
  <c r="J87" i="6"/>
  <c r="K87" i="6" s="1"/>
  <c r="J173" i="13"/>
  <c r="J135" i="6"/>
  <c r="K135" i="6" s="1"/>
  <c r="Q87" i="10"/>
  <c r="R87" i="10" s="1"/>
  <c r="S87" i="10" s="1"/>
  <c r="Z87" i="10" s="1"/>
  <c r="Y216" i="10"/>
  <c r="H371" i="22"/>
  <c r="H681" i="22"/>
  <c r="J247" i="13"/>
  <c r="K247" i="13" s="1"/>
  <c r="L247" i="13" s="1"/>
  <c r="Q247" i="10"/>
  <c r="R247" i="10" s="1"/>
  <c r="S247" i="10" s="1"/>
  <c r="Z247" i="10" s="1"/>
  <c r="Y354" i="10"/>
  <c r="Y352" i="10"/>
  <c r="T216" i="10"/>
  <c r="U216" i="10" s="1"/>
  <c r="AD122" i="10"/>
  <c r="AF122" i="10" s="1"/>
  <c r="AE177" i="10"/>
  <c r="T64" i="10"/>
  <c r="U64" i="10" s="1"/>
  <c r="T79" i="10"/>
  <c r="U79" i="10" s="1"/>
  <c r="AE122" i="10"/>
  <c r="Y165" i="10"/>
  <c r="AD70" i="10"/>
  <c r="AF70" i="10" s="1"/>
  <c r="AE216" i="10"/>
  <c r="Q64" i="10"/>
  <c r="R64" i="10" s="1"/>
  <c r="S64" i="10" s="1"/>
  <c r="Z64" i="10" s="1"/>
  <c r="Q216" i="10"/>
  <c r="R216" i="10" s="1"/>
  <c r="S216" i="10" s="1"/>
  <c r="Z216" i="10" s="1"/>
  <c r="J131" i="13"/>
  <c r="J81" i="13"/>
  <c r="J30" i="6"/>
  <c r="K30" i="6" s="1"/>
  <c r="AD81" i="10"/>
  <c r="AF81" i="10" s="1"/>
  <c r="H747" i="22"/>
  <c r="J42" i="6"/>
  <c r="K42" i="6" s="1"/>
  <c r="AD354" i="10"/>
  <c r="AF354" i="10" s="1"/>
  <c r="AD41" i="10"/>
  <c r="AF41" i="10" s="1"/>
  <c r="AD311" i="10"/>
  <c r="AF311" i="10" s="1"/>
  <c r="H583" i="22"/>
  <c r="K354" i="13"/>
  <c r="L354" i="13" s="1"/>
  <c r="T247" i="10"/>
  <c r="U247" i="10" s="1"/>
  <c r="AD173" i="10"/>
  <c r="AF173" i="10" s="1"/>
  <c r="AE81" i="10"/>
  <c r="AE247" i="10"/>
  <c r="J274" i="6"/>
  <c r="K274" i="6" s="1"/>
  <c r="T87" i="10"/>
  <c r="U87" i="10" s="1"/>
  <c r="H701" i="22"/>
  <c r="AD329" i="10"/>
  <c r="AF329" i="10" s="1"/>
  <c r="T70" i="10"/>
  <c r="U70" i="10" s="1"/>
  <c r="Q354" i="10"/>
  <c r="R354" i="10" s="1"/>
  <c r="S354" i="10" s="1"/>
  <c r="Q262" i="10"/>
  <c r="R262" i="10" s="1"/>
  <c r="S262" i="10" s="1"/>
  <c r="Z262" i="10" s="1"/>
  <c r="AE352" i="10"/>
  <c r="AD216" i="10"/>
  <c r="AF216" i="10" s="1"/>
  <c r="T122" i="10"/>
  <c r="U122" i="10" s="1"/>
  <c r="J238" i="6"/>
  <c r="K238" i="6" s="1"/>
  <c r="K168" i="10"/>
  <c r="AE168" i="10" s="1"/>
  <c r="Q41" i="10"/>
  <c r="R41" i="10" s="1"/>
  <c r="S41" i="10" s="1"/>
  <c r="Z41" i="10" s="1"/>
  <c r="AD165" i="10"/>
  <c r="AF165" i="10" s="1"/>
  <c r="Y224" i="10"/>
  <c r="Q56" i="10"/>
  <c r="R56" i="10" s="1"/>
  <c r="S56" i="10" s="1"/>
  <c r="Z56" i="10" s="1"/>
  <c r="AD224" i="10"/>
  <c r="AF224" i="10" s="1"/>
  <c r="AD197" i="10"/>
  <c r="AF197" i="10" s="1"/>
  <c r="T41" i="10"/>
  <c r="U41" i="10" s="1"/>
  <c r="I323" i="15"/>
  <c r="H618" i="22"/>
  <c r="H597" i="22"/>
  <c r="H524" i="22"/>
  <c r="I154" i="10"/>
  <c r="J154" i="10" s="1"/>
  <c r="P154" i="10"/>
  <c r="AD241" i="10"/>
  <c r="AF241" i="10" s="1"/>
  <c r="H581" i="22"/>
  <c r="H680" i="22"/>
  <c r="H360" i="22"/>
  <c r="Q134" i="10"/>
  <c r="R134" i="10" s="1"/>
  <c r="S134" i="10" s="1"/>
  <c r="K132" i="10"/>
  <c r="H578" i="22"/>
  <c r="Q36" i="10"/>
  <c r="R36" i="10" s="1"/>
  <c r="S36" i="10" s="1"/>
  <c r="Z36" i="10" s="1"/>
  <c r="J211" i="6"/>
  <c r="K211" i="6" s="1"/>
  <c r="J412" i="6"/>
  <c r="K412" i="6" s="1"/>
  <c r="H409" i="22"/>
  <c r="T243" i="10"/>
  <c r="U243" i="10" s="1"/>
  <c r="AA71" i="10"/>
  <c r="AE100" i="10"/>
  <c r="Y117" i="10"/>
  <c r="AD117" i="10"/>
  <c r="AF117" i="10" s="1"/>
  <c r="Y213" i="10"/>
  <c r="Q303" i="10"/>
  <c r="R303" i="10" s="1"/>
  <c r="S303" i="10" s="1"/>
  <c r="Z303" i="10" s="1"/>
  <c r="K25" i="10"/>
  <c r="Q25" i="10" s="1"/>
  <c r="R25" i="10" s="1"/>
  <c r="S25" i="10" s="1"/>
  <c r="Z25" i="10" s="1"/>
  <c r="J134" i="13"/>
  <c r="H698" i="22"/>
  <c r="T231" i="10"/>
  <c r="U231" i="10" s="1"/>
  <c r="J117" i="13"/>
  <c r="K117" i="13" s="1"/>
  <c r="L117" i="13" s="1"/>
  <c r="Q213" i="10"/>
  <c r="R213" i="10" s="1"/>
  <c r="S213" i="10" s="1"/>
  <c r="Z213" i="10" s="1"/>
  <c r="AD100" i="10"/>
  <c r="AF100" i="10" s="1"/>
  <c r="H803" i="22"/>
  <c r="H473" i="22"/>
  <c r="J311" i="6"/>
  <c r="K311" i="6" s="1"/>
  <c r="Y134" i="10"/>
  <c r="AE134" i="10"/>
  <c r="J428" i="6"/>
  <c r="K428" i="6" s="1"/>
  <c r="T227" i="10"/>
  <c r="U227" i="10" s="1"/>
  <c r="AD213" i="10"/>
  <c r="AF213" i="10" s="1"/>
  <c r="Y227" i="10"/>
  <c r="AE243" i="10"/>
  <c r="Q71" i="10"/>
  <c r="R71" i="10" s="1"/>
  <c r="S71" i="10" s="1"/>
  <c r="Z71" i="10" s="1"/>
  <c r="H579" i="22"/>
  <c r="AD99" i="10"/>
  <c r="AF99" i="10" s="1"/>
  <c r="T99" i="10"/>
  <c r="U99" i="10" s="1"/>
  <c r="V99" i="10" s="1"/>
  <c r="AD134" i="10"/>
  <c r="AF134" i="10" s="1"/>
  <c r="Q231" i="10"/>
  <c r="R231" i="10" s="1"/>
  <c r="S231" i="10" s="1"/>
  <c r="Y262" i="10"/>
  <c r="AD227" i="10"/>
  <c r="AF227" i="10" s="1"/>
  <c r="Q165" i="10"/>
  <c r="R165" i="10" s="1"/>
  <c r="S165" i="10" s="1"/>
  <c r="Z165" i="10" s="1"/>
  <c r="Q224" i="10"/>
  <c r="R224" i="10" s="1"/>
  <c r="S224" i="10" s="1"/>
  <c r="Z224" i="10" s="1"/>
  <c r="Q117" i="10"/>
  <c r="R117" i="10" s="1"/>
  <c r="S117" i="10" s="1"/>
  <c r="Z117" i="10" s="1"/>
  <c r="AE284" i="10"/>
  <c r="AE165" i="10"/>
  <c r="T213" i="10"/>
  <c r="U213" i="10" s="1"/>
  <c r="AE117" i="10"/>
  <c r="Y99" i="10"/>
  <c r="Y36" i="10"/>
  <c r="T165" i="10"/>
  <c r="U165" i="10" s="1"/>
  <c r="AD171" i="10"/>
  <c r="AF171" i="10" s="1"/>
  <c r="Q37" i="10"/>
  <c r="R37" i="10" s="1"/>
  <c r="S37" i="10" s="1"/>
  <c r="Z37" i="10" s="1"/>
  <c r="J227" i="13"/>
  <c r="K227" i="13" s="1"/>
  <c r="L227" i="13" s="1"/>
  <c r="AE141" i="10"/>
  <c r="Q141" i="10"/>
  <c r="R141" i="10" s="1"/>
  <c r="S141" i="10" s="1"/>
  <c r="Z141" i="10" s="1"/>
  <c r="J243" i="13"/>
  <c r="AE303" i="10"/>
  <c r="J142" i="6"/>
  <c r="K142" i="6" s="1"/>
  <c r="AD108" i="10"/>
  <c r="AF108" i="10" s="1"/>
  <c r="H694" i="22"/>
  <c r="H495" i="22"/>
  <c r="H575" i="22"/>
  <c r="T177" i="10"/>
  <c r="U177" i="10" s="1"/>
  <c r="AD303" i="10"/>
  <c r="AF303" i="10" s="1"/>
  <c r="AD177" i="10"/>
  <c r="AF177" i="10" s="1"/>
  <c r="AD231" i="10"/>
  <c r="AF231" i="10" s="1"/>
  <c r="T141" i="10"/>
  <c r="U141" i="10" s="1"/>
  <c r="Y177" i="10"/>
  <c r="K178" i="10"/>
  <c r="AE178" i="10" s="1"/>
  <c r="T56" i="10"/>
  <c r="U56" i="10" s="1"/>
  <c r="AE227" i="10"/>
  <c r="T117" i="10"/>
  <c r="U117" i="10" s="1"/>
  <c r="J36" i="13"/>
  <c r="K36" i="13" s="1"/>
  <c r="L36" i="13" s="1"/>
  <c r="AE213" i="10"/>
  <c r="J81" i="6"/>
  <c r="K81" i="6" s="1"/>
  <c r="K197" i="10"/>
  <c r="Y197" i="10" s="1"/>
  <c r="H537" i="22"/>
  <c r="H817" i="22"/>
  <c r="H485" i="22"/>
  <c r="P350" i="10"/>
  <c r="I350" i="10"/>
  <c r="J350" i="10" s="1"/>
  <c r="L339" i="19"/>
  <c r="L204" i="19"/>
  <c r="L199" i="19"/>
  <c r="L614" i="19"/>
  <c r="T169" i="10"/>
  <c r="U169" i="10" s="1"/>
  <c r="AD169" i="10"/>
  <c r="AF169" i="10" s="1"/>
  <c r="T71" i="10"/>
  <c r="U71" i="10" s="1"/>
  <c r="AD141" i="10"/>
  <c r="AF141" i="10" s="1"/>
  <c r="Y71" i="10"/>
  <c r="AD23" i="10"/>
  <c r="AF23" i="10" s="1"/>
  <c r="J71" i="13"/>
  <c r="Q295" i="10"/>
  <c r="R295" i="10" s="1"/>
  <c r="S295" i="10" s="1"/>
  <c r="Z295" i="10" s="1"/>
  <c r="Y141" i="10"/>
  <c r="T239" i="10"/>
  <c r="U239" i="10" s="1"/>
  <c r="H455" i="22"/>
  <c r="J295" i="13"/>
  <c r="K295" i="13" s="1"/>
  <c r="L295" i="13" s="1"/>
  <c r="H374" i="22"/>
  <c r="J120" i="6"/>
  <c r="K120" i="6" s="1"/>
  <c r="T119" i="10"/>
  <c r="U119" i="10" s="1"/>
  <c r="H368" i="22"/>
  <c r="I266" i="15"/>
  <c r="J153" i="6"/>
  <c r="K153" i="6" s="1"/>
  <c r="J99" i="13"/>
  <c r="K315" i="10"/>
  <c r="T315" i="10"/>
  <c r="U315" i="10" s="1"/>
  <c r="AD71" i="10"/>
  <c r="AF71" i="10" s="1"/>
  <c r="K23" i="10"/>
  <c r="AE23" i="10" s="1"/>
  <c r="AE71" i="10"/>
  <c r="K308" i="10"/>
  <c r="J329" i="6" s="1"/>
  <c r="K329" i="6" s="1"/>
  <c r="AE99" i="10"/>
  <c r="J93" i="6"/>
  <c r="K93" i="6" s="1"/>
  <c r="J39" i="6"/>
  <c r="K39" i="6" s="1"/>
  <c r="AD239" i="10"/>
  <c r="AF239" i="10" s="1"/>
  <c r="J105" i="6"/>
  <c r="K105" i="6" s="1"/>
  <c r="J396" i="13" s="1"/>
  <c r="AD295" i="10"/>
  <c r="AF295" i="10" s="1"/>
  <c r="H380" i="22"/>
  <c r="H461" i="22"/>
  <c r="H592" i="22"/>
  <c r="AD315" i="10"/>
  <c r="AF315" i="10" s="1"/>
  <c r="Y295" i="10"/>
  <c r="K171" i="10"/>
  <c r="J305" i="6" s="1"/>
  <c r="K305" i="6" s="1"/>
  <c r="H746" i="22"/>
  <c r="H489" i="22"/>
  <c r="T295" i="10"/>
  <c r="U295" i="10" s="1"/>
  <c r="H646" i="22"/>
  <c r="K332" i="10"/>
  <c r="T332" i="10"/>
  <c r="U332" i="10" s="1"/>
  <c r="AD332" i="10"/>
  <c r="AF332" i="10" s="1"/>
  <c r="Y88" i="10"/>
  <c r="J49" i="6"/>
  <c r="K49" i="6" s="1"/>
  <c r="J88" i="13"/>
  <c r="Q243" i="10"/>
  <c r="R243" i="10" s="1"/>
  <c r="S243" i="10" s="1"/>
  <c r="Z243" i="10" s="1"/>
  <c r="Y131" i="10"/>
  <c r="T132" i="10"/>
  <c r="U132" i="10" s="1"/>
  <c r="J252" i="6"/>
  <c r="K252" i="6" s="1"/>
  <c r="J382" i="6"/>
  <c r="K382" i="6" s="1"/>
  <c r="AE88" i="10"/>
  <c r="Y284" i="10"/>
  <c r="T217" i="10"/>
  <c r="U217" i="10" s="1"/>
  <c r="J87" i="13"/>
  <c r="AD275" i="10"/>
  <c r="AF275" i="10" s="1"/>
  <c r="J150" i="6"/>
  <c r="K150" i="6" s="1"/>
  <c r="AE14" i="10"/>
  <c r="J277" i="6"/>
  <c r="K277" i="6" s="1"/>
  <c r="AD178" i="10"/>
  <c r="AF178" i="10" s="1"/>
  <c r="Y241" i="10"/>
  <c r="T224" i="10"/>
  <c r="U224" i="10" s="1"/>
  <c r="J39" i="13"/>
  <c r="K39" i="13" s="1"/>
  <c r="L39" i="13" s="1"/>
  <c r="J145" i="6"/>
  <c r="K145" i="6" s="1"/>
  <c r="Y303" i="10"/>
  <c r="J373" i="6"/>
  <c r="K373" i="6" s="1"/>
  <c r="J327" i="6"/>
  <c r="K327" i="6" s="1"/>
  <c r="J103" i="13"/>
  <c r="J231" i="13"/>
  <c r="K231" i="13" s="1"/>
  <c r="L231" i="13" s="1"/>
  <c r="T100" i="10"/>
  <c r="U100" i="10" s="1"/>
  <c r="T284" i="10"/>
  <c r="U284" i="10" s="1"/>
  <c r="Y87" i="10"/>
  <c r="AD87" i="10"/>
  <c r="AF87" i="10" s="1"/>
  <c r="T303" i="10"/>
  <c r="U303" i="10" s="1"/>
  <c r="AD36" i="10"/>
  <c r="AF36" i="10" s="1"/>
  <c r="J303" i="13"/>
  <c r="J100" i="13"/>
  <c r="K100" i="13" s="1"/>
  <c r="L100" i="13" s="1"/>
  <c r="Y14" i="10"/>
  <c r="J126" i="6"/>
  <c r="K126" i="6" s="1"/>
  <c r="AD243" i="10"/>
  <c r="AF243" i="10" s="1"/>
  <c r="AD39" i="10"/>
  <c r="AF39" i="10" s="1"/>
  <c r="AD88" i="10"/>
  <c r="AF88" i="10" s="1"/>
  <c r="Q100" i="10"/>
  <c r="R100" i="10" s="1"/>
  <c r="S100" i="10" s="1"/>
  <c r="Z100" i="10" s="1"/>
  <c r="AE44" i="10"/>
  <c r="Q284" i="10"/>
  <c r="R284" i="10" s="1"/>
  <c r="S284" i="10" s="1"/>
  <c r="J443" i="6"/>
  <c r="K443" i="6" s="1"/>
  <c r="J291" i="6"/>
  <c r="K291" i="6" s="1"/>
  <c r="AE36" i="10"/>
  <c r="K217" i="10"/>
  <c r="AE217" i="10" s="1"/>
  <c r="Y243" i="10"/>
  <c r="Y39" i="10"/>
  <c r="Q14" i="10"/>
  <c r="R14" i="10" s="1"/>
  <c r="S14" i="10" s="1"/>
  <c r="Z14" i="10" s="1"/>
  <c r="Q241" i="10"/>
  <c r="R241" i="10" s="1"/>
  <c r="S241" i="10" s="1"/>
  <c r="Z241" i="10" s="1"/>
  <c r="Q131" i="10"/>
  <c r="R131" i="10" s="1"/>
  <c r="S131" i="10" s="1"/>
  <c r="AD131" i="10"/>
  <c r="AF131" i="10" s="1"/>
  <c r="T255" i="10"/>
  <c r="U255" i="10" s="1"/>
  <c r="T241" i="10"/>
  <c r="U241" i="10" s="1"/>
  <c r="I327" i="15"/>
  <c r="AD262" i="10"/>
  <c r="AF262" i="10" s="1"/>
  <c r="T36" i="10"/>
  <c r="U36" i="10" s="1"/>
  <c r="T170" i="10"/>
  <c r="U170" i="10" s="1"/>
  <c r="K170" i="10"/>
  <c r="Q170" i="10" s="1"/>
  <c r="R170" i="10" s="1"/>
  <c r="S170" i="10" s="1"/>
  <c r="P130" i="10"/>
  <c r="I130" i="10"/>
  <c r="J130" i="10" s="1"/>
  <c r="T130" i="10" s="1"/>
  <c r="U130" i="10" s="1"/>
  <c r="T14" i="10"/>
  <c r="U14" i="10" s="1"/>
  <c r="AD127" i="10"/>
  <c r="AF127" i="10" s="1"/>
  <c r="T44" i="10"/>
  <c r="U44" i="10" s="1"/>
  <c r="AE135" i="10"/>
  <c r="L1159" i="19"/>
  <c r="H130" i="22"/>
  <c r="I206" i="10"/>
  <c r="J206" i="10" s="1"/>
  <c r="P206" i="10"/>
  <c r="I263" i="15"/>
  <c r="L994" i="19"/>
  <c r="I251" i="15"/>
  <c r="I274" i="15"/>
  <c r="L24" i="19"/>
  <c r="P335" i="10"/>
  <c r="I335" i="10"/>
  <c r="J335" i="10" s="1"/>
  <c r="Y172" i="10"/>
  <c r="AE448" i="13"/>
  <c r="AD44" i="10"/>
  <c r="AF44" i="10" s="1"/>
  <c r="K119" i="10"/>
  <c r="J119" i="13" s="1"/>
  <c r="L989" i="19"/>
  <c r="L319" i="19"/>
  <c r="AA223" i="10"/>
  <c r="L1509" i="19"/>
  <c r="K341" i="10"/>
  <c r="J341" i="13" s="1"/>
  <c r="AD14" i="10"/>
  <c r="AF14" i="10" s="1"/>
  <c r="Y44" i="10"/>
  <c r="P265" i="10"/>
  <c r="I265" i="10"/>
  <c r="J265" i="10" s="1"/>
  <c r="T265" i="10" s="1"/>
  <c r="U265" i="10" s="1"/>
  <c r="P95" i="10"/>
  <c r="I95" i="10"/>
  <c r="J95" i="10" s="1"/>
  <c r="L1679" i="19"/>
  <c r="K340" i="13"/>
  <c r="L340" i="13" s="1"/>
  <c r="K262" i="13"/>
  <c r="L262" i="13" s="1"/>
  <c r="I20" i="10"/>
  <c r="J20" i="10" s="1"/>
  <c r="P20" i="10"/>
  <c r="K141" i="13"/>
  <c r="L141" i="13" s="1"/>
  <c r="K148" i="13"/>
  <c r="L148" i="13" s="1"/>
  <c r="K300" i="13"/>
  <c r="L300" i="13" s="1"/>
  <c r="P279" i="10"/>
  <c r="I279" i="10"/>
  <c r="J279" i="10" s="1"/>
  <c r="T160" i="10"/>
  <c r="U160" i="10" s="1"/>
  <c r="K160" i="10"/>
  <c r="Q160" i="10" s="1"/>
  <c r="R160" i="10" s="1"/>
  <c r="S160" i="10" s="1"/>
  <c r="Z160" i="10" s="1"/>
  <c r="I101" i="10"/>
  <c r="J101" i="10" s="1"/>
  <c r="P101" i="10"/>
  <c r="I318" i="10"/>
  <c r="J318" i="10" s="1"/>
  <c r="P318" i="10"/>
  <c r="L1599" i="19"/>
  <c r="H327" i="22"/>
  <c r="H20" i="22"/>
  <c r="K241" i="13"/>
  <c r="L241" i="13" s="1"/>
  <c r="K179" i="13"/>
  <c r="L179" i="13" s="1"/>
  <c r="K352" i="13"/>
  <c r="L352" i="13" s="1"/>
  <c r="K216" i="13"/>
  <c r="L216" i="13" s="1"/>
  <c r="K213" i="13"/>
  <c r="L213" i="13" s="1"/>
  <c r="K284" i="13"/>
  <c r="L284" i="13" s="1"/>
  <c r="K41" i="13"/>
  <c r="L41" i="13" s="1"/>
  <c r="K37" i="13"/>
  <c r="L37" i="13" s="1"/>
  <c r="K14" i="13"/>
  <c r="L14" i="13" s="1"/>
  <c r="K44" i="13"/>
  <c r="L44" i="13" s="1"/>
  <c r="I12" i="10"/>
  <c r="J12" i="10" s="1"/>
  <c r="K12" i="10" s="1"/>
  <c r="J416" i="6" s="1"/>
  <c r="K416" i="6" s="1"/>
  <c r="P12" i="10"/>
  <c r="L1619" i="19"/>
  <c r="L1239" i="19"/>
  <c r="L1499" i="19"/>
  <c r="H205" i="22"/>
  <c r="L469" i="19"/>
  <c r="L1554" i="19"/>
  <c r="H101" i="22"/>
  <c r="I317" i="15"/>
  <c r="AE172" i="10"/>
  <c r="Y173" i="10"/>
  <c r="Q223" i="10"/>
  <c r="R223" i="10" s="1"/>
  <c r="S223" i="10" s="1"/>
  <c r="Z223" i="10" s="1"/>
  <c r="Q311" i="10"/>
  <c r="R311" i="10" s="1"/>
  <c r="S311" i="10" s="1"/>
  <c r="AE223" i="10"/>
  <c r="T31" i="10"/>
  <c r="U31" i="10" s="1"/>
  <c r="J269" i="6"/>
  <c r="K269" i="6" s="1"/>
  <c r="T262" i="10"/>
  <c r="U262" i="10" s="1"/>
  <c r="Q340" i="10"/>
  <c r="R340" i="10" s="1"/>
  <c r="S340" i="10" s="1"/>
  <c r="Z340" i="10" s="1"/>
  <c r="K144" i="10"/>
  <c r="Q144" i="10" s="1"/>
  <c r="R144" i="10" s="1"/>
  <c r="S144" i="10" s="1"/>
  <c r="K31" i="10"/>
  <c r="J31" i="13" s="1"/>
  <c r="AE262" i="10"/>
  <c r="AE340" i="10"/>
  <c r="K205" i="10"/>
  <c r="Y205" i="10" s="1"/>
  <c r="T191" i="10"/>
  <c r="U191" i="10" s="1"/>
  <c r="T340" i="10"/>
  <c r="U340" i="10" s="1"/>
  <c r="Y56" i="10"/>
  <c r="J223" i="13"/>
  <c r="AD37" i="10"/>
  <c r="AF37" i="10" s="1"/>
  <c r="Y223" i="10"/>
  <c r="T275" i="10"/>
  <c r="U275" i="10" s="1"/>
  <c r="J28" i="6"/>
  <c r="K28" i="6" s="1"/>
  <c r="J56" i="13"/>
  <c r="AD162" i="10"/>
  <c r="AF162" i="10" s="1"/>
  <c r="Y135" i="10"/>
  <c r="J230" i="6"/>
  <c r="K230" i="6" s="1"/>
  <c r="K47" i="10"/>
  <c r="Q47" i="10" s="1"/>
  <c r="R47" i="10" s="1"/>
  <c r="S47" i="10" s="1"/>
  <c r="T115" i="10"/>
  <c r="U115" i="10" s="1"/>
  <c r="T40" i="10"/>
  <c r="U40" i="10" s="1"/>
  <c r="K191" i="10"/>
  <c r="J191" i="13" s="1"/>
  <c r="K186" i="10"/>
  <c r="J448" i="6" s="1"/>
  <c r="K448" i="6" s="1"/>
  <c r="AD135" i="10"/>
  <c r="AF135" i="10" s="1"/>
  <c r="J182" i="6"/>
  <c r="K182" i="6" s="1"/>
  <c r="AD47" i="10"/>
  <c r="AF47" i="10" s="1"/>
  <c r="K115" i="10"/>
  <c r="J253" i="6" s="1"/>
  <c r="K253" i="6" s="1"/>
  <c r="K40" i="10"/>
  <c r="J358" i="6" s="1"/>
  <c r="K358" i="6" s="1"/>
  <c r="AD255" i="10"/>
  <c r="AF255" i="10" s="1"/>
  <c r="J135" i="13"/>
  <c r="T135" i="10"/>
  <c r="U135" i="10" s="1"/>
  <c r="Y37" i="10"/>
  <c r="T39" i="10"/>
  <c r="U39" i="10" s="1"/>
  <c r="V39" i="10" s="1"/>
  <c r="AD56" i="10"/>
  <c r="AF56" i="10" s="1"/>
  <c r="AE39" i="10"/>
  <c r="J109" i="6"/>
  <c r="K109" i="6" s="1"/>
  <c r="Q135" i="10"/>
  <c r="R135" i="10" s="1"/>
  <c r="S135" i="10" s="1"/>
  <c r="Z135" i="10" s="1"/>
  <c r="AE37" i="10"/>
  <c r="AE56" i="10"/>
  <c r="J198" i="6"/>
  <c r="K198" i="6" s="1"/>
  <c r="K162" i="10"/>
  <c r="Y162" i="10" s="1"/>
  <c r="T37" i="10"/>
  <c r="U37" i="10" s="1"/>
  <c r="AD63" i="10"/>
  <c r="AF63" i="10" s="1"/>
  <c r="T278" i="10"/>
  <c r="U278" i="10" s="1"/>
  <c r="I322" i="15"/>
  <c r="AD223" i="10"/>
  <c r="AF223" i="10" s="1"/>
  <c r="T223" i="10"/>
  <c r="U223" i="10" s="1"/>
  <c r="J365" i="6"/>
  <c r="K365" i="6" s="1"/>
  <c r="Q108" i="10"/>
  <c r="R108" i="10" s="1"/>
  <c r="S108" i="10" s="1"/>
  <c r="Z108" i="10" s="1"/>
  <c r="K89" i="10"/>
  <c r="AD89" i="10"/>
  <c r="AF89" i="10" s="1"/>
  <c r="T89" i="10"/>
  <c r="U89" i="10" s="1"/>
  <c r="K282" i="10"/>
  <c r="AE282" i="10" s="1"/>
  <c r="T72" i="10"/>
  <c r="U72" i="10" s="1"/>
  <c r="AD103" i="10"/>
  <c r="AF103" i="10" s="1"/>
  <c r="J275" i="6"/>
  <c r="K275" i="6" s="1"/>
  <c r="AD170" i="10"/>
  <c r="AF170" i="10" s="1"/>
  <c r="AE103" i="10"/>
  <c r="T103" i="10"/>
  <c r="U103" i="10" s="1"/>
  <c r="Q103" i="10"/>
  <c r="R103" i="10" s="1"/>
  <c r="S103" i="10" s="1"/>
  <c r="Z103" i="10" s="1"/>
  <c r="T25" i="10"/>
  <c r="U25" i="10" s="1"/>
  <c r="T108" i="10"/>
  <c r="U108" i="10" s="1"/>
  <c r="J435" i="6"/>
  <c r="K435" i="6" s="1"/>
  <c r="AD340" i="10"/>
  <c r="AF340" i="10" s="1"/>
  <c r="AD341" i="10"/>
  <c r="AF341" i="10" s="1"/>
  <c r="AD164" i="10"/>
  <c r="AF164" i="10" s="1"/>
  <c r="T164" i="10"/>
  <c r="U164" i="10" s="1"/>
  <c r="T205" i="10"/>
  <c r="U205" i="10" s="1"/>
  <c r="Y340" i="10"/>
  <c r="Y103" i="10"/>
  <c r="P307" i="10"/>
  <c r="I307" i="10"/>
  <c r="J307" i="10" s="1"/>
  <c r="F295" i="15"/>
  <c r="I295" i="15"/>
  <c r="I156" i="10"/>
  <c r="J156" i="10" s="1"/>
  <c r="P156" i="10"/>
  <c r="H93" i="22"/>
  <c r="L429" i="19"/>
  <c r="H255" i="22"/>
  <c r="I338" i="10"/>
  <c r="J338" i="10" s="1"/>
  <c r="T338" i="10" s="1"/>
  <c r="U338" i="10" s="1"/>
  <c r="P338" i="10"/>
  <c r="I298" i="15"/>
  <c r="I75" i="10"/>
  <c r="J75" i="10" s="1"/>
  <c r="P75" i="10"/>
  <c r="L744" i="19"/>
  <c r="H156" i="22"/>
  <c r="P183" i="10"/>
  <c r="I183" i="10"/>
  <c r="J183" i="10" s="1"/>
  <c r="L1544" i="19"/>
  <c r="H756" i="22"/>
  <c r="P29" i="10"/>
  <c r="I29" i="10"/>
  <c r="J29" i="10" s="1"/>
  <c r="H56" i="22"/>
  <c r="L244" i="19"/>
  <c r="H183" i="22"/>
  <c r="L879" i="19"/>
  <c r="L514" i="19"/>
  <c r="L814" i="19"/>
  <c r="I330" i="15"/>
  <c r="L1654" i="19"/>
  <c r="Q356" i="10"/>
  <c r="R356" i="10" s="1"/>
  <c r="S356" i="10" s="1"/>
  <c r="Z356" i="10" s="1"/>
  <c r="AE356" i="10"/>
  <c r="T63" i="10"/>
  <c r="U63" i="10" s="1"/>
  <c r="K187" i="10"/>
  <c r="T187" i="10"/>
  <c r="U187" i="10" s="1"/>
  <c r="K43" i="10"/>
  <c r="AE43" i="10" s="1"/>
  <c r="T282" i="10"/>
  <c r="U282" i="10" s="1"/>
  <c r="AD250" i="10"/>
  <c r="AF250" i="10" s="1"/>
  <c r="T250" i="10"/>
  <c r="U250" i="10" s="1"/>
  <c r="K151" i="10"/>
  <c r="AD151" i="10"/>
  <c r="AF151" i="10" s="1"/>
  <c r="T151" i="10"/>
  <c r="U151" i="10" s="1"/>
  <c r="AE108" i="10"/>
  <c r="AD43" i="10"/>
  <c r="AF43" i="10" s="1"/>
  <c r="Y108" i="10"/>
  <c r="J444" i="6"/>
  <c r="K444" i="6" s="1"/>
  <c r="K45" i="10"/>
  <c r="J400" i="6" s="1"/>
  <c r="K400" i="6" s="1"/>
  <c r="K49" i="10"/>
  <c r="T49" i="10"/>
  <c r="U49" i="10" s="1"/>
  <c r="AD49" i="10"/>
  <c r="AF49" i="10" s="1"/>
  <c r="K159" i="10"/>
  <c r="T159" i="10"/>
  <c r="U159" i="10" s="1"/>
  <c r="AD159" i="10"/>
  <c r="AF159" i="10" s="1"/>
  <c r="J108" i="13"/>
  <c r="Z97" i="10"/>
  <c r="AD72" i="10"/>
  <c r="AF72" i="10" s="1"/>
  <c r="K26" i="10"/>
  <c r="Q26" i="10" s="1"/>
  <c r="R26" i="10" s="1"/>
  <c r="S26" i="10" s="1"/>
  <c r="AE51" i="10"/>
  <c r="Q51" i="10"/>
  <c r="R51" i="10" s="1"/>
  <c r="S51" i="10" s="1"/>
  <c r="Z51" i="10" s="1"/>
  <c r="Y51" i="10"/>
  <c r="AE220" i="10"/>
  <c r="Q220" i="10"/>
  <c r="R220" i="10" s="1"/>
  <c r="S220" i="10" s="1"/>
  <c r="Z220" i="10" s="1"/>
  <c r="Y220" i="10"/>
  <c r="K11" i="10"/>
  <c r="J11" i="13" s="1"/>
  <c r="T11" i="10"/>
  <c r="U11" i="10" s="1"/>
  <c r="AD11" i="10"/>
  <c r="AF11" i="10" s="1"/>
  <c r="J126" i="13"/>
  <c r="Q126" i="10"/>
  <c r="R126" i="10" s="1"/>
  <c r="S126" i="10" s="1"/>
  <c r="Z126" i="10" s="1"/>
  <c r="Y126" i="10"/>
  <c r="AE126" i="10"/>
  <c r="P204" i="10"/>
  <c r="I204" i="10"/>
  <c r="J204" i="10" s="1"/>
  <c r="K204" i="10" s="1"/>
  <c r="I325" i="10"/>
  <c r="J325" i="10" s="1"/>
  <c r="P325" i="10"/>
  <c r="I110" i="10"/>
  <c r="J110" i="10" s="1"/>
  <c r="P110" i="10"/>
  <c r="H260" i="22"/>
  <c r="L1264" i="19"/>
  <c r="H215" i="22"/>
  <c r="L1039" i="19"/>
  <c r="H135" i="22"/>
  <c r="L639" i="19"/>
  <c r="H321" i="22"/>
  <c r="L1569" i="19"/>
  <c r="I334" i="10"/>
  <c r="J334" i="10" s="1"/>
  <c r="P334" i="10"/>
  <c r="I312" i="10"/>
  <c r="J312" i="10" s="1"/>
  <c r="P312" i="10"/>
  <c r="K260" i="10"/>
  <c r="T24" i="16" s="1"/>
  <c r="AD260" i="10"/>
  <c r="AF260" i="10" s="1"/>
  <c r="T260" i="10"/>
  <c r="U260" i="10" s="1"/>
  <c r="H110" i="22"/>
  <c r="AD293" i="10"/>
  <c r="AF293" i="10" s="1"/>
  <c r="K293" i="10"/>
  <c r="Y293" i="10" s="1"/>
  <c r="T293" i="10"/>
  <c r="U293" i="10" s="1"/>
  <c r="L1249" i="19"/>
  <c r="J21" i="12" s="1"/>
  <c r="H257" i="22"/>
  <c r="H204" i="22"/>
  <c r="L984" i="19"/>
  <c r="P226" i="10"/>
  <c r="I226" i="10"/>
  <c r="J226" i="10" s="1"/>
  <c r="L1589" i="19"/>
  <c r="H325" i="22"/>
  <c r="H357" i="22"/>
  <c r="L1749" i="19"/>
  <c r="I107" i="10"/>
  <c r="J107" i="10" s="1"/>
  <c r="K107" i="10" s="1"/>
  <c r="P107" i="10"/>
  <c r="H251" i="22"/>
  <c r="L1219" i="19"/>
  <c r="P215" i="10"/>
  <c r="I215" i="10"/>
  <c r="J215" i="10" s="1"/>
  <c r="T144" i="10"/>
  <c r="U144" i="10" s="1"/>
  <c r="H361" i="10"/>
  <c r="AD26" i="10"/>
  <c r="AF26" i="10" s="1"/>
  <c r="T45" i="10"/>
  <c r="U45" i="10" s="1"/>
  <c r="I293" i="15"/>
  <c r="L1729" i="19"/>
  <c r="H312" i="22"/>
  <c r="L1524" i="19"/>
  <c r="I309" i="10"/>
  <c r="J309" i="10" s="1"/>
  <c r="K309" i="10" s="1"/>
  <c r="P309" i="10"/>
  <c r="P269" i="10"/>
  <c r="I269" i="10"/>
  <c r="J269" i="10" s="1"/>
  <c r="L1309" i="19"/>
  <c r="H269" i="22"/>
  <c r="Y356" i="10"/>
  <c r="AA239" i="10"/>
  <c r="I250" i="15"/>
  <c r="L1649" i="19"/>
  <c r="H337" i="22"/>
  <c r="I311" i="15"/>
  <c r="P257" i="10"/>
  <c r="G13" i="8" s="1"/>
  <c r="I257" i="10"/>
  <c r="J257" i="10" s="1"/>
  <c r="H226" i="22"/>
  <c r="L1094" i="19"/>
  <c r="P357" i="10"/>
  <c r="I357" i="10"/>
  <c r="J357" i="10" s="1"/>
  <c r="L499" i="19"/>
  <c r="H107" i="22"/>
  <c r="I337" i="10"/>
  <c r="J337" i="10" s="1"/>
  <c r="P337" i="10"/>
  <c r="P331" i="10"/>
  <c r="I331" i="10"/>
  <c r="J331" i="10" s="1"/>
  <c r="F270" i="15"/>
  <c r="I270" i="15"/>
  <c r="I251" i="10"/>
  <c r="J251" i="10" s="1"/>
  <c r="P251" i="10"/>
  <c r="P321" i="10"/>
  <c r="I321" i="10"/>
  <c r="J321" i="10" s="1"/>
  <c r="P353" i="10"/>
  <c r="I353" i="10"/>
  <c r="J353" i="10" s="1"/>
  <c r="K353" i="10" s="1"/>
  <c r="L1634" i="19"/>
  <c r="AE17" i="10"/>
  <c r="Q17" i="10"/>
  <c r="R17" i="10" s="1"/>
  <c r="S17" i="10" s="1"/>
  <c r="Z17" i="10" s="1"/>
  <c r="Y17" i="10"/>
  <c r="Y76" i="10"/>
  <c r="AE76" i="10"/>
  <c r="AE299" i="10"/>
  <c r="Y299" i="10"/>
  <c r="Q299" i="10"/>
  <c r="R299" i="10" s="1"/>
  <c r="S299" i="10" s="1"/>
  <c r="Z299" i="10" s="1"/>
  <c r="Q268" i="10"/>
  <c r="R268" i="10" s="1"/>
  <c r="S268" i="10" s="1"/>
  <c r="Z268" i="10" s="1"/>
  <c r="Y268" i="10"/>
  <c r="AE268" i="10"/>
  <c r="Y184" i="10"/>
  <c r="Q184" i="10"/>
  <c r="R184" i="10" s="1"/>
  <c r="S184" i="10" s="1"/>
  <c r="Z184" i="10" s="1"/>
  <c r="J390" i="6"/>
  <c r="K390" i="6" s="1"/>
  <c r="J447" i="6"/>
  <c r="K447" i="6" s="1"/>
  <c r="J184" i="13"/>
  <c r="K288" i="10"/>
  <c r="T288" i="10"/>
  <c r="U288" i="10" s="1"/>
  <c r="AD288" i="10"/>
  <c r="AF288" i="10" s="1"/>
  <c r="T299" i="10"/>
  <c r="U299" i="10" s="1"/>
  <c r="AD299" i="10"/>
  <c r="AF299" i="10" s="1"/>
  <c r="J199" i="6"/>
  <c r="K199" i="6" s="1"/>
  <c r="J299" i="13"/>
  <c r="T228" i="10"/>
  <c r="U228" i="10" s="1"/>
  <c r="AD228" i="10"/>
  <c r="AF228" i="10" s="1"/>
  <c r="AD184" i="10"/>
  <c r="AF184" i="10" s="1"/>
  <c r="T184" i="10"/>
  <c r="U184" i="10" s="1"/>
  <c r="K228" i="10"/>
  <c r="T23" i="16" s="1"/>
  <c r="AE184" i="10"/>
  <c r="AA209" i="10"/>
  <c r="AE209" i="10"/>
  <c r="AE348" i="10"/>
  <c r="Q348" i="10"/>
  <c r="R348" i="10" s="1"/>
  <c r="S348" i="10" s="1"/>
  <c r="Z348" i="10" s="1"/>
  <c r="J280" i="6"/>
  <c r="K280" i="6" s="1"/>
  <c r="J310" i="13"/>
  <c r="Q310" i="10"/>
  <c r="R310" i="10" s="1"/>
  <c r="S310" i="10" s="1"/>
  <c r="Z310" i="10" s="1"/>
  <c r="Y310" i="10"/>
  <c r="AE310" i="10"/>
  <c r="J161" i="13"/>
  <c r="Q161" i="10"/>
  <c r="R161" i="10" s="1"/>
  <c r="S161" i="10" s="1"/>
  <c r="Z161" i="10" s="1"/>
  <c r="AE161" i="10"/>
  <c r="Q150" i="10"/>
  <c r="R150" i="10" s="1"/>
  <c r="S150" i="10" s="1"/>
  <c r="AE150" i="10"/>
  <c r="Y150" i="10"/>
  <c r="AA210" i="10"/>
  <c r="AE210" i="10"/>
  <c r="Y210" i="10"/>
  <c r="Y105" i="10"/>
  <c r="AE105" i="10"/>
  <c r="AE137" i="10"/>
  <c r="Q137" i="10"/>
  <c r="R137" i="10" s="1"/>
  <c r="S137" i="10" s="1"/>
  <c r="Z137" i="10" s="1"/>
  <c r="J118" i="13"/>
  <c r="Q118" i="10"/>
  <c r="R118" i="10" s="1"/>
  <c r="S118" i="10" s="1"/>
  <c r="Y118" i="10"/>
  <c r="AE118" i="10"/>
  <c r="Q54" i="10"/>
  <c r="R54" i="10" s="1"/>
  <c r="S54" i="10" s="1"/>
  <c r="Z54" i="10" s="1"/>
  <c r="AE54" i="10"/>
  <c r="Y54" i="10"/>
  <c r="J140" i="6"/>
  <c r="K140" i="6" s="1"/>
  <c r="J149" i="13"/>
  <c r="J304" i="6"/>
  <c r="K304" i="6" s="1"/>
  <c r="Q149" i="10"/>
  <c r="R149" i="10" s="1"/>
  <c r="S149" i="10" s="1"/>
  <c r="Z149" i="10" s="1"/>
  <c r="Y225" i="10"/>
  <c r="AE225" i="10"/>
  <c r="Q225" i="10"/>
  <c r="R225" i="10" s="1"/>
  <c r="S225" i="10" s="1"/>
  <c r="K181" i="10"/>
  <c r="T181" i="10"/>
  <c r="U181" i="10" s="1"/>
  <c r="AD181" i="10"/>
  <c r="AF181" i="10" s="1"/>
  <c r="T93" i="10"/>
  <c r="U93" i="10" s="1"/>
  <c r="AD93" i="10"/>
  <c r="AF93" i="10" s="1"/>
  <c r="J195" i="6"/>
  <c r="K195" i="6" s="1"/>
  <c r="Q194" i="10"/>
  <c r="R194" i="10" s="1"/>
  <c r="S194" i="10" s="1"/>
  <c r="J194" i="13"/>
  <c r="AE266" i="10"/>
  <c r="Y266" i="10"/>
  <c r="K360" i="10"/>
  <c r="AD360" i="10"/>
  <c r="AF360" i="10" s="1"/>
  <c r="T360" i="10"/>
  <c r="U360" i="10" s="1"/>
  <c r="Q328" i="10"/>
  <c r="R328" i="10" s="1"/>
  <c r="S328" i="10" s="1"/>
  <c r="Z328" i="10" s="1"/>
  <c r="AE328" i="10"/>
  <c r="Y328" i="10"/>
  <c r="T48" i="10"/>
  <c r="U48" i="10" s="1"/>
  <c r="AD48" i="10"/>
  <c r="AF48" i="10" s="1"/>
  <c r="AE149" i="10"/>
  <c r="Y149" i="10"/>
  <c r="AD319" i="10"/>
  <c r="AF319" i="10" s="1"/>
  <c r="T319" i="10"/>
  <c r="U319" i="10" s="1"/>
  <c r="T292" i="10"/>
  <c r="U292" i="10" s="1"/>
  <c r="AD292" i="10"/>
  <c r="AF292" i="10" s="1"/>
  <c r="AD339" i="10"/>
  <c r="AF339" i="10" s="1"/>
  <c r="T339" i="10"/>
  <c r="U339" i="10" s="1"/>
  <c r="J328" i="13"/>
  <c r="J122" i="6"/>
  <c r="K122" i="6" s="1"/>
  <c r="J146" i="6"/>
  <c r="K146" i="6" s="1"/>
  <c r="J264" i="6"/>
  <c r="K264" i="6" s="1"/>
  <c r="Y245" i="10"/>
  <c r="AE245" i="10"/>
  <c r="Q245" i="10"/>
  <c r="R245" i="10" s="1"/>
  <c r="S245" i="10" s="1"/>
  <c r="J245" i="13"/>
  <c r="T157" i="10"/>
  <c r="U157" i="10" s="1"/>
  <c r="AD157" i="10"/>
  <c r="AF157" i="10" s="1"/>
  <c r="AD194" i="10"/>
  <c r="AF194" i="10" s="1"/>
  <c r="T194" i="10"/>
  <c r="U194" i="10" s="1"/>
  <c r="T266" i="10"/>
  <c r="U266" i="10" s="1"/>
  <c r="AD266" i="10"/>
  <c r="AF266" i="10" s="1"/>
  <c r="K248" i="10"/>
  <c r="AD248" i="10"/>
  <c r="AF248" i="10" s="1"/>
  <c r="T248" i="10"/>
  <c r="U248" i="10" s="1"/>
  <c r="K48" i="10"/>
  <c r="AE48" i="10" s="1"/>
  <c r="K93" i="10"/>
  <c r="K292" i="10"/>
  <c r="K339" i="10"/>
  <c r="T310" i="10"/>
  <c r="U310" i="10" s="1"/>
  <c r="AD310" i="10"/>
  <c r="AF310" i="10" s="1"/>
  <c r="AD306" i="10"/>
  <c r="AF306" i="10" s="1"/>
  <c r="T306" i="10"/>
  <c r="U306" i="10" s="1"/>
  <c r="K306" i="10"/>
  <c r="Y306" i="10" s="1"/>
  <c r="T149" i="10"/>
  <c r="U149" i="10" s="1"/>
  <c r="AD149" i="10"/>
  <c r="AF149" i="10" s="1"/>
  <c r="AE194" i="10"/>
  <c r="Y194" i="10"/>
  <c r="T85" i="10"/>
  <c r="U85" i="10" s="1"/>
  <c r="K85" i="10"/>
  <c r="AD85" i="10"/>
  <c r="AF85" i="10" s="1"/>
  <c r="Q266" i="10"/>
  <c r="R266" i="10" s="1"/>
  <c r="S266" i="10" s="1"/>
  <c r="J266" i="13"/>
  <c r="J176" i="6"/>
  <c r="K176" i="6" s="1"/>
  <c r="J385" i="6"/>
  <c r="K385" i="6" s="1"/>
  <c r="T328" i="10"/>
  <c r="U328" i="10" s="1"/>
  <c r="AD328" i="10"/>
  <c r="AF328" i="10" s="1"/>
  <c r="K157" i="10"/>
  <c r="K319" i="10"/>
  <c r="Y319" i="10" s="1"/>
  <c r="Y67" i="10"/>
  <c r="AE67" i="10"/>
  <c r="J301" i="6"/>
  <c r="K301" i="6" s="1"/>
  <c r="J112" i="13"/>
  <c r="Q112" i="10"/>
  <c r="R112" i="10" s="1"/>
  <c r="S112" i="10" s="1"/>
  <c r="J281" i="13"/>
  <c r="J18" i="6"/>
  <c r="K18" i="6" s="1"/>
  <c r="Y281" i="10"/>
  <c r="AE281" i="10"/>
  <c r="Q281" i="10"/>
  <c r="R281" i="10" s="1"/>
  <c r="S281" i="10" s="1"/>
  <c r="Z281" i="10" s="1"/>
  <c r="Y326" i="10"/>
  <c r="J326" i="13"/>
  <c r="J460" i="6"/>
  <c r="K460" i="6" s="1"/>
  <c r="Q326" i="10"/>
  <c r="R326" i="10" s="1"/>
  <c r="S326" i="10" s="1"/>
  <c r="Z326" i="10" s="1"/>
  <c r="Y192" i="10"/>
  <c r="J192" i="13"/>
  <c r="J68" i="6"/>
  <c r="K68" i="6" s="1"/>
  <c r="Q192" i="10"/>
  <c r="R192" i="10" s="1"/>
  <c r="S192" i="10" s="1"/>
  <c r="Z192" i="10" s="1"/>
  <c r="J408" i="6"/>
  <c r="K408" i="6" s="1"/>
  <c r="J137" i="13"/>
  <c r="Y112" i="10"/>
  <c r="AE112" i="10"/>
  <c r="AA112" i="10"/>
  <c r="AD345" i="10"/>
  <c r="AF345" i="10" s="1"/>
  <c r="T345" i="10"/>
  <c r="U345" i="10" s="1"/>
  <c r="AD317" i="10"/>
  <c r="AF317" i="10" s="1"/>
  <c r="T317" i="10"/>
  <c r="U317" i="10" s="1"/>
  <c r="AD96" i="10"/>
  <c r="AF96" i="10" s="1"/>
  <c r="T96" i="10"/>
  <c r="U96" i="10" s="1"/>
  <c r="Y136" i="10"/>
  <c r="Q136" i="10"/>
  <c r="R136" i="10" s="1"/>
  <c r="S136" i="10" s="1"/>
  <c r="J136" i="13"/>
  <c r="K304" i="10"/>
  <c r="AE304" i="10" s="1"/>
  <c r="T304" i="10"/>
  <c r="U304" i="10" s="1"/>
  <c r="AD304" i="10"/>
  <c r="AF304" i="10" s="1"/>
  <c r="T274" i="10"/>
  <c r="U274" i="10" s="1"/>
  <c r="AD274" i="10"/>
  <c r="AF274" i="10" s="1"/>
  <c r="T32" i="10"/>
  <c r="U32" i="10" s="1"/>
  <c r="AD32" i="10"/>
  <c r="AF32" i="10" s="1"/>
  <c r="J264" i="13"/>
  <c r="J309" i="6"/>
  <c r="K309" i="6" s="1"/>
  <c r="Q264" i="10"/>
  <c r="R264" i="10" s="1"/>
  <c r="S264" i="10" s="1"/>
  <c r="Z264" i="10" s="1"/>
  <c r="J22" i="6"/>
  <c r="K22" i="6" s="1"/>
  <c r="AD348" i="10"/>
  <c r="AF348" i="10" s="1"/>
  <c r="T348" i="10"/>
  <c r="U348" i="10" s="1"/>
  <c r="AD189" i="10"/>
  <c r="AF189" i="10" s="1"/>
  <c r="T189" i="10"/>
  <c r="U189" i="10" s="1"/>
  <c r="T225" i="10"/>
  <c r="U225" i="10" s="1"/>
  <c r="AD225" i="10"/>
  <c r="AF225" i="10" s="1"/>
  <c r="T150" i="10"/>
  <c r="U150" i="10" s="1"/>
  <c r="AD150" i="10"/>
  <c r="AF150" i="10" s="1"/>
  <c r="Y280" i="10"/>
  <c r="J280" i="13"/>
  <c r="Q280" i="10"/>
  <c r="R280" i="10" s="1"/>
  <c r="S280" i="10" s="1"/>
  <c r="AA280" i="10"/>
  <c r="AE280" i="10"/>
  <c r="Y200" i="10"/>
  <c r="AE200" i="10"/>
  <c r="T259" i="10"/>
  <c r="U259" i="10" s="1"/>
  <c r="AD259" i="10"/>
  <c r="AF259" i="10" s="1"/>
  <c r="AD114" i="10"/>
  <c r="AF114" i="10" s="1"/>
  <c r="T114" i="10"/>
  <c r="U114" i="10" s="1"/>
  <c r="J212" i="6"/>
  <c r="K212" i="6" s="1"/>
  <c r="J32" i="6"/>
  <c r="K32" i="6" s="1"/>
  <c r="J51" i="13"/>
  <c r="T126" i="10"/>
  <c r="U126" i="10" s="1"/>
  <c r="AD126" i="10"/>
  <c r="AF126" i="10" s="1"/>
  <c r="J169" i="6"/>
  <c r="K169" i="6" s="1"/>
  <c r="J414" i="6"/>
  <c r="K414" i="6" s="1"/>
  <c r="J268" i="13"/>
  <c r="T116" i="10"/>
  <c r="U116" i="10" s="1"/>
  <c r="AD116" i="10"/>
  <c r="AF116" i="10" s="1"/>
  <c r="AD287" i="10"/>
  <c r="AF287" i="10" s="1"/>
  <c r="T287" i="10"/>
  <c r="U287" i="10" s="1"/>
  <c r="AE125" i="10"/>
  <c r="Y125" i="10"/>
  <c r="J380" i="6"/>
  <c r="K380" i="6" s="1"/>
  <c r="J63" i="13"/>
  <c r="Q63" i="10"/>
  <c r="R63" i="10" s="1"/>
  <c r="S63" i="10" s="1"/>
  <c r="J51" i="6"/>
  <c r="K51" i="6" s="1"/>
  <c r="AE63" i="10"/>
  <c r="Y63" i="10"/>
  <c r="AD77" i="10"/>
  <c r="AF77" i="10" s="1"/>
  <c r="T77" i="10"/>
  <c r="U77" i="10" s="1"/>
  <c r="AD18" i="10"/>
  <c r="AF18" i="10" s="1"/>
  <c r="T18" i="10"/>
  <c r="U18" i="10" s="1"/>
  <c r="J17" i="6"/>
  <c r="K17" i="6" s="1"/>
  <c r="J239" i="13"/>
  <c r="Q239" i="10"/>
  <c r="R239" i="10" s="1"/>
  <c r="S239" i="10" s="1"/>
  <c r="AE58" i="10"/>
  <c r="Y58" i="10"/>
  <c r="J342" i="6"/>
  <c r="K342" i="6" s="1"/>
  <c r="J356" i="13"/>
  <c r="AE72" i="10"/>
  <c r="Y72" i="10"/>
  <c r="J72" i="13"/>
  <c r="Q72" i="10"/>
  <c r="R72" i="10" s="1"/>
  <c r="S72" i="10" s="1"/>
  <c r="J316" i="6"/>
  <c r="K316" i="6" s="1"/>
  <c r="AD254" i="10"/>
  <c r="AF254" i="10" s="1"/>
  <c r="T254" i="10"/>
  <c r="U254" i="10" s="1"/>
  <c r="AD336" i="10"/>
  <c r="AF336" i="10" s="1"/>
  <c r="T336" i="10"/>
  <c r="U336" i="10" s="1"/>
  <c r="AD147" i="10"/>
  <c r="AF147" i="10" s="1"/>
  <c r="T147" i="10"/>
  <c r="U147" i="10" s="1"/>
  <c r="J78" i="6"/>
  <c r="K78" i="6" s="1"/>
  <c r="J348" i="13"/>
  <c r="Y189" i="10"/>
  <c r="J189" i="13"/>
  <c r="J410" i="6"/>
  <c r="K410" i="6" s="1"/>
  <c r="J132" i="6"/>
  <c r="K132" i="6" s="1"/>
  <c r="Q189" i="10"/>
  <c r="R189" i="10" s="1"/>
  <c r="S189" i="10" s="1"/>
  <c r="AE326" i="10"/>
  <c r="K344" i="10"/>
  <c r="AE344" i="10" s="1"/>
  <c r="T344" i="10"/>
  <c r="U344" i="10" s="1"/>
  <c r="AD344" i="10"/>
  <c r="AF344" i="10" s="1"/>
  <c r="J259" i="6"/>
  <c r="K259" i="6" s="1"/>
  <c r="J225" i="13"/>
  <c r="J136" i="6"/>
  <c r="K136" i="6" s="1"/>
  <c r="AD139" i="10"/>
  <c r="AF139" i="10" s="1"/>
  <c r="T139" i="10"/>
  <c r="U139" i="10" s="1"/>
  <c r="J163" i="6"/>
  <c r="K163" i="6" s="1"/>
  <c r="J54" i="13"/>
  <c r="AD240" i="10"/>
  <c r="AF240" i="10" s="1"/>
  <c r="T240" i="10"/>
  <c r="U240" i="10" s="1"/>
  <c r="AD351" i="10"/>
  <c r="AF351" i="10" s="1"/>
  <c r="T351" i="10"/>
  <c r="U351" i="10" s="1"/>
  <c r="J183" i="6"/>
  <c r="K183" i="6" s="1"/>
  <c r="J150" i="13"/>
  <c r="AD180" i="10"/>
  <c r="AF180" i="10" s="1"/>
  <c r="T180" i="10"/>
  <c r="U180" i="10" s="1"/>
  <c r="J200" i="13"/>
  <c r="Q200" i="10"/>
  <c r="R200" i="10" s="1"/>
  <c r="S200" i="10" s="1"/>
  <c r="Z200" i="10" s="1"/>
  <c r="J351" i="6"/>
  <c r="K351" i="6" s="1"/>
  <c r="T326" i="10"/>
  <c r="U326" i="10" s="1"/>
  <c r="AD326" i="10"/>
  <c r="AF326" i="10" s="1"/>
  <c r="Y114" i="10"/>
  <c r="Q114" i="10"/>
  <c r="R114" i="10" s="1"/>
  <c r="S114" i="10" s="1"/>
  <c r="J114" i="13"/>
  <c r="J406" i="6"/>
  <c r="K406" i="6" s="1"/>
  <c r="J273" i="6"/>
  <c r="K273" i="6" s="1"/>
  <c r="J220" i="13"/>
  <c r="AD74" i="10"/>
  <c r="AF74" i="10" s="1"/>
  <c r="T74" i="10"/>
  <c r="U74" i="10" s="1"/>
  <c r="J255" i="13"/>
  <c r="Q255" i="10"/>
  <c r="R255" i="10" s="1"/>
  <c r="S255" i="10" s="1"/>
  <c r="Y255" i="10"/>
  <c r="AE255" i="10"/>
  <c r="J335" i="6"/>
  <c r="K335" i="6" s="1"/>
  <c r="K345" i="10"/>
  <c r="K317" i="10"/>
  <c r="Y317" i="10" s="1"/>
  <c r="AD268" i="10"/>
  <c r="AF268" i="10" s="1"/>
  <c r="T268" i="10"/>
  <c r="U268" i="10" s="1"/>
  <c r="AD125" i="10"/>
  <c r="AF125" i="10" s="1"/>
  <c r="T125" i="10"/>
  <c r="U125" i="10" s="1"/>
  <c r="T136" i="10"/>
  <c r="U136" i="10" s="1"/>
  <c r="AD136" i="10"/>
  <c r="AF136" i="10" s="1"/>
  <c r="AD58" i="10"/>
  <c r="AF58" i="10" s="1"/>
  <c r="T58" i="10"/>
  <c r="U58" i="10" s="1"/>
  <c r="T356" i="10"/>
  <c r="U356" i="10" s="1"/>
  <c r="AD356" i="10"/>
  <c r="AF356" i="10" s="1"/>
  <c r="T118" i="10"/>
  <c r="U118" i="10" s="1"/>
  <c r="AD118" i="10"/>
  <c r="AF118" i="10" s="1"/>
  <c r="AD264" i="10"/>
  <c r="AF264" i="10" s="1"/>
  <c r="T264" i="10"/>
  <c r="U264" i="10" s="1"/>
  <c r="AD17" i="10"/>
  <c r="AF17" i="10" s="1"/>
  <c r="T17" i="10"/>
  <c r="U17" i="10" s="1"/>
  <c r="AE189" i="10"/>
  <c r="AD54" i="10"/>
  <c r="AF54" i="10" s="1"/>
  <c r="T54" i="10"/>
  <c r="U54" i="10" s="1"/>
  <c r="T210" i="10"/>
  <c r="U210" i="10" s="1"/>
  <c r="AD210" i="10"/>
  <c r="AF210" i="10" s="1"/>
  <c r="T220" i="10"/>
  <c r="U220" i="10" s="1"/>
  <c r="AD220" i="10"/>
  <c r="AF220" i="10" s="1"/>
  <c r="K163" i="10"/>
  <c r="AD163" i="10"/>
  <c r="AF163" i="10" s="1"/>
  <c r="T163" i="10"/>
  <c r="U163" i="10" s="1"/>
  <c r="AD192" i="10"/>
  <c r="AF192" i="10" s="1"/>
  <c r="T192" i="10"/>
  <c r="U192" i="10" s="1"/>
  <c r="Y161" i="10"/>
  <c r="Y137" i="10"/>
  <c r="Y348" i="10"/>
  <c r="K116" i="10"/>
  <c r="K96" i="10"/>
  <c r="K287" i="10"/>
  <c r="Y287" i="10" s="1"/>
  <c r="Y239" i="10"/>
  <c r="AE77" i="10"/>
  <c r="K18" i="10"/>
  <c r="AE18" i="10" s="1"/>
  <c r="K32" i="10"/>
  <c r="AE32" i="10" s="1"/>
  <c r="K254" i="10"/>
  <c r="K147" i="10"/>
  <c r="AE147" i="10" s="1"/>
  <c r="K139" i="10"/>
  <c r="K240" i="10"/>
  <c r="K180" i="10"/>
  <c r="T137" i="10"/>
  <c r="U137" i="10" s="1"/>
  <c r="AD137" i="10"/>
  <c r="AF137" i="10" s="1"/>
  <c r="T112" i="10"/>
  <c r="U112" i="10" s="1"/>
  <c r="AD112" i="10"/>
  <c r="AF112" i="10" s="1"/>
  <c r="AD161" i="10"/>
  <c r="AF161" i="10" s="1"/>
  <c r="T161" i="10"/>
  <c r="U161" i="10" s="1"/>
  <c r="J125" i="13"/>
  <c r="J407" i="6"/>
  <c r="K407" i="6" s="1"/>
  <c r="J131" i="6"/>
  <c r="K131" i="6" s="1"/>
  <c r="Q125" i="10"/>
  <c r="R125" i="10" s="1"/>
  <c r="S125" i="10" s="1"/>
  <c r="Y77" i="10"/>
  <c r="J61" i="6"/>
  <c r="K61" i="6" s="1"/>
  <c r="Q77" i="10"/>
  <c r="R77" i="10" s="1"/>
  <c r="S77" i="10" s="1"/>
  <c r="J77" i="13"/>
  <c r="J250" i="6"/>
  <c r="K250" i="6" s="1"/>
  <c r="AE136" i="10"/>
  <c r="J58" i="13"/>
  <c r="Q58" i="10"/>
  <c r="R58" i="10" s="1"/>
  <c r="S58" i="10" s="1"/>
  <c r="AE264" i="10"/>
  <c r="AA264" i="10"/>
  <c r="Y264" i="10"/>
  <c r="J17" i="13"/>
  <c r="J15" i="6"/>
  <c r="K15" i="6" s="1"/>
  <c r="T200" i="10"/>
  <c r="U200" i="10" s="1"/>
  <c r="AD200" i="10"/>
  <c r="AF200" i="10" s="1"/>
  <c r="J426" i="6"/>
  <c r="K426" i="6" s="1"/>
  <c r="J276" i="6"/>
  <c r="K276" i="6" s="1"/>
  <c r="J210" i="13"/>
  <c r="Q210" i="10"/>
  <c r="R210" i="10" s="1"/>
  <c r="S210" i="10" s="1"/>
  <c r="AE114" i="10"/>
  <c r="T51" i="10"/>
  <c r="U51" i="10" s="1"/>
  <c r="AD51" i="10"/>
  <c r="AF51" i="10" s="1"/>
  <c r="AE192" i="10"/>
  <c r="T281" i="10"/>
  <c r="U281" i="10" s="1"/>
  <c r="AD281" i="10"/>
  <c r="AF281" i="10" s="1"/>
  <c r="K274" i="10"/>
  <c r="AE274" i="10" s="1"/>
  <c r="K336" i="10"/>
  <c r="K351" i="10"/>
  <c r="AE351" i="10" s="1"/>
  <c r="K259" i="10"/>
  <c r="Y259" i="10" s="1"/>
  <c r="K74" i="10"/>
  <c r="J333" i="13"/>
  <c r="Q333" i="10"/>
  <c r="R333" i="10" s="1"/>
  <c r="S333" i="10" s="1"/>
  <c r="Z333" i="10" s="1"/>
  <c r="J179" i="6"/>
  <c r="K179" i="6" s="1"/>
  <c r="J251" i="6"/>
  <c r="K251" i="6" s="1"/>
  <c r="Q83" i="10"/>
  <c r="R83" i="10" s="1"/>
  <c r="S83" i="10" s="1"/>
  <c r="Z83" i="10" s="1"/>
  <c r="J83" i="13"/>
  <c r="J62" i="6"/>
  <c r="K62" i="6" s="1"/>
  <c r="Y83" i="10"/>
  <c r="AE83" i="10"/>
  <c r="Q349" i="10"/>
  <c r="R349" i="10" s="1"/>
  <c r="S349" i="10" s="1"/>
  <c r="Z349" i="10" s="1"/>
  <c r="J83" i="6"/>
  <c r="K83" i="6" s="1"/>
  <c r="J349" i="13"/>
  <c r="Q256" i="10"/>
  <c r="R256" i="10" s="1"/>
  <c r="S256" i="10" s="1"/>
  <c r="Z256" i="10" s="1"/>
  <c r="J256" i="13"/>
  <c r="J48" i="6"/>
  <c r="K48" i="6" s="1"/>
  <c r="J430" i="6"/>
  <c r="K430" i="6" s="1"/>
  <c r="J216" i="6"/>
  <c r="K216" i="6" s="1"/>
  <c r="J293" i="6"/>
  <c r="K293" i="6" s="1"/>
  <c r="J164" i="13"/>
  <c r="Q164" i="10"/>
  <c r="R164" i="10" s="1"/>
  <c r="S164" i="10" s="1"/>
  <c r="Y73" i="10"/>
  <c r="AE73" i="10"/>
  <c r="Y234" i="10"/>
  <c r="AE234" i="10"/>
  <c r="T92" i="10"/>
  <c r="U92" i="10" s="1"/>
  <c r="AD92" i="10"/>
  <c r="AF92" i="10" s="1"/>
  <c r="Y106" i="10"/>
  <c r="AE106" i="10"/>
  <c r="T272" i="10"/>
  <c r="U272" i="10" s="1"/>
  <c r="AD272" i="10"/>
  <c r="AF272" i="10" s="1"/>
  <c r="T322" i="10"/>
  <c r="U322" i="10" s="1"/>
  <c r="AD322" i="10"/>
  <c r="AF322" i="10" s="1"/>
  <c r="T121" i="10"/>
  <c r="U121" i="10" s="1"/>
  <c r="AD121" i="10"/>
  <c r="AF121" i="10" s="1"/>
  <c r="T128" i="10"/>
  <c r="U128" i="10" s="1"/>
  <c r="AD128" i="10"/>
  <c r="AF128" i="10" s="1"/>
  <c r="J78" i="13"/>
  <c r="Q78" i="10"/>
  <c r="R78" i="10" s="1"/>
  <c r="S78" i="10" s="1"/>
  <c r="Z78" i="10" s="1"/>
  <c r="J37" i="6"/>
  <c r="K37" i="6" s="1"/>
  <c r="AD302" i="10"/>
  <c r="AF302" i="10" s="1"/>
  <c r="T302" i="10"/>
  <c r="U302" i="10" s="1"/>
  <c r="AD153" i="10"/>
  <c r="AF153" i="10" s="1"/>
  <c r="T153" i="10"/>
  <c r="U153" i="10" s="1"/>
  <c r="T60" i="10"/>
  <c r="U60" i="10" s="1"/>
  <c r="AD60" i="10"/>
  <c r="AF60" i="10" s="1"/>
  <c r="AD84" i="10"/>
  <c r="AF84" i="10" s="1"/>
  <c r="T84" i="10"/>
  <c r="U84" i="10" s="1"/>
  <c r="Q86" i="10"/>
  <c r="R86" i="10" s="1"/>
  <c r="S86" i="10" s="1"/>
  <c r="Z86" i="10" s="1"/>
  <c r="J191" i="6"/>
  <c r="K191" i="6" s="1"/>
  <c r="J86" i="13"/>
  <c r="AD253" i="10"/>
  <c r="AF253" i="10" s="1"/>
  <c r="T253" i="10"/>
  <c r="U253" i="10" s="1"/>
  <c r="AD57" i="10"/>
  <c r="AF57" i="10" s="1"/>
  <c r="T57" i="10"/>
  <c r="U57" i="10" s="1"/>
  <c r="T195" i="10"/>
  <c r="U195" i="10" s="1"/>
  <c r="AD195" i="10"/>
  <c r="AF195" i="10" s="1"/>
  <c r="T296" i="10"/>
  <c r="U296" i="10" s="1"/>
  <c r="AD296" i="10"/>
  <c r="AF296" i="10" s="1"/>
  <c r="Y82" i="10"/>
  <c r="AE82" i="10"/>
  <c r="Q38" i="10"/>
  <c r="R38" i="10" s="1"/>
  <c r="S38" i="10" s="1"/>
  <c r="Z38" i="10" s="1"/>
  <c r="J247" i="6"/>
  <c r="K247" i="6" s="1"/>
  <c r="J38" i="13"/>
  <c r="J134" i="6"/>
  <c r="K134" i="6" s="1"/>
  <c r="T111" i="10"/>
  <c r="U111" i="10" s="1"/>
  <c r="AD111" i="10"/>
  <c r="AF111" i="10" s="1"/>
  <c r="AD138" i="10"/>
  <c r="AF138" i="10" s="1"/>
  <c r="T138" i="10"/>
  <c r="U138" i="10" s="1"/>
  <c r="J260" i="6"/>
  <c r="K260" i="6" s="1"/>
  <c r="Q232" i="10"/>
  <c r="R232" i="10" s="1"/>
  <c r="S232" i="10" s="1"/>
  <c r="Z232" i="10" s="1"/>
  <c r="J232" i="13"/>
  <c r="J144" i="6"/>
  <c r="K144" i="6" s="1"/>
  <c r="Y152" i="10"/>
  <c r="AE152" i="10"/>
  <c r="T202" i="10"/>
  <c r="U202" i="10" s="1"/>
  <c r="AD202" i="10"/>
  <c r="AF202" i="10" s="1"/>
  <c r="Q169" i="10"/>
  <c r="R169" i="10" s="1"/>
  <c r="S169" i="10" s="1"/>
  <c r="J279" i="6"/>
  <c r="K279" i="6" s="1"/>
  <c r="J169" i="13"/>
  <c r="Y185" i="10"/>
  <c r="AE185" i="10"/>
  <c r="Q19" i="10"/>
  <c r="R19" i="10" s="1"/>
  <c r="S19" i="10" s="1"/>
  <c r="J19" i="13"/>
  <c r="J287" i="6"/>
  <c r="K287" i="6" s="1"/>
  <c r="T286" i="10"/>
  <c r="U286" i="10" s="1"/>
  <c r="AD286" i="10"/>
  <c r="AF286" i="10" s="1"/>
  <c r="AD323" i="10"/>
  <c r="AF323" i="10" s="1"/>
  <c r="T323" i="10"/>
  <c r="U323" i="10" s="1"/>
  <c r="AD124" i="10"/>
  <c r="AF124" i="10" s="1"/>
  <c r="T124" i="10"/>
  <c r="U124" i="10" s="1"/>
  <c r="Q258" i="10"/>
  <c r="R258" i="10" s="1"/>
  <c r="S258" i="10" s="1"/>
  <c r="Z258" i="10" s="1"/>
  <c r="J258" i="13"/>
  <c r="T263" i="10"/>
  <c r="U263" i="10" s="1"/>
  <c r="AD263" i="10"/>
  <c r="AF263" i="10" s="1"/>
  <c r="J209" i="13"/>
  <c r="Q209" i="10"/>
  <c r="R209" i="10" s="1"/>
  <c r="S209" i="10" s="1"/>
  <c r="Z209" i="10" s="1"/>
  <c r="AD90" i="10"/>
  <c r="AF90" i="10" s="1"/>
  <c r="T90" i="10"/>
  <c r="U90" i="10" s="1"/>
  <c r="Y242" i="10"/>
  <c r="AE242" i="10"/>
  <c r="T235" i="10"/>
  <c r="U235" i="10" s="1"/>
  <c r="AD235" i="10"/>
  <c r="AF235" i="10" s="1"/>
  <c r="T30" i="10"/>
  <c r="U30" i="10" s="1"/>
  <c r="AD30" i="10"/>
  <c r="AF30" i="10" s="1"/>
  <c r="T267" i="10"/>
  <c r="U267" i="10" s="1"/>
  <c r="AD267" i="10"/>
  <c r="AF267" i="10" s="1"/>
  <c r="Q73" i="10"/>
  <c r="R73" i="10" s="1"/>
  <c r="S73" i="10" s="1"/>
  <c r="Z73" i="10" s="1"/>
  <c r="J73" i="13"/>
  <c r="Q105" i="10"/>
  <c r="R105" i="10" s="1"/>
  <c r="S105" i="10" s="1"/>
  <c r="Z105" i="10" s="1"/>
  <c r="J401" i="6"/>
  <c r="K401" i="6" s="1"/>
  <c r="J105" i="13"/>
  <c r="T146" i="10"/>
  <c r="U146" i="10" s="1"/>
  <c r="AD146" i="10"/>
  <c r="AF146" i="10" s="1"/>
  <c r="J283" i="6"/>
  <c r="K283" i="6" s="1"/>
  <c r="J145" i="13"/>
  <c r="Q145" i="10"/>
  <c r="R145" i="10" s="1"/>
  <c r="S145" i="10" s="1"/>
  <c r="Z145" i="10" s="1"/>
  <c r="Q218" i="10"/>
  <c r="R218" i="10" s="1"/>
  <c r="S218" i="10" s="1"/>
  <c r="Z218" i="10" s="1"/>
  <c r="J320" i="6"/>
  <c r="K320" i="6" s="1"/>
  <c r="J218" i="13"/>
  <c r="Y207" i="10"/>
  <c r="AE207" i="10"/>
  <c r="T198" i="10"/>
  <c r="U198" i="10" s="1"/>
  <c r="AD198" i="10"/>
  <c r="AF198" i="10" s="1"/>
  <c r="T208" i="10"/>
  <c r="U208" i="10" s="1"/>
  <c r="AD208" i="10"/>
  <c r="AF208" i="10" s="1"/>
  <c r="J67" i="13"/>
  <c r="J14" i="6"/>
  <c r="K14" i="6" s="1"/>
  <c r="Q67" i="10"/>
  <c r="R67" i="10" s="1"/>
  <c r="S67" i="10" s="1"/>
  <c r="Z67" i="10" s="1"/>
  <c r="J315" i="6"/>
  <c r="K315" i="6" s="1"/>
  <c r="AD33" i="10"/>
  <c r="AF33" i="10" s="1"/>
  <c r="T33" i="10"/>
  <c r="U33" i="10" s="1"/>
  <c r="AD203" i="10"/>
  <c r="AF203" i="10" s="1"/>
  <c r="T203" i="10"/>
  <c r="U203" i="10" s="1"/>
  <c r="T142" i="10"/>
  <c r="U142" i="10" s="1"/>
  <c r="AD142" i="10"/>
  <c r="AF142" i="10" s="1"/>
  <c r="J171" i="6"/>
  <c r="K171" i="6" s="1"/>
  <c r="J113" i="13"/>
  <c r="Q113" i="10"/>
  <c r="R113" i="10" s="1"/>
  <c r="S113" i="10" s="1"/>
  <c r="Z113" i="10" s="1"/>
  <c r="J95" i="6"/>
  <c r="K95" i="6" s="1"/>
  <c r="Y285" i="10"/>
  <c r="AE285" i="10"/>
  <c r="AE221" i="10"/>
  <c r="Y221" i="10"/>
  <c r="AD22" i="10"/>
  <c r="AF22" i="10" s="1"/>
  <c r="T22" i="10"/>
  <c r="U22" i="10" s="1"/>
  <c r="T190" i="10"/>
  <c r="U190" i="10" s="1"/>
  <c r="AD190" i="10"/>
  <c r="AF190" i="10" s="1"/>
  <c r="AA19" i="10"/>
  <c r="Y218" i="10"/>
  <c r="AE113" i="10"/>
  <c r="Y252" i="10"/>
  <c r="Y78" i="10"/>
  <c r="Y129" i="10"/>
  <c r="AE129" i="10"/>
  <c r="T68" i="10"/>
  <c r="U68" i="10" s="1"/>
  <c r="AD68" i="10"/>
  <c r="AF68" i="10" s="1"/>
  <c r="AD199" i="10"/>
  <c r="AF199" i="10" s="1"/>
  <c r="T199" i="10"/>
  <c r="U199" i="10" s="1"/>
  <c r="J178" i="6"/>
  <c r="K178" i="6" s="1"/>
  <c r="J356" i="6"/>
  <c r="K356" i="6" s="1"/>
  <c r="Q320" i="10"/>
  <c r="R320" i="10" s="1"/>
  <c r="S320" i="10" s="1"/>
  <c r="Z320" i="10" s="1"/>
  <c r="J320" i="13"/>
  <c r="J90" i="6"/>
  <c r="K90" i="6" s="1"/>
  <c r="J391" i="13" s="1"/>
  <c r="J297" i="13"/>
  <c r="Q297" i="10"/>
  <c r="R297" i="10" s="1"/>
  <c r="S297" i="10" s="1"/>
  <c r="Z297" i="10" s="1"/>
  <c r="T21" i="10"/>
  <c r="U21" i="10" s="1"/>
  <c r="AD21" i="10"/>
  <c r="AF21" i="10" s="1"/>
  <c r="Q175" i="10"/>
  <c r="R175" i="10" s="1"/>
  <c r="S175" i="10" s="1"/>
  <c r="Z175" i="10" s="1"/>
  <c r="J92" i="6"/>
  <c r="K92" i="6" s="1"/>
  <c r="J175" i="13"/>
  <c r="J237" i="6"/>
  <c r="K237" i="6" s="1"/>
  <c r="Q143" i="10"/>
  <c r="R143" i="10" s="1"/>
  <c r="S143" i="10" s="1"/>
  <c r="Z143" i="10" s="1"/>
  <c r="J303" i="6"/>
  <c r="K303" i="6" s="1"/>
  <c r="J173" i="6"/>
  <c r="K173" i="6" s="1"/>
  <c r="J143" i="13"/>
  <c r="Y46" i="10"/>
  <c r="AE46" i="10"/>
  <c r="T10" i="10"/>
  <c r="AD10" i="10"/>
  <c r="K10" i="10"/>
  <c r="T19" i="16" s="1"/>
  <c r="J234" i="13"/>
  <c r="J57" i="6"/>
  <c r="K57" i="6" s="1"/>
  <c r="Q234" i="10"/>
  <c r="R234" i="10" s="1"/>
  <c r="S234" i="10" s="1"/>
  <c r="Z234" i="10" s="1"/>
  <c r="T106" i="10"/>
  <c r="U106" i="10" s="1"/>
  <c r="AD106" i="10"/>
  <c r="AF106" i="10" s="1"/>
  <c r="Y128" i="10"/>
  <c r="AE128" i="10"/>
  <c r="Y302" i="10"/>
  <c r="AE302" i="10"/>
  <c r="T305" i="10"/>
  <c r="U305" i="10" s="1"/>
  <c r="AD305" i="10"/>
  <c r="AF305" i="10" s="1"/>
  <c r="Y24" i="10"/>
  <c r="AE24" i="10"/>
  <c r="AA24" i="10"/>
  <c r="Y34" i="10"/>
  <c r="AE34" i="10"/>
  <c r="Q275" i="10"/>
  <c r="R275" i="10" s="1"/>
  <c r="S275" i="10" s="1"/>
  <c r="J457" i="6"/>
  <c r="K457" i="6" s="1"/>
  <c r="J368" i="6"/>
  <c r="K368" i="6" s="1"/>
  <c r="J275" i="13"/>
  <c r="AE196" i="10"/>
  <c r="Y196" i="10"/>
  <c r="T129" i="10"/>
  <c r="U129" i="10" s="1"/>
  <c r="AD129" i="10"/>
  <c r="AF129" i="10" s="1"/>
  <c r="AD277" i="10"/>
  <c r="AF277" i="10" s="1"/>
  <c r="T277" i="10"/>
  <c r="U277" i="10" s="1"/>
  <c r="AD283" i="10"/>
  <c r="AF283" i="10" s="1"/>
  <c r="T283" i="10"/>
  <c r="U283" i="10" s="1"/>
  <c r="T69" i="10"/>
  <c r="U69" i="10" s="1"/>
  <c r="AD69" i="10"/>
  <c r="AF69" i="10" s="1"/>
  <c r="J442" i="6"/>
  <c r="K442" i="6" s="1"/>
  <c r="Q82" i="10"/>
  <c r="R82" i="10" s="1"/>
  <c r="S82" i="10" s="1"/>
  <c r="Z82" i="10" s="1"/>
  <c r="J82" i="13"/>
  <c r="J205" i="6"/>
  <c r="K205" i="6" s="1"/>
  <c r="T346" i="10"/>
  <c r="U346" i="10" s="1"/>
  <c r="AD346" i="10"/>
  <c r="AF346" i="10" s="1"/>
  <c r="AD261" i="10"/>
  <c r="AF261" i="10" s="1"/>
  <c r="T261" i="10"/>
  <c r="U261" i="10" s="1"/>
  <c r="J152" i="13"/>
  <c r="J67" i="6"/>
  <c r="K67" i="6" s="1"/>
  <c r="Q152" i="10"/>
  <c r="R152" i="10" s="1"/>
  <c r="S152" i="10" s="1"/>
  <c r="Z152" i="10" s="1"/>
  <c r="Y145" i="10"/>
  <c r="AE145" i="10"/>
  <c r="T15" i="10"/>
  <c r="U15" i="10" s="1"/>
  <c r="AD15" i="10"/>
  <c r="AF15" i="10" s="1"/>
  <c r="Y323" i="10"/>
  <c r="AE323" i="10"/>
  <c r="AE90" i="10"/>
  <c r="Y90" i="10"/>
  <c r="T196" i="10"/>
  <c r="U196" i="10" s="1"/>
  <c r="AD196" i="10"/>
  <c r="AF196" i="10" s="1"/>
  <c r="AD218" i="10"/>
  <c r="AF218" i="10" s="1"/>
  <c r="T218" i="10"/>
  <c r="U218" i="10" s="1"/>
  <c r="J285" i="6"/>
  <c r="K285" i="6" s="1"/>
  <c r="Q207" i="10"/>
  <c r="R207" i="10" s="1"/>
  <c r="S207" i="10" s="1"/>
  <c r="Z207" i="10" s="1"/>
  <c r="J207" i="13"/>
  <c r="Y208" i="10"/>
  <c r="AE208" i="10"/>
  <c r="T65" i="10"/>
  <c r="U65" i="10" s="1"/>
  <c r="AD65" i="10"/>
  <c r="AF65" i="10" s="1"/>
  <c r="T76" i="10"/>
  <c r="U76" i="10" s="1"/>
  <c r="AD76" i="10"/>
  <c r="AF76" i="10" s="1"/>
  <c r="T212" i="10"/>
  <c r="U212" i="10" s="1"/>
  <c r="AD212" i="10"/>
  <c r="AF212" i="10" s="1"/>
  <c r="AD301" i="10"/>
  <c r="AF301" i="10" s="1"/>
  <c r="T301" i="10"/>
  <c r="U301" i="10" s="1"/>
  <c r="AD291" i="10"/>
  <c r="AF291" i="10" s="1"/>
  <c r="T291" i="10"/>
  <c r="U291" i="10" s="1"/>
  <c r="J285" i="13"/>
  <c r="J187" i="6"/>
  <c r="K187" i="6" s="1"/>
  <c r="J124" i="6"/>
  <c r="K124" i="6" s="1"/>
  <c r="Q285" i="10"/>
  <c r="R285" i="10" s="1"/>
  <c r="S285" i="10" s="1"/>
  <c r="Z285" i="10" s="1"/>
  <c r="J427" i="6"/>
  <c r="K427" i="6" s="1"/>
  <c r="J221" i="13"/>
  <c r="Q221" i="10"/>
  <c r="R221" i="10" s="1"/>
  <c r="S221" i="10" s="1"/>
  <c r="Z221" i="10" s="1"/>
  <c r="J394" i="6"/>
  <c r="K394" i="6" s="1"/>
  <c r="AD185" i="10"/>
  <c r="AF185" i="10" s="1"/>
  <c r="T185" i="10"/>
  <c r="U185" i="10" s="1"/>
  <c r="T237" i="10"/>
  <c r="U237" i="10" s="1"/>
  <c r="AD237" i="10"/>
  <c r="AF237" i="10" s="1"/>
  <c r="K92" i="10"/>
  <c r="K272" i="10"/>
  <c r="AE272" i="10" s="1"/>
  <c r="K121" i="10"/>
  <c r="K153" i="10"/>
  <c r="K68" i="10"/>
  <c r="K84" i="10"/>
  <c r="AA169" i="10"/>
  <c r="Y164" i="10"/>
  <c r="K199" i="10"/>
  <c r="K21" i="10"/>
  <c r="Y21" i="10" s="1"/>
  <c r="K253" i="10"/>
  <c r="Y253" i="10" s="1"/>
  <c r="K57" i="10"/>
  <c r="Y57" i="10" s="1"/>
  <c r="K296" i="10"/>
  <c r="Y296" i="10" s="1"/>
  <c r="K138" i="10"/>
  <c r="Y138" i="10" s="1"/>
  <c r="AE258" i="10"/>
  <c r="Y297" i="10"/>
  <c r="K202" i="10"/>
  <c r="Y202" i="10" s="1"/>
  <c r="K286" i="10"/>
  <c r="K124" i="10"/>
  <c r="K263" i="10"/>
  <c r="K235" i="10"/>
  <c r="Y235" i="10" s="1"/>
  <c r="K30" i="10"/>
  <c r="K267" i="10"/>
  <c r="Y267" i="10" s="1"/>
  <c r="K146" i="10"/>
  <c r="Y146" i="10" s="1"/>
  <c r="K198" i="10"/>
  <c r="K33" i="10"/>
  <c r="AE33" i="10" s="1"/>
  <c r="K203" i="10"/>
  <c r="Y203" i="10" s="1"/>
  <c r="AE218" i="10"/>
  <c r="K142" i="10"/>
  <c r="K22" i="10"/>
  <c r="Y22" i="10" s="1"/>
  <c r="Y346" i="10"/>
  <c r="Y113" i="10"/>
  <c r="Y305" i="10"/>
  <c r="AE78" i="10"/>
  <c r="Q70" i="10"/>
  <c r="R70" i="10" s="1"/>
  <c r="S70" i="10" s="1"/>
  <c r="J70" i="13"/>
  <c r="J106" i="13"/>
  <c r="Q106" i="10"/>
  <c r="R106" i="10" s="1"/>
  <c r="S106" i="10" s="1"/>
  <c r="J300" i="6"/>
  <c r="K300" i="6" s="1"/>
  <c r="J75" i="6"/>
  <c r="K75" i="6" s="1"/>
  <c r="J128" i="13"/>
  <c r="J235" i="6"/>
  <c r="K235" i="6" s="1"/>
  <c r="Q128" i="10"/>
  <c r="R128" i="10" s="1"/>
  <c r="S128" i="10" s="1"/>
  <c r="Q302" i="10"/>
  <c r="R302" i="10" s="1"/>
  <c r="S302" i="10" s="1"/>
  <c r="J302" i="13"/>
  <c r="J217" i="6"/>
  <c r="K217" i="6" s="1"/>
  <c r="J434" i="6"/>
  <c r="K434" i="6" s="1"/>
  <c r="J24" i="13"/>
  <c r="J21" i="6"/>
  <c r="K21" i="6" s="1"/>
  <c r="J298" i="6"/>
  <c r="K298" i="6" s="1"/>
  <c r="Q24" i="10"/>
  <c r="R24" i="10" s="1"/>
  <c r="S24" i="10" s="1"/>
  <c r="Z24" i="10" s="1"/>
  <c r="J46" i="13"/>
  <c r="Q46" i="10"/>
  <c r="R46" i="10" s="1"/>
  <c r="S46" i="10" s="1"/>
  <c r="Z46" i="10" s="1"/>
  <c r="J12" i="6"/>
  <c r="K12" i="6" s="1"/>
  <c r="T50" i="10"/>
  <c r="U50" i="10" s="1"/>
  <c r="AD50" i="10"/>
  <c r="AF50" i="10" s="1"/>
  <c r="T320" i="10"/>
  <c r="U320" i="10" s="1"/>
  <c r="AD320" i="10"/>
  <c r="AF320" i="10" s="1"/>
  <c r="Y65" i="10"/>
  <c r="AE65" i="10"/>
  <c r="Y212" i="10"/>
  <c r="AE212" i="10"/>
  <c r="Q129" i="10"/>
  <c r="R129" i="10" s="1"/>
  <c r="S129" i="10" s="1"/>
  <c r="J77" i="6"/>
  <c r="K77" i="6" s="1"/>
  <c r="J129" i="13"/>
  <c r="Y277" i="10"/>
  <c r="AE277" i="10"/>
  <c r="T175" i="10"/>
  <c r="U175" i="10" s="1"/>
  <c r="AD175" i="10"/>
  <c r="AF175" i="10" s="1"/>
  <c r="J283" i="13"/>
  <c r="Q283" i="10"/>
  <c r="R283" i="10" s="1"/>
  <c r="S283" i="10" s="1"/>
  <c r="Y69" i="10"/>
  <c r="AE69" i="10"/>
  <c r="AD143" i="10"/>
  <c r="AF143" i="10" s="1"/>
  <c r="T143" i="10"/>
  <c r="U143" i="10" s="1"/>
  <c r="T314" i="10"/>
  <c r="U314" i="10" s="1"/>
  <c r="AD314" i="10"/>
  <c r="AF314" i="10" s="1"/>
  <c r="J175" i="6"/>
  <c r="K175" i="6" s="1"/>
  <c r="J250" i="13"/>
  <c r="J308" i="6"/>
  <c r="K308" i="6" s="1"/>
  <c r="Q250" i="10"/>
  <c r="R250" i="10" s="1"/>
  <c r="S250" i="10" s="1"/>
  <c r="AD52" i="10"/>
  <c r="AF52" i="10" s="1"/>
  <c r="T52" i="10"/>
  <c r="U52" i="10" s="1"/>
  <c r="Q90" i="10"/>
  <c r="R90" i="10" s="1"/>
  <c r="S90" i="10" s="1"/>
  <c r="J90" i="13"/>
  <c r="J278" i="6"/>
  <c r="K278" i="6" s="1"/>
  <c r="J71" i="6"/>
  <c r="K71" i="6" s="1"/>
  <c r="J242" i="13"/>
  <c r="Q242" i="10"/>
  <c r="R242" i="10" s="1"/>
  <c r="S242" i="10" s="1"/>
  <c r="Z242" i="10" s="1"/>
  <c r="J40" i="6"/>
  <c r="K40" i="6" s="1"/>
  <c r="AD349" i="10"/>
  <c r="AF349" i="10" s="1"/>
  <c r="T349" i="10"/>
  <c r="U349" i="10" s="1"/>
  <c r="T276" i="10"/>
  <c r="U276" i="10" s="1"/>
  <c r="AD276" i="10"/>
  <c r="AF276" i="10" s="1"/>
  <c r="AD83" i="10"/>
  <c r="AF83" i="10" s="1"/>
  <c r="T83" i="10"/>
  <c r="U83" i="10" s="1"/>
  <c r="T182" i="10"/>
  <c r="U182" i="10" s="1"/>
  <c r="AD182" i="10"/>
  <c r="AF182" i="10" s="1"/>
  <c r="J449" i="6"/>
  <c r="K449" i="6" s="1"/>
  <c r="Q196" i="10"/>
  <c r="R196" i="10" s="1"/>
  <c r="S196" i="10" s="1"/>
  <c r="J392" i="6"/>
  <c r="K392" i="6" s="1"/>
  <c r="J196" i="13"/>
  <c r="T91" i="10"/>
  <c r="U91" i="10" s="1"/>
  <c r="AD91" i="10"/>
  <c r="AF91" i="10" s="1"/>
  <c r="T313" i="10"/>
  <c r="U313" i="10" s="1"/>
  <c r="AD313" i="10"/>
  <c r="AF313" i="10" s="1"/>
  <c r="J294" i="6"/>
  <c r="K294" i="6" s="1"/>
  <c r="J208" i="13"/>
  <c r="Q208" i="10"/>
  <c r="R208" i="10" s="1"/>
  <c r="S208" i="10" s="1"/>
  <c r="J451" i="6"/>
  <c r="K451" i="6" s="1"/>
  <c r="J65" i="13"/>
  <c r="J324" i="6"/>
  <c r="K324" i="6" s="1"/>
  <c r="Q65" i="10"/>
  <c r="R65" i="10" s="1"/>
  <c r="S65" i="10" s="1"/>
  <c r="T342" i="10"/>
  <c r="U342" i="10" s="1"/>
  <c r="AD342" i="10"/>
  <c r="AF342" i="10" s="1"/>
  <c r="J76" i="13"/>
  <c r="J290" i="6"/>
  <c r="K290" i="6" s="1"/>
  <c r="J44" i="6"/>
  <c r="K44" i="6" s="1"/>
  <c r="Q76" i="10"/>
  <c r="R76" i="10" s="1"/>
  <c r="S76" i="10" s="1"/>
  <c r="J212" i="13"/>
  <c r="J411" i="6"/>
  <c r="K411" i="6" s="1"/>
  <c r="J167" i="6"/>
  <c r="K167" i="6" s="1"/>
  <c r="Q212" i="10"/>
  <c r="R212" i="10" s="1"/>
  <c r="S212" i="10" s="1"/>
  <c r="AE301" i="10"/>
  <c r="Y301" i="10"/>
  <c r="Y291" i="10"/>
  <c r="AE291" i="10"/>
  <c r="AD123" i="10"/>
  <c r="AF123" i="10" s="1"/>
  <c r="T123" i="10"/>
  <c r="U123" i="10" s="1"/>
  <c r="AD256" i="10"/>
  <c r="AF256" i="10" s="1"/>
  <c r="T256" i="10"/>
  <c r="U256" i="10" s="1"/>
  <c r="AD249" i="10"/>
  <c r="AF249" i="10" s="1"/>
  <c r="T249" i="10"/>
  <c r="U249" i="10" s="1"/>
  <c r="J185" i="13"/>
  <c r="Q185" i="10"/>
  <c r="R185" i="10" s="1"/>
  <c r="S185" i="10" s="1"/>
  <c r="Y19" i="10"/>
  <c r="Y283" i="10"/>
  <c r="Y38" i="10"/>
  <c r="AA78" i="10"/>
  <c r="AD333" i="10"/>
  <c r="AF333" i="10" s="1"/>
  <c r="T333" i="10"/>
  <c r="U333" i="10" s="1"/>
  <c r="AD238" i="10"/>
  <c r="AF238" i="10" s="1"/>
  <c r="T238" i="10"/>
  <c r="U238" i="10" s="1"/>
  <c r="T222" i="10"/>
  <c r="U222" i="10" s="1"/>
  <c r="AD222" i="10"/>
  <c r="AF222" i="10" s="1"/>
  <c r="T104" i="10"/>
  <c r="U104" i="10" s="1"/>
  <c r="AD104" i="10"/>
  <c r="AF104" i="10" s="1"/>
  <c r="J305" i="13"/>
  <c r="J97" i="6"/>
  <c r="K97" i="6" s="1"/>
  <c r="Q305" i="10"/>
  <c r="R305" i="10" s="1"/>
  <c r="S305" i="10" s="1"/>
  <c r="J189" i="6"/>
  <c r="K189" i="6" s="1"/>
  <c r="J437" i="6"/>
  <c r="K437" i="6" s="1"/>
  <c r="Q34" i="10"/>
  <c r="R34" i="10" s="1"/>
  <c r="S34" i="10" s="1"/>
  <c r="Z34" i="10" s="1"/>
  <c r="J34" i="13"/>
  <c r="T201" i="10"/>
  <c r="U201" i="10" s="1"/>
  <c r="AD201" i="10"/>
  <c r="AF201" i="10" s="1"/>
  <c r="Q252" i="10"/>
  <c r="R252" i="10" s="1"/>
  <c r="S252" i="10" s="1"/>
  <c r="Z252" i="10" s="1"/>
  <c r="J455" i="6"/>
  <c r="K455" i="6" s="1"/>
  <c r="J252" i="13"/>
  <c r="J64" i="6"/>
  <c r="K64" i="6" s="1"/>
  <c r="J346" i="13"/>
  <c r="Q346" i="10"/>
  <c r="R346" i="10" s="1"/>
  <c r="S346" i="10" s="1"/>
  <c r="J265" i="6"/>
  <c r="K265" i="6" s="1"/>
  <c r="AD229" i="10"/>
  <c r="AF229" i="10" s="1"/>
  <c r="T229" i="10"/>
  <c r="U229" i="10" s="1"/>
  <c r="T290" i="10"/>
  <c r="U290" i="10" s="1"/>
  <c r="AD290" i="10"/>
  <c r="AF290" i="10" s="1"/>
  <c r="AD232" i="10"/>
  <c r="AF232" i="10" s="1"/>
  <c r="T232" i="10"/>
  <c r="U232" i="10" s="1"/>
  <c r="Q323" i="10"/>
  <c r="R323" i="10" s="1"/>
  <c r="S323" i="10" s="1"/>
  <c r="J323" i="13"/>
  <c r="AE333" i="10"/>
  <c r="Y333" i="10"/>
  <c r="AD234" i="10"/>
  <c r="AF234" i="10" s="1"/>
  <c r="T234" i="10"/>
  <c r="U234" i="10" s="1"/>
  <c r="T78" i="10"/>
  <c r="U78" i="10" s="1"/>
  <c r="AD78" i="10"/>
  <c r="AF78" i="10" s="1"/>
  <c r="T24" i="10"/>
  <c r="U24" i="10" s="1"/>
  <c r="AD24" i="10"/>
  <c r="AF24" i="10" s="1"/>
  <c r="AD34" i="10"/>
  <c r="AF34" i="10" s="1"/>
  <c r="T34" i="10"/>
  <c r="U34" i="10" s="1"/>
  <c r="AD46" i="10"/>
  <c r="AF46" i="10" s="1"/>
  <c r="T46" i="10"/>
  <c r="U46" i="10" s="1"/>
  <c r="AD86" i="10"/>
  <c r="AF86" i="10" s="1"/>
  <c r="T86" i="10"/>
  <c r="U86" i="10" s="1"/>
  <c r="AE320" i="10"/>
  <c r="Y320" i="10"/>
  <c r="T297" i="10"/>
  <c r="U297" i="10" s="1"/>
  <c r="AD297" i="10"/>
  <c r="AF297" i="10" s="1"/>
  <c r="J115" i="6"/>
  <c r="K115" i="6" s="1"/>
  <c r="J277" i="13"/>
  <c r="J261" i="6"/>
  <c r="K261" i="6" s="1"/>
  <c r="Q277" i="10"/>
  <c r="R277" i="10" s="1"/>
  <c r="S277" i="10" s="1"/>
  <c r="Y175" i="10"/>
  <c r="AE175" i="10"/>
  <c r="J79" i="6"/>
  <c r="K79" i="6" s="1"/>
  <c r="Q69" i="10"/>
  <c r="R69" i="10" s="1"/>
  <c r="S69" i="10" s="1"/>
  <c r="J69" i="13"/>
  <c r="J34" i="6"/>
  <c r="K34" i="6" s="1"/>
  <c r="J372" i="13" s="1"/>
  <c r="Y143" i="10"/>
  <c r="AE143" i="10"/>
  <c r="AD82" i="10"/>
  <c r="AF82" i="10" s="1"/>
  <c r="T82" i="10"/>
  <c r="U82" i="10" s="1"/>
  <c r="T252" i="10"/>
  <c r="U252" i="10" s="1"/>
  <c r="AD252" i="10"/>
  <c r="AF252" i="10" s="1"/>
  <c r="AD38" i="10"/>
  <c r="AF38" i="10" s="1"/>
  <c r="T38" i="10"/>
  <c r="U38" i="10" s="1"/>
  <c r="Y232" i="10"/>
  <c r="AE232" i="10"/>
  <c r="AD152" i="10"/>
  <c r="AF152" i="10" s="1"/>
  <c r="T152" i="10"/>
  <c r="U152" i="10" s="1"/>
  <c r="T258" i="10"/>
  <c r="U258" i="10" s="1"/>
  <c r="AD258" i="10"/>
  <c r="AF258" i="10" s="1"/>
  <c r="T209" i="10"/>
  <c r="U209" i="10" s="1"/>
  <c r="AD209" i="10"/>
  <c r="AF209" i="10" s="1"/>
  <c r="Z99" i="10"/>
  <c r="AD242" i="10"/>
  <c r="AF242" i="10" s="1"/>
  <c r="T242" i="10"/>
  <c r="U242" i="10" s="1"/>
  <c r="Y349" i="10"/>
  <c r="AE349" i="10"/>
  <c r="T73" i="10"/>
  <c r="U73" i="10" s="1"/>
  <c r="AD73" i="10"/>
  <c r="AF73" i="10" s="1"/>
  <c r="AD105" i="10"/>
  <c r="AF105" i="10" s="1"/>
  <c r="T105" i="10"/>
  <c r="U105" i="10" s="1"/>
  <c r="T145" i="10"/>
  <c r="U145" i="10" s="1"/>
  <c r="AD145" i="10"/>
  <c r="AF145" i="10" s="1"/>
  <c r="T207" i="10"/>
  <c r="U207" i="10" s="1"/>
  <c r="AD207" i="10"/>
  <c r="AF207" i="10" s="1"/>
  <c r="T67" i="10"/>
  <c r="U67" i="10" s="1"/>
  <c r="AD67" i="10"/>
  <c r="AF67" i="10" s="1"/>
  <c r="J433" i="6"/>
  <c r="K433" i="6" s="1"/>
  <c r="Q301" i="10"/>
  <c r="R301" i="10" s="1"/>
  <c r="S301" i="10" s="1"/>
  <c r="J301" i="13"/>
  <c r="J268" i="6"/>
  <c r="K268" i="6" s="1"/>
  <c r="Q291" i="10"/>
  <c r="R291" i="10" s="1"/>
  <c r="S291" i="10" s="1"/>
  <c r="J177" i="6"/>
  <c r="K177" i="6" s="1"/>
  <c r="J310" i="6"/>
  <c r="K310" i="6" s="1"/>
  <c r="J291" i="13"/>
  <c r="T113" i="10"/>
  <c r="U113" i="10" s="1"/>
  <c r="AD113" i="10"/>
  <c r="AF113" i="10" s="1"/>
  <c r="T285" i="10"/>
  <c r="U285" i="10" s="1"/>
  <c r="AD285" i="10"/>
  <c r="AF285" i="10" s="1"/>
  <c r="T221" i="10"/>
  <c r="U221" i="10" s="1"/>
  <c r="AD221" i="10"/>
  <c r="AF221" i="10" s="1"/>
  <c r="Y256" i="10"/>
  <c r="AA256" i="10"/>
  <c r="AE256" i="10"/>
  <c r="AE86" i="10"/>
  <c r="AE164" i="10"/>
  <c r="Y70" i="10"/>
  <c r="K195" i="10"/>
  <c r="AE195" i="10" s="1"/>
  <c r="K111" i="10"/>
  <c r="AE297" i="10"/>
  <c r="K238" i="10"/>
  <c r="Y238" i="10" s="1"/>
  <c r="K222" i="10"/>
  <c r="K322" i="10"/>
  <c r="K104" i="10"/>
  <c r="Y209" i="10"/>
  <c r="K60" i="10"/>
  <c r="K201" i="10"/>
  <c r="Y86" i="10"/>
  <c r="AE169" i="10"/>
  <c r="AA164" i="10"/>
  <c r="K50" i="10"/>
  <c r="K229" i="10"/>
  <c r="K314" i="10"/>
  <c r="K290" i="10"/>
  <c r="K261" i="10"/>
  <c r="Y275" i="10"/>
  <c r="K15" i="10"/>
  <c r="Y15" i="10" s="1"/>
  <c r="AE19" i="10"/>
  <c r="K52" i="10"/>
  <c r="AE52" i="10" s="1"/>
  <c r="K276" i="10"/>
  <c r="K182" i="10"/>
  <c r="Y182" i="10" s="1"/>
  <c r="K91" i="10"/>
  <c r="K313" i="10"/>
  <c r="K342" i="10"/>
  <c r="AE250" i="10"/>
  <c r="K123" i="10"/>
  <c r="Y123" i="10" s="1"/>
  <c r="K249" i="10"/>
  <c r="AE346" i="10"/>
  <c r="K237" i="10"/>
  <c r="K190" i="10"/>
  <c r="AE38" i="10"/>
  <c r="N24" i="9"/>
  <c r="J24" i="9"/>
  <c r="R19" i="9"/>
  <c r="K24" i="9"/>
  <c r="G24" i="9"/>
  <c r="L24" i="9"/>
  <c r="D24" i="9"/>
  <c r="R22" i="9"/>
  <c r="R16" i="9"/>
  <c r="R21" i="9"/>
  <c r="R12" i="9"/>
  <c r="C24" i="9"/>
  <c r="R13" i="9"/>
  <c r="E24" i="9"/>
  <c r="R20" i="9"/>
  <c r="R15" i="9"/>
  <c r="H24" i="9"/>
  <c r="R14" i="9"/>
  <c r="F24" i="9"/>
  <c r="P24" i="9"/>
  <c r="I24" i="9"/>
  <c r="R18" i="9"/>
  <c r="R17" i="9"/>
  <c r="O24" i="9"/>
  <c r="AE271" i="10" l="1"/>
  <c r="J350" i="6"/>
  <c r="K350" i="6" s="1"/>
  <c r="J133" i="13"/>
  <c r="K133" i="13" s="1"/>
  <c r="L133" i="13" s="1"/>
  <c r="AE133" i="10"/>
  <c r="AD133" i="10"/>
  <c r="AF133" i="10" s="1"/>
  <c r="T133" i="10"/>
  <c r="U133" i="10" s="1"/>
  <c r="Q133" i="10"/>
  <c r="R133" i="10" s="1"/>
  <c r="S133" i="10" s="1"/>
  <c r="Z133" i="10" s="1"/>
  <c r="Y133" i="10"/>
  <c r="C21" i="8"/>
  <c r="AE41" i="10"/>
  <c r="V177" i="10"/>
  <c r="M849" i="19" s="1"/>
  <c r="N845" i="19" s="1"/>
  <c r="H12" i="7"/>
  <c r="I12" i="7" s="1"/>
  <c r="AD28" i="10"/>
  <c r="AF28" i="10" s="1"/>
  <c r="K28" i="10"/>
  <c r="Q28" i="10" s="1"/>
  <c r="R28" i="10" s="1"/>
  <c r="S28" i="10" s="1"/>
  <c r="K53" i="10"/>
  <c r="AE53" i="10" s="1"/>
  <c r="T53" i="10"/>
  <c r="U53" i="10" s="1"/>
  <c r="K359" i="10"/>
  <c r="J463" i="6" s="1"/>
  <c r="K463" i="6" s="1"/>
  <c r="Y74" i="10"/>
  <c r="T20" i="16"/>
  <c r="J374" i="6"/>
  <c r="K374" i="6" s="1"/>
  <c r="T22" i="16"/>
  <c r="AE80" i="10"/>
  <c r="K120" i="10"/>
  <c r="AE120" i="10" s="1"/>
  <c r="K98" i="10"/>
  <c r="AE98" i="10" s="1"/>
  <c r="AD193" i="10"/>
  <c r="AF193" i="10" s="1"/>
  <c r="J239" i="6"/>
  <c r="K239" i="6" s="1"/>
  <c r="T193" i="10"/>
  <c r="U193" i="10" s="1"/>
  <c r="J193" i="13"/>
  <c r="K193" i="13" s="1"/>
  <c r="L193" i="13" s="1"/>
  <c r="Y193" i="10"/>
  <c r="Q193" i="10"/>
  <c r="R193" i="10" s="1"/>
  <c r="S193" i="10" s="1"/>
  <c r="Z193" i="10" s="1"/>
  <c r="AE193" i="10"/>
  <c r="AD98" i="10"/>
  <c r="AF98" i="10" s="1"/>
  <c r="AA167" i="10"/>
  <c r="T120" i="10"/>
  <c r="U120" i="10" s="1"/>
  <c r="AD359" i="10"/>
  <c r="AF359" i="10" s="1"/>
  <c r="Q80" i="10"/>
  <c r="R80" i="10" s="1"/>
  <c r="S80" i="10" s="1"/>
  <c r="Z80" i="10" s="1"/>
  <c r="J80" i="13"/>
  <c r="Y80" i="10"/>
  <c r="J232" i="6"/>
  <c r="K232" i="6" s="1"/>
  <c r="T80" i="10"/>
  <c r="U80" i="10" s="1"/>
  <c r="AD80" i="10"/>
  <c r="AF80" i="10" s="1"/>
  <c r="T270" i="10"/>
  <c r="U270" i="10" s="1"/>
  <c r="J167" i="13"/>
  <c r="K167" i="13" s="1"/>
  <c r="L167" i="13" s="1"/>
  <c r="Y355" i="10"/>
  <c r="Q355" i="10"/>
  <c r="R355" i="10" s="1"/>
  <c r="S355" i="10" s="1"/>
  <c r="Z355" i="10" s="1"/>
  <c r="J355" i="13"/>
  <c r="AD355" i="10"/>
  <c r="AF355" i="10" s="1"/>
  <c r="T355" i="10"/>
  <c r="U355" i="10" s="1"/>
  <c r="AD16" i="10"/>
  <c r="AF16" i="10" s="1"/>
  <c r="V166" i="10"/>
  <c r="W166" i="10" s="1"/>
  <c r="AB166" i="10" s="1"/>
  <c r="AE355" i="10"/>
  <c r="J16" i="13"/>
  <c r="T16" i="10"/>
  <c r="U16" i="10" s="1"/>
  <c r="AE16" i="10"/>
  <c r="Y16" i="10"/>
  <c r="Q16" i="10"/>
  <c r="R16" i="10" s="1"/>
  <c r="S16" i="10" s="1"/>
  <c r="Z16" i="10" s="1"/>
  <c r="J244" i="13"/>
  <c r="Q244" i="10"/>
  <c r="R244" i="10" s="1"/>
  <c r="S244" i="10" s="1"/>
  <c r="V244" i="10" s="1"/>
  <c r="AA244" i="10" s="1"/>
  <c r="K273" i="13"/>
  <c r="L273" i="13" s="1"/>
  <c r="Y244" i="10"/>
  <c r="J116" i="6"/>
  <c r="K116" i="6" s="1"/>
  <c r="J399" i="13" s="1"/>
  <c r="K399" i="13" s="1"/>
  <c r="L399" i="13" s="1"/>
  <c r="AE244" i="10"/>
  <c r="I17" i="16"/>
  <c r="AA102" i="10"/>
  <c r="AD155" i="10"/>
  <c r="AF155" i="10" s="1"/>
  <c r="Y155" i="10"/>
  <c r="V94" i="10"/>
  <c r="AA94" i="10" s="1"/>
  <c r="K102" i="13"/>
  <c r="L102" i="13" s="1"/>
  <c r="T102" i="10"/>
  <c r="U102" i="10" s="1"/>
  <c r="T155" i="10"/>
  <c r="U155" i="10" s="1"/>
  <c r="J155" i="13"/>
  <c r="K155" i="13" s="1"/>
  <c r="L155" i="13" s="1"/>
  <c r="J60" i="6"/>
  <c r="K60" i="6" s="1"/>
  <c r="AE155" i="10"/>
  <c r="AD102" i="10"/>
  <c r="AF102" i="10" s="1"/>
  <c r="Q102" i="10"/>
  <c r="R102" i="10" s="1"/>
  <c r="S102" i="10" s="1"/>
  <c r="Z102" i="10" s="1"/>
  <c r="AE102" i="10"/>
  <c r="Y102" i="10"/>
  <c r="V273" i="10"/>
  <c r="V214" i="10"/>
  <c r="AA214" i="10" s="1"/>
  <c r="Z214" i="10"/>
  <c r="AD167" i="10"/>
  <c r="AF167" i="10" s="1"/>
  <c r="T167" i="10"/>
  <c r="U167" i="10" s="1"/>
  <c r="AE167" i="10"/>
  <c r="J326" i="6"/>
  <c r="K326" i="6" s="1"/>
  <c r="Y167" i="10"/>
  <c r="Q167" i="10"/>
  <c r="R167" i="10" s="1"/>
  <c r="S167" i="10" s="1"/>
  <c r="Z167" i="10" s="1"/>
  <c r="J314" i="6"/>
  <c r="K314" i="6" s="1"/>
  <c r="Y13" i="10"/>
  <c r="Q13" i="10"/>
  <c r="R13" i="10" s="1"/>
  <c r="S13" i="10" s="1"/>
  <c r="Z13" i="10" s="1"/>
  <c r="AE13" i="10"/>
  <c r="J13" i="13"/>
  <c r="AD13" i="10"/>
  <c r="AF13" i="10" s="1"/>
  <c r="T13" i="10"/>
  <c r="U13" i="10" s="1"/>
  <c r="I332" i="15"/>
  <c r="Q155" i="10"/>
  <c r="R155" i="10" s="1"/>
  <c r="S155" i="10" s="1"/>
  <c r="Z155" i="10" s="1"/>
  <c r="V140" i="10"/>
  <c r="AA140" i="10" s="1"/>
  <c r="Z140" i="10"/>
  <c r="AA66" i="10"/>
  <c r="T66" i="10"/>
  <c r="U66" i="10" s="1"/>
  <c r="Q66" i="10"/>
  <c r="R66" i="10" s="1"/>
  <c r="S66" i="10" s="1"/>
  <c r="Z66" i="10" s="1"/>
  <c r="C23" i="8"/>
  <c r="AE66" i="10"/>
  <c r="Y66" i="10"/>
  <c r="J66" i="13"/>
  <c r="K66" i="13" s="1"/>
  <c r="L66" i="13" s="1"/>
  <c r="AD66" i="10"/>
  <c r="AF66" i="10" s="1"/>
  <c r="AE316" i="10"/>
  <c r="V81" i="10"/>
  <c r="AA81" i="10" s="1"/>
  <c r="K158" i="13"/>
  <c r="L158" i="13" s="1"/>
  <c r="AE188" i="10"/>
  <c r="V227" i="10"/>
  <c r="AA227" i="10" s="1"/>
  <c r="K358" i="10"/>
  <c r="Y358" i="10" s="1"/>
  <c r="AA188" i="10"/>
  <c r="AD316" i="10"/>
  <c r="AF316" i="10" s="1"/>
  <c r="V158" i="10"/>
  <c r="M754" i="19" s="1"/>
  <c r="N751" i="19" s="1"/>
  <c r="AE163" i="10"/>
  <c r="V300" i="10"/>
  <c r="M1464" i="19" s="1"/>
  <c r="V172" i="10"/>
  <c r="M824" i="19" s="1"/>
  <c r="Y316" i="10"/>
  <c r="J188" i="6"/>
  <c r="K188" i="6" s="1"/>
  <c r="AD330" i="10"/>
  <c r="AF330" i="10" s="1"/>
  <c r="V311" i="10"/>
  <c r="M1519" i="19" s="1"/>
  <c r="J194" i="6"/>
  <c r="K194" i="6" s="1"/>
  <c r="Q188" i="10"/>
  <c r="R188" i="10" s="1"/>
  <c r="S188" i="10" s="1"/>
  <c r="Z188" i="10" s="1"/>
  <c r="V179" i="10"/>
  <c r="M859" i="19" s="1"/>
  <c r="K233" i="10"/>
  <c r="J233" i="13" s="1"/>
  <c r="V211" i="10"/>
  <c r="W211" i="10" s="1"/>
  <c r="AB211" i="10" s="1"/>
  <c r="T233" i="10"/>
  <c r="U233" i="10" s="1"/>
  <c r="J42" i="13"/>
  <c r="V219" i="10"/>
  <c r="W219" i="10" s="1"/>
  <c r="AB219" i="10" s="1"/>
  <c r="K270" i="13"/>
  <c r="L270" i="13" s="1"/>
  <c r="AD188" i="10"/>
  <c r="AF188" i="10" s="1"/>
  <c r="Y188" i="10"/>
  <c r="V352" i="10"/>
  <c r="AA352" i="10" s="1"/>
  <c r="AD270" i="10"/>
  <c r="AF270" i="10" s="1"/>
  <c r="T188" i="10"/>
  <c r="U188" i="10" s="1"/>
  <c r="T358" i="10"/>
  <c r="U358" i="10" s="1"/>
  <c r="T316" i="10"/>
  <c r="U316" i="10" s="1"/>
  <c r="V174" i="10"/>
  <c r="M834" i="19" s="1"/>
  <c r="K224" i="13"/>
  <c r="L224" i="13" s="1"/>
  <c r="AD42" i="10"/>
  <c r="AF42" i="10" s="1"/>
  <c r="AE270" i="10"/>
  <c r="V347" i="10"/>
  <c r="J96" i="6"/>
  <c r="K96" i="6" s="1"/>
  <c r="V271" i="10"/>
  <c r="M1319" i="19" s="1"/>
  <c r="N1318" i="19" s="1"/>
  <c r="P1318" i="19" s="1"/>
  <c r="Q1318" i="19" s="1"/>
  <c r="Q171" i="10"/>
  <c r="R171" i="10" s="1"/>
  <c r="S171" i="10" s="1"/>
  <c r="V171" i="10" s="1"/>
  <c r="AA171" i="10" s="1"/>
  <c r="K59" i="13"/>
  <c r="L59" i="13" s="1"/>
  <c r="T330" i="10"/>
  <c r="U330" i="10" s="1"/>
  <c r="K35" i="13"/>
  <c r="L35" i="13" s="1"/>
  <c r="K271" i="13"/>
  <c r="L271" i="13" s="1"/>
  <c r="T42" i="10"/>
  <c r="U42" i="10" s="1"/>
  <c r="Q42" i="10"/>
  <c r="R42" i="10" s="1"/>
  <c r="S42" i="10" s="1"/>
  <c r="Z42" i="10" s="1"/>
  <c r="Y42" i="10"/>
  <c r="AE42" i="10"/>
  <c r="Q270" i="10"/>
  <c r="R270" i="10" s="1"/>
  <c r="S270" i="10" s="1"/>
  <c r="Z270" i="10" s="1"/>
  <c r="V134" i="10"/>
  <c r="W134" i="10" s="1"/>
  <c r="AB134" i="10" s="1"/>
  <c r="V213" i="10"/>
  <c r="M1029" i="19" s="1"/>
  <c r="Q330" i="10"/>
  <c r="R330" i="10" s="1"/>
  <c r="S330" i="10" s="1"/>
  <c r="Z330" i="10" s="1"/>
  <c r="J403" i="6"/>
  <c r="K403" i="6" s="1"/>
  <c r="J188" i="13"/>
  <c r="K188" i="13" s="1"/>
  <c r="L188" i="13" s="1"/>
  <c r="Q62" i="10"/>
  <c r="R62" i="10" s="1"/>
  <c r="S62" i="10" s="1"/>
  <c r="Z62" i="10" s="1"/>
  <c r="J459" i="6"/>
  <c r="K459" i="6" s="1"/>
  <c r="Y62" i="10"/>
  <c r="AE343" i="10"/>
  <c r="V262" i="10"/>
  <c r="W262" i="10" s="1"/>
  <c r="AB262" i="10" s="1"/>
  <c r="J84" i="6"/>
  <c r="K84" i="6" s="1"/>
  <c r="AE62" i="10"/>
  <c r="J110" i="6"/>
  <c r="K110" i="6" s="1"/>
  <c r="J397" i="6"/>
  <c r="K397" i="6" s="1"/>
  <c r="K219" i="13"/>
  <c r="L219" i="13" s="1"/>
  <c r="J439" i="6"/>
  <c r="K439" i="6" s="1"/>
  <c r="AE278" i="10"/>
  <c r="K97" i="13"/>
  <c r="L97" i="13" s="1"/>
  <c r="Y55" i="10"/>
  <c r="V173" i="10"/>
  <c r="M829" i="19" s="1"/>
  <c r="N828" i="19" s="1"/>
  <c r="P828" i="19" s="1"/>
  <c r="Q828" i="19" s="1"/>
  <c r="Q55" i="10"/>
  <c r="R55" i="10" s="1"/>
  <c r="S55" i="10" s="1"/>
  <c r="Z55" i="10" s="1"/>
  <c r="AE55" i="10"/>
  <c r="V324" i="10"/>
  <c r="AA324" i="10" s="1"/>
  <c r="J316" i="13"/>
  <c r="J398" i="6"/>
  <c r="K398" i="6" s="1"/>
  <c r="Q316" i="10"/>
  <c r="R316" i="10" s="1"/>
  <c r="S316" i="10" s="1"/>
  <c r="K246" i="10"/>
  <c r="AE246" i="10" s="1"/>
  <c r="T246" i="10"/>
  <c r="U246" i="10" s="1"/>
  <c r="AD246" i="10"/>
  <c r="AF246" i="10" s="1"/>
  <c r="Y330" i="10"/>
  <c r="K211" i="13"/>
  <c r="L211" i="13" s="1"/>
  <c r="K327" i="10"/>
  <c r="AE327" i="10" s="1"/>
  <c r="T327" i="10"/>
  <c r="U327" i="10" s="1"/>
  <c r="AD327" i="10"/>
  <c r="AF327" i="10" s="1"/>
  <c r="AE79" i="10"/>
  <c r="J38" i="6"/>
  <c r="K38" i="6" s="1"/>
  <c r="Q79" i="10"/>
  <c r="R79" i="10" s="1"/>
  <c r="S79" i="10" s="1"/>
  <c r="V79" i="10" s="1"/>
  <c r="K236" i="10"/>
  <c r="AE236" i="10" s="1"/>
  <c r="T236" i="10"/>
  <c r="U236" i="10" s="1"/>
  <c r="K298" i="10"/>
  <c r="T298" i="10"/>
  <c r="U298" i="10" s="1"/>
  <c r="AD298" i="10"/>
  <c r="AF298" i="10" s="1"/>
  <c r="J79" i="13"/>
  <c r="Y176" i="10"/>
  <c r="Y270" i="10"/>
  <c r="AE330" i="10"/>
  <c r="Y278" i="10"/>
  <c r="J50" i="6"/>
  <c r="K50" i="6" s="1"/>
  <c r="J377" i="13" s="1"/>
  <c r="K377" i="13" s="1"/>
  <c r="L377" i="13" s="1"/>
  <c r="V354" i="10"/>
  <c r="AA354" i="10" s="1"/>
  <c r="V87" i="10"/>
  <c r="M399" i="19" s="1"/>
  <c r="J278" i="13"/>
  <c r="K278" i="13" s="1"/>
  <c r="L278" i="13" s="1"/>
  <c r="J172" i="6"/>
  <c r="K172" i="6" s="1"/>
  <c r="J416" i="13" s="1"/>
  <c r="V289" i="10"/>
  <c r="W289" i="10" s="1"/>
  <c r="AB289" i="10" s="1"/>
  <c r="V59" i="10"/>
  <c r="M259" i="19" s="1"/>
  <c r="Z59" i="10"/>
  <c r="V35" i="10"/>
  <c r="Y230" i="10"/>
  <c r="Y61" i="10"/>
  <c r="K361" i="13"/>
  <c r="L361" i="13" s="1"/>
  <c r="V148" i="10"/>
  <c r="M704" i="19" s="1"/>
  <c r="Q168" i="10"/>
  <c r="R168" i="10" s="1"/>
  <c r="S168" i="10" s="1"/>
  <c r="Z168" i="10" s="1"/>
  <c r="V36" i="10"/>
  <c r="W36" i="10" s="1"/>
  <c r="AB36" i="10" s="1"/>
  <c r="J425" i="6"/>
  <c r="K425" i="6" s="1"/>
  <c r="J109" i="13"/>
  <c r="J176" i="13"/>
  <c r="AE176" i="10"/>
  <c r="J366" i="6"/>
  <c r="K366" i="6" s="1"/>
  <c r="Z289" i="10"/>
  <c r="J31" i="6"/>
  <c r="K31" i="6" s="1"/>
  <c r="J370" i="13" s="1"/>
  <c r="K27" i="13"/>
  <c r="L27" i="13" s="1"/>
  <c r="J61" i="13"/>
  <c r="K61" i="13" s="1"/>
  <c r="L61" i="13" s="1"/>
  <c r="Z148" i="10"/>
  <c r="AE109" i="10"/>
  <c r="J197" i="6"/>
  <c r="K197" i="6" s="1"/>
  <c r="AE230" i="10"/>
  <c r="AE132" i="10"/>
  <c r="Q61" i="10"/>
  <c r="R61" i="10" s="1"/>
  <c r="S61" i="10" s="1"/>
  <c r="V61" i="10" s="1"/>
  <c r="Q230" i="10"/>
  <c r="R230" i="10" s="1"/>
  <c r="S230" i="10" s="1"/>
  <c r="Z230" i="10" s="1"/>
  <c r="V44" i="10"/>
  <c r="W44" i="10" s="1"/>
  <c r="AB44" i="10" s="1"/>
  <c r="J344" i="6"/>
  <c r="K344" i="6" s="1"/>
  <c r="J308" i="13"/>
  <c r="K308" i="13" s="1"/>
  <c r="L308" i="13" s="1"/>
  <c r="V122" i="10"/>
  <c r="M574" i="19" s="1"/>
  <c r="Q109" i="10"/>
  <c r="R109" i="10" s="1"/>
  <c r="S109" i="10" s="1"/>
  <c r="Z109" i="10" s="1"/>
  <c r="AA109" i="10"/>
  <c r="Y109" i="10"/>
  <c r="Y23" i="10"/>
  <c r="Q127" i="10"/>
  <c r="R127" i="10" s="1"/>
  <c r="S127" i="10" s="1"/>
  <c r="V127" i="10" s="1"/>
  <c r="Q343" i="10"/>
  <c r="R343" i="10" s="1"/>
  <c r="S343" i="10" s="1"/>
  <c r="V343" i="10" s="1"/>
  <c r="AA343" i="10" s="1"/>
  <c r="K81" i="13"/>
  <c r="L81" i="13" s="1"/>
  <c r="V247" i="10"/>
  <c r="W247" i="10" s="1"/>
  <c r="AB247" i="10" s="1"/>
  <c r="J23" i="13"/>
  <c r="J231" i="6"/>
  <c r="K231" i="6" s="1"/>
  <c r="J98" i="6"/>
  <c r="K98" i="6" s="1"/>
  <c r="J343" i="13"/>
  <c r="K343" i="13" s="1"/>
  <c r="L343" i="13" s="1"/>
  <c r="V41" i="10"/>
  <c r="W41" i="10" s="1"/>
  <c r="AB41" i="10" s="1"/>
  <c r="V64" i="10"/>
  <c r="W64" i="10" s="1"/>
  <c r="AB64" i="10" s="1"/>
  <c r="V141" i="10"/>
  <c r="M669" i="19" s="1"/>
  <c r="Z134" i="10"/>
  <c r="Z354" i="10"/>
  <c r="V231" i="10"/>
  <c r="Q23" i="10"/>
  <c r="R23" i="10" s="1"/>
  <c r="S23" i="10" s="1"/>
  <c r="V23" i="10" s="1"/>
  <c r="J168" i="13"/>
  <c r="J127" i="13"/>
  <c r="Y168" i="10"/>
  <c r="V37" i="10"/>
  <c r="M149" i="19" s="1"/>
  <c r="J128" i="6"/>
  <c r="K128" i="6" s="1"/>
  <c r="Y127" i="10"/>
  <c r="J147" i="6"/>
  <c r="K147" i="6" s="1"/>
  <c r="V303" i="10"/>
  <c r="AA303" i="10" s="1"/>
  <c r="V56" i="10"/>
  <c r="AA56" i="10" s="1"/>
  <c r="AE144" i="10"/>
  <c r="J432" i="6"/>
  <c r="K432" i="6" s="1"/>
  <c r="AE191" i="10"/>
  <c r="AE197" i="10"/>
  <c r="V131" i="10"/>
  <c r="K64" i="13"/>
  <c r="L64" i="13" s="1"/>
  <c r="V241" i="10"/>
  <c r="W241" i="10" s="1"/>
  <c r="AB241" i="10" s="1"/>
  <c r="AE186" i="10"/>
  <c r="Y186" i="10"/>
  <c r="K131" i="13"/>
  <c r="L131" i="13" s="1"/>
  <c r="V71" i="10"/>
  <c r="M319" i="19" s="1"/>
  <c r="J26" i="13"/>
  <c r="K26" i="13" s="1"/>
  <c r="L26" i="13" s="1"/>
  <c r="J99" i="6"/>
  <c r="K99" i="6" s="1"/>
  <c r="V117" i="10"/>
  <c r="AA117" i="10" s="1"/>
  <c r="J246" i="6"/>
  <c r="K246" i="6" s="1"/>
  <c r="AE329" i="10"/>
  <c r="J76" i="6"/>
  <c r="K76" i="6" s="1"/>
  <c r="J386" i="13" s="1"/>
  <c r="Y329" i="10"/>
  <c r="J329" i="13"/>
  <c r="Q329" i="10"/>
  <c r="R329" i="10" s="1"/>
  <c r="S329" i="10" s="1"/>
  <c r="Y132" i="10"/>
  <c r="Y308" i="10"/>
  <c r="Z231" i="10"/>
  <c r="J127" i="6"/>
  <c r="K127" i="6" s="1"/>
  <c r="J47" i="13"/>
  <c r="K47" i="13" s="1"/>
  <c r="L47" i="13" s="1"/>
  <c r="AE170" i="10"/>
  <c r="J132" i="13"/>
  <c r="AA132" i="10"/>
  <c r="K173" i="13"/>
  <c r="L173" i="13" s="1"/>
  <c r="V216" i="10"/>
  <c r="M1044" i="19" s="1"/>
  <c r="K134" i="13"/>
  <c r="L134" i="13" s="1"/>
  <c r="Q217" i="10"/>
  <c r="R217" i="10" s="1"/>
  <c r="S217" i="10" s="1"/>
  <c r="V217" i="10" s="1"/>
  <c r="Z131" i="10"/>
  <c r="J40" i="13"/>
  <c r="J391" i="6"/>
  <c r="K391" i="6" s="1"/>
  <c r="J180" i="6"/>
  <c r="K180" i="6" s="1"/>
  <c r="J419" i="13" s="1"/>
  <c r="K419" i="13" s="1"/>
  <c r="L419" i="13" s="1"/>
  <c r="Q132" i="10"/>
  <c r="R132" i="10" s="1"/>
  <c r="S132" i="10" s="1"/>
  <c r="T154" i="10"/>
  <c r="U154" i="10" s="1"/>
  <c r="K154" i="10"/>
  <c r="AD154" i="10"/>
  <c r="AF154" i="10" s="1"/>
  <c r="AE45" i="10"/>
  <c r="J43" i="13"/>
  <c r="K43" i="13" s="1"/>
  <c r="L43" i="13" s="1"/>
  <c r="AE11" i="10"/>
  <c r="K71" i="13"/>
  <c r="L71" i="13" s="1"/>
  <c r="Q341" i="10"/>
  <c r="R341" i="10" s="1"/>
  <c r="S341" i="10" s="1"/>
  <c r="V341" i="10" s="1"/>
  <c r="AA341" i="10" s="1"/>
  <c r="K243" i="13"/>
  <c r="L243" i="13" s="1"/>
  <c r="V165" i="10"/>
  <c r="W165" i="10" s="1"/>
  <c r="AB165" i="10" s="1"/>
  <c r="V100" i="10"/>
  <c r="W100" i="10" s="1"/>
  <c r="AB100" i="10" s="1"/>
  <c r="V340" i="10"/>
  <c r="AA340" i="10" s="1"/>
  <c r="Q178" i="10"/>
  <c r="R178" i="10" s="1"/>
  <c r="S178" i="10" s="1"/>
  <c r="V178" i="10" s="1"/>
  <c r="AA178" i="10" s="1"/>
  <c r="J205" i="13"/>
  <c r="AE25" i="10"/>
  <c r="K88" i="13"/>
  <c r="L88" i="13" s="1"/>
  <c r="J417" i="6"/>
  <c r="K417" i="6" s="1"/>
  <c r="J25" i="13"/>
  <c r="Y25" i="10"/>
  <c r="V25" i="10"/>
  <c r="W25" i="10" s="1"/>
  <c r="AB25" i="10" s="1"/>
  <c r="T12" i="10"/>
  <c r="U12" i="10" s="1"/>
  <c r="AE12" i="10"/>
  <c r="Y144" i="10"/>
  <c r="V224" i="10"/>
  <c r="AA224" i="10" s="1"/>
  <c r="J402" i="6"/>
  <c r="K402" i="6" s="1"/>
  <c r="J281" i="6"/>
  <c r="K281" i="6" s="1"/>
  <c r="J431" i="13" s="1"/>
  <c r="AE308" i="10"/>
  <c r="Q308" i="10"/>
  <c r="R308" i="10" s="1"/>
  <c r="S308" i="10" s="1"/>
  <c r="V308" i="10" s="1"/>
  <c r="AA308" i="10" s="1"/>
  <c r="J197" i="13"/>
  <c r="J164" i="6"/>
  <c r="K164" i="6" s="1"/>
  <c r="Y115" i="10"/>
  <c r="AA197" i="10"/>
  <c r="J178" i="13"/>
  <c r="Y178" i="10"/>
  <c r="Q11" i="10"/>
  <c r="R11" i="10" s="1"/>
  <c r="S11" i="10" s="1"/>
  <c r="Z11" i="10" s="1"/>
  <c r="Q197" i="10"/>
  <c r="R197" i="10" s="1"/>
  <c r="S197" i="10" s="1"/>
  <c r="V197" i="10" s="1"/>
  <c r="Y170" i="10"/>
  <c r="K303" i="13"/>
  <c r="L303" i="13" s="1"/>
  <c r="V284" i="10"/>
  <c r="W284" i="10" s="1"/>
  <c r="AB284" i="10" s="1"/>
  <c r="K350" i="10"/>
  <c r="AE350" i="10" s="1"/>
  <c r="AD350" i="10"/>
  <c r="AF350" i="10" s="1"/>
  <c r="T350" i="10"/>
  <c r="U350" i="10" s="1"/>
  <c r="AD265" i="10"/>
  <c r="AF265" i="10" s="1"/>
  <c r="J36" i="6"/>
  <c r="K36" i="6" s="1"/>
  <c r="AE31" i="10"/>
  <c r="Y31" i="10"/>
  <c r="V14" i="10"/>
  <c r="M34" i="19" s="1"/>
  <c r="V295" i="10"/>
  <c r="AA295" i="10" s="1"/>
  <c r="V223" i="10"/>
  <c r="W223" i="10" s="1"/>
  <c r="AB223" i="10" s="1"/>
  <c r="Y315" i="10"/>
  <c r="AE315" i="10"/>
  <c r="J315" i="13"/>
  <c r="J166" i="6"/>
  <c r="K166" i="6" s="1"/>
  <c r="Q315" i="10"/>
  <c r="R315" i="10" s="1"/>
  <c r="S315" i="10" s="1"/>
  <c r="AE341" i="10"/>
  <c r="K87" i="13"/>
  <c r="L87" i="13" s="1"/>
  <c r="AE171" i="10"/>
  <c r="Y171" i="10"/>
  <c r="J86" i="6"/>
  <c r="K86" i="6" s="1"/>
  <c r="J393" i="6"/>
  <c r="K393" i="6" s="1"/>
  <c r="Y45" i="10"/>
  <c r="J171" i="13"/>
  <c r="K171" i="13" s="1"/>
  <c r="L171" i="13" s="1"/>
  <c r="Y341" i="10"/>
  <c r="K99" i="13"/>
  <c r="L99" i="13" s="1"/>
  <c r="Y217" i="10"/>
  <c r="J452" i="6"/>
  <c r="K452" i="6" s="1"/>
  <c r="J217" i="13"/>
  <c r="V243" i="10"/>
  <c r="AA243" i="10" s="1"/>
  <c r="J45" i="13"/>
  <c r="K45" i="13" s="1"/>
  <c r="L45" i="13" s="1"/>
  <c r="J370" i="6"/>
  <c r="K370" i="6" s="1"/>
  <c r="AE332" i="10"/>
  <c r="Y332" i="10"/>
  <c r="J332" i="13"/>
  <c r="Q332" i="10"/>
  <c r="R332" i="10" s="1"/>
  <c r="S332" i="10" s="1"/>
  <c r="AE162" i="10"/>
  <c r="Q162" i="10"/>
  <c r="R162" i="10" s="1"/>
  <c r="S162" i="10" s="1"/>
  <c r="Z162" i="10" s="1"/>
  <c r="Z284" i="10"/>
  <c r="Q12" i="10"/>
  <c r="R12" i="10" s="1"/>
  <c r="S12" i="10" s="1"/>
  <c r="J343" i="6"/>
  <c r="K343" i="6" s="1"/>
  <c r="J151" i="6"/>
  <c r="K151" i="6" s="1"/>
  <c r="J410" i="13" s="1"/>
  <c r="K410" i="13" s="1"/>
  <c r="L410" i="13" s="1"/>
  <c r="J162" i="13"/>
  <c r="Q45" i="10"/>
  <c r="R45" i="10" s="1"/>
  <c r="S45" i="10" s="1"/>
  <c r="V45" i="10" s="1"/>
  <c r="Q31" i="10"/>
  <c r="R31" i="10" s="1"/>
  <c r="S31" i="10" s="1"/>
  <c r="V31" i="10" s="1"/>
  <c r="AA31" i="10"/>
  <c r="Y119" i="10"/>
  <c r="K103" i="13"/>
  <c r="L103" i="13" s="1"/>
  <c r="V283" i="10"/>
  <c r="AA283" i="10" s="1"/>
  <c r="J12" i="13"/>
  <c r="K12" i="13" s="1"/>
  <c r="L12" i="13" s="1"/>
  <c r="AD12" i="10"/>
  <c r="AF12" i="10" s="1"/>
  <c r="Q40" i="10"/>
  <c r="R40" i="10" s="1"/>
  <c r="S40" i="10" s="1"/>
  <c r="Z40" i="10" s="1"/>
  <c r="Y40" i="10"/>
  <c r="J186" i="13"/>
  <c r="K265" i="10"/>
  <c r="AE265" i="10" s="1"/>
  <c r="V323" i="10"/>
  <c r="W323" i="10" s="1"/>
  <c r="AB323" i="10" s="1"/>
  <c r="AE47" i="10"/>
  <c r="Y47" i="10"/>
  <c r="J144" i="13"/>
  <c r="J170" i="13"/>
  <c r="K170" i="13" s="1"/>
  <c r="L170" i="13" s="1"/>
  <c r="AE40" i="10"/>
  <c r="Q186" i="10"/>
  <c r="R186" i="10" s="1"/>
  <c r="S186" i="10" s="1"/>
  <c r="Z186" i="10" s="1"/>
  <c r="AD206" i="10"/>
  <c r="AF206" i="10" s="1"/>
  <c r="T206" i="10"/>
  <c r="U206" i="10" s="1"/>
  <c r="K206" i="10"/>
  <c r="K130" i="10"/>
  <c r="AD130" i="10"/>
  <c r="AF130" i="10" s="1"/>
  <c r="K95" i="10"/>
  <c r="Y95" i="10" s="1"/>
  <c r="T95" i="10"/>
  <c r="U95" i="10" s="1"/>
  <c r="AD95" i="10"/>
  <c r="AF95" i="10" s="1"/>
  <c r="Q119" i="10"/>
  <c r="R119" i="10" s="1"/>
  <c r="S119" i="10" s="1"/>
  <c r="AE119" i="10"/>
  <c r="J192" i="6"/>
  <c r="K192" i="6" s="1"/>
  <c r="AD335" i="10"/>
  <c r="AF335" i="10" s="1"/>
  <c r="K335" i="10"/>
  <c r="T335" i="10"/>
  <c r="U335" i="10" s="1"/>
  <c r="Y12" i="10"/>
  <c r="K283" i="13"/>
  <c r="L283" i="13" s="1"/>
  <c r="K207" i="13"/>
  <c r="L207" i="13" s="1"/>
  <c r="K82" i="13"/>
  <c r="L82" i="13" s="1"/>
  <c r="K275" i="13"/>
  <c r="L275" i="13" s="1"/>
  <c r="K346" i="13"/>
  <c r="L346" i="13" s="1"/>
  <c r="K34" i="13"/>
  <c r="L34" i="13" s="1"/>
  <c r="K196" i="13"/>
  <c r="L196" i="13" s="1"/>
  <c r="K250" i="13"/>
  <c r="L250" i="13" s="1"/>
  <c r="K46" i="13"/>
  <c r="L46" i="13" s="1"/>
  <c r="K24" i="13"/>
  <c r="L24" i="13" s="1"/>
  <c r="K175" i="13"/>
  <c r="L175" i="13" s="1"/>
  <c r="K297" i="13"/>
  <c r="L297" i="13" s="1"/>
  <c r="K218" i="13"/>
  <c r="L218" i="13" s="1"/>
  <c r="K145" i="13"/>
  <c r="L145" i="13" s="1"/>
  <c r="K105" i="13"/>
  <c r="L105" i="13" s="1"/>
  <c r="K232" i="13"/>
  <c r="L232" i="13" s="1"/>
  <c r="K164" i="13"/>
  <c r="L164" i="13" s="1"/>
  <c r="K225" i="13"/>
  <c r="L225" i="13" s="1"/>
  <c r="K348" i="13"/>
  <c r="L348" i="13" s="1"/>
  <c r="K63" i="13"/>
  <c r="L63" i="13" s="1"/>
  <c r="K268" i="13"/>
  <c r="L268" i="13" s="1"/>
  <c r="K51" i="13"/>
  <c r="L51" i="13" s="1"/>
  <c r="K280" i="13"/>
  <c r="L280" i="13" s="1"/>
  <c r="K31" i="13"/>
  <c r="L31" i="13" s="1"/>
  <c r="K149" i="13"/>
  <c r="L149" i="13" s="1"/>
  <c r="K118" i="13"/>
  <c r="L118" i="13" s="1"/>
  <c r="K184" i="13"/>
  <c r="L184" i="13" s="1"/>
  <c r="K191" i="13"/>
  <c r="L191" i="13" s="1"/>
  <c r="K223" i="13"/>
  <c r="L223" i="13" s="1"/>
  <c r="K101" i="10"/>
  <c r="AE101" i="10" s="1"/>
  <c r="T101" i="10"/>
  <c r="U101" i="10" s="1"/>
  <c r="AD101" i="10"/>
  <c r="AF101" i="10" s="1"/>
  <c r="AE160" i="10"/>
  <c r="J160" i="13"/>
  <c r="Y160" i="10"/>
  <c r="K20" i="10"/>
  <c r="Y20" i="10" s="1"/>
  <c r="AD20" i="10"/>
  <c r="AF20" i="10" s="1"/>
  <c r="T20" i="10"/>
  <c r="U20" i="10" s="1"/>
  <c r="K301" i="13"/>
  <c r="L301" i="13" s="1"/>
  <c r="K69" i="13"/>
  <c r="L69" i="13" s="1"/>
  <c r="K65" i="13"/>
  <c r="L65" i="13" s="1"/>
  <c r="K70" i="13"/>
  <c r="L70" i="13" s="1"/>
  <c r="K285" i="13"/>
  <c r="L285" i="13" s="1"/>
  <c r="K152" i="13"/>
  <c r="L152" i="13" s="1"/>
  <c r="K234" i="13"/>
  <c r="L234" i="13" s="1"/>
  <c r="K143" i="13"/>
  <c r="L143" i="13" s="1"/>
  <c r="K113" i="13"/>
  <c r="L113" i="13" s="1"/>
  <c r="K73" i="13"/>
  <c r="L73" i="13" s="1"/>
  <c r="K38" i="13"/>
  <c r="L38" i="13" s="1"/>
  <c r="K349" i="13"/>
  <c r="L349" i="13" s="1"/>
  <c r="K17" i="13"/>
  <c r="L17" i="13" s="1"/>
  <c r="K255" i="13"/>
  <c r="L255" i="13" s="1"/>
  <c r="K54" i="13"/>
  <c r="L54" i="13" s="1"/>
  <c r="K230" i="13"/>
  <c r="L230" i="13" s="1"/>
  <c r="K72" i="13"/>
  <c r="L72" i="13" s="1"/>
  <c r="K239" i="13"/>
  <c r="L239" i="13" s="1"/>
  <c r="K136" i="13"/>
  <c r="L136" i="13" s="1"/>
  <c r="K137" i="13"/>
  <c r="L137" i="13" s="1"/>
  <c r="K192" i="13"/>
  <c r="L192" i="13" s="1"/>
  <c r="K326" i="13"/>
  <c r="L326" i="13" s="1"/>
  <c r="K112" i="13"/>
  <c r="L112" i="13" s="1"/>
  <c r="K194" i="13"/>
  <c r="L194" i="13" s="1"/>
  <c r="K126" i="13"/>
  <c r="L126" i="13" s="1"/>
  <c r="K119" i="13"/>
  <c r="L119" i="13" s="1"/>
  <c r="K242" i="13"/>
  <c r="L242" i="13" s="1"/>
  <c r="K302" i="13"/>
  <c r="L302" i="13" s="1"/>
  <c r="K291" i="13"/>
  <c r="L291" i="13" s="1"/>
  <c r="K277" i="13"/>
  <c r="L277" i="13" s="1"/>
  <c r="K323" i="13"/>
  <c r="L323" i="13" s="1"/>
  <c r="K252" i="13"/>
  <c r="L252" i="13" s="1"/>
  <c r="K305" i="13"/>
  <c r="L305" i="13" s="1"/>
  <c r="K185" i="13"/>
  <c r="L185" i="13" s="1"/>
  <c r="K212" i="13"/>
  <c r="L212" i="13" s="1"/>
  <c r="K76" i="13"/>
  <c r="L76" i="13" s="1"/>
  <c r="K208" i="13"/>
  <c r="L208" i="13" s="1"/>
  <c r="K90" i="13"/>
  <c r="L90" i="13" s="1"/>
  <c r="K129" i="13"/>
  <c r="L129" i="13" s="1"/>
  <c r="K128" i="13"/>
  <c r="L128" i="13" s="1"/>
  <c r="K106" i="13"/>
  <c r="L106" i="13" s="1"/>
  <c r="K221" i="13"/>
  <c r="L221" i="13" s="1"/>
  <c r="K320" i="13"/>
  <c r="L320" i="13" s="1"/>
  <c r="K67" i="13"/>
  <c r="L67" i="13" s="1"/>
  <c r="K209" i="13"/>
  <c r="L209" i="13" s="1"/>
  <c r="K19" i="13"/>
  <c r="L19" i="13" s="1"/>
  <c r="K169" i="13"/>
  <c r="L169" i="13" s="1"/>
  <c r="K78" i="13"/>
  <c r="L78" i="13" s="1"/>
  <c r="K333" i="13"/>
  <c r="L333" i="13" s="1"/>
  <c r="K210" i="13"/>
  <c r="L210" i="13" s="1"/>
  <c r="K58" i="13"/>
  <c r="L58" i="13" s="1"/>
  <c r="K77" i="13"/>
  <c r="L77" i="13" s="1"/>
  <c r="K330" i="13"/>
  <c r="L330" i="13" s="1"/>
  <c r="K220" i="13"/>
  <c r="L220" i="13" s="1"/>
  <c r="K200" i="13"/>
  <c r="L200" i="13" s="1"/>
  <c r="K189" i="13"/>
  <c r="L189" i="13" s="1"/>
  <c r="K356" i="13"/>
  <c r="L356" i="13" s="1"/>
  <c r="K264" i="13"/>
  <c r="L264" i="13" s="1"/>
  <c r="K328" i="13"/>
  <c r="L328" i="13" s="1"/>
  <c r="K11" i="13"/>
  <c r="L11" i="13" s="1"/>
  <c r="K108" i="13"/>
  <c r="L108" i="13" s="1"/>
  <c r="K341" i="13"/>
  <c r="L341" i="13" s="1"/>
  <c r="K318" i="10"/>
  <c r="Y318" i="10" s="1"/>
  <c r="AD318" i="10"/>
  <c r="AF318" i="10" s="1"/>
  <c r="T318" i="10"/>
  <c r="U318" i="10" s="1"/>
  <c r="AD279" i="10"/>
  <c r="AF279" i="10" s="1"/>
  <c r="K279" i="10"/>
  <c r="T279" i="10"/>
  <c r="U279" i="10" s="1"/>
  <c r="I361" i="10"/>
  <c r="K258" i="13"/>
  <c r="L258" i="13" s="1"/>
  <c r="K86" i="13"/>
  <c r="L86" i="13" s="1"/>
  <c r="K256" i="13"/>
  <c r="L256" i="13" s="1"/>
  <c r="K83" i="13"/>
  <c r="L83" i="13" s="1"/>
  <c r="K125" i="13"/>
  <c r="L125" i="13" s="1"/>
  <c r="K114" i="13"/>
  <c r="L114" i="13" s="1"/>
  <c r="K150" i="13"/>
  <c r="L150" i="13" s="1"/>
  <c r="K281" i="13"/>
  <c r="L281" i="13" s="1"/>
  <c r="K266" i="13"/>
  <c r="L266" i="13" s="1"/>
  <c r="K245" i="13"/>
  <c r="L245" i="13" s="1"/>
  <c r="K161" i="13"/>
  <c r="L161" i="13" s="1"/>
  <c r="K310" i="13"/>
  <c r="L310" i="13" s="1"/>
  <c r="K299" i="13"/>
  <c r="L299" i="13" s="1"/>
  <c r="K135" i="13"/>
  <c r="L135" i="13" s="1"/>
  <c r="K56" i="13"/>
  <c r="L56" i="13" s="1"/>
  <c r="K396" i="13"/>
  <c r="L396" i="13" s="1"/>
  <c r="K372" i="13"/>
  <c r="L372" i="13" s="1"/>
  <c r="K391" i="13"/>
  <c r="L391" i="13" s="1"/>
  <c r="V150" i="10"/>
  <c r="M714" i="19" s="1"/>
  <c r="Z311" i="10"/>
  <c r="V54" i="10"/>
  <c r="AA54" i="10" s="1"/>
  <c r="F335" i="15"/>
  <c r="Z150" i="10"/>
  <c r="J366" i="13"/>
  <c r="V135" i="10"/>
  <c r="M639" i="19" s="1"/>
  <c r="AE296" i="10"/>
  <c r="Q191" i="10"/>
  <c r="R191" i="10" s="1"/>
  <c r="S191" i="10" s="1"/>
  <c r="V191" i="10" s="1"/>
  <c r="AE205" i="10"/>
  <c r="AE115" i="10"/>
  <c r="J115" i="13"/>
  <c r="Y191" i="10"/>
  <c r="J214" i="6"/>
  <c r="K214" i="6" s="1"/>
  <c r="Q205" i="10"/>
  <c r="R205" i="10" s="1"/>
  <c r="S205" i="10" s="1"/>
  <c r="Z205" i="10" s="1"/>
  <c r="Q115" i="10"/>
  <c r="R115" i="10" s="1"/>
  <c r="S115" i="10" s="1"/>
  <c r="Z115" i="10" s="1"/>
  <c r="V160" i="10"/>
  <c r="M764" i="19" s="1"/>
  <c r="J240" i="6"/>
  <c r="K240" i="6" s="1"/>
  <c r="J73" i="6"/>
  <c r="K73" i="6" s="1"/>
  <c r="V103" i="10"/>
  <c r="W103" i="10" s="1"/>
  <c r="AB103" i="10" s="1"/>
  <c r="V220" i="10"/>
  <c r="W220" i="10" s="1"/>
  <c r="AB220" i="10" s="1"/>
  <c r="J361" i="10"/>
  <c r="J364" i="10" s="1"/>
  <c r="W97" i="10"/>
  <c r="AB97" i="10" s="1"/>
  <c r="J267" i="6"/>
  <c r="K267" i="6" s="1"/>
  <c r="V108" i="10"/>
  <c r="AA108" i="10" s="1"/>
  <c r="V90" i="10"/>
  <c r="M414" i="19" s="1"/>
  <c r="M449" i="19"/>
  <c r="N445" i="19" s="1"/>
  <c r="J429" i="13"/>
  <c r="Q89" i="10"/>
  <c r="R89" i="10" s="1"/>
  <c r="S89" i="10" s="1"/>
  <c r="AE89" i="10"/>
  <c r="J381" i="6"/>
  <c r="K381" i="6" s="1"/>
  <c r="J89" i="13"/>
  <c r="Y89" i="10"/>
  <c r="J52" i="6"/>
  <c r="K52" i="6" s="1"/>
  <c r="J378" i="13" s="1"/>
  <c r="AA89" i="10"/>
  <c r="V161" i="10"/>
  <c r="AA161" i="10" s="1"/>
  <c r="V266" i="10"/>
  <c r="M1294" i="19" s="1"/>
  <c r="V69" i="10"/>
  <c r="AA69" i="10" s="1"/>
  <c r="Q282" i="10"/>
  <c r="R282" i="10" s="1"/>
  <c r="S282" i="10" s="1"/>
  <c r="V282" i="10" s="1"/>
  <c r="J282" i="13"/>
  <c r="Y282" i="10"/>
  <c r="V268" i="10"/>
  <c r="AA268" i="10" s="1"/>
  <c r="K156" i="10"/>
  <c r="Y156" i="10" s="1"/>
  <c r="T156" i="10"/>
  <c r="U156" i="10" s="1"/>
  <c r="AD156" i="10"/>
  <c r="AF156" i="10" s="1"/>
  <c r="K75" i="10"/>
  <c r="AE75" i="10" s="1"/>
  <c r="T75" i="10"/>
  <c r="U75" i="10" s="1"/>
  <c r="AD75" i="10"/>
  <c r="AF75" i="10" s="1"/>
  <c r="AD338" i="10"/>
  <c r="AF338" i="10" s="1"/>
  <c r="K338" i="10"/>
  <c r="K307" i="10"/>
  <c r="AD307" i="10"/>
  <c r="AF307" i="10" s="1"/>
  <c r="T307" i="10"/>
  <c r="U307" i="10" s="1"/>
  <c r="AD183" i="10"/>
  <c r="AF183" i="10" s="1"/>
  <c r="T183" i="10"/>
  <c r="U183" i="10" s="1"/>
  <c r="K183" i="10"/>
  <c r="AE183" i="10" s="1"/>
  <c r="K29" i="10"/>
  <c r="AD29" i="10"/>
  <c r="AF29" i="10" s="1"/>
  <c r="T29" i="10"/>
  <c r="U29" i="10" s="1"/>
  <c r="V281" i="10"/>
  <c r="W281" i="10" s="1"/>
  <c r="AB281" i="10" s="1"/>
  <c r="AA146" i="10"/>
  <c r="J11" i="6"/>
  <c r="K11" i="6" s="1"/>
  <c r="J362" i="13" s="1"/>
  <c r="V58" i="10"/>
  <c r="AA58" i="10" s="1"/>
  <c r="V356" i="10"/>
  <c r="M1744" i="19" s="1"/>
  <c r="J286" i="6"/>
  <c r="K286" i="6" s="1"/>
  <c r="V302" i="10"/>
  <c r="W302" i="10" s="1"/>
  <c r="AB302" i="10" s="1"/>
  <c r="AE146" i="10"/>
  <c r="J118" i="6"/>
  <c r="K118" i="6" s="1"/>
  <c r="AE253" i="10"/>
  <c r="V196" i="10"/>
  <c r="W196" i="10" s="1"/>
  <c r="AB196" i="10" s="1"/>
  <c r="V299" i="10"/>
  <c r="W299" i="10" s="1"/>
  <c r="AB299" i="10" s="1"/>
  <c r="Y26" i="10"/>
  <c r="V310" i="10"/>
  <c r="W310" i="10" s="1"/>
  <c r="AB310" i="10" s="1"/>
  <c r="V126" i="10"/>
  <c r="AA126" i="10" s="1"/>
  <c r="Y187" i="10"/>
  <c r="AE187" i="10"/>
  <c r="J333" i="6"/>
  <c r="K333" i="6" s="1"/>
  <c r="J187" i="13"/>
  <c r="Q187" i="10"/>
  <c r="R187" i="10" s="1"/>
  <c r="S187" i="10" s="1"/>
  <c r="AE26" i="10"/>
  <c r="V137" i="10"/>
  <c r="W137" i="10" s="1"/>
  <c r="AB137" i="10" s="1"/>
  <c r="Q43" i="10"/>
  <c r="R43" i="10" s="1"/>
  <c r="S43" i="10" s="1"/>
  <c r="Z43" i="10" s="1"/>
  <c r="J289" i="6"/>
  <c r="K289" i="6" s="1"/>
  <c r="J379" i="6"/>
  <c r="K379" i="6" s="1"/>
  <c r="Y43" i="10"/>
  <c r="V225" i="10"/>
  <c r="AA225" i="10" s="1"/>
  <c r="V118" i="10"/>
  <c r="AA118" i="10" s="1"/>
  <c r="J203" i="6"/>
  <c r="K203" i="6" s="1"/>
  <c r="J49" i="13"/>
  <c r="J438" i="6"/>
  <c r="K438" i="6" s="1"/>
  <c r="Q49" i="10"/>
  <c r="R49" i="10" s="1"/>
  <c r="S49" i="10" s="1"/>
  <c r="Y49" i="10"/>
  <c r="AE49" i="10"/>
  <c r="J151" i="13"/>
  <c r="Y151" i="10"/>
  <c r="Q151" i="10"/>
  <c r="R151" i="10" s="1"/>
  <c r="S151" i="10" s="1"/>
  <c r="AE151" i="10"/>
  <c r="Z225" i="10"/>
  <c r="Z118" i="10"/>
  <c r="AE22" i="10"/>
  <c r="V277" i="10"/>
  <c r="W277" i="10" s="1"/>
  <c r="AB277" i="10" s="1"/>
  <c r="AE21" i="10"/>
  <c r="AE57" i="10"/>
  <c r="J430" i="13"/>
  <c r="Y11" i="10"/>
  <c r="V17" i="10"/>
  <c r="M49" i="19" s="1"/>
  <c r="V51" i="10"/>
  <c r="AA51" i="10" s="1"/>
  <c r="I336" i="15"/>
  <c r="Q159" i="10"/>
  <c r="R159" i="10" s="1"/>
  <c r="S159" i="10" s="1"/>
  <c r="AE159" i="10"/>
  <c r="Y159" i="10"/>
  <c r="J159" i="13"/>
  <c r="V346" i="10"/>
  <c r="W346" i="10" s="1"/>
  <c r="AB346" i="10" s="1"/>
  <c r="J387" i="13"/>
  <c r="V348" i="10"/>
  <c r="M1704" i="19" s="1"/>
  <c r="J317" i="6"/>
  <c r="K317" i="6" s="1"/>
  <c r="Q107" i="10"/>
  <c r="R107" i="10" s="1"/>
  <c r="S107" i="10" s="1"/>
  <c r="J107" i="13"/>
  <c r="J353" i="13"/>
  <c r="Q353" i="10"/>
  <c r="R353" i="10" s="1"/>
  <c r="S353" i="10" s="1"/>
  <c r="J340" i="6"/>
  <c r="K340" i="6" s="1"/>
  <c r="T321" i="10"/>
  <c r="U321" i="10" s="1"/>
  <c r="AD321" i="10"/>
  <c r="AF321" i="10" s="1"/>
  <c r="K321" i="10"/>
  <c r="K357" i="10"/>
  <c r="Y357" i="10" s="1"/>
  <c r="T357" i="10"/>
  <c r="U357" i="10" s="1"/>
  <c r="AD357" i="10"/>
  <c r="AF357" i="10" s="1"/>
  <c r="K257" i="10"/>
  <c r="Y257" i="10" s="1"/>
  <c r="AD257" i="10"/>
  <c r="AF257" i="10" s="1"/>
  <c r="T257" i="10"/>
  <c r="U257" i="10" s="1"/>
  <c r="T269" i="10"/>
  <c r="U269" i="10" s="1"/>
  <c r="AD269" i="10"/>
  <c r="AF269" i="10" s="1"/>
  <c r="K269" i="10"/>
  <c r="AD309" i="10"/>
  <c r="AF309" i="10" s="1"/>
  <c r="T309" i="10"/>
  <c r="U309" i="10" s="1"/>
  <c r="AD312" i="10"/>
  <c r="AF312" i="10" s="1"/>
  <c r="K312" i="10"/>
  <c r="T312" i="10"/>
  <c r="U312" i="10" s="1"/>
  <c r="K110" i="10"/>
  <c r="Y110" i="10" s="1"/>
  <c r="AD110" i="10"/>
  <c r="AF110" i="10" s="1"/>
  <c r="T110" i="10"/>
  <c r="U110" i="10" s="1"/>
  <c r="AE204" i="10"/>
  <c r="Y204" i="10"/>
  <c r="AE353" i="10"/>
  <c r="Y353" i="10"/>
  <c r="K251" i="10"/>
  <c r="Y251" i="10" s="1"/>
  <c r="T251" i="10"/>
  <c r="U251" i="10" s="1"/>
  <c r="AD251" i="10"/>
  <c r="AF251" i="10" s="1"/>
  <c r="J227" i="6"/>
  <c r="K227" i="6" s="1"/>
  <c r="Q309" i="10"/>
  <c r="R309" i="10" s="1"/>
  <c r="S309" i="10" s="1"/>
  <c r="J309" i="13"/>
  <c r="K215" i="10"/>
  <c r="T215" i="10"/>
  <c r="U215" i="10" s="1"/>
  <c r="AD215" i="10"/>
  <c r="AF215" i="10" s="1"/>
  <c r="AE107" i="10"/>
  <c r="Y107" i="10"/>
  <c r="T204" i="10"/>
  <c r="U204" i="10" s="1"/>
  <c r="AD204" i="10"/>
  <c r="AF204" i="10" s="1"/>
  <c r="K331" i="10"/>
  <c r="AE331" i="10" s="1"/>
  <c r="T331" i="10"/>
  <c r="U331" i="10" s="1"/>
  <c r="AD331" i="10"/>
  <c r="AF331" i="10" s="1"/>
  <c r="Q204" i="10"/>
  <c r="R204" i="10" s="1"/>
  <c r="S204" i="10" s="1"/>
  <c r="J204" i="13"/>
  <c r="Y309" i="10"/>
  <c r="AE309" i="10"/>
  <c r="AA309" i="10"/>
  <c r="T226" i="10"/>
  <c r="U226" i="10" s="1"/>
  <c r="AD226" i="10"/>
  <c r="AF226" i="10" s="1"/>
  <c r="K226" i="10"/>
  <c r="J376" i="6"/>
  <c r="K376" i="6" s="1"/>
  <c r="J260" i="13"/>
  <c r="AE260" i="10"/>
  <c r="Q260" i="10"/>
  <c r="R260" i="10" s="1"/>
  <c r="S260" i="10" s="1"/>
  <c r="Y260" i="10"/>
  <c r="K334" i="10"/>
  <c r="Y334" i="10" s="1"/>
  <c r="T334" i="10"/>
  <c r="U334" i="10" s="1"/>
  <c r="AD334" i="10"/>
  <c r="AF334" i="10" s="1"/>
  <c r="T325" i="10"/>
  <c r="U325" i="10" s="1"/>
  <c r="AD325" i="10"/>
  <c r="AF325" i="10" s="1"/>
  <c r="K325" i="10"/>
  <c r="I335" i="15"/>
  <c r="AD353" i="10"/>
  <c r="AF353" i="10" s="1"/>
  <c r="T353" i="10"/>
  <c r="U353" i="10" s="1"/>
  <c r="K337" i="10"/>
  <c r="AE337" i="10" s="1"/>
  <c r="AD337" i="10"/>
  <c r="AF337" i="10" s="1"/>
  <c r="T337" i="10"/>
  <c r="U337" i="10" s="1"/>
  <c r="AD107" i="10"/>
  <c r="AF107" i="10" s="1"/>
  <c r="T107" i="10"/>
  <c r="U107" i="10" s="1"/>
  <c r="AE293" i="10"/>
  <c r="J293" i="13"/>
  <c r="Q293" i="10"/>
  <c r="R293" i="10" s="1"/>
  <c r="S293" i="10" s="1"/>
  <c r="J338" i="6"/>
  <c r="K338" i="6" s="1"/>
  <c r="F336" i="15"/>
  <c r="V128" i="10"/>
  <c r="AA128" i="10" s="1"/>
  <c r="V77" i="10"/>
  <c r="W77" i="10" s="1"/>
  <c r="AB77" i="10" s="1"/>
  <c r="J418" i="13"/>
  <c r="V291" i="10"/>
  <c r="AA291" i="10" s="1"/>
  <c r="AE317" i="10"/>
  <c r="Y304" i="10"/>
  <c r="Y48" i="10"/>
  <c r="V184" i="10"/>
  <c r="J228" i="13"/>
  <c r="J375" i="6"/>
  <c r="K375" i="6" s="1"/>
  <c r="Q228" i="10"/>
  <c r="R228" i="10" s="1"/>
  <c r="S228" i="10" s="1"/>
  <c r="AE228" i="10"/>
  <c r="Y228" i="10"/>
  <c r="J288" i="13"/>
  <c r="Q288" i="10"/>
  <c r="R288" i="10" s="1"/>
  <c r="S288" i="10" s="1"/>
  <c r="J158" i="6"/>
  <c r="K158" i="6" s="1"/>
  <c r="AE288" i="10"/>
  <c r="Y288" i="10"/>
  <c r="V301" i="10"/>
  <c r="AA301" i="10" s="1"/>
  <c r="AE235" i="10"/>
  <c r="Y18" i="10"/>
  <c r="AE319" i="10"/>
  <c r="V106" i="10"/>
  <c r="AA106" i="10" s="1"/>
  <c r="V125" i="10"/>
  <c r="M589" i="19" s="1"/>
  <c r="AE306" i="10"/>
  <c r="Q306" i="10"/>
  <c r="R306" i="10" s="1"/>
  <c r="S306" i="10" s="1"/>
  <c r="J306" i="13"/>
  <c r="J159" i="6"/>
  <c r="K159" i="6" s="1"/>
  <c r="J93" i="13"/>
  <c r="J160" i="6"/>
  <c r="K160" i="6" s="1"/>
  <c r="J413" i="13" s="1"/>
  <c r="Q93" i="10"/>
  <c r="R93" i="10" s="1"/>
  <c r="S93" i="10" s="1"/>
  <c r="Q360" i="10"/>
  <c r="R360" i="10" s="1"/>
  <c r="S360" i="10" s="1"/>
  <c r="Y360" i="10"/>
  <c r="J229" i="6"/>
  <c r="K229" i="6" s="1"/>
  <c r="AE360" i="10"/>
  <c r="J360" i="13"/>
  <c r="J46" i="6"/>
  <c r="K46" i="6" s="1"/>
  <c r="Z266" i="10"/>
  <c r="AA93" i="10"/>
  <c r="Y248" i="10"/>
  <c r="V149" i="10"/>
  <c r="J213" i="6"/>
  <c r="K213" i="6" s="1"/>
  <c r="J420" i="6"/>
  <c r="K420" i="6" s="1"/>
  <c r="Q85" i="10"/>
  <c r="R85" i="10" s="1"/>
  <c r="S85" i="10" s="1"/>
  <c r="J47" i="6"/>
  <c r="K47" i="6" s="1"/>
  <c r="J376" i="13" s="1"/>
  <c r="J85" i="13"/>
  <c r="Y85" i="10"/>
  <c r="Z176" i="10"/>
  <c r="V176" i="10"/>
  <c r="Q181" i="10"/>
  <c r="R181" i="10" s="1"/>
  <c r="S181" i="10" s="1"/>
  <c r="J224" i="6"/>
  <c r="K224" i="6" s="1"/>
  <c r="AE181" i="10"/>
  <c r="J181" i="13"/>
  <c r="Y181" i="10"/>
  <c r="AE202" i="10"/>
  <c r="Y33" i="10"/>
  <c r="V305" i="10"/>
  <c r="V185" i="10"/>
  <c r="M889" i="19" s="1"/>
  <c r="Y157" i="10"/>
  <c r="J318" i="6"/>
  <c r="K318" i="6" s="1"/>
  <c r="J157" i="13"/>
  <c r="Q157" i="10"/>
  <c r="R157" i="10" s="1"/>
  <c r="S157" i="10" s="1"/>
  <c r="J106" i="6"/>
  <c r="K106" i="6" s="1"/>
  <c r="J292" i="13"/>
  <c r="J26" i="6"/>
  <c r="K26" i="6" s="1"/>
  <c r="AE292" i="10"/>
  <c r="Q292" i="10"/>
  <c r="R292" i="10" s="1"/>
  <c r="S292" i="10" s="1"/>
  <c r="Y292" i="10"/>
  <c r="J248" i="13"/>
  <c r="Q248" i="10"/>
  <c r="R248" i="10" s="1"/>
  <c r="S248" i="10" s="1"/>
  <c r="J363" i="13"/>
  <c r="V65" i="10"/>
  <c r="AA65" i="10" s="1"/>
  <c r="V208" i="10"/>
  <c r="AA208" i="10" s="1"/>
  <c r="V129" i="10"/>
  <c r="AA129" i="10" s="1"/>
  <c r="V114" i="10"/>
  <c r="AA114" i="10" s="1"/>
  <c r="V189" i="10"/>
  <c r="AA189" i="10" s="1"/>
  <c r="Y93" i="10"/>
  <c r="AE85" i="10"/>
  <c r="V328" i="10"/>
  <c r="J404" i="6"/>
  <c r="K404" i="6" s="1"/>
  <c r="Q319" i="10"/>
  <c r="R319" i="10" s="1"/>
  <c r="S319" i="10" s="1"/>
  <c r="J319" i="13"/>
  <c r="Y339" i="10"/>
  <c r="Q339" i="10"/>
  <c r="R339" i="10" s="1"/>
  <c r="S339" i="10" s="1"/>
  <c r="J339" i="13"/>
  <c r="J29" i="6"/>
  <c r="K29" i="6" s="1"/>
  <c r="J369" i="13" s="1"/>
  <c r="J48" i="13"/>
  <c r="Q48" i="10"/>
  <c r="R48" i="10" s="1"/>
  <c r="S48" i="10" s="1"/>
  <c r="Z245" i="10"/>
  <c r="V245" i="10"/>
  <c r="V194" i="10"/>
  <c r="Z194" i="10"/>
  <c r="Z77" i="10"/>
  <c r="AE157" i="10"/>
  <c r="AE93" i="10"/>
  <c r="AE248" i="10"/>
  <c r="AE339" i="10"/>
  <c r="J347" i="6"/>
  <c r="K347" i="6" s="1"/>
  <c r="Q259" i="10"/>
  <c r="R259" i="10" s="1"/>
  <c r="S259" i="10" s="1"/>
  <c r="J259" i="13"/>
  <c r="J130" i="6"/>
  <c r="K130" i="6" s="1"/>
  <c r="Y336" i="10"/>
  <c r="Q336" i="10"/>
  <c r="R336" i="10" s="1"/>
  <c r="S336" i="10" s="1"/>
  <c r="J82" i="6"/>
  <c r="K82" i="6" s="1"/>
  <c r="J388" i="13" s="1"/>
  <c r="J336" i="13"/>
  <c r="J240" i="13"/>
  <c r="Q240" i="10"/>
  <c r="R240" i="10" s="1"/>
  <c r="S240" i="10" s="1"/>
  <c r="J33" i="6"/>
  <c r="K33" i="6" s="1"/>
  <c r="J371" i="13" s="1"/>
  <c r="J429" i="6"/>
  <c r="K429" i="6" s="1"/>
  <c r="J254" i="13"/>
  <c r="J215" i="6"/>
  <c r="K215" i="6" s="1"/>
  <c r="AE254" i="10"/>
  <c r="Q254" i="10"/>
  <c r="R254" i="10" s="1"/>
  <c r="S254" i="10" s="1"/>
  <c r="Y254" i="10"/>
  <c r="J116" i="13"/>
  <c r="J234" i="6"/>
  <c r="K234" i="6" s="1"/>
  <c r="AE116" i="10"/>
  <c r="Y116" i="10"/>
  <c r="Q116" i="10"/>
  <c r="R116" i="10" s="1"/>
  <c r="S116" i="10" s="1"/>
  <c r="V278" i="10"/>
  <c r="Z278" i="10"/>
  <c r="V63" i="10"/>
  <c r="Z63" i="10"/>
  <c r="J304" i="13"/>
  <c r="J360" i="6"/>
  <c r="K360" i="6" s="1"/>
  <c r="Q304" i="10"/>
  <c r="R304" i="10" s="1"/>
  <c r="S304" i="10" s="1"/>
  <c r="Z112" i="10"/>
  <c r="V112" i="10"/>
  <c r="V34" i="10"/>
  <c r="AA34" i="10" s="1"/>
  <c r="AE203" i="10"/>
  <c r="V210" i="10"/>
  <c r="Z210" i="10"/>
  <c r="Z58" i="10"/>
  <c r="V200" i="10"/>
  <c r="Z114" i="10"/>
  <c r="Y351" i="10"/>
  <c r="J180" i="13"/>
  <c r="AE180" i="10"/>
  <c r="Q180" i="10"/>
  <c r="R180" i="10" s="1"/>
  <c r="S180" i="10" s="1"/>
  <c r="Y180" i="10"/>
  <c r="J193" i="6"/>
  <c r="K193" i="6" s="1"/>
  <c r="J147" i="13"/>
  <c r="Q147" i="10"/>
  <c r="R147" i="10" s="1"/>
  <c r="S147" i="10" s="1"/>
  <c r="V255" i="10"/>
  <c r="Z255" i="10"/>
  <c r="Y344" i="10"/>
  <c r="J461" i="6"/>
  <c r="K461" i="6" s="1"/>
  <c r="Q344" i="10"/>
  <c r="R344" i="10" s="1"/>
  <c r="S344" i="10" s="1"/>
  <c r="J344" i="13"/>
  <c r="J210" i="6"/>
  <c r="K210" i="6" s="1"/>
  <c r="V170" i="10"/>
  <c r="Z170" i="10"/>
  <c r="V76" i="10"/>
  <c r="AA76" i="10" s="1"/>
  <c r="Y272" i="10"/>
  <c r="Z106" i="10"/>
  <c r="AE287" i="10"/>
  <c r="Y274" i="10"/>
  <c r="Y163" i="10"/>
  <c r="Z189" i="10"/>
  <c r="AE336" i="10"/>
  <c r="V264" i="10"/>
  <c r="V192" i="10"/>
  <c r="V326" i="10"/>
  <c r="Q74" i="10"/>
  <c r="R74" i="10" s="1"/>
  <c r="S74" i="10" s="1"/>
  <c r="J74" i="13"/>
  <c r="J441" i="6"/>
  <c r="K441" i="6" s="1"/>
  <c r="J372" i="6"/>
  <c r="K372" i="6" s="1"/>
  <c r="J361" i="6"/>
  <c r="K361" i="6" s="1"/>
  <c r="J351" i="13"/>
  <c r="Q351" i="10"/>
  <c r="R351" i="10" s="1"/>
  <c r="S351" i="10" s="1"/>
  <c r="V26" i="10"/>
  <c r="Z26" i="10"/>
  <c r="V47" i="10"/>
  <c r="Z47" i="10"/>
  <c r="J18" i="13"/>
  <c r="J270" i="6"/>
  <c r="K270" i="6" s="1"/>
  <c r="Q18" i="10"/>
  <c r="R18" i="10" s="1"/>
  <c r="S18" i="10" s="1"/>
  <c r="AE96" i="10"/>
  <c r="J96" i="13"/>
  <c r="Q96" i="10"/>
  <c r="R96" i="10" s="1"/>
  <c r="S96" i="10" s="1"/>
  <c r="Z144" i="10"/>
  <c r="V144" i="10"/>
  <c r="J462" i="6"/>
  <c r="K462" i="6" s="1"/>
  <c r="J345" i="13"/>
  <c r="AE345" i="10"/>
  <c r="AA345" i="10"/>
  <c r="Y345" i="10"/>
  <c r="Q345" i="10"/>
  <c r="R345" i="10" s="1"/>
  <c r="S345" i="10" s="1"/>
  <c r="V280" i="10"/>
  <c r="Z280" i="10"/>
  <c r="Z136" i="10"/>
  <c r="V136" i="10"/>
  <c r="AE267" i="10"/>
  <c r="AE74" i="10"/>
  <c r="AE259" i="10"/>
  <c r="Z125" i="10"/>
  <c r="Y240" i="10"/>
  <c r="Q274" i="10"/>
  <c r="R274" i="10" s="1"/>
  <c r="S274" i="10" s="1"/>
  <c r="J396" i="6"/>
  <c r="K396" i="6" s="1"/>
  <c r="J431" i="6"/>
  <c r="K431" i="6" s="1"/>
  <c r="J274" i="13"/>
  <c r="J255" i="6"/>
  <c r="K255" i="6" s="1"/>
  <c r="J139" i="13"/>
  <c r="J113" i="6"/>
  <c r="K113" i="6" s="1"/>
  <c r="Q139" i="10"/>
  <c r="R139" i="10" s="1"/>
  <c r="S139" i="10" s="1"/>
  <c r="AE139" i="10"/>
  <c r="Y139" i="10"/>
  <c r="Y32" i="10"/>
  <c r="J357" i="6"/>
  <c r="K357" i="6" s="1"/>
  <c r="J32" i="13"/>
  <c r="Q32" i="10"/>
  <c r="R32" i="10" s="1"/>
  <c r="S32" i="10" s="1"/>
  <c r="Q287" i="10"/>
  <c r="R287" i="10" s="1"/>
  <c r="S287" i="10" s="1"/>
  <c r="J287" i="13"/>
  <c r="J163" i="13"/>
  <c r="Q163" i="10"/>
  <c r="R163" i="10" s="1"/>
  <c r="S163" i="10" s="1"/>
  <c r="J16" i="6"/>
  <c r="K16" i="6" s="1"/>
  <c r="J364" i="13" s="1"/>
  <c r="Q317" i="10"/>
  <c r="R317" i="10" s="1"/>
  <c r="S317" i="10" s="1"/>
  <c r="J317" i="13"/>
  <c r="V72" i="10"/>
  <c r="AA72" i="10" s="1"/>
  <c r="Z72" i="10"/>
  <c r="V239" i="10"/>
  <c r="Z239" i="10"/>
  <c r="Z76" i="10"/>
  <c r="Y96" i="10"/>
  <c r="AE240" i="10"/>
  <c r="Y147" i="10"/>
  <c r="J384" i="6"/>
  <c r="K384" i="6" s="1"/>
  <c r="Q237" i="10"/>
  <c r="R237" i="10" s="1"/>
  <c r="S237" i="10" s="1"/>
  <c r="J174" i="6"/>
  <c r="K174" i="6" s="1"/>
  <c r="J417" i="13" s="1"/>
  <c r="J237" i="13"/>
  <c r="J424" i="6"/>
  <c r="K424" i="6" s="1"/>
  <c r="J59" i="6"/>
  <c r="K59" i="6" s="1"/>
  <c r="Q111" i="10"/>
  <c r="R111" i="10" s="1"/>
  <c r="S111" i="10" s="1"/>
  <c r="J111" i="13"/>
  <c r="J272" i="6"/>
  <c r="K272" i="6" s="1"/>
  <c r="J190" i="13"/>
  <c r="Q190" i="10"/>
  <c r="R190" i="10" s="1"/>
  <c r="S190" i="10" s="1"/>
  <c r="J27" i="6"/>
  <c r="K27" i="6" s="1"/>
  <c r="Q342" i="10"/>
  <c r="R342" i="10" s="1"/>
  <c r="S342" i="10" s="1"/>
  <c r="J342" i="13"/>
  <c r="AE342" i="10"/>
  <c r="Y342" i="10"/>
  <c r="Q91" i="10"/>
  <c r="R91" i="10" s="1"/>
  <c r="S91" i="10" s="1"/>
  <c r="J91" i="13"/>
  <c r="J339" i="6"/>
  <c r="K339" i="6" s="1"/>
  <c r="J314" i="13"/>
  <c r="Q314" i="10"/>
  <c r="R314" i="10" s="1"/>
  <c r="S314" i="10" s="1"/>
  <c r="AE314" i="10"/>
  <c r="Y314" i="10"/>
  <c r="J50" i="13"/>
  <c r="Q50" i="10"/>
  <c r="R50" i="10" s="1"/>
  <c r="S50" i="10" s="1"/>
  <c r="J53" i="6"/>
  <c r="K53" i="6" s="1"/>
  <c r="J219" i="6"/>
  <c r="K219" i="6" s="1"/>
  <c r="J60" i="13"/>
  <c r="Q60" i="10"/>
  <c r="R60" i="10" s="1"/>
  <c r="S60" i="10" s="1"/>
  <c r="J43" i="6"/>
  <c r="K43" i="6" s="1"/>
  <c r="J374" i="13" s="1"/>
  <c r="Y60" i="10"/>
  <c r="AE60" i="10"/>
  <c r="Q104" i="10"/>
  <c r="R104" i="10" s="1"/>
  <c r="S104" i="10" s="1"/>
  <c r="J266" i="6"/>
  <c r="K266" i="6" s="1"/>
  <c r="J423" i="6"/>
  <c r="K423" i="6" s="1"/>
  <c r="J104" i="13"/>
  <c r="W27" i="10"/>
  <c r="AB27" i="10" s="1"/>
  <c r="M99" i="19"/>
  <c r="AA27" i="10"/>
  <c r="M159" i="19"/>
  <c r="W39" i="10"/>
  <c r="AB39" i="10" s="1"/>
  <c r="AA39" i="10"/>
  <c r="J149" i="6"/>
  <c r="K149" i="6" s="1"/>
  <c r="Q249" i="10"/>
  <c r="R249" i="10" s="1"/>
  <c r="S249" i="10" s="1"/>
  <c r="J249" i="13"/>
  <c r="J313" i="13"/>
  <c r="J201" i="6"/>
  <c r="K201" i="6" s="1"/>
  <c r="Q313" i="10"/>
  <c r="R313" i="10" s="1"/>
  <c r="S313" i="10" s="1"/>
  <c r="AE313" i="10"/>
  <c r="Y313" i="10"/>
  <c r="J290" i="13"/>
  <c r="Q290" i="10"/>
  <c r="R290" i="10" s="1"/>
  <c r="S290" i="10" s="1"/>
  <c r="AE290" i="10"/>
  <c r="AA290" i="10"/>
  <c r="Y290" i="10"/>
  <c r="J348" i="6"/>
  <c r="K348" i="6" s="1"/>
  <c r="J33" i="13"/>
  <c r="Q33" i="10"/>
  <c r="R33" i="10" s="1"/>
  <c r="S33" i="10" s="1"/>
  <c r="J207" i="6"/>
  <c r="K207" i="6" s="1"/>
  <c r="J198" i="13"/>
  <c r="Q198" i="10"/>
  <c r="R198" i="10" s="1"/>
  <c r="S198" i="10" s="1"/>
  <c r="J450" i="6"/>
  <c r="K450" i="6" s="1"/>
  <c r="AE198" i="10"/>
  <c r="Y198" i="10"/>
  <c r="AA198" i="10"/>
  <c r="Q124" i="10"/>
  <c r="R124" i="10" s="1"/>
  <c r="S124" i="10" s="1"/>
  <c r="J325" i="6"/>
  <c r="K325" i="6" s="1"/>
  <c r="J124" i="13"/>
  <c r="J72" i="6"/>
  <c r="K72" i="6" s="1"/>
  <c r="J384" i="13" s="1"/>
  <c r="AE124" i="10"/>
  <c r="Y124" i="10"/>
  <c r="J409" i="6"/>
  <c r="K409" i="6" s="1"/>
  <c r="J153" i="13"/>
  <c r="Q153" i="10"/>
  <c r="R153" i="10" s="1"/>
  <c r="S153" i="10" s="1"/>
  <c r="J92" i="13"/>
  <c r="J363" i="6"/>
  <c r="K363" i="6" s="1"/>
  <c r="Q92" i="10"/>
  <c r="R92" i="10" s="1"/>
  <c r="S92" i="10" s="1"/>
  <c r="Y92" i="10"/>
  <c r="AE92" i="10"/>
  <c r="V275" i="10"/>
  <c r="Z275" i="10"/>
  <c r="U10" i="10"/>
  <c r="V164" i="10"/>
  <c r="Z164" i="10"/>
  <c r="Y190" i="10"/>
  <c r="V207" i="10"/>
  <c r="Z196" i="10"/>
  <c r="Y111" i="10"/>
  <c r="Z277" i="10"/>
  <c r="AE142" i="10"/>
  <c r="Z305" i="10"/>
  <c r="AA104" i="10"/>
  <c r="V320" i="10"/>
  <c r="AE237" i="10"/>
  <c r="V67" i="10"/>
  <c r="V218" i="10"/>
  <c r="V232" i="10"/>
  <c r="V38" i="10"/>
  <c r="Q229" i="10"/>
  <c r="R229" i="10" s="1"/>
  <c r="S229" i="10" s="1"/>
  <c r="J229" i="13"/>
  <c r="J208" i="6"/>
  <c r="K208" i="6" s="1"/>
  <c r="J453" i="6"/>
  <c r="K453" i="6" s="1"/>
  <c r="J276" i="13"/>
  <c r="Q276" i="10"/>
  <c r="R276" i="10" s="1"/>
  <c r="S276" i="10" s="1"/>
  <c r="J156" i="6"/>
  <c r="K156" i="6" s="1"/>
  <c r="AE276" i="10"/>
  <c r="Y276" i="10"/>
  <c r="J242" i="6"/>
  <c r="K242" i="6" s="1"/>
  <c r="Q261" i="10"/>
  <c r="R261" i="10" s="1"/>
  <c r="S261" i="10" s="1"/>
  <c r="J261" i="13"/>
  <c r="J241" i="6"/>
  <c r="K241" i="6" s="1"/>
  <c r="J238" i="13"/>
  <c r="Q238" i="10"/>
  <c r="R238" i="10" s="1"/>
  <c r="S238" i="10" s="1"/>
  <c r="Q195" i="10"/>
  <c r="R195" i="10" s="1"/>
  <c r="S195" i="10" s="1"/>
  <c r="J195" i="13"/>
  <c r="J196" i="6"/>
  <c r="K196" i="6" s="1"/>
  <c r="Q123" i="10"/>
  <c r="R123" i="10" s="1"/>
  <c r="S123" i="10" s="1"/>
  <c r="J123" i="13"/>
  <c r="J254" i="6"/>
  <c r="K254" i="6" s="1"/>
  <c r="J182" i="13"/>
  <c r="Q182" i="10"/>
  <c r="R182" i="10" s="1"/>
  <c r="S182" i="10" s="1"/>
  <c r="J129" i="6"/>
  <c r="K129" i="6" s="1"/>
  <c r="J346" i="6"/>
  <c r="K346" i="6" s="1"/>
  <c r="J162" i="6"/>
  <c r="K162" i="6" s="1"/>
  <c r="Q52" i="10"/>
  <c r="R52" i="10" s="1"/>
  <c r="S52" i="10" s="1"/>
  <c r="J52" i="13"/>
  <c r="J15" i="13"/>
  <c r="Q15" i="10"/>
  <c r="R15" i="10" s="1"/>
  <c r="S15" i="10" s="1"/>
  <c r="J152" i="6"/>
  <c r="K152" i="6" s="1"/>
  <c r="J257" i="6"/>
  <c r="K257" i="6" s="1"/>
  <c r="J201" i="13"/>
  <c r="J74" i="6"/>
  <c r="K74" i="6" s="1"/>
  <c r="Q201" i="10"/>
  <c r="R201" i="10" s="1"/>
  <c r="S201" i="10" s="1"/>
  <c r="AE201" i="10"/>
  <c r="Y201" i="10"/>
  <c r="J222" i="13"/>
  <c r="J123" i="6"/>
  <c r="K123" i="6" s="1"/>
  <c r="J402" i="13" s="1"/>
  <c r="Q222" i="10"/>
  <c r="R222" i="10" s="1"/>
  <c r="S222" i="10" s="1"/>
  <c r="J186" i="6"/>
  <c r="K186" i="6" s="1"/>
  <c r="AE222" i="10"/>
  <c r="Y222" i="10"/>
  <c r="Q203" i="10"/>
  <c r="R203" i="10" s="1"/>
  <c r="S203" i="10" s="1"/>
  <c r="J203" i="13"/>
  <c r="J69" i="6"/>
  <c r="K69" i="6" s="1"/>
  <c r="Q263" i="10"/>
  <c r="R263" i="10" s="1"/>
  <c r="S263" i="10" s="1"/>
  <c r="J263" i="13"/>
  <c r="J413" i="6"/>
  <c r="K413" i="6" s="1"/>
  <c r="J168" i="6"/>
  <c r="K168" i="6" s="1"/>
  <c r="J415" i="13" s="1"/>
  <c r="Y263" i="10"/>
  <c r="AE263" i="10"/>
  <c r="J202" i="13"/>
  <c r="Q202" i="10"/>
  <c r="R202" i="10" s="1"/>
  <c r="S202" i="10" s="1"/>
  <c r="J154" i="6"/>
  <c r="K154" i="6" s="1"/>
  <c r="J296" i="13"/>
  <c r="Q296" i="10"/>
  <c r="R296" i="10" s="1"/>
  <c r="S296" i="10" s="1"/>
  <c r="J165" i="6"/>
  <c r="K165" i="6" s="1"/>
  <c r="J21" i="13"/>
  <c r="Q21" i="10"/>
  <c r="R21" i="10" s="1"/>
  <c r="S21" i="10" s="1"/>
  <c r="J297" i="6"/>
  <c r="K297" i="6" s="1"/>
  <c r="J125" i="6"/>
  <c r="K125" i="6" s="1"/>
  <c r="Q199" i="10"/>
  <c r="R199" i="10" s="1"/>
  <c r="S199" i="10" s="1"/>
  <c r="J319" i="6"/>
  <c r="K319" i="6" s="1"/>
  <c r="J199" i="13"/>
  <c r="Y199" i="10"/>
  <c r="AA199" i="10"/>
  <c r="AE199" i="10"/>
  <c r="J68" i="13"/>
  <c r="J66" i="6"/>
  <c r="K66" i="6" s="1"/>
  <c r="Q68" i="10"/>
  <c r="R68" i="10" s="1"/>
  <c r="S68" i="10" s="1"/>
  <c r="AE68" i="10"/>
  <c r="Y68" i="10"/>
  <c r="Q272" i="10"/>
  <c r="R272" i="10" s="1"/>
  <c r="S272" i="10" s="1"/>
  <c r="J321" i="6"/>
  <c r="K321" i="6" s="1"/>
  <c r="J272" i="13"/>
  <c r="AF10" i="10"/>
  <c r="V19" i="10"/>
  <c r="Z19" i="10"/>
  <c r="AE190" i="10"/>
  <c r="AE91" i="10"/>
  <c r="V212" i="10"/>
  <c r="V242" i="10"/>
  <c r="Y261" i="10"/>
  <c r="V46" i="10"/>
  <c r="V24" i="10"/>
  <c r="V221" i="10"/>
  <c r="AE123" i="10"/>
  <c r="Z301" i="10"/>
  <c r="Z212" i="10"/>
  <c r="V152" i="10"/>
  <c r="Y229" i="10"/>
  <c r="Z283" i="10"/>
  <c r="Y50" i="10"/>
  <c r="AE104" i="10"/>
  <c r="AE182" i="10"/>
  <c r="V143" i="10"/>
  <c r="V175" i="10"/>
  <c r="V297" i="10"/>
  <c r="V73" i="10"/>
  <c r="V258" i="10"/>
  <c r="Z323" i="10"/>
  <c r="Z302" i="10"/>
  <c r="V78" i="10"/>
  <c r="AE153" i="10"/>
  <c r="V256" i="10"/>
  <c r="V333" i="10"/>
  <c r="J322" i="13"/>
  <c r="Q322" i="10"/>
  <c r="R322" i="10" s="1"/>
  <c r="S322" i="10" s="1"/>
  <c r="J41" i="6"/>
  <c r="K41" i="6" s="1"/>
  <c r="Y322" i="10"/>
  <c r="AE322" i="10"/>
  <c r="W99" i="10"/>
  <c r="AB99" i="10" s="1"/>
  <c r="M459" i="19"/>
  <c r="AA99" i="10"/>
  <c r="V70" i="10"/>
  <c r="Z70" i="10"/>
  <c r="Q146" i="10"/>
  <c r="R146" i="10" s="1"/>
  <c r="S146" i="10" s="1"/>
  <c r="J146" i="13"/>
  <c r="J138" i="6"/>
  <c r="K138" i="6" s="1"/>
  <c r="J407" i="13" s="1"/>
  <c r="J30" i="13"/>
  <c r="J299" i="6"/>
  <c r="K299" i="6" s="1"/>
  <c r="Q30" i="10"/>
  <c r="R30" i="10" s="1"/>
  <c r="S30" i="10" s="1"/>
  <c r="Y30" i="10"/>
  <c r="AE30" i="10"/>
  <c r="J85" i="6"/>
  <c r="K85" i="6" s="1"/>
  <c r="J138" i="13"/>
  <c r="Q138" i="10"/>
  <c r="R138" i="10" s="1"/>
  <c r="S138" i="10" s="1"/>
  <c r="J112" i="6"/>
  <c r="K112" i="6" s="1"/>
  <c r="J209" i="6"/>
  <c r="K209" i="6" s="1"/>
  <c r="J253" i="13"/>
  <c r="Q253" i="10"/>
  <c r="R253" i="10" s="1"/>
  <c r="S253" i="10" s="1"/>
  <c r="J456" i="6"/>
  <c r="K456" i="6" s="1"/>
  <c r="J84" i="13"/>
  <c r="J45" i="6"/>
  <c r="K45" i="6" s="1"/>
  <c r="Q84" i="10"/>
  <c r="R84" i="10" s="1"/>
  <c r="S84" i="10" s="1"/>
  <c r="J221" i="6"/>
  <c r="K221" i="6" s="1"/>
  <c r="Y84" i="10"/>
  <c r="AE84" i="10"/>
  <c r="Q121" i="10"/>
  <c r="R121" i="10" s="1"/>
  <c r="S121" i="10" s="1"/>
  <c r="J157" i="6"/>
  <c r="K157" i="6" s="1"/>
  <c r="J121" i="13"/>
  <c r="Y121" i="10"/>
  <c r="AE121" i="10"/>
  <c r="Y91" i="10"/>
  <c r="AE15" i="10"/>
  <c r="AE261" i="10"/>
  <c r="V285" i="10"/>
  <c r="Y249" i="10"/>
  <c r="AE111" i="10"/>
  <c r="AE229" i="10"/>
  <c r="Z346" i="10"/>
  <c r="Z69" i="10"/>
  <c r="AE238" i="10"/>
  <c r="Z90" i="10"/>
  <c r="Y153" i="10"/>
  <c r="V349" i="10"/>
  <c r="V83" i="10"/>
  <c r="V250" i="10"/>
  <c r="Z250" i="10"/>
  <c r="J108" i="6"/>
  <c r="K108" i="6" s="1"/>
  <c r="Q22" i="10"/>
  <c r="R22" i="10" s="1"/>
  <c r="S22" i="10" s="1"/>
  <c r="J22" i="13"/>
  <c r="J142" i="13"/>
  <c r="J446" i="6"/>
  <c r="K446" i="6" s="1"/>
  <c r="J206" i="6"/>
  <c r="K206" i="6" s="1"/>
  <c r="Q142" i="10"/>
  <c r="R142" i="10" s="1"/>
  <c r="S142" i="10" s="1"/>
  <c r="Q267" i="10"/>
  <c r="R267" i="10" s="1"/>
  <c r="S267" i="10" s="1"/>
  <c r="J267" i="13"/>
  <c r="J243" i="6"/>
  <c r="K243" i="6" s="1"/>
  <c r="J383" i="6"/>
  <c r="K383" i="6" s="1"/>
  <c r="J235" i="13"/>
  <c r="Q235" i="10"/>
  <c r="R235" i="10" s="1"/>
  <c r="S235" i="10" s="1"/>
  <c r="J286" i="13"/>
  <c r="Q286" i="10"/>
  <c r="R286" i="10" s="1"/>
  <c r="S286" i="10" s="1"/>
  <c r="J386" i="6"/>
  <c r="K386" i="6" s="1"/>
  <c r="AE286" i="10"/>
  <c r="Y286" i="10"/>
  <c r="Q57" i="10"/>
  <c r="R57" i="10" s="1"/>
  <c r="S57" i="10" s="1"/>
  <c r="J57" i="13"/>
  <c r="J359" i="6"/>
  <c r="K359" i="6" s="1"/>
  <c r="J371" i="6"/>
  <c r="K371" i="6" s="1"/>
  <c r="Q10" i="10"/>
  <c r="J10" i="13"/>
  <c r="AE10" i="10"/>
  <c r="Y10" i="10"/>
  <c r="M1434" i="19"/>
  <c r="W294" i="10"/>
  <c r="AB294" i="10" s="1"/>
  <c r="AA294" i="10"/>
  <c r="M404" i="19"/>
  <c r="W88" i="10"/>
  <c r="AB88" i="10" s="1"/>
  <c r="AA88" i="10"/>
  <c r="V169" i="10"/>
  <c r="Z169" i="10"/>
  <c r="AE138" i="10"/>
  <c r="V252" i="10"/>
  <c r="Z185" i="10"/>
  <c r="Z291" i="10"/>
  <c r="Z65" i="10"/>
  <c r="AE249" i="10"/>
  <c r="V82" i="10"/>
  <c r="Y195" i="10"/>
  <c r="Z129" i="10"/>
  <c r="Y142" i="10"/>
  <c r="AE50" i="10"/>
  <c r="Y104" i="10"/>
  <c r="V234" i="10"/>
  <c r="Y237" i="10"/>
  <c r="V113" i="10"/>
  <c r="Z208" i="10"/>
  <c r="V145" i="10"/>
  <c r="V105" i="10"/>
  <c r="V209" i="10"/>
  <c r="V86" i="10"/>
  <c r="Z128" i="10"/>
  <c r="Y52" i="10"/>
  <c r="R24" i="9"/>
  <c r="R26" i="9" s="1"/>
  <c r="J94" i="6" l="1"/>
  <c r="K94" i="6" s="1"/>
  <c r="J393" i="13" s="1"/>
  <c r="K393" i="13" s="1"/>
  <c r="L393" i="13" s="1"/>
  <c r="V133" i="10"/>
  <c r="AA133" i="10" s="1"/>
  <c r="AA177" i="10"/>
  <c r="C25" i="8"/>
  <c r="J23" i="6"/>
  <c r="K23" i="6" s="1"/>
  <c r="R21" i="16"/>
  <c r="S21" i="16" s="1"/>
  <c r="W177" i="10"/>
  <c r="AB177" i="10" s="1"/>
  <c r="Y28" i="10"/>
  <c r="AE28" i="10"/>
  <c r="J323" i="6"/>
  <c r="K323" i="6" s="1"/>
  <c r="J28" i="13"/>
  <c r="J53" i="13"/>
  <c r="AA53" i="10"/>
  <c r="J362" i="6"/>
  <c r="K362" i="6" s="1"/>
  <c r="Q53" i="10"/>
  <c r="R53" i="10" s="1"/>
  <c r="S53" i="10" s="1"/>
  <c r="Z53" i="10" s="1"/>
  <c r="Y53" i="10"/>
  <c r="J88" i="6"/>
  <c r="K88" i="6" s="1"/>
  <c r="J390" i="13" s="1"/>
  <c r="Y359" i="10"/>
  <c r="J359" i="13"/>
  <c r="Q359" i="10"/>
  <c r="R359" i="10" s="1"/>
  <c r="S359" i="10" s="1"/>
  <c r="V359" i="10" s="1"/>
  <c r="AA359" i="10" s="1"/>
  <c r="AE359" i="10"/>
  <c r="J399" i="6"/>
  <c r="K399" i="6" s="1"/>
  <c r="W273" i="10"/>
  <c r="R25" i="16"/>
  <c r="S25" i="16" s="1"/>
  <c r="W347" i="10"/>
  <c r="R26" i="16"/>
  <c r="S26" i="16" s="1"/>
  <c r="V193" i="10"/>
  <c r="M929" i="19" s="1"/>
  <c r="J349" i="6"/>
  <c r="K349" i="6" s="1"/>
  <c r="Q120" i="10"/>
  <c r="R120" i="10" s="1"/>
  <c r="S120" i="10" s="1"/>
  <c r="Z120" i="10" s="1"/>
  <c r="Y120" i="10"/>
  <c r="J120" i="13"/>
  <c r="K120" i="13" s="1"/>
  <c r="L120" i="13" s="1"/>
  <c r="K80" i="13"/>
  <c r="L80" i="13" s="1"/>
  <c r="Y98" i="10"/>
  <c r="J98" i="13"/>
  <c r="Q98" i="10"/>
  <c r="R98" i="10" s="1"/>
  <c r="S98" i="10" s="1"/>
  <c r="V98" i="10" s="1"/>
  <c r="AA98" i="10" s="1"/>
  <c r="V80" i="10"/>
  <c r="W80" i="10" s="1"/>
  <c r="AB80" i="10" s="1"/>
  <c r="V355" i="10"/>
  <c r="AA355" i="10" s="1"/>
  <c r="V167" i="10"/>
  <c r="M799" i="19" s="1"/>
  <c r="N796" i="19" s="1"/>
  <c r="P796" i="19" s="1"/>
  <c r="Q796" i="19" s="1"/>
  <c r="K355" i="13"/>
  <c r="L355" i="13" s="1"/>
  <c r="M794" i="19"/>
  <c r="N791" i="19" s="1"/>
  <c r="AA166" i="10"/>
  <c r="W244" i="10"/>
  <c r="AB244" i="10" s="1"/>
  <c r="V16" i="10"/>
  <c r="M44" i="19" s="1"/>
  <c r="N40" i="19" s="1"/>
  <c r="K16" i="13"/>
  <c r="L16" i="13" s="1"/>
  <c r="M1184" i="19"/>
  <c r="N1183" i="19" s="1"/>
  <c r="P1183" i="19" s="1"/>
  <c r="Q1183" i="19" s="1"/>
  <c r="K244" i="13"/>
  <c r="L244" i="13" s="1"/>
  <c r="Z244" i="10"/>
  <c r="AA273" i="10"/>
  <c r="M1329" i="19"/>
  <c r="N1326" i="19" s="1"/>
  <c r="W94" i="10"/>
  <c r="AB94" i="10" s="1"/>
  <c r="M1034" i="19"/>
  <c r="N1032" i="19" s="1"/>
  <c r="P1032" i="19" s="1"/>
  <c r="Q1032" i="19" s="1"/>
  <c r="W214" i="10"/>
  <c r="AB214" i="10" s="1"/>
  <c r="M434" i="19"/>
  <c r="N431" i="19" s="1"/>
  <c r="P431" i="19" s="1"/>
  <c r="Q431" i="19" s="1"/>
  <c r="V102" i="10"/>
  <c r="W102" i="10" s="1"/>
  <c r="AB102" i="10" s="1"/>
  <c r="J381" i="13"/>
  <c r="V13" i="10"/>
  <c r="M29" i="19" s="1"/>
  <c r="N27" i="19" s="1"/>
  <c r="K13" i="13"/>
  <c r="L13" i="13" s="1"/>
  <c r="M664" i="19"/>
  <c r="N663" i="19" s="1"/>
  <c r="P663" i="19" s="1"/>
  <c r="Q663" i="19" s="1"/>
  <c r="W140" i="10"/>
  <c r="AB140" i="10" s="1"/>
  <c r="V155" i="10"/>
  <c r="V66" i="10"/>
  <c r="M294" i="19" s="1"/>
  <c r="N752" i="19"/>
  <c r="P752" i="19" s="1"/>
  <c r="Q752" i="19" s="1"/>
  <c r="J358" i="13"/>
  <c r="W179" i="10"/>
  <c r="AB179" i="10" s="1"/>
  <c r="K42" i="13"/>
  <c r="L42" i="13" s="1"/>
  <c r="N750" i="19"/>
  <c r="G158" i="13" s="1"/>
  <c r="M1099" i="19"/>
  <c r="N1097" i="19" s="1"/>
  <c r="P1097" i="19" s="1"/>
  <c r="Q1097" i="19" s="1"/>
  <c r="W172" i="10"/>
  <c r="AB172" i="10" s="1"/>
  <c r="N753" i="19"/>
  <c r="P753" i="19" s="1"/>
  <c r="Q753" i="19" s="1"/>
  <c r="W148" i="10"/>
  <c r="AB148" i="10" s="1"/>
  <c r="W227" i="10"/>
  <c r="AB227" i="10" s="1"/>
  <c r="Z127" i="10"/>
  <c r="W158" i="10"/>
  <c r="AB158" i="10" s="1"/>
  <c r="Y75" i="10"/>
  <c r="AE156" i="10"/>
  <c r="W300" i="10"/>
  <c r="AB300" i="10" s="1"/>
  <c r="W81" i="10"/>
  <c r="AB81" i="10" s="1"/>
  <c r="M369" i="19"/>
  <c r="N368" i="19" s="1"/>
  <c r="P368" i="19" s="1"/>
  <c r="Q368" i="19" s="1"/>
  <c r="Q358" i="10"/>
  <c r="R358" i="10" s="1"/>
  <c r="S358" i="10" s="1"/>
  <c r="V358" i="10" s="1"/>
  <c r="AA358" i="10" s="1"/>
  <c r="W311" i="10"/>
  <c r="AB311" i="10" s="1"/>
  <c r="AE358" i="10"/>
  <c r="AA300" i="10"/>
  <c r="W324" i="10"/>
  <c r="AB324" i="10" s="1"/>
  <c r="V188" i="10"/>
  <c r="W188" i="10" s="1"/>
  <c r="AB188" i="10" s="1"/>
  <c r="AA311" i="10"/>
  <c r="W352" i="10"/>
  <c r="AB352" i="10" s="1"/>
  <c r="AA262" i="10"/>
  <c r="AA219" i="10"/>
  <c r="Q233" i="10"/>
  <c r="R233" i="10" s="1"/>
  <c r="S233" i="10" s="1"/>
  <c r="Z233" i="10" s="1"/>
  <c r="N1317" i="19"/>
  <c r="P1317" i="19" s="1"/>
  <c r="Q1317" i="19" s="1"/>
  <c r="Y233" i="10"/>
  <c r="K233" i="13"/>
  <c r="L233" i="13" s="1"/>
  <c r="AE233" i="10"/>
  <c r="AA213" i="10"/>
  <c r="AA271" i="10"/>
  <c r="J55" i="6"/>
  <c r="K55" i="6" s="1"/>
  <c r="J225" i="6"/>
  <c r="K225" i="6" s="1"/>
  <c r="AA211" i="10"/>
  <c r="M1274" i="19"/>
  <c r="N1270" i="19" s="1"/>
  <c r="M1584" i="19"/>
  <c r="N1580" i="19" s="1"/>
  <c r="AA134" i="10"/>
  <c r="M1724" i="19"/>
  <c r="N1720" i="19" s="1"/>
  <c r="M1059" i="19"/>
  <c r="N1058" i="19" s="1"/>
  <c r="P1058" i="19" s="1"/>
  <c r="Q1058" i="19" s="1"/>
  <c r="M1019" i="19"/>
  <c r="N1018" i="19" s="1"/>
  <c r="P1018" i="19" s="1"/>
  <c r="Q1018" i="19" s="1"/>
  <c r="M634" i="19"/>
  <c r="N632" i="19" s="1"/>
  <c r="P632" i="19" s="1"/>
  <c r="Q632" i="19" s="1"/>
  <c r="K79" i="13"/>
  <c r="L79" i="13" s="1"/>
  <c r="M1409" i="19"/>
  <c r="N1406" i="19" s="1"/>
  <c r="N1316" i="19"/>
  <c r="P1316" i="19" s="1"/>
  <c r="Q1316" i="19" s="1"/>
  <c r="W133" i="10"/>
  <c r="AB133" i="10" s="1"/>
  <c r="AA148" i="10"/>
  <c r="Z171" i="10"/>
  <c r="AA216" i="10"/>
  <c r="N827" i="19"/>
  <c r="P827" i="19" s="1"/>
  <c r="Q827" i="19" s="1"/>
  <c r="M1699" i="19"/>
  <c r="N1696" i="19" s="1"/>
  <c r="P1696" i="19" s="1"/>
  <c r="Q1696" i="19" s="1"/>
  <c r="Z308" i="10"/>
  <c r="W271" i="10"/>
  <c r="AB271" i="10" s="1"/>
  <c r="AA44" i="10"/>
  <c r="N1315" i="19"/>
  <c r="G271" i="13" s="1"/>
  <c r="W174" i="10"/>
  <c r="AB174" i="10" s="1"/>
  <c r="M629" i="19"/>
  <c r="N626" i="19" s="1"/>
  <c r="P626" i="19" s="1"/>
  <c r="Q626" i="19" s="1"/>
  <c r="M619" i="19"/>
  <c r="N617" i="19" s="1"/>
  <c r="P617" i="19" s="1"/>
  <c r="Q617" i="19" s="1"/>
  <c r="AA131" i="10"/>
  <c r="M1119" i="19"/>
  <c r="N1117" i="19" s="1"/>
  <c r="P1117" i="19" s="1"/>
  <c r="Q1117" i="19" s="1"/>
  <c r="AA231" i="10"/>
  <c r="W171" i="10"/>
  <c r="AB171" i="10" s="1"/>
  <c r="W213" i="10"/>
  <c r="AB213" i="10" s="1"/>
  <c r="AA87" i="10"/>
  <c r="M819" i="19"/>
  <c r="N816" i="19" s="1"/>
  <c r="P816" i="19" s="1"/>
  <c r="Q816" i="19" s="1"/>
  <c r="AA247" i="10"/>
  <c r="Z217" i="10"/>
  <c r="AA37" i="10"/>
  <c r="W59" i="10"/>
  <c r="AB59" i="10" s="1"/>
  <c r="AA59" i="10"/>
  <c r="W305" i="10"/>
  <c r="AB305" i="10" s="1"/>
  <c r="AA305" i="10"/>
  <c r="M139" i="19"/>
  <c r="N137" i="19" s="1"/>
  <c r="P137" i="19" s="1"/>
  <c r="Q137" i="19" s="1"/>
  <c r="AA35" i="10"/>
  <c r="AA36" i="10"/>
  <c r="M144" i="19"/>
  <c r="N141" i="19" s="1"/>
  <c r="P141" i="19" s="1"/>
  <c r="Q141" i="19" s="1"/>
  <c r="M184" i="19"/>
  <c r="N182" i="19" s="1"/>
  <c r="P182" i="19" s="1"/>
  <c r="Q182" i="19" s="1"/>
  <c r="W87" i="10"/>
  <c r="AB87" i="10" s="1"/>
  <c r="Z79" i="10"/>
  <c r="V330" i="10"/>
  <c r="W330" i="10" s="1"/>
  <c r="AB330" i="10" s="1"/>
  <c r="W303" i="10"/>
  <c r="AB303" i="10" s="1"/>
  <c r="V42" i="10"/>
  <c r="M174" i="19" s="1"/>
  <c r="N172" i="19" s="1"/>
  <c r="P172" i="19" s="1"/>
  <c r="Q172" i="19" s="1"/>
  <c r="V270" i="10"/>
  <c r="AA270" i="10" s="1"/>
  <c r="W141" i="10"/>
  <c r="AB141" i="10" s="1"/>
  <c r="Z341" i="10"/>
  <c r="V55" i="10"/>
  <c r="AA55" i="10" s="1"/>
  <c r="V62" i="10"/>
  <c r="M274" i="19" s="1"/>
  <c r="N272" i="19" s="1"/>
  <c r="P272" i="19" s="1"/>
  <c r="Q272" i="19" s="1"/>
  <c r="J389" i="13"/>
  <c r="K389" i="13" s="1"/>
  <c r="L389" i="13" s="1"/>
  <c r="AA185" i="10"/>
  <c r="N826" i="19"/>
  <c r="P826" i="19" s="1"/>
  <c r="Q826" i="19" s="1"/>
  <c r="AA173" i="10"/>
  <c r="N825" i="19"/>
  <c r="G173" i="13" s="1"/>
  <c r="Z23" i="10"/>
  <c r="M1079" i="19"/>
  <c r="N1075" i="19" s="1"/>
  <c r="W354" i="10"/>
  <c r="AB354" i="10" s="1"/>
  <c r="Z61" i="10"/>
  <c r="W173" i="10"/>
  <c r="AB173" i="10" s="1"/>
  <c r="M169" i="19"/>
  <c r="N166" i="19" s="1"/>
  <c r="W37" i="10"/>
  <c r="AB37" i="10" s="1"/>
  <c r="J63" i="6"/>
  <c r="K63" i="6" s="1"/>
  <c r="J382" i="13" s="1"/>
  <c r="Q298" i="10"/>
  <c r="R298" i="10" s="1"/>
  <c r="S298" i="10" s="1"/>
  <c r="J262" i="6"/>
  <c r="K262" i="6" s="1"/>
  <c r="J298" i="13"/>
  <c r="J327" i="13"/>
  <c r="J228" i="6"/>
  <c r="K228" i="6" s="1"/>
  <c r="J56" i="6"/>
  <c r="K56" i="6" s="1"/>
  <c r="Q327" i="10"/>
  <c r="R327" i="10" s="1"/>
  <c r="S327" i="10" s="1"/>
  <c r="K316" i="13"/>
  <c r="L316" i="13" s="1"/>
  <c r="Y246" i="10"/>
  <c r="Y298" i="10"/>
  <c r="W35" i="10"/>
  <c r="AB35" i="10" s="1"/>
  <c r="M1734" i="19"/>
  <c r="N1731" i="19" s="1"/>
  <c r="P1731" i="19" s="1"/>
  <c r="Q1731" i="19" s="1"/>
  <c r="K176" i="13"/>
  <c r="L176" i="13" s="1"/>
  <c r="K127" i="13"/>
  <c r="L127" i="13" s="1"/>
  <c r="J114" i="6"/>
  <c r="K114" i="6" s="1"/>
  <c r="J246" i="13"/>
  <c r="Q246" i="10"/>
  <c r="R246" i="10" s="1"/>
  <c r="S246" i="10" s="1"/>
  <c r="Y236" i="10"/>
  <c r="J236" i="13"/>
  <c r="Q236" i="10"/>
  <c r="R236" i="10" s="1"/>
  <c r="S236" i="10" s="1"/>
  <c r="J354" i="6"/>
  <c r="K354" i="6" s="1"/>
  <c r="V168" i="10"/>
  <c r="W168" i="10" s="1"/>
  <c r="AB168" i="10" s="1"/>
  <c r="Z316" i="10"/>
  <c r="V316" i="10"/>
  <c r="M284" i="19"/>
  <c r="N283" i="19" s="1"/>
  <c r="P283" i="19" s="1"/>
  <c r="Q283" i="19" s="1"/>
  <c r="AE298" i="10"/>
  <c r="Y327" i="10"/>
  <c r="W122" i="10"/>
  <c r="AB122" i="10" s="1"/>
  <c r="K132" i="13"/>
  <c r="L132" i="13" s="1"/>
  <c r="K109" i="13"/>
  <c r="L109" i="13" s="1"/>
  <c r="AA64" i="10"/>
  <c r="AA41" i="10"/>
  <c r="AA25" i="10"/>
  <c r="M1479" i="19"/>
  <c r="N1477" i="19" s="1"/>
  <c r="P1477" i="19" s="1"/>
  <c r="Q1477" i="19" s="1"/>
  <c r="V230" i="10"/>
  <c r="W230" i="10" s="1"/>
  <c r="AB230" i="10" s="1"/>
  <c r="M549" i="19"/>
  <c r="N545" i="19" s="1"/>
  <c r="P545" i="19" s="1"/>
  <c r="K370" i="13"/>
  <c r="L370" i="13" s="1"/>
  <c r="AA122" i="10"/>
  <c r="M1199" i="19"/>
  <c r="N1195" i="19" s="1"/>
  <c r="W216" i="10"/>
  <c r="AB216" i="10" s="1"/>
  <c r="Z343" i="10"/>
  <c r="M1169" i="19"/>
  <c r="N1166" i="19" s="1"/>
  <c r="P1166" i="19" s="1"/>
  <c r="Q1166" i="19" s="1"/>
  <c r="W340" i="10"/>
  <c r="AB340" i="10" s="1"/>
  <c r="K40" i="13"/>
  <c r="L40" i="13" s="1"/>
  <c r="K25" i="13"/>
  <c r="L25" i="13" s="1"/>
  <c r="AA281" i="10"/>
  <c r="W131" i="10"/>
  <c r="Z197" i="10"/>
  <c r="K23" i="13"/>
  <c r="L23" i="13" s="1"/>
  <c r="V109" i="10"/>
  <c r="W109" i="10" s="1"/>
  <c r="AB109" i="10" s="1"/>
  <c r="W295" i="10"/>
  <c r="AB295" i="10" s="1"/>
  <c r="J373" i="13"/>
  <c r="K373" i="13" s="1"/>
  <c r="L373" i="13" s="1"/>
  <c r="W231" i="10"/>
  <c r="AB231" i="10" s="1"/>
  <c r="AA141" i="10"/>
  <c r="M1439" i="19"/>
  <c r="N1438" i="19" s="1"/>
  <c r="P1438" i="19" s="1"/>
  <c r="Q1438" i="19" s="1"/>
  <c r="M89" i="19"/>
  <c r="N88" i="19" s="1"/>
  <c r="P88" i="19" s="1"/>
  <c r="Q88" i="19" s="1"/>
  <c r="M1474" i="19"/>
  <c r="N1473" i="19" s="1"/>
  <c r="P1473" i="19" s="1"/>
  <c r="Q1473" i="19" s="1"/>
  <c r="W71" i="10"/>
  <c r="AB71" i="10" s="1"/>
  <c r="M554" i="19"/>
  <c r="N550" i="19" s="1"/>
  <c r="M1664" i="19"/>
  <c r="N1663" i="19" s="1"/>
  <c r="P1663" i="19" s="1"/>
  <c r="Q1663" i="19" s="1"/>
  <c r="K178" i="13"/>
  <c r="L178" i="13" s="1"/>
  <c r="W150" i="10"/>
  <c r="AB150" i="10" s="1"/>
  <c r="AA241" i="10"/>
  <c r="J403" i="13"/>
  <c r="J444" i="13"/>
  <c r="Q265" i="10"/>
  <c r="R265" i="10" s="1"/>
  <c r="S265" i="10" s="1"/>
  <c r="V265" i="10" s="1"/>
  <c r="K197" i="13"/>
  <c r="L197" i="13" s="1"/>
  <c r="K205" i="13"/>
  <c r="L205" i="13" s="1"/>
  <c r="M464" i="19"/>
  <c r="N462" i="19" s="1"/>
  <c r="P462" i="19" s="1"/>
  <c r="Q462" i="19" s="1"/>
  <c r="M244" i="19"/>
  <c r="N241" i="19" s="1"/>
  <c r="P241" i="19" s="1"/>
  <c r="Q241" i="19" s="1"/>
  <c r="W56" i="10"/>
  <c r="AB56" i="10" s="1"/>
  <c r="K168" i="13"/>
  <c r="L168" i="13" s="1"/>
  <c r="M789" i="19"/>
  <c r="N785" i="19" s="1"/>
  <c r="G165" i="13" s="1"/>
  <c r="M504" i="19"/>
  <c r="N500" i="19" s="1"/>
  <c r="W224" i="10"/>
  <c r="AB224" i="10" s="1"/>
  <c r="Z178" i="10"/>
  <c r="W117" i="10"/>
  <c r="AB117" i="10" s="1"/>
  <c r="V12" i="10"/>
  <c r="W12" i="10" s="1"/>
  <c r="AB12" i="10" s="1"/>
  <c r="AA165" i="10"/>
  <c r="M1084" i="19"/>
  <c r="N1081" i="19" s="1"/>
  <c r="P1081" i="19" s="1"/>
  <c r="Q1081" i="19" s="1"/>
  <c r="AA100" i="10"/>
  <c r="K386" i="13"/>
  <c r="L386" i="13" s="1"/>
  <c r="N847" i="19"/>
  <c r="P847" i="19" s="1"/>
  <c r="Q847" i="19" s="1"/>
  <c r="AA284" i="10"/>
  <c r="Z45" i="10"/>
  <c r="V186" i="10"/>
  <c r="M894" i="19" s="1"/>
  <c r="Z329" i="10"/>
  <c r="V329" i="10"/>
  <c r="Z132" i="10"/>
  <c r="V132" i="10"/>
  <c r="R22" i="16" s="1"/>
  <c r="S22" i="16" s="1"/>
  <c r="K329" i="13"/>
  <c r="L329" i="13" s="1"/>
  <c r="AA348" i="10"/>
  <c r="Z12" i="10"/>
  <c r="AE154" i="10"/>
  <c r="J154" i="13"/>
  <c r="Q154" i="10"/>
  <c r="R154" i="10" s="1"/>
  <c r="S154" i="10" s="1"/>
  <c r="Y154" i="10"/>
  <c r="J148" i="6"/>
  <c r="K148" i="6" s="1"/>
  <c r="J409" i="13" s="1"/>
  <c r="AE318" i="10"/>
  <c r="M1379" i="19"/>
  <c r="N1377" i="19" s="1"/>
  <c r="P1377" i="19" s="1"/>
  <c r="Q1377" i="19" s="1"/>
  <c r="M1384" i="19"/>
  <c r="N1383" i="19" s="1"/>
  <c r="P1383" i="19" s="1"/>
  <c r="Q1383" i="19" s="1"/>
  <c r="AA14" i="10"/>
  <c r="Z31" i="10"/>
  <c r="M1419" i="19"/>
  <c r="N1415" i="19" s="1"/>
  <c r="W283" i="10"/>
  <c r="AB283" i="10" s="1"/>
  <c r="M1579" i="19"/>
  <c r="N1578" i="19" s="1"/>
  <c r="P1578" i="19" s="1"/>
  <c r="Q1578" i="19" s="1"/>
  <c r="AA90" i="10"/>
  <c r="J440" i="13"/>
  <c r="W90" i="10"/>
  <c r="AB90" i="10" s="1"/>
  <c r="J265" i="13"/>
  <c r="AA323" i="10"/>
  <c r="W14" i="10"/>
  <c r="AB14" i="10" s="1"/>
  <c r="M1179" i="19"/>
  <c r="N1175" i="19" s="1"/>
  <c r="N846" i="19"/>
  <c r="P846" i="19" s="1"/>
  <c r="Q846" i="19" s="1"/>
  <c r="V11" i="10"/>
  <c r="W11" i="10" s="1"/>
  <c r="AB11" i="10" s="1"/>
  <c r="V40" i="10"/>
  <c r="W40" i="10" s="1"/>
  <c r="AB40" i="10" s="1"/>
  <c r="Y265" i="10"/>
  <c r="AE20" i="10"/>
  <c r="K144" i="13"/>
  <c r="L144" i="13" s="1"/>
  <c r="W243" i="10"/>
  <c r="AB243" i="10" s="1"/>
  <c r="N848" i="19"/>
  <c r="P848" i="19" s="1"/>
  <c r="Q848" i="19" s="1"/>
  <c r="J70" i="6"/>
  <c r="K70" i="6" s="1"/>
  <c r="J383" i="13" s="1"/>
  <c r="W54" i="10"/>
  <c r="AB54" i="10" s="1"/>
  <c r="N448" i="19"/>
  <c r="P448" i="19" s="1"/>
  <c r="Q448" i="19" s="1"/>
  <c r="Y350" i="10"/>
  <c r="J322" i="6"/>
  <c r="K322" i="6" s="1"/>
  <c r="J434" i="13" s="1"/>
  <c r="J107" i="6"/>
  <c r="K107" i="6" s="1"/>
  <c r="J397" i="13" s="1"/>
  <c r="Q350" i="10"/>
  <c r="R350" i="10" s="1"/>
  <c r="S350" i="10" s="1"/>
  <c r="J350" i="13"/>
  <c r="M1469" i="19"/>
  <c r="N1467" i="19" s="1"/>
  <c r="P1467" i="19" s="1"/>
  <c r="Q1467" i="19" s="1"/>
  <c r="Z315" i="10"/>
  <c r="V315" i="10"/>
  <c r="K315" i="13"/>
  <c r="L315" i="13" s="1"/>
  <c r="K217" i="13"/>
  <c r="L217" i="13" s="1"/>
  <c r="K186" i="13"/>
  <c r="L186" i="13" s="1"/>
  <c r="K361" i="10"/>
  <c r="K332" i="13"/>
  <c r="L332" i="13" s="1"/>
  <c r="Z332" i="10"/>
  <c r="V332" i="10"/>
  <c r="M234" i="19"/>
  <c r="N233" i="19" s="1"/>
  <c r="P233" i="19" s="1"/>
  <c r="Q233" i="19" s="1"/>
  <c r="V162" i="10"/>
  <c r="W162" i="10" s="1"/>
  <c r="AB162" i="10" s="1"/>
  <c r="AA160" i="10"/>
  <c r="W58" i="10"/>
  <c r="AB58" i="10" s="1"/>
  <c r="V205" i="10"/>
  <c r="M989" i="19" s="1"/>
  <c r="K162" i="13"/>
  <c r="L162" i="13" s="1"/>
  <c r="Y101" i="10"/>
  <c r="M344" i="19"/>
  <c r="N342" i="19" s="1"/>
  <c r="P342" i="19" s="1"/>
  <c r="Q342" i="19" s="1"/>
  <c r="AA310" i="10"/>
  <c r="Z191" i="10"/>
  <c r="AE206" i="10"/>
  <c r="Y206" i="10"/>
  <c r="Q206" i="10"/>
  <c r="R206" i="10" s="1"/>
  <c r="S206" i="10" s="1"/>
  <c r="J206" i="13"/>
  <c r="AE95" i="10"/>
  <c r="Y130" i="10"/>
  <c r="Q130" i="10"/>
  <c r="R130" i="10" s="1"/>
  <c r="S130" i="10" s="1"/>
  <c r="J130" i="13"/>
  <c r="AE130" i="10"/>
  <c r="Y335" i="10"/>
  <c r="AE335" i="10"/>
  <c r="J335" i="13"/>
  <c r="J330" i="6"/>
  <c r="K330" i="6" s="1"/>
  <c r="Q335" i="10"/>
  <c r="R335" i="10" s="1"/>
  <c r="S335" i="10" s="1"/>
  <c r="V119" i="10"/>
  <c r="Z119" i="10"/>
  <c r="J95" i="13"/>
  <c r="Q95" i="10"/>
  <c r="R95" i="10" s="1"/>
  <c r="S95" i="10" s="1"/>
  <c r="K33" i="13"/>
  <c r="L33" i="13" s="1"/>
  <c r="K10" i="13"/>
  <c r="L10" i="13" s="1"/>
  <c r="K286" i="13"/>
  <c r="L286" i="13" s="1"/>
  <c r="K253" i="13"/>
  <c r="L253" i="13" s="1"/>
  <c r="K138" i="13"/>
  <c r="L138" i="13" s="1"/>
  <c r="K146" i="13"/>
  <c r="L146" i="13" s="1"/>
  <c r="K21" i="13"/>
  <c r="L21" i="13" s="1"/>
  <c r="K222" i="13"/>
  <c r="L222" i="13" s="1"/>
  <c r="K15" i="13"/>
  <c r="L15" i="13" s="1"/>
  <c r="K290" i="13"/>
  <c r="L290" i="13" s="1"/>
  <c r="K317" i="13"/>
  <c r="L317" i="13" s="1"/>
  <c r="K163" i="13"/>
  <c r="L163" i="13" s="1"/>
  <c r="K32" i="13"/>
  <c r="L32" i="13" s="1"/>
  <c r="K147" i="13"/>
  <c r="L147" i="13" s="1"/>
  <c r="K259" i="13"/>
  <c r="L259" i="13" s="1"/>
  <c r="K181" i="13"/>
  <c r="L181" i="13" s="1"/>
  <c r="K306" i="13"/>
  <c r="L306" i="13" s="1"/>
  <c r="K159" i="13"/>
  <c r="L159" i="13" s="1"/>
  <c r="K187" i="13"/>
  <c r="L187" i="13" s="1"/>
  <c r="K282" i="13"/>
  <c r="L282" i="13" s="1"/>
  <c r="K160" i="13"/>
  <c r="L160" i="13" s="1"/>
  <c r="J91" i="6"/>
  <c r="K91" i="6" s="1"/>
  <c r="J392" i="13" s="1"/>
  <c r="Q101" i="10"/>
  <c r="R101" i="10" s="1"/>
  <c r="S101" i="10" s="1"/>
  <c r="J233" i="6"/>
  <c r="K233" i="6" s="1"/>
  <c r="J101" i="13"/>
  <c r="K322" i="13"/>
  <c r="L322" i="13" s="1"/>
  <c r="K272" i="13"/>
  <c r="L272" i="13" s="1"/>
  <c r="K296" i="13"/>
  <c r="L296" i="13" s="1"/>
  <c r="K263" i="13"/>
  <c r="L263" i="13" s="1"/>
  <c r="K182" i="13"/>
  <c r="L182" i="13" s="1"/>
  <c r="K261" i="13"/>
  <c r="L261" i="13" s="1"/>
  <c r="K92" i="13"/>
  <c r="L92" i="13" s="1"/>
  <c r="K104" i="13"/>
  <c r="L104" i="13" s="1"/>
  <c r="K60" i="13"/>
  <c r="L60" i="13" s="1"/>
  <c r="K50" i="13"/>
  <c r="L50" i="13" s="1"/>
  <c r="K314" i="13"/>
  <c r="L314" i="13" s="1"/>
  <c r="K111" i="13"/>
  <c r="L111" i="13" s="1"/>
  <c r="K139" i="13"/>
  <c r="L139" i="13" s="1"/>
  <c r="K345" i="13"/>
  <c r="L345" i="13" s="1"/>
  <c r="K351" i="13"/>
  <c r="L351" i="13" s="1"/>
  <c r="K74" i="13"/>
  <c r="L74" i="13" s="1"/>
  <c r="K344" i="13"/>
  <c r="L344" i="13" s="1"/>
  <c r="K336" i="13"/>
  <c r="L336" i="13" s="1"/>
  <c r="K339" i="13"/>
  <c r="L339" i="13" s="1"/>
  <c r="K360" i="13"/>
  <c r="L360" i="13" s="1"/>
  <c r="K49" i="13"/>
  <c r="L49" i="13" s="1"/>
  <c r="K115" i="13"/>
  <c r="L115" i="13" s="1"/>
  <c r="K57" i="13"/>
  <c r="L57" i="13" s="1"/>
  <c r="K235" i="13"/>
  <c r="L235" i="13" s="1"/>
  <c r="K22" i="13"/>
  <c r="L22" i="13" s="1"/>
  <c r="K30" i="13"/>
  <c r="L30" i="13" s="1"/>
  <c r="K68" i="13"/>
  <c r="L68" i="13" s="1"/>
  <c r="K199" i="13"/>
  <c r="L199" i="13" s="1"/>
  <c r="K202" i="13"/>
  <c r="L202" i="13" s="1"/>
  <c r="K203" i="13"/>
  <c r="L203" i="13" s="1"/>
  <c r="K195" i="13"/>
  <c r="L195" i="13" s="1"/>
  <c r="K276" i="13"/>
  <c r="L276" i="13" s="1"/>
  <c r="K124" i="13"/>
  <c r="L124" i="13" s="1"/>
  <c r="K198" i="13"/>
  <c r="L198" i="13" s="1"/>
  <c r="K249" i="13"/>
  <c r="L249" i="13" s="1"/>
  <c r="K237" i="13"/>
  <c r="L237" i="13" s="1"/>
  <c r="K274" i="13"/>
  <c r="L274" i="13" s="1"/>
  <c r="K96" i="13"/>
  <c r="L96" i="13" s="1"/>
  <c r="K18" i="13"/>
  <c r="L18" i="13" s="1"/>
  <c r="K304" i="13"/>
  <c r="L304" i="13" s="1"/>
  <c r="K254" i="13"/>
  <c r="L254" i="13" s="1"/>
  <c r="K240" i="13"/>
  <c r="L240" i="13" s="1"/>
  <c r="K319" i="13"/>
  <c r="L319" i="13" s="1"/>
  <c r="K292" i="13"/>
  <c r="L292" i="13" s="1"/>
  <c r="K93" i="13"/>
  <c r="L93" i="13" s="1"/>
  <c r="K228" i="13"/>
  <c r="L228" i="13" s="1"/>
  <c r="K293" i="13"/>
  <c r="L293" i="13" s="1"/>
  <c r="K107" i="13"/>
  <c r="L107" i="13" s="1"/>
  <c r="K151" i="13"/>
  <c r="L151" i="13" s="1"/>
  <c r="K89" i="13"/>
  <c r="L89" i="13" s="1"/>
  <c r="AE279" i="10"/>
  <c r="J328" i="6"/>
  <c r="K328" i="6" s="1"/>
  <c r="Y279" i="10"/>
  <c r="J24" i="6"/>
  <c r="K24" i="6" s="1"/>
  <c r="J279" i="13"/>
  <c r="Q279" i="10"/>
  <c r="R279" i="10" s="1"/>
  <c r="S279" i="10" s="1"/>
  <c r="Q318" i="10"/>
  <c r="R318" i="10" s="1"/>
  <c r="S318" i="10" s="1"/>
  <c r="J355" i="6"/>
  <c r="K355" i="6" s="1"/>
  <c r="J318" i="13"/>
  <c r="J19" i="6"/>
  <c r="K19" i="6" s="1"/>
  <c r="J20" i="13"/>
  <c r="Q20" i="10"/>
  <c r="R20" i="10" s="1"/>
  <c r="S20" i="10" s="1"/>
  <c r="J296" i="6"/>
  <c r="K296" i="6" s="1"/>
  <c r="K267" i="13"/>
  <c r="L267" i="13" s="1"/>
  <c r="K142" i="13"/>
  <c r="L142" i="13" s="1"/>
  <c r="K121" i="13"/>
  <c r="L121" i="13" s="1"/>
  <c r="K84" i="13"/>
  <c r="L84" i="13" s="1"/>
  <c r="K201" i="13"/>
  <c r="L201" i="13" s="1"/>
  <c r="K52" i="13"/>
  <c r="L52" i="13" s="1"/>
  <c r="K123" i="13"/>
  <c r="L123" i="13" s="1"/>
  <c r="K238" i="13"/>
  <c r="L238" i="13" s="1"/>
  <c r="K229" i="13"/>
  <c r="L229" i="13" s="1"/>
  <c r="K153" i="13"/>
  <c r="L153" i="13" s="1"/>
  <c r="K313" i="13"/>
  <c r="L313" i="13" s="1"/>
  <c r="K91" i="13"/>
  <c r="L91" i="13" s="1"/>
  <c r="K342" i="13"/>
  <c r="L342" i="13" s="1"/>
  <c r="K190" i="13"/>
  <c r="L190" i="13" s="1"/>
  <c r="K287" i="13"/>
  <c r="L287" i="13" s="1"/>
  <c r="K180" i="13"/>
  <c r="L180" i="13" s="1"/>
  <c r="K116" i="13"/>
  <c r="L116" i="13" s="1"/>
  <c r="K48" i="13"/>
  <c r="L48" i="13" s="1"/>
  <c r="K248" i="13"/>
  <c r="L248" i="13" s="1"/>
  <c r="K157" i="13"/>
  <c r="L157" i="13" s="1"/>
  <c r="K85" i="13"/>
  <c r="L85" i="13" s="1"/>
  <c r="K288" i="13"/>
  <c r="L288" i="13" s="1"/>
  <c r="K260" i="13"/>
  <c r="L260" i="13" s="1"/>
  <c r="K204" i="13"/>
  <c r="L204" i="13" s="1"/>
  <c r="K309" i="13"/>
  <c r="L309" i="13" s="1"/>
  <c r="K353" i="13"/>
  <c r="L353" i="13" s="1"/>
  <c r="K364" i="13"/>
  <c r="L364" i="13" s="1"/>
  <c r="K431" i="13"/>
  <c r="L431" i="13" s="1"/>
  <c r="K387" i="13"/>
  <c r="L387" i="13" s="1"/>
  <c r="K429" i="13"/>
  <c r="L429" i="13" s="1"/>
  <c r="K371" i="13"/>
  <c r="L371" i="13" s="1"/>
  <c r="K388" i="13"/>
  <c r="L388" i="13" s="1"/>
  <c r="K418" i="13"/>
  <c r="L418" i="13" s="1"/>
  <c r="K378" i="13"/>
  <c r="L378" i="13" s="1"/>
  <c r="K407" i="13"/>
  <c r="L407" i="13" s="1"/>
  <c r="K402" i="13"/>
  <c r="L402" i="13" s="1"/>
  <c r="K417" i="13"/>
  <c r="L417" i="13" s="1"/>
  <c r="K362" i="13"/>
  <c r="L362" i="13" s="1"/>
  <c r="K369" i="13"/>
  <c r="L369" i="13" s="1"/>
  <c r="K376" i="13"/>
  <c r="L376" i="13" s="1"/>
  <c r="K430" i="13"/>
  <c r="L430" i="13" s="1"/>
  <c r="K415" i="13"/>
  <c r="L415" i="13" s="1"/>
  <c r="K384" i="13"/>
  <c r="L384" i="13" s="1"/>
  <c r="K374" i="13"/>
  <c r="L374" i="13" s="1"/>
  <c r="K363" i="13"/>
  <c r="L363" i="13" s="1"/>
  <c r="K413" i="13"/>
  <c r="L413" i="13" s="1"/>
  <c r="K366" i="13"/>
  <c r="L366" i="13" s="1"/>
  <c r="K416" i="13"/>
  <c r="L416" i="13" s="1"/>
  <c r="F337" i="15"/>
  <c r="M944" i="19"/>
  <c r="N940" i="19" s="1"/>
  <c r="M1304" i="19"/>
  <c r="N1303" i="19" s="1"/>
  <c r="P1303" i="19" s="1"/>
  <c r="Q1303" i="19" s="1"/>
  <c r="AA135" i="10"/>
  <c r="M1459" i="19"/>
  <c r="N1455" i="19" s="1"/>
  <c r="W17" i="10"/>
  <c r="AB17" i="10" s="1"/>
  <c r="W126" i="10"/>
  <c r="AB126" i="10" s="1"/>
  <c r="W225" i="10"/>
  <c r="AB225" i="10" s="1"/>
  <c r="W69" i="10"/>
  <c r="AB69" i="10" s="1"/>
  <c r="AA150" i="10"/>
  <c r="AA196" i="10"/>
  <c r="V115" i="10"/>
  <c r="AA115" i="10" s="1"/>
  <c r="AA220" i="10"/>
  <c r="M309" i="19"/>
  <c r="N307" i="19" s="1"/>
  <c r="AA299" i="10"/>
  <c r="AA17" i="10"/>
  <c r="W76" i="10"/>
  <c r="AB76" i="10" s="1"/>
  <c r="J437" i="13"/>
  <c r="J427" i="13"/>
  <c r="AA103" i="10"/>
  <c r="W160" i="10"/>
  <c r="AB160" i="10" s="1"/>
  <c r="W268" i="10"/>
  <c r="AB268" i="10" s="1"/>
  <c r="M1514" i="19"/>
  <c r="N1512" i="19" s="1"/>
  <c r="P1512" i="19" s="1"/>
  <c r="Q1512" i="19" s="1"/>
  <c r="M1349" i="19"/>
  <c r="N1347" i="19" s="1"/>
  <c r="P1347" i="19" s="1"/>
  <c r="Q1347" i="19" s="1"/>
  <c r="M479" i="19"/>
  <c r="N478" i="19" s="1"/>
  <c r="P478" i="19" s="1"/>
  <c r="Q478" i="19" s="1"/>
  <c r="AA266" i="10"/>
  <c r="W266" i="10"/>
  <c r="AB266" i="10" s="1"/>
  <c r="N447" i="19"/>
  <c r="P447" i="19" s="1"/>
  <c r="Q447" i="19" s="1"/>
  <c r="N446" i="19"/>
  <c r="P446" i="19" s="1"/>
  <c r="Q446" i="19" s="1"/>
  <c r="W135" i="10"/>
  <c r="AB135" i="10" s="1"/>
  <c r="M594" i="19"/>
  <c r="N590" i="19" s="1"/>
  <c r="M1064" i="19"/>
  <c r="N1060" i="19" s="1"/>
  <c r="M1089" i="19"/>
  <c r="N1088" i="19" s="1"/>
  <c r="P1088" i="19" s="1"/>
  <c r="Q1088" i="19" s="1"/>
  <c r="AA277" i="10"/>
  <c r="M254" i="19"/>
  <c r="N251" i="19" s="1"/>
  <c r="P251" i="19" s="1"/>
  <c r="Q251" i="19" s="1"/>
  <c r="W65" i="10"/>
  <c r="AB65" i="10" s="1"/>
  <c r="J439" i="13"/>
  <c r="AA137" i="10"/>
  <c r="W185" i="10"/>
  <c r="AB185" i="10" s="1"/>
  <c r="J385" i="13"/>
  <c r="AA257" i="10"/>
  <c r="AE357" i="10"/>
  <c r="C27" i="3"/>
  <c r="C28" i="3" s="1"/>
  <c r="W108" i="10"/>
  <c r="AB108" i="10" s="1"/>
  <c r="W356" i="10"/>
  <c r="AB356" i="10" s="1"/>
  <c r="AA302" i="10"/>
  <c r="AA356" i="10"/>
  <c r="AA346" i="10"/>
  <c r="W118" i="10"/>
  <c r="AB118" i="10" s="1"/>
  <c r="W125" i="10"/>
  <c r="AB125" i="10" s="1"/>
  <c r="M1369" i="19"/>
  <c r="N1368" i="19" s="1"/>
  <c r="P1368" i="19" s="1"/>
  <c r="Q1368" i="19" s="1"/>
  <c r="J412" i="13"/>
  <c r="Z282" i="10"/>
  <c r="M604" i="19"/>
  <c r="N602" i="19" s="1"/>
  <c r="P602" i="19" s="1"/>
  <c r="Q602" i="19" s="1"/>
  <c r="K364" i="10"/>
  <c r="K365" i="10" s="1"/>
  <c r="W128" i="10"/>
  <c r="AB128" i="10" s="1"/>
  <c r="W129" i="10"/>
  <c r="AB129" i="10" s="1"/>
  <c r="W34" i="10"/>
  <c r="AB34" i="10" s="1"/>
  <c r="M649" i="19"/>
  <c r="N646" i="19" s="1"/>
  <c r="P646" i="19" s="1"/>
  <c r="Q646" i="19" s="1"/>
  <c r="J375" i="13"/>
  <c r="V43" i="10"/>
  <c r="AA43" i="10" s="1"/>
  <c r="M769" i="19"/>
  <c r="N768" i="19" s="1"/>
  <c r="P768" i="19" s="1"/>
  <c r="Q768" i="19" s="1"/>
  <c r="V89" i="10"/>
  <c r="Z89" i="10"/>
  <c r="W161" i="10"/>
  <c r="AB161" i="10" s="1"/>
  <c r="M609" i="19"/>
  <c r="N605" i="19" s="1"/>
  <c r="M134" i="19"/>
  <c r="N133" i="19" s="1"/>
  <c r="P133" i="19" s="1"/>
  <c r="Q133" i="19" s="1"/>
  <c r="M349" i="19"/>
  <c r="N348" i="19" s="1"/>
  <c r="P348" i="19" s="1"/>
  <c r="Q348" i="19" s="1"/>
  <c r="AE257" i="10"/>
  <c r="AE110" i="10"/>
  <c r="J183" i="13"/>
  <c r="Q183" i="10"/>
  <c r="R183" i="10" s="1"/>
  <c r="S183" i="10" s="1"/>
  <c r="Y183" i="10"/>
  <c r="J185" i="6"/>
  <c r="K185" i="6" s="1"/>
  <c r="J420" i="13" s="1"/>
  <c r="J119" i="6"/>
  <c r="K119" i="6" s="1"/>
  <c r="J400" i="13" s="1"/>
  <c r="Q156" i="10"/>
  <c r="R156" i="10" s="1"/>
  <c r="S156" i="10" s="1"/>
  <c r="J292" i="6"/>
  <c r="K292" i="6" s="1"/>
  <c r="J432" i="13" s="1"/>
  <c r="J156" i="13"/>
  <c r="AE307" i="10"/>
  <c r="Q307" i="10"/>
  <c r="R307" i="10" s="1"/>
  <c r="S307" i="10" s="1"/>
  <c r="J101" i="6"/>
  <c r="K101" i="6" s="1"/>
  <c r="J394" i="13" s="1"/>
  <c r="J245" i="6"/>
  <c r="K245" i="6" s="1"/>
  <c r="J307" i="13"/>
  <c r="Y307" i="10"/>
  <c r="J29" i="13"/>
  <c r="Q29" i="10"/>
  <c r="R29" i="10" s="1"/>
  <c r="S29" i="10" s="1"/>
  <c r="J218" i="6"/>
  <c r="K218" i="6" s="1"/>
  <c r="Y29" i="10"/>
  <c r="AE29" i="10"/>
  <c r="J338" i="13"/>
  <c r="Q338" i="10"/>
  <c r="R338" i="10" s="1"/>
  <c r="S338" i="10" s="1"/>
  <c r="Y338" i="10"/>
  <c r="J415" i="6"/>
  <c r="K415" i="6" s="1"/>
  <c r="J445" i="13" s="1"/>
  <c r="AE338" i="10"/>
  <c r="J133" i="6"/>
  <c r="K133" i="6" s="1"/>
  <c r="J405" i="13" s="1"/>
  <c r="J75" i="13"/>
  <c r="J249" i="6"/>
  <c r="K249" i="6" s="1"/>
  <c r="J111" i="6"/>
  <c r="K111" i="6" s="1"/>
  <c r="Q75" i="10"/>
  <c r="R75" i="10" s="1"/>
  <c r="S75" i="10" s="1"/>
  <c r="W208" i="10"/>
  <c r="AB208" i="10" s="1"/>
  <c r="V204" i="10"/>
  <c r="M984" i="19" s="1"/>
  <c r="Z187" i="10"/>
  <c r="V187" i="10"/>
  <c r="AA187" i="10" s="1"/>
  <c r="W51" i="10"/>
  <c r="AB51" i="10" s="1"/>
  <c r="M1004" i="19"/>
  <c r="N1000" i="19" s="1"/>
  <c r="W291" i="10"/>
  <c r="AB291" i="10" s="1"/>
  <c r="AD364" i="10"/>
  <c r="M1694" i="19"/>
  <c r="N1693" i="19" s="1"/>
  <c r="P1693" i="19" s="1"/>
  <c r="Q1693" i="19" s="1"/>
  <c r="M1679" i="19"/>
  <c r="W343" i="10"/>
  <c r="AB343" i="10" s="1"/>
  <c r="U361" i="10"/>
  <c r="W11" i="3" s="1"/>
  <c r="AE334" i="10"/>
  <c r="M1669" i="19"/>
  <c r="W341" i="10"/>
  <c r="AB341" i="10" s="1"/>
  <c r="AA125" i="10"/>
  <c r="V159" i="10"/>
  <c r="Z159" i="10"/>
  <c r="M219" i="19"/>
  <c r="N218" i="19" s="1"/>
  <c r="P218" i="19" s="1"/>
  <c r="Q218" i="19" s="1"/>
  <c r="AD363" i="10"/>
  <c r="W106" i="10"/>
  <c r="AB106" i="10" s="1"/>
  <c r="W348" i="10"/>
  <c r="AB348" i="10" s="1"/>
  <c r="AD365" i="10"/>
  <c r="W301" i="10"/>
  <c r="AB301" i="10" s="1"/>
  <c r="M1489" i="19"/>
  <c r="N1487" i="19" s="1"/>
  <c r="P1487" i="19" s="1"/>
  <c r="Q1487" i="19" s="1"/>
  <c r="M909" i="19"/>
  <c r="N908" i="19" s="1"/>
  <c r="P908" i="19" s="1"/>
  <c r="Q908" i="19" s="1"/>
  <c r="AA77" i="10"/>
  <c r="V151" i="10"/>
  <c r="Z151" i="10"/>
  <c r="Z49" i="10"/>
  <c r="V49" i="10"/>
  <c r="T361" i="10"/>
  <c r="W10" i="3" s="1"/>
  <c r="J441" i="13"/>
  <c r="M494" i="19"/>
  <c r="N492" i="19" s="1"/>
  <c r="P492" i="19" s="1"/>
  <c r="Q492" i="19" s="1"/>
  <c r="M289" i="19"/>
  <c r="N287" i="19" s="1"/>
  <c r="P287" i="19" s="1"/>
  <c r="Q287" i="19" s="1"/>
  <c r="J404" i="13"/>
  <c r="T364" i="10"/>
  <c r="T365" i="10" s="1"/>
  <c r="J368" i="13"/>
  <c r="W189" i="10"/>
  <c r="AB189" i="10" s="1"/>
  <c r="I337" i="15"/>
  <c r="J143" i="6"/>
  <c r="K143" i="6" s="1"/>
  <c r="J408" i="13" s="1"/>
  <c r="J121" i="6"/>
  <c r="K121" i="6" s="1"/>
  <c r="J401" i="13" s="1"/>
  <c r="J215" i="13"/>
  <c r="J258" i="6"/>
  <c r="K258" i="6" s="1"/>
  <c r="Q215" i="10"/>
  <c r="R215" i="10" s="1"/>
  <c r="S215" i="10" s="1"/>
  <c r="J251" i="13"/>
  <c r="J226" i="6"/>
  <c r="K226" i="6" s="1"/>
  <c r="Q251" i="10"/>
  <c r="R251" i="10" s="1"/>
  <c r="S251" i="10" s="1"/>
  <c r="J389" i="6"/>
  <c r="K389" i="6" s="1"/>
  <c r="J110" i="13"/>
  <c r="J445" i="6"/>
  <c r="K445" i="6" s="1"/>
  <c r="J447" i="13" s="1"/>
  <c r="Q110" i="10"/>
  <c r="R110" i="10" s="1"/>
  <c r="S110" i="10" s="1"/>
  <c r="AE269" i="10"/>
  <c r="J58" i="6"/>
  <c r="K58" i="6" s="1"/>
  <c r="J380" i="13" s="1"/>
  <c r="Y269" i="10"/>
  <c r="J269" i="13"/>
  <c r="Q269" i="10"/>
  <c r="R269" i="10" s="1"/>
  <c r="S269" i="10" s="1"/>
  <c r="Y321" i="10"/>
  <c r="AE321" i="10"/>
  <c r="Q321" i="10"/>
  <c r="R321" i="10" s="1"/>
  <c r="S321" i="10" s="1"/>
  <c r="J137" i="6"/>
  <c r="K137" i="6" s="1"/>
  <c r="J406" i="13" s="1"/>
  <c r="J263" i="6"/>
  <c r="K263" i="6" s="1"/>
  <c r="J321" i="13"/>
  <c r="V353" i="10"/>
  <c r="AA353" i="10" s="1"/>
  <c r="Z353" i="10"/>
  <c r="Y215" i="10"/>
  <c r="Y325" i="10"/>
  <c r="J388" i="6"/>
  <c r="K388" i="6" s="1"/>
  <c r="J442" i="13" s="1"/>
  <c r="Q325" i="10"/>
  <c r="R325" i="10" s="1"/>
  <c r="S325" i="10" s="1"/>
  <c r="AE325" i="10"/>
  <c r="J325" i="13"/>
  <c r="V260" i="10"/>
  <c r="R24" i="16" s="1"/>
  <c r="S24" i="16" s="1"/>
  <c r="Z260" i="10"/>
  <c r="J334" i="6"/>
  <c r="K334" i="6" s="1"/>
  <c r="Q226" i="10"/>
  <c r="R226" i="10" s="1"/>
  <c r="S226" i="10" s="1"/>
  <c r="J226" i="13"/>
  <c r="Z107" i="10"/>
  <c r="V107" i="10"/>
  <c r="J423" i="13"/>
  <c r="Y226" i="10"/>
  <c r="Z293" i="10"/>
  <c r="V293" i="10"/>
  <c r="AA293" i="10" s="1"/>
  <c r="J20" i="6"/>
  <c r="K20" i="6" s="1"/>
  <c r="J337" i="13"/>
  <c r="J312" i="6"/>
  <c r="K312" i="6" s="1"/>
  <c r="Q337" i="10"/>
  <c r="R337" i="10" s="1"/>
  <c r="S337" i="10" s="1"/>
  <c r="V309" i="10"/>
  <c r="Z309" i="10"/>
  <c r="AE312" i="10"/>
  <c r="J103" i="6"/>
  <c r="K103" i="6" s="1"/>
  <c r="J395" i="13" s="1"/>
  <c r="Y312" i="10"/>
  <c r="J200" i="6"/>
  <c r="K200" i="6" s="1"/>
  <c r="J421" i="13" s="1"/>
  <c r="AA312" i="10"/>
  <c r="J312" i="13"/>
  <c r="Q312" i="10"/>
  <c r="R312" i="10" s="1"/>
  <c r="S312" i="10" s="1"/>
  <c r="AE251" i="10"/>
  <c r="AE226" i="10"/>
  <c r="Y337" i="10"/>
  <c r="Q334" i="10"/>
  <c r="R334" i="10" s="1"/>
  <c r="S334" i="10" s="1"/>
  <c r="J334" i="13"/>
  <c r="J331" i="13"/>
  <c r="Q331" i="10"/>
  <c r="R331" i="10" s="1"/>
  <c r="S331" i="10" s="1"/>
  <c r="J257" i="13"/>
  <c r="C26" i="8" s="1"/>
  <c r="Q257" i="10"/>
  <c r="R257" i="10" s="1"/>
  <c r="S257" i="10" s="1"/>
  <c r="J336" i="6"/>
  <c r="K336" i="6" s="1"/>
  <c r="Q357" i="10"/>
  <c r="R357" i="10" s="1"/>
  <c r="S357" i="10" s="1"/>
  <c r="J357" i="13"/>
  <c r="Z204" i="10"/>
  <c r="Y331" i="10"/>
  <c r="AE215" i="10"/>
  <c r="J428" i="13"/>
  <c r="W114" i="10"/>
  <c r="AB114" i="10" s="1"/>
  <c r="M884" i="19"/>
  <c r="W184" i="10"/>
  <c r="AB184" i="10" s="1"/>
  <c r="AA184" i="10"/>
  <c r="M534" i="19"/>
  <c r="N530" i="19" s="1"/>
  <c r="J422" i="13"/>
  <c r="V288" i="10"/>
  <c r="Z288" i="10"/>
  <c r="V228" i="10"/>
  <c r="R23" i="16" s="1"/>
  <c r="S23" i="16" s="1"/>
  <c r="Z228" i="10"/>
  <c r="Z248" i="10"/>
  <c r="V248" i="10"/>
  <c r="V157" i="10"/>
  <c r="Z157" i="10"/>
  <c r="W176" i="10"/>
  <c r="AB176" i="10" s="1"/>
  <c r="M844" i="19"/>
  <c r="AA176" i="10"/>
  <c r="V93" i="10"/>
  <c r="Z93" i="10"/>
  <c r="N1290" i="19"/>
  <c r="N1293" i="19"/>
  <c r="P1293" i="19" s="1"/>
  <c r="Q1293" i="19" s="1"/>
  <c r="N1292" i="19"/>
  <c r="P1292" i="19" s="1"/>
  <c r="Q1292" i="19" s="1"/>
  <c r="N1291" i="19"/>
  <c r="P1291" i="19" s="1"/>
  <c r="Q1291" i="19" s="1"/>
  <c r="V319" i="10"/>
  <c r="Z319" i="10"/>
  <c r="W31" i="10"/>
  <c r="AB31" i="10" s="1"/>
  <c r="M119" i="19"/>
  <c r="Z292" i="10"/>
  <c r="V292" i="10"/>
  <c r="V181" i="10"/>
  <c r="Z181" i="10"/>
  <c r="Z85" i="10"/>
  <c r="V85" i="10"/>
  <c r="V360" i="10"/>
  <c r="Z360" i="10"/>
  <c r="M1189" i="19"/>
  <c r="W245" i="10"/>
  <c r="AB245" i="10" s="1"/>
  <c r="AA245" i="10"/>
  <c r="W149" i="10"/>
  <c r="AB149" i="10" s="1"/>
  <c r="M709" i="19"/>
  <c r="AA149" i="10"/>
  <c r="W194" i="10"/>
  <c r="AB194" i="10" s="1"/>
  <c r="AA194" i="10"/>
  <c r="M934" i="19"/>
  <c r="V48" i="10"/>
  <c r="Z48" i="10"/>
  <c r="V339" i="10"/>
  <c r="Z339" i="10"/>
  <c r="M1604" i="19"/>
  <c r="W328" i="10"/>
  <c r="AB328" i="10" s="1"/>
  <c r="AA328" i="10"/>
  <c r="Z306" i="10"/>
  <c r="V306" i="10"/>
  <c r="M1159" i="19"/>
  <c r="W239" i="10"/>
  <c r="AB239" i="10" s="1"/>
  <c r="V163" i="10"/>
  <c r="AA163" i="10" s="1"/>
  <c r="Z163" i="10"/>
  <c r="Z32" i="10"/>
  <c r="V32" i="10"/>
  <c r="V274" i="10"/>
  <c r="Z274" i="10"/>
  <c r="W191" i="10"/>
  <c r="AB191" i="10" s="1"/>
  <c r="M919" i="19"/>
  <c r="AA191" i="10"/>
  <c r="V74" i="10"/>
  <c r="Z74" i="10"/>
  <c r="M1014" i="19"/>
  <c r="W210" i="10"/>
  <c r="AB210" i="10" s="1"/>
  <c r="V254" i="10"/>
  <c r="Z254" i="10"/>
  <c r="V287" i="10"/>
  <c r="Z287" i="10"/>
  <c r="M684" i="19"/>
  <c r="W144" i="10"/>
  <c r="AB144" i="10" s="1"/>
  <c r="AA144" i="10"/>
  <c r="V96" i="10"/>
  <c r="Z96" i="10"/>
  <c r="V28" i="10"/>
  <c r="Z28" i="10"/>
  <c r="M1284" i="19"/>
  <c r="W264" i="10"/>
  <c r="AB264" i="10" s="1"/>
  <c r="AA170" i="10"/>
  <c r="W170" i="10"/>
  <c r="AB170" i="10" s="1"/>
  <c r="M814" i="19"/>
  <c r="N588" i="19"/>
  <c r="P588" i="19" s="1"/>
  <c r="Q588" i="19" s="1"/>
  <c r="N585" i="19"/>
  <c r="N587" i="19"/>
  <c r="P587" i="19" s="1"/>
  <c r="Q587" i="19" s="1"/>
  <c r="N586" i="19"/>
  <c r="M189" i="19"/>
  <c r="W45" i="10"/>
  <c r="AB45" i="10" s="1"/>
  <c r="AA45" i="10"/>
  <c r="AA200" i="10"/>
  <c r="M964" i="19"/>
  <c r="W200" i="10"/>
  <c r="AB200" i="10" s="1"/>
  <c r="M524" i="19"/>
  <c r="W112" i="10"/>
  <c r="AB112" i="10" s="1"/>
  <c r="M1354" i="19"/>
  <c r="W278" i="10"/>
  <c r="AB278" i="10" s="1"/>
  <c r="AA278" i="10"/>
  <c r="M324" i="19"/>
  <c r="W72" i="10"/>
  <c r="AB72" i="10" s="1"/>
  <c r="V139" i="10"/>
  <c r="Z139" i="10"/>
  <c r="W280" i="10"/>
  <c r="AB280" i="10" s="1"/>
  <c r="M1364" i="19"/>
  <c r="V18" i="10"/>
  <c r="Z18" i="10"/>
  <c r="M199" i="19"/>
  <c r="W47" i="10"/>
  <c r="AB47" i="10" s="1"/>
  <c r="AA47" i="10"/>
  <c r="AA26" i="10"/>
  <c r="M94" i="19"/>
  <c r="W26" i="10"/>
  <c r="AB26" i="10" s="1"/>
  <c r="Z351" i="10"/>
  <c r="V351" i="10"/>
  <c r="W192" i="10"/>
  <c r="AB192" i="10" s="1"/>
  <c r="M924" i="19"/>
  <c r="AA192" i="10"/>
  <c r="Z344" i="10"/>
  <c r="V344" i="10"/>
  <c r="M1239" i="19"/>
  <c r="W255" i="10"/>
  <c r="AB255" i="10" s="1"/>
  <c r="AA255" i="10"/>
  <c r="V116" i="10"/>
  <c r="Z116" i="10"/>
  <c r="Z240" i="10"/>
  <c r="V240" i="10"/>
  <c r="Z317" i="10"/>
  <c r="V317" i="10"/>
  <c r="M644" i="19"/>
  <c r="W136" i="10"/>
  <c r="AB136" i="10" s="1"/>
  <c r="AA136" i="10"/>
  <c r="Z345" i="10"/>
  <c r="V345" i="10"/>
  <c r="W326" i="10"/>
  <c r="AB326" i="10" s="1"/>
  <c r="M1594" i="19"/>
  <c r="AA326" i="10"/>
  <c r="Z147" i="10"/>
  <c r="V147" i="10"/>
  <c r="V180" i="10"/>
  <c r="Z180" i="10"/>
  <c r="V304" i="10"/>
  <c r="Z304" i="10"/>
  <c r="M279" i="19"/>
  <c r="W63" i="10"/>
  <c r="AB63" i="10" s="1"/>
  <c r="AA63" i="10"/>
  <c r="W197" i="10"/>
  <c r="AB197" i="10" s="1"/>
  <c r="M949" i="19"/>
  <c r="V336" i="10"/>
  <c r="Z336" i="10"/>
  <c r="V259" i="10"/>
  <c r="Z259" i="10"/>
  <c r="J446" i="13"/>
  <c r="V286" i="10"/>
  <c r="Z286" i="10"/>
  <c r="W105" i="10"/>
  <c r="AB105" i="10" s="1"/>
  <c r="M489" i="19"/>
  <c r="AA105" i="10"/>
  <c r="N1433" i="19"/>
  <c r="P1433" i="19" s="1"/>
  <c r="Q1433" i="19" s="1"/>
  <c r="N1431" i="19"/>
  <c r="P1431" i="19" s="1"/>
  <c r="Q1431" i="19" s="1"/>
  <c r="N1430" i="19"/>
  <c r="N1432" i="19"/>
  <c r="P1432" i="19" s="1"/>
  <c r="Q1432" i="19" s="1"/>
  <c r="R10" i="10"/>
  <c r="V267" i="10"/>
  <c r="Z267" i="10"/>
  <c r="V142" i="10"/>
  <c r="Z142" i="10"/>
  <c r="W70" i="10"/>
  <c r="AB70" i="10" s="1"/>
  <c r="M314" i="19"/>
  <c r="AA70" i="10"/>
  <c r="N1742" i="19"/>
  <c r="P1742" i="19" s="1"/>
  <c r="Q1742" i="19" s="1"/>
  <c r="N1740" i="19"/>
  <c r="N1741" i="19"/>
  <c r="P1741" i="19" s="1"/>
  <c r="Q1741" i="19" s="1"/>
  <c r="N1743" i="19"/>
  <c r="P1743" i="19" s="1"/>
  <c r="Q1743" i="19" s="1"/>
  <c r="W175" i="10"/>
  <c r="AB175" i="10" s="1"/>
  <c r="M839" i="19"/>
  <c r="AA175" i="10"/>
  <c r="W24" i="10"/>
  <c r="AB24" i="10" s="1"/>
  <c r="M84" i="19"/>
  <c r="P751" i="19"/>
  <c r="Q751" i="19" s="1"/>
  <c r="M599" i="19"/>
  <c r="W127" i="10"/>
  <c r="AB127" i="10" s="1"/>
  <c r="AA127" i="10"/>
  <c r="N47" i="19"/>
  <c r="P47" i="19" s="1"/>
  <c r="Q47" i="19" s="1"/>
  <c r="N48" i="19"/>
  <c r="P48" i="19" s="1"/>
  <c r="Q48" i="19" s="1"/>
  <c r="N45" i="19"/>
  <c r="N46" i="19"/>
  <c r="V21" i="10"/>
  <c r="Z21" i="10"/>
  <c r="V222" i="10"/>
  <c r="Z222" i="10"/>
  <c r="V33" i="10"/>
  <c r="Z33" i="10"/>
  <c r="V314" i="10"/>
  <c r="Z314" i="10"/>
  <c r="V91" i="10"/>
  <c r="Z91" i="10"/>
  <c r="W145" i="10"/>
  <c r="AB145" i="10" s="1"/>
  <c r="M689" i="19"/>
  <c r="AA145" i="10"/>
  <c r="W82" i="10"/>
  <c r="AB82" i="10" s="1"/>
  <c r="M374" i="19"/>
  <c r="AA82" i="10"/>
  <c r="M1224" i="19"/>
  <c r="W252" i="10"/>
  <c r="AB252" i="10" s="1"/>
  <c r="AA252" i="10"/>
  <c r="V22" i="10"/>
  <c r="Z22" i="10"/>
  <c r="N257" i="19"/>
  <c r="P257" i="19" s="1"/>
  <c r="Q257" i="19" s="1"/>
  <c r="N256" i="19"/>
  <c r="P256" i="19" s="1"/>
  <c r="Q256" i="19" s="1"/>
  <c r="N255" i="19"/>
  <c r="N258" i="19"/>
  <c r="P258" i="19" s="1"/>
  <c r="Q258" i="19" s="1"/>
  <c r="W83" i="10"/>
  <c r="AB83" i="10" s="1"/>
  <c r="M379" i="19"/>
  <c r="AA83" i="10"/>
  <c r="M1389" i="19"/>
  <c r="W285" i="10"/>
  <c r="AB285" i="10" s="1"/>
  <c r="AA285" i="10"/>
  <c r="P845" i="19"/>
  <c r="G177" i="13"/>
  <c r="G97" i="13"/>
  <c r="P445" i="19"/>
  <c r="N1702" i="19"/>
  <c r="P1702" i="19" s="1"/>
  <c r="Q1702" i="19" s="1"/>
  <c r="N1703" i="19"/>
  <c r="P1703" i="19" s="1"/>
  <c r="Q1703" i="19" s="1"/>
  <c r="N1700" i="19"/>
  <c r="N1701" i="19"/>
  <c r="P1701" i="19" s="1"/>
  <c r="Q1701" i="19" s="1"/>
  <c r="N821" i="19"/>
  <c r="P821" i="19" s="1"/>
  <c r="Q821" i="19" s="1"/>
  <c r="N822" i="19"/>
  <c r="P822" i="19" s="1"/>
  <c r="Q822" i="19" s="1"/>
  <c r="N823" i="19"/>
  <c r="P823" i="19" s="1"/>
  <c r="Q823" i="19" s="1"/>
  <c r="N820" i="19"/>
  <c r="W86" i="10"/>
  <c r="AB86" i="10" s="1"/>
  <c r="M394" i="19"/>
  <c r="AA86" i="10"/>
  <c r="N1043" i="19"/>
  <c r="P1043" i="19" s="1"/>
  <c r="Q1043" i="19" s="1"/>
  <c r="N1041" i="19"/>
  <c r="P1041" i="19" s="1"/>
  <c r="Q1041" i="19" s="1"/>
  <c r="N1040" i="19"/>
  <c r="N1042" i="19"/>
  <c r="P1042" i="19" s="1"/>
  <c r="Q1042" i="19" s="1"/>
  <c r="N32" i="19"/>
  <c r="P32" i="19" s="1"/>
  <c r="Q32" i="19" s="1"/>
  <c r="N33" i="19"/>
  <c r="P33" i="19" s="1"/>
  <c r="Q33" i="19" s="1"/>
  <c r="N31" i="19"/>
  <c r="P31" i="19" s="1"/>
  <c r="Q31" i="19" s="1"/>
  <c r="N30" i="19"/>
  <c r="V57" i="10"/>
  <c r="Z57" i="10"/>
  <c r="W308" i="10"/>
  <c r="AB308" i="10" s="1"/>
  <c r="M1504" i="19"/>
  <c r="N635" i="19"/>
  <c r="N638" i="19"/>
  <c r="P638" i="19" s="1"/>
  <c r="Q638" i="19" s="1"/>
  <c r="N636" i="19"/>
  <c r="P636" i="19" s="1"/>
  <c r="Q636" i="19" s="1"/>
  <c r="N637" i="19"/>
  <c r="P637" i="19" s="1"/>
  <c r="Q637" i="19" s="1"/>
  <c r="W209" i="10"/>
  <c r="AB209" i="10" s="1"/>
  <c r="M1009" i="19"/>
  <c r="W113" i="10"/>
  <c r="AB113" i="10" s="1"/>
  <c r="M529" i="19"/>
  <c r="V235" i="10"/>
  <c r="Z235" i="10"/>
  <c r="N763" i="19"/>
  <c r="P763" i="19" s="1"/>
  <c r="Q763" i="19" s="1"/>
  <c r="N762" i="19"/>
  <c r="P762" i="19" s="1"/>
  <c r="Q762" i="19" s="1"/>
  <c r="N761" i="19"/>
  <c r="P761" i="19" s="1"/>
  <c r="Q761" i="19" s="1"/>
  <c r="N760" i="19"/>
  <c r="V84" i="10"/>
  <c r="Z84" i="10"/>
  <c r="V253" i="10"/>
  <c r="Z253" i="10"/>
  <c r="V138" i="10"/>
  <c r="AA138" i="10" s="1"/>
  <c r="Z138" i="10"/>
  <c r="M1374" i="19"/>
  <c r="W282" i="10"/>
  <c r="AB282" i="10" s="1"/>
  <c r="AA282" i="10"/>
  <c r="N856" i="19"/>
  <c r="P856" i="19" s="1"/>
  <c r="Q856" i="19" s="1"/>
  <c r="N855" i="19"/>
  <c r="N857" i="19"/>
  <c r="P857" i="19" s="1"/>
  <c r="Q857" i="19" s="1"/>
  <c r="N858" i="19"/>
  <c r="P858" i="19" s="1"/>
  <c r="Q858" i="19" s="1"/>
  <c r="M329" i="19"/>
  <c r="W73" i="10"/>
  <c r="AB73" i="10" s="1"/>
  <c r="AA73" i="10"/>
  <c r="W297" i="10"/>
  <c r="AB297" i="10" s="1"/>
  <c r="M1449" i="19"/>
  <c r="AA297" i="10"/>
  <c r="W152" i="10"/>
  <c r="AB152" i="10" s="1"/>
  <c r="M724" i="19"/>
  <c r="AA152" i="10"/>
  <c r="W242" i="10"/>
  <c r="AB242" i="10" s="1"/>
  <c r="M1174" i="19"/>
  <c r="AA242" i="10"/>
  <c r="W212" i="10"/>
  <c r="AB212" i="10" s="1"/>
  <c r="M1024" i="19"/>
  <c r="AA212" i="10"/>
  <c r="V296" i="10"/>
  <c r="Z296" i="10"/>
  <c r="N1025" i="19"/>
  <c r="N1028" i="19"/>
  <c r="P1028" i="19" s="1"/>
  <c r="Q1028" i="19" s="1"/>
  <c r="N1026" i="19"/>
  <c r="P1026" i="19" s="1"/>
  <c r="Q1026" i="19" s="1"/>
  <c r="N1027" i="19"/>
  <c r="P1027" i="19" s="1"/>
  <c r="Q1027" i="19" s="1"/>
  <c r="N700" i="19"/>
  <c r="N703" i="19"/>
  <c r="P703" i="19" s="1"/>
  <c r="Q703" i="19" s="1"/>
  <c r="N702" i="19"/>
  <c r="P702" i="19" s="1"/>
  <c r="Q702" i="19" s="1"/>
  <c r="N701" i="19"/>
  <c r="P701" i="19" s="1"/>
  <c r="Q701" i="19" s="1"/>
  <c r="N666" i="19"/>
  <c r="P666" i="19" s="1"/>
  <c r="Q666" i="19" s="1"/>
  <c r="N665" i="19"/>
  <c r="N667" i="19"/>
  <c r="P667" i="19" s="1"/>
  <c r="Q667" i="19" s="1"/>
  <c r="N668" i="19"/>
  <c r="P668" i="19" s="1"/>
  <c r="Q668" i="19" s="1"/>
  <c r="V238" i="10"/>
  <c r="Z238" i="10"/>
  <c r="V261" i="10"/>
  <c r="Z261" i="10"/>
  <c r="W67" i="10"/>
  <c r="AB67" i="10" s="1"/>
  <c r="M299" i="19"/>
  <c r="AA67" i="10"/>
  <c r="N396" i="19"/>
  <c r="N398" i="19"/>
  <c r="P398" i="19" s="1"/>
  <c r="Q398" i="19" s="1"/>
  <c r="N395" i="19"/>
  <c r="N397" i="19"/>
  <c r="P397" i="19" s="1"/>
  <c r="Q397" i="19" s="1"/>
  <c r="W79" i="10"/>
  <c r="AB79" i="10" s="1"/>
  <c r="M359" i="19"/>
  <c r="AA79" i="10"/>
  <c r="W61" i="10"/>
  <c r="AB61" i="10" s="1"/>
  <c r="M269" i="19"/>
  <c r="AA61" i="10"/>
  <c r="V313" i="10"/>
  <c r="Z313" i="10"/>
  <c r="V249" i="10"/>
  <c r="Z249" i="10"/>
  <c r="N156" i="19"/>
  <c r="N157" i="19"/>
  <c r="P157" i="19" s="1"/>
  <c r="Q157" i="19" s="1"/>
  <c r="N155" i="19"/>
  <c r="N158" i="19"/>
  <c r="P158" i="19" s="1"/>
  <c r="Q158" i="19" s="1"/>
  <c r="V60" i="10"/>
  <c r="Z60" i="10"/>
  <c r="V50" i="10"/>
  <c r="Z50" i="10"/>
  <c r="V190" i="10"/>
  <c r="Z190" i="10"/>
  <c r="V111" i="10"/>
  <c r="Z111" i="10"/>
  <c r="N148" i="19"/>
  <c r="P148" i="19" s="1"/>
  <c r="Q148" i="19" s="1"/>
  <c r="N146" i="19"/>
  <c r="N147" i="19"/>
  <c r="N145" i="19"/>
  <c r="V237" i="10"/>
  <c r="Z237" i="10"/>
  <c r="N403" i="19"/>
  <c r="P403" i="19" s="1"/>
  <c r="Q403" i="19" s="1"/>
  <c r="N400" i="19"/>
  <c r="N402" i="19"/>
  <c r="P402" i="19" s="1"/>
  <c r="Q402" i="19" s="1"/>
  <c r="N401" i="19"/>
  <c r="W349" i="10"/>
  <c r="AB349" i="10" s="1"/>
  <c r="M1709" i="19"/>
  <c r="AA349" i="10"/>
  <c r="V121" i="10"/>
  <c r="Z121" i="10"/>
  <c r="V146" i="10"/>
  <c r="Z146" i="10"/>
  <c r="W23" i="10"/>
  <c r="AB23" i="10" s="1"/>
  <c r="M79" i="19"/>
  <c r="AA23" i="10"/>
  <c r="W256" i="10"/>
  <c r="AB256" i="10" s="1"/>
  <c r="M1244" i="19"/>
  <c r="M1254" i="19"/>
  <c r="W258" i="10"/>
  <c r="AB258" i="10" s="1"/>
  <c r="AA258" i="10"/>
  <c r="N1515" i="19"/>
  <c r="N1518" i="19"/>
  <c r="P1518" i="19" s="1"/>
  <c r="Q1518" i="19" s="1"/>
  <c r="N1517" i="19"/>
  <c r="P1517" i="19" s="1"/>
  <c r="Q1517" i="19" s="1"/>
  <c r="N1516" i="19"/>
  <c r="P1516" i="19" s="1"/>
  <c r="Q1516" i="19" s="1"/>
  <c r="W19" i="10"/>
  <c r="AB19" i="10" s="1"/>
  <c r="M59" i="19"/>
  <c r="N318" i="19"/>
  <c r="P318" i="19" s="1"/>
  <c r="Q318" i="19" s="1"/>
  <c r="N315" i="19"/>
  <c r="N317" i="19"/>
  <c r="N316" i="19"/>
  <c r="V272" i="10"/>
  <c r="Z272" i="10"/>
  <c r="V68" i="10"/>
  <c r="Z68" i="10"/>
  <c r="V202" i="10"/>
  <c r="Z202" i="10"/>
  <c r="V263" i="10"/>
  <c r="Z263" i="10"/>
  <c r="N888" i="19"/>
  <c r="P888" i="19" s="1"/>
  <c r="Q888" i="19" s="1"/>
  <c r="N887" i="19"/>
  <c r="P887" i="19" s="1"/>
  <c r="Q887" i="19" s="1"/>
  <c r="N885" i="19"/>
  <c r="N886" i="19"/>
  <c r="P886" i="19" s="1"/>
  <c r="Q886" i="19" s="1"/>
  <c r="N712" i="19"/>
  <c r="P712" i="19" s="1"/>
  <c r="Q712" i="19" s="1"/>
  <c r="N713" i="19"/>
  <c r="P713" i="19" s="1"/>
  <c r="Q713" i="19" s="1"/>
  <c r="N711" i="19"/>
  <c r="P711" i="19" s="1"/>
  <c r="Q711" i="19" s="1"/>
  <c r="N710" i="19"/>
  <c r="V201" i="10"/>
  <c r="Z201" i="10"/>
  <c r="V15" i="10"/>
  <c r="Z15" i="10"/>
  <c r="V195" i="10"/>
  <c r="Z195" i="10"/>
  <c r="W232" i="10"/>
  <c r="AB232" i="10" s="1"/>
  <c r="M1124" i="19"/>
  <c r="AA232" i="10"/>
  <c r="M1054" i="19"/>
  <c r="W218" i="10"/>
  <c r="AB218" i="10" s="1"/>
  <c r="AA218" i="10"/>
  <c r="W207" i="10"/>
  <c r="AB207" i="10" s="1"/>
  <c r="M999" i="19"/>
  <c r="AA207" i="10"/>
  <c r="N833" i="19"/>
  <c r="P833" i="19" s="1"/>
  <c r="Q833" i="19" s="1"/>
  <c r="N832" i="19"/>
  <c r="P832" i="19" s="1"/>
  <c r="Q832" i="19" s="1"/>
  <c r="N830" i="19"/>
  <c r="N831" i="19"/>
  <c r="P831" i="19" s="1"/>
  <c r="Q831" i="19" s="1"/>
  <c r="V92" i="10"/>
  <c r="Z92" i="10"/>
  <c r="V124" i="10"/>
  <c r="Z124" i="10"/>
  <c r="N410" i="19"/>
  <c r="N412" i="19"/>
  <c r="P412" i="19" s="1"/>
  <c r="Q412" i="19" s="1"/>
  <c r="N413" i="19"/>
  <c r="P413" i="19" s="1"/>
  <c r="Q413" i="19" s="1"/>
  <c r="N411" i="19"/>
  <c r="W178" i="10"/>
  <c r="AB178" i="10" s="1"/>
  <c r="M854" i="19"/>
  <c r="V290" i="10"/>
  <c r="Z290" i="10"/>
  <c r="V104" i="10"/>
  <c r="Z104" i="10"/>
  <c r="J414" i="13"/>
  <c r="W234" i="10"/>
  <c r="AB234" i="10" s="1"/>
  <c r="M1134" i="19"/>
  <c r="AA234" i="10"/>
  <c r="M809" i="19"/>
  <c r="W169" i="10"/>
  <c r="AB169" i="10" s="1"/>
  <c r="W250" i="10"/>
  <c r="AB250" i="10" s="1"/>
  <c r="M1214" i="19"/>
  <c r="AA250" i="10"/>
  <c r="V30" i="10"/>
  <c r="Z30" i="10"/>
  <c r="N455" i="19"/>
  <c r="N458" i="19"/>
  <c r="P458" i="19" s="1"/>
  <c r="Q458" i="19" s="1"/>
  <c r="N457" i="19"/>
  <c r="P457" i="19" s="1"/>
  <c r="Q457" i="19" s="1"/>
  <c r="N456" i="19"/>
  <c r="P456" i="19" s="1"/>
  <c r="Q456" i="19" s="1"/>
  <c r="V322" i="10"/>
  <c r="Z322" i="10"/>
  <c r="M1629" i="19"/>
  <c r="W333" i="10"/>
  <c r="AB333" i="10" s="1"/>
  <c r="AA333" i="10"/>
  <c r="W78" i="10"/>
  <c r="AB78" i="10" s="1"/>
  <c r="M354" i="19"/>
  <c r="W143" i="10"/>
  <c r="AB143" i="10" s="1"/>
  <c r="M679" i="19"/>
  <c r="AA143" i="10"/>
  <c r="W221" i="10"/>
  <c r="AB221" i="10" s="1"/>
  <c r="M1069" i="19"/>
  <c r="AA221" i="10"/>
  <c r="M194" i="19"/>
  <c r="W46" i="10"/>
  <c r="AB46" i="10" s="1"/>
  <c r="AA46" i="10"/>
  <c r="N571" i="19"/>
  <c r="N570" i="19"/>
  <c r="N572" i="19"/>
  <c r="P572" i="19" s="1"/>
  <c r="Q572" i="19" s="1"/>
  <c r="N573" i="19"/>
  <c r="P573" i="19" s="1"/>
  <c r="Q573" i="19" s="1"/>
  <c r="N1461" i="19"/>
  <c r="P1461" i="19" s="1"/>
  <c r="Q1461" i="19" s="1"/>
  <c r="N1463" i="19"/>
  <c r="P1463" i="19" s="1"/>
  <c r="Q1463" i="19" s="1"/>
  <c r="N1462" i="19"/>
  <c r="P1462" i="19" s="1"/>
  <c r="Q1462" i="19" s="1"/>
  <c r="N1460" i="19"/>
  <c r="V199" i="10"/>
  <c r="Z199" i="10"/>
  <c r="V203" i="10"/>
  <c r="Z203" i="10"/>
  <c r="V52" i="10"/>
  <c r="Z52" i="10"/>
  <c r="V182" i="10"/>
  <c r="Z182" i="10"/>
  <c r="V123" i="10"/>
  <c r="Z123" i="10"/>
  <c r="V276" i="10"/>
  <c r="Z276" i="10"/>
  <c r="V229" i="10"/>
  <c r="Z229" i="10"/>
  <c r="W38" i="10"/>
  <c r="AB38" i="10" s="1"/>
  <c r="M154" i="19"/>
  <c r="AA38" i="10"/>
  <c r="M1564" i="19"/>
  <c r="W320" i="10"/>
  <c r="AB320" i="10" s="1"/>
  <c r="AA320" i="10"/>
  <c r="W164" i="10"/>
  <c r="AB164" i="10" s="1"/>
  <c r="M784" i="19"/>
  <c r="M1339" i="19"/>
  <c r="W275" i="10"/>
  <c r="AB275" i="10" s="1"/>
  <c r="AA275" i="10"/>
  <c r="V153" i="10"/>
  <c r="Z153" i="10"/>
  <c r="V198" i="10"/>
  <c r="Z198" i="10"/>
  <c r="M1049" i="19"/>
  <c r="W217" i="10"/>
  <c r="AB217" i="10" s="1"/>
  <c r="AA217" i="10"/>
  <c r="N97" i="19"/>
  <c r="N96" i="19"/>
  <c r="N95" i="19"/>
  <c r="N98" i="19"/>
  <c r="P98" i="19" s="1"/>
  <c r="Q98" i="19" s="1"/>
  <c r="V342" i="10"/>
  <c r="Z342" i="10"/>
  <c r="J411" i="13"/>
  <c r="J367" i="13" l="1"/>
  <c r="K367" i="13" s="1"/>
  <c r="L367" i="13" s="1"/>
  <c r="G17" i="7"/>
  <c r="M1" i="8"/>
  <c r="G22" i="8" s="1"/>
  <c r="R20" i="16"/>
  <c r="S20" i="16" s="1"/>
  <c r="K28" i="13"/>
  <c r="L28" i="13" s="1"/>
  <c r="AA13" i="10"/>
  <c r="K53" i="13"/>
  <c r="L53" i="13" s="1"/>
  <c r="Z359" i="10"/>
  <c r="J443" i="13"/>
  <c r="K98" i="13"/>
  <c r="L98" i="13" s="1"/>
  <c r="K359" i="13"/>
  <c r="L359" i="13" s="1"/>
  <c r="AB273" i="10"/>
  <c r="U25" i="16"/>
  <c r="V25" i="16" s="1"/>
  <c r="AB131" i="10"/>
  <c r="U21" i="16"/>
  <c r="V21" i="16" s="1"/>
  <c r="P1326" i="19"/>
  <c r="Q1326" i="19" s="1"/>
  <c r="L25" i="16"/>
  <c r="M25" i="16" s="1"/>
  <c r="AB347" i="10"/>
  <c r="U26" i="16"/>
  <c r="V26" i="16" s="1"/>
  <c r="AA193" i="10"/>
  <c r="W193" i="10"/>
  <c r="AB193" i="10" s="1"/>
  <c r="V120" i="10"/>
  <c r="M454" i="19"/>
  <c r="N453" i="19" s="1"/>
  <c r="P453" i="19" s="1"/>
  <c r="Q453" i="19" s="1"/>
  <c r="Z98" i="10"/>
  <c r="W98" i="10"/>
  <c r="AB98" i="10" s="1"/>
  <c r="N795" i="19"/>
  <c r="P795" i="19" s="1"/>
  <c r="AA80" i="10"/>
  <c r="M364" i="19"/>
  <c r="N360" i="19" s="1"/>
  <c r="G80" i="13" s="1"/>
  <c r="AA16" i="10"/>
  <c r="N790" i="19"/>
  <c r="G166" i="13" s="1"/>
  <c r="M1739" i="19"/>
  <c r="N1735" i="19" s="1"/>
  <c r="P1735" i="19" s="1"/>
  <c r="Q1735" i="19" s="1"/>
  <c r="W355" i="10"/>
  <c r="AB355" i="10" s="1"/>
  <c r="N798" i="19"/>
  <c r="P798" i="19" s="1"/>
  <c r="Q798" i="19" s="1"/>
  <c r="N797" i="19"/>
  <c r="P797" i="19" s="1"/>
  <c r="Q797" i="19" s="1"/>
  <c r="W167" i="10"/>
  <c r="AB167" i="10" s="1"/>
  <c r="N792" i="19"/>
  <c r="P792" i="19" s="1"/>
  <c r="Q792" i="19" s="1"/>
  <c r="N793" i="19"/>
  <c r="P793" i="19" s="1"/>
  <c r="Q793" i="19" s="1"/>
  <c r="N1181" i="19"/>
  <c r="P1181" i="19" s="1"/>
  <c r="Q1181" i="19" s="1"/>
  <c r="N42" i="19"/>
  <c r="P42" i="19" s="1"/>
  <c r="Q42" i="19" s="1"/>
  <c r="N41" i="19"/>
  <c r="N43" i="19"/>
  <c r="P43" i="19" s="1"/>
  <c r="Q43" i="19" s="1"/>
  <c r="W16" i="10"/>
  <c r="AB16" i="10" s="1"/>
  <c r="N1182" i="19"/>
  <c r="P1182" i="19" s="1"/>
  <c r="Q1182" i="19" s="1"/>
  <c r="N1180" i="19"/>
  <c r="N1325" i="19"/>
  <c r="P1325" i="19" s="1"/>
  <c r="N432" i="19"/>
  <c r="P432" i="19" s="1"/>
  <c r="Q432" i="19" s="1"/>
  <c r="N662" i="19"/>
  <c r="P662" i="19" s="1"/>
  <c r="Q662" i="19" s="1"/>
  <c r="M474" i="19"/>
  <c r="N470" i="19" s="1"/>
  <c r="P470" i="19" s="1"/>
  <c r="N1030" i="19"/>
  <c r="P1030" i="19" s="1"/>
  <c r="Q1030" i="19" s="1"/>
  <c r="N1327" i="19"/>
  <c r="P1327" i="19" s="1"/>
  <c r="Q1327" i="19" s="1"/>
  <c r="N1328" i="19"/>
  <c r="P1328" i="19" s="1"/>
  <c r="Q1328" i="19" s="1"/>
  <c r="N433" i="19"/>
  <c r="P433" i="19" s="1"/>
  <c r="Q433" i="19" s="1"/>
  <c r="N1031" i="19"/>
  <c r="P1031" i="19" s="1"/>
  <c r="Q1031" i="19" s="1"/>
  <c r="N1033" i="19"/>
  <c r="P1033" i="19" s="1"/>
  <c r="Q1033" i="19" s="1"/>
  <c r="N25" i="19"/>
  <c r="G13" i="13" s="1"/>
  <c r="N430" i="19"/>
  <c r="P430" i="19" s="1"/>
  <c r="Q430" i="19" s="1"/>
  <c r="K381" i="13"/>
  <c r="L381" i="13" s="1"/>
  <c r="W13" i="10"/>
  <c r="AB13" i="10" s="1"/>
  <c r="N28" i="19"/>
  <c r="P28" i="19" s="1"/>
  <c r="Q28" i="19" s="1"/>
  <c r="N26" i="19"/>
  <c r="P26" i="19" s="1"/>
  <c r="Q26" i="19" s="1"/>
  <c r="N661" i="19"/>
  <c r="P661" i="19" s="1"/>
  <c r="Q661" i="19" s="1"/>
  <c r="N660" i="19"/>
  <c r="P660" i="19" s="1"/>
  <c r="M739" i="19"/>
  <c r="AA155" i="10"/>
  <c r="W155" i="10"/>
  <c r="AB155" i="10" s="1"/>
  <c r="W66" i="10"/>
  <c r="AB66" i="10" s="1"/>
  <c r="N1736" i="19"/>
  <c r="P1736" i="19" s="1"/>
  <c r="Q1736" i="19" s="1"/>
  <c r="V53" i="10"/>
  <c r="W53" i="10" s="1"/>
  <c r="AB53" i="10" s="1"/>
  <c r="N273" i="19"/>
  <c r="P273" i="19" s="1"/>
  <c r="Q273" i="19" s="1"/>
  <c r="G17" i="8"/>
  <c r="N1095" i="19"/>
  <c r="P1095" i="19" s="1"/>
  <c r="K358" i="13"/>
  <c r="L358" i="13" s="1"/>
  <c r="N1272" i="19"/>
  <c r="P1272" i="19" s="1"/>
  <c r="Q1272" i="19" s="1"/>
  <c r="N1096" i="19"/>
  <c r="P1096" i="19" s="1"/>
  <c r="Q1096" i="19" s="1"/>
  <c r="N1098" i="19"/>
  <c r="P1098" i="19" s="1"/>
  <c r="Q1098" i="19" s="1"/>
  <c r="N754" i="19"/>
  <c r="P750" i="19"/>
  <c r="P754" i="19" s="1"/>
  <c r="Q754" i="19" s="1"/>
  <c r="N367" i="19"/>
  <c r="P367" i="19" s="1"/>
  <c r="Q367" i="19" s="1"/>
  <c r="N627" i="19"/>
  <c r="P627" i="19" s="1"/>
  <c r="Q627" i="19" s="1"/>
  <c r="N366" i="19"/>
  <c r="P366" i="19" s="1"/>
  <c r="Q366" i="19" s="1"/>
  <c r="N365" i="19"/>
  <c r="G81" i="13" s="1"/>
  <c r="N1273" i="19"/>
  <c r="P1273" i="19" s="1"/>
  <c r="Q1273" i="19" s="1"/>
  <c r="N1407" i="19"/>
  <c r="P1407" i="19" s="1"/>
  <c r="Q1407" i="19" s="1"/>
  <c r="N1057" i="19"/>
  <c r="P1057" i="19" s="1"/>
  <c r="Q1057" i="19" s="1"/>
  <c r="J379" i="13"/>
  <c r="N280" i="19"/>
  <c r="G64" i="13" s="1"/>
  <c r="N173" i="19"/>
  <c r="P173" i="19" s="1"/>
  <c r="Q173" i="19" s="1"/>
  <c r="N1723" i="19"/>
  <c r="P1723" i="19" s="1"/>
  <c r="Q1723" i="19" s="1"/>
  <c r="N1697" i="19"/>
  <c r="Z358" i="10"/>
  <c r="N1405" i="19"/>
  <c r="G289" i="13" s="1"/>
  <c r="N1055" i="19"/>
  <c r="P1055" i="19" s="1"/>
  <c r="N1076" i="19"/>
  <c r="P1076" i="19" s="1"/>
  <c r="Q1076" i="19" s="1"/>
  <c r="M904" i="19"/>
  <c r="N900" i="19" s="1"/>
  <c r="P900" i="19" s="1"/>
  <c r="N1721" i="19"/>
  <c r="P1721" i="19" s="1"/>
  <c r="Q1721" i="19" s="1"/>
  <c r="N171" i="19"/>
  <c r="P171" i="19" s="1"/>
  <c r="Q171" i="19" s="1"/>
  <c r="N270" i="19"/>
  <c r="P270" i="19" s="1"/>
  <c r="N1698" i="19"/>
  <c r="P1698" i="19" s="1"/>
  <c r="Q1698" i="19" s="1"/>
  <c r="N625" i="19"/>
  <c r="G133" i="13" s="1"/>
  <c r="AA230" i="10"/>
  <c r="N1015" i="19"/>
  <c r="G211" i="13" s="1"/>
  <c r="N1583" i="19"/>
  <c r="P1583" i="19" s="1"/>
  <c r="Q1583" i="19" s="1"/>
  <c r="N1017" i="19"/>
  <c r="P1017" i="19" s="1"/>
  <c r="Q1017" i="19" s="1"/>
  <c r="N1016" i="19"/>
  <c r="P1016" i="19" s="1"/>
  <c r="Q1016" i="19" s="1"/>
  <c r="N1582" i="19"/>
  <c r="P1582" i="19" s="1"/>
  <c r="Q1582" i="19" s="1"/>
  <c r="N1581" i="19"/>
  <c r="P1581" i="19" s="1"/>
  <c r="Q1581" i="19" s="1"/>
  <c r="N167" i="19"/>
  <c r="P167" i="19" s="1"/>
  <c r="Q167" i="19" s="1"/>
  <c r="V233" i="10"/>
  <c r="AA233" i="10" s="1"/>
  <c r="N165" i="19"/>
  <c r="P165" i="19" s="1"/>
  <c r="N631" i="19"/>
  <c r="P631" i="19" s="1"/>
  <c r="Q631" i="19" s="1"/>
  <c r="N138" i="19"/>
  <c r="P138" i="19" s="1"/>
  <c r="Q138" i="19" s="1"/>
  <c r="N1695" i="19"/>
  <c r="P1695" i="19" s="1"/>
  <c r="W358" i="10"/>
  <c r="AB358" i="10" s="1"/>
  <c r="W42" i="10"/>
  <c r="AB42" i="10" s="1"/>
  <c r="N1722" i="19"/>
  <c r="P1722" i="19" s="1"/>
  <c r="Q1722" i="19" s="1"/>
  <c r="N941" i="19"/>
  <c r="P941" i="19" s="1"/>
  <c r="Q941" i="19" s="1"/>
  <c r="N628" i="19"/>
  <c r="P628" i="19" s="1"/>
  <c r="Q628" i="19" s="1"/>
  <c r="N633" i="19"/>
  <c r="P633" i="19" s="1"/>
  <c r="Q633" i="19" s="1"/>
  <c r="N282" i="19"/>
  <c r="P282" i="19" s="1"/>
  <c r="Q282" i="19" s="1"/>
  <c r="N1118" i="19"/>
  <c r="P1118" i="19" s="1"/>
  <c r="Q1118" i="19" s="1"/>
  <c r="N630" i="19"/>
  <c r="G134" i="13" s="1"/>
  <c r="M1754" i="19"/>
  <c r="N1753" i="19" s="1"/>
  <c r="P1753" i="19" s="1"/>
  <c r="Q1753" i="19" s="1"/>
  <c r="N1116" i="19"/>
  <c r="P1116" i="19" s="1"/>
  <c r="Q1116" i="19" s="1"/>
  <c r="N1271" i="19"/>
  <c r="P1271" i="19" s="1"/>
  <c r="Q1271" i="19" s="1"/>
  <c r="N1056" i="19"/>
  <c r="N1408" i="19"/>
  <c r="P1408" i="19" s="1"/>
  <c r="Q1408" i="19" s="1"/>
  <c r="P1315" i="19"/>
  <c r="P1319" i="19" s="1"/>
  <c r="Q1319" i="19" s="1"/>
  <c r="N1115" i="19"/>
  <c r="G231" i="13" s="1"/>
  <c r="N1319" i="19"/>
  <c r="N136" i="19"/>
  <c r="P136" i="19" s="1"/>
  <c r="Q136" i="19" s="1"/>
  <c r="N181" i="19"/>
  <c r="P181" i="19" s="1"/>
  <c r="Q181" i="19" s="1"/>
  <c r="N86" i="19"/>
  <c r="P86" i="19" s="1"/>
  <c r="Q86" i="19" s="1"/>
  <c r="N243" i="19"/>
  <c r="P243" i="19" s="1"/>
  <c r="Q243" i="19" s="1"/>
  <c r="N615" i="19"/>
  <c r="G131" i="13" s="1"/>
  <c r="K86" i="15" s="1"/>
  <c r="L86" i="15" s="1"/>
  <c r="N503" i="19"/>
  <c r="P503" i="19" s="1"/>
  <c r="Q503" i="19" s="1"/>
  <c r="N548" i="19"/>
  <c r="P548" i="19" s="1"/>
  <c r="Q548" i="19" s="1"/>
  <c r="N135" i="19"/>
  <c r="N180" i="19"/>
  <c r="P180" i="19" s="1"/>
  <c r="N616" i="19"/>
  <c r="N618" i="19"/>
  <c r="P618" i="19" s="1"/>
  <c r="Q618" i="19" s="1"/>
  <c r="N817" i="19"/>
  <c r="P817" i="19" s="1"/>
  <c r="Q817" i="19" s="1"/>
  <c r="AA62" i="10"/>
  <c r="N281" i="19"/>
  <c r="G396" i="13" s="1"/>
  <c r="N170" i="19"/>
  <c r="G42" i="13" s="1"/>
  <c r="N271" i="19"/>
  <c r="AA168" i="10"/>
  <c r="M24" i="19"/>
  <c r="N20" i="19" s="1"/>
  <c r="G12" i="13" s="1"/>
  <c r="H12" i="13" s="1"/>
  <c r="I12" i="13" s="1"/>
  <c r="N818" i="19"/>
  <c r="P818" i="19" s="1"/>
  <c r="Q818" i="19" s="1"/>
  <c r="AA42" i="10"/>
  <c r="W62" i="10"/>
  <c r="AB62" i="10" s="1"/>
  <c r="N815" i="19"/>
  <c r="G171" i="13" s="1"/>
  <c r="H171" i="13" s="1"/>
  <c r="I171" i="13" s="1"/>
  <c r="G117" i="13"/>
  <c r="H117" i="13" s="1"/>
  <c r="I117" i="13" s="1"/>
  <c r="N1730" i="19"/>
  <c r="G354" i="13" s="1"/>
  <c r="N1078" i="19"/>
  <c r="P1078" i="19" s="1"/>
  <c r="Q1078" i="19" s="1"/>
  <c r="N183" i="19"/>
  <c r="P183" i="19" s="1"/>
  <c r="Q183" i="19" s="1"/>
  <c r="M1614" i="19"/>
  <c r="N1612" i="19" s="1"/>
  <c r="P1612" i="19" s="1"/>
  <c r="Q1612" i="19" s="1"/>
  <c r="AA330" i="10"/>
  <c r="N140" i="19"/>
  <c r="P140" i="19" s="1"/>
  <c r="Q140" i="19" s="1"/>
  <c r="N1475" i="19"/>
  <c r="P1475" i="19" s="1"/>
  <c r="W55" i="10"/>
  <c r="AB55" i="10" s="1"/>
  <c r="M1314" i="19"/>
  <c r="N1313" i="19" s="1"/>
  <c r="P1313" i="19" s="1"/>
  <c r="Q1313" i="19" s="1"/>
  <c r="N1165" i="19"/>
  <c r="G241" i="13" s="1"/>
  <c r="M239" i="19"/>
  <c r="N235" i="19" s="1"/>
  <c r="P235" i="19" s="1"/>
  <c r="N1167" i="19"/>
  <c r="P1167" i="19" s="1"/>
  <c r="Q1167" i="19" s="1"/>
  <c r="N1437" i="19"/>
  <c r="P1437" i="19" s="1"/>
  <c r="Q1437" i="19" s="1"/>
  <c r="W270" i="10"/>
  <c r="AB270" i="10" s="1"/>
  <c r="N1733" i="19"/>
  <c r="P1733" i="19" s="1"/>
  <c r="Q1733" i="19" s="1"/>
  <c r="N142" i="19"/>
  <c r="P142" i="19" s="1"/>
  <c r="Q142" i="19" s="1"/>
  <c r="N143" i="19"/>
  <c r="P143" i="19" s="1"/>
  <c r="Q143" i="19" s="1"/>
  <c r="N168" i="19"/>
  <c r="P168" i="19" s="1"/>
  <c r="Q168" i="19" s="1"/>
  <c r="N1662" i="19"/>
  <c r="P1662" i="19" s="1"/>
  <c r="Q1662" i="19" s="1"/>
  <c r="N547" i="19"/>
  <c r="P547" i="19" s="1"/>
  <c r="Q547" i="19" s="1"/>
  <c r="N1310" i="19"/>
  <c r="P1310" i="19" s="1"/>
  <c r="M1114" i="19"/>
  <c r="N1113" i="19" s="1"/>
  <c r="P1113" i="19" s="1"/>
  <c r="Q1113" i="19" s="1"/>
  <c r="N829" i="19"/>
  <c r="N477" i="19"/>
  <c r="P477" i="19" s="1"/>
  <c r="Q477" i="19" s="1"/>
  <c r="N1732" i="19"/>
  <c r="P1732" i="19" s="1"/>
  <c r="Q1732" i="19" s="1"/>
  <c r="N552" i="19"/>
  <c r="P552" i="19" s="1"/>
  <c r="Q552" i="19" s="1"/>
  <c r="N1378" i="19"/>
  <c r="P1378" i="19" s="1"/>
  <c r="Q1378" i="19" s="1"/>
  <c r="P825" i="19"/>
  <c r="P829" i="19" s="1"/>
  <c r="Q829" i="19" s="1"/>
  <c r="N1077" i="19"/>
  <c r="P1077" i="19" s="1"/>
  <c r="Q1077" i="19" s="1"/>
  <c r="N1435" i="19"/>
  <c r="G295" i="13" s="1"/>
  <c r="N1478" i="19"/>
  <c r="P1478" i="19" s="1"/>
  <c r="Q1478" i="19" s="1"/>
  <c r="J398" i="13"/>
  <c r="K398" i="13" s="1"/>
  <c r="L398" i="13" s="1"/>
  <c r="J438" i="13"/>
  <c r="K438" i="13" s="1"/>
  <c r="L438" i="13" s="1"/>
  <c r="N1168" i="19"/>
  <c r="P1168" i="19" s="1"/>
  <c r="Q1168" i="19" s="1"/>
  <c r="N1436" i="19"/>
  <c r="P1436" i="19" s="1"/>
  <c r="Q1436" i="19" s="1"/>
  <c r="AA316" i="10"/>
  <c r="W316" i="10"/>
  <c r="AB316" i="10" s="1"/>
  <c r="M1544" i="19"/>
  <c r="K327" i="13"/>
  <c r="L327" i="13" s="1"/>
  <c r="K236" i="13"/>
  <c r="L236" i="13" s="1"/>
  <c r="V298" i="10"/>
  <c r="Z298" i="10"/>
  <c r="N1381" i="19"/>
  <c r="P1381" i="19" s="1"/>
  <c r="Q1381" i="19" s="1"/>
  <c r="P785" i="19"/>
  <c r="Q785" i="19" s="1"/>
  <c r="N1660" i="19"/>
  <c r="P1660" i="19" s="1"/>
  <c r="M804" i="19"/>
  <c r="N801" i="19" s="1"/>
  <c r="P801" i="19" s="1"/>
  <c r="Q801" i="19" s="1"/>
  <c r="N546" i="19"/>
  <c r="P546" i="19" s="1"/>
  <c r="Q546" i="19" s="1"/>
  <c r="V236" i="10"/>
  <c r="Z236" i="10"/>
  <c r="K246" i="13"/>
  <c r="L246" i="13" s="1"/>
  <c r="Z265" i="10"/>
  <c r="K382" i="13"/>
  <c r="L382" i="13" s="1"/>
  <c r="V246" i="10"/>
  <c r="Z246" i="10"/>
  <c r="V327" i="10"/>
  <c r="Z327" i="10"/>
  <c r="K298" i="13"/>
  <c r="L298" i="13" s="1"/>
  <c r="N1418" i="19"/>
  <c r="P1418" i="19" s="1"/>
  <c r="Q1418" i="19" s="1"/>
  <c r="N1083" i="19"/>
  <c r="P1083" i="19" s="1"/>
  <c r="Q1083" i="19" s="1"/>
  <c r="M774" i="19"/>
  <c r="N773" i="19" s="1"/>
  <c r="P773" i="19" s="1"/>
  <c r="Q773" i="19" s="1"/>
  <c r="N501" i="19"/>
  <c r="P501" i="19" s="1"/>
  <c r="Q501" i="19" s="1"/>
  <c r="N1470" i="19"/>
  <c r="P1470" i="19" s="1"/>
  <c r="N502" i="19"/>
  <c r="P502" i="19" s="1"/>
  <c r="Q502" i="19" s="1"/>
  <c r="N1476" i="19"/>
  <c r="P1476" i="19" s="1"/>
  <c r="Q1476" i="19" s="1"/>
  <c r="N1080" i="19"/>
  <c r="P1080" i="19" s="1"/>
  <c r="Q1080" i="19" s="1"/>
  <c r="N1576" i="19"/>
  <c r="P1576" i="19" s="1"/>
  <c r="Q1576" i="19" s="1"/>
  <c r="K403" i="13"/>
  <c r="L403" i="13" s="1"/>
  <c r="P1195" i="19"/>
  <c r="Q1195" i="19" s="1"/>
  <c r="G247" i="13"/>
  <c r="K167" i="15" s="1"/>
  <c r="L167" i="15" s="1"/>
  <c r="N230" i="19"/>
  <c r="G54" i="13" s="1"/>
  <c r="M509" i="19"/>
  <c r="N506" i="19" s="1"/>
  <c r="P506" i="19" s="1"/>
  <c r="Q506" i="19" s="1"/>
  <c r="N551" i="19"/>
  <c r="P551" i="19" s="1"/>
  <c r="Q551" i="19" s="1"/>
  <c r="N1376" i="19"/>
  <c r="P1376" i="19" s="1"/>
  <c r="Q1376" i="19" s="1"/>
  <c r="N1346" i="19"/>
  <c r="P1346" i="19" s="1"/>
  <c r="Q1346" i="19" s="1"/>
  <c r="N340" i="19"/>
  <c r="P340" i="19" s="1"/>
  <c r="N87" i="19"/>
  <c r="P87" i="19" s="1"/>
  <c r="Q87" i="19" s="1"/>
  <c r="W186" i="10"/>
  <c r="AB186" i="10" s="1"/>
  <c r="N1197" i="19"/>
  <c r="P1197" i="19" s="1"/>
  <c r="Q1197" i="19" s="1"/>
  <c r="N1196" i="19"/>
  <c r="P1196" i="19" s="1"/>
  <c r="Q1196" i="19" s="1"/>
  <c r="N1198" i="19"/>
  <c r="P1198" i="19" s="1"/>
  <c r="Q1198" i="19" s="1"/>
  <c r="N553" i="19"/>
  <c r="P553" i="19" s="1"/>
  <c r="Q553" i="19" s="1"/>
  <c r="N1375" i="19"/>
  <c r="P1375" i="19" s="1"/>
  <c r="N85" i="19"/>
  <c r="G25" i="13" s="1"/>
  <c r="N1691" i="19"/>
  <c r="P1691" i="19" s="1"/>
  <c r="Q1691" i="19" s="1"/>
  <c r="N1471" i="19"/>
  <c r="P1471" i="19" s="1"/>
  <c r="Q1471" i="19" s="1"/>
  <c r="N1472" i="19"/>
  <c r="P1472" i="19" s="1"/>
  <c r="Q1472" i="19" s="1"/>
  <c r="N1382" i="19"/>
  <c r="P1382" i="19" s="1"/>
  <c r="Q1382" i="19" s="1"/>
  <c r="AA186" i="10"/>
  <c r="N1082" i="19"/>
  <c r="P1082" i="19" s="1"/>
  <c r="Q1082" i="19" s="1"/>
  <c r="N1575" i="19"/>
  <c r="P1575" i="19" s="1"/>
  <c r="K444" i="13"/>
  <c r="L444" i="13" s="1"/>
  <c r="W204" i="10"/>
  <c r="AB204" i="10" s="1"/>
  <c r="N1661" i="19"/>
  <c r="P1661" i="19" s="1"/>
  <c r="Q1661" i="19" s="1"/>
  <c r="N1178" i="19"/>
  <c r="P1178" i="19" s="1"/>
  <c r="Q1178" i="19" s="1"/>
  <c r="N242" i="19"/>
  <c r="P242" i="19" s="1"/>
  <c r="Q242" i="19" s="1"/>
  <c r="N787" i="19"/>
  <c r="P787" i="19" s="1"/>
  <c r="Q787" i="19" s="1"/>
  <c r="N788" i="19"/>
  <c r="P788" i="19" s="1"/>
  <c r="Q788" i="19" s="1"/>
  <c r="N240" i="19"/>
  <c r="N786" i="19"/>
  <c r="P786" i="19" s="1"/>
  <c r="Q786" i="19" s="1"/>
  <c r="N460" i="19"/>
  <c r="N461" i="19"/>
  <c r="P461" i="19" s="1"/>
  <c r="Q461" i="19" s="1"/>
  <c r="N463" i="19"/>
  <c r="P463" i="19" s="1"/>
  <c r="Q463" i="19" s="1"/>
  <c r="N252" i="19"/>
  <c r="P252" i="19" s="1"/>
  <c r="Q252" i="19" s="1"/>
  <c r="N1417" i="19"/>
  <c r="P1417" i="19" s="1"/>
  <c r="Q1417" i="19" s="1"/>
  <c r="N1468" i="19"/>
  <c r="P1468" i="19" s="1"/>
  <c r="Q1468" i="19" s="1"/>
  <c r="AA12" i="10"/>
  <c r="K409" i="13"/>
  <c r="L409" i="13" s="1"/>
  <c r="K265" i="13"/>
  <c r="L265" i="13" s="1"/>
  <c r="N1416" i="19"/>
  <c r="P1416" i="19" s="1"/>
  <c r="Q1416" i="19" s="1"/>
  <c r="N1301" i="19"/>
  <c r="P1301" i="19" s="1"/>
  <c r="Q1301" i="19" s="1"/>
  <c r="N849" i="19"/>
  <c r="AA162" i="10"/>
  <c r="AA11" i="10"/>
  <c r="AA205" i="10"/>
  <c r="AA329" i="10"/>
  <c r="M1609" i="19"/>
  <c r="W329" i="10"/>
  <c r="AB329" i="10" s="1"/>
  <c r="M624" i="19"/>
  <c r="W132" i="10"/>
  <c r="N308" i="19"/>
  <c r="P308" i="19" s="1"/>
  <c r="Q308" i="19" s="1"/>
  <c r="N1085" i="19"/>
  <c r="P1085" i="19" s="1"/>
  <c r="N132" i="19"/>
  <c r="P132" i="19" s="1"/>
  <c r="Q132" i="19" s="1"/>
  <c r="N767" i="19"/>
  <c r="P767" i="19" s="1"/>
  <c r="Q767" i="19" s="1"/>
  <c r="N345" i="19"/>
  <c r="G77" i="13" s="1"/>
  <c r="K154" i="13"/>
  <c r="L154" i="13" s="1"/>
  <c r="Z154" i="10"/>
  <c r="V154" i="10"/>
  <c r="K390" i="13"/>
  <c r="L390" i="13" s="1"/>
  <c r="N1177" i="19"/>
  <c r="P1177" i="19" s="1"/>
  <c r="Q1177" i="19" s="1"/>
  <c r="N1466" i="19"/>
  <c r="P1466" i="19" s="1"/>
  <c r="Q1466" i="19" s="1"/>
  <c r="AA40" i="10"/>
  <c r="N1380" i="19"/>
  <c r="W43" i="10"/>
  <c r="AB43" i="10" s="1"/>
  <c r="N1577" i="19"/>
  <c r="P1577" i="19" s="1"/>
  <c r="Q1577" i="19" s="1"/>
  <c r="N288" i="19"/>
  <c r="P288" i="19" s="1"/>
  <c r="Q288" i="19" s="1"/>
  <c r="N1176" i="19"/>
  <c r="P1176" i="19" s="1"/>
  <c r="Q1176" i="19" s="1"/>
  <c r="N1465" i="19"/>
  <c r="P1465" i="19" s="1"/>
  <c r="M164" i="19"/>
  <c r="N163" i="19" s="1"/>
  <c r="P163" i="19" s="1"/>
  <c r="Q163" i="19" s="1"/>
  <c r="N1458" i="19"/>
  <c r="P1458" i="19" s="1"/>
  <c r="Q1458" i="19" s="1"/>
  <c r="N1367" i="19"/>
  <c r="P1367" i="19" s="1"/>
  <c r="Q1367" i="19" s="1"/>
  <c r="M179" i="19"/>
  <c r="N176" i="19" s="1"/>
  <c r="N1061" i="19"/>
  <c r="P1061" i="19" s="1"/>
  <c r="Q1061" i="19" s="1"/>
  <c r="J435" i="13"/>
  <c r="K435" i="13" s="1"/>
  <c r="L435" i="13" s="1"/>
  <c r="N1513" i="19"/>
  <c r="P1513" i="19" s="1"/>
  <c r="Q1513" i="19" s="1"/>
  <c r="N1366" i="19"/>
  <c r="P1366" i="19" s="1"/>
  <c r="Q1366" i="19" s="1"/>
  <c r="N306" i="19"/>
  <c r="N1062" i="19"/>
  <c r="P1062" i="19" s="1"/>
  <c r="Q1062" i="19" s="1"/>
  <c r="N493" i="19"/>
  <c r="P493" i="19" s="1"/>
  <c r="Q493" i="19" s="1"/>
  <c r="M19" i="19"/>
  <c r="N17" i="19" s="1"/>
  <c r="W205" i="10"/>
  <c r="AB205" i="10" s="1"/>
  <c r="K397" i="13"/>
  <c r="L397" i="13" s="1"/>
  <c r="K440" i="13"/>
  <c r="L440" i="13" s="1"/>
  <c r="N1365" i="19"/>
  <c r="G281" i="13" s="1"/>
  <c r="N305" i="19"/>
  <c r="G69" i="13" s="1"/>
  <c r="K350" i="13"/>
  <c r="L350" i="13" s="1"/>
  <c r="V350" i="10"/>
  <c r="Z350" i="10"/>
  <c r="W315" i="10"/>
  <c r="AB315" i="10" s="1"/>
  <c r="M1539" i="19"/>
  <c r="AA315" i="10"/>
  <c r="J425" i="13"/>
  <c r="J365" i="13"/>
  <c r="N1302" i="19"/>
  <c r="P1302" i="19" s="1"/>
  <c r="Q1302" i="19" s="1"/>
  <c r="N490" i="19"/>
  <c r="P490" i="19" s="1"/>
  <c r="N343" i="19"/>
  <c r="P343" i="19" s="1"/>
  <c r="Q343" i="19" s="1"/>
  <c r="N232" i="19"/>
  <c r="P232" i="19" s="1"/>
  <c r="Q232" i="19" s="1"/>
  <c r="N593" i="19"/>
  <c r="P593" i="19" s="1"/>
  <c r="Q593" i="19" s="1"/>
  <c r="N608" i="19"/>
  <c r="P608" i="19" s="1"/>
  <c r="Q608" i="19" s="1"/>
  <c r="N1063" i="19"/>
  <c r="P1063" i="19" s="1"/>
  <c r="Q1063" i="19" s="1"/>
  <c r="N1300" i="19"/>
  <c r="P1300" i="19" s="1"/>
  <c r="N341" i="19"/>
  <c r="P341" i="19" s="1"/>
  <c r="Q341" i="19" s="1"/>
  <c r="W332" i="10"/>
  <c r="AB332" i="10" s="1"/>
  <c r="AA332" i="10"/>
  <c r="M1624" i="19"/>
  <c r="N231" i="19"/>
  <c r="P231" i="19" s="1"/>
  <c r="Q231" i="19" s="1"/>
  <c r="N1511" i="19"/>
  <c r="P1511" i="19" s="1"/>
  <c r="Q1511" i="19" s="1"/>
  <c r="N592" i="19"/>
  <c r="P592" i="19" s="1"/>
  <c r="Q592" i="19" s="1"/>
  <c r="N606" i="19"/>
  <c r="G387" i="13" s="1"/>
  <c r="J433" i="13"/>
  <c r="K130" i="13"/>
  <c r="L130" i="13" s="1"/>
  <c r="K206" i="13"/>
  <c r="L206" i="13" s="1"/>
  <c r="Z130" i="10"/>
  <c r="V130" i="10"/>
  <c r="Z206" i="10"/>
  <c r="V206" i="10"/>
  <c r="AA206" i="10" s="1"/>
  <c r="Z95" i="10"/>
  <c r="V95" i="10"/>
  <c r="V335" i="10"/>
  <c r="Z335" i="10"/>
  <c r="AA119" i="10"/>
  <c r="W119" i="10"/>
  <c r="AB119" i="10" s="1"/>
  <c r="M559" i="19"/>
  <c r="K335" i="13"/>
  <c r="L335" i="13" s="1"/>
  <c r="K95" i="13"/>
  <c r="L95" i="13" s="1"/>
  <c r="K331" i="13"/>
  <c r="L331" i="13" s="1"/>
  <c r="K110" i="13"/>
  <c r="L110" i="13" s="1"/>
  <c r="K251" i="13"/>
  <c r="L251" i="13" s="1"/>
  <c r="K75" i="13"/>
  <c r="L75" i="13" s="1"/>
  <c r="K20" i="13"/>
  <c r="L20" i="13" s="1"/>
  <c r="Z318" i="10"/>
  <c r="V318" i="10"/>
  <c r="K312" i="13"/>
  <c r="L312" i="13" s="1"/>
  <c r="K325" i="13"/>
  <c r="L325" i="13" s="1"/>
  <c r="K321" i="13"/>
  <c r="L321" i="13" s="1"/>
  <c r="K215" i="13"/>
  <c r="L215" i="13" s="1"/>
  <c r="K29" i="13"/>
  <c r="L29" i="13" s="1"/>
  <c r="K156" i="13"/>
  <c r="L156" i="13" s="1"/>
  <c r="Z20" i="10"/>
  <c r="V20" i="10"/>
  <c r="K101" i="13"/>
  <c r="L101" i="13" s="1"/>
  <c r="K357" i="13"/>
  <c r="L357" i="13" s="1"/>
  <c r="K257" i="13"/>
  <c r="L257" i="13" s="1"/>
  <c r="K337" i="13"/>
  <c r="L337" i="13" s="1"/>
  <c r="K226" i="13"/>
  <c r="L226" i="13" s="1"/>
  <c r="K269" i="13"/>
  <c r="L269" i="13" s="1"/>
  <c r="K338" i="13"/>
  <c r="L338" i="13" s="1"/>
  <c r="K307" i="13"/>
  <c r="L307" i="13" s="1"/>
  <c r="K183" i="13"/>
  <c r="L183" i="13" s="1"/>
  <c r="K318" i="13"/>
  <c r="L318" i="13" s="1"/>
  <c r="K279" i="13"/>
  <c r="L279" i="13" s="1"/>
  <c r="K392" i="13"/>
  <c r="L392" i="13" s="1"/>
  <c r="K334" i="13"/>
  <c r="L334" i="13" s="1"/>
  <c r="V279" i="10"/>
  <c r="Z279" i="10"/>
  <c r="Z101" i="10"/>
  <c r="V101" i="10"/>
  <c r="K447" i="13"/>
  <c r="L447" i="13" s="1"/>
  <c r="K421" i="13"/>
  <c r="L421" i="13" s="1"/>
  <c r="K406" i="13"/>
  <c r="L406" i="13" s="1"/>
  <c r="K408" i="13"/>
  <c r="L408" i="13" s="1"/>
  <c r="K405" i="13"/>
  <c r="L405" i="13" s="1"/>
  <c r="K383" i="13"/>
  <c r="L383" i="13" s="1"/>
  <c r="K422" i="13"/>
  <c r="L422" i="13" s="1"/>
  <c r="K395" i="13"/>
  <c r="L395" i="13" s="1"/>
  <c r="K423" i="13"/>
  <c r="L423" i="13" s="1"/>
  <c r="K445" i="13"/>
  <c r="L445" i="13" s="1"/>
  <c r="K442" i="13"/>
  <c r="L442" i="13" s="1"/>
  <c r="K404" i="13"/>
  <c r="L404" i="13" s="1"/>
  <c r="K400" i="13"/>
  <c r="L400" i="13" s="1"/>
  <c r="K412" i="13"/>
  <c r="L412" i="13" s="1"/>
  <c r="K446" i="13"/>
  <c r="L446" i="13" s="1"/>
  <c r="K428" i="13"/>
  <c r="L428" i="13" s="1"/>
  <c r="K441" i="13"/>
  <c r="L441" i="13" s="1"/>
  <c r="K385" i="13"/>
  <c r="L385" i="13" s="1"/>
  <c r="K437" i="13"/>
  <c r="L437" i="13" s="1"/>
  <c r="K411" i="13"/>
  <c r="L411" i="13" s="1"/>
  <c r="K414" i="13"/>
  <c r="L414" i="13" s="1"/>
  <c r="K434" i="13"/>
  <c r="L434" i="13" s="1"/>
  <c r="K380" i="13"/>
  <c r="L380" i="13" s="1"/>
  <c r="K401" i="13"/>
  <c r="L401" i="13" s="1"/>
  <c r="K368" i="13"/>
  <c r="L368" i="13" s="1"/>
  <c r="K420" i="13"/>
  <c r="L420" i="13" s="1"/>
  <c r="K394" i="13"/>
  <c r="L394" i="13" s="1"/>
  <c r="K432" i="13"/>
  <c r="L432" i="13" s="1"/>
  <c r="K375" i="13"/>
  <c r="L375" i="13" s="1"/>
  <c r="K439" i="13"/>
  <c r="L439" i="13" s="1"/>
  <c r="K427" i="13"/>
  <c r="L427" i="13" s="1"/>
  <c r="N1087" i="19"/>
  <c r="P1087" i="19" s="1"/>
  <c r="Q1087" i="19" s="1"/>
  <c r="N131" i="19"/>
  <c r="P131" i="19" s="1"/>
  <c r="Q131" i="19" s="1"/>
  <c r="N1345" i="19"/>
  <c r="G277" i="13" s="1"/>
  <c r="W115" i="10"/>
  <c r="AB115" i="10" s="1"/>
  <c r="N250" i="19"/>
  <c r="P250" i="19" s="1"/>
  <c r="M539" i="19"/>
  <c r="N536" i="19" s="1"/>
  <c r="P536" i="19" s="1"/>
  <c r="Q536" i="19" s="1"/>
  <c r="N1457" i="19"/>
  <c r="P1457" i="19" s="1"/>
  <c r="Q1457" i="19" s="1"/>
  <c r="N943" i="19"/>
  <c r="P943" i="19" s="1"/>
  <c r="Q943" i="19" s="1"/>
  <c r="N766" i="19"/>
  <c r="P766" i="19" s="1"/>
  <c r="Q766" i="19" s="1"/>
  <c r="N253" i="19"/>
  <c r="P253" i="19" s="1"/>
  <c r="Q253" i="19" s="1"/>
  <c r="N1456" i="19"/>
  <c r="P1456" i="19" s="1"/>
  <c r="Q1456" i="19" s="1"/>
  <c r="N942" i="19"/>
  <c r="P942" i="19" s="1"/>
  <c r="Q942" i="19" s="1"/>
  <c r="N1086" i="19"/>
  <c r="P1086" i="19" s="1"/>
  <c r="Q1086" i="19" s="1"/>
  <c r="N130" i="19"/>
  <c r="P130" i="19" s="1"/>
  <c r="N1348" i="19"/>
  <c r="P1348" i="19" s="1"/>
  <c r="Q1348" i="19" s="1"/>
  <c r="N765" i="19"/>
  <c r="P765" i="19" s="1"/>
  <c r="N449" i="19"/>
  <c r="N1510" i="19"/>
  <c r="P1510" i="19" s="1"/>
  <c r="N491" i="19"/>
  <c r="P491" i="19" s="1"/>
  <c r="Q491" i="19" s="1"/>
  <c r="N475" i="19"/>
  <c r="P475" i="19" s="1"/>
  <c r="N476" i="19"/>
  <c r="P476" i="19" s="1"/>
  <c r="Q476" i="19" s="1"/>
  <c r="N591" i="19"/>
  <c r="P591" i="19" s="1"/>
  <c r="Q591" i="19" s="1"/>
  <c r="N645" i="19"/>
  <c r="G137" i="13" s="1"/>
  <c r="N601" i="19"/>
  <c r="N1002" i="19"/>
  <c r="P1002" i="19" s="1"/>
  <c r="Q1002" i="19" s="1"/>
  <c r="N347" i="19"/>
  <c r="P347" i="19" s="1"/>
  <c r="Q347" i="19" s="1"/>
  <c r="N286" i="19"/>
  <c r="P286" i="19" s="1"/>
  <c r="Q286" i="19" s="1"/>
  <c r="N647" i="19"/>
  <c r="P647" i="19" s="1"/>
  <c r="Q647" i="19" s="1"/>
  <c r="N346" i="19"/>
  <c r="P346" i="19" s="1"/>
  <c r="Q346" i="19" s="1"/>
  <c r="N285" i="19"/>
  <c r="G65" i="13" s="1"/>
  <c r="AA204" i="10"/>
  <c r="N648" i="19"/>
  <c r="P648" i="19" s="1"/>
  <c r="Q648" i="19" s="1"/>
  <c r="J424" i="13"/>
  <c r="M409" i="19"/>
  <c r="W89" i="10"/>
  <c r="AB89" i="10" s="1"/>
  <c r="N1690" i="19"/>
  <c r="G346" i="13" s="1"/>
  <c r="N1485" i="19"/>
  <c r="P1485" i="19" s="1"/>
  <c r="N603" i="19"/>
  <c r="P603" i="19" s="1"/>
  <c r="Q603" i="19" s="1"/>
  <c r="N1692" i="19"/>
  <c r="P1692" i="19" s="1"/>
  <c r="Q1692" i="19" s="1"/>
  <c r="N607" i="19"/>
  <c r="P607" i="19" s="1"/>
  <c r="Q607" i="19" s="1"/>
  <c r="N600" i="19"/>
  <c r="G128" i="13" s="1"/>
  <c r="AE365" i="10"/>
  <c r="N217" i="19"/>
  <c r="P217" i="19" s="1"/>
  <c r="Q217" i="19" s="1"/>
  <c r="Z29" i="10"/>
  <c r="V29" i="10"/>
  <c r="V307" i="10"/>
  <c r="Z307" i="10"/>
  <c r="Z156" i="10"/>
  <c r="V156" i="10"/>
  <c r="Z183" i="10"/>
  <c r="V183" i="10"/>
  <c r="AA183" i="10" s="1"/>
  <c r="AE363" i="10"/>
  <c r="V75" i="10"/>
  <c r="Z75" i="10"/>
  <c r="V338" i="10"/>
  <c r="Z338" i="10"/>
  <c r="W359" i="10"/>
  <c r="AB359" i="10" s="1"/>
  <c r="M1759" i="19"/>
  <c r="N1001" i="19"/>
  <c r="P1001" i="19" s="1"/>
  <c r="Q1001" i="19" s="1"/>
  <c r="N905" i="19"/>
  <c r="P905" i="19" s="1"/>
  <c r="Y361" i="10"/>
  <c r="W13" i="3" s="1"/>
  <c r="J426" i="13"/>
  <c r="N1003" i="19"/>
  <c r="P1003" i="19" s="1"/>
  <c r="Q1003" i="19" s="1"/>
  <c r="N1665" i="19"/>
  <c r="N1667" i="19"/>
  <c r="P1667" i="19" s="1"/>
  <c r="Q1667" i="19" s="1"/>
  <c r="N1668" i="19"/>
  <c r="P1668" i="19" s="1"/>
  <c r="Q1668" i="19" s="1"/>
  <c r="N1666" i="19"/>
  <c r="P1666" i="19" s="1"/>
  <c r="Q1666" i="19" s="1"/>
  <c r="N1677" i="19"/>
  <c r="P1677" i="19" s="1"/>
  <c r="Q1677" i="19" s="1"/>
  <c r="N1678" i="19"/>
  <c r="P1678" i="19" s="1"/>
  <c r="Q1678" i="19" s="1"/>
  <c r="N1675" i="19"/>
  <c r="N1676" i="19"/>
  <c r="P1676" i="19" s="1"/>
  <c r="Q1676" i="19" s="1"/>
  <c r="M899" i="19"/>
  <c r="W187" i="10"/>
  <c r="AB187" i="10" s="1"/>
  <c r="N906" i="19"/>
  <c r="P906" i="19" s="1"/>
  <c r="Q906" i="19" s="1"/>
  <c r="AA49" i="10"/>
  <c r="M209" i="19"/>
  <c r="W49" i="10"/>
  <c r="AB49" i="10" s="1"/>
  <c r="AA159" i="10"/>
  <c r="M759" i="19"/>
  <c r="W159" i="10"/>
  <c r="AB159" i="10" s="1"/>
  <c r="N1486" i="19"/>
  <c r="P1486" i="19" s="1"/>
  <c r="Q1486" i="19" s="1"/>
  <c r="N215" i="19"/>
  <c r="P215" i="19" s="1"/>
  <c r="Y364" i="10"/>
  <c r="AE364" i="10"/>
  <c r="N1488" i="19"/>
  <c r="P1488" i="19" s="1"/>
  <c r="Q1488" i="19" s="1"/>
  <c r="N216" i="19"/>
  <c r="P216" i="19" s="1"/>
  <c r="Q216" i="19" s="1"/>
  <c r="N533" i="19"/>
  <c r="P533" i="19" s="1"/>
  <c r="Q533" i="19" s="1"/>
  <c r="N907" i="19"/>
  <c r="P907" i="19" s="1"/>
  <c r="Q907" i="19" s="1"/>
  <c r="AA265" i="10"/>
  <c r="M1289" i="19"/>
  <c r="W265" i="10"/>
  <c r="AB265" i="10" s="1"/>
  <c r="M719" i="19"/>
  <c r="AA151" i="10"/>
  <c r="W151" i="10"/>
  <c r="AB151" i="10" s="1"/>
  <c r="Q364" i="10"/>
  <c r="N531" i="19"/>
  <c r="P531" i="19" s="1"/>
  <c r="Q531" i="19" s="1"/>
  <c r="V226" i="10"/>
  <c r="Z226" i="10"/>
  <c r="Z269" i="10"/>
  <c r="V269" i="10"/>
  <c r="V215" i="10"/>
  <c r="Z215" i="10"/>
  <c r="V357" i="10"/>
  <c r="Z357" i="10"/>
  <c r="V331" i="10"/>
  <c r="Z331" i="10"/>
  <c r="N980" i="19"/>
  <c r="N981" i="19"/>
  <c r="P981" i="19" s="1"/>
  <c r="Q981" i="19" s="1"/>
  <c r="N982" i="19"/>
  <c r="P982" i="19" s="1"/>
  <c r="Q982" i="19" s="1"/>
  <c r="N983" i="19"/>
  <c r="P983" i="19" s="1"/>
  <c r="Q983" i="19" s="1"/>
  <c r="M1264" i="19"/>
  <c r="W260" i="10"/>
  <c r="AA260" i="10"/>
  <c r="V334" i="10"/>
  <c r="Z334" i="10"/>
  <c r="Z312" i="10"/>
  <c r="V312" i="10"/>
  <c r="M1509" i="19"/>
  <c r="W309" i="10"/>
  <c r="AB309" i="10" s="1"/>
  <c r="Z325" i="10"/>
  <c r="V325" i="10"/>
  <c r="N532" i="19"/>
  <c r="P532" i="19" s="1"/>
  <c r="Q532" i="19" s="1"/>
  <c r="Z257" i="10"/>
  <c r="G25" i="8" s="1"/>
  <c r="V257" i="10"/>
  <c r="G26" i="8" s="1"/>
  <c r="V337" i="10"/>
  <c r="Z337" i="10"/>
  <c r="W293" i="10"/>
  <c r="AB293" i="10" s="1"/>
  <c r="M1429" i="19"/>
  <c r="AA107" i="10"/>
  <c r="M499" i="19"/>
  <c r="W107" i="10"/>
  <c r="AB107" i="10" s="1"/>
  <c r="W353" i="10"/>
  <c r="AB353" i="10" s="1"/>
  <c r="M1729" i="19"/>
  <c r="Z321" i="10"/>
  <c r="V321" i="10"/>
  <c r="V110" i="10"/>
  <c r="AA110" i="10" s="1"/>
  <c r="Z110" i="10"/>
  <c r="V251" i="10"/>
  <c r="Z251" i="10"/>
  <c r="J436" i="13"/>
  <c r="M1404" i="19"/>
  <c r="AA288" i="10"/>
  <c r="W288" i="10"/>
  <c r="AB288" i="10" s="1"/>
  <c r="N882" i="19"/>
  <c r="P882" i="19" s="1"/>
  <c r="Q882" i="19" s="1"/>
  <c r="N883" i="19"/>
  <c r="P883" i="19" s="1"/>
  <c r="Q883" i="19" s="1"/>
  <c r="N881" i="19"/>
  <c r="P881" i="19" s="1"/>
  <c r="Q881" i="19" s="1"/>
  <c r="N880" i="19"/>
  <c r="W228" i="10"/>
  <c r="AA228" i="10"/>
  <c r="M1104" i="19"/>
  <c r="M1659" i="19"/>
  <c r="W339" i="10"/>
  <c r="AB339" i="10" s="1"/>
  <c r="AA339" i="10"/>
  <c r="M389" i="19"/>
  <c r="AA85" i="10"/>
  <c r="W85" i="10"/>
  <c r="AB85" i="10" s="1"/>
  <c r="AA292" i="10"/>
  <c r="M1424" i="19"/>
  <c r="W292" i="10"/>
  <c r="AB292" i="10" s="1"/>
  <c r="N930" i="19"/>
  <c r="N932" i="19"/>
  <c r="P932" i="19" s="1"/>
  <c r="Q932" i="19" s="1"/>
  <c r="N931" i="19"/>
  <c r="P931" i="19" s="1"/>
  <c r="Q931" i="19" s="1"/>
  <c r="N933" i="19"/>
  <c r="P933" i="19" s="1"/>
  <c r="Q933" i="19" s="1"/>
  <c r="N706" i="19"/>
  <c r="P706" i="19" s="1"/>
  <c r="Q706" i="19" s="1"/>
  <c r="N708" i="19"/>
  <c r="P708" i="19" s="1"/>
  <c r="Q708" i="19" s="1"/>
  <c r="N707" i="19"/>
  <c r="P707" i="19" s="1"/>
  <c r="Q707" i="19" s="1"/>
  <c r="N705" i="19"/>
  <c r="M1764" i="19"/>
  <c r="W360" i="10"/>
  <c r="AB360" i="10" s="1"/>
  <c r="AA360" i="10"/>
  <c r="AA181" i="10"/>
  <c r="W181" i="10"/>
  <c r="AB181" i="10" s="1"/>
  <c r="M869" i="19"/>
  <c r="N841" i="19"/>
  <c r="P841" i="19" s="1"/>
  <c r="Q841" i="19" s="1"/>
  <c r="N840" i="19"/>
  <c r="N842" i="19"/>
  <c r="P842" i="19" s="1"/>
  <c r="Q842" i="19" s="1"/>
  <c r="N843" i="19"/>
  <c r="P843" i="19" s="1"/>
  <c r="Q843" i="19" s="1"/>
  <c r="M1204" i="19"/>
  <c r="W248" i="10"/>
  <c r="AB248" i="10" s="1"/>
  <c r="AA248" i="10"/>
  <c r="M1494" i="19"/>
  <c r="W306" i="10"/>
  <c r="AB306" i="10" s="1"/>
  <c r="AA306" i="10"/>
  <c r="N1600" i="19"/>
  <c r="N1602" i="19"/>
  <c r="P1602" i="19" s="1"/>
  <c r="Q1602" i="19" s="1"/>
  <c r="N1601" i="19"/>
  <c r="P1601" i="19" s="1"/>
  <c r="Q1601" i="19" s="1"/>
  <c r="N1603" i="19"/>
  <c r="P1603" i="19" s="1"/>
  <c r="Q1603" i="19" s="1"/>
  <c r="M204" i="19"/>
  <c r="W48" i="10"/>
  <c r="AB48" i="10" s="1"/>
  <c r="AA48" i="10"/>
  <c r="N118" i="19"/>
  <c r="P118" i="19" s="1"/>
  <c r="Q118" i="19" s="1"/>
  <c r="N117" i="19"/>
  <c r="P117" i="19" s="1"/>
  <c r="Q117" i="19" s="1"/>
  <c r="N116" i="19"/>
  <c r="P116" i="19" s="1"/>
  <c r="Q116" i="19" s="1"/>
  <c r="N115" i="19"/>
  <c r="M749" i="19"/>
  <c r="AA157" i="10"/>
  <c r="W157" i="10"/>
  <c r="AB157" i="10" s="1"/>
  <c r="N890" i="19"/>
  <c r="N891" i="19"/>
  <c r="P891" i="19" s="1"/>
  <c r="Q891" i="19" s="1"/>
  <c r="N893" i="19"/>
  <c r="P893" i="19" s="1"/>
  <c r="Q893" i="19" s="1"/>
  <c r="N892" i="19"/>
  <c r="P892" i="19" s="1"/>
  <c r="Q892" i="19" s="1"/>
  <c r="N1188" i="19"/>
  <c r="P1188" i="19" s="1"/>
  <c r="Q1188" i="19" s="1"/>
  <c r="N1186" i="19"/>
  <c r="P1186" i="19" s="1"/>
  <c r="Q1186" i="19" s="1"/>
  <c r="N1185" i="19"/>
  <c r="N1187" i="19"/>
  <c r="P1187" i="19" s="1"/>
  <c r="Q1187" i="19" s="1"/>
  <c r="M1559" i="19"/>
  <c r="W319" i="10"/>
  <c r="AB319" i="10" s="1"/>
  <c r="AA319" i="10"/>
  <c r="P1290" i="19"/>
  <c r="N1294" i="19"/>
  <c r="G266" i="13"/>
  <c r="H266" i="13" s="1"/>
  <c r="I266" i="13" s="1"/>
  <c r="W93" i="10"/>
  <c r="AB93" i="10" s="1"/>
  <c r="M429" i="19"/>
  <c r="N946" i="19"/>
  <c r="P946" i="19" s="1"/>
  <c r="Q946" i="19" s="1"/>
  <c r="N947" i="19"/>
  <c r="P947" i="19" s="1"/>
  <c r="Q947" i="19" s="1"/>
  <c r="N948" i="19"/>
  <c r="P948" i="19" s="1"/>
  <c r="Q948" i="19" s="1"/>
  <c r="N945" i="19"/>
  <c r="W116" i="10"/>
  <c r="AB116" i="10" s="1"/>
  <c r="M544" i="19"/>
  <c r="AA116" i="10"/>
  <c r="M1684" i="19"/>
  <c r="W344" i="10"/>
  <c r="AB344" i="10" s="1"/>
  <c r="AA344" i="10"/>
  <c r="M54" i="19"/>
  <c r="W18" i="10"/>
  <c r="AB18" i="10" s="1"/>
  <c r="AA18" i="10"/>
  <c r="N1362" i="19"/>
  <c r="P1362" i="19" s="1"/>
  <c r="Q1362" i="19" s="1"/>
  <c r="N1360" i="19"/>
  <c r="N1363" i="19"/>
  <c r="P1363" i="19" s="1"/>
  <c r="Q1363" i="19" s="1"/>
  <c r="N1361" i="19"/>
  <c r="P1361" i="19" s="1"/>
  <c r="Q1361" i="19" s="1"/>
  <c r="N321" i="19"/>
  <c r="P321" i="19" s="1"/>
  <c r="Q321" i="19" s="1"/>
  <c r="N323" i="19"/>
  <c r="P323" i="19" s="1"/>
  <c r="Q323" i="19" s="1"/>
  <c r="N322" i="19"/>
  <c r="P322" i="19" s="1"/>
  <c r="Q322" i="19" s="1"/>
  <c r="N320" i="19"/>
  <c r="P585" i="19"/>
  <c r="G125" i="13"/>
  <c r="N589" i="19"/>
  <c r="M104" i="19"/>
  <c r="W28" i="10"/>
  <c r="AB28" i="10" s="1"/>
  <c r="AA28" i="10"/>
  <c r="W287" i="10"/>
  <c r="AB287" i="10" s="1"/>
  <c r="M1399" i="19"/>
  <c r="AA287" i="10"/>
  <c r="AA254" i="10"/>
  <c r="W254" i="10"/>
  <c r="AB254" i="10" s="1"/>
  <c r="M1234" i="19"/>
  <c r="N918" i="19"/>
  <c r="P918" i="19" s="1"/>
  <c r="Q918" i="19" s="1"/>
  <c r="N915" i="19"/>
  <c r="N916" i="19"/>
  <c r="P916" i="19" s="1"/>
  <c r="Q916" i="19" s="1"/>
  <c r="N917" i="19"/>
  <c r="P917" i="19" s="1"/>
  <c r="Q917" i="19" s="1"/>
  <c r="W336" i="10"/>
  <c r="AB336" i="10" s="1"/>
  <c r="M1644" i="19"/>
  <c r="AA336" i="10"/>
  <c r="M1484" i="19"/>
  <c r="W304" i="10"/>
  <c r="AB304" i="10" s="1"/>
  <c r="AA304" i="10"/>
  <c r="N1237" i="19"/>
  <c r="P1237" i="19" s="1"/>
  <c r="Q1237" i="19" s="1"/>
  <c r="N1238" i="19"/>
  <c r="P1238" i="19" s="1"/>
  <c r="Q1238" i="19" s="1"/>
  <c r="N1235" i="19"/>
  <c r="N1236" i="19"/>
  <c r="P1236" i="19" s="1"/>
  <c r="Q1236" i="19" s="1"/>
  <c r="AA351" i="10"/>
  <c r="W351" i="10"/>
  <c r="AB351" i="10" s="1"/>
  <c r="M1719" i="19"/>
  <c r="AA139" i="10"/>
  <c r="W139" i="10"/>
  <c r="AB139" i="10" s="1"/>
  <c r="M659" i="19"/>
  <c r="G114" i="13"/>
  <c r="P530" i="19"/>
  <c r="N1353" i="19"/>
  <c r="P1353" i="19" s="1"/>
  <c r="Q1353" i="19" s="1"/>
  <c r="N1350" i="19"/>
  <c r="N1351" i="19"/>
  <c r="P1351" i="19" s="1"/>
  <c r="Q1351" i="19" s="1"/>
  <c r="N1352" i="19"/>
  <c r="P1352" i="19" s="1"/>
  <c r="Q1352" i="19" s="1"/>
  <c r="N962" i="19"/>
  <c r="P962" i="19" s="1"/>
  <c r="Q962" i="19" s="1"/>
  <c r="N961" i="19"/>
  <c r="P961" i="19" s="1"/>
  <c r="Q961" i="19" s="1"/>
  <c r="N963" i="19"/>
  <c r="P963" i="19" s="1"/>
  <c r="Q963" i="19" s="1"/>
  <c r="N960" i="19"/>
  <c r="N185" i="19"/>
  <c r="N188" i="19"/>
  <c r="P188" i="19" s="1"/>
  <c r="Q188" i="19" s="1"/>
  <c r="N186" i="19"/>
  <c r="P186" i="19" s="1"/>
  <c r="Q186" i="19" s="1"/>
  <c r="N187" i="19"/>
  <c r="P187" i="19" s="1"/>
  <c r="Q187" i="19" s="1"/>
  <c r="N1283" i="19"/>
  <c r="P1283" i="19" s="1"/>
  <c r="Q1283" i="19" s="1"/>
  <c r="N1282" i="19"/>
  <c r="P1282" i="19" s="1"/>
  <c r="Q1282" i="19" s="1"/>
  <c r="N1281" i="19"/>
  <c r="P1281" i="19" s="1"/>
  <c r="Q1281" i="19" s="1"/>
  <c r="N1280" i="19"/>
  <c r="W147" i="10"/>
  <c r="AB147" i="10" s="1"/>
  <c r="M699" i="19"/>
  <c r="AA147" i="10"/>
  <c r="W345" i="10"/>
  <c r="AB345" i="10" s="1"/>
  <c r="M1689" i="19"/>
  <c r="W317" i="10"/>
  <c r="AB317" i="10" s="1"/>
  <c r="M1549" i="19"/>
  <c r="AA317" i="10"/>
  <c r="N92" i="19"/>
  <c r="P92" i="19" s="1"/>
  <c r="Q92" i="19" s="1"/>
  <c r="N93" i="19"/>
  <c r="P93" i="19" s="1"/>
  <c r="Q93" i="19" s="1"/>
  <c r="N91" i="19"/>
  <c r="P91" i="19" s="1"/>
  <c r="Q91" i="19" s="1"/>
  <c r="N90" i="19"/>
  <c r="N195" i="19"/>
  <c r="N196" i="19"/>
  <c r="P196" i="19" s="1"/>
  <c r="Q196" i="19" s="1"/>
  <c r="N197" i="19"/>
  <c r="P197" i="19" s="1"/>
  <c r="Q197" i="19" s="1"/>
  <c r="N198" i="19"/>
  <c r="P198" i="19" s="1"/>
  <c r="Q198" i="19" s="1"/>
  <c r="P586" i="19"/>
  <c r="Q586" i="19" s="1"/>
  <c r="W96" i="10"/>
  <c r="AB96" i="10" s="1"/>
  <c r="M444" i="19"/>
  <c r="AA96" i="10"/>
  <c r="M334" i="19"/>
  <c r="W74" i="10"/>
  <c r="AA74" i="10"/>
  <c r="AA274" i="10"/>
  <c r="W274" i="10"/>
  <c r="AB274" i="10" s="1"/>
  <c r="M1334" i="19"/>
  <c r="AA32" i="10"/>
  <c r="M124" i="19"/>
  <c r="W32" i="10"/>
  <c r="AB32" i="10" s="1"/>
  <c r="N1155" i="19"/>
  <c r="N1157" i="19"/>
  <c r="P1157" i="19" s="1"/>
  <c r="Q1157" i="19" s="1"/>
  <c r="N1158" i="19"/>
  <c r="P1158" i="19" s="1"/>
  <c r="Q1158" i="19" s="1"/>
  <c r="N1156" i="19"/>
  <c r="P1156" i="19" s="1"/>
  <c r="Q1156" i="19" s="1"/>
  <c r="W259" i="10"/>
  <c r="AB259" i="10" s="1"/>
  <c r="M1259" i="19"/>
  <c r="AA259" i="10"/>
  <c r="N275" i="19"/>
  <c r="N278" i="19"/>
  <c r="P278" i="19" s="1"/>
  <c r="Q278" i="19" s="1"/>
  <c r="N276" i="19"/>
  <c r="P276" i="19" s="1"/>
  <c r="Q276" i="19" s="1"/>
  <c r="N277" i="19"/>
  <c r="P277" i="19" s="1"/>
  <c r="Q277" i="19" s="1"/>
  <c r="W180" i="10"/>
  <c r="AB180" i="10" s="1"/>
  <c r="AA180" i="10"/>
  <c r="M864" i="19"/>
  <c r="N1591" i="19"/>
  <c r="P1591" i="19" s="1"/>
  <c r="Q1591" i="19" s="1"/>
  <c r="N1593" i="19"/>
  <c r="P1593" i="19" s="1"/>
  <c r="Q1593" i="19" s="1"/>
  <c r="N1592" i="19"/>
  <c r="P1592" i="19" s="1"/>
  <c r="Q1592" i="19" s="1"/>
  <c r="N1590" i="19"/>
  <c r="N642" i="19"/>
  <c r="P642" i="19" s="1"/>
  <c r="Q642" i="19" s="1"/>
  <c r="N641" i="19"/>
  <c r="P641" i="19" s="1"/>
  <c r="Q641" i="19" s="1"/>
  <c r="N640" i="19"/>
  <c r="N643" i="19"/>
  <c r="P643" i="19" s="1"/>
  <c r="Q643" i="19" s="1"/>
  <c r="AA240" i="10"/>
  <c r="M1164" i="19"/>
  <c r="W240" i="10"/>
  <c r="AB240" i="10" s="1"/>
  <c r="N920" i="19"/>
  <c r="N921" i="19"/>
  <c r="P921" i="19" s="1"/>
  <c r="Q921" i="19" s="1"/>
  <c r="N922" i="19"/>
  <c r="P922" i="19" s="1"/>
  <c r="Q922" i="19" s="1"/>
  <c r="N923" i="19"/>
  <c r="P923" i="19" s="1"/>
  <c r="Q923" i="19" s="1"/>
  <c r="N523" i="19"/>
  <c r="P523" i="19" s="1"/>
  <c r="Q523" i="19" s="1"/>
  <c r="N520" i="19"/>
  <c r="N521" i="19"/>
  <c r="P521" i="19" s="1"/>
  <c r="Q521" i="19" s="1"/>
  <c r="N522" i="19"/>
  <c r="P522" i="19" s="1"/>
  <c r="Q522" i="19" s="1"/>
  <c r="N812" i="19"/>
  <c r="P812" i="19" s="1"/>
  <c r="Q812" i="19" s="1"/>
  <c r="N811" i="19"/>
  <c r="P811" i="19" s="1"/>
  <c r="Q811" i="19" s="1"/>
  <c r="N813" i="19"/>
  <c r="P813" i="19" s="1"/>
  <c r="Q813" i="19" s="1"/>
  <c r="N810" i="19"/>
  <c r="N986" i="19"/>
  <c r="P986" i="19" s="1"/>
  <c r="Q986" i="19" s="1"/>
  <c r="N985" i="19"/>
  <c r="N987" i="19"/>
  <c r="P987" i="19" s="1"/>
  <c r="Q987" i="19" s="1"/>
  <c r="N988" i="19"/>
  <c r="P988" i="19" s="1"/>
  <c r="Q988" i="19" s="1"/>
  <c r="N680" i="19"/>
  <c r="N681" i="19"/>
  <c r="P681" i="19" s="1"/>
  <c r="Q681" i="19" s="1"/>
  <c r="N683" i="19"/>
  <c r="P683" i="19" s="1"/>
  <c r="Q683" i="19" s="1"/>
  <c r="N682" i="19"/>
  <c r="P682" i="19" s="1"/>
  <c r="Q682" i="19" s="1"/>
  <c r="N1013" i="19"/>
  <c r="P1013" i="19" s="1"/>
  <c r="Q1013" i="19" s="1"/>
  <c r="N1012" i="19"/>
  <c r="P1012" i="19" s="1"/>
  <c r="Q1012" i="19" s="1"/>
  <c r="N1011" i="19"/>
  <c r="P1011" i="19" s="1"/>
  <c r="Q1011" i="19" s="1"/>
  <c r="N1010" i="19"/>
  <c r="W163" i="10"/>
  <c r="AB163" i="10" s="1"/>
  <c r="M779" i="19"/>
  <c r="P96" i="19"/>
  <c r="Q96" i="19" s="1"/>
  <c r="N1045" i="19"/>
  <c r="N1046" i="19"/>
  <c r="N1047" i="19"/>
  <c r="P1047" i="19" s="1"/>
  <c r="Q1047" i="19" s="1"/>
  <c r="N1048" i="19"/>
  <c r="P1048" i="19" s="1"/>
  <c r="Q1048" i="19" s="1"/>
  <c r="M729" i="19"/>
  <c r="W153" i="10"/>
  <c r="AB153" i="10" s="1"/>
  <c r="AA153" i="10"/>
  <c r="G352" i="13"/>
  <c r="P1720" i="19"/>
  <c r="N928" i="19"/>
  <c r="P928" i="19" s="1"/>
  <c r="Q928" i="19" s="1"/>
  <c r="N927" i="19"/>
  <c r="P927" i="19" s="1"/>
  <c r="Q927" i="19" s="1"/>
  <c r="N926" i="19"/>
  <c r="N925" i="19"/>
  <c r="N781" i="19"/>
  <c r="P781" i="19" s="1"/>
  <c r="Q781" i="19" s="1"/>
  <c r="N780" i="19"/>
  <c r="N783" i="19"/>
  <c r="P783" i="19" s="1"/>
  <c r="Q783" i="19" s="1"/>
  <c r="N782" i="19"/>
  <c r="P782" i="19" s="1"/>
  <c r="Q782" i="19" s="1"/>
  <c r="N1560" i="19"/>
  <c r="N1561" i="19"/>
  <c r="N1562" i="19"/>
  <c r="P1562" i="19" s="1"/>
  <c r="Q1562" i="19" s="1"/>
  <c r="N1563" i="19"/>
  <c r="P1563" i="19" s="1"/>
  <c r="Q1563" i="19" s="1"/>
  <c r="N1121" i="19"/>
  <c r="P1121" i="19" s="1"/>
  <c r="Q1121" i="19" s="1"/>
  <c r="N1123" i="19"/>
  <c r="P1123" i="19" s="1"/>
  <c r="Q1123" i="19" s="1"/>
  <c r="N1120" i="19"/>
  <c r="N1122" i="19"/>
  <c r="P1122" i="19" s="1"/>
  <c r="Q1122" i="19" s="1"/>
  <c r="P710" i="19"/>
  <c r="G150" i="13"/>
  <c r="N714" i="19"/>
  <c r="G185" i="13"/>
  <c r="N889" i="19"/>
  <c r="P885" i="19"/>
  <c r="G126" i="13"/>
  <c r="P590" i="19"/>
  <c r="P316" i="19"/>
  <c r="Q316" i="19" s="1"/>
  <c r="N58" i="19"/>
  <c r="P58" i="19" s="1"/>
  <c r="Q58" i="19" s="1"/>
  <c r="N57" i="19"/>
  <c r="P57" i="19" s="1"/>
  <c r="Q57" i="19" s="1"/>
  <c r="N56" i="19"/>
  <c r="P56" i="19" s="1"/>
  <c r="Q56" i="19" s="1"/>
  <c r="N55" i="19"/>
  <c r="G311" i="13"/>
  <c r="N1519" i="19"/>
  <c r="P1515" i="19"/>
  <c r="N1242" i="19"/>
  <c r="P1242" i="19" s="1"/>
  <c r="Q1242" i="19" s="1"/>
  <c r="N1243" i="19"/>
  <c r="P1243" i="19" s="1"/>
  <c r="Q1243" i="19" s="1"/>
  <c r="N1240" i="19"/>
  <c r="N1241" i="19"/>
  <c r="P1241" i="19" s="1"/>
  <c r="Q1241" i="19" s="1"/>
  <c r="K182" i="15"/>
  <c r="L182" i="15" s="1"/>
  <c r="H271" i="13"/>
  <c r="I271" i="13" s="1"/>
  <c r="W146" i="10"/>
  <c r="AB146" i="10" s="1"/>
  <c r="M694" i="19"/>
  <c r="M1149" i="19"/>
  <c r="W237" i="10"/>
  <c r="AB237" i="10" s="1"/>
  <c r="AA237" i="10"/>
  <c r="W190" i="10"/>
  <c r="AB190" i="10" s="1"/>
  <c r="M914" i="19"/>
  <c r="AA190" i="10"/>
  <c r="M264" i="19"/>
  <c r="W60" i="10"/>
  <c r="AB60" i="10" s="1"/>
  <c r="AA60" i="10"/>
  <c r="P156" i="19"/>
  <c r="Q156" i="19" s="1"/>
  <c r="W313" i="10"/>
  <c r="AB313" i="10" s="1"/>
  <c r="M1529" i="19"/>
  <c r="AA313" i="10"/>
  <c r="G87" i="13"/>
  <c r="N399" i="19"/>
  <c r="P395" i="19"/>
  <c r="G118" i="13"/>
  <c r="P550" i="19"/>
  <c r="N297" i="19"/>
  <c r="P297" i="19" s="1"/>
  <c r="Q297" i="19" s="1"/>
  <c r="N298" i="19"/>
  <c r="P298" i="19" s="1"/>
  <c r="Q298" i="19" s="1"/>
  <c r="N295" i="19"/>
  <c r="N296" i="19"/>
  <c r="P296" i="19" s="1"/>
  <c r="Q296" i="19" s="1"/>
  <c r="P1060" i="19"/>
  <c r="G220" i="13"/>
  <c r="M1444" i="19"/>
  <c r="W296" i="10"/>
  <c r="AB296" i="10" s="1"/>
  <c r="AA296" i="10"/>
  <c r="G324" i="13"/>
  <c r="P1580" i="19"/>
  <c r="N1021" i="19"/>
  <c r="N1023" i="19"/>
  <c r="P1023" i="19" s="1"/>
  <c r="Q1023" i="19" s="1"/>
  <c r="N1020" i="19"/>
  <c r="N1022" i="19"/>
  <c r="P1022" i="19" s="1"/>
  <c r="Q1022" i="19" s="1"/>
  <c r="P855" i="19"/>
  <c r="G179" i="13"/>
  <c r="N859" i="19"/>
  <c r="N1373" i="19"/>
  <c r="P1373" i="19" s="1"/>
  <c r="Q1373" i="19" s="1"/>
  <c r="N1370" i="19"/>
  <c r="N1371" i="19"/>
  <c r="N1372" i="19"/>
  <c r="P1372" i="19" s="1"/>
  <c r="Q1372" i="19" s="1"/>
  <c r="G160" i="13"/>
  <c r="N764" i="19"/>
  <c r="P760" i="19"/>
  <c r="M1139" i="19"/>
  <c r="W235" i="10"/>
  <c r="AB235" i="10" s="1"/>
  <c r="AA235" i="10"/>
  <c r="N526" i="19"/>
  <c r="P526" i="19" s="1"/>
  <c r="Q526" i="19" s="1"/>
  <c r="N527" i="19"/>
  <c r="P527" i="19" s="1"/>
  <c r="Q527" i="19" s="1"/>
  <c r="N525" i="19"/>
  <c r="N528" i="19"/>
  <c r="P528" i="19" s="1"/>
  <c r="Q528" i="19" s="1"/>
  <c r="P1040" i="19"/>
  <c r="G216" i="13"/>
  <c r="N1044" i="19"/>
  <c r="Q445" i="19"/>
  <c r="P449" i="19"/>
  <c r="Q449" i="19" s="1"/>
  <c r="N1388" i="19"/>
  <c r="P1388" i="19" s="1"/>
  <c r="Q1388" i="19" s="1"/>
  <c r="N1386" i="19"/>
  <c r="P1386" i="19" s="1"/>
  <c r="Q1386" i="19" s="1"/>
  <c r="N1387" i="19"/>
  <c r="P1387" i="19" s="1"/>
  <c r="Q1387" i="19" s="1"/>
  <c r="N1385" i="19"/>
  <c r="W314" i="10"/>
  <c r="AB314" i="10" s="1"/>
  <c r="M1534" i="19"/>
  <c r="AA314" i="10"/>
  <c r="M129" i="19"/>
  <c r="W33" i="10"/>
  <c r="AB33" i="10" s="1"/>
  <c r="AA33" i="10"/>
  <c r="M69" i="19"/>
  <c r="W21" i="10"/>
  <c r="AB21" i="10" s="1"/>
  <c r="AA21" i="10"/>
  <c r="P46" i="19"/>
  <c r="Q46" i="19" s="1"/>
  <c r="N838" i="19"/>
  <c r="P838" i="19" s="1"/>
  <c r="Q838" i="19" s="1"/>
  <c r="N837" i="19"/>
  <c r="P837" i="19" s="1"/>
  <c r="Q837" i="19" s="1"/>
  <c r="N835" i="19"/>
  <c r="N836" i="19"/>
  <c r="P836" i="19" s="1"/>
  <c r="Q836" i="19" s="1"/>
  <c r="G356" i="13"/>
  <c r="N1744" i="19"/>
  <c r="P1740" i="19"/>
  <c r="M959" i="19"/>
  <c r="W199" i="10"/>
  <c r="AB199" i="10" s="1"/>
  <c r="P571" i="19"/>
  <c r="Q571" i="19" s="1"/>
  <c r="G16" i="13"/>
  <c r="P40" i="19"/>
  <c r="N1065" i="19"/>
  <c r="N1068" i="19"/>
  <c r="P1068" i="19" s="1"/>
  <c r="Q1068" i="19" s="1"/>
  <c r="N1066" i="19"/>
  <c r="P1066" i="19" s="1"/>
  <c r="Q1066" i="19" s="1"/>
  <c r="N1067" i="19"/>
  <c r="P1067" i="19" s="1"/>
  <c r="Q1067" i="19" s="1"/>
  <c r="N1211" i="19"/>
  <c r="P1211" i="19" s="1"/>
  <c r="Q1211" i="19" s="1"/>
  <c r="N1212" i="19"/>
  <c r="P1212" i="19" s="1"/>
  <c r="Q1212" i="19" s="1"/>
  <c r="N1210" i="19"/>
  <c r="N1213" i="19"/>
  <c r="P1213" i="19" s="1"/>
  <c r="Q1213" i="19" s="1"/>
  <c r="W124" i="10"/>
  <c r="AB124" i="10" s="1"/>
  <c r="M584" i="19"/>
  <c r="AA124" i="10"/>
  <c r="P95" i="19"/>
  <c r="N99" i="19"/>
  <c r="G27" i="13"/>
  <c r="N1335" i="19"/>
  <c r="N1336" i="19"/>
  <c r="P1336" i="19" s="1"/>
  <c r="Q1336" i="19" s="1"/>
  <c r="N1337" i="19"/>
  <c r="P1337" i="19" s="1"/>
  <c r="Q1337" i="19" s="1"/>
  <c r="N1338" i="19"/>
  <c r="P1338" i="19" s="1"/>
  <c r="Q1338" i="19" s="1"/>
  <c r="W276" i="10"/>
  <c r="AB276" i="10" s="1"/>
  <c r="M1344" i="19"/>
  <c r="AA276" i="10"/>
  <c r="W182" i="10"/>
  <c r="AB182" i="10" s="1"/>
  <c r="M874" i="19"/>
  <c r="AA182" i="10"/>
  <c r="P570" i="19"/>
  <c r="G122" i="13"/>
  <c r="N574" i="19"/>
  <c r="N675" i="19"/>
  <c r="N677" i="19"/>
  <c r="P677" i="19" s="1"/>
  <c r="Q677" i="19" s="1"/>
  <c r="N676" i="19"/>
  <c r="N678" i="19"/>
  <c r="P678" i="19" s="1"/>
  <c r="Q678" i="19" s="1"/>
  <c r="M1574" i="19"/>
  <c r="W322" i="10"/>
  <c r="AB322" i="10" s="1"/>
  <c r="AA322" i="10"/>
  <c r="G99" i="13"/>
  <c r="N459" i="19"/>
  <c r="P455" i="19"/>
  <c r="M114" i="19"/>
  <c r="W30" i="10"/>
  <c r="AB30" i="10" s="1"/>
  <c r="AA30" i="10"/>
  <c r="N1131" i="19"/>
  <c r="N1130" i="19"/>
  <c r="N1133" i="19"/>
  <c r="P1133" i="19" s="1"/>
  <c r="Q1133" i="19" s="1"/>
  <c r="N1132" i="19"/>
  <c r="P1132" i="19" s="1"/>
  <c r="Q1132" i="19" s="1"/>
  <c r="M484" i="19"/>
  <c r="W104" i="10"/>
  <c r="AB104" i="10" s="1"/>
  <c r="P411" i="19"/>
  <c r="Q411" i="19" s="1"/>
  <c r="P830" i="19"/>
  <c r="G174" i="13"/>
  <c r="N834" i="19"/>
  <c r="W195" i="10"/>
  <c r="AB195" i="10" s="1"/>
  <c r="M939" i="19"/>
  <c r="AA195" i="10"/>
  <c r="M969" i="19"/>
  <c r="W201" i="10"/>
  <c r="AB201" i="10" s="1"/>
  <c r="AA201" i="10"/>
  <c r="P307" i="19"/>
  <c r="Q307" i="19" s="1"/>
  <c r="W202" i="10"/>
  <c r="AB202" i="10" s="1"/>
  <c r="M974" i="19"/>
  <c r="AA202" i="10"/>
  <c r="W272" i="10"/>
  <c r="AB272" i="10" s="1"/>
  <c r="M1324" i="19"/>
  <c r="AA272" i="10"/>
  <c r="N1253" i="19"/>
  <c r="P1253" i="19" s="1"/>
  <c r="Q1253" i="19" s="1"/>
  <c r="N1251" i="19"/>
  <c r="P1251" i="19" s="1"/>
  <c r="Q1251" i="19" s="1"/>
  <c r="N1252" i="19"/>
  <c r="P1252" i="19" s="1"/>
  <c r="Q1252" i="19" s="1"/>
  <c r="N1250" i="19"/>
  <c r="P1270" i="19"/>
  <c r="G262" i="13"/>
  <c r="K116" i="15"/>
  <c r="L116" i="15" s="1"/>
  <c r="H173" i="13"/>
  <c r="I173" i="13" s="1"/>
  <c r="G88" i="13"/>
  <c r="N404" i="19"/>
  <c r="P400" i="19"/>
  <c r="P146" i="19"/>
  <c r="Q146" i="19" s="1"/>
  <c r="N290" i="19"/>
  <c r="N292" i="19"/>
  <c r="P292" i="19" s="1"/>
  <c r="Q292" i="19" s="1"/>
  <c r="N293" i="19"/>
  <c r="P293" i="19" s="1"/>
  <c r="Q293" i="19" s="1"/>
  <c r="N291" i="19"/>
  <c r="W238" i="10"/>
  <c r="AB238" i="10" s="1"/>
  <c r="M1154" i="19"/>
  <c r="AA238" i="10"/>
  <c r="G223" i="13"/>
  <c r="P1075" i="19"/>
  <c r="G148" i="13"/>
  <c r="N704" i="19"/>
  <c r="P700" i="19"/>
  <c r="P1025" i="19"/>
  <c r="G213" i="13"/>
  <c r="N1029" i="19"/>
  <c r="N1170" i="19"/>
  <c r="N1171" i="19"/>
  <c r="P1171" i="19" s="1"/>
  <c r="Q1171" i="19" s="1"/>
  <c r="N1172" i="19"/>
  <c r="P1172" i="19" s="1"/>
  <c r="Q1172" i="19" s="1"/>
  <c r="N1173" i="19"/>
  <c r="P1173" i="19" s="1"/>
  <c r="Q1173" i="19" s="1"/>
  <c r="W253" i="10"/>
  <c r="AB253" i="10" s="1"/>
  <c r="M1229" i="19"/>
  <c r="AA253" i="10"/>
  <c r="G243" i="13"/>
  <c r="P1175" i="19"/>
  <c r="N639" i="19"/>
  <c r="G135" i="13"/>
  <c r="P635" i="19"/>
  <c r="N1503" i="19"/>
  <c r="P1503" i="19" s="1"/>
  <c r="Q1503" i="19" s="1"/>
  <c r="N1500" i="19"/>
  <c r="N1502" i="19"/>
  <c r="P1502" i="19" s="1"/>
  <c r="Q1502" i="19" s="1"/>
  <c r="N1501" i="19"/>
  <c r="P1501" i="19" s="1"/>
  <c r="Q1501" i="19" s="1"/>
  <c r="G14" i="13"/>
  <c r="P30" i="19"/>
  <c r="N34" i="19"/>
  <c r="N393" i="19"/>
  <c r="P393" i="19" s="1"/>
  <c r="Q393" i="19" s="1"/>
  <c r="N391" i="19"/>
  <c r="P391" i="19" s="1"/>
  <c r="Q391" i="19" s="1"/>
  <c r="N390" i="19"/>
  <c r="N392" i="19"/>
  <c r="P392" i="19" s="1"/>
  <c r="Q392" i="19" s="1"/>
  <c r="K119" i="15"/>
  <c r="L119" i="15" s="1"/>
  <c r="H177" i="13"/>
  <c r="I177" i="13" s="1"/>
  <c r="N372" i="19"/>
  <c r="P372" i="19" s="1"/>
  <c r="Q372" i="19" s="1"/>
  <c r="N371" i="19"/>
  <c r="P371" i="19" s="1"/>
  <c r="Q371" i="19" s="1"/>
  <c r="N370" i="19"/>
  <c r="N373" i="19"/>
  <c r="P373" i="19" s="1"/>
  <c r="Q373" i="19" s="1"/>
  <c r="W142" i="10"/>
  <c r="AB142" i="10" s="1"/>
  <c r="M674" i="19"/>
  <c r="AA142" i="10"/>
  <c r="P1430" i="19"/>
  <c r="N1434" i="19"/>
  <c r="G294" i="13"/>
  <c r="N486" i="19"/>
  <c r="N488" i="19"/>
  <c r="P488" i="19" s="1"/>
  <c r="Q488" i="19" s="1"/>
  <c r="N485" i="19"/>
  <c r="N487" i="19"/>
  <c r="P487" i="19" s="1"/>
  <c r="Q487" i="19" s="1"/>
  <c r="N153" i="19"/>
  <c r="P153" i="19" s="1"/>
  <c r="Q153" i="19" s="1"/>
  <c r="N151" i="19"/>
  <c r="N150" i="19"/>
  <c r="N152" i="19"/>
  <c r="M979" i="19"/>
  <c r="W203" i="10"/>
  <c r="AB203" i="10" s="1"/>
  <c r="AA203" i="10"/>
  <c r="N191" i="19"/>
  <c r="N190" i="19"/>
  <c r="N193" i="19"/>
  <c r="P193" i="19" s="1"/>
  <c r="Q193" i="19" s="1"/>
  <c r="N192" i="19"/>
  <c r="P192" i="19" s="1"/>
  <c r="Q192" i="19" s="1"/>
  <c r="N996" i="19"/>
  <c r="P996" i="19" s="1"/>
  <c r="Q996" i="19" s="1"/>
  <c r="N997" i="19"/>
  <c r="P997" i="19" s="1"/>
  <c r="Q997" i="19" s="1"/>
  <c r="N998" i="19"/>
  <c r="P998" i="19" s="1"/>
  <c r="Q998" i="19" s="1"/>
  <c r="N995" i="19"/>
  <c r="N1053" i="19"/>
  <c r="P1053" i="19" s="1"/>
  <c r="Q1053" i="19" s="1"/>
  <c r="N1051" i="19"/>
  <c r="P1051" i="19" s="1"/>
  <c r="Q1051" i="19" s="1"/>
  <c r="N1050" i="19"/>
  <c r="N1052" i="19"/>
  <c r="P1052" i="19" s="1"/>
  <c r="Q1052" i="19" s="1"/>
  <c r="N319" i="19"/>
  <c r="P315" i="19"/>
  <c r="G71" i="13"/>
  <c r="K102" i="15"/>
  <c r="L102" i="15" s="1"/>
  <c r="H158" i="13"/>
  <c r="I158" i="13" s="1"/>
  <c r="M569" i="19"/>
  <c r="W121" i="10"/>
  <c r="AB121" i="10" s="1"/>
  <c r="AA121" i="10"/>
  <c r="G129" i="13"/>
  <c r="P605" i="19"/>
  <c r="P147" i="19"/>
  <c r="Q147" i="19" s="1"/>
  <c r="M519" i="19"/>
  <c r="W111" i="10"/>
  <c r="AB111" i="10" s="1"/>
  <c r="AA111" i="10"/>
  <c r="M214" i="19"/>
  <c r="W50" i="10"/>
  <c r="AB50" i="10" s="1"/>
  <c r="AA50" i="10"/>
  <c r="P155" i="19"/>
  <c r="G39" i="13"/>
  <c r="N159" i="19"/>
  <c r="W249" i="10"/>
  <c r="AB249" i="10" s="1"/>
  <c r="M1209" i="19"/>
  <c r="AA249" i="10"/>
  <c r="N265" i="19"/>
  <c r="N268" i="19"/>
  <c r="P268" i="19" s="1"/>
  <c r="Q268" i="19" s="1"/>
  <c r="N267" i="19"/>
  <c r="P267" i="19" s="1"/>
  <c r="Q267" i="19" s="1"/>
  <c r="N266" i="19"/>
  <c r="P396" i="19"/>
  <c r="Q396" i="19" s="1"/>
  <c r="N669" i="19"/>
  <c r="P665" i="19"/>
  <c r="G141" i="13"/>
  <c r="P791" i="19"/>
  <c r="Q791" i="19" s="1"/>
  <c r="N723" i="19"/>
  <c r="P723" i="19" s="1"/>
  <c r="Q723" i="19" s="1"/>
  <c r="N720" i="19"/>
  <c r="N722" i="19"/>
  <c r="P722" i="19" s="1"/>
  <c r="Q722" i="19" s="1"/>
  <c r="N721" i="19"/>
  <c r="P721" i="19" s="1"/>
  <c r="Q721" i="19" s="1"/>
  <c r="P1415" i="19"/>
  <c r="G291" i="13"/>
  <c r="N1005" i="19"/>
  <c r="N1008" i="19"/>
  <c r="P1008" i="19" s="1"/>
  <c r="Q1008" i="19" s="1"/>
  <c r="N1006" i="19"/>
  <c r="P1006" i="19" s="1"/>
  <c r="Q1006" i="19" s="1"/>
  <c r="N1007" i="19"/>
  <c r="P1007" i="19" s="1"/>
  <c r="Q1007" i="19" s="1"/>
  <c r="P1406" i="19"/>
  <c r="Q1406" i="19" s="1"/>
  <c r="M249" i="19"/>
  <c r="W57" i="10"/>
  <c r="AB57" i="10" s="1"/>
  <c r="AA57" i="10"/>
  <c r="K65" i="15"/>
  <c r="L65" i="15" s="1"/>
  <c r="H97" i="13"/>
  <c r="I97" i="13" s="1"/>
  <c r="N378" i="19"/>
  <c r="P378" i="19" s="1"/>
  <c r="Q378" i="19" s="1"/>
  <c r="N377" i="19"/>
  <c r="P377" i="19" s="1"/>
  <c r="Q377" i="19" s="1"/>
  <c r="N376" i="19"/>
  <c r="N375" i="19"/>
  <c r="M74" i="19"/>
  <c r="W22" i="10"/>
  <c r="AB22" i="10" s="1"/>
  <c r="AA22" i="10"/>
  <c r="N685" i="19"/>
  <c r="N688" i="19"/>
  <c r="P688" i="19" s="1"/>
  <c r="Q688" i="19" s="1"/>
  <c r="N687" i="19"/>
  <c r="P687" i="19" s="1"/>
  <c r="Q687" i="19" s="1"/>
  <c r="N686" i="19"/>
  <c r="P686" i="19" s="1"/>
  <c r="Q686" i="19" s="1"/>
  <c r="W91" i="10"/>
  <c r="AB91" i="10" s="1"/>
  <c r="M419" i="19"/>
  <c r="AA91" i="10"/>
  <c r="M1074" i="19"/>
  <c r="W222" i="10"/>
  <c r="AB222" i="10" s="1"/>
  <c r="AA222" i="10"/>
  <c r="P27" i="19"/>
  <c r="Q27" i="19" s="1"/>
  <c r="N598" i="19"/>
  <c r="P598" i="19" s="1"/>
  <c r="Q598" i="19" s="1"/>
  <c r="N597" i="19"/>
  <c r="P597" i="19" s="1"/>
  <c r="Q597" i="19" s="1"/>
  <c r="N595" i="19"/>
  <c r="N596" i="19"/>
  <c r="G108" i="13"/>
  <c r="P500" i="19"/>
  <c r="M1394" i="19"/>
  <c r="W286" i="10"/>
  <c r="AB286" i="10" s="1"/>
  <c r="AA286" i="10"/>
  <c r="M954" i="19"/>
  <c r="W198" i="10"/>
  <c r="AB198" i="10" s="1"/>
  <c r="N852" i="19"/>
  <c r="P852" i="19" s="1"/>
  <c r="Q852" i="19" s="1"/>
  <c r="N853" i="19"/>
  <c r="P853" i="19" s="1"/>
  <c r="Q853" i="19" s="1"/>
  <c r="N851" i="19"/>
  <c r="N850" i="19"/>
  <c r="G90" i="13"/>
  <c r="P410" i="19"/>
  <c r="N414" i="19"/>
  <c r="W92" i="10"/>
  <c r="AB92" i="10" s="1"/>
  <c r="M424" i="19"/>
  <c r="AA92" i="10"/>
  <c r="M1674" i="19"/>
  <c r="W342" i="10"/>
  <c r="AB342" i="10" s="1"/>
  <c r="AA342" i="10"/>
  <c r="P97" i="19"/>
  <c r="Q97" i="19" s="1"/>
  <c r="W229" i="10"/>
  <c r="AB229" i="10" s="1"/>
  <c r="M1109" i="19"/>
  <c r="AA229" i="10"/>
  <c r="W123" i="10"/>
  <c r="AB123" i="10" s="1"/>
  <c r="M579" i="19"/>
  <c r="AA123" i="10"/>
  <c r="M224" i="19"/>
  <c r="W52" i="10"/>
  <c r="AB52" i="10" s="1"/>
  <c r="AA52" i="10"/>
  <c r="N1464" i="19"/>
  <c r="G300" i="13"/>
  <c r="P1460" i="19"/>
  <c r="N350" i="19"/>
  <c r="N353" i="19"/>
  <c r="P353" i="19" s="1"/>
  <c r="Q353" i="19" s="1"/>
  <c r="N352" i="19"/>
  <c r="P352" i="19" s="1"/>
  <c r="Q352" i="19" s="1"/>
  <c r="N351" i="19"/>
  <c r="N1625" i="19"/>
  <c r="N1627" i="19"/>
  <c r="P1627" i="19" s="1"/>
  <c r="Q1627" i="19" s="1"/>
  <c r="N1626" i="19"/>
  <c r="P1626" i="19" s="1"/>
  <c r="Q1626" i="19" s="1"/>
  <c r="N1628" i="19"/>
  <c r="P1628" i="19" s="1"/>
  <c r="Q1628" i="19" s="1"/>
  <c r="P1455" i="19"/>
  <c r="G299" i="13"/>
  <c r="Q545" i="19"/>
  <c r="N807" i="19"/>
  <c r="P807" i="19" s="1"/>
  <c r="Q807" i="19" s="1"/>
  <c r="N806" i="19"/>
  <c r="P806" i="19" s="1"/>
  <c r="Q806" i="19" s="1"/>
  <c r="N808" i="19"/>
  <c r="P808" i="19" s="1"/>
  <c r="Q808" i="19" s="1"/>
  <c r="N805" i="19"/>
  <c r="W290" i="10"/>
  <c r="AB290" i="10" s="1"/>
  <c r="M1414" i="19"/>
  <c r="G196" i="13"/>
  <c r="P940" i="19"/>
  <c r="P166" i="19"/>
  <c r="Q166" i="19" s="1"/>
  <c r="W15" i="10"/>
  <c r="AB15" i="10" s="1"/>
  <c r="M39" i="19"/>
  <c r="AA15" i="10"/>
  <c r="W263" i="10"/>
  <c r="AB263" i="10" s="1"/>
  <c r="M1279" i="19"/>
  <c r="AA263" i="10"/>
  <c r="M304" i="19"/>
  <c r="W68" i="10"/>
  <c r="AB68" i="10" s="1"/>
  <c r="AA68" i="10"/>
  <c r="P317" i="19"/>
  <c r="Q317" i="19" s="1"/>
  <c r="N77" i="19"/>
  <c r="P77" i="19" s="1"/>
  <c r="Q77" i="19" s="1"/>
  <c r="N78" i="19"/>
  <c r="P78" i="19" s="1"/>
  <c r="Q78" i="19" s="1"/>
  <c r="N75" i="19"/>
  <c r="N76" i="19"/>
  <c r="H165" i="13"/>
  <c r="I165" i="13" s="1"/>
  <c r="N1706" i="19"/>
  <c r="P1706" i="19" s="1"/>
  <c r="Q1706" i="19" s="1"/>
  <c r="N1707" i="19"/>
  <c r="P1707" i="19" s="1"/>
  <c r="Q1707" i="19" s="1"/>
  <c r="N1708" i="19"/>
  <c r="P1708" i="19" s="1"/>
  <c r="Q1708" i="19" s="1"/>
  <c r="N1705" i="19"/>
  <c r="P401" i="19"/>
  <c r="Q401" i="19" s="1"/>
  <c r="G37" i="13"/>
  <c r="N149" i="19"/>
  <c r="P145" i="19"/>
  <c r="N357" i="19"/>
  <c r="P357" i="19" s="1"/>
  <c r="Q357" i="19" s="1"/>
  <c r="N358" i="19"/>
  <c r="P358" i="19" s="1"/>
  <c r="Q358" i="19" s="1"/>
  <c r="N355" i="19"/>
  <c r="N356" i="19"/>
  <c r="P356" i="19" s="1"/>
  <c r="Q356" i="19" s="1"/>
  <c r="W261" i="10"/>
  <c r="AB261" i="10" s="1"/>
  <c r="M1269" i="19"/>
  <c r="AA261" i="10"/>
  <c r="N1445" i="19"/>
  <c r="N1446" i="19"/>
  <c r="P1446" i="19" s="1"/>
  <c r="Q1446" i="19" s="1"/>
  <c r="N1447" i="19"/>
  <c r="P1447" i="19" s="1"/>
  <c r="Q1447" i="19" s="1"/>
  <c r="N1448" i="19"/>
  <c r="P1448" i="19" s="1"/>
  <c r="Q1448" i="19" s="1"/>
  <c r="N327" i="19"/>
  <c r="P327" i="19" s="1"/>
  <c r="Q327" i="19" s="1"/>
  <c r="N325" i="19"/>
  <c r="N326" i="19"/>
  <c r="P326" i="19" s="1"/>
  <c r="Q326" i="19" s="1"/>
  <c r="N328" i="19"/>
  <c r="P328" i="19" s="1"/>
  <c r="Q328" i="19" s="1"/>
  <c r="W138" i="10"/>
  <c r="AB138" i="10" s="1"/>
  <c r="M654" i="19"/>
  <c r="W84" i="10"/>
  <c r="AB84" i="10" s="1"/>
  <c r="M384" i="19"/>
  <c r="AA84" i="10"/>
  <c r="P1000" i="19"/>
  <c r="G208" i="13"/>
  <c r="N824" i="19"/>
  <c r="P820" i="19"/>
  <c r="G172" i="13"/>
  <c r="G348" i="13"/>
  <c r="P1700" i="19"/>
  <c r="N1704" i="19"/>
  <c r="Q845" i="19"/>
  <c r="P849" i="19"/>
  <c r="Q849" i="19" s="1"/>
  <c r="G59" i="13"/>
  <c r="P255" i="19"/>
  <c r="N259" i="19"/>
  <c r="N1221" i="19"/>
  <c r="P1221" i="19" s="1"/>
  <c r="Q1221" i="19" s="1"/>
  <c r="N1223" i="19"/>
  <c r="P1223" i="19" s="1"/>
  <c r="Q1223" i="19" s="1"/>
  <c r="N1222" i="19"/>
  <c r="P1222" i="19" s="1"/>
  <c r="Q1222" i="19" s="1"/>
  <c r="N1220" i="19"/>
  <c r="G17" i="13"/>
  <c r="N49" i="19"/>
  <c r="P45" i="19"/>
  <c r="N82" i="19"/>
  <c r="P82" i="19" s="1"/>
  <c r="Q82" i="19" s="1"/>
  <c r="N81" i="19"/>
  <c r="N83" i="19"/>
  <c r="P83" i="19" s="1"/>
  <c r="Q83" i="19" s="1"/>
  <c r="N80" i="19"/>
  <c r="N312" i="19"/>
  <c r="P312" i="19" s="1"/>
  <c r="Q312" i="19" s="1"/>
  <c r="N313" i="19"/>
  <c r="P313" i="19" s="1"/>
  <c r="Q313" i="19" s="1"/>
  <c r="N311" i="19"/>
  <c r="P311" i="19" s="1"/>
  <c r="Q311" i="19" s="1"/>
  <c r="N310" i="19"/>
  <c r="W267" i="10"/>
  <c r="AB267" i="10" s="1"/>
  <c r="M1299" i="19"/>
  <c r="AA267" i="10"/>
  <c r="S10" i="10"/>
  <c r="R365" i="10"/>
  <c r="R364" i="10"/>
  <c r="G23" i="8" l="1"/>
  <c r="G16" i="8"/>
  <c r="K443" i="13"/>
  <c r="L443" i="13" s="1"/>
  <c r="G167" i="13"/>
  <c r="H167" i="13" s="1"/>
  <c r="I167" i="13" s="1"/>
  <c r="AB228" i="10"/>
  <c r="U23" i="16"/>
  <c r="V23" i="16" s="1"/>
  <c r="AB260" i="10"/>
  <c r="U24" i="16"/>
  <c r="V24" i="16" s="1"/>
  <c r="AB132" i="10"/>
  <c r="U22" i="16"/>
  <c r="V22" i="16" s="1"/>
  <c r="P616" i="19"/>
  <c r="Q616" i="19" s="1"/>
  <c r="L21" i="16"/>
  <c r="M21" i="16" s="1"/>
  <c r="AB74" i="10"/>
  <c r="U20" i="16"/>
  <c r="V20" i="16" s="1"/>
  <c r="P1697" i="19"/>
  <c r="Q1697" i="19" s="1"/>
  <c r="L26" i="16"/>
  <c r="M26" i="16" s="1"/>
  <c r="P191" i="19"/>
  <c r="Q191" i="19" s="1"/>
  <c r="P360" i="19"/>
  <c r="Q360" i="19" s="1"/>
  <c r="N450" i="19"/>
  <c r="P450" i="19" s="1"/>
  <c r="AA120" i="10"/>
  <c r="W120" i="10"/>
  <c r="AB120" i="10" s="1"/>
  <c r="M564" i="19"/>
  <c r="N560" i="19" s="1"/>
  <c r="G120" i="13" s="1"/>
  <c r="N452" i="19"/>
  <c r="P452" i="19" s="1"/>
  <c r="Q452" i="19" s="1"/>
  <c r="N451" i="19"/>
  <c r="P451" i="19" s="1"/>
  <c r="Q451" i="19" s="1"/>
  <c r="N361" i="19"/>
  <c r="P361" i="19" s="1"/>
  <c r="Q361" i="19" s="1"/>
  <c r="N362" i="19"/>
  <c r="P362" i="19" s="1"/>
  <c r="Q362" i="19" s="1"/>
  <c r="N363" i="19"/>
  <c r="P363" i="19" s="1"/>
  <c r="Q363" i="19" s="1"/>
  <c r="N472" i="19"/>
  <c r="P472" i="19" s="1"/>
  <c r="Q472" i="19" s="1"/>
  <c r="P790" i="19"/>
  <c r="P794" i="19" s="1"/>
  <c r="Q794" i="19" s="1"/>
  <c r="N1738" i="19"/>
  <c r="P1738" i="19" s="1"/>
  <c r="Q1738" i="19" s="1"/>
  <c r="N1737" i="19"/>
  <c r="P1737" i="19" s="1"/>
  <c r="Q1737" i="19" s="1"/>
  <c r="G355" i="13"/>
  <c r="H355" i="13" s="1"/>
  <c r="I355" i="13" s="1"/>
  <c r="N799" i="19"/>
  <c r="N794" i="19"/>
  <c r="N44" i="19"/>
  <c r="N1184" i="19"/>
  <c r="P41" i="19"/>
  <c r="Q41" i="19" s="1"/>
  <c r="P1180" i="19"/>
  <c r="P1184" i="19" s="1"/>
  <c r="Q1184" i="19" s="1"/>
  <c r="G244" i="13"/>
  <c r="H244" i="13" s="1"/>
  <c r="I244" i="13" s="1"/>
  <c r="G94" i="13"/>
  <c r="K62" i="15" s="1"/>
  <c r="L62" i="15" s="1"/>
  <c r="N434" i="19"/>
  <c r="G102" i="13"/>
  <c r="H102" i="13" s="1"/>
  <c r="I102" i="13" s="1"/>
  <c r="G273" i="13"/>
  <c r="H273" i="13" s="1"/>
  <c r="I273" i="13" s="1"/>
  <c r="P434" i="19"/>
  <c r="Q434" i="19" s="1"/>
  <c r="N473" i="19"/>
  <c r="P473" i="19" s="1"/>
  <c r="Q473" i="19" s="1"/>
  <c r="N471" i="19"/>
  <c r="P471" i="19" s="1"/>
  <c r="Q471" i="19" s="1"/>
  <c r="G214" i="13"/>
  <c r="H214" i="13" s="1"/>
  <c r="I214" i="13" s="1"/>
  <c r="P1056" i="19"/>
  <c r="Q1056" i="19" s="1"/>
  <c r="P25" i="19"/>
  <c r="P29" i="19" s="1"/>
  <c r="Q29" i="19" s="1"/>
  <c r="N1329" i="19"/>
  <c r="N1034" i="19"/>
  <c r="P1034" i="19"/>
  <c r="Q1034" i="19" s="1"/>
  <c r="N29" i="19"/>
  <c r="N664" i="19"/>
  <c r="G140" i="13"/>
  <c r="H140" i="13" s="1"/>
  <c r="I140" i="13" s="1"/>
  <c r="N737" i="19"/>
  <c r="P737" i="19" s="1"/>
  <c r="Q737" i="19" s="1"/>
  <c r="N736" i="19"/>
  <c r="P736" i="19" s="1"/>
  <c r="Q736" i="19" s="1"/>
  <c r="N735" i="19"/>
  <c r="N738" i="19"/>
  <c r="P738" i="19" s="1"/>
  <c r="Q738" i="19" s="1"/>
  <c r="M229" i="19"/>
  <c r="N228" i="19" s="1"/>
  <c r="P228" i="19" s="1"/>
  <c r="G227" i="13"/>
  <c r="H227" i="13" s="1"/>
  <c r="I227" i="13" s="1"/>
  <c r="N1099" i="19"/>
  <c r="Q750" i="19"/>
  <c r="G347" i="13"/>
  <c r="H347" i="13" s="1"/>
  <c r="I347" i="13" s="1"/>
  <c r="P365" i="19"/>
  <c r="P369" i="19" s="1"/>
  <c r="Q369" i="19" s="1"/>
  <c r="G188" i="13"/>
  <c r="H188" i="13" s="1"/>
  <c r="I188" i="13" s="1"/>
  <c r="G41" i="13"/>
  <c r="H41" i="13" s="1"/>
  <c r="I41" i="13" s="1"/>
  <c r="N369" i="19"/>
  <c r="N1274" i="19"/>
  <c r="N902" i="19"/>
  <c r="P902" i="19" s="1"/>
  <c r="Q902" i="19" s="1"/>
  <c r="N903" i="19"/>
  <c r="P903" i="19" s="1"/>
  <c r="Q903" i="19" s="1"/>
  <c r="P280" i="19"/>
  <c r="Q280" i="19" s="1"/>
  <c r="N1059" i="19"/>
  <c r="G270" i="13"/>
  <c r="H270" i="13" s="1"/>
  <c r="I270" i="13" s="1"/>
  <c r="G62" i="13"/>
  <c r="H62" i="13" s="1"/>
  <c r="I62" i="13" s="1"/>
  <c r="K379" i="13"/>
  <c r="L379" i="13" s="1"/>
  <c r="G219" i="13"/>
  <c r="H219" i="13" s="1"/>
  <c r="I219" i="13" s="1"/>
  <c r="N1409" i="19"/>
  <c r="N803" i="19"/>
  <c r="P803" i="19" s="1"/>
  <c r="Q803" i="19" s="1"/>
  <c r="N1610" i="19"/>
  <c r="P1610" i="19" s="1"/>
  <c r="N901" i="19"/>
  <c r="P901" i="19" s="1"/>
  <c r="Q901" i="19" s="1"/>
  <c r="N1699" i="19"/>
  <c r="P1015" i="19"/>
  <c r="P1019" i="19" s="1"/>
  <c r="Q1019" i="19" s="1"/>
  <c r="P1405" i="19"/>
  <c r="P1409" i="19" s="1"/>
  <c r="Q1409" i="19" s="1"/>
  <c r="N274" i="19"/>
  <c r="P1730" i="19"/>
  <c r="Q1730" i="19" s="1"/>
  <c r="G76" i="13"/>
  <c r="K51" i="15" s="1"/>
  <c r="L51" i="15" s="1"/>
  <c r="N1750" i="19"/>
  <c r="G358" i="13" s="1"/>
  <c r="P625" i="19"/>
  <c r="P629" i="19" s="1"/>
  <c r="Q629" i="19" s="1"/>
  <c r="G361" i="13"/>
  <c r="H361" i="13" s="1"/>
  <c r="I361" i="13" s="1"/>
  <c r="N1724" i="19"/>
  <c r="N1752" i="19"/>
  <c r="P1752" i="19" s="1"/>
  <c r="Q1752" i="19" s="1"/>
  <c r="P1115" i="19"/>
  <c r="Q1115" i="19" s="1"/>
  <c r="N1751" i="19"/>
  <c r="P1751" i="19" s="1"/>
  <c r="Q1751" i="19" s="1"/>
  <c r="M1129" i="19"/>
  <c r="N1128" i="19" s="1"/>
  <c r="P1128" i="19" s="1"/>
  <c r="Q1128" i="19" s="1"/>
  <c r="W233" i="10"/>
  <c r="AB233" i="10" s="1"/>
  <c r="N1019" i="19"/>
  <c r="G44" i="13"/>
  <c r="K30" i="15" s="1"/>
  <c r="L30" i="15" s="1"/>
  <c r="N1584" i="19"/>
  <c r="N634" i="19"/>
  <c r="P630" i="19"/>
  <c r="P634" i="19" s="1"/>
  <c r="Q634" i="19" s="1"/>
  <c r="G55" i="13"/>
  <c r="K39" i="15" s="1"/>
  <c r="L39" i="15" s="1"/>
  <c r="P170" i="19"/>
  <c r="Q170" i="19" s="1"/>
  <c r="N1119" i="19"/>
  <c r="N22" i="19"/>
  <c r="P22" i="19" s="1"/>
  <c r="Q22" i="19" s="1"/>
  <c r="Q1315" i="19"/>
  <c r="N174" i="19"/>
  <c r="P1165" i="19"/>
  <c r="P1169" i="19" s="1"/>
  <c r="Q1169" i="19" s="1"/>
  <c r="P281" i="19"/>
  <c r="Q281" i="19" s="1"/>
  <c r="N1110" i="19"/>
  <c r="P1110" i="19" s="1"/>
  <c r="K114" i="15"/>
  <c r="L114" i="15" s="1"/>
  <c r="N629" i="19"/>
  <c r="K11" i="15"/>
  <c r="L11" i="15" s="1"/>
  <c r="N1611" i="19"/>
  <c r="P1611" i="19" s="1"/>
  <c r="Q1611" i="19" s="1"/>
  <c r="N1111" i="19"/>
  <c r="P1111" i="19" s="1"/>
  <c r="Q1111" i="19" s="1"/>
  <c r="G303" i="13"/>
  <c r="H303" i="13" s="1"/>
  <c r="I303" i="13" s="1"/>
  <c r="G36" i="13"/>
  <c r="K26" i="15" s="1"/>
  <c r="L26" i="15" s="1"/>
  <c r="N139" i="19"/>
  <c r="P135" i="19"/>
  <c r="Q135" i="19" s="1"/>
  <c r="P271" i="19"/>
  <c r="Q271" i="19" s="1"/>
  <c r="N237" i="19"/>
  <c r="P237" i="19" s="1"/>
  <c r="Q237" i="19" s="1"/>
  <c r="N771" i="19"/>
  <c r="P771" i="19" s="1"/>
  <c r="Q771" i="19" s="1"/>
  <c r="N619" i="19"/>
  <c r="P615" i="19"/>
  <c r="H131" i="13"/>
  <c r="I131" i="13" s="1"/>
  <c r="N284" i="19"/>
  <c r="G35" i="13"/>
  <c r="K25" i="15" s="1"/>
  <c r="L25" i="15" s="1"/>
  <c r="N169" i="19"/>
  <c r="N1613" i="19"/>
  <c r="P1613" i="19" s="1"/>
  <c r="Q1613" i="19" s="1"/>
  <c r="N1112" i="19"/>
  <c r="P1112" i="19" s="1"/>
  <c r="Q1112" i="19" s="1"/>
  <c r="N23" i="19"/>
  <c r="P23" i="19" s="1"/>
  <c r="Q23" i="19" s="1"/>
  <c r="N184" i="19"/>
  <c r="N21" i="19"/>
  <c r="P21" i="19" s="1"/>
  <c r="Q21" i="19" s="1"/>
  <c r="P815" i="19"/>
  <c r="P819" i="19" s="1"/>
  <c r="Q819" i="19" s="1"/>
  <c r="P20" i="19"/>
  <c r="Q20" i="19" s="1"/>
  <c r="G372" i="13"/>
  <c r="H372" i="13" s="1"/>
  <c r="I372" i="13" s="1"/>
  <c r="N1384" i="19"/>
  <c r="P1435" i="19"/>
  <c r="Q1435" i="19" s="1"/>
  <c r="N819" i="19"/>
  <c r="N238" i="19"/>
  <c r="P238" i="19" s="1"/>
  <c r="Q238" i="19" s="1"/>
  <c r="G301" i="13"/>
  <c r="K204" i="15" s="1"/>
  <c r="L204" i="15" s="1"/>
  <c r="G340" i="13"/>
  <c r="K230" i="15" s="1"/>
  <c r="L230" i="15" s="1"/>
  <c r="Q825" i="19"/>
  <c r="N236" i="19"/>
  <c r="P236" i="19" s="1"/>
  <c r="Q236" i="19" s="1"/>
  <c r="N15" i="19"/>
  <c r="G11" i="13" s="1"/>
  <c r="N802" i="19"/>
  <c r="P802" i="19" s="1"/>
  <c r="Q802" i="19" s="1"/>
  <c r="G399" i="13"/>
  <c r="K283" i="15" s="1"/>
  <c r="L283" i="15" s="1"/>
  <c r="N1079" i="19"/>
  <c r="N1311" i="19"/>
  <c r="P1311" i="19" s="1"/>
  <c r="Q1311" i="19" s="1"/>
  <c r="N1312" i="19"/>
  <c r="P1312" i="19" s="1"/>
  <c r="Q1312" i="19" s="1"/>
  <c r="N800" i="19"/>
  <c r="P800" i="19" s="1"/>
  <c r="N160" i="19"/>
  <c r="P160" i="19" s="1"/>
  <c r="G283" i="13"/>
  <c r="H283" i="13" s="1"/>
  <c r="I283" i="13" s="1"/>
  <c r="N18" i="19"/>
  <c r="P18" i="19" s="1"/>
  <c r="Q18" i="19" s="1"/>
  <c r="P144" i="19"/>
  <c r="Q144" i="19" s="1"/>
  <c r="H247" i="13"/>
  <c r="I247" i="13" s="1"/>
  <c r="N144" i="19"/>
  <c r="N1479" i="19"/>
  <c r="N1734" i="19"/>
  <c r="N178" i="19"/>
  <c r="P178" i="19" s="1"/>
  <c r="Q178" i="19" s="1"/>
  <c r="P549" i="19"/>
  <c r="Q549" i="19" s="1"/>
  <c r="N1439" i="19"/>
  <c r="N89" i="19"/>
  <c r="N772" i="19"/>
  <c r="P772" i="19" s="1"/>
  <c r="Q772" i="19" s="1"/>
  <c r="N1169" i="19"/>
  <c r="M1194" i="19"/>
  <c r="W246" i="10"/>
  <c r="AB246" i="10" s="1"/>
  <c r="AA246" i="10"/>
  <c r="M1599" i="19"/>
  <c r="W327" i="10"/>
  <c r="AB327" i="10" s="1"/>
  <c r="AA327" i="10"/>
  <c r="AA236" i="10"/>
  <c r="W236" i="10"/>
  <c r="AB236" i="10" s="1"/>
  <c r="M1144" i="19"/>
  <c r="N1543" i="19"/>
  <c r="P1543" i="19" s="1"/>
  <c r="Q1543" i="19" s="1"/>
  <c r="N1540" i="19"/>
  <c r="N1541" i="19"/>
  <c r="P1541" i="19" s="1"/>
  <c r="Q1541" i="19" s="1"/>
  <c r="N1542" i="19"/>
  <c r="P1542" i="19" s="1"/>
  <c r="Q1542" i="19" s="1"/>
  <c r="N549" i="19"/>
  <c r="M1454" i="19"/>
  <c r="W298" i="10"/>
  <c r="AB298" i="10" s="1"/>
  <c r="AA298" i="10"/>
  <c r="G323" i="13"/>
  <c r="H323" i="13" s="1"/>
  <c r="I323" i="13" s="1"/>
  <c r="G302" i="13"/>
  <c r="K205" i="15" s="1"/>
  <c r="L205" i="15" s="1"/>
  <c r="P230" i="19"/>
  <c r="P234" i="19" s="1"/>
  <c r="Q234" i="19" s="1"/>
  <c r="P306" i="19"/>
  <c r="Q306" i="19" s="1"/>
  <c r="P85" i="19"/>
  <c r="P89" i="19" s="1"/>
  <c r="Q89" i="19" s="1"/>
  <c r="G284" i="13"/>
  <c r="K192" i="15" s="1"/>
  <c r="L192" i="15" s="1"/>
  <c r="N554" i="19"/>
  <c r="G224" i="13"/>
  <c r="H224" i="13" s="1"/>
  <c r="I224" i="13" s="1"/>
  <c r="N770" i="19"/>
  <c r="G162" i="13" s="1"/>
  <c r="N504" i="19"/>
  <c r="N507" i="19"/>
  <c r="P507" i="19" s="1"/>
  <c r="Q507" i="19" s="1"/>
  <c r="P1084" i="19"/>
  <c r="Q1084" i="19" s="1"/>
  <c r="N1084" i="19"/>
  <c r="P1199" i="19"/>
  <c r="Q1199" i="19" s="1"/>
  <c r="N1379" i="19"/>
  <c r="N162" i="19"/>
  <c r="P162" i="19" s="1"/>
  <c r="Q162" i="19" s="1"/>
  <c r="G161" i="13"/>
  <c r="H161" i="13" s="1"/>
  <c r="I161" i="13" s="1"/>
  <c r="P345" i="19"/>
  <c r="Q345" i="19" s="1"/>
  <c r="N505" i="19"/>
  <c r="P505" i="19" s="1"/>
  <c r="N1474" i="19"/>
  <c r="N1419" i="19"/>
  <c r="N508" i="19"/>
  <c r="P508" i="19" s="1"/>
  <c r="Q508" i="19" s="1"/>
  <c r="N1199" i="19"/>
  <c r="N175" i="19"/>
  <c r="G43" i="13" s="1"/>
  <c r="N494" i="19"/>
  <c r="P1380" i="19"/>
  <c r="P1384" i="19" s="1"/>
  <c r="Q1384" i="19" s="1"/>
  <c r="N1664" i="19"/>
  <c r="P789" i="19"/>
  <c r="Q789" i="19" s="1"/>
  <c r="N789" i="19"/>
  <c r="N1469" i="19"/>
  <c r="P240" i="19"/>
  <c r="G56" i="13"/>
  <c r="H56" i="13" s="1"/>
  <c r="I56" i="13" s="1"/>
  <c r="N161" i="19"/>
  <c r="P161" i="19" s="1"/>
  <c r="Q161" i="19" s="1"/>
  <c r="G51" i="13"/>
  <c r="H51" i="13" s="1"/>
  <c r="I51" i="13" s="1"/>
  <c r="N1179" i="19"/>
  <c r="N244" i="19"/>
  <c r="G100" i="13"/>
  <c r="N464" i="19"/>
  <c r="P460" i="19"/>
  <c r="G58" i="13"/>
  <c r="H58" i="13" s="1"/>
  <c r="I58" i="13" s="1"/>
  <c r="N177" i="19"/>
  <c r="P177" i="19" s="1"/>
  <c r="Q177" i="19" s="1"/>
  <c r="N1579" i="19"/>
  <c r="G268" i="13"/>
  <c r="H268" i="13" s="1"/>
  <c r="I268" i="13" s="1"/>
  <c r="P606" i="19"/>
  <c r="Q606" i="19" s="1"/>
  <c r="N1605" i="19"/>
  <c r="N1606" i="19"/>
  <c r="P1606" i="19" s="1"/>
  <c r="Q1606" i="19" s="1"/>
  <c r="N1608" i="19"/>
  <c r="P1608" i="19" s="1"/>
  <c r="Q1608" i="19" s="1"/>
  <c r="N1607" i="19"/>
  <c r="P1607" i="19" s="1"/>
  <c r="Q1607" i="19" s="1"/>
  <c r="P1365" i="19"/>
  <c r="Q1365" i="19" s="1"/>
  <c r="G225" i="13"/>
  <c r="H225" i="13" s="1"/>
  <c r="I225" i="13" s="1"/>
  <c r="N16" i="19"/>
  <c r="P16" i="19" s="1"/>
  <c r="Q16" i="19" s="1"/>
  <c r="N944" i="19"/>
  <c r="G106" i="13"/>
  <c r="H106" i="13" s="1"/>
  <c r="I106" i="13" s="1"/>
  <c r="N134" i="19"/>
  <c r="N623" i="19"/>
  <c r="P623" i="19" s="1"/>
  <c r="Q623" i="19" s="1"/>
  <c r="N622" i="19"/>
  <c r="N620" i="19"/>
  <c r="N621" i="19"/>
  <c r="W154" i="10"/>
  <c r="AB154" i="10" s="1"/>
  <c r="M734" i="19"/>
  <c r="AA154" i="10"/>
  <c r="P1690" i="19"/>
  <c r="P1694" i="19" s="1"/>
  <c r="Q1694" i="19" s="1"/>
  <c r="N1349" i="19"/>
  <c r="N1369" i="19"/>
  <c r="N309" i="19"/>
  <c r="N1459" i="19"/>
  <c r="N1064" i="19"/>
  <c r="P305" i="19"/>
  <c r="N234" i="19"/>
  <c r="P1345" i="19"/>
  <c r="Q1345" i="19" s="1"/>
  <c r="M1714" i="19"/>
  <c r="W350" i="10"/>
  <c r="AB350" i="10" s="1"/>
  <c r="AA350" i="10"/>
  <c r="K425" i="13"/>
  <c r="L425" i="13" s="1"/>
  <c r="N1538" i="19"/>
  <c r="P1538" i="19" s="1"/>
  <c r="Q1538" i="19" s="1"/>
  <c r="N1537" i="19"/>
  <c r="P1537" i="19" s="1"/>
  <c r="Q1537" i="19" s="1"/>
  <c r="N1535" i="19"/>
  <c r="N1536" i="19"/>
  <c r="P1536" i="19" s="1"/>
  <c r="Q1536" i="19" s="1"/>
  <c r="G34" i="13"/>
  <c r="K24" i="15" s="1"/>
  <c r="L24" i="15" s="1"/>
  <c r="N537" i="19"/>
  <c r="P537" i="19" s="1"/>
  <c r="Q537" i="19" s="1"/>
  <c r="N538" i="19"/>
  <c r="P538" i="19" s="1"/>
  <c r="Q538" i="19" s="1"/>
  <c r="K433" i="13"/>
  <c r="L433" i="13" s="1"/>
  <c r="K365" i="13"/>
  <c r="L365" i="13" s="1"/>
  <c r="N1622" i="19"/>
  <c r="P1622" i="19" s="1"/>
  <c r="Q1622" i="19" s="1"/>
  <c r="N1620" i="19"/>
  <c r="N1621" i="19"/>
  <c r="P1621" i="19" s="1"/>
  <c r="Q1621" i="19" s="1"/>
  <c r="N1623" i="19"/>
  <c r="P1623" i="19" s="1"/>
  <c r="Q1623" i="19" s="1"/>
  <c r="G310" i="13"/>
  <c r="H310" i="13" s="1"/>
  <c r="I310" i="13" s="1"/>
  <c r="N344" i="19"/>
  <c r="G377" i="13"/>
  <c r="K261" i="15" s="1"/>
  <c r="L261" i="15" s="1"/>
  <c r="N1304" i="19"/>
  <c r="W130" i="10"/>
  <c r="AB130" i="10" s="1"/>
  <c r="M614" i="19"/>
  <c r="AA130" i="10"/>
  <c r="W206" i="10"/>
  <c r="AB206" i="10" s="1"/>
  <c r="M994" i="19"/>
  <c r="AA95" i="10"/>
  <c r="W95" i="10"/>
  <c r="AB95" i="10" s="1"/>
  <c r="M439" i="19"/>
  <c r="N557" i="19"/>
  <c r="P557" i="19" s="1"/>
  <c r="Q557" i="19" s="1"/>
  <c r="N555" i="19"/>
  <c r="N556" i="19"/>
  <c r="P556" i="19" s="1"/>
  <c r="Q556" i="19" s="1"/>
  <c r="N558" i="19"/>
  <c r="P558" i="19" s="1"/>
  <c r="Q558" i="19" s="1"/>
  <c r="W335" i="10"/>
  <c r="AB335" i="10" s="1"/>
  <c r="M1639" i="19"/>
  <c r="AA335" i="10"/>
  <c r="W20" i="10"/>
  <c r="AB20" i="10" s="1"/>
  <c r="AA20" i="10"/>
  <c r="M64" i="19"/>
  <c r="AA101" i="10"/>
  <c r="W101" i="10"/>
  <c r="AB101" i="10" s="1"/>
  <c r="M469" i="19"/>
  <c r="AA279" i="10"/>
  <c r="M1359" i="19"/>
  <c r="W279" i="10"/>
  <c r="AB279" i="10" s="1"/>
  <c r="W318" i="10"/>
  <c r="AB318" i="10" s="1"/>
  <c r="AA318" i="10"/>
  <c r="M1554" i="19"/>
  <c r="K426" i="13"/>
  <c r="L426" i="13" s="1"/>
  <c r="K424" i="13"/>
  <c r="L424" i="13" s="1"/>
  <c r="K436" i="13"/>
  <c r="L436" i="13" s="1"/>
  <c r="P645" i="19"/>
  <c r="Q645" i="19" s="1"/>
  <c r="N254" i="19"/>
  <c r="G189" i="13"/>
  <c r="H189" i="13" s="1"/>
  <c r="I189" i="13" s="1"/>
  <c r="N769" i="19"/>
  <c r="N649" i="19"/>
  <c r="P600" i="19"/>
  <c r="Q600" i="19" s="1"/>
  <c r="N535" i="19"/>
  <c r="P535" i="19" s="1"/>
  <c r="G103" i="13"/>
  <c r="H103" i="13" s="1"/>
  <c r="I103" i="13" s="1"/>
  <c r="G305" i="13"/>
  <c r="K207" i="15" s="1"/>
  <c r="L207" i="15" s="1"/>
  <c r="N1089" i="19"/>
  <c r="G416" i="13"/>
  <c r="H416" i="13" s="1"/>
  <c r="I416" i="13" s="1"/>
  <c r="P601" i="19"/>
  <c r="Q601" i="19" s="1"/>
  <c r="P285" i="19"/>
  <c r="Q285" i="19" s="1"/>
  <c r="N479" i="19"/>
  <c r="N1514" i="19"/>
  <c r="N594" i="19"/>
  <c r="N1004" i="19"/>
  <c r="N219" i="19"/>
  <c r="G370" i="13"/>
  <c r="K254" i="15" s="1"/>
  <c r="L254" i="15" s="1"/>
  <c r="N609" i="19"/>
  <c r="N289" i="19"/>
  <c r="N349" i="19"/>
  <c r="N604" i="19"/>
  <c r="N1489" i="19"/>
  <c r="N407" i="19"/>
  <c r="P407" i="19" s="1"/>
  <c r="Q407" i="19" s="1"/>
  <c r="N406" i="19"/>
  <c r="P406" i="19" s="1"/>
  <c r="Q406" i="19" s="1"/>
  <c r="N408" i="19"/>
  <c r="P408" i="19" s="1"/>
  <c r="Q408" i="19" s="1"/>
  <c r="N405" i="19"/>
  <c r="N1694" i="19"/>
  <c r="AA75" i="10"/>
  <c r="M339" i="19"/>
  <c r="W75" i="10"/>
  <c r="AB75" i="10" s="1"/>
  <c r="AA156" i="10"/>
  <c r="M744" i="19"/>
  <c r="W156" i="10"/>
  <c r="AB156" i="10" s="1"/>
  <c r="AA29" i="10"/>
  <c r="W29" i="10"/>
  <c r="AB29" i="10" s="1"/>
  <c r="M109" i="19"/>
  <c r="M1499" i="19"/>
  <c r="W307" i="10"/>
  <c r="AB307" i="10" s="1"/>
  <c r="AA307" i="10"/>
  <c r="M1654" i="19"/>
  <c r="AA338" i="10"/>
  <c r="W338" i="10"/>
  <c r="AB338" i="10" s="1"/>
  <c r="M879" i="19"/>
  <c r="W183" i="10"/>
  <c r="AB183" i="10" s="1"/>
  <c r="N897" i="19"/>
  <c r="P897" i="19" s="1"/>
  <c r="Q897" i="19" s="1"/>
  <c r="N896" i="19"/>
  <c r="P896" i="19" s="1"/>
  <c r="Q896" i="19" s="1"/>
  <c r="N898" i="19"/>
  <c r="P898" i="19" s="1"/>
  <c r="Q898" i="19" s="1"/>
  <c r="N895" i="19"/>
  <c r="P1665" i="19"/>
  <c r="G341" i="13"/>
  <c r="N1669" i="19"/>
  <c r="N1679" i="19"/>
  <c r="G343" i="13"/>
  <c r="H343" i="13" s="1"/>
  <c r="I343" i="13" s="1"/>
  <c r="P1675" i="19"/>
  <c r="G429" i="13"/>
  <c r="K313" i="15" s="1"/>
  <c r="L313" i="15" s="1"/>
  <c r="N909" i="19"/>
  <c r="N1757" i="19"/>
  <c r="P1757" i="19" s="1"/>
  <c r="Q1757" i="19" s="1"/>
  <c r="N1755" i="19"/>
  <c r="N1756" i="19"/>
  <c r="P1756" i="19" s="1"/>
  <c r="Q1756" i="19" s="1"/>
  <c r="N1758" i="19"/>
  <c r="P1758" i="19" s="1"/>
  <c r="Q1758" i="19" s="1"/>
  <c r="N758" i="19"/>
  <c r="P758" i="19" s="1"/>
  <c r="Q758" i="19" s="1"/>
  <c r="N756" i="19"/>
  <c r="P756" i="19" s="1"/>
  <c r="Q756" i="19" s="1"/>
  <c r="N755" i="19"/>
  <c r="N757" i="19"/>
  <c r="P757" i="19" s="1"/>
  <c r="Q757" i="19" s="1"/>
  <c r="N206" i="19"/>
  <c r="P206" i="19" s="1"/>
  <c r="Q206" i="19" s="1"/>
  <c r="N207" i="19"/>
  <c r="P207" i="19" s="1"/>
  <c r="Q207" i="19" s="1"/>
  <c r="N208" i="19"/>
  <c r="P208" i="19" s="1"/>
  <c r="Q208" i="19" s="1"/>
  <c r="N205" i="19"/>
  <c r="N718" i="19"/>
  <c r="P718" i="19" s="1"/>
  <c r="Q718" i="19" s="1"/>
  <c r="N717" i="19"/>
  <c r="P717" i="19" s="1"/>
  <c r="Q717" i="19" s="1"/>
  <c r="N715" i="19"/>
  <c r="N716" i="19"/>
  <c r="P716" i="19" s="1"/>
  <c r="Q716" i="19" s="1"/>
  <c r="N1286" i="19"/>
  <c r="P1286" i="19" s="1"/>
  <c r="Q1286" i="19" s="1"/>
  <c r="N1287" i="19"/>
  <c r="P1287" i="19" s="1"/>
  <c r="Q1287" i="19" s="1"/>
  <c r="N1288" i="19"/>
  <c r="P1288" i="19" s="1"/>
  <c r="Q1288" i="19" s="1"/>
  <c r="N1285" i="19"/>
  <c r="N534" i="19"/>
  <c r="N1727" i="19"/>
  <c r="P1727" i="19" s="1"/>
  <c r="Q1727" i="19" s="1"/>
  <c r="N1725" i="19"/>
  <c r="N1726" i="19"/>
  <c r="P1726" i="19" s="1"/>
  <c r="Q1726" i="19" s="1"/>
  <c r="N1728" i="19"/>
  <c r="P1728" i="19" s="1"/>
  <c r="Q1728" i="19" s="1"/>
  <c r="AA337" i="10"/>
  <c r="W337" i="10"/>
  <c r="AB337" i="10" s="1"/>
  <c r="M1649" i="19"/>
  <c r="M1589" i="19"/>
  <c r="W325" i="10"/>
  <c r="AB325" i="10" s="1"/>
  <c r="AA325" i="10"/>
  <c r="M1524" i="19"/>
  <c r="W312" i="10"/>
  <c r="AB312" i="10" s="1"/>
  <c r="AA331" i="10"/>
  <c r="W331" i="10"/>
  <c r="AB331" i="10" s="1"/>
  <c r="M1619" i="19"/>
  <c r="W215" i="10"/>
  <c r="AB215" i="10" s="1"/>
  <c r="AA215" i="10"/>
  <c r="M1039" i="19"/>
  <c r="AA226" i="10"/>
  <c r="M1094" i="19"/>
  <c r="W226" i="10"/>
  <c r="AB226" i="10" s="1"/>
  <c r="W251" i="10"/>
  <c r="AB251" i="10" s="1"/>
  <c r="AA251" i="10"/>
  <c r="M1219" i="19"/>
  <c r="N497" i="19"/>
  <c r="P497" i="19" s="1"/>
  <c r="Q497" i="19" s="1"/>
  <c r="N496" i="19"/>
  <c r="P496" i="19" s="1"/>
  <c r="Q496" i="19" s="1"/>
  <c r="N498" i="19"/>
  <c r="P498" i="19" s="1"/>
  <c r="Q498" i="19" s="1"/>
  <c r="N495" i="19"/>
  <c r="N1506" i="19"/>
  <c r="P1506" i="19" s="1"/>
  <c r="Q1506" i="19" s="1"/>
  <c r="N1507" i="19"/>
  <c r="P1507" i="19" s="1"/>
  <c r="Q1507" i="19" s="1"/>
  <c r="N1508" i="19"/>
  <c r="P1508" i="19" s="1"/>
  <c r="Q1508" i="19" s="1"/>
  <c r="N1505" i="19"/>
  <c r="M1634" i="19"/>
  <c r="AA334" i="10"/>
  <c r="W334" i="10"/>
  <c r="AB334" i="10" s="1"/>
  <c r="M1569" i="19"/>
  <c r="AA321" i="10"/>
  <c r="W321" i="10"/>
  <c r="AB321" i="10" s="1"/>
  <c r="N1262" i="19"/>
  <c r="P1262" i="19" s="1"/>
  <c r="Q1262" i="19" s="1"/>
  <c r="N1261" i="19"/>
  <c r="N1263" i="19"/>
  <c r="P1263" i="19" s="1"/>
  <c r="Q1263" i="19" s="1"/>
  <c r="N1260" i="19"/>
  <c r="G204" i="13"/>
  <c r="H204" i="13" s="1"/>
  <c r="I204" i="13" s="1"/>
  <c r="P980" i="19"/>
  <c r="N984" i="19"/>
  <c r="AA357" i="10"/>
  <c r="W357" i="10"/>
  <c r="AB357" i="10" s="1"/>
  <c r="M1749" i="19"/>
  <c r="M514" i="19"/>
  <c r="W110" i="10"/>
  <c r="AB110" i="10" s="1"/>
  <c r="N1428" i="19"/>
  <c r="P1428" i="19" s="1"/>
  <c r="Q1428" i="19" s="1"/>
  <c r="N1427" i="19"/>
  <c r="P1427" i="19" s="1"/>
  <c r="Q1427" i="19" s="1"/>
  <c r="N1426" i="19"/>
  <c r="P1426" i="19" s="1"/>
  <c r="Q1426" i="19" s="1"/>
  <c r="N1425" i="19"/>
  <c r="M1249" i="19"/>
  <c r="W257" i="10"/>
  <c r="AB257" i="10" s="1"/>
  <c r="AA269" i="10"/>
  <c r="W269" i="10"/>
  <c r="AB269" i="10" s="1"/>
  <c r="M1309" i="19"/>
  <c r="N1402" i="19"/>
  <c r="P1402" i="19" s="1"/>
  <c r="Q1402" i="19" s="1"/>
  <c r="N1400" i="19"/>
  <c r="N1401" i="19"/>
  <c r="P1401" i="19" s="1"/>
  <c r="Q1401" i="19" s="1"/>
  <c r="N1403" i="19"/>
  <c r="P1403" i="19" s="1"/>
  <c r="Q1403" i="19" s="1"/>
  <c r="N1101" i="19"/>
  <c r="N1100" i="19"/>
  <c r="N1103" i="19"/>
  <c r="P1103" i="19" s="1"/>
  <c r="Q1103" i="19" s="1"/>
  <c r="N1102" i="19"/>
  <c r="P1102" i="19" s="1"/>
  <c r="Q1102" i="19" s="1"/>
  <c r="G184" i="13"/>
  <c r="P880" i="19"/>
  <c r="N884" i="19"/>
  <c r="X266" i="13"/>
  <c r="M266" i="13"/>
  <c r="AF266" i="13" s="1"/>
  <c r="N747" i="19"/>
  <c r="P747" i="19" s="1"/>
  <c r="Q747" i="19" s="1"/>
  <c r="N746" i="19"/>
  <c r="N748" i="19"/>
  <c r="P748" i="19" s="1"/>
  <c r="Q748" i="19" s="1"/>
  <c r="N745" i="19"/>
  <c r="G176" i="13"/>
  <c r="P840" i="19"/>
  <c r="N844" i="19"/>
  <c r="N709" i="19"/>
  <c r="P705" i="19"/>
  <c r="G149" i="13"/>
  <c r="H149" i="13" s="1"/>
  <c r="I149" i="13" s="1"/>
  <c r="N1655" i="19"/>
  <c r="N1656" i="19"/>
  <c r="P1656" i="19" s="1"/>
  <c r="Q1656" i="19" s="1"/>
  <c r="N1657" i="19"/>
  <c r="P1657" i="19" s="1"/>
  <c r="Q1657" i="19" s="1"/>
  <c r="N1658" i="19"/>
  <c r="P1658" i="19" s="1"/>
  <c r="Q1658" i="19" s="1"/>
  <c r="N1189" i="19"/>
  <c r="P1185" i="19"/>
  <c r="G245" i="13"/>
  <c r="N200" i="19"/>
  <c r="N202" i="19"/>
  <c r="P202" i="19" s="1"/>
  <c r="Q202" i="19" s="1"/>
  <c r="N201" i="19"/>
  <c r="N203" i="19"/>
  <c r="P203" i="19" s="1"/>
  <c r="Q203" i="19" s="1"/>
  <c r="N1604" i="19"/>
  <c r="G328" i="13"/>
  <c r="H328" i="13" s="1"/>
  <c r="I328" i="13" s="1"/>
  <c r="P1600" i="19"/>
  <c r="N1760" i="19"/>
  <c r="N1763" i="19"/>
  <c r="P1763" i="19" s="1"/>
  <c r="Q1763" i="19" s="1"/>
  <c r="N1762" i="19"/>
  <c r="P1762" i="19" s="1"/>
  <c r="Q1762" i="19" s="1"/>
  <c r="N1761" i="19"/>
  <c r="P1761" i="19" s="1"/>
  <c r="Q1761" i="19" s="1"/>
  <c r="N934" i="19"/>
  <c r="P930" i="19"/>
  <c r="G194" i="13"/>
  <c r="N427" i="19"/>
  <c r="P427" i="19" s="1"/>
  <c r="Q427" i="19" s="1"/>
  <c r="N425" i="19"/>
  <c r="N428" i="19"/>
  <c r="P428" i="19" s="1"/>
  <c r="Q428" i="19" s="1"/>
  <c r="N426" i="19"/>
  <c r="P1294" i="19"/>
  <c r="Q1294" i="19" s="1"/>
  <c r="Q1290" i="19"/>
  <c r="N1493" i="19"/>
  <c r="P1493" i="19" s="1"/>
  <c r="Q1493" i="19" s="1"/>
  <c r="N1490" i="19"/>
  <c r="N1491" i="19"/>
  <c r="P1491" i="19" s="1"/>
  <c r="Q1491" i="19" s="1"/>
  <c r="N1492" i="19"/>
  <c r="P1492" i="19" s="1"/>
  <c r="Q1492" i="19" s="1"/>
  <c r="N867" i="19"/>
  <c r="P867" i="19" s="1"/>
  <c r="Q867" i="19" s="1"/>
  <c r="N865" i="19"/>
  <c r="N868" i="19"/>
  <c r="P868" i="19" s="1"/>
  <c r="Q868" i="19" s="1"/>
  <c r="N866" i="19"/>
  <c r="P866" i="19" s="1"/>
  <c r="Q866" i="19" s="1"/>
  <c r="G430" i="13"/>
  <c r="H430" i="13" s="1"/>
  <c r="I430" i="13" s="1"/>
  <c r="N1557" i="19"/>
  <c r="P1557" i="19" s="1"/>
  <c r="Q1557" i="19" s="1"/>
  <c r="N1555" i="19"/>
  <c r="N1558" i="19"/>
  <c r="P1558" i="19" s="1"/>
  <c r="Q1558" i="19" s="1"/>
  <c r="N1556" i="19"/>
  <c r="P1556" i="19" s="1"/>
  <c r="Q1556" i="19" s="1"/>
  <c r="P890" i="19"/>
  <c r="N894" i="19"/>
  <c r="G186" i="13"/>
  <c r="G31" i="13"/>
  <c r="H31" i="13" s="1"/>
  <c r="I31" i="13" s="1"/>
  <c r="N119" i="19"/>
  <c r="P115" i="19"/>
  <c r="N1202" i="19"/>
  <c r="P1202" i="19" s="1"/>
  <c r="Q1202" i="19" s="1"/>
  <c r="N1200" i="19"/>
  <c r="N1201" i="19"/>
  <c r="P1201" i="19" s="1"/>
  <c r="Q1201" i="19" s="1"/>
  <c r="N1203" i="19"/>
  <c r="P1203" i="19" s="1"/>
  <c r="Q1203" i="19" s="1"/>
  <c r="N1421" i="19"/>
  <c r="P1421" i="19" s="1"/>
  <c r="Q1421" i="19" s="1"/>
  <c r="N1423" i="19"/>
  <c r="P1423" i="19" s="1"/>
  <c r="Q1423" i="19" s="1"/>
  <c r="N1420" i="19"/>
  <c r="N1422" i="19"/>
  <c r="P1422" i="19" s="1"/>
  <c r="Q1422" i="19" s="1"/>
  <c r="N388" i="19"/>
  <c r="P388" i="19" s="1"/>
  <c r="Q388" i="19" s="1"/>
  <c r="N387" i="19"/>
  <c r="P387" i="19" s="1"/>
  <c r="Q387" i="19" s="1"/>
  <c r="N385" i="19"/>
  <c r="N386" i="19"/>
  <c r="P1010" i="19"/>
  <c r="G210" i="13"/>
  <c r="N1014" i="19"/>
  <c r="P985" i="19"/>
  <c r="N989" i="19"/>
  <c r="G205" i="13"/>
  <c r="P520" i="19"/>
  <c r="N524" i="19"/>
  <c r="G112" i="13"/>
  <c r="P640" i="19"/>
  <c r="G136" i="13"/>
  <c r="N644" i="19"/>
  <c r="P275" i="19"/>
  <c r="G63" i="13"/>
  <c r="N279" i="19"/>
  <c r="N123" i="19"/>
  <c r="P123" i="19" s="1"/>
  <c r="Q123" i="19" s="1"/>
  <c r="N122" i="19"/>
  <c r="P122" i="19" s="1"/>
  <c r="Q122" i="19" s="1"/>
  <c r="N120" i="19"/>
  <c r="N121" i="19"/>
  <c r="P121" i="19" s="1"/>
  <c r="Q121" i="19" s="1"/>
  <c r="N440" i="19"/>
  <c r="N442" i="19"/>
  <c r="P442" i="19" s="1"/>
  <c r="Q442" i="19" s="1"/>
  <c r="N443" i="19"/>
  <c r="P443" i="19" s="1"/>
  <c r="Q443" i="19" s="1"/>
  <c r="N441" i="19"/>
  <c r="P441" i="19" s="1"/>
  <c r="Q441" i="19" s="1"/>
  <c r="N697" i="19"/>
  <c r="P697" i="19" s="1"/>
  <c r="Q697" i="19" s="1"/>
  <c r="N696" i="19"/>
  <c r="P696" i="19" s="1"/>
  <c r="Q696" i="19" s="1"/>
  <c r="N695" i="19"/>
  <c r="N698" i="19"/>
  <c r="P698" i="19" s="1"/>
  <c r="Q698" i="19" s="1"/>
  <c r="G278" i="13"/>
  <c r="P1350" i="19"/>
  <c r="N1354" i="19"/>
  <c r="K78" i="15"/>
  <c r="L78" i="15" s="1"/>
  <c r="H114" i="13"/>
  <c r="I114" i="13" s="1"/>
  <c r="Q250" i="19"/>
  <c r="P254" i="19"/>
  <c r="Q254" i="19" s="1"/>
  <c r="N1640" i="19"/>
  <c r="N1641" i="19"/>
  <c r="P1641" i="19" s="1"/>
  <c r="Q1641" i="19" s="1"/>
  <c r="N1643" i="19"/>
  <c r="P1643" i="19" s="1"/>
  <c r="Q1643" i="19" s="1"/>
  <c r="N1642" i="19"/>
  <c r="P1642" i="19" s="1"/>
  <c r="Q1642" i="19" s="1"/>
  <c r="P915" i="19"/>
  <c r="N919" i="19"/>
  <c r="G191" i="13"/>
  <c r="H125" i="13"/>
  <c r="I125" i="13" s="1"/>
  <c r="N775" i="19"/>
  <c r="N777" i="19"/>
  <c r="P777" i="19" s="1"/>
  <c r="Q777" i="19" s="1"/>
  <c r="N778" i="19"/>
  <c r="P778" i="19" s="1"/>
  <c r="Q778" i="19" s="1"/>
  <c r="N776" i="19"/>
  <c r="P920" i="19"/>
  <c r="G192" i="13"/>
  <c r="H192" i="13" s="1"/>
  <c r="I192" i="13" s="1"/>
  <c r="N924" i="19"/>
  <c r="N332" i="19"/>
  <c r="P332" i="19" s="1"/>
  <c r="Q332" i="19" s="1"/>
  <c r="N330" i="19"/>
  <c r="N333" i="19"/>
  <c r="P333" i="19" s="1"/>
  <c r="Q333" i="19" s="1"/>
  <c r="N331" i="19"/>
  <c r="P331" i="19" s="1"/>
  <c r="Q331" i="19" s="1"/>
  <c r="H77" i="13"/>
  <c r="I77" i="13" s="1"/>
  <c r="K52" i="15"/>
  <c r="L52" i="15" s="1"/>
  <c r="N1546" i="19"/>
  <c r="P1546" i="19" s="1"/>
  <c r="Q1546" i="19" s="1"/>
  <c r="N1547" i="19"/>
  <c r="P1547" i="19" s="1"/>
  <c r="Q1547" i="19" s="1"/>
  <c r="N1545" i="19"/>
  <c r="N1548" i="19"/>
  <c r="P1548" i="19" s="1"/>
  <c r="Q1548" i="19" s="1"/>
  <c r="P909" i="19"/>
  <c r="Q909" i="19" s="1"/>
  <c r="Q905" i="19"/>
  <c r="P1479" i="19"/>
  <c r="Q1479" i="19" s="1"/>
  <c r="Q1475" i="19"/>
  <c r="P479" i="19"/>
  <c r="Q479" i="19" s="1"/>
  <c r="Q475" i="19"/>
  <c r="N543" i="19"/>
  <c r="P543" i="19" s="1"/>
  <c r="Q543" i="19" s="1"/>
  <c r="N542" i="19"/>
  <c r="P542" i="19" s="1"/>
  <c r="Q542" i="19" s="1"/>
  <c r="N541" i="19"/>
  <c r="P541" i="19" s="1"/>
  <c r="Q541" i="19" s="1"/>
  <c r="N540" i="19"/>
  <c r="N814" i="19"/>
  <c r="G170" i="13"/>
  <c r="P810" i="19"/>
  <c r="P1590" i="19"/>
  <c r="N1594" i="19"/>
  <c r="G326" i="13"/>
  <c r="N860" i="19"/>
  <c r="N862" i="19"/>
  <c r="P862" i="19" s="1"/>
  <c r="Q862" i="19" s="1"/>
  <c r="N863" i="19"/>
  <c r="P863" i="19" s="1"/>
  <c r="Q863" i="19" s="1"/>
  <c r="N861" i="19"/>
  <c r="P861" i="19" s="1"/>
  <c r="Q861" i="19" s="1"/>
  <c r="N1255" i="19"/>
  <c r="N1257" i="19"/>
  <c r="P1257" i="19" s="1"/>
  <c r="Q1257" i="19" s="1"/>
  <c r="N1256" i="19"/>
  <c r="P1256" i="19" s="1"/>
  <c r="Q1256" i="19" s="1"/>
  <c r="N1258" i="19"/>
  <c r="P1258" i="19" s="1"/>
  <c r="Q1258" i="19" s="1"/>
  <c r="G239" i="13"/>
  <c r="P1155" i="19"/>
  <c r="N1159" i="19"/>
  <c r="N1330" i="19"/>
  <c r="N1331" i="19"/>
  <c r="N1332" i="19"/>
  <c r="P1332" i="19" s="1"/>
  <c r="Q1332" i="19" s="1"/>
  <c r="N1333" i="19"/>
  <c r="P1333" i="19" s="1"/>
  <c r="Q1333" i="19" s="1"/>
  <c r="N94" i="19"/>
  <c r="P90" i="19"/>
  <c r="G26" i="13"/>
  <c r="G264" i="13"/>
  <c r="H264" i="13" s="1"/>
  <c r="I264" i="13" s="1"/>
  <c r="P1280" i="19"/>
  <c r="N1284" i="19"/>
  <c r="G200" i="13"/>
  <c r="N964" i="19"/>
  <c r="P960" i="19"/>
  <c r="P534" i="19"/>
  <c r="Q534" i="19" s="1"/>
  <c r="Q530" i="19"/>
  <c r="N1716" i="19"/>
  <c r="P1716" i="19" s="1"/>
  <c r="Q1716" i="19" s="1"/>
  <c r="N1717" i="19"/>
  <c r="P1717" i="19" s="1"/>
  <c r="Q1717" i="19" s="1"/>
  <c r="N1715" i="19"/>
  <c r="N1718" i="19"/>
  <c r="P1718" i="19" s="1"/>
  <c r="Q1718" i="19" s="1"/>
  <c r="N1239" i="19"/>
  <c r="G255" i="13"/>
  <c r="P1235" i="19"/>
  <c r="N1483" i="19"/>
  <c r="P1483" i="19" s="1"/>
  <c r="Q1483" i="19" s="1"/>
  <c r="N1481" i="19"/>
  <c r="P1481" i="19" s="1"/>
  <c r="Q1481" i="19" s="1"/>
  <c r="N1480" i="19"/>
  <c r="N1482" i="19"/>
  <c r="P1482" i="19" s="1"/>
  <c r="Q1482" i="19" s="1"/>
  <c r="N100" i="19"/>
  <c r="N101" i="19"/>
  <c r="N102" i="19"/>
  <c r="P102" i="19" s="1"/>
  <c r="Q102" i="19" s="1"/>
  <c r="N103" i="19"/>
  <c r="P103" i="19" s="1"/>
  <c r="Q103" i="19" s="1"/>
  <c r="N324" i="19"/>
  <c r="G72" i="13"/>
  <c r="P320" i="19"/>
  <c r="G280" i="13"/>
  <c r="P1360" i="19"/>
  <c r="N1364" i="19"/>
  <c r="N53" i="19"/>
  <c r="P53" i="19" s="1"/>
  <c r="Q53" i="19" s="1"/>
  <c r="N52" i="19"/>
  <c r="P52" i="19" s="1"/>
  <c r="Q52" i="19" s="1"/>
  <c r="N50" i="19"/>
  <c r="N51" i="19"/>
  <c r="P51" i="19" s="1"/>
  <c r="Q51" i="19" s="1"/>
  <c r="Q235" i="19"/>
  <c r="G144" i="13"/>
  <c r="P680" i="19"/>
  <c r="N684" i="19"/>
  <c r="N1163" i="19"/>
  <c r="P1163" i="19" s="1"/>
  <c r="Q1163" i="19" s="1"/>
  <c r="N1162" i="19"/>
  <c r="P1162" i="19" s="1"/>
  <c r="Q1162" i="19" s="1"/>
  <c r="N1161" i="19"/>
  <c r="P1161" i="19" s="1"/>
  <c r="Q1161" i="19" s="1"/>
  <c r="N1160" i="19"/>
  <c r="G47" i="13"/>
  <c r="P195" i="19"/>
  <c r="N199" i="19"/>
  <c r="N1688" i="19"/>
  <c r="P1688" i="19" s="1"/>
  <c r="Q1688" i="19" s="1"/>
  <c r="N1685" i="19"/>
  <c r="N1686" i="19"/>
  <c r="P1686" i="19" s="1"/>
  <c r="Q1686" i="19" s="1"/>
  <c r="N1687" i="19"/>
  <c r="P1687" i="19" s="1"/>
  <c r="Q1687" i="19" s="1"/>
  <c r="N189" i="19"/>
  <c r="G45" i="13"/>
  <c r="P185" i="19"/>
  <c r="N655" i="19"/>
  <c r="N657" i="19"/>
  <c r="P657" i="19" s="1"/>
  <c r="Q657" i="19" s="1"/>
  <c r="N656" i="19"/>
  <c r="P656" i="19" s="1"/>
  <c r="Q656" i="19" s="1"/>
  <c r="N658" i="19"/>
  <c r="P658" i="19" s="1"/>
  <c r="Q658" i="19" s="1"/>
  <c r="N1233" i="19"/>
  <c r="P1233" i="19" s="1"/>
  <c r="Q1233" i="19" s="1"/>
  <c r="N1231" i="19"/>
  <c r="N1230" i="19"/>
  <c r="N1232" i="19"/>
  <c r="N1396" i="19"/>
  <c r="P1396" i="19" s="1"/>
  <c r="Q1396" i="19" s="1"/>
  <c r="N1398" i="19"/>
  <c r="P1398" i="19" s="1"/>
  <c r="Q1398" i="19" s="1"/>
  <c r="N1395" i="19"/>
  <c r="N1397" i="19"/>
  <c r="P1397" i="19" s="1"/>
  <c r="Q1397" i="19" s="1"/>
  <c r="P589" i="19"/>
  <c r="Q589" i="19" s="1"/>
  <c r="Q585" i="19"/>
  <c r="N1682" i="19"/>
  <c r="P1682" i="19" s="1"/>
  <c r="Q1682" i="19" s="1"/>
  <c r="N1683" i="19"/>
  <c r="P1683" i="19" s="1"/>
  <c r="Q1683" i="19" s="1"/>
  <c r="N1681" i="19"/>
  <c r="P1681" i="19" s="1"/>
  <c r="Q1681" i="19" s="1"/>
  <c r="N1680" i="19"/>
  <c r="P945" i="19"/>
  <c r="G197" i="13"/>
  <c r="H197" i="13" s="1"/>
  <c r="I197" i="13" s="1"/>
  <c r="N949" i="19"/>
  <c r="Q215" i="19"/>
  <c r="P219" i="19"/>
  <c r="Q219" i="19" s="1"/>
  <c r="Q1465" i="19"/>
  <c r="P1469" i="19"/>
  <c r="Q1469" i="19" s="1"/>
  <c r="P799" i="19"/>
  <c r="Q799" i="19" s="1"/>
  <c r="Q795" i="19"/>
  <c r="K42" i="15"/>
  <c r="L42" i="15" s="1"/>
  <c r="H59" i="13"/>
  <c r="I59" i="13" s="1"/>
  <c r="Q1700" i="19"/>
  <c r="P1704" i="19"/>
  <c r="Q1704" i="19" s="1"/>
  <c r="Q1695" i="19"/>
  <c r="P17" i="19"/>
  <c r="Q17" i="19" s="1"/>
  <c r="S361" i="10"/>
  <c r="W14" i="3" s="1"/>
  <c r="S364" i="10"/>
  <c r="V10" i="10"/>
  <c r="R19" i="16" s="1"/>
  <c r="S19" i="16" s="1"/>
  <c r="Z10" i="10"/>
  <c r="N84" i="19"/>
  <c r="P80" i="19"/>
  <c r="G24" i="13"/>
  <c r="P49" i="19"/>
  <c r="Q49" i="19" s="1"/>
  <c r="Q45" i="19"/>
  <c r="H13" i="13"/>
  <c r="I13" i="13" s="1"/>
  <c r="H348" i="13"/>
  <c r="I348" i="13" s="1"/>
  <c r="Q1000" i="19"/>
  <c r="P1004" i="19"/>
  <c r="Q1004" i="19" s="1"/>
  <c r="H80" i="13"/>
  <c r="I80" i="13" s="1"/>
  <c r="K53" i="15"/>
  <c r="L53" i="15" s="1"/>
  <c r="N650" i="19"/>
  <c r="N651" i="19"/>
  <c r="N653" i="19"/>
  <c r="P653" i="19" s="1"/>
  <c r="Q653" i="19" s="1"/>
  <c r="N652" i="19"/>
  <c r="P652" i="19" s="1"/>
  <c r="Q652" i="19" s="1"/>
  <c r="P325" i="19"/>
  <c r="N329" i="19"/>
  <c r="G73" i="13"/>
  <c r="G79" i="13"/>
  <c r="N359" i="19"/>
  <c r="P355" i="19"/>
  <c r="Q145" i="19"/>
  <c r="P149" i="19"/>
  <c r="Q149" i="19" s="1"/>
  <c r="P1705" i="19"/>
  <c r="N1709" i="19"/>
  <c r="G349" i="13"/>
  <c r="N1276" i="19"/>
  <c r="P1276" i="19" s="1"/>
  <c r="Q1276" i="19" s="1"/>
  <c r="N1275" i="19"/>
  <c r="N1278" i="19"/>
  <c r="P1278" i="19" s="1"/>
  <c r="Q1278" i="19" s="1"/>
  <c r="N1277" i="19"/>
  <c r="P1277" i="19" s="1"/>
  <c r="Q1277" i="19" s="1"/>
  <c r="N809" i="19"/>
  <c r="P805" i="19"/>
  <c r="G169" i="13"/>
  <c r="H211" i="13"/>
  <c r="I211" i="13" s="1"/>
  <c r="K202" i="15"/>
  <c r="L202" i="15" s="1"/>
  <c r="H299" i="13"/>
  <c r="I299" i="13" s="1"/>
  <c r="K203" i="15"/>
  <c r="L203" i="15" s="1"/>
  <c r="H300" i="13"/>
  <c r="I300" i="13" s="1"/>
  <c r="N1106" i="19"/>
  <c r="P1106" i="19" s="1"/>
  <c r="Q1106" i="19" s="1"/>
  <c r="N1108" i="19"/>
  <c r="P1108" i="19" s="1"/>
  <c r="Q1108" i="19" s="1"/>
  <c r="N1105" i="19"/>
  <c r="N1107" i="19"/>
  <c r="P1107" i="19" s="1"/>
  <c r="Q1107" i="19" s="1"/>
  <c r="N423" i="19"/>
  <c r="P423" i="19" s="1"/>
  <c r="Q423" i="19" s="1"/>
  <c r="N421" i="19"/>
  <c r="P421" i="19" s="1"/>
  <c r="Q421" i="19" s="1"/>
  <c r="N422" i="19"/>
  <c r="P422" i="19" s="1"/>
  <c r="Q422" i="19" s="1"/>
  <c r="N420" i="19"/>
  <c r="H90" i="13"/>
  <c r="I90" i="13" s="1"/>
  <c r="P851" i="19"/>
  <c r="Q851" i="19" s="1"/>
  <c r="K74" i="15"/>
  <c r="L74" i="15" s="1"/>
  <c r="H108" i="13"/>
  <c r="I108" i="13" s="1"/>
  <c r="P769" i="19"/>
  <c r="Q769" i="19" s="1"/>
  <c r="Q765" i="19"/>
  <c r="Q270" i="19"/>
  <c r="P685" i="19"/>
  <c r="G145" i="13"/>
  <c r="N689" i="19"/>
  <c r="P376" i="19"/>
  <c r="Q376" i="19" s="1"/>
  <c r="X97" i="13"/>
  <c r="M97" i="13"/>
  <c r="AF97" i="13" s="1"/>
  <c r="P1005" i="19"/>
  <c r="N1009" i="19"/>
  <c r="G209" i="13"/>
  <c r="Q1415" i="19"/>
  <c r="P1419" i="19"/>
  <c r="Q1419" i="19" s="1"/>
  <c r="G152" i="13"/>
  <c r="P720" i="19"/>
  <c r="N724" i="19"/>
  <c r="N518" i="19"/>
  <c r="P518" i="19" s="1"/>
  <c r="Q518" i="19" s="1"/>
  <c r="N516" i="19"/>
  <c r="N515" i="19"/>
  <c r="N517" i="19"/>
  <c r="P517" i="19" s="1"/>
  <c r="Q517" i="19" s="1"/>
  <c r="H129" i="13"/>
  <c r="I129" i="13" s="1"/>
  <c r="X158" i="13"/>
  <c r="M158" i="13"/>
  <c r="AF158" i="13" s="1"/>
  <c r="P319" i="19"/>
  <c r="Q319" i="19" s="1"/>
  <c r="Q315" i="19"/>
  <c r="P151" i="19"/>
  <c r="Q151" i="19" s="1"/>
  <c r="H277" i="13"/>
  <c r="I277" i="13" s="1"/>
  <c r="P1514" i="19"/>
  <c r="Q1514" i="19" s="1"/>
  <c r="Q1510" i="19"/>
  <c r="H135" i="13"/>
  <c r="I135" i="13" s="1"/>
  <c r="X171" i="13"/>
  <c r="M171" i="13"/>
  <c r="AF171" i="13" s="1"/>
  <c r="N1225" i="19"/>
  <c r="N1228" i="19"/>
  <c r="P1228" i="19" s="1"/>
  <c r="Q1228" i="19" s="1"/>
  <c r="N1226" i="19"/>
  <c r="P1226" i="19" s="1"/>
  <c r="Q1226" i="19" s="1"/>
  <c r="N1227" i="19"/>
  <c r="P1227" i="19" s="1"/>
  <c r="Q1227" i="19" s="1"/>
  <c r="K143" i="15"/>
  <c r="L143" i="15" s="1"/>
  <c r="H213" i="13"/>
  <c r="I213" i="13" s="1"/>
  <c r="H148" i="13"/>
  <c r="I148" i="13" s="1"/>
  <c r="K96" i="15"/>
  <c r="L96" i="15" s="1"/>
  <c r="X173" i="13"/>
  <c r="M173" i="13"/>
  <c r="AF173" i="13" s="1"/>
  <c r="N1322" i="19"/>
  <c r="P1322" i="19" s="1"/>
  <c r="Q1322" i="19" s="1"/>
  <c r="N1320" i="19"/>
  <c r="N1321" i="19"/>
  <c r="P1321" i="19" s="1"/>
  <c r="Q1321" i="19" s="1"/>
  <c r="N1323" i="19"/>
  <c r="P1323" i="19" s="1"/>
  <c r="Q1323" i="19" s="1"/>
  <c r="K117" i="15"/>
  <c r="L117" i="15" s="1"/>
  <c r="H174" i="13"/>
  <c r="I174" i="13" s="1"/>
  <c r="N1573" i="19"/>
  <c r="P1573" i="19" s="1"/>
  <c r="Q1573" i="19" s="1"/>
  <c r="N1570" i="19"/>
  <c r="N1571" i="19"/>
  <c r="P1571" i="19" s="1"/>
  <c r="Q1571" i="19" s="1"/>
  <c r="N1572" i="19"/>
  <c r="P1572" i="19" s="1"/>
  <c r="Q1572" i="19" s="1"/>
  <c r="G143" i="13"/>
  <c r="N679" i="19"/>
  <c r="P675" i="19"/>
  <c r="N870" i="19"/>
  <c r="N872" i="19"/>
  <c r="P872" i="19" s="1"/>
  <c r="Q872" i="19" s="1"/>
  <c r="N873" i="19"/>
  <c r="P873" i="19" s="1"/>
  <c r="Q873" i="19" s="1"/>
  <c r="N871" i="19"/>
  <c r="P871" i="19" s="1"/>
  <c r="Q871" i="19" s="1"/>
  <c r="K20" i="15"/>
  <c r="L20" i="15" s="1"/>
  <c r="H27" i="13"/>
  <c r="I27" i="13" s="1"/>
  <c r="K54" i="15"/>
  <c r="L54" i="15" s="1"/>
  <c r="H81" i="13"/>
  <c r="I81" i="13" s="1"/>
  <c r="N580" i="19"/>
  <c r="N582" i="19"/>
  <c r="N583" i="19"/>
  <c r="P583" i="19" s="1"/>
  <c r="Q583" i="19" s="1"/>
  <c r="N581" i="19"/>
  <c r="K189" i="15"/>
  <c r="L189" i="15" s="1"/>
  <c r="H281" i="13"/>
  <c r="I281" i="13" s="1"/>
  <c r="P1065" i="19"/>
  <c r="N1069" i="19"/>
  <c r="G221" i="13"/>
  <c r="Q40" i="19"/>
  <c r="K241" i="15"/>
  <c r="L241" i="15" s="1"/>
  <c r="H356" i="13"/>
  <c r="I356" i="13" s="1"/>
  <c r="N126" i="19"/>
  <c r="N125" i="19"/>
  <c r="N127" i="19"/>
  <c r="P127" i="19" s="1"/>
  <c r="Q127" i="19" s="1"/>
  <c r="N128" i="19"/>
  <c r="P128" i="19" s="1"/>
  <c r="Q128" i="19" s="1"/>
  <c r="H128" i="13"/>
  <c r="I128" i="13" s="1"/>
  <c r="N529" i="19"/>
  <c r="G113" i="13"/>
  <c r="P525" i="19"/>
  <c r="N1443" i="19"/>
  <c r="P1443" i="19" s="1"/>
  <c r="Q1443" i="19" s="1"/>
  <c r="N1441" i="19"/>
  <c r="P1441" i="19" s="1"/>
  <c r="Q1441" i="19" s="1"/>
  <c r="N1440" i="19"/>
  <c r="N1442" i="19"/>
  <c r="P1442" i="19" s="1"/>
  <c r="Q1442" i="19" s="1"/>
  <c r="P399" i="19"/>
  <c r="Q399" i="19" s="1"/>
  <c r="Q395" i="19"/>
  <c r="X271" i="13"/>
  <c r="M271" i="13"/>
  <c r="AF271" i="13" s="1"/>
  <c r="P1240" i="19"/>
  <c r="N1244" i="19"/>
  <c r="G256" i="13"/>
  <c r="G19" i="13"/>
  <c r="P55" i="19"/>
  <c r="N59" i="19"/>
  <c r="K83" i="15"/>
  <c r="L83" i="15" s="1"/>
  <c r="H126" i="13"/>
  <c r="I126" i="13" s="1"/>
  <c r="Q885" i="19"/>
  <c r="P889" i="19"/>
  <c r="Q889" i="19" s="1"/>
  <c r="P714" i="19"/>
  <c r="Q714" i="19" s="1"/>
  <c r="Q710" i="19"/>
  <c r="P925" i="19"/>
  <c r="N929" i="19"/>
  <c r="G193" i="13"/>
  <c r="N726" i="19"/>
  <c r="N727" i="19"/>
  <c r="P727" i="19" s="1"/>
  <c r="Q727" i="19" s="1"/>
  <c r="N728" i="19"/>
  <c r="P728" i="19" s="1"/>
  <c r="Q728" i="19" s="1"/>
  <c r="N725" i="19"/>
  <c r="G363" i="13"/>
  <c r="P664" i="19"/>
  <c r="Q664" i="19" s="1"/>
  <c r="Q660" i="19"/>
  <c r="P176" i="19"/>
  <c r="Q176" i="19" s="1"/>
  <c r="K135" i="15"/>
  <c r="L135" i="15" s="1"/>
  <c r="H196" i="13"/>
  <c r="I196" i="13" s="1"/>
  <c r="Q1470" i="19"/>
  <c r="P1474" i="19"/>
  <c r="Q1474" i="19" s="1"/>
  <c r="P351" i="19"/>
  <c r="Q351" i="19" s="1"/>
  <c r="P1464" i="19"/>
  <c r="Q1464" i="19" s="1"/>
  <c r="Q1460" i="19"/>
  <c r="P1579" i="19"/>
  <c r="Q1579" i="19" s="1"/>
  <c r="Q1575" i="19"/>
  <c r="N220" i="19"/>
  <c r="N222" i="19"/>
  <c r="P222" i="19" s="1"/>
  <c r="Q222" i="19" s="1"/>
  <c r="N221" i="19"/>
  <c r="N223" i="19"/>
  <c r="P223" i="19" s="1"/>
  <c r="Q223" i="19" s="1"/>
  <c r="N1673" i="19"/>
  <c r="P1673" i="19" s="1"/>
  <c r="Q1673" i="19" s="1"/>
  <c r="N1672" i="19"/>
  <c r="P1672" i="19" s="1"/>
  <c r="Q1672" i="19" s="1"/>
  <c r="N1671" i="19"/>
  <c r="N1670" i="19"/>
  <c r="Q410" i="19"/>
  <c r="P414" i="19"/>
  <c r="Q414" i="19" s="1"/>
  <c r="G178" i="13"/>
  <c r="P850" i="19"/>
  <c r="N854" i="19"/>
  <c r="X117" i="13"/>
  <c r="M117" i="13"/>
  <c r="AF117" i="13" s="1"/>
  <c r="N951" i="19"/>
  <c r="P951" i="19" s="1"/>
  <c r="Q951" i="19" s="1"/>
  <c r="N952" i="19"/>
  <c r="P952" i="19" s="1"/>
  <c r="Q952" i="19" s="1"/>
  <c r="N950" i="19"/>
  <c r="N953" i="19"/>
  <c r="P953" i="19" s="1"/>
  <c r="Q953" i="19" s="1"/>
  <c r="N1391" i="19"/>
  <c r="P1391" i="19" s="1"/>
  <c r="Q1391" i="19" s="1"/>
  <c r="N1393" i="19"/>
  <c r="P1393" i="19" s="1"/>
  <c r="Q1393" i="19" s="1"/>
  <c r="N1390" i="19"/>
  <c r="N1392" i="19"/>
  <c r="P1392" i="19" s="1"/>
  <c r="Q1392" i="19" s="1"/>
  <c r="P504" i="19"/>
  <c r="Q504" i="19" s="1"/>
  <c r="Q500" i="19"/>
  <c r="N416" i="19"/>
  <c r="P416" i="19" s="1"/>
  <c r="Q416" i="19" s="1"/>
  <c r="N415" i="19"/>
  <c r="N418" i="19"/>
  <c r="P418" i="19" s="1"/>
  <c r="Q418" i="19" s="1"/>
  <c r="N417" i="19"/>
  <c r="P417" i="19" s="1"/>
  <c r="Q417" i="19" s="1"/>
  <c r="N72" i="19"/>
  <c r="P72" i="19" s="1"/>
  <c r="Q72" i="19" s="1"/>
  <c r="N73" i="19"/>
  <c r="P73" i="19" s="1"/>
  <c r="Q73" i="19" s="1"/>
  <c r="N70" i="19"/>
  <c r="N71" i="19"/>
  <c r="N379" i="19"/>
  <c r="P375" i="19"/>
  <c r="G83" i="13"/>
  <c r="H295" i="13"/>
  <c r="I295" i="13" s="1"/>
  <c r="H291" i="13"/>
  <c r="I291" i="13" s="1"/>
  <c r="P1489" i="19"/>
  <c r="Q1489" i="19" s="1"/>
  <c r="Q1485" i="19"/>
  <c r="Q605" i="19"/>
  <c r="H71" i="13"/>
  <c r="I71" i="13" s="1"/>
  <c r="P1050" i="19"/>
  <c r="G218" i="13"/>
  <c r="N1054" i="19"/>
  <c r="G46" i="13"/>
  <c r="N194" i="19"/>
  <c r="P190" i="19"/>
  <c r="N154" i="19"/>
  <c r="G38" i="13"/>
  <c r="P150" i="19"/>
  <c r="P486" i="19"/>
  <c r="Q486" i="19" s="1"/>
  <c r="K198" i="15"/>
  <c r="L198" i="15" s="1"/>
  <c r="H294" i="13"/>
  <c r="I294" i="13" s="1"/>
  <c r="N670" i="19"/>
  <c r="N671" i="19"/>
  <c r="P671" i="19" s="1"/>
  <c r="Q671" i="19" s="1"/>
  <c r="N672" i="19"/>
  <c r="N673" i="19"/>
  <c r="P673" i="19" s="1"/>
  <c r="Q673" i="19" s="1"/>
  <c r="N374" i="19"/>
  <c r="G82" i="13"/>
  <c r="P370" i="19"/>
  <c r="X177" i="13"/>
  <c r="M177" i="13"/>
  <c r="AF177" i="13" s="1"/>
  <c r="Q900" i="19"/>
  <c r="G308" i="13"/>
  <c r="P1500" i="19"/>
  <c r="N1504" i="19"/>
  <c r="P639" i="19"/>
  <c r="Q639" i="19" s="1"/>
  <c r="Q635" i="19"/>
  <c r="H289" i="13"/>
  <c r="I289" i="13" s="1"/>
  <c r="Q180" i="19"/>
  <c r="P184" i="19"/>
  <c r="Q184" i="19" s="1"/>
  <c r="K165" i="15"/>
  <c r="L165" i="15" s="1"/>
  <c r="H243" i="13"/>
  <c r="I243" i="13" s="1"/>
  <c r="H137" i="13"/>
  <c r="I137" i="13" s="1"/>
  <c r="K89" i="15"/>
  <c r="L89" i="15" s="1"/>
  <c r="G242" i="13"/>
  <c r="N1174" i="19"/>
  <c r="P1170" i="19"/>
  <c r="H223" i="13"/>
  <c r="I223" i="13" s="1"/>
  <c r="K151" i="15"/>
  <c r="L151" i="15" s="1"/>
  <c r="Q1095" i="19"/>
  <c r="P1099" i="19"/>
  <c r="Q1099" i="19" s="1"/>
  <c r="H88" i="13"/>
  <c r="I88" i="13" s="1"/>
  <c r="K59" i="15"/>
  <c r="L59" i="15" s="1"/>
  <c r="H262" i="13"/>
  <c r="I262" i="13" s="1"/>
  <c r="K179" i="15"/>
  <c r="L179" i="15" s="1"/>
  <c r="G258" i="13"/>
  <c r="N1254" i="19"/>
  <c r="P1250" i="19"/>
  <c r="N971" i="19"/>
  <c r="P971" i="19" s="1"/>
  <c r="Q971" i="19" s="1"/>
  <c r="N973" i="19"/>
  <c r="P973" i="19" s="1"/>
  <c r="Q973" i="19" s="1"/>
  <c r="N972" i="19"/>
  <c r="P972" i="19" s="1"/>
  <c r="Q972" i="19" s="1"/>
  <c r="N970" i="19"/>
  <c r="N935" i="19"/>
  <c r="N938" i="19"/>
  <c r="P938" i="19" s="1"/>
  <c r="Q938" i="19" s="1"/>
  <c r="N936" i="19"/>
  <c r="P936" i="19" s="1"/>
  <c r="Q936" i="19" s="1"/>
  <c r="N937" i="19"/>
  <c r="P937" i="19" s="1"/>
  <c r="Q937" i="19" s="1"/>
  <c r="N481" i="19"/>
  <c r="N480" i="19"/>
  <c r="N482" i="19"/>
  <c r="N483" i="19"/>
  <c r="P483" i="19" s="1"/>
  <c r="Q483" i="19" s="1"/>
  <c r="P1131" i="19"/>
  <c r="Q1131" i="19" s="1"/>
  <c r="P459" i="19"/>
  <c r="Q459" i="19" s="1"/>
  <c r="Q455" i="19"/>
  <c r="N1342" i="19"/>
  <c r="P1342" i="19" s="1"/>
  <c r="Q1342" i="19" s="1"/>
  <c r="N1343" i="19"/>
  <c r="P1343" i="19" s="1"/>
  <c r="Q1343" i="19" s="1"/>
  <c r="N1341" i="19"/>
  <c r="P1341" i="19" s="1"/>
  <c r="Q1341" i="19" s="1"/>
  <c r="N1340" i="19"/>
  <c r="N1339" i="19"/>
  <c r="G275" i="13"/>
  <c r="P1335" i="19"/>
  <c r="P344" i="19"/>
  <c r="Q344" i="19" s="1"/>
  <c r="Q340" i="19"/>
  <c r="G285" i="13"/>
  <c r="P1385" i="19"/>
  <c r="N1389" i="19"/>
  <c r="Q1040" i="19"/>
  <c r="P1044" i="19"/>
  <c r="Q1044" i="19" s="1"/>
  <c r="N1137" i="19"/>
  <c r="P1137" i="19" s="1"/>
  <c r="Q1137" i="19" s="1"/>
  <c r="N1135" i="19"/>
  <c r="N1138" i="19"/>
  <c r="P1138" i="19" s="1"/>
  <c r="Q1138" i="19" s="1"/>
  <c r="N1136" i="19"/>
  <c r="P764" i="19"/>
  <c r="Q764" i="19" s="1"/>
  <c r="Q760" i="19"/>
  <c r="G282" i="13"/>
  <c r="N1374" i="19"/>
  <c r="P1370" i="19"/>
  <c r="P859" i="19"/>
  <c r="Q859" i="19" s="1"/>
  <c r="Q855" i="19"/>
  <c r="P1021" i="19"/>
  <c r="Q1021" i="19" s="1"/>
  <c r="K87" i="15"/>
  <c r="L87" i="15" s="1"/>
  <c r="H134" i="13"/>
  <c r="I134" i="13" s="1"/>
  <c r="G67" i="13"/>
  <c r="P295" i="19"/>
  <c r="N299" i="19"/>
  <c r="H118" i="13"/>
  <c r="I118" i="13" s="1"/>
  <c r="H42" i="13"/>
  <c r="I42" i="13" s="1"/>
  <c r="N260" i="19"/>
  <c r="N262" i="19"/>
  <c r="P262" i="19" s="1"/>
  <c r="Q262" i="19" s="1"/>
  <c r="N263" i="19"/>
  <c r="P263" i="19" s="1"/>
  <c r="Q263" i="19" s="1"/>
  <c r="N261" i="19"/>
  <c r="N692" i="19"/>
  <c r="P692" i="19" s="1"/>
  <c r="Q692" i="19" s="1"/>
  <c r="N691" i="19"/>
  <c r="P691" i="19" s="1"/>
  <c r="Q691" i="19" s="1"/>
  <c r="N693" i="19"/>
  <c r="P693" i="19" s="1"/>
  <c r="Q693" i="19" s="1"/>
  <c r="N690" i="19"/>
  <c r="Q1515" i="19"/>
  <c r="P1519" i="19"/>
  <c r="Q1519" i="19" s="1"/>
  <c r="H69" i="13"/>
  <c r="I69" i="13" s="1"/>
  <c r="K97" i="15"/>
  <c r="L97" i="15" s="1"/>
  <c r="H150" i="13"/>
  <c r="I150" i="13" s="1"/>
  <c r="K280" i="15"/>
  <c r="L280" i="15" s="1"/>
  <c r="H396" i="13"/>
  <c r="I396" i="13" s="1"/>
  <c r="N1564" i="19"/>
  <c r="G320" i="13"/>
  <c r="P1560" i="19"/>
  <c r="K109" i="15"/>
  <c r="L109" i="15" s="1"/>
  <c r="H166" i="13"/>
  <c r="I166" i="13" s="1"/>
  <c r="N1268" i="19"/>
  <c r="P1268" i="19" s="1"/>
  <c r="Q1268" i="19" s="1"/>
  <c r="N1266" i="19"/>
  <c r="P1266" i="19" s="1"/>
  <c r="Q1266" i="19" s="1"/>
  <c r="N1267" i="19"/>
  <c r="P1267" i="19" s="1"/>
  <c r="Q1267" i="19" s="1"/>
  <c r="N1265" i="19"/>
  <c r="H231" i="13"/>
  <c r="I231" i="13" s="1"/>
  <c r="N1295" i="19"/>
  <c r="N1297" i="19"/>
  <c r="P1297" i="19" s="1"/>
  <c r="Q1297" i="19" s="1"/>
  <c r="N1296" i="19"/>
  <c r="P1296" i="19" s="1"/>
  <c r="Q1296" i="19" s="1"/>
  <c r="N1298" i="19"/>
  <c r="P1298" i="19" s="1"/>
  <c r="Q1298" i="19" s="1"/>
  <c r="P310" i="19"/>
  <c r="G70" i="13"/>
  <c r="N314" i="19"/>
  <c r="P81" i="19"/>
  <c r="Q81" i="19" s="1"/>
  <c r="G366" i="13"/>
  <c r="K14" i="15"/>
  <c r="L14" i="15" s="1"/>
  <c r="H17" i="13"/>
  <c r="I17" i="13" s="1"/>
  <c r="P1220" i="19"/>
  <c r="G252" i="13"/>
  <c r="N1224" i="19"/>
  <c r="P259" i="19"/>
  <c r="Q259" i="19" s="1"/>
  <c r="Q255" i="19"/>
  <c r="Q820" i="19"/>
  <c r="P824" i="19"/>
  <c r="Q824" i="19" s="1"/>
  <c r="N383" i="19"/>
  <c r="P383" i="19" s="1"/>
  <c r="Q383" i="19" s="1"/>
  <c r="N381" i="19"/>
  <c r="N380" i="19"/>
  <c r="N382" i="19"/>
  <c r="P382" i="19" s="1"/>
  <c r="Q382" i="19" s="1"/>
  <c r="Q1375" i="19"/>
  <c r="P1379" i="19"/>
  <c r="Q1379" i="19" s="1"/>
  <c r="Q1055" i="19"/>
  <c r="K27" i="15"/>
  <c r="L27" i="15" s="1"/>
  <c r="H37" i="13"/>
  <c r="I37" i="13" s="1"/>
  <c r="P75" i="19"/>
  <c r="G23" i="13"/>
  <c r="N79" i="19"/>
  <c r="N302" i="19"/>
  <c r="P302" i="19" s="1"/>
  <c r="Q302" i="19" s="1"/>
  <c r="N300" i="19"/>
  <c r="N303" i="19"/>
  <c r="P303" i="19" s="1"/>
  <c r="Q303" i="19" s="1"/>
  <c r="N301" i="19"/>
  <c r="N1413" i="19"/>
  <c r="P1413" i="19" s="1"/>
  <c r="Q1413" i="19" s="1"/>
  <c r="N1410" i="19"/>
  <c r="N1412" i="19"/>
  <c r="P1412" i="19" s="1"/>
  <c r="Q1412" i="19" s="1"/>
  <c r="N1411" i="19"/>
  <c r="P1411" i="19" s="1"/>
  <c r="Q1411" i="19" s="1"/>
  <c r="P1459" i="19"/>
  <c r="Q1459" i="19" s="1"/>
  <c r="Q1455" i="19"/>
  <c r="G333" i="13"/>
  <c r="P1625" i="19"/>
  <c r="N1629" i="19"/>
  <c r="P350" i="19"/>
  <c r="G78" i="13"/>
  <c r="N354" i="19"/>
  <c r="K38" i="15"/>
  <c r="L38" i="15" s="1"/>
  <c r="H54" i="13"/>
  <c r="I54" i="13" s="1"/>
  <c r="P1329" i="19"/>
  <c r="Q1329" i="19" s="1"/>
  <c r="Q1325" i="19"/>
  <c r="G127" i="13"/>
  <c r="P595" i="19"/>
  <c r="N599" i="19"/>
  <c r="Q490" i="19"/>
  <c r="P494" i="19"/>
  <c r="Q494" i="19" s="1"/>
  <c r="N248" i="19"/>
  <c r="P248" i="19" s="1"/>
  <c r="Q248" i="19" s="1"/>
  <c r="N246" i="19"/>
  <c r="N245" i="19"/>
  <c r="N247" i="19"/>
  <c r="P247" i="19" s="1"/>
  <c r="Q247" i="19" s="1"/>
  <c r="Q665" i="19"/>
  <c r="P669" i="19"/>
  <c r="Q669" i="19" s="1"/>
  <c r="P266" i="19"/>
  <c r="Q266" i="19" s="1"/>
  <c r="N1206" i="19"/>
  <c r="P1206" i="19" s="1"/>
  <c r="Q1206" i="19" s="1"/>
  <c r="N1208" i="19"/>
  <c r="P1208" i="19" s="1"/>
  <c r="Q1208" i="19" s="1"/>
  <c r="N1205" i="19"/>
  <c r="N1207" i="19"/>
  <c r="P1207" i="19" s="1"/>
  <c r="Q1207" i="19" s="1"/>
  <c r="Q155" i="19"/>
  <c r="P159" i="19"/>
  <c r="Q159" i="19" s="1"/>
  <c r="N565" i="19"/>
  <c r="N567" i="19"/>
  <c r="P567" i="19" s="1"/>
  <c r="Q567" i="19" s="1"/>
  <c r="N568" i="19"/>
  <c r="P568" i="19" s="1"/>
  <c r="Q568" i="19" s="1"/>
  <c r="N566" i="19"/>
  <c r="G207" i="13"/>
  <c r="N999" i="19"/>
  <c r="P995" i="19"/>
  <c r="N977" i="19"/>
  <c r="P977" i="19" s="1"/>
  <c r="Q977" i="19" s="1"/>
  <c r="N976" i="19"/>
  <c r="P976" i="19" s="1"/>
  <c r="Q976" i="19" s="1"/>
  <c r="N975" i="19"/>
  <c r="N978" i="19"/>
  <c r="P978" i="19" s="1"/>
  <c r="Q978" i="19" s="1"/>
  <c r="P152" i="19"/>
  <c r="Q152" i="19" s="1"/>
  <c r="H14" i="13"/>
  <c r="I14" i="13" s="1"/>
  <c r="K12" i="15"/>
  <c r="L12" i="15" s="1"/>
  <c r="Q1175" i="19"/>
  <c r="P1179" i="19"/>
  <c r="Q1179" i="19" s="1"/>
  <c r="P704" i="19"/>
  <c r="Q704" i="19" s="1"/>
  <c r="Q700" i="19"/>
  <c r="P1079" i="19"/>
  <c r="Q1079" i="19" s="1"/>
  <c r="Q1075" i="19"/>
  <c r="P291" i="19"/>
  <c r="Q291" i="19" s="1"/>
  <c r="K45" i="15"/>
  <c r="L45" i="15" s="1"/>
  <c r="H65" i="13"/>
  <c r="I65" i="13" s="1"/>
  <c r="G234" i="13"/>
  <c r="P1130" i="19"/>
  <c r="N1134" i="19"/>
  <c r="N111" i="19"/>
  <c r="N113" i="19"/>
  <c r="P113" i="19" s="1"/>
  <c r="Q113" i="19" s="1"/>
  <c r="N112" i="19"/>
  <c r="P112" i="19" s="1"/>
  <c r="Q112" i="19" s="1"/>
  <c r="N110" i="19"/>
  <c r="P676" i="19"/>
  <c r="Q676" i="19" s="1"/>
  <c r="Q570" i="19"/>
  <c r="P574" i="19"/>
  <c r="Q574" i="19" s="1"/>
  <c r="P99" i="19"/>
  <c r="Q99" i="19" s="1"/>
  <c r="Q95" i="19"/>
  <c r="G250" i="13"/>
  <c r="P1210" i="19"/>
  <c r="N1214" i="19"/>
  <c r="H16" i="13"/>
  <c r="I16" i="13" s="1"/>
  <c r="K13" i="15"/>
  <c r="L13" i="15" s="1"/>
  <c r="N956" i="19"/>
  <c r="N958" i="19"/>
  <c r="P958" i="19" s="1"/>
  <c r="Q958" i="19" s="1"/>
  <c r="N955" i="19"/>
  <c r="N957" i="19"/>
  <c r="P957" i="19" s="1"/>
  <c r="Q957" i="19" s="1"/>
  <c r="P1744" i="19"/>
  <c r="Q1744" i="19" s="1"/>
  <c r="Q1740" i="19"/>
  <c r="G175" i="13"/>
  <c r="P835" i="19"/>
  <c r="N839" i="19"/>
  <c r="K144" i="15"/>
  <c r="L144" i="15" s="1"/>
  <c r="H216" i="13"/>
  <c r="I216" i="13" s="1"/>
  <c r="P1304" i="19"/>
  <c r="Q1304" i="19" s="1"/>
  <c r="Q1300" i="19"/>
  <c r="P1371" i="19"/>
  <c r="Q1371" i="19" s="1"/>
  <c r="G410" i="13"/>
  <c r="K121" i="15"/>
  <c r="L121" i="15" s="1"/>
  <c r="H179" i="13"/>
  <c r="I179" i="13" s="1"/>
  <c r="H324" i="13"/>
  <c r="I324" i="13" s="1"/>
  <c r="K219" i="15"/>
  <c r="L219" i="15" s="1"/>
  <c r="P1064" i="19"/>
  <c r="Q1064" i="19" s="1"/>
  <c r="Q1060" i="19"/>
  <c r="Q1085" i="19"/>
  <c r="P1089" i="19"/>
  <c r="Q1089" i="19" s="1"/>
  <c r="H87" i="13"/>
  <c r="I87" i="13" s="1"/>
  <c r="K58" i="15"/>
  <c r="L58" i="15" s="1"/>
  <c r="H241" i="13"/>
  <c r="I241" i="13" s="1"/>
  <c r="Q590" i="19"/>
  <c r="P594" i="19"/>
  <c r="Q594" i="19" s="1"/>
  <c r="K127" i="15"/>
  <c r="L127" i="15" s="1"/>
  <c r="H185" i="13"/>
  <c r="I185" i="13" s="1"/>
  <c r="G232" i="13"/>
  <c r="N1124" i="19"/>
  <c r="P1120" i="19"/>
  <c r="P1561" i="19"/>
  <c r="Q1561" i="19" s="1"/>
  <c r="G418" i="13"/>
  <c r="G164" i="13"/>
  <c r="N784" i="19"/>
  <c r="P780" i="19"/>
  <c r="H352" i="13"/>
  <c r="I352" i="13" s="1"/>
  <c r="K238" i="15"/>
  <c r="L238" i="15" s="1"/>
  <c r="P1045" i="19"/>
  <c r="N1049" i="19"/>
  <c r="G217" i="13"/>
  <c r="G391" i="13"/>
  <c r="K141" i="15"/>
  <c r="L141" i="15" s="1"/>
  <c r="H208" i="13"/>
  <c r="I208" i="13" s="1"/>
  <c r="K115" i="15"/>
  <c r="L115" i="15" s="1"/>
  <c r="H172" i="13"/>
  <c r="I172" i="13" s="1"/>
  <c r="G297" i="13"/>
  <c r="P1445" i="19"/>
  <c r="N1449" i="19"/>
  <c r="X165" i="13"/>
  <c r="M165" i="13"/>
  <c r="AF165" i="13" s="1"/>
  <c r="G431" i="13"/>
  <c r="P76" i="19"/>
  <c r="Q76" i="19" s="1"/>
  <c r="N36" i="19"/>
  <c r="N38" i="19"/>
  <c r="P38" i="19" s="1"/>
  <c r="Q38" i="19" s="1"/>
  <c r="N35" i="19"/>
  <c r="N37" i="19"/>
  <c r="P37" i="19" s="1"/>
  <c r="Q37" i="19" s="1"/>
  <c r="H64" i="13"/>
  <c r="I64" i="13" s="1"/>
  <c r="P944" i="19"/>
  <c r="Q944" i="19" s="1"/>
  <c r="Q940" i="19"/>
  <c r="N575" i="19"/>
  <c r="N577" i="19"/>
  <c r="P577" i="19" s="1"/>
  <c r="Q577" i="19" s="1"/>
  <c r="N576" i="19"/>
  <c r="P576" i="19" s="1"/>
  <c r="Q576" i="19" s="1"/>
  <c r="N578" i="19"/>
  <c r="P578" i="19" s="1"/>
  <c r="Q578" i="19" s="1"/>
  <c r="P596" i="19"/>
  <c r="Q596" i="19" s="1"/>
  <c r="N1070" i="19"/>
  <c r="N1073" i="19"/>
  <c r="P1073" i="19" s="1"/>
  <c r="Q1073" i="19" s="1"/>
  <c r="N1072" i="19"/>
  <c r="N1071" i="19"/>
  <c r="P134" i="19"/>
  <c r="Q134" i="19" s="1"/>
  <c r="Q130" i="19"/>
  <c r="H141" i="13"/>
  <c r="I141" i="13" s="1"/>
  <c r="H133" i="13"/>
  <c r="I133" i="13" s="1"/>
  <c r="G61" i="13"/>
  <c r="P265" i="19"/>
  <c r="N269" i="19"/>
  <c r="K28" i="15"/>
  <c r="L28" i="15" s="1"/>
  <c r="H39" i="13"/>
  <c r="I39" i="13" s="1"/>
  <c r="N211" i="19"/>
  <c r="N213" i="19"/>
  <c r="P213" i="19" s="1"/>
  <c r="Q213" i="19" s="1"/>
  <c r="N210" i="19"/>
  <c r="N212" i="19"/>
  <c r="K18" i="15"/>
  <c r="L18" i="15" s="1"/>
  <c r="H25" i="13"/>
  <c r="I25" i="13" s="1"/>
  <c r="G105" i="13"/>
  <c r="P485" i="19"/>
  <c r="N489" i="19"/>
  <c r="Q1430" i="19"/>
  <c r="P1434" i="19"/>
  <c r="Q1434" i="19" s="1"/>
  <c r="Q1310" i="19"/>
  <c r="N394" i="19"/>
  <c r="P390" i="19"/>
  <c r="G86" i="13"/>
  <c r="P34" i="19"/>
  <c r="Q34" i="19" s="1"/>
  <c r="Q30" i="19"/>
  <c r="Q470" i="19"/>
  <c r="P1029" i="19"/>
  <c r="Q1029" i="19" s="1"/>
  <c r="Q1025" i="19"/>
  <c r="N1152" i="19"/>
  <c r="P1152" i="19" s="1"/>
  <c r="Q1152" i="19" s="1"/>
  <c r="N1153" i="19"/>
  <c r="P1153" i="19" s="1"/>
  <c r="Q1153" i="19" s="1"/>
  <c r="N1150" i="19"/>
  <c r="N1151" i="19"/>
  <c r="P1151" i="19" s="1"/>
  <c r="Q1151" i="19" s="1"/>
  <c r="G66" i="13"/>
  <c r="P290" i="19"/>
  <c r="N294" i="19"/>
  <c r="P1664" i="19"/>
  <c r="Q1664" i="19" s="1"/>
  <c r="Q1660" i="19"/>
  <c r="P404" i="19"/>
  <c r="Q404" i="19" s="1"/>
  <c r="Q400" i="19"/>
  <c r="Q1270" i="19"/>
  <c r="P1274" i="19"/>
  <c r="Q1274" i="19" s="1"/>
  <c r="N966" i="19"/>
  <c r="N965" i="19"/>
  <c r="N968" i="19"/>
  <c r="P968" i="19" s="1"/>
  <c r="Q968" i="19" s="1"/>
  <c r="N967" i="19"/>
  <c r="P967" i="19" s="1"/>
  <c r="Q967" i="19" s="1"/>
  <c r="Q830" i="19"/>
  <c r="P834" i="19"/>
  <c r="Q834" i="19" s="1"/>
  <c r="H354" i="13"/>
  <c r="I354" i="13" s="1"/>
  <c r="H99" i="13"/>
  <c r="I99" i="13" s="1"/>
  <c r="H122" i="13"/>
  <c r="I122" i="13" s="1"/>
  <c r="P169" i="19"/>
  <c r="Q169" i="19" s="1"/>
  <c r="Q165" i="19"/>
  <c r="N66" i="19"/>
  <c r="N67" i="19"/>
  <c r="N65" i="19"/>
  <c r="N68" i="19"/>
  <c r="P68" i="19" s="1"/>
  <c r="Q68" i="19" s="1"/>
  <c r="N1533" i="19"/>
  <c r="P1533" i="19" s="1"/>
  <c r="Q1533" i="19" s="1"/>
  <c r="N1532" i="19"/>
  <c r="P1532" i="19" s="1"/>
  <c r="Q1532" i="19" s="1"/>
  <c r="N1530" i="19"/>
  <c r="N1531" i="19"/>
  <c r="P1531" i="19" s="1"/>
  <c r="Q1531" i="19" s="1"/>
  <c r="K104" i="15"/>
  <c r="L104" i="15" s="1"/>
  <c r="H160" i="13"/>
  <c r="I160" i="13" s="1"/>
  <c r="P1020" i="19"/>
  <c r="N1024" i="19"/>
  <c r="G212" i="13"/>
  <c r="P1584" i="19"/>
  <c r="Q1584" i="19" s="1"/>
  <c r="Q1580" i="19"/>
  <c r="K148" i="15"/>
  <c r="L148" i="15" s="1"/>
  <c r="H220" i="13"/>
  <c r="I220" i="13" s="1"/>
  <c r="P554" i="19"/>
  <c r="Q554" i="19" s="1"/>
  <c r="Q550" i="19"/>
  <c r="N1525" i="19"/>
  <c r="N1526" i="19"/>
  <c r="P1526" i="19" s="1"/>
  <c r="Q1526" i="19" s="1"/>
  <c r="N1528" i="19"/>
  <c r="P1528" i="19" s="1"/>
  <c r="Q1528" i="19" s="1"/>
  <c r="N1527" i="19"/>
  <c r="P1527" i="19" s="1"/>
  <c r="Q1527" i="19" s="1"/>
  <c r="N912" i="19"/>
  <c r="P912" i="19" s="1"/>
  <c r="Q912" i="19" s="1"/>
  <c r="N911" i="19"/>
  <c r="N910" i="19"/>
  <c r="N913" i="19"/>
  <c r="P913" i="19" s="1"/>
  <c r="Q913" i="19" s="1"/>
  <c r="N1148" i="19"/>
  <c r="P1148" i="19" s="1"/>
  <c r="Q1148" i="19" s="1"/>
  <c r="N1147" i="19"/>
  <c r="P1147" i="19" s="1"/>
  <c r="Q1147" i="19" s="1"/>
  <c r="N1146" i="19"/>
  <c r="P1146" i="19" s="1"/>
  <c r="Q1146" i="19" s="1"/>
  <c r="N1145" i="19"/>
  <c r="K271" i="15"/>
  <c r="L271" i="15" s="1"/>
  <c r="H387" i="13"/>
  <c r="I387" i="13" s="1"/>
  <c r="X12" i="13"/>
  <c r="M12" i="13"/>
  <c r="AF12" i="13" s="1"/>
  <c r="H311" i="13"/>
  <c r="I311" i="13" s="1"/>
  <c r="P926" i="19"/>
  <c r="Q926" i="19" s="1"/>
  <c r="Q1720" i="19"/>
  <c r="P1724" i="19"/>
  <c r="Q1724" i="19" s="1"/>
  <c r="K234" i="15"/>
  <c r="L234" i="15" s="1"/>
  <c r="H346" i="13"/>
  <c r="I346" i="13" s="1"/>
  <c r="P1046" i="19"/>
  <c r="Q1046" i="19" s="1"/>
  <c r="AG171" i="13" l="1"/>
  <c r="AH171" i="13" s="1"/>
  <c r="AJ171" i="13" s="1"/>
  <c r="M204" i="13"/>
  <c r="AF204" i="13" s="1"/>
  <c r="AG117" i="13"/>
  <c r="AH117" i="13" s="1"/>
  <c r="AJ117" i="13" s="1"/>
  <c r="AG271" i="13"/>
  <c r="AH271" i="13" s="1"/>
  <c r="AJ271" i="13" s="1"/>
  <c r="AG266" i="13"/>
  <c r="AG177" i="13"/>
  <c r="AH177" i="13" s="1"/>
  <c r="AG165" i="13"/>
  <c r="M189" i="13"/>
  <c r="AF189" i="13" s="1"/>
  <c r="AG12" i="13"/>
  <c r="AG173" i="13"/>
  <c r="AG158" i="13"/>
  <c r="AH158" i="13" s="1"/>
  <c r="AJ158" i="13" s="1"/>
  <c r="AG97" i="13"/>
  <c r="AH97" i="13" s="1"/>
  <c r="K110" i="15"/>
  <c r="L110" i="15" s="1"/>
  <c r="G27" i="8"/>
  <c r="G98" i="13"/>
  <c r="H98" i="13" s="1"/>
  <c r="I98" i="13" s="1"/>
  <c r="P619" i="19"/>
  <c r="Q619" i="19" s="1"/>
  <c r="P1699" i="19"/>
  <c r="Q1699" i="19" s="1"/>
  <c r="P1101" i="19"/>
  <c r="Q1101" i="19" s="1"/>
  <c r="L23" i="16"/>
  <c r="M23" i="16" s="1"/>
  <c r="P1261" i="19"/>
  <c r="Q1261" i="19" s="1"/>
  <c r="L24" i="16"/>
  <c r="M24" i="16" s="1"/>
  <c r="P622" i="19"/>
  <c r="Q622" i="19" s="1"/>
  <c r="L22" i="16"/>
  <c r="M22" i="16" s="1"/>
  <c r="L20" i="16"/>
  <c r="M20" i="16" s="1"/>
  <c r="N561" i="19"/>
  <c r="P561" i="19" s="1"/>
  <c r="Q561" i="19" s="1"/>
  <c r="N563" i="19"/>
  <c r="P563" i="19" s="1"/>
  <c r="Q563" i="19" s="1"/>
  <c r="P560" i="19"/>
  <c r="Q560" i="19" s="1"/>
  <c r="N562" i="19"/>
  <c r="P562" i="19" s="1"/>
  <c r="Q562" i="19" s="1"/>
  <c r="P364" i="19"/>
  <c r="Q364" i="19" s="1"/>
  <c r="N454" i="19"/>
  <c r="N364" i="19"/>
  <c r="Q790" i="19"/>
  <c r="X355" i="13"/>
  <c r="P1739" i="19"/>
  <c r="Q1739" i="19" s="1"/>
  <c r="N1739" i="19"/>
  <c r="M355" i="13"/>
  <c r="AF355" i="13" s="1"/>
  <c r="K240" i="15"/>
  <c r="L240" i="15" s="1"/>
  <c r="Q1180" i="19"/>
  <c r="Q25" i="19"/>
  <c r="K68" i="15"/>
  <c r="L68" i="15" s="1"/>
  <c r="N474" i="19"/>
  <c r="P44" i="19"/>
  <c r="Q44" i="19" s="1"/>
  <c r="H94" i="13"/>
  <c r="I94" i="13" s="1"/>
  <c r="P474" i="19"/>
  <c r="Q474" i="19" s="1"/>
  <c r="K184" i="15"/>
  <c r="L184" i="15" s="1"/>
  <c r="M214" i="13"/>
  <c r="AF214" i="13" s="1"/>
  <c r="X214" i="13"/>
  <c r="J18" i="12"/>
  <c r="G18" i="8"/>
  <c r="P1059" i="19"/>
  <c r="Q1059" i="19" s="1"/>
  <c r="K90" i="15"/>
  <c r="L90" i="15" s="1"/>
  <c r="H44" i="13"/>
  <c r="I44" i="13" s="1"/>
  <c r="P735" i="19"/>
  <c r="G155" i="13"/>
  <c r="H155" i="13" s="1"/>
  <c r="I155" i="13" s="1"/>
  <c r="N739" i="19"/>
  <c r="N1127" i="19"/>
  <c r="P1127" i="19" s="1"/>
  <c r="Q1127" i="19" s="1"/>
  <c r="N226" i="19"/>
  <c r="P226" i="19" s="1"/>
  <c r="N225" i="19"/>
  <c r="G53" i="13" s="1"/>
  <c r="H53" i="13" s="1"/>
  <c r="I53" i="13" s="1"/>
  <c r="N227" i="19"/>
  <c r="P227" i="19" s="1"/>
  <c r="K154" i="15"/>
  <c r="L154" i="15" s="1"/>
  <c r="Q228" i="19"/>
  <c r="Q365" i="19"/>
  <c r="K245" i="15"/>
  <c r="L245" i="15" s="1"/>
  <c r="Q1015" i="19"/>
  <c r="H76" i="13"/>
  <c r="I76" i="13" s="1"/>
  <c r="G330" i="13"/>
  <c r="H330" i="13" s="1"/>
  <c r="I330" i="13" s="1"/>
  <c r="Q1405" i="19"/>
  <c r="Q625" i="19"/>
  <c r="P1734" i="19"/>
  <c r="Q1734" i="19" s="1"/>
  <c r="K181" i="15"/>
  <c r="L181" i="15" s="1"/>
  <c r="P1119" i="19"/>
  <c r="Q1119" i="19" s="1"/>
  <c r="P904" i="19"/>
  <c r="Q904" i="19" s="1"/>
  <c r="P1750" i="19"/>
  <c r="Q1750" i="19" s="1"/>
  <c r="K147" i="15"/>
  <c r="L147" i="15" s="1"/>
  <c r="G393" i="13"/>
  <c r="K277" i="15" s="1"/>
  <c r="L277" i="15" s="1"/>
  <c r="P174" i="19"/>
  <c r="Q174" i="19" s="1"/>
  <c r="P139" i="19"/>
  <c r="Q139" i="19" s="1"/>
  <c r="Q1165" i="19"/>
  <c r="N904" i="19"/>
  <c r="Q615" i="19"/>
  <c r="N1754" i="19"/>
  <c r="Q1380" i="19"/>
  <c r="M247" i="13"/>
  <c r="AF247" i="13" s="1"/>
  <c r="N1126" i="19"/>
  <c r="P1126" i="19" s="1"/>
  <c r="Q1126" i="19" s="1"/>
  <c r="N1125" i="19"/>
  <c r="Q630" i="19"/>
  <c r="H36" i="13"/>
  <c r="I36" i="13" s="1"/>
  <c r="H35" i="13"/>
  <c r="I35" i="13" s="1"/>
  <c r="P284" i="19"/>
  <c r="Q284" i="19" s="1"/>
  <c r="P649" i="19"/>
  <c r="Q649" i="19" s="1"/>
  <c r="G230" i="13"/>
  <c r="K157" i="15" s="1"/>
  <c r="L157" i="15" s="1"/>
  <c r="H55" i="13"/>
  <c r="I55" i="13" s="1"/>
  <c r="P1314" i="19"/>
  <c r="Q1314" i="19" s="1"/>
  <c r="P1439" i="19"/>
  <c r="Q1439" i="19" s="1"/>
  <c r="N1614" i="19"/>
  <c r="K256" i="15"/>
  <c r="L256" i="15" s="1"/>
  <c r="P274" i="19"/>
  <c r="Q274" i="19" s="1"/>
  <c r="M131" i="13"/>
  <c r="AF131" i="13" s="1"/>
  <c r="H399" i="13"/>
  <c r="I399" i="13" s="1"/>
  <c r="H301" i="13"/>
  <c r="I301" i="13" s="1"/>
  <c r="K218" i="15"/>
  <c r="L218" i="15" s="1"/>
  <c r="P349" i="19"/>
  <c r="Q349" i="19" s="1"/>
  <c r="P309" i="19"/>
  <c r="Q309" i="19" s="1"/>
  <c r="H340" i="13"/>
  <c r="I340" i="13" s="1"/>
  <c r="Q85" i="19"/>
  <c r="X247" i="13"/>
  <c r="N24" i="19"/>
  <c r="P24" i="19"/>
  <c r="Q24" i="19" s="1"/>
  <c r="X131" i="13"/>
  <c r="Q815" i="19"/>
  <c r="P15" i="19"/>
  <c r="Q15" i="19" s="1"/>
  <c r="N1114" i="19"/>
  <c r="G40" i="13"/>
  <c r="H40" i="13" s="1"/>
  <c r="I40" i="13" s="1"/>
  <c r="N239" i="19"/>
  <c r="N804" i="19"/>
  <c r="G168" i="13"/>
  <c r="H168" i="13" s="1"/>
  <c r="I168" i="13" s="1"/>
  <c r="P1369" i="19"/>
  <c r="Q1369" i="19" s="1"/>
  <c r="P239" i="19"/>
  <c r="Q239" i="19" s="1"/>
  <c r="K191" i="15"/>
  <c r="L191" i="15" s="1"/>
  <c r="Q305" i="19"/>
  <c r="N1314" i="19"/>
  <c r="Q230" i="19"/>
  <c r="N164" i="19"/>
  <c r="P770" i="19"/>
  <c r="P774" i="19" s="1"/>
  <c r="Q774" i="19" s="1"/>
  <c r="K72" i="15"/>
  <c r="L72" i="15" s="1"/>
  <c r="H284" i="13"/>
  <c r="I284" i="13" s="1"/>
  <c r="N179" i="19"/>
  <c r="P175" i="19"/>
  <c r="P179" i="19" s="1"/>
  <c r="Q179" i="19" s="1"/>
  <c r="M224" i="13"/>
  <c r="AF224" i="13" s="1"/>
  <c r="N774" i="19"/>
  <c r="K105" i="15"/>
  <c r="L105" i="15" s="1"/>
  <c r="H302" i="13"/>
  <c r="I302" i="13" s="1"/>
  <c r="N1141" i="19"/>
  <c r="P1141" i="19" s="1"/>
  <c r="Q1141" i="19" s="1"/>
  <c r="N1142" i="19"/>
  <c r="P1142" i="19" s="1"/>
  <c r="Q1142" i="19" s="1"/>
  <c r="N1143" i="19"/>
  <c r="P1143" i="19" s="1"/>
  <c r="Q1143" i="19" s="1"/>
  <c r="N1140" i="19"/>
  <c r="N1193" i="19"/>
  <c r="P1193" i="19" s="1"/>
  <c r="Q1193" i="19" s="1"/>
  <c r="N1191" i="19"/>
  <c r="P1191" i="19" s="1"/>
  <c r="Q1191" i="19" s="1"/>
  <c r="N1192" i="19"/>
  <c r="P1192" i="19" s="1"/>
  <c r="Q1192" i="19" s="1"/>
  <c r="N1190" i="19"/>
  <c r="N1453" i="19"/>
  <c r="P1453" i="19" s="1"/>
  <c r="Q1453" i="19" s="1"/>
  <c r="N1452" i="19"/>
  <c r="P1452" i="19" s="1"/>
  <c r="Q1452" i="19" s="1"/>
  <c r="N1451" i="19"/>
  <c r="N1450" i="19"/>
  <c r="P1540" i="19"/>
  <c r="G316" i="13"/>
  <c r="N1544" i="19"/>
  <c r="N1595" i="19"/>
  <c r="N1597" i="19"/>
  <c r="P1597" i="19" s="1"/>
  <c r="Q1597" i="19" s="1"/>
  <c r="N1596" i="19"/>
  <c r="P1596" i="19" s="1"/>
  <c r="Q1596" i="19" s="1"/>
  <c r="N1598" i="19"/>
  <c r="P1598" i="19" s="1"/>
  <c r="Q1598" i="19" s="1"/>
  <c r="P1349" i="19"/>
  <c r="Q1349" i="19" s="1"/>
  <c r="H305" i="13"/>
  <c r="I305" i="13" s="1"/>
  <c r="X224" i="13"/>
  <c r="K152" i="15"/>
  <c r="L152" i="15" s="1"/>
  <c r="N509" i="19"/>
  <c r="G109" i="13"/>
  <c r="K75" i="15" s="1"/>
  <c r="L75" i="15" s="1"/>
  <c r="P609" i="19"/>
  <c r="Q609" i="19" s="1"/>
  <c r="K41" i="15"/>
  <c r="L41" i="15" s="1"/>
  <c r="H377" i="13"/>
  <c r="I377" i="13" s="1"/>
  <c r="H34" i="13"/>
  <c r="I34" i="13" s="1"/>
  <c r="X56" i="13"/>
  <c r="G444" i="13"/>
  <c r="H444" i="13" s="1"/>
  <c r="I444" i="13" s="1"/>
  <c r="Q240" i="19"/>
  <c r="P244" i="19"/>
  <c r="Q244" i="19" s="1"/>
  <c r="N19" i="19"/>
  <c r="G362" i="13"/>
  <c r="K246" i="15" s="1"/>
  <c r="L246" i="15" s="1"/>
  <c r="M56" i="13"/>
  <c r="AF56" i="13" s="1"/>
  <c r="H100" i="13"/>
  <c r="I100" i="13" s="1"/>
  <c r="K67" i="15"/>
  <c r="L67" i="15" s="1"/>
  <c r="P464" i="19"/>
  <c r="Q464" i="19" s="1"/>
  <c r="Q460" i="19"/>
  <c r="M343" i="13"/>
  <c r="AF343" i="13" s="1"/>
  <c r="K69" i="15"/>
  <c r="L69" i="15" s="1"/>
  <c r="G386" i="13"/>
  <c r="G132" i="13"/>
  <c r="H132" i="13" s="1"/>
  <c r="I132" i="13" s="1"/>
  <c r="P620" i="19"/>
  <c r="N624" i="19"/>
  <c r="G329" i="13"/>
  <c r="H329" i="13" s="1"/>
  <c r="I329" i="13" s="1"/>
  <c r="P1605" i="19"/>
  <c r="N1609" i="19"/>
  <c r="G419" i="13"/>
  <c r="P621" i="19"/>
  <c r="Q621" i="19" s="1"/>
  <c r="Q1690" i="19"/>
  <c r="K210" i="15"/>
  <c r="L210" i="15" s="1"/>
  <c r="P289" i="19"/>
  <c r="Q289" i="19" s="1"/>
  <c r="N730" i="19"/>
  <c r="N731" i="19"/>
  <c r="P731" i="19" s="1"/>
  <c r="Q731" i="19" s="1"/>
  <c r="N732" i="19"/>
  <c r="P732" i="19" s="1"/>
  <c r="Q732" i="19" s="1"/>
  <c r="N733" i="19"/>
  <c r="P733" i="19" s="1"/>
  <c r="Q733" i="19" s="1"/>
  <c r="N1712" i="19"/>
  <c r="P1712" i="19" s="1"/>
  <c r="Q1712" i="19" s="1"/>
  <c r="N1711" i="19"/>
  <c r="P1711" i="19" s="1"/>
  <c r="Q1711" i="19" s="1"/>
  <c r="N1710" i="19"/>
  <c r="N1713" i="19"/>
  <c r="P1713" i="19" s="1"/>
  <c r="Q1713" i="19" s="1"/>
  <c r="G315" i="13"/>
  <c r="N1539" i="19"/>
  <c r="P1535" i="19"/>
  <c r="P604" i="19"/>
  <c r="Q604" i="19" s="1"/>
  <c r="N1624" i="19"/>
  <c r="G332" i="13"/>
  <c r="P1620" i="19"/>
  <c r="H370" i="13"/>
  <c r="I370" i="13" s="1"/>
  <c r="N539" i="19"/>
  <c r="X343" i="13"/>
  <c r="G115" i="13"/>
  <c r="H115" i="13" s="1"/>
  <c r="I115" i="13" s="1"/>
  <c r="N993" i="19"/>
  <c r="P993" i="19" s="1"/>
  <c r="Q993" i="19" s="1"/>
  <c r="N990" i="19"/>
  <c r="N991" i="19"/>
  <c r="P991" i="19" s="1"/>
  <c r="Q991" i="19" s="1"/>
  <c r="N992" i="19"/>
  <c r="P992" i="19" s="1"/>
  <c r="Q992" i="19" s="1"/>
  <c r="N612" i="19"/>
  <c r="P612" i="19" s="1"/>
  <c r="Q612" i="19" s="1"/>
  <c r="N610" i="19"/>
  <c r="N611" i="19"/>
  <c r="P611" i="19" s="1"/>
  <c r="Q611" i="19" s="1"/>
  <c r="N613" i="19"/>
  <c r="P613" i="19" s="1"/>
  <c r="Q613" i="19" s="1"/>
  <c r="N1636" i="19"/>
  <c r="P1636" i="19" s="1"/>
  <c r="Q1636" i="19" s="1"/>
  <c r="N1637" i="19"/>
  <c r="P1637" i="19" s="1"/>
  <c r="Q1637" i="19" s="1"/>
  <c r="N1635" i="19"/>
  <c r="N1638" i="19"/>
  <c r="P1638" i="19" s="1"/>
  <c r="Q1638" i="19" s="1"/>
  <c r="G119" i="13"/>
  <c r="N559" i="19"/>
  <c r="P555" i="19"/>
  <c r="N438" i="19"/>
  <c r="P438" i="19" s="1"/>
  <c r="Q438" i="19" s="1"/>
  <c r="N437" i="19"/>
  <c r="P437" i="19" s="1"/>
  <c r="Q437" i="19" s="1"/>
  <c r="N435" i="19"/>
  <c r="N436" i="19"/>
  <c r="P436" i="19" s="1"/>
  <c r="Q436" i="19" s="1"/>
  <c r="M31" i="13"/>
  <c r="AF31" i="13" s="1"/>
  <c r="X204" i="13"/>
  <c r="X189" i="13"/>
  <c r="N1355" i="19"/>
  <c r="N1358" i="19"/>
  <c r="P1358" i="19" s="1"/>
  <c r="Q1358" i="19" s="1"/>
  <c r="N1356" i="19"/>
  <c r="P1356" i="19" s="1"/>
  <c r="Q1356" i="19" s="1"/>
  <c r="N1357" i="19"/>
  <c r="P1357" i="19" s="1"/>
  <c r="Q1357" i="19" s="1"/>
  <c r="N465" i="19"/>
  <c r="N466" i="19"/>
  <c r="N467" i="19"/>
  <c r="P467" i="19" s="1"/>
  <c r="Q467" i="19" s="1"/>
  <c r="N468" i="19"/>
  <c r="P468" i="19" s="1"/>
  <c r="Q468" i="19" s="1"/>
  <c r="N60" i="19"/>
  <c r="N63" i="19"/>
  <c r="P63" i="19" s="1"/>
  <c r="Q63" i="19" s="1"/>
  <c r="N61" i="19"/>
  <c r="P61" i="19" s="1"/>
  <c r="Q61" i="19" s="1"/>
  <c r="N62" i="19"/>
  <c r="P62" i="19" s="1"/>
  <c r="Q62" i="19" s="1"/>
  <c r="N1550" i="19"/>
  <c r="N1553" i="19"/>
  <c r="P1553" i="19" s="1"/>
  <c r="Q1553" i="19" s="1"/>
  <c r="N1551" i="19"/>
  <c r="P1551" i="19" s="1"/>
  <c r="Q1551" i="19" s="1"/>
  <c r="N1552" i="19"/>
  <c r="P1552" i="19" s="1"/>
  <c r="Q1552" i="19" s="1"/>
  <c r="L448" i="13"/>
  <c r="K448" i="13"/>
  <c r="K300" i="15"/>
  <c r="L300" i="15" s="1"/>
  <c r="G378" i="13"/>
  <c r="P405" i="19"/>
  <c r="G89" i="13"/>
  <c r="H89" i="13" s="1"/>
  <c r="I89" i="13" s="1"/>
  <c r="N409" i="19"/>
  <c r="H429" i="13"/>
  <c r="I429" i="13" s="1"/>
  <c r="G390" i="13"/>
  <c r="H390" i="13" s="1"/>
  <c r="I390" i="13" s="1"/>
  <c r="X31" i="13"/>
  <c r="K314" i="15"/>
  <c r="L314" i="15" s="1"/>
  <c r="N1652" i="19"/>
  <c r="P1652" i="19" s="1"/>
  <c r="Q1652" i="19" s="1"/>
  <c r="N1650" i="19"/>
  <c r="N1651" i="19"/>
  <c r="N1653" i="19"/>
  <c r="P1653" i="19" s="1"/>
  <c r="Q1653" i="19" s="1"/>
  <c r="N107" i="19"/>
  <c r="P107" i="19" s="1"/>
  <c r="Q107" i="19" s="1"/>
  <c r="N105" i="19"/>
  <c r="N106" i="19"/>
  <c r="P106" i="19" s="1"/>
  <c r="Q106" i="19" s="1"/>
  <c r="N108" i="19"/>
  <c r="P108" i="19" s="1"/>
  <c r="Q108" i="19" s="1"/>
  <c r="N740" i="19"/>
  <c r="N743" i="19"/>
  <c r="P743" i="19" s="1"/>
  <c r="Q743" i="19" s="1"/>
  <c r="N741" i="19"/>
  <c r="N742" i="19"/>
  <c r="P742" i="19" s="1"/>
  <c r="Q742" i="19" s="1"/>
  <c r="N1495" i="19"/>
  <c r="N1497" i="19"/>
  <c r="P1497" i="19" s="1"/>
  <c r="Q1497" i="19" s="1"/>
  <c r="N1498" i="19"/>
  <c r="P1498" i="19" s="1"/>
  <c r="Q1498" i="19" s="1"/>
  <c r="N1496" i="19"/>
  <c r="N335" i="19"/>
  <c r="N337" i="19"/>
  <c r="P337" i="19" s="1"/>
  <c r="Q337" i="19" s="1"/>
  <c r="N338" i="19"/>
  <c r="P338" i="19" s="1"/>
  <c r="Q338" i="19" s="1"/>
  <c r="N336" i="19"/>
  <c r="P336" i="19" s="1"/>
  <c r="Q336" i="19" s="1"/>
  <c r="N875" i="19"/>
  <c r="N876" i="19"/>
  <c r="P876" i="19" s="1"/>
  <c r="Q876" i="19" s="1"/>
  <c r="N877" i="19"/>
  <c r="P877" i="19" s="1"/>
  <c r="Q877" i="19" s="1"/>
  <c r="N878" i="19"/>
  <c r="P878" i="19" s="1"/>
  <c r="Q878" i="19" s="1"/>
  <c r="P1669" i="19"/>
  <c r="Q1669" i="19" s="1"/>
  <c r="Q1665" i="19"/>
  <c r="H341" i="13"/>
  <c r="I341" i="13" s="1"/>
  <c r="K231" i="15"/>
  <c r="L231" i="15" s="1"/>
  <c r="P1755" i="19"/>
  <c r="G359" i="13"/>
  <c r="N1759" i="19"/>
  <c r="Q1675" i="19"/>
  <c r="P1679" i="19"/>
  <c r="Q1679" i="19" s="1"/>
  <c r="N899" i="19"/>
  <c r="P895" i="19"/>
  <c r="G187" i="13"/>
  <c r="G437" i="13"/>
  <c r="H437" i="13" s="1"/>
  <c r="I437" i="13" s="1"/>
  <c r="G415" i="13"/>
  <c r="H415" i="13" s="1"/>
  <c r="I415" i="13" s="1"/>
  <c r="N719" i="19"/>
  <c r="P715" i="19"/>
  <c r="G151" i="13"/>
  <c r="G159" i="13"/>
  <c r="P755" i="19"/>
  <c r="N759" i="19"/>
  <c r="N1289" i="19"/>
  <c r="P1285" i="19"/>
  <c r="G265" i="13"/>
  <c r="H265" i="13" s="1"/>
  <c r="I265" i="13" s="1"/>
  <c r="P205" i="19"/>
  <c r="G49" i="13"/>
  <c r="N209" i="19"/>
  <c r="G388" i="13"/>
  <c r="H388" i="13" s="1"/>
  <c r="I388" i="13" s="1"/>
  <c r="N512" i="19"/>
  <c r="P512" i="19" s="1"/>
  <c r="Q512" i="19" s="1"/>
  <c r="N511" i="19"/>
  <c r="P511" i="19" s="1"/>
  <c r="Q511" i="19" s="1"/>
  <c r="N510" i="19"/>
  <c r="N513" i="19"/>
  <c r="P513" i="19" s="1"/>
  <c r="Q513" i="19" s="1"/>
  <c r="N1633" i="19"/>
  <c r="P1633" i="19" s="1"/>
  <c r="Q1633" i="19" s="1"/>
  <c r="N1630" i="19"/>
  <c r="N1631" i="19"/>
  <c r="P1631" i="19" s="1"/>
  <c r="Q1631" i="19" s="1"/>
  <c r="N1632" i="19"/>
  <c r="P1632" i="19" s="1"/>
  <c r="Q1632" i="19" s="1"/>
  <c r="G293" i="13"/>
  <c r="N1429" i="19"/>
  <c r="P1425" i="19"/>
  <c r="N1264" i="19"/>
  <c r="G260" i="13"/>
  <c r="P1260" i="19"/>
  <c r="N1038" i="19"/>
  <c r="P1038" i="19" s="1"/>
  <c r="Q1038" i="19" s="1"/>
  <c r="N1037" i="19"/>
  <c r="N1036" i="19"/>
  <c r="N1035" i="19"/>
  <c r="G353" i="13"/>
  <c r="N1729" i="19"/>
  <c r="P1725" i="19"/>
  <c r="N1305" i="19"/>
  <c r="N1306" i="19"/>
  <c r="N1308" i="19"/>
  <c r="P1308" i="19" s="1"/>
  <c r="Q1308" i="19" s="1"/>
  <c r="N1307" i="19"/>
  <c r="P1307" i="19" s="1"/>
  <c r="Q1307" i="19" s="1"/>
  <c r="N1245" i="19"/>
  <c r="N1248" i="19"/>
  <c r="P1248" i="19" s="1"/>
  <c r="Q1248" i="19" s="1"/>
  <c r="N1246" i="19"/>
  <c r="P1246" i="19" s="1"/>
  <c r="Q1246" i="19" s="1"/>
  <c r="N1247" i="19"/>
  <c r="P1247" i="19" s="1"/>
  <c r="Q1247" i="19" s="1"/>
  <c r="N1617" i="19"/>
  <c r="P1617" i="19" s="1"/>
  <c r="Q1617" i="19" s="1"/>
  <c r="N1615" i="19"/>
  <c r="N1618" i="19"/>
  <c r="P1618" i="19" s="1"/>
  <c r="Q1618" i="19" s="1"/>
  <c r="N1616" i="19"/>
  <c r="P1616" i="19" s="1"/>
  <c r="Q1616" i="19" s="1"/>
  <c r="N1522" i="19"/>
  <c r="P1522" i="19" s="1"/>
  <c r="Q1522" i="19" s="1"/>
  <c r="N1521" i="19"/>
  <c r="N1523" i="19"/>
  <c r="P1523" i="19" s="1"/>
  <c r="Q1523" i="19" s="1"/>
  <c r="N1520" i="19"/>
  <c r="N1648" i="19"/>
  <c r="P1648" i="19" s="1"/>
  <c r="Q1648" i="19" s="1"/>
  <c r="N1646" i="19"/>
  <c r="N1645" i="19"/>
  <c r="N1647" i="19"/>
  <c r="P1647" i="19" s="1"/>
  <c r="Q1647" i="19" s="1"/>
  <c r="N1747" i="19"/>
  <c r="P1747" i="19" s="1"/>
  <c r="Q1747" i="19" s="1"/>
  <c r="N1748" i="19"/>
  <c r="P1748" i="19" s="1"/>
  <c r="Q1748" i="19" s="1"/>
  <c r="N1746" i="19"/>
  <c r="P1746" i="19" s="1"/>
  <c r="Q1746" i="19" s="1"/>
  <c r="N1745" i="19"/>
  <c r="P984" i="19"/>
  <c r="Q984" i="19" s="1"/>
  <c r="Q980" i="19"/>
  <c r="N1568" i="19"/>
  <c r="P1568" i="19" s="1"/>
  <c r="Q1568" i="19" s="1"/>
  <c r="N1567" i="19"/>
  <c r="P1567" i="19" s="1"/>
  <c r="Q1567" i="19" s="1"/>
  <c r="N1566" i="19"/>
  <c r="N1565" i="19"/>
  <c r="N1509" i="19"/>
  <c r="P1505" i="19"/>
  <c r="G309" i="13"/>
  <c r="N499" i="19"/>
  <c r="G107" i="13"/>
  <c r="P495" i="19"/>
  <c r="N1215" i="19"/>
  <c r="N1217" i="19"/>
  <c r="P1217" i="19" s="1"/>
  <c r="Q1217" i="19" s="1"/>
  <c r="N1218" i="19"/>
  <c r="P1218" i="19" s="1"/>
  <c r="Q1218" i="19" s="1"/>
  <c r="N1216" i="19"/>
  <c r="P1216" i="19" s="1"/>
  <c r="Q1216" i="19" s="1"/>
  <c r="N1091" i="19"/>
  <c r="P1091" i="19" s="1"/>
  <c r="Q1091" i="19" s="1"/>
  <c r="N1090" i="19"/>
  <c r="N1093" i="19"/>
  <c r="P1093" i="19" s="1"/>
  <c r="Q1093" i="19" s="1"/>
  <c r="N1092" i="19"/>
  <c r="P1092" i="19" s="1"/>
  <c r="Q1092" i="19" s="1"/>
  <c r="N1586" i="19"/>
  <c r="P1586" i="19" s="1"/>
  <c r="Q1586" i="19" s="1"/>
  <c r="N1588" i="19"/>
  <c r="P1588" i="19" s="1"/>
  <c r="Q1588" i="19" s="1"/>
  <c r="N1587" i="19"/>
  <c r="P1587" i="19" s="1"/>
  <c r="Q1587" i="19" s="1"/>
  <c r="N1585" i="19"/>
  <c r="H184" i="13"/>
  <c r="I184" i="13" s="1"/>
  <c r="K126" i="15"/>
  <c r="L126" i="15" s="1"/>
  <c r="P884" i="19"/>
  <c r="Q884" i="19" s="1"/>
  <c r="Q880" i="19"/>
  <c r="P1100" i="19"/>
  <c r="G228" i="13"/>
  <c r="N1104" i="19"/>
  <c r="G288" i="13"/>
  <c r="H288" i="13" s="1"/>
  <c r="I288" i="13" s="1"/>
  <c r="P1400" i="19"/>
  <c r="N1404" i="19"/>
  <c r="G376" i="13"/>
  <c r="P386" i="19"/>
  <c r="Q386" i="19" s="1"/>
  <c r="Q115" i="19"/>
  <c r="P119" i="19"/>
  <c r="Q119" i="19" s="1"/>
  <c r="P894" i="19"/>
  <c r="Q894" i="19" s="1"/>
  <c r="Q890" i="19"/>
  <c r="G181" i="13"/>
  <c r="N869" i="19"/>
  <c r="P865" i="19"/>
  <c r="N1494" i="19"/>
  <c r="P1490" i="19"/>
  <c r="G306" i="13"/>
  <c r="H306" i="13" s="1"/>
  <c r="I306" i="13" s="1"/>
  <c r="P426" i="19"/>
  <c r="Q426" i="19" s="1"/>
  <c r="G413" i="13"/>
  <c r="K133" i="15"/>
  <c r="L133" i="15" s="1"/>
  <c r="H194" i="13"/>
  <c r="I194" i="13" s="1"/>
  <c r="X328" i="13"/>
  <c r="M328" i="13"/>
  <c r="AF328" i="13" s="1"/>
  <c r="P1655" i="19"/>
  <c r="G339" i="13"/>
  <c r="N1659" i="19"/>
  <c r="N1559" i="19"/>
  <c r="G319" i="13"/>
  <c r="P1555" i="19"/>
  <c r="Q1600" i="19"/>
  <c r="P1604" i="19"/>
  <c r="Q1604" i="19" s="1"/>
  <c r="P201" i="19"/>
  <c r="Q201" i="19" s="1"/>
  <c r="G369" i="13"/>
  <c r="P1189" i="19"/>
  <c r="Q1189" i="19" s="1"/>
  <c r="Q1185" i="19"/>
  <c r="N749" i="19"/>
  <c r="P745" i="19"/>
  <c r="G157" i="13"/>
  <c r="N1204" i="19"/>
  <c r="G248" i="13"/>
  <c r="P1200" i="19"/>
  <c r="K128" i="15"/>
  <c r="L128" i="15" s="1"/>
  <c r="H186" i="13"/>
  <c r="I186" i="13" s="1"/>
  <c r="P425" i="19"/>
  <c r="N429" i="19"/>
  <c r="G93" i="13"/>
  <c r="H93" i="13" s="1"/>
  <c r="I93" i="13" s="1"/>
  <c r="P1760" i="19"/>
  <c r="G360" i="13"/>
  <c r="H360" i="13" s="1"/>
  <c r="I360" i="13" s="1"/>
  <c r="N1764" i="19"/>
  <c r="K166" i="15"/>
  <c r="L166" i="15" s="1"/>
  <c r="H245" i="13"/>
  <c r="I245" i="13" s="1"/>
  <c r="Q705" i="19"/>
  <c r="P709" i="19"/>
  <c r="Q709" i="19" s="1"/>
  <c r="H176" i="13"/>
  <c r="I176" i="13" s="1"/>
  <c r="K118" i="15"/>
  <c r="L118" i="15" s="1"/>
  <c r="G85" i="13"/>
  <c r="H85" i="13" s="1"/>
  <c r="I85" i="13" s="1"/>
  <c r="N389" i="19"/>
  <c r="P385" i="19"/>
  <c r="N1424" i="19"/>
  <c r="G292" i="13"/>
  <c r="H292" i="13" s="1"/>
  <c r="I292" i="13" s="1"/>
  <c r="P1420" i="19"/>
  <c r="Q930" i="19"/>
  <c r="P934" i="19"/>
  <c r="Q934" i="19" s="1"/>
  <c r="P200" i="19"/>
  <c r="G48" i="13"/>
  <c r="N204" i="19"/>
  <c r="M149" i="13"/>
  <c r="X149" i="13"/>
  <c r="P844" i="19"/>
  <c r="Q844" i="19" s="1"/>
  <c r="Q840" i="19"/>
  <c r="P746" i="19"/>
  <c r="Q746" i="19" s="1"/>
  <c r="M197" i="13"/>
  <c r="AF197" i="13" s="1"/>
  <c r="X197" i="13"/>
  <c r="P1232" i="19"/>
  <c r="Q1232" i="19" s="1"/>
  <c r="G423" i="13"/>
  <c r="Q185" i="19"/>
  <c r="P189" i="19"/>
  <c r="Q189" i="19" s="1"/>
  <c r="H47" i="13"/>
  <c r="I47" i="13" s="1"/>
  <c r="K32" i="15"/>
  <c r="L32" i="15" s="1"/>
  <c r="H144" i="13"/>
  <c r="I144" i="13" s="1"/>
  <c r="K92" i="15"/>
  <c r="L92" i="15" s="1"/>
  <c r="Q320" i="19"/>
  <c r="P324" i="19"/>
  <c r="Q324" i="19" s="1"/>
  <c r="N1484" i="19"/>
  <c r="G304" i="13"/>
  <c r="P1480" i="19"/>
  <c r="K173" i="15"/>
  <c r="L173" i="15" s="1"/>
  <c r="H255" i="13"/>
  <c r="I255" i="13" s="1"/>
  <c r="K137" i="15"/>
  <c r="L137" i="15" s="1"/>
  <c r="H200" i="13"/>
  <c r="I200" i="13" s="1"/>
  <c r="K19" i="15"/>
  <c r="L19" i="15" s="1"/>
  <c r="H26" i="13"/>
  <c r="I26" i="13" s="1"/>
  <c r="N1334" i="19"/>
  <c r="P1330" i="19"/>
  <c r="G274" i="13"/>
  <c r="H326" i="13"/>
  <c r="I326" i="13" s="1"/>
  <c r="K221" i="15"/>
  <c r="L221" i="15" s="1"/>
  <c r="X303" i="13"/>
  <c r="M303" i="13"/>
  <c r="AF303" i="13" s="1"/>
  <c r="G336" i="13"/>
  <c r="N1644" i="19"/>
  <c r="P1640" i="19"/>
  <c r="P1354" i="19"/>
  <c r="Q1354" i="19" s="1"/>
  <c r="Q1350" i="19"/>
  <c r="H136" i="13"/>
  <c r="I136" i="13" s="1"/>
  <c r="K88" i="15"/>
  <c r="L88" i="15" s="1"/>
  <c r="Q520" i="19"/>
  <c r="P524" i="19"/>
  <c r="Q524" i="19" s="1"/>
  <c r="P655" i="19"/>
  <c r="N659" i="19"/>
  <c r="G139" i="13"/>
  <c r="H139" i="13" s="1"/>
  <c r="I139" i="13" s="1"/>
  <c r="Q195" i="19"/>
  <c r="P199" i="19"/>
  <c r="Q199" i="19" s="1"/>
  <c r="Q680" i="19"/>
  <c r="P684" i="19"/>
  <c r="Q684" i="19" s="1"/>
  <c r="H280" i="13"/>
  <c r="I280" i="13" s="1"/>
  <c r="K188" i="15"/>
  <c r="L188" i="15" s="1"/>
  <c r="Q1235" i="19"/>
  <c r="P1239" i="19"/>
  <c r="Q1239" i="19" s="1"/>
  <c r="M58" i="13"/>
  <c r="AF58" i="13" s="1"/>
  <c r="X58" i="13"/>
  <c r="M264" i="13"/>
  <c r="AF264" i="13" s="1"/>
  <c r="X264" i="13"/>
  <c r="P1331" i="19"/>
  <c r="Q1331" i="19" s="1"/>
  <c r="K163" i="15"/>
  <c r="L163" i="15" s="1"/>
  <c r="H239" i="13"/>
  <c r="I239" i="13" s="1"/>
  <c r="P1255" i="19"/>
  <c r="G259" i="13"/>
  <c r="N1259" i="19"/>
  <c r="N864" i="19"/>
  <c r="G180" i="13"/>
  <c r="P860" i="19"/>
  <c r="P1614" i="19"/>
  <c r="Q1614" i="19" s="1"/>
  <c r="Q1610" i="19"/>
  <c r="H170" i="13"/>
  <c r="I170" i="13" s="1"/>
  <c r="K113" i="15"/>
  <c r="L113" i="15" s="1"/>
  <c r="P540" i="19"/>
  <c r="G116" i="13"/>
  <c r="N544" i="19"/>
  <c r="X77" i="13"/>
  <c r="M77" i="13"/>
  <c r="AF77" i="13" s="1"/>
  <c r="X125" i="13"/>
  <c r="M125" i="13"/>
  <c r="AF125" i="13" s="1"/>
  <c r="Q915" i="19"/>
  <c r="P919" i="19"/>
  <c r="Q919" i="19" s="1"/>
  <c r="P989" i="19"/>
  <c r="Q989" i="19" s="1"/>
  <c r="Q985" i="19"/>
  <c r="G422" i="13"/>
  <c r="H422" i="13" s="1"/>
  <c r="I422" i="13" s="1"/>
  <c r="N1684" i="19"/>
  <c r="P1680" i="19"/>
  <c r="G344" i="13"/>
  <c r="P1231" i="19"/>
  <c r="Q1231" i="19" s="1"/>
  <c r="G371" i="13"/>
  <c r="Q535" i="19"/>
  <c r="P539" i="19"/>
  <c r="Q539" i="19" s="1"/>
  <c r="P1114" i="19"/>
  <c r="Q1114" i="19" s="1"/>
  <c r="Q1110" i="19"/>
  <c r="Q160" i="19"/>
  <c r="P164" i="19"/>
  <c r="Q164" i="19" s="1"/>
  <c r="G240" i="13"/>
  <c r="N1164" i="19"/>
  <c r="P1160" i="19"/>
  <c r="N54" i="19"/>
  <c r="P50" i="19"/>
  <c r="G18" i="13"/>
  <c r="P1364" i="19"/>
  <c r="Q1364" i="19" s="1"/>
  <c r="Q1360" i="19"/>
  <c r="G28" i="13"/>
  <c r="H28" i="13" s="1"/>
  <c r="I28" i="13" s="1"/>
  <c r="N104" i="19"/>
  <c r="P100" i="19"/>
  <c r="H358" i="13"/>
  <c r="I358" i="13" s="1"/>
  <c r="K243" i="15"/>
  <c r="L243" i="15" s="1"/>
  <c r="P1715" i="19"/>
  <c r="G351" i="13"/>
  <c r="N1719" i="19"/>
  <c r="Q960" i="19"/>
  <c r="P964" i="19"/>
  <c r="Q964" i="19" s="1"/>
  <c r="P1284" i="19"/>
  <c r="Q1284" i="19" s="1"/>
  <c r="Q1280" i="19"/>
  <c r="Q1155" i="19"/>
  <c r="P1159" i="19"/>
  <c r="Q1159" i="19" s="1"/>
  <c r="Q1590" i="19"/>
  <c r="P1594" i="19"/>
  <c r="Q1594" i="19" s="1"/>
  <c r="P814" i="19"/>
  <c r="Q814" i="19" s="1"/>
  <c r="Q810" i="19"/>
  <c r="P1545" i="19"/>
  <c r="G317" i="13"/>
  <c r="N1549" i="19"/>
  <c r="P330" i="19"/>
  <c r="N334" i="19"/>
  <c r="G74" i="13"/>
  <c r="Q920" i="19"/>
  <c r="P924" i="19"/>
  <c r="Q924" i="19" s="1"/>
  <c r="P776" i="19"/>
  <c r="Q776" i="19" s="1"/>
  <c r="G364" i="13"/>
  <c r="X103" i="13"/>
  <c r="M103" i="13"/>
  <c r="AF103" i="13" s="1"/>
  <c r="G147" i="13"/>
  <c r="P695" i="19"/>
  <c r="N699" i="19"/>
  <c r="N444" i="19"/>
  <c r="P440" i="19"/>
  <c r="G96" i="13"/>
  <c r="P279" i="19"/>
  <c r="Q279" i="19" s="1"/>
  <c r="Q275" i="19"/>
  <c r="H112" i="13"/>
  <c r="I112" i="13" s="1"/>
  <c r="K77" i="15"/>
  <c r="L77" i="15" s="1"/>
  <c r="P1014" i="19"/>
  <c r="Q1014" i="19" s="1"/>
  <c r="Q1010" i="19"/>
  <c r="G373" i="13"/>
  <c r="H373" i="13" s="1"/>
  <c r="I373" i="13" s="1"/>
  <c r="Q945" i="19"/>
  <c r="P949" i="19"/>
  <c r="Q949" i="19" s="1"/>
  <c r="P1395" i="19"/>
  <c r="N1399" i="19"/>
  <c r="G287" i="13"/>
  <c r="P1230" i="19"/>
  <c r="G254" i="13"/>
  <c r="H254" i="13" s="1"/>
  <c r="I254" i="13" s="1"/>
  <c r="N1234" i="19"/>
  <c r="H45" i="13"/>
  <c r="I45" i="13" s="1"/>
  <c r="K31" i="15"/>
  <c r="L31" i="15" s="1"/>
  <c r="N1689" i="19"/>
  <c r="G345" i="13"/>
  <c r="P1685" i="19"/>
  <c r="K48" i="15"/>
  <c r="L48" i="15" s="1"/>
  <c r="H72" i="13"/>
  <c r="I72" i="13" s="1"/>
  <c r="P101" i="19"/>
  <c r="Q101" i="19" s="1"/>
  <c r="Q90" i="19"/>
  <c r="P94" i="19"/>
  <c r="Q94" i="19" s="1"/>
  <c r="M192" i="13"/>
  <c r="AF192" i="13" s="1"/>
  <c r="X192" i="13"/>
  <c r="P775" i="19"/>
  <c r="N779" i="19"/>
  <c r="G163" i="13"/>
  <c r="K131" i="15"/>
  <c r="L131" i="15" s="1"/>
  <c r="H191" i="13"/>
  <c r="I191" i="13" s="1"/>
  <c r="X114" i="13"/>
  <c r="M114" i="13"/>
  <c r="AF114" i="13" s="1"/>
  <c r="H278" i="13"/>
  <c r="I278" i="13" s="1"/>
  <c r="K187" i="15"/>
  <c r="L187" i="15" s="1"/>
  <c r="P120" i="19"/>
  <c r="G32" i="13"/>
  <c r="N124" i="19"/>
  <c r="H63" i="13"/>
  <c r="I63" i="13" s="1"/>
  <c r="Q640" i="19"/>
  <c r="P644" i="19"/>
  <c r="Q644" i="19" s="1"/>
  <c r="H205" i="13"/>
  <c r="I205" i="13" s="1"/>
  <c r="K138" i="15"/>
  <c r="L138" i="15" s="1"/>
  <c r="K142" i="15"/>
  <c r="L142" i="15" s="1"/>
  <c r="H210" i="13"/>
  <c r="I210" i="13" s="1"/>
  <c r="Q450" i="19"/>
  <c r="P454" i="19"/>
  <c r="Q454" i="19" s="1"/>
  <c r="H86" i="13"/>
  <c r="I86" i="13" s="1"/>
  <c r="K57" i="15"/>
  <c r="L57" i="15" s="1"/>
  <c r="K275" i="15"/>
  <c r="L275" i="15" s="1"/>
  <c r="H391" i="13"/>
  <c r="I391" i="13" s="1"/>
  <c r="Q1120" i="19"/>
  <c r="P1124" i="19"/>
  <c r="Q1124" i="19" s="1"/>
  <c r="X241" i="13"/>
  <c r="M241" i="13"/>
  <c r="AF241" i="13" s="1"/>
  <c r="X361" i="13"/>
  <c r="M361" i="13"/>
  <c r="AF361" i="13" s="1"/>
  <c r="X87" i="13"/>
  <c r="M87" i="13"/>
  <c r="AF87" i="13" s="1"/>
  <c r="M324" i="13"/>
  <c r="AF324" i="13" s="1"/>
  <c r="X324" i="13"/>
  <c r="H234" i="13"/>
  <c r="I234" i="13" s="1"/>
  <c r="X270" i="13"/>
  <c r="M270" i="13"/>
  <c r="AF270" i="13" s="1"/>
  <c r="G203" i="13"/>
  <c r="N979" i="19"/>
  <c r="P975" i="19"/>
  <c r="G249" i="13"/>
  <c r="P1205" i="19"/>
  <c r="N1209" i="19"/>
  <c r="P354" i="19"/>
  <c r="Q354" i="19" s="1"/>
  <c r="Q350" i="19"/>
  <c r="P301" i="19"/>
  <c r="Q301" i="19" s="1"/>
  <c r="G383" i="13"/>
  <c r="M140" i="13"/>
  <c r="AF140" i="13" s="1"/>
  <c r="X140" i="13"/>
  <c r="G84" i="13"/>
  <c r="N384" i="19"/>
  <c r="P380" i="19"/>
  <c r="X17" i="13"/>
  <c r="M17" i="13"/>
  <c r="AF17" i="13" s="1"/>
  <c r="X347" i="13"/>
  <c r="M347" i="13"/>
  <c r="AF347" i="13" s="1"/>
  <c r="G267" i="13"/>
  <c r="P1295" i="19"/>
  <c r="N1299" i="19"/>
  <c r="X346" i="13"/>
  <c r="M346" i="13"/>
  <c r="AF346" i="13" s="1"/>
  <c r="M311" i="13"/>
  <c r="AF311" i="13" s="1"/>
  <c r="X311" i="13"/>
  <c r="P1145" i="19"/>
  <c r="G237" i="13"/>
  <c r="N1149" i="19"/>
  <c r="P67" i="19"/>
  <c r="Q67" i="19" s="1"/>
  <c r="N969" i="19"/>
  <c r="P965" i="19"/>
  <c r="G201" i="13"/>
  <c r="X227" i="13"/>
  <c r="M227" i="13"/>
  <c r="AF227" i="13" s="1"/>
  <c r="Q485" i="19"/>
  <c r="P489" i="19"/>
  <c r="Q489" i="19" s="1"/>
  <c r="P211" i="19"/>
  <c r="Q211" i="19" s="1"/>
  <c r="X133" i="13"/>
  <c r="M133" i="13"/>
  <c r="AF133" i="13" s="1"/>
  <c r="X273" i="13"/>
  <c r="M273" i="13"/>
  <c r="AF273" i="13" s="1"/>
  <c r="G123" i="13"/>
  <c r="P575" i="19"/>
  <c r="N579" i="19"/>
  <c r="N39" i="19"/>
  <c r="G15" i="13"/>
  <c r="P35" i="19"/>
  <c r="H431" i="13"/>
  <c r="I431" i="13" s="1"/>
  <c r="K315" i="15"/>
  <c r="L315" i="15" s="1"/>
  <c r="X283" i="13"/>
  <c r="M283" i="13"/>
  <c r="AF283" i="13" s="1"/>
  <c r="Q1445" i="19"/>
  <c r="P1449" i="19"/>
  <c r="Q1449" i="19" s="1"/>
  <c r="X172" i="13"/>
  <c r="M172" i="13"/>
  <c r="AF172" i="13" s="1"/>
  <c r="Q1045" i="19"/>
  <c r="P1049" i="19"/>
  <c r="Q1049" i="19" s="1"/>
  <c r="P784" i="19"/>
  <c r="Q784" i="19" s="1"/>
  <c r="Q780" i="19"/>
  <c r="X185" i="13"/>
  <c r="M185" i="13"/>
  <c r="AF185" i="13" s="1"/>
  <c r="Q835" i="19"/>
  <c r="P839" i="19"/>
  <c r="Q839" i="19" s="1"/>
  <c r="P1214" i="19"/>
  <c r="Q1214" i="19" s="1"/>
  <c r="Q1210" i="19"/>
  <c r="Q1130" i="19"/>
  <c r="P1134" i="19"/>
  <c r="Q1134" i="19" s="1"/>
  <c r="X65" i="13"/>
  <c r="M65" i="13"/>
  <c r="AF65" i="13" s="1"/>
  <c r="P999" i="19"/>
  <c r="Q999" i="19" s="1"/>
  <c r="Q995" i="19"/>
  <c r="P246" i="19"/>
  <c r="Q246" i="19" s="1"/>
  <c r="G439" i="13"/>
  <c r="M54" i="13"/>
  <c r="AF54" i="13" s="1"/>
  <c r="X54" i="13"/>
  <c r="H78" i="13"/>
  <c r="I78" i="13" s="1"/>
  <c r="H333" i="13"/>
  <c r="I333" i="13" s="1"/>
  <c r="P1410" i="19"/>
  <c r="N1414" i="19"/>
  <c r="G290" i="13"/>
  <c r="Q75" i="19"/>
  <c r="P79" i="19"/>
  <c r="Q79" i="19" s="1"/>
  <c r="K250" i="15"/>
  <c r="L250" i="15" s="1"/>
  <c r="H366" i="13"/>
  <c r="I366" i="13" s="1"/>
  <c r="P1564" i="19"/>
  <c r="Q1564" i="19" s="1"/>
  <c r="Q1560" i="19"/>
  <c r="X396" i="13"/>
  <c r="M396" i="13"/>
  <c r="AF396" i="13" s="1"/>
  <c r="X42" i="13"/>
  <c r="M42" i="13"/>
  <c r="AF42" i="13" s="1"/>
  <c r="P299" i="19"/>
  <c r="Q299" i="19" s="1"/>
  <c r="Q295" i="19"/>
  <c r="N1139" i="19"/>
  <c r="G235" i="13"/>
  <c r="P1135" i="19"/>
  <c r="P1389" i="19"/>
  <c r="Q1389" i="19" s="1"/>
  <c r="Q1385" i="19"/>
  <c r="P482" i="19"/>
  <c r="Q482" i="19" s="1"/>
  <c r="G446" i="13"/>
  <c r="G195" i="13"/>
  <c r="N939" i="19"/>
  <c r="P935" i="19"/>
  <c r="G202" i="13"/>
  <c r="N974" i="19"/>
  <c r="P970" i="19"/>
  <c r="Q1250" i="19"/>
  <c r="P1254" i="19"/>
  <c r="Q1254" i="19" s="1"/>
  <c r="H308" i="13"/>
  <c r="I308" i="13" s="1"/>
  <c r="K106" i="15"/>
  <c r="L106" i="15" s="1"/>
  <c r="H162" i="13"/>
  <c r="I162" i="13" s="1"/>
  <c r="P672" i="19"/>
  <c r="Q672" i="19" s="1"/>
  <c r="X294" i="13"/>
  <c r="M294" i="13"/>
  <c r="AF294" i="13" s="1"/>
  <c r="Q1050" i="19"/>
  <c r="P1054" i="19"/>
  <c r="Q1054" i="19" s="1"/>
  <c r="X291" i="13"/>
  <c r="M291" i="13"/>
  <c r="AF291" i="13" s="1"/>
  <c r="Q850" i="19"/>
  <c r="P854" i="19"/>
  <c r="Q854" i="19" s="1"/>
  <c r="P1671" i="19"/>
  <c r="Q1671" i="19" s="1"/>
  <c r="G368" i="13"/>
  <c r="P221" i="19"/>
  <c r="Q221" i="19" s="1"/>
  <c r="G414" i="13"/>
  <c r="G153" i="13"/>
  <c r="N729" i="19"/>
  <c r="P725" i="19"/>
  <c r="H193" i="13"/>
  <c r="I193" i="13" s="1"/>
  <c r="K132" i="15"/>
  <c r="L132" i="15" s="1"/>
  <c r="H113" i="13"/>
  <c r="I113" i="13" s="1"/>
  <c r="P126" i="19"/>
  <c r="Q126" i="19" s="1"/>
  <c r="G124" i="13"/>
  <c r="P580" i="19"/>
  <c r="N584" i="19"/>
  <c r="P1570" i="19"/>
  <c r="N1574" i="19"/>
  <c r="G322" i="13"/>
  <c r="G253" i="13"/>
  <c r="N1229" i="19"/>
  <c r="P1225" i="19"/>
  <c r="H152" i="13"/>
  <c r="I152" i="13" s="1"/>
  <c r="X90" i="13"/>
  <c r="M90" i="13"/>
  <c r="AF90" i="13" s="1"/>
  <c r="G229" i="13"/>
  <c r="P1105" i="19"/>
  <c r="N1109" i="19"/>
  <c r="K235" i="15"/>
  <c r="L235" i="15" s="1"/>
  <c r="H349" i="13"/>
  <c r="I349" i="13" s="1"/>
  <c r="P329" i="19"/>
  <c r="Q329" i="19" s="1"/>
  <c r="Q325" i="19"/>
  <c r="G138" i="13"/>
  <c r="N654" i="19"/>
  <c r="P650" i="19"/>
  <c r="M167" i="13"/>
  <c r="AF167" i="13" s="1"/>
  <c r="X167" i="13"/>
  <c r="V361" i="10"/>
  <c r="W361" i="10" s="1"/>
  <c r="W10" i="10"/>
  <c r="U19" i="16" s="1"/>
  <c r="V19" i="16" s="1"/>
  <c r="M14" i="19"/>
  <c r="AA10" i="10"/>
  <c r="X416" i="13"/>
  <c r="M416" i="13"/>
  <c r="AF416" i="13" s="1"/>
  <c r="G417" i="13"/>
  <c r="P1525" i="19"/>
  <c r="G313" i="13"/>
  <c r="N1529" i="19"/>
  <c r="M225" i="13"/>
  <c r="AF225" i="13" s="1"/>
  <c r="X225" i="13"/>
  <c r="X352" i="13"/>
  <c r="M352" i="13"/>
  <c r="AF352" i="13" s="1"/>
  <c r="H232" i="13"/>
  <c r="I232" i="13" s="1"/>
  <c r="K158" i="15"/>
  <c r="L158" i="15" s="1"/>
  <c r="X179" i="13"/>
  <c r="M179" i="13"/>
  <c r="AF179" i="13" s="1"/>
  <c r="P956" i="19"/>
  <c r="Q956" i="19" s="1"/>
  <c r="N114" i="19"/>
  <c r="P110" i="19"/>
  <c r="G30" i="13"/>
  <c r="P566" i="19"/>
  <c r="Q566" i="19" s="1"/>
  <c r="G412" i="13"/>
  <c r="G57" i="13"/>
  <c r="N249" i="19"/>
  <c r="P245" i="19"/>
  <c r="P804" i="19"/>
  <c r="Q804" i="19" s="1"/>
  <c r="Q800" i="19"/>
  <c r="Q1625" i="19"/>
  <c r="P1629" i="19"/>
  <c r="Q1629" i="19" s="1"/>
  <c r="H43" i="13"/>
  <c r="I43" i="13" s="1"/>
  <c r="N304" i="19"/>
  <c r="P300" i="19"/>
  <c r="G68" i="13"/>
  <c r="K17" i="15"/>
  <c r="L17" i="15" s="1"/>
  <c r="H23" i="13"/>
  <c r="I23" i="13" s="1"/>
  <c r="P1224" i="19"/>
  <c r="Q1224" i="19" s="1"/>
  <c r="Q1220" i="19"/>
  <c r="Q310" i="19"/>
  <c r="P314" i="19"/>
  <c r="Q314" i="19" s="1"/>
  <c r="M231" i="13"/>
  <c r="AF231" i="13" s="1"/>
  <c r="X231" i="13"/>
  <c r="G261" i="13"/>
  <c r="P1265" i="19"/>
  <c r="N1269" i="19"/>
  <c r="M166" i="13"/>
  <c r="AF166" i="13" s="1"/>
  <c r="X166" i="13"/>
  <c r="P261" i="19"/>
  <c r="Q261" i="19" s="1"/>
  <c r="G374" i="13"/>
  <c r="K190" i="15"/>
  <c r="L190" i="15" s="1"/>
  <c r="H282" i="13"/>
  <c r="I282" i="13" s="1"/>
  <c r="H275" i="13"/>
  <c r="I275" i="13" s="1"/>
  <c r="K186" i="15"/>
  <c r="L186" i="15" s="1"/>
  <c r="K81" i="15"/>
  <c r="L81" i="15" s="1"/>
  <c r="H120" i="13"/>
  <c r="I120" i="13" s="1"/>
  <c r="P1174" i="19"/>
  <c r="Q1174" i="19" s="1"/>
  <c r="Q1170" i="19"/>
  <c r="X243" i="13"/>
  <c r="M243" i="13"/>
  <c r="AF243" i="13" s="1"/>
  <c r="X289" i="13"/>
  <c r="M289" i="13"/>
  <c r="AF289" i="13" s="1"/>
  <c r="Q1500" i="19"/>
  <c r="P1504" i="19"/>
  <c r="Q1504" i="19" s="1"/>
  <c r="X310" i="13"/>
  <c r="M310" i="13"/>
  <c r="AF310" i="13" s="1"/>
  <c r="H38" i="13"/>
  <c r="I38" i="13" s="1"/>
  <c r="Q190" i="19"/>
  <c r="P194" i="19"/>
  <c r="Q194" i="19" s="1"/>
  <c r="K146" i="15"/>
  <c r="L146" i="15" s="1"/>
  <c r="H218" i="13"/>
  <c r="I218" i="13" s="1"/>
  <c r="P379" i="19"/>
  <c r="Q379" i="19" s="1"/>
  <c r="Q375" i="19"/>
  <c r="G91" i="13"/>
  <c r="P415" i="19"/>
  <c r="N419" i="19"/>
  <c r="P1670" i="19"/>
  <c r="G342" i="13"/>
  <c r="N1674" i="19"/>
  <c r="X196" i="13"/>
  <c r="M196" i="13"/>
  <c r="AF196" i="13" s="1"/>
  <c r="P726" i="19"/>
  <c r="Q726" i="19" s="1"/>
  <c r="H256" i="13"/>
  <c r="I256" i="13" s="1"/>
  <c r="N1444" i="19"/>
  <c r="G296" i="13"/>
  <c r="P1440" i="19"/>
  <c r="P529" i="19"/>
  <c r="Q529" i="19" s="1"/>
  <c r="Q525" i="19"/>
  <c r="X128" i="13"/>
  <c r="M128" i="13"/>
  <c r="AF128" i="13" s="1"/>
  <c r="P125" i="19"/>
  <c r="G33" i="13"/>
  <c r="N129" i="19"/>
  <c r="H221" i="13"/>
  <c r="I221" i="13" s="1"/>
  <c r="K149" i="15"/>
  <c r="L149" i="15" s="1"/>
  <c r="M281" i="13"/>
  <c r="AF281" i="13" s="1"/>
  <c r="X281" i="13"/>
  <c r="P582" i="19"/>
  <c r="Q582" i="19" s="1"/>
  <c r="P679" i="19"/>
  <c r="Q679" i="19" s="1"/>
  <c r="Q675" i="19"/>
  <c r="G272" i="13"/>
  <c r="P1320" i="19"/>
  <c r="N1324" i="19"/>
  <c r="M148" i="13"/>
  <c r="AF148" i="13" s="1"/>
  <c r="X148" i="13"/>
  <c r="X135" i="13"/>
  <c r="M135" i="13"/>
  <c r="AF135" i="13" s="1"/>
  <c r="Q720" i="19"/>
  <c r="P724" i="19"/>
  <c r="Q724" i="19" s="1"/>
  <c r="H209" i="13"/>
  <c r="I209" i="13" s="1"/>
  <c r="P689" i="19"/>
  <c r="Q689" i="19" s="1"/>
  <c r="Q685" i="19"/>
  <c r="X323" i="13"/>
  <c r="M323" i="13"/>
  <c r="AF323" i="13" s="1"/>
  <c r="X300" i="13"/>
  <c r="M300" i="13"/>
  <c r="AF300" i="13" s="1"/>
  <c r="Q805" i="19"/>
  <c r="P809" i="19"/>
  <c r="Q809" i="19" s="1"/>
  <c r="G263" i="13"/>
  <c r="N1279" i="19"/>
  <c r="P1275" i="19"/>
  <c r="H79" i="13"/>
  <c r="I79" i="13" s="1"/>
  <c r="P651" i="19"/>
  <c r="Q651" i="19" s="1"/>
  <c r="G389" i="13"/>
  <c r="X80" i="13"/>
  <c r="M80" i="13"/>
  <c r="AF80" i="13" s="1"/>
  <c r="M244" i="13"/>
  <c r="AF244" i="13" s="1"/>
  <c r="X244" i="13"/>
  <c r="Z361" i="10"/>
  <c r="W15" i="3" s="1"/>
  <c r="Z364" i="10"/>
  <c r="G190" i="13"/>
  <c r="N914" i="19"/>
  <c r="P910" i="19"/>
  <c r="M220" i="13"/>
  <c r="AF220" i="13" s="1"/>
  <c r="X220" i="13"/>
  <c r="Q1020" i="19"/>
  <c r="P1024" i="19"/>
  <c r="Q1024" i="19" s="1"/>
  <c r="G314" i="13"/>
  <c r="P1530" i="19"/>
  <c r="N1534" i="19"/>
  <c r="P66" i="19"/>
  <c r="Q66" i="19" s="1"/>
  <c r="G403" i="13"/>
  <c r="X122" i="13"/>
  <c r="M122" i="13"/>
  <c r="AF122" i="13" s="1"/>
  <c r="P966" i="19"/>
  <c r="Q966" i="19" s="1"/>
  <c r="G385" i="13"/>
  <c r="Q290" i="19"/>
  <c r="P294" i="19"/>
  <c r="Q294" i="19" s="1"/>
  <c r="H105" i="13"/>
  <c r="I105" i="13" s="1"/>
  <c r="K71" i="15"/>
  <c r="L71" i="15" s="1"/>
  <c r="P212" i="19"/>
  <c r="Q212" i="19" s="1"/>
  <c r="Q265" i="19"/>
  <c r="P269" i="19"/>
  <c r="Q269" i="19" s="1"/>
  <c r="G222" i="13"/>
  <c r="P1070" i="19"/>
  <c r="N1074" i="19"/>
  <c r="H212" i="13"/>
  <c r="I212" i="13" s="1"/>
  <c r="G21" i="13"/>
  <c r="P65" i="19"/>
  <c r="N69" i="19"/>
  <c r="M99" i="13"/>
  <c r="AF99" i="13" s="1"/>
  <c r="X99" i="13"/>
  <c r="P1150" i="19"/>
  <c r="G238" i="13"/>
  <c r="N1154" i="19"/>
  <c r="X141" i="13"/>
  <c r="M141" i="13"/>
  <c r="AF141" i="13" s="1"/>
  <c r="P1072" i="19"/>
  <c r="Q1072" i="19" s="1"/>
  <c r="K302" i="15"/>
  <c r="L302" i="15" s="1"/>
  <c r="H418" i="13"/>
  <c r="I418" i="13" s="1"/>
  <c r="X387" i="13"/>
  <c r="M387" i="13"/>
  <c r="AF387" i="13" s="1"/>
  <c r="P911" i="19"/>
  <c r="Q911" i="19" s="1"/>
  <c r="G428" i="13"/>
  <c r="X160" i="13"/>
  <c r="M160" i="13"/>
  <c r="AF160" i="13" s="1"/>
  <c r="M354" i="13"/>
  <c r="AF354" i="13" s="1"/>
  <c r="X354" i="13"/>
  <c r="K46" i="15"/>
  <c r="L46" i="15" s="1"/>
  <c r="H66" i="13"/>
  <c r="I66" i="13" s="1"/>
  <c r="P394" i="19"/>
  <c r="Q394" i="19" s="1"/>
  <c r="Q390" i="19"/>
  <c r="X188" i="13"/>
  <c r="M188" i="13"/>
  <c r="AF188" i="13" s="1"/>
  <c r="X25" i="13"/>
  <c r="M25" i="13"/>
  <c r="AF25" i="13" s="1"/>
  <c r="P210" i="19"/>
  <c r="N214" i="19"/>
  <c r="G50" i="13"/>
  <c r="X39" i="13"/>
  <c r="M39" i="13"/>
  <c r="AF39" i="13" s="1"/>
  <c r="H61" i="13"/>
  <c r="I61" i="13" s="1"/>
  <c r="K44" i="15"/>
  <c r="L44" i="15" s="1"/>
  <c r="P1071" i="19"/>
  <c r="Q1071" i="19" s="1"/>
  <c r="G402" i="13"/>
  <c r="X64" i="13"/>
  <c r="M64" i="13"/>
  <c r="AF64" i="13" s="1"/>
  <c r="G411" i="13"/>
  <c r="P36" i="19"/>
  <c r="Q36" i="19" s="1"/>
  <c r="X51" i="13"/>
  <c r="M51" i="13"/>
  <c r="AF51" i="13" s="1"/>
  <c r="K145" i="15"/>
  <c r="L145" i="15" s="1"/>
  <c r="H217" i="13"/>
  <c r="I217" i="13" s="1"/>
  <c r="H164" i="13"/>
  <c r="I164" i="13" s="1"/>
  <c r="K108" i="15"/>
  <c r="L108" i="15" s="1"/>
  <c r="K294" i="15"/>
  <c r="L294" i="15" s="1"/>
  <c r="H410" i="13"/>
  <c r="I410" i="13" s="1"/>
  <c r="X216" i="13"/>
  <c r="M216" i="13"/>
  <c r="AF216" i="13" s="1"/>
  <c r="X16" i="13"/>
  <c r="M16" i="13"/>
  <c r="AF16" i="13" s="1"/>
  <c r="G407" i="13"/>
  <c r="P111" i="19"/>
  <c r="Q111" i="19" s="1"/>
  <c r="X14" i="13"/>
  <c r="M14" i="13"/>
  <c r="AF14" i="13" s="1"/>
  <c r="H207" i="13"/>
  <c r="I207" i="13" s="1"/>
  <c r="K140" i="15"/>
  <c r="L140" i="15" s="1"/>
  <c r="P565" i="19"/>
  <c r="G121" i="13"/>
  <c r="N569" i="19"/>
  <c r="M161" i="13"/>
  <c r="AF161" i="13" s="1"/>
  <c r="X161" i="13"/>
  <c r="K84" i="15"/>
  <c r="L84" i="15" s="1"/>
  <c r="H127" i="13"/>
  <c r="I127" i="13" s="1"/>
  <c r="X37" i="13"/>
  <c r="M37" i="13"/>
  <c r="AF37" i="13" s="1"/>
  <c r="P381" i="19"/>
  <c r="Q381" i="19" s="1"/>
  <c r="G375" i="13"/>
  <c r="K171" i="15"/>
  <c r="L171" i="15" s="1"/>
  <c r="H252" i="13"/>
  <c r="I252" i="13" s="1"/>
  <c r="H70" i="13"/>
  <c r="I70" i="13" s="1"/>
  <c r="K47" i="15"/>
  <c r="L47" i="15" s="1"/>
  <c r="M219" i="13"/>
  <c r="AF219" i="13" s="1"/>
  <c r="X219" i="13"/>
  <c r="X150" i="13"/>
  <c r="M150" i="13"/>
  <c r="AF150" i="13" s="1"/>
  <c r="X69" i="13"/>
  <c r="M69" i="13"/>
  <c r="AF69" i="13" s="1"/>
  <c r="G60" i="13"/>
  <c r="P260" i="19"/>
  <c r="N264" i="19"/>
  <c r="X118" i="13"/>
  <c r="M118" i="13"/>
  <c r="AF118" i="13" s="1"/>
  <c r="X134" i="13"/>
  <c r="M134" i="13"/>
  <c r="AF134" i="13" s="1"/>
  <c r="P1136" i="19"/>
  <c r="Q1136" i="19" s="1"/>
  <c r="Q1335" i="19"/>
  <c r="P1339" i="19"/>
  <c r="Q1339" i="19" s="1"/>
  <c r="P481" i="19"/>
  <c r="Q481" i="19" s="1"/>
  <c r="G427" i="13"/>
  <c r="K175" i="15"/>
  <c r="L175" i="15" s="1"/>
  <c r="H258" i="13"/>
  <c r="I258" i="13" s="1"/>
  <c r="X223" i="13"/>
  <c r="M223" i="13"/>
  <c r="AF223" i="13" s="1"/>
  <c r="M137" i="13"/>
  <c r="AF137" i="13" s="1"/>
  <c r="X137" i="13"/>
  <c r="K55" i="15"/>
  <c r="L55" i="15" s="1"/>
  <c r="H82" i="13"/>
  <c r="I82" i="13" s="1"/>
  <c r="N674" i="19"/>
  <c r="G142" i="13"/>
  <c r="P670" i="19"/>
  <c r="Q150" i="19"/>
  <c r="P154" i="19"/>
  <c r="Q154" i="19" s="1"/>
  <c r="X71" i="13"/>
  <c r="M71" i="13"/>
  <c r="AF71" i="13" s="1"/>
  <c r="X295" i="13"/>
  <c r="M295" i="13"/>
  <c r="AF295" i="13" s="1"/>
  <c r="K56" i="15"/>
  <c r="L56" i="15" s="1"/>
  <c r="H83" i="13"/>
  <c r="I83" i="13" s="1"/>
  <c r="N74" i="19"/>
  <c r="P70" i="19"/>
  <c r="G22" i="13"/>
  <c r="P1390" i="19"/>
  <c r="G286" i="13"/>
  <c r="N1394" i="19"/>
  <c r="P220" i="19"/>
  <c r="N224" i="19"/>
  <c r="G52" i="13"/>
  <c r="X372" i="13"/>
  <c r="M372" i="13"/>
  <c r="AF372" i="13" s="1"/>
  <c r="X430" i="13"/>
  <c r="M430" i="13"/>
  <c r="AF430" i="13" s="1"/>
  <c r="P929" i="19"/>
  <c r="Q929" i="19" s="1"/>
  <c r="Q925" i="19"/>
  <c r="M126" i="13"/>
  <c r="AF126" i="13" s="1"/>
  <c r="X126" i="13"/>
  <c r="K16" i="15"/>
  <c r="L16" i="15" s="1"/>
  <c r="H19" i="13"/>
  <c r="I19" i="13" s="1"/>
  <c r="M268" i="13"/>
  <c r="AF268" i="13" s="1"/>
  <c r="X268" i="13"/>
  <c r="M81" i="13"/>
  <c r="AF81" i="13" s="1"/>
  <c r="X81" i="13"/>
  <c r="N874" i="19"/>
  <c r="G182" i="13"/>
  <c r="P870" i="19"/>
  <c r="M174" i="13"/>
  <c r="AF174" i="13" s="1"/>
  <c r="X174" i="13"/>
  <c r="X277" i="13"/>
  <c r="M277" i="13"/>
  <c r="AF277" i="13" s="1"/>
  <c r="X129" i="13"/>
  <c r="M129" i="13"/>
  <c r="AF129" i="13" s="1"/>
  <c r="G381" i="13"/>
  <c r="P516" i="19"/>
  <c r="Q516" i="19" s="1"/>
  <c r="X106" i="13"/>
  <c r="M106" i="13"/>
  <c r="AF106" i="13" s="1"/>
  <c r="H145" i="13"/>
  <c r="I145" i="13" s="1"/>
  <c r="K93" i="15"/>
  <c r="L93" i="15" s="1"/>
  <c r="M299" i="13"/>
  <c r="AF299" i="13" s="1"/>
  <c r="X299" i="13"/>
  <c r="K112" i="15"/>
  <c r="L112" i="15" s="1"/>
  <c r="H169" i="13"/>
  <c r="I169" i="13" s="1"/>
  <c r="P1709" i="19"/>
  <c r="Q1709" i="19" s="1"/>
  <c r="Q1705" i="19"/>
  <c r="K49" i="15"/>
  <c r="L49" i="15" s="1"/>
  <c r="H73" i="13"/>
  <c r="I73" i="13" s="1"/>
  <c r="X348" i="13"/>
  <c r="M348" i="13"/>
  <c r="AF348" i="13" s="1"/>
  <c r="X13" i="13"/>
  <c r="M13" i="13"/>
  <c r="AF13" i="13" s="1"/>
  <c r="P84" i="19"/>
  <c r="Q84" i="19" s="1"/>
  <c r="Q80" i="19"/>
  <c r="H297" i="13"/>
  <c r="I297" i="13" s="1"/>
  <c r="K200" i="15"/>
  <c r="L200" i="15" s="1"/>
  <c r="X208" i="13"/>
  <c r="M208" i="13"/>
  <c r="AF208" i="13" s="1"/>
  <c r="H175" i="13"/>
  <c r="I175" i="13" s="1"/>
  <c r="G199" i="13"/>
  <c r="N959" i="19"/>
  <c r="P955" i="19"/>
  <c r="H250" i="13"/>
  <c r="I250" i="13" s="1"/>
  <c r="P599" i="19"/>
  <c r="Q599" i="19" s="1"/>
  <c r="Q595" i="19"/>
  <c r="H320" i="13"/>
  <c r="I320" i="13" s="1"/>
  <c r="G146" i="13"/>
  <c r="N694" i="19"/>
  <c r="P690" i="19"/>
  <c r="H67" i="13"/>
  <c r="I67" i="13" s="1"/>
  <c r="Q1370" i="19"/>
  <c r="P1374" i="19"/>
  <c r="Q1374" i="19" s="1"/>
  <c r="K193" i="15"/>
  <c r="L193" i="15" s="1"/>
  <c r="H285" i="13"/>
  <c r="I285" i="13" s="1"/>
  <c r="M41" i="13"/>
  <c r="AF41" i="13" s="1"/>
  <c r="X41" i="13"/>
  <c r="G276" i="13"/>
  <c r="P1340" i="19"/>
  <c r="N1344" i="19"/>
  <c r="P480" i="19"/>
  <c r="G104" i="13"/>
  <c r="N484" i="19"/>
  <c r="X262" i="13"/>
  <c r="M262" i="13"/>
  <c r="AF262" i="13" s="1"/>
  <c r="X88" i="13"/>
  <c r="M88" i="13"/>
  <c r="AF88" i="13" s="1"/>
  <c r="H242" i="13"/>
  <c r="I242" i="13" s="1"/>
  <c r="P374" i="19"/>
  <c r="Q374" i="19" s="1"/>
  <c r="Q370" i="19"/>
  <c r="H46" i="13"/>
  <c r="I46" i="13" s="1"/>
  <c r="P509" i="19"/>
  <c r="Q509" i="19" s="1"/>
  <c r="Q505" i="19"/>
  <c r="P71" i="19"/>
  <c r="Q71" i="19" s="1"/>
  <c r="X62" i="13"/>
  <c r="M62" i="13"/>
  <c r="AF62" i="13" s="1"/>
  <c r="G198" i="13"/>
  <c r="P950" i="19"/>
  <c r="N954" i="19"/>
  <c r="K120" i="15"/>
  <c r="L120" i="15" s="1"/>
  <c r="H178" i="13"/>
  <c r="I178" i="13" s="1"/>
  <c r="K247" i="15"/>
  <c r="L247" i="15" s="1"/>
  <c r="H363" i="13"/>
  <c r="I363" i="13" s="1"/>
  <c r="Q55" i="19"/>
  <c r="P59" i="19"/>
  <c r="Q59" i="19" s="1"/>
  <c r="Q1240" i="19"/>
  <c r="P1244" i="19"/>
  <c r="Q1244" i="19" s="1"/>
  <c r="M356" i="13"/>
  <c r="AF356" i="13" s="1"/>
  <c r="X356" i="13"/>
  <c r="Q1065" i="19"/>
  <c r="P1069" i="19"/>
  <c r="Q1069" i="19" s="1"/>
  <c r="P581" i="19"/>
  <c r="Q581" i="19" s="1"/>
  <c r="G384" i="13"/>
  <c r="X27" i="13"/>
  <c r="M27" i="13"/>
  <c r="AF27" i="13" s="1"/>
  <c r="H143" i="13"/>
  <c r="I143" i="13" s="1"/>
  <c r="X213" i="13"/>
  <c r="M213" i="13"/>
  <c r="AF213" i="13" s="1"/>
  <c r="M102" i="13"/>
  <c r="AF102" i="13" s="1"/>
  <c r="X102" i="13"/>
  <c r="G111" i="13"/>
  <c r="P515" i="19"/>
  <c r="N519" i="19"/>
  <c r="P1009" i="19"/>
  <c r="Q1009" i="19" s="1"/>
  <c r="Q1005" i="19"/>
  <c r="M108" i="13"/>
  <c r="AF108" i="13" s="1"/>
  <c r="X108" i="13"/>
  <c r="N424" i="19"/>
  <c r="P420" i="19"/>
  <c r="G92" i="13"/>
  <c r="X211" i="13"/>
  <c r="M211" i="13"/>
  <c r="AF211" i="13" s="1"/>
  <c r="Q355" i="19"/>
  <c r="P359" i="19"/>
  <c r="Q359" i="19" s="1"/>
  <c r="H24" i="13"/>
  <c r="I24" i="13" s="1"/>
  <c r="H11" i="13"/>
  <c r="I11" i="13" s="1"/>
  <c r="M59" i="13"/>
  <c r="AF59" i="13" s="1"/>
  <c r="X59" i="13"/>
  <c r="G404" i="13"/>
  <c r="AG343" i="13" l="1"/>
  <c r="AH343" i="13" s="1"/>
  <c r="AJ343" i="13" s="1"/>
  <c r="AG224" i="13"/>
  <c r="AH224" i="13" s="1"/>
  <c r="AJ224" i="13" s="1"/>
  <c r="AF149" i="13"/>
  <c r="AG149" i="13" s="1"/>
  <c r="AQ271" i="13"/>
  <c r="AR271" i="13"/>
  <c r="AP271" i="13"/>
  <c r="AW271" i="13" s="1"/>
  <c r="AG131" i="13"/>
  <c r="AH131" i="13" s="1"/>
  <c r="AJ131" i="13" s="1"/>
  <c r="AQ117" i="13"/>
  <c r="AP117" i="13"/>
  <c r="AW117" i="13" s="1"/>
  <c r="AR158" i="13"/>
  <c r="AQ158" i="13"/>
  <c r="AP158" i="13"/>
  <c r="AW158" i="13" s="1"/>
  <c r="AQ171" i="13"/>
  <c r="AP171" i="13"/>
  <c r="AR171" i="13"/>
  <c r="AG31" i="13"/>
  <c r="AG189" i="13"/>
  <c r="X89" i="13"/>
  <c r="M94" i="13"/>
  <c r="AF94" i="13" s="1"/>
  <c r="AG94" i="13" s="1"/>
  <c r="AG167" i="13"/>
  <c r="AH167" i="13" s="1"/>
  <c r="AG303" i="13"/>
  <c r="AG103" i="13"/>
  <c r="AH103" i="13" s="1"/>
  <c r="AG59" i="13"/>
  <c r="AH59" i="13" s="1"/>
  <c r="AG27" i="13"/>
  <c r="AH27" i="13" s="1"/>
  <c r="AG281" i="13"/>
  <c r="AG294" i="13"/>
  <c r="AH294" i="13" s="1"/>
  <c r="AJ294" i="13" s="1"/>
  <c r="AG289" i="13"/>
  <c r="AG42" i="13"/>
  <c r="AG166" i="13"/>
  <c r="AH166" i="13" s="1"/>
  <c r="AJ166" i="13" s="1"/>
  <c r="AG65" i="13"/>
  <c r="AG16" i="13"/>
  <c r="AH16" i="13" s="1"/>
  <c r="AG133" i="13"/>
  <c r="AG244" i="13"/>
  <c r="AG140" i="13"/>
  <c r="AH140" i="13" s="1"/>
  <c r="AG41" i="13"/>
  <c r="AG197" i="13"/>
  <c r="AG348" i="13"/>
  <c r="AH348" i="13" s="1"/>
  <c r="AJ348" i="13" s="1"/>
  <c r="AG128" i="13"/>
  <c r="AG196" i="13"/>
  <c r="AH196" i="13" s="1"/>
  <c r="AG118" i="13"/>
  <c r="AH118" i="13" s="1"/>
  <c r="AJ118" i="13" s="1"/>
  <c r="AG69" i="13"/>
  <c r="AH69" i="13" s="1"/>
  <c r="AJ69" i="13" s="1"/>
  <c r="AG185" i="13"/>
  <c r="AG208" i="13"/>
  <c r="AH208" i="13" s="1"/>
  <c r="AG122" i="13"/>
  <c r="AG160" i="13"/>
  <c r="AG277" i="13"/>
  <c r="AG148" i="13"/>
  <c r="AH148" i="13" s="1"/>
  <c r="AG126" i="13"/>
  <c r="AG223" i="13"/>
  <c r="AH223" i="13" s="1"/>
  <c r="AJ223" i="13" s="1"/>
  <c r="AG220" i="13"/>
  <c r="AG346" i="13"/>
  <c r="AH346" i="13" s="1"/>
  <c r="AG247" i="13"/>
  <c r="AG323" i="13"/>
  <c r="AH323" i="13" s="1"/>
  <c r="AJ323" i="13" s="1"/>
  <c r="AG310" i="13"/>
  <c r="AH310" i="13" s="1"/>
  <c r="AG125" i="13"/>
  <c r="AG77" i="13"/>
  <c r="AH77" i="13" s="1"/>
  <c r="AJ77" i="13" s="1"/>
  <c r="AG213" i="13"/>
  <c r="AH213" i="13" s="1"/>
  <c r="AJ213" i="13" s="1"/>
  <c r="AG137" i="13"/>
  <c r="AH137" i="13" s="1"/>
  <c r="AG172" i="13"/>
  <c r="AG64" i="13"/>
  <c r="AG102" i="13"/>
  <c r="AG283" i="13"/>
  <c r="AH283" i="13" s="1"/>
  <c r="AG51" i="13"/>
  <c r="AH51" i="13" s="1"/>
  <c r="AJ51" i="13" s="1"/>
  <c r="AG328" i="13"/>
  <c r="AG211" i="13"/>
  <c r="AH211" i="13" s="1"/>
  <c r="AJ211" i="13" s="1"/>
  <c r="AG14" i="13"/>
  <c r="AG179" i="13"/>
  <c r="AH179" i="13" s="1"/>
  <c r="AJ179" i="13" s="1"/>
  <c r="AG87" i="13"/>
  <c r="AG39" i="13"/>
  <c r="AH39" i="13" s="1"/>
  <c r="M254" i="13"/>
  <c r="AF254" i="13" s="1"/>
  <c r="AG254" i="13" s="1"/>
  <c r="AG355" i="13"/>
  <c r="AH355" i="13" s="1"/>
  <c r="AG56" i="13"/>
  <c r="AH56" i="13" s="1"/>
  <c r="AJ56" i="13" s="1"/>
  <c r="AG299" i="13"/>
  <c r="AH299" i="13" s="1"/>
  <c r="AG291" i="13"/>
  <c r="AH291" i="13" s="1"/>
  <c r="AJ291" i="13" s="1"/>
  <c r="AG243" i="13"/>
  <c r="AH243" i="13" s="1"/>
  <c r="AG17" i="13"/>
  <c r="AH17" i="13" s="1"/>
  <c r="AG216" i="13"/>
  <c r="AH216" i="13" s="1"/>
  <c r="AJ216" i="13" s="1"/>
  <c r="AG273" i="13"/>
  <c r="AH273" i="13" s="1"/>
  <c r="AG62" i="13"/>
  <c r="AG114" i="13"/>
  <c r="AG90" i="13"/>
  <c r="AH90" i="13" s="1"/>
  <c r="AJ90" i="13" s="1"/>
  <c r="AG295" i="13"/>
  <c r="AG324" i="13"/>
  <c r="AH324" i="13" s="1"/>
  <c r="AG141" i="13"/>
  <c r="AH141" i="13" s="1"/>
  <c r="AJ141" i="13" s="1"/>
  <c r="AG13" i="13"/>
  <c r="AH13" i="13" s="1"/>
  <c r="AJ13" i="13" s="1"/>
  <c r="AG81" i="13"/>
  <c r="AH81" i="13" s="1"/>
  <c r="AG88" i="13"/>
  <c r="AG227" i="13"/>
  <c r="AG161" i="13"/>
  <c r="AG264" i="13"/>
  <c r="AH264" i="13" s="1"/>
  <c r="AJ264" i="13" s="1"/>
  <c r="AG231" i="13"/>
  <c r="AG188" i="13"/>
  <c r="AG225" i="13"/>
  <c r="AG300" i="13"/>
  <c r="AH300" i="13" s="1"/>
  <c r="AG354" i="13"/>
  <c r="AH354" i="13" s="1"/>
  <c r="AJ354" i="13" s="1"/>
  <c r="AG347" i="13"/>
  <c r="AH347" i="13" s="1"/>
  <c r="AJ347" i="13" s="1"/>
  <c r="AG58" i="13"/>
  <c r="AG129" i="13"/>
  <c r="AH129" i="13" s="1"/>
  <c r="AJ129" i="13" s="1"/>
  <c r="AG71" i="13"/>
  <c r="AG262" i="13"/>
  <c r="AH262" i="13" s="1"/>
  <c r="AJ262" i="13" s="1"/>
  <c r="AG37" i="13"/>
  <c r="AH37" i="13" s="1"/>
  <c r="AG352" i="13"/>
  <c r="AH352" i="13" s="1"/>
  <c r="AG214" i="13"/>
  <c r="AH214" i="13" s="1"/>
  <c r="AJ214" i="13" s="1"/>
  <c r="AG268" i="13"/>
  <c r="AH268" i="13" s="1"/>
  <c r="AJ268" i="13" s="1"/>
  <c r="AG192" i="13"/>
  <c r="AH192" i="13" s="1"/>
  <c r="AJ192" i="13" s="1"/>
  <c r="AG174" i="13"/>
  <c r="AH174" i="13" s="1"/>
  <c r="AG134" i="13"/>
  <c r="AG241" i="13"/>
  <c r="AG25" i="13"/>
  <c r="AH25" i="13" s="1"/>
  <c r="AJ25" i="13" s="1"/>
  <c r="AG80" i="13"/>
  <c r="AH80" i="13" s="1"/>
  <c r="AG356" i="13"/>
  <c r="AH356" i="13" s="1"/>
  <c r="AG99" i="13"/>
  <c r="AG219" i="13"/>
  <c r="AH219" i="13" s="1"/>
  <c r="AG106" i="13"/>
  <c r="AH106" i="13" s="1"/>
  <c r="AG135" i="13"/>
  <c r="AG54" i="13"/>
  <c r="AH54" i="13" s="1"/>
  <c r="AG270" i="13"/>
  <c r="AH270" i="13" s="1"/>
  <c r="AG204" i="13"/>
  <c r="AH204" i="13" s="1"/>
  <c r="AJ204" i="13" s="1"/>
  <c r="AG108" i="13"/>
  <c r="AG150" i="13"/>
  <c r="AH150" i="13" s="1"/>
  <c r="AJ150" i="13" s="1"/>
  <c r="AG311" i="13"/>
  <c r="AH311" i="13" s="1"/>
  <c r="AJ311" i="13" s="1"/>
  <c r="M292" i="13"/>
  <c r="AF292" i="13" s="1"/>
  <c r="AG292" i="13" s="1"/>
  <c r="X85" i="13"/>
  <c r="AG372" i="13"/>
  <c r="AG387" i="13"/>
  <c r="AG416" i="13"/>
  <c r="AG396" i="13"/>
  <c r="AG361" i="13"/>
  <c r="AG430" i="13"/>
  <c r="AJ97" i="13"/>
  <c r="N102" i="15"/>
  <c r="N114" i="15"/>
  <c r="N182" i="15"/>
  <c r="AJ177" i="13"/>
  <c r="AH266" i="13"/>
  <c r="AJ266" i="13" s="1"/>
  <c r="K66" i="15"/>
  <c r="L66" i="15" s="1"/>
  <c r="P564" i="19"/>
  <c r="Q564" i="19" s="1"/>
  <c r="N564" i="19"/>
  <c r="X94" i="13"/>
  <c r="AB10" i="10"/>
  <c r="G19" i="8"/>
  <c r="M155" i="13"/>
  <c r="AF155" i="13" s="1"/>
  <c r="X44" i="13"/>
  <c r="M44" i="13"/>
  <c r="AF44" i="13" s="1"/>
  <c r="X155" i="13"/>
  <c r="P739" i="19"/>
  <c r="Q739" i="19" s="1"/>
  <c r="Q735" i="19"/>
  <c r="G440" i="13"/>
  <c r="H440" i="13" s="1"/>
  <c r="I440" i="13" s="1"/>
  <c r="N229" i="19"/>
  <c r="P225" i="19"/>
  <c r="Q226" i="19"/>
  <c r="Q227" i="19"/>
  <c r="X76" i="13"/>
  <c r="M76" i="13"/>
  <c r="AF76" i="13" s="1"/>
  <c r="K223" i="15"/>
  <c r="L223" i="15" s="1"/>
  <c r="H393" i="13"/>
  <c r="I393" i="13" s="1"/>
  <c r="P1754" i="19"/>
  <c r="Q1754" i="19" s="1"/>
  <c r="M55" i="13"/>
  <c r="AF55" i="13" s="1"/>
  <c r="X340" i="13"/>
  <c r="X301" i="13"/>
  <c r="M340" i="13"/>
  <c r="AF340" i="13" s="1"/>
  <c r="M301" i="13"/>
  <c r="AF301" i="13" s="1"/>
  <c r="M35" i="13"/>
  <c r="AF35" i="13" s="1"/>
  <c r="X35" i="13"/>
  <c r="X55" i="13"/>
  <c r="Q770" i="19"/>
  <c r="X302" i="13"/>
  <c r="H230" i="13"/>
  <c r="I230" i="13" s="1"/>
  <c r="M36" i="13"/>
  <c r="AF36" i="13" s="1"/>
  <c r="X36" i="13"/>
  <c r="G233" i="13"/>
  <c r="N1129" i="19"/>
  <c r="P1125" i="19"/>
  <c r="M399" i="13"/>
  <c r="AF399" i="13" s="1"/>
  <c r="K37" i="15"/>
  <c r="L37" i="15" s="1"/>
  <c r="P19" i="19"/>
  <c r="Q19" i="19" s="1"/>
  <c r="Q175" i="19"/>
  <c r="X399" i="13"/>
  <c r="K29" i="15"/>
  <c r="L29" i="15" s="1"/>
  <c r="K111" i="15"/>
  <c r="L111" i="15" s="1"/>
  <c r="M284" i="13"/>
  <c r="AF284" i="13" s="1"/>
  <c r="M329" i="13"/>
  <c r="AF329" i="13" s="1"/>
  <c r="G434" i="13"/>
  <c r="H434" i="13" s="1"/>
  <c r="I434" i="13" s="1"/>
  <c r="H362" i="13"/>
  <c r="I362" i="13" s="1"/>
  <c r="K328" i="15"/>
  <c r="L328" i="15" s="1"/>
  <c r="G379" i="13"/>
  <c r="K263" i="15" s="1"/>
  <c r="L263" i="15" s="1"/>
  <c r="X284" i="13"/>
  <c r="X329" i="13"/>
  <c r="M302" i="13"/>
  <c r="AF302" i="13" s="1"/>
  <c r="M377" i="13"/>
  <c r="AF377" i="13" s="1"/>
  <c r="Q1540" i="19"/>
  <c r="P1544" i="19"/>
  <c r="Q1544" i="19" s="1"/>
  <c r="K214" i="15"/>
  <c r="L214" i="15" s="1"/>
  <c r="H316" i="13"/>
  <c r="I316" i="13" s="1"/>
  <c r="P1451" i="19"/>
  <c r="Q1451" i="19" s="1"/>
  <c r="G382" i="13"/>
  <c r="P1595" i="19"/>
  <c r="N1599" i="19"/>
  <c r="G327" i="13"/>
  <c r="N1454" i="19"/>
  <c r="G298" i="13"/>
  <c r="P1450" i="19"/>
  <c r="P1190" i="19"/>
  <c r="G246" i="13"/>
  <c r="H246" i="13" s="1"/>
  <c r="I246" i="13" s="1"/>
  <c r="N1194" i="19"/>
  <c r="N1144" i="19"/>
  <c r="G236" i="13"/>
  <c r="P1140" i="19"/>
  <c r="X305" i="13"/>
  <c r="X132" i="13"/>
  <c r="M132" i="13"/>
  <c r="AF132" i="13" s="1"/>
  <c r="M305" i="13"/>
  <c r="AF305" i="13" s="1"/>
  <c r="G409" i="13"/>
  <c r="K293" i="15" s="1"/>
  <c r="L293" i="15" s="1"/>
  <c r="X377" i="13"/>
  <c r="K272" i="15"/>
  <c r="L272" i="15" s="1"/>
  <c r="H109" i="13"/>
  <c r="I109" i="13" s="1"/>
  <c r="X34" i="13"/>
  <c r="M34" i="13"/>
  <c r="AF34" i="13" s="1"/>
  <c r="G435" i="13"/>
  <c r="K319" i="15" s="1"/>
  <c r="L319" i="15" s="1"/>
  <c r="M370" i="13"/>
  <c r="AF370" i="13" s="1"/>
  <c r="K274" i="15"/>
  <c r="L274" i="15" s="1"/>
  <c r="M100" i="13"/>
  <c r="AF100" i="13" s="1"/>
  <c r="X100" i="13"/>
  <c r="H386" i="13"/>
  <c r="I386" i="13" s="1"/>
  <c r="K270" i="15"/>
  <c r="L270" i="15" s="1"/>
  <c r="Q1605" i="19"/>
  <c r="P1609" i="19"/>
  <c r="Q1609" i="19" s="1"/>
  <c r="P624" i="19"/>
  <c r="Q624" i="19" s="1"/>
  <c r="Q620" i="19"/>
  <c r="H419" i="13"/>
  <c r="I419" i="13" s="1"/>
  <c r="K303" i="15"/>
  <c r="L303" i="15" s="1"/>
  <c r="X370" i="13"/>
  <c r="P730" i="19"/>
  <c r="N734" i="19"/>
  <c r="G154" i="13"/>
  <c r="G438" i="13"/>
  <c r="H438" i="13" s="1"/>
  <c r="I438" i="13" s="1"/>
  <c r="G425" i="13"/>
  <c r="K309" i="15" s="1"/>
  <c r="L309" i="15" s="1"/>
  <c r="G397" i="13"/>
  <c r="H397" i="13" s="1"/>
  <c r="I397" i="13" s="1"/>
  <c r="N1714" i="19"/>
  <c r="G350" i="13"/>
  <c r="P1710" i="19"/>
  <c r="H315" i="13"/>
  <c r="I315" i="13" s="1"/>
  <c r="K213" i="15"/>
  <c r="L213" i="15" s="1"/>
  <c r="Q1535" i="19"/>
  <c r="P1539" i="19"/>
  <c r="Q1539" i="19" s="1"/>
  <c r="G433" i="13"/>
  <c r="H433" i="13" s="1"/>
  <c r="I433" i="13" s="1"/>
  <c r="K225" i="15"/>
  <c r="L225" i="15" s="1"/>
  <c r="H332" i="13"/>
  <c r="I332" i="13" s="1"/>
  <c r="Q1620" i="19"/>
  <c r="P1624" i="19"/>
  <c r="Q1624" i="19" s="1"/>
  <c r="K306" i="15"/>
  <c r="L306" i="15" s="1"/>
  <c r="X429" i="13"/>
  <c r="G398" i="13"/>
  <c r="K282" i="15" s="1"/>
  <c r="L282" i="15" s="1"/>
  <c r="M429" i="13"/>
  <c r="AF429" i="13" s="1"/>
  <c r="G367" i="13"/>
  <c r="H367" i="13" s="1"/>
  <c r="I367" i="13" s="1"/>
  <c r="N614" i="19"/>
  <c r="G130" i="13"/>
  <c r="P610" i="19"/>
  <c r="P990" i="19"/>
  <c r="G206" i="13"/>
  <c r="N994" i="19"/>
  <c r="K80" i="15"/>
  <c r="L80" i="15" s="1"/>
  <c r="H119" i="13"/>
  <c r="I119" i="13" s="1"/>
  <c r="P435" i="19"/>
  <c r="N439" i="19"/>
  <c r="G95" i="13"/>
  <c r="P559" i="19"/>
  <c r="Q559" i="19" s="1"/>
  <c r="Q555" i="19"/>
  <c r="P1635" i="19"/>
  <c r="G335" i="13"/>
  <c r="N1639" i="19"/>
  <c r="M306" i="13"/>
  <c r="AF306" i="13" s="1"/>
  <c r="P60" i="19"/>
  <c r="G20" i="13"/>
  <c r="H20" i="13" s="1"/>
  <c r="I20" i="13" s="1"/>
  <c r="N64" i="19"/>
  <c r="G101" i="13"/>
  <c r="H101" i="13" s="1"/>
  <c r="I101" i="13" s="1"/>
  <c r="P465" i="19"/>
  <c r="N469" i="19"/>
  <c r="P1355" i="19"/>
  <c r="G279" i="13"/>
  <c r="H279" i="13" s="1"/>
  <c r="I279" i="13" s="1"/>
  <c r="N1359" i="19"/>
  <c r="X360" i="13"/>
  <c r="G318" i="13"/>
  <c r="N1554" i="19"/>
  <c r="P1550" i="19"/>
  <c r="P466" i="19"/>
  <c r="Q466" i="19" s="1"/>
  <c r="G392" i="13"/>
  <c r="X28" i="13"/>
  <c r="X139" i="13"/>
  <c r="X292" i="13"/>
  <c r="M85" i="13"/>
  <c r="AF85" i="13" s="1"/>
  <c r="M89" i="13"/>
  <c r="AF89" i="13" s="1"/>
  <c r="X254" i="13"/>
  <c r="K299" i="15"/>
  <c r="L299" i="15" s="1"/>
  <c r="G445" i="13"/>
  <c r="K329" i="15" s="1"/>
  <c r="L329" i="15" s="1"/>
  <c r="M28" i="13"/>
  <c r="AF28" i="13" s="1"/>
  <c r="G432" i="13"/>
  <c r="K316" i="15" s="1"/>
  <c r="L316" i="15" s="1"/>
  <c r="G424" i="13"/>
  <c r="K308" i="15" s="1"/>
  <c r="L308" i="15" s="1"/>
  <c r="G447" i="13"/>
  <c r="K331" i="15" s="1"/>
  <c r="L331" i="15" s="1"/>
  <c r="K262" i="15"/>
  <c r="L262" i="15" s="1"/>
  <c r="H378" i="13"/>
  <c r="I378" i="13" s="1"/>
  <c r="P409" i="19"/>
  <c r="Q409" i="19" s="1"/>
  <c r="Q405" i="19"/>
  <c r="G420" i="13"/>
  <c r="H420" i="13" s="1"/>
  <c r="I420" i="13" s="1"/>
  <c r="K257" i="15"/>
  <c r="L257" i="15" s="1"/>
  <c r="G421" i="13"/>
  <c r="H421" i="13" s="1"/>
  <c r="I421" i="13" s="1"/>
  <c r="X421" i="13" s="1"/>
  <c r="K321" i="15"/>
  <c r="L321" i="15" s="1"/>
  <c r="N879" i="19"/>
  <c r="P875" i="19"/>
  <c r="G183" i="13"/>
  <c r="P335" i="19"/>
  <c r="N339" i="19"/>
  <c r="G75" i="13"/>
  <c r="H75" i="13" s="1"/>
  <c r="I75" i="13" s="1"/>
  <c r="P1495" i="19"/>
  <c r="N1499" i="19"/>
  <c r="G307" i="13"/>
  <c r="G156" i="13"/>
  <c r="H156" i="13" s="1"/>
  <c r="I156" i="13" s="1"/>
  <c r="P740" i="19"/>
  <c r="N744" i="19"/>
  <c r="G29" i="13"/>
  <c r="N109" i="19"/>
  <c r="P105" i="19"/>
  <c r="G338" i="13"/>
  <c r="H338" i="13" s="1"/>
  <c r="I338" i="13" s="1"/>
  <c r="P1650" i="19"/>
  <c r="N1654" i="19"/>
  <c r="P741" i="19"/>
  <c r="Q741" i="19" s="1"/>
  <c r="G400" i="13"/>
  <c r="P1651" i="19"/>
  <c r="Q1651" i="19" s="1"/>
  <c r="G405" i="13"/>
  <c r="P1496" i="19"/>
  <c r="Q1496" i="19" s="1"/>
  <c r="G394" i="13"/>
  <c r="P1759" i="19"/>
  <c r="Q1759" i="19" s="1"/>
  <c r="Q1755" i="19"/>
  <c r="H359" i="13"/>
  <c r="I359" i="13" s="1"/>
  <c r="K244" i="15"/>
  <c r="L244" i="15" s="1"/>
  <c r="P899" i="19"/>
  <c r="Q899" i="19" s="1"/>
  <c r="Q895" i="19"/>
  <c r="M341" i="13"/>
  <c r="AF341" i="13" s="1"/>
  <c r="X341" i="13"/>
  <c r="K129" i="15"/>
  <c r="L129" i="15" s="1"/>
  <c r="H187" i="13"/>
  <c r="I187" i="13" s="1"/>
  <c r="Q1285" i="19"/>
  <c r="P1289" i="19"/>
  <c r="Q1289" i="19" s="1"/>
  <c r="H159" i="13"/>
  <c r="I159" i="13" s="1"/>
  <c r="K103" i="15"/>
  <c r="L103" i="15" s="1"/>
  <c r="X306" i="13"/>
  <c r="M139" i="13"/>
  <c r="AF139" i="13" s="1"/>
  <c r="G443" i="13"/>
  <c r="K327" i="15" s="1"/>
  <c r="L327" i="15" s="1"/>
  <c r="K34" i="15"/>
  <c r="L34" i="15" s="1"/>
  <c r="H49" i="13"/>
  <c r="I49" i="13" s="1"/>
  <c r="K98" i="15"/>
  <c r="L98" i="15" s="1"/>
  <c r="H151" i="13"/>
  <c r="I151" i="13" s="1"/>
  <c r="X265" i="13"/>
  <c r="M265" i="13"/>
  <c r="AF265" i="13" s="1"/>
  <c r="Q755" i="19"/>
  <c r="P759" i="19"/>
  <c r="Q759" i="19" s="1"/>
  <c r="G442" i="13"/>
  <c r="H442" i="13" s="1"/>
  <c r="I442" i="13" s="1"/>
  <c r="G426" i="13"/>
  <c r="H426" i="13" s="1"/>
  <c r="I426" i="13" s="1"/>
  <c r="G436" i="13"/>
  <c r="H436" i="13" s="1"/>
  <c r="I436" i="13" s="1"/>
  <c r="P209" i="19"/>
  <c r="Q209" i="19" s="1"/>
  <c r="Q205" i="19"/>
  <c r="P719" i="19"/>
  <c r="Q719" i="19" s="1"/>
  <c r="Q715" i="19"/>
  <c r="N1589" i="19"/>
  <c r="P1585" i="19"/>
  <c r="G325" i="13"/>
  <c r="P499" i="19"/>
  <c r="Q499" i="19" s="1"/>
  <c r="Q495" i="19"/>
  <c r="P1509" i="19"/>
  <c r="Q1509" i="19" s="1"/>
  <c r="Q1505" i="19"/>
  <c r="G357" i="13"/>
  <c r="N1749" i="19"/>
  <c r="P1745" i="19"/>
  <c r="G312" i="13"/>
  <c r="H312" i="13" s="1"/>
  <c r="I312" i="13" s="1"/>
  <c r="N1524" i="19"/>
  <c r="P1520" i="19"/>
  <c r="P1729" i="19"/>
  <c r="Q1729" i="19" s="1"/>
  <c r="Q1725" i="19"/>
  <c r="P1036" i="19"/>
  <c r="Q1036" i="19" s="1"/>
  <c r="G401" i="13"/>
  <c r="K177" i="15"/>
  <c r="L177" i="15" s="1"/>
  <c r="H260" i="13"/>
  <c r="I260" i="13" s="1"/>
  <c r="H293" i="13"/>
  <c r="I293" i="13" s="1"/>
  <c r="K197" i="15"/>
  <c r="L197" i="15" s="1"/>
  <c r="P1215" i="19"/>
  <c r="G251" i="13"/>
  <c r="N1219" i="19"/>
  <c r="K209" i="15"/>
  <c r="L209" i="15" s="1"/>
  <c r="H309" i="13"/>
  <c r="I309" i="13" s="1"/>
  <c r="P1566" i="19"/>
  <c r="Q1566" i="19" s="1"/>
  <c r="G406" i="13"/>
  <c r="N1249" i="19"/>
  <c r="P1245" i="19"/>
  <c r="G257" i="13"/>
  <c r="P1305" i="19"/>
  <c r="G269" i="13"/>
  <c r="H269" i="13" s="1"/>
  <c r="I269" i="13" s="1"/>
  <c r="N1309" i="19"/>
  <c r="N1039" i="19"/>
  <c r="P1035" i="19"/>
  <c r="G215" i="13"/>
  <c r="H215" i="13" s="1"/>
  <c r="I215" i="13" s="1"/>
  <c r="P1264" i="19"/>
  <c r="Q1264" i="19" s="1"/>
  <c r="Q1260" i="19"/>
  <c r="P1630" i="19"/>
  <c r="N1634" i="19"/>
  <c r="G334" i="13"/>
  <c r="N1094" i="19"/>
  <c r="G226" i="13"/>
  <c r="P1090" i="19"/>
  <c r="N1569" i="19"/>
  <c r="P1565" i="19"/>
  <c r="G321" i="13"/>
  <c r="H321" i="13" s="1"/>
  <c r="I321" i="13" s="1"/>
  <c r="P1646" i="19"/>
  <c r="Q1646" i="19" s="1"/>
  <c r="G365" i="13"/>
  <c r="P1521" i="19"/>
  <c r="Q1521" i="19" s="1"/>
  <c r="G395" i="13"/>
  <c r="N1619" i="19"/>
  <c r="P1615" i="19"/>
  <c r="G331" i="13"/>
  <c r="P1306" i="19"/>
  <c r="Q1306" i="19" s="1"/>
  <c r="G380" i="13"/>
  <c r="K239" i="15"/>
  <c r="L239" i="15" s="1"/>
  <c r="H353" i="13"/>
  <c r="I353" i="13" s="1"/>
  <c r="Q1425" i="19"/>
  <c r="P1429" i="19"/>
  <c r="Q1429" i="19" s="1"/>
  <c r="P510" i="19"/>
  <c r="N514" i="19"/>
  <c r="G110" i="13"/>
  <c r="K73" i="15"/>
  <c r="L73" i="15" s="1"/>
  <c r="H107" i="13"/>
  <c r="I107" i="13" s="1"/>
  <c r="N1649" i="19"/>
  <c r="P1645" i="19"/>
  <c r="G337" i="13"/>
  <c r="H337" i="13" s="1"/>
  <c r="I337" i="13" s="1"/>
  <c r="G408" i="13"/>
  <c r="P1037" i="19"/>
  <c r="Q1037" i="19" s="1"/>
  <c r="Q1400" i="19"/>
  <c r="P1404" i="19"/>
  <c r="Q1404" i="19" s="1"/>
  <c r="P1104" i="19"/>
  <c r="Q1104" i="19" s="1"/>
  <c r="Q1100" i="19"/>
  <c r="M184" i="13"/>
  <c r="AF184" i="13" s="1"/>
  <c r="X184" i="13"/>
  <c r="H228" i="13"/>
  <c r="I228" i="13" s="1"/>
  <c r="K155" i="15"/>
  <c r="L155" i="15" s="1"/>
  <c r="M288" i="13"/>
  <c r="AF288" i="13" s="1"/>
  <c r="X288" i="13"/>
  <c r="Q1200" i="19"/>
  <c r="P1204" i="19"/>
  <c r="Q1204" i="19" s="1"/>
  <c r="H157" i="13"/>
  <c r="I157" i="13" s="1"/>
  <c r="K101" i="15"/>
  <c r="L101" i="15" s="1"/>
  <c r="Q1490" i="19"/>
  <c r="P1494" i="19"/>
  <c r="Q1494" i="19" s="1"/>
  <c r="K123" i="15"/>
  <c r="L123" i="15" s="1"/>
  <c r="H181" i="13"/>
  <c r="I181" i="13" s="1"/>
  <c r="H376" i="13"/>
  <c r="I376" i="13" s="1"/>
  <c r="K260" i="15"/>
  <c r="L260" i="15" s="1"/>
  <c r="M360" i="13"/>
  <c r="AF360" i="13" s="1"/>
  <c r="Q1420" i="19"/>
  <c r="P1424" i="19"/>
  <c r="Q1424" i="19" s="1"/>
  <c r="M176" i="13"/>
  <c r="AF176" i="13" s="1"/>
  <c r="X176" i="13"/>
  <c r="M93" i="13"/>
  <c r="AF93" i="13" s="1"/>
  <c r="X93" i="13"/>
  <c r="P1659" i="19"/>
  <c r="Q1659" i="19" s="1"/>
  <c r="Q1655" i="19"/>
  <c r="M194" i="13"/>
  <c r="AF194" i="13" s="1"/>
  <c r="X194" i="13"/>
  <c r="Q200" i="19"/>
  <c r="P204" i="19"/>
  <c r="Q204" i="19" s="1"/>
  <c r="Q385" i="19"/>
  <c r="P389" i="19"/>
  <c r="Q389" i="19" s="1"/>
  <c r="X245" i="13"/>
  <c r="M245" i="13"/>
  <c r="AF245" i="13" s="1"/>
  <c r="Q1760" i="19"/>
  <c r="P1764" i="19"/>
  <c r="Q1764" i="19" s="1"/>
  <c r="X186" i="13"/>
  <c r="M186" i="13"/>
  <c r="AF186" i="13" s="1"/>
  <c r="K217" i="15"/>
  <c r="L217" i="15" s="1"/>
  <c r="H319" i="13"/>
  <c r="I319" i="13" s="1"/>
  <c r="H339" i="13"/>
  <c r="I339" i="13" s="1"/>
  <c r="K229" i="15"/>
  <c r="L229" i="15" s="1"/>
  <c r="P869" i="19"/>
  <c r="Q869" i="19" s="1"/>
  <c r="Q865" i="19"/>
  <c r="H48" i="13"/>
  <c r="I48" i="13" s="1"/>
  <c r="K33" i="15"/>
  <c r="L33" i="15" s="1"/>
  <c r="P429" i="19"/>
  <c r="Q429" i="19" s="1"/>
  <c r="Q425" i="19"/>
  <c r="K168" i="15"/>
  <c r="L168" i="15" s="1"/>
  <c r="H248" i="13"/>
  <c r="I248" i="13" s="1"/>
  <c r="Q745" i="19"/>
  <c r="P749" i="19"/>
  <c r="Q749" i="19" s="1"/>
  <c r="K253" i="15"/>
  <c r="L253" i="15" s="1"/>
  <c r="H369" i="13"/>
  <c r="I369" i="13" s="1"/>
  <c r="Q1555" i="19"/>
  <c r="P1559" i="19"/>
  <c r="Q1559" i="19" s="1"/>
  <c r="H413" i="13"/>
  <c r="I413" i="13" s="1"/>
  <c r="K297" i="15"/>
  <c r="L297" i="15" s="1"/>
  <c r="AH303" i="13"/>
  <c r="AJ303" i="13" s="1"/>
  <c r="AH125" i="13"/>
  <c r="AJ125" i="13" s="1"/>
  <c r="K233" i="15"/>
  <c r="L233" i="15" s="1"/>
  <c r="H345" i="13"/>
  <c r="I345" i="13" s="1"/>
  <c r="P1234" i="19"/>
  <c r="Q1234" i="19" s="1"/>
  <c r="Q1230" i="19"/>
  <c r="Q440" i="19"/>
  <c r="P444" i="19"/>
  <c r="Q444" i="19" s="1"/>
  <c r="M358" i="13"/>
  <c r="AF358" i="13" s="1"/>
  <c r="X358" i="13"/>
  <c r="K232" i="15"/>
  <c r="L232" i="15" s="1"/>
  <c r="H344" i="13"/>
  <c r="I344" i="13" s="1"/>
  <c r="Q540" i="19"/>
  <c r="P544" i="19"/>
  <c r="Q544" i="19" s="1"/>
  <c r="X239" i="13"/>
  <c r="M239" i="13"/>
  <c r="AF239" i="13" s="1"/>
  <c r="P1644" i="19"/>
  <c r="Q1644" i="19" s="1"/>
  <c r="Q1640" i="19"/>
  <c r="P1334" i="19"/>
  <c r="Q1334" i="19" s="1"/>
  <c r="Q1330" i="19"/>
  <c r="X144" i="13"/>
  <c r="M144" i="13"/>
  <c r="AF144" i="13" s="1"/>
  <c r="M210" i="13"/>
  <c r="AF210" i="13" s="1"/>
  <c r="X210" i="13"/>
  <c r="X205" i="13"/>
  <c r="M205" i="13"/>
  <c r="AF205" i="13" s="1"/>
  <c r="X63" i="13"/>
  <c r="M63" i="13"/>
  <c r="AF63" i="13" s="1"/>
  <c r="X278" i="13"/>
  <c r="M278" i="13"/>
  <c r="AF278" i="13" s="1"/>
  <c r="X191" i="13"/>
  <c r="M191" i="13"/>
  <c r="AF191" i="13" s="1"/>
  <c r="P779" i="19"/>
  <c r="Q779" i="19" s="1"/>
  <c r="Q775" i="19"/>
  <c r="X72" i="13"/>
  <c r="M72" i="13"/>
  <c r="AF72" i="13" s="1"/>
  <c r="Q1685" i="19"/>
  <c r="P1689" i="19"/>
  <c r="Q1689" i="19" s="1"/>
  <c r="P1399" i="19"/>
  <c r="Q1399" i="19" s="1"/>
  <c r="Q1395" i="19"/>
  <c r="H96" i="13"/>
  <c r="I96" i="13" s="1"/>
  <c r="K64" i="15"/>
  <c r="L64" i="15" s="1"/>
  <c r="Q330" i="19"/>
  <c r="P334" i="19"/>
  <c r="Q334" i="19" s="1"/>
  <c r="Q50" i="19"/>
  <c r="P54" i="19"/>
  <c r="Q54" i="19" s="1"/>
  <c r="H240" i="13"/>
  <c r="I240" i="13" s="1"/>
  <c r="K164" i="15"/>
  <c r="L164" i="15" s="1"/>
  <c r="H116" i="13"/>
  <c r="I116" i="13" s="1"/>
  <c r="K79" i="15"/>
  <c r="L79" i="15" s="1"/>
  <c r="X280" i="13"/>
  <c r="M280" i="13"/>
  <c r="AF280" i="13" s="1"/>
  <c r="X40" i="13"/>
  <c r="M40" i="13"/>
  <c r="AF40" i="13" s="1"/>
  <c r="Q655" i="19"/>
  <c r="P659" i="19"/>
  <c r="Q659" i="19" s="1"/>
  <c r="X330" i="13"/>
  <c r="M330" i="13"/>
  <c r="AF330" i="13" s="1"/>
  <c r="K185" i="15"/>
  <c r="L185" i="15" s="1"/>
  <c r="H274" i="13"/>
  <c r="I274" i="13" s="1"/>
  <c r="X255" i="13"/>
  <c r="M255" i="13"/>
  <c r="AF255" i="13" s="1"/>
  <c r="M47" i="13"/>
  <c r="AF47" i="13" s="1"/>
  <c r="X47" i="13"/>
  <c r="AH220" i="13"/>
  <c r="Q120" i="19"/>
  <c r="P124" i="19"/>
  <c r="Q124" i="19" s="1"/>
  <c r="X115" i="13"/>
  <c r="M115" i="13"/>
  <c r="AF115" i="13" s="1"/>
  <c r="X112" i="13"/>
  <c r="M112" i="13"/>
  <c r="AF112" i="13" s="1"/>
  <c r="H147" i="13"/>
  <c r="I147" i="13" s="1"/>
  <c r="K95" i="15"/>
  <c r="L95" i="15" s="1"/>
  <c r="P1549" i="19"/>
  <c r="Q1549" i="19" s="1"/>
  <c r="Q1545" i="19"/>
  <c r="Q1715" i="19"/>
  <c r="P1719" i="19"/>
  <c r="Q1719" i="19" s="1"/>
  <c r="H18" i="13"/>
  <c r="I18" i="13" s="1"/>
  <c r="K15" i="15"/>
  <c r="L15" i="15" s="1"/>
  <c r="K255" i="15"/>
  <c r="L255" i="15" s="1"/>
  <c r="H371" i="13"/>
  <c r="I371" i="13" s="1"/>
  <c r="X170" i="13"/>
  <c r="M170" i="13"/>
  <c r="AF170" i="13" s="1"/>
  <c r="H180" i="13"/>
  <c r="I180" i="13" s="1"/>
  <c r="K122" i="15"/>
  <c r="L122" i="15" s="1"/>
  <c r="Q1255" i="19"/>
  <c r="P1259" i="19"/>
  <c r="Q1259" i="19" s="1"/>
  <c r="X136" i="13"/>
  <c r="M136" i="13"/>
  <c r="AF136" i="13" s="1"/>
  <c r="K228" i="15"/>
  <c r="L228" i="15" s="1"/>
  <c r="H336" i="13"/>
  <c r="I336" i="13" s="1"/>
  <c r="M326" i="13"/>
  <c r="AF326" i="13" s="1"/>
  <c r="X326" i="13"/>
  <c r="M26" i="13"/>
  <c r="AF26" i="13" s="1"/>
  <c r="X26" i="13"/>
  <c r="H304" i="13"/>
  <c r="I304" i="13" s="1"/>
  <c r="K206" i="15"/>
  <c r="L206" i="15" s="1"/>
  <c r="K307" i="15"/>
  <c r="L307" i="15" s="1"/>
  <c r="H423" i="13"/>
  <c r="I423" i="13" s="1"/>
  <c r="AH42" i="13"/>
  <c r="AJ42" i="13" s="1"/>
  <c r="H32" i="13"/>
  <c r="I32" i="13" s="1"/>
  <c r="K22" i="15"/>
  <c r="L22" i="15" s="1"/>
  <c r="K107" i="15"/>
  <c r="L107" i="15" s="1"/>
  <c r="H163" i="13"/>
  <c r="I163" i="13" s="1"/>
  <c r="X45" i="13"/>
  <c r="M45" i="13"/>
  <c r="AF45" i="13" s="1"/>
  <c r="H287" i="13"/>
  <c r="I287" i="13" s="1"/>
  <c r="K195" i="15"/>
  <c r="L195" i="15" s="1"/>
  <c r="P699" i="19"/>
  <c r="Q699" i="19" s="1"/>
  <c r="Q695" i="19"/>
  <c r="K248" i="15"/>
  <c r="L248" i="15" s="1"/>
  <c r="H364" i="13"/>
  <c r="I364" i="13" s="1"/>
  <c r="K50" i="15"/>
  <c r="L50" i="15" s="1"/>
  <c r="H74" i="13"/>
  <c r="I74" i="13" s="1"/>
  <c r="K215" i="15"/>
  <c r="L215" i="15" s="1"/>
  <c r="H317" i="13"/>
  <c r="I317" i="13" s="1"/>
  <c r="K237" i="15"/>
  <c r="L237" i="15" s="1"/>
  <c r="H351" i="13"/>
  <c r="I351" i="13" s="1"/>
  <c r="P104" i="19"/>
  <c r="Q104" i="19" s="1"/>
  <c r="Q100" i="19"/>
  <c r="Q1160" i="19"/>
  <c r="P1164" i="19"/>
  <c r="Q1164" i="19" s="1"/>
  <c r="P1684" i="19"/>
  <c r="Q1684" i="19" s="1"/>
  <c r="Q1680" i="19"/>
  <c r="X98" i="13"/>
  <c r="M98" i="13"/>
  <c r="AF98" i="13" s="1"/>
  <c r="P864" i="19"/>
  <c r="Q864" i="19" s="1"/>
  <c r="Q860" i="19"/>
  <c r="H259" i="13"/>
  <c r="I259" i="13" s="1"/>
  <c r="K176" i="15"/>
  <c r="L176" i="15" s="1"/>
  <c r="X200" i="13"/>
  <c r="M200" i="13"/>
  <c r="AF200" i="13" s="1"/>
  <c r="P1484" i="19"/>
  <c r="Q1484" i="19" s="1"/>
  <c r="Q1480" i="19"/>
  <c r="AH128" i="13"/>
  <c r="AJ128" i="13" s="1"/>
  <c r="AH12" i="13"/>
  <c r="AW171" i="13"/>
  <c r="AK171" i="13"/>
  <c r="AL171" i="13"/>
  <c r="AM171" i="13" s="1"/>
  <c r="AH173" i="13"/>
  <c r="AH133" i="13"/>
  <c r="AJ133" i="13" s="1"/>
  <c r="AK271" i="13"/>
  <c r="AL271" i="13"/>
  <c r="AM271" i="13" s="1"/>
  <c r="AH247" i="13"/>
  <c r="K288" i="15"/>
  <c r="L288" i="15" s="1"/>
  <c r="H404" i="13"/>
  <c r="I404" i="13" s="1"/>
  <c r="X24" i="13"/>
  <c r="M24" i="13"/>
  <c r="AF24" i="13" s="1"/>
  <c r="K94" i="15"/>
  <c r="L94" i="15" s="1"/>
  <c r="H146" i="13"/>
  <c r="I146" i="13" s="1"/>
  <c r="X73" i="13"/>
  <c r="M73" i="13"/>
  <c r="AF73" i="13" s="1"/>
  <c r="X19" i="13"/>
  <c r="M19" i="13"/>
  <c r="AF19" i="13" s="1"/>
  <c r="P224" i="19"/>
  <c r="Q224" i="19" s="1"/>
  <c r="Q220" i="19"/>
  <c r="P74" i="19"/>
  <c r="Q74" i="19" s="1"/>
  <c r="Q70" i="19"/>
  <c r="H402" i="13"/>
  <c r="I402" i="13" s="1"/>
  <c r="K286" i="15"/>
  <c r="L286" i="15" s="1"/>
  <c r="X61" i="13"/>
  <c r="M61" i="13"/>
  <c r="AF61" i="13" s="1"/>
  <c r="K162" i="15"/>
  <c r="L162" i="15" s="1"/>
  <c r="H238" i="13"/>
  <c r="I238" i="13" s="1"/>
  <c r="X212" i="13"/>
  <c r="M212" i="13"/>
  <c r="AF212" i="13" s="1"/>
  <c r="X143" i="13"/>
  <c r="M143" i="13"/>
  <c r="AF143" i="13" s="1"/>
  <c r="X363" i="13"/>
  <c r="M363" i="13"/>
  <c r="AF363" i="13" s="1"/>
  <c r="X145" i="13"/>
  <c r="M145" i="13"/>
  <c r="AF145" i="13" s="1"/>
  <c r="H22" i="13"/>
  <c r="I22" i="13" s="1"/>
  <c r="X444" i="13"/>
  <c r="M444" i="13"/>
  <c r="AF444" i="13" s="1"/>
  <c r="K91" i="15"/>
  <c r="L91" i="15" s="1"/>
  <c r="H142" i="13"/>
  <c r="I142" i="13" s="1"/>
  <c r="X410" i="13"/>
  <c r="M410" i="13"/>
  <c r="AF410" i="13" s="1"/>
  <c r="X164" i="13"/>
  <c r="M164" i="13"/>
  <c r="AF164" i="13" s="1"/>
  <c r="Q210" i="19"/>
  <c r="P214" i="19"/>
  <c r="Q214" i="19" s="1"/>
  <c r="K273" i="15"/>
  <c r="L273" i="15" s="1"/>
  <c r="H389" i="13"/>
  <c r="I389" i="13" s="1"/>
  <c r="H263" i="13"/>
  <c r="I263" i="13" s="1"/>
  <c r="X209" i="13"/>
  <c r="M209" i="13"/>
  <c r="AF209" i="13" s="1"/>
  <c r="AK158" i="13"/>
  <c r="AL158" i="13"/>
  <c r="AM158" i="13" s="1"/>
  <c r="Q1320" i="19"/>
  <c r="P1324" i="19"/>
  <c r="Q1324" i="19" s="1"/>
  <c r="H313" i="13"/>
  <c r="I313" i="13" s="1"/>
  <c r="K211" i="15"/>
  <c r="L211" i="15" s="1"/>
  <c r="P1109" i="19"/>
  <c r="Q1109" i="19" s="1"/>
  <c r="Q1105" i="19"/>
  <c r="P1229" i="19"/>
  <c r="Q1229" i="19" s="1"/>
  <c r="Q1225" i="19"/>
  <c r="K298" i="15"/>
  <c r="L298" i="15" s="1"/>
  <c r="H414" i="13"/>
  <c r="I414" i="13" s="1"/>
  <c r="X162" i="13"/>
  <c r="M162" i="13"/>
  <c r="AF162" i="13" s="1"/>
  <c r="K134" i="15"/>
  <c r="L134" i="15" s="1"/>
  <c r="H195" i="13"/>
  <c r="I195" i="13" s="1"/>
  <c r="X333" i="13"/>
  <c r="M333" i="13"/>
  <c r="AF333" i="13" s="1"/>
  <c r="H439" i="13"/>
  <c r="I439" i="13" s="1"/>
  <c r="K323" i="15"/>
  <c r="L323" i="15" s="1"/>
  <c r="X431" i="13"/>
  <c r="M431" i="13"/>
  <c r="AF431" i="13" s="1"/>
  <c r="H201" i="13"/>
  <c r="I201" i="13" s="1"/>
  <c r="K180" i="15"/>
  <c r="L180" i="15" s="1"/>
  <c r="H267" i="13"/>
  <c r="I267" i="13" s="1"/>
  <c r="K267" i="15"/>
  <c r="L267" i="15" s="1"/>
  <c r="H383" i="13"/>
  <c r="I383" i="13" s="1"/>
  <c r="P1209" i="19"/>
  <c r="Q1209" i="19" s="1"/>
  <c r="Q1205" i="19"/>
  <c r="H203" i="13"/>
  <c r="I203" i="13" s="1"/>
  <c r="X234" i="13"/>
  <c r="M234" i="13"/>
  <c r="AF234" i="13" s="1"/>
  <c r="Q420" i="19"/>
  <c r="P424" i="19"/>
  <c r="Q424" i="19" s="1"/>
  <c r="Q515" i="19"/>
  <c r="P519" i="19"/>
  <c r="Q519" i="19" s="1"/>
  <c r="P954" i="19"/>
  <c r="Q954" i="19" s="1"/>
  <c r="Q950" i="19"/>
  <c r="K194" i="15"/>
  <c r="L194" i="15" s="1"/>
  <c r="H286" i="13"/>
  <c r="I286" i="13" s="1"/>
  <c r="X82" i="13"/>
  <c r="M82" i="13"/>
  <c r="AF82" i="13" s="1"/>
  <c r="K61" i="15"/>
  <c r="L61" i="15" s="1"/>
  <c r="H92" i="13"/>
  <c r="I92" i="13" s="1"/>
  <c r="H375" i="13"/>
  <c r="I375" i="13" s="1"/>
  <c r="K259" i="15"/>
  <c r="L259" i="15" s="1"/>
  <c r="X217" i="13"/>
  <c r="M217" i="13"/>
  <c r="AF217" i="13" s="1"/>
  <c r="X46" i="13"/>
  <c r="M46" i="13"/>
  <c r="AF46" i="13" s="1"/>
  <c r="X242" i="13"/>
  <c r="M242" i="13"/>
  <c r="AF242" i="13" s="1"/>
  <c r="Q480" i="19"/>
  <c r="P484" i="19"/>
  <c r="Q484" i="19" s="1"/>
  <c r="X250" i="13"/>
  <c r="M250" i="13"/>
  <c r="AF250" i="13" s="1"/>
  <c r="H199" i="13"/>
  <c r="I199" i="13" s="1"/>
  <c r="K295" i="15"/>
  <c r="L295" i="15" s="1"/>
  <c r="H411" i="13"/>
  <c r="I411" i="13" s="1"/>
  <c r="H21" i="13"/>
  <c r="I21" i="13" s="1"/>
  <c r="K150" i="15"/>
  <c r="L150" i="15" s="1"/>
  <c r="H222" i="13"/>
  <c r="I222" i="13" s="1"/>
  <c r="Q1530" i="19"/>
  <c r="P1534" i="19"/>
  <c r="Q1534" i="19" s="1"/>
  <c r="Q910" i="19"/>
  <c r="P914" i="19"/>
  <c r="Q914" i="19" s="1"/>
  <c r="X221" i="13"/>
  <c r="M221" i="13"/>
  <c r="AF221" i="13" s="1"/>
  <c r="H33" i="13"/>
  <c r="I33" i="13" s="1"/>
  <c r="K23" i="15"/>
  <c r="L23" i="15" s="1"/>
  <c r="P1444" i="19"/>
  <c r="Q1444" i="19" s="1"/>
  <c r="Q1440" i="19"/>
  <c r="X373" i="13"/>
  <c r="M373" i="13"/>
  <c r="AF373" i="13" s="1"/>
  <c r="P419" i="19"/>
  <c r="Q419" i="19" s="1"/>
  <c r="Q415" i="19"/>
  <c r="X120" i="13"/>
  <c r="M120" i="13"/>
  <c r="AF120" i="13" s="1"/>
  <c r="K178" i="15"/>
  <c r="L178" i="15" s="1"/>
  <c r="H261" i="13"/>
  <c r="I261" i="13" s="1"/>
  <c r="P304" i="19"/>
  <c r="Q304" i="19" s="1"/>
  <c r="Q300" i="19"/>
  <c r="Q245" i="19"/>
  <c r="P249" i="19"/>
  <c r="Q249" i="19" s="1"/>
  <c r="X390" i="13"/>
  <c r="M390" i="13"/>
  <c r="AF390" i="13" s="1"/>
  <c r="K301" i="15"/>
  <c r="L301" i="15" s="1"/>
  <c r="H417" i="13"/>
  <c r="I417" i="13" s="1"/>
  <c r="Q1570" i="19"/>
  <c r="P1574" i="19"/>
  <c r="Q1574" i="19" s="1"/>
  <c r="X11" i="13"/>
  <c r="M11" i="13"/>
  <c r="AF11" i="13" s="1"/>
  <c r="H111" i="13"/>
  <c r="I111" i="13" s="1"/>
  <c r="X178" i="13"/>
  <c r="M178" i="13"/>
  <c r="AF178" i="13" s="1"/>
  <c r="K136" i="15"/>
  <c r="L136" i="15" s="1"/>
  <c r="H198" i="13"/>
  <c r="I198" i="13" s="1"/>
  <c r="K70" i="15"/>
  <c r="L70" i="15" s="1"/>
  <c r="H104" i="13"/>
  <c r="I104" i="13" s="1"/>
  <c r="X415" i="13"/>
  <c r="M415" i="13"/>
  <c r="AF415" i="13" s="1"/>
  <c r="P694" i="19"/>
  <c r="Q694" i="19" s="1"/>
  <c r="Q690" i="19"/>
  <c r="X320" i="13"/>
  <c r="M320" i="13"/>
  <c r="AF320" i="13" s="1"/>
  <c r="X175" i="13"/>
  <c r="M175" i="13"/>
  <c r="AF175" i="13" s="1"/>
  <c r="X297" i="13"/>
  <c r="M297" i="13"/>
  <c r="AF297" i="13" s="1"/>
  <c r="X169" i="13"/>
  <c r="M169" i="13"/>
  <c r="AF169" i="13" s="1"/>
  <c r="K124" i="15"/>
  <c r="L124" i="15" s="1"/>
  <c r="H182" i="13"/>
  <c r="I182" i="13" s="1"/>
  <c r="K36" i="15"/>
  <c r="L36" i="15" s="1"/>
  <c r="H52" i="13"/>
  <c r="I52" i="13" s="1"/>
  <c r="Q1390" i="19"/>
  <c r="P1394" i="19"/>
  <c r="Q1394" i="19" s="1"/>
  <c r="X83" i="13"/>
  <c r="M83" i="13"/>
  <c r="AF83" i="13" s="1"/>
  <c r="Q670" i="19"/>
  <c r="P674" i="19"/>
  <c r="Q674" i="19" s="1"/>
  <c r="X252" i="13"/>
  <c r="M252" i="13"/>
  <c r="AF252" i="13" s="1"/>
  <c r="X127" i="13"/>
  <c r="M127" i="13"/>
  <c r="AF127" i="13" s="1"/>
  <c r="X437" i="13"/>
  <c r="M437" i="13"/>
  <c r="AF437" i="13" s="1"/>
  <c r="Q565" i="19"/>
  <c r="P569" i="19"/>
  <c r="Q569" i="19" s="1"/>
  <c r="X388" i="13"/>
  <c r="M388" i="13"/>
  <c r="AF388" i="13" s="1"/>
  <c r="P69" i="19"/>
  <c r="Q69" i="19" s="1"/>
  <c r="Q65" i="19"/>
  <c r="Q1070" i="19"/>
  <c r="P1074" i="19"/>
  <c r="Q1074" i="19" s="1"/>
  <c r="X105" i="13"/>
  <c r="M105" i="13"/>
  <c r="AF105" i="13" s="1"/>
  <c r="X79" i="13"/>
  <c r="M79" i="13"/>
  <c r="AF79" i="13" s="1"/>
  <c r="X256" i="13"/>
  <c r="M256" i="13"/>
  <c r="AF256" i="13" s="1"/>
  <c r="P1674" i="19"/>
  <c r="Q1674" i="19" s="1"/>
  <c r="Q1670" i="19"/>
  <c r="X218" i="13"/>
  <c r="M218" i="13"/>
  <c r="AF218" i="13" s="1"/>
  <c r="Q1265" i="19"/>
  <c r="P1269" i="19"/>
  <c r="Q1269" i="19" s="1"/>
  <c r="H68" i="13"/>
  <c r="I68" i="13" s="1"/>
  <c r="X43" i="13"/>
  <c r="M43" i="13"/>
  <c r="AF43" i="13" s="1"/>
  <c r="H412" i="13"/>
  <c r="I412" i="13" s="1"/>
  <c r="K296" i="15"/>
  <c r="L296" i="15" s="1"/>
  <c r="Q110" i="19"/>
  <c r="P114" i="19"/>
  <c r="Q114" i="19" s="1"/>
  <c r="P654" i="19"/>
  <c r="Q654" i="19" s="1"/>
  <c r="Q650" i="19"/>
  <c r="H124" i="13"/>
  <c r="I124" i="13" s="1"/>
  <c r="X113" i="13"/>
  <c r="M113" i="13"/>
  <c r="AF113" i="13" s="1"/>
  <c r="P729" i="19"/>
  <c r="Q729" i="19" s="1"/>
  <c r="Q725" i="19"/>
  <c r="X308" i="13"/>
  <c r="M308" i="13"/>
  <c r="AF308" i="13" s="1"/>
  <c r="P974" i="19"/>
  <c r="Q974" i="19" s="1"/>
  <c r="Q970" i="19"/>
  <c r="X366" i="13"/>
  <c r="M366" i="13"/>
  <c r="AF366" i="13" s="1"/>
  <c r="Q1410" i="19"/>
  <c r="P1414" i="19"/>
  <c r="Q1414" i="19" s="1"/>
  <c r="X78" i="13"/>
  <c r="M78" i="13"/>
  <c r="AF78" i="13" s="1"/>
  <c r="P1299" i="19"/>
  <c r="Q1299" i="19" s="1"/>
  <c r="Q1295" i="19"/>
  <c r="H84" i="13"/>
  <c r="I84" i="13" s="1"/>
  <c r="H276" i="13"/>
  <c r="I276" i="13" s="1"/>
  <c r="X67" i="13"/>
  <c r="M67" i="13"/>
  <c r="AF67" i="13" s="1"/>
  <c r="Q955" i="19"/>
  <c r="P959" i="19"/>
  <c r="Q959" i="19" s="1"/>
  <c r="K311" i="15"/>
  <c r="L311" i="15" s="1"/>
  <c r="H427" i="13"/>
  <c r="I427" i="13" s="1"/>
  <c r="K43" i="15"/>
  <c r="L43" i="15" s="1"/>
  <c r="H60" i="13"/>
  <c r="I60" i="13" s="1"/>
  <c r="H121" i="13"/>
  <c r="I121" i="13" s="1"/>
  <c r="X207" i="13"/>
  <c r="M207" i="13"/>
  <c r="AF207" i="13" s="1"/>
  <c r="K291" i="15"/>
  <c r="L291" i="15" s="1"/>
  <c r="H407" i="13"/>
  <c r="I407" i="13" s="1"/>
  <c r="H50" i="13"/>
  <c r="I50" i="13" s="1"/>
  <c r="K35" i="15"/>
  <c r="L35" i="15" s="1"/>
  <c r="X66" i="13"/>
  <c r="M66" i="13"/>
  <c r="AF66" i="13" s="1"/>
  <c r="X418" i="13"/>
  <c r="M418" i="13"/>
  <c r="AF418" i="13" s="1"/>
  <c r="P1154" i="19"/>
  <c r="Q1154" i="19" s="1"/>
  <c r="Q1150" i="19"/>
  <c r="K269" i="15"/>
  <c r="L269" i="15" s="1"/>
  <c r="H385" i="13"/>
  <c r="I385" i="13" s="1"/>
  <c r="H190" i="13"/>
  <c r="I190" i="13" s="1"/>
  <c r="K130" i="15"/>
  <c r="L130" i="15" s="1"/>
  <c r="P1279" i="19"/>
  <c r="Q1279" i="19" s="1"/>
  <c r="Q1275" i="19"/>
  <c r="H342" i="13"/>
  <c r="I342" i="13" s="1"/>
  <c r="X53" i="13"/>
  <c r="M53" i="13"/>
  <c r="AF53" i="13" s="1"/>
  <c r="X282" i="13"/>
  <c r="M282" i="13"/>
  <c r="AF282" i="13" s="1"/>
  <c r="K40" i="15"/>
  <c r="L40" i="15" s="1"/>
  <c r="H57" i="13"/>
  <c r="I57" i="13" s="1"/>
  <c r="H30" i="13"/>
  <c r="I30" i="13" s="1"/>
  <c r="N12" i="19"/>
  <c r="N13" i="19"/>
  <c r="N11" i="19"/>
  <c r="N10" i="19"/>
  <c r="F22" i="12" s="1"/>
  <c r="M1765" i="19"/>
  <c r="X152" i="13"/>
  <c r="M152" i="13"/>
  <c r="AF152" i="13" s="1"/>
  <c r="H253" i="13"/>
  <c r="I253" i="13" s="1"/>
  <c r="K172" i="15"/>
  <c r="L172" i="15" s="1"/>
  <c r="H322" i="13"/>
  <c r="I322" i="13" s="1"/>
  <c r="Q580" i="19"/>
  <c r="P584" i="19"/>
  <c r="Q584" i="19" s="1"/>
  <c r="X193" i="13"/>
  <c r="M193" i="13"/>
  <c r="AF193" i="13" s="1"/>
  <c r="H368" i="13"/>
  <c r="I368" i="13" s="1"/>
  <c r="K252" i="15"/>
  <c r="L252" i="15" s="1"/>
  <c r="Q935" i="19"/>
  <c r="P939" i="19"/>
  <c r="Q939" i="19" s="1"/>
  <c r="K160" i="15"/>
  <c r="L160" i="15" s="1"/>
  <c r="H235" i="13"/>
  <c r="I235" i="13" s="1"/>
  <c r="H15" i="13"/>
  <c r="I15" i="13" s="1"/>
  <c r="K82" i="15"/>
  <c r="L82" i="15" s="1"/>
  <c r="H123" i="13"/>
  <c r="I123" i="13" s="1"/>
  <c r="Q1145" i="19"/>
  <c r="P1149" i="19"/>
  <c r="Q1149" i="19" s="1"/>
  <c r="P979" i="19"/>
  <c r="Q979" i="19" s="1"/>
  <c r="Q975" i="19"/>
  <c r="AL117" i="13"/>
  <c r="AM117" i="13" s="1"/>
  <c r="K265" i="15"/>
  <c r="L265" i="15" s="1"/>
  <c r="H381" i="13"/>
  <c r="I381" i="13" s="1"/>
  <c r="Q870" i="19"/>
  <c r="P874" i="19"/>
  <c r="Q874" i="19" s="1"/>
  <c r="H384" i="13"/>
  <c r="I384" i="13" s="1"/>
  <c r="K268" i="15"/>
  <c r="L268" i="15" s="1"/>
  <c r="P1344" i="19"/>
  <c r="Q1344" i="19" s="1"/>
  <c r="Q1340" i="19"/>
  <c r="X285" i="13"/>
  <c r="M285" i="13"/>
  <c r="AF285" i="13" s="1"/>
  <c r="X422" i="13"/>
  <c r="M422" i="13"/>
  <c r="AF422" i="13" s="1"/>
  <c r="X258" i="13"/>
  <c r="M258" i="13"/>
  <c r="AF258" i="13" s="1"/>
  <c r="Q260" i="19"/>
  <c r="P264" i="19"/>
  <c r="Q264" i="19" s="1"/>
  <c r="X70" i="13"/>
  <c r="M70" i="13"/>
  <c r="AF70" i="13" s="1"/>
  <c r="K312" i="15"/>
  <c r="L312" i="15" s="1"/>
  <c r="H428" i="13"/>
  <c r="I428" i="13" s="1"/>
  <c r="K287" i="15"/>
  <c r="L287" i="15" s="1"/>
  <c r="H403" i="13"/>
  <c r="I403" i="13" s="1"/>
  <c r="K212" i="15"/>
  <c r="L212" i="15" s="1"/>
  <c r="H314" i="13"/>
  <c r="I314" i="13" s="1"/>
  <c r="H272" i="13"/>
  <c r="I272" i="13" s="1"/>
  <c r="K183" i="15"/>
  <c r="L183" i="15" s="1"/>
  <c r="Q125" i="19"/>
  <c r="P129" i="19"/>
  <c r="Q129" i="19" s="1"/>
  <c r="H296" i="13"/>
  <c r="I296" i="13" s="1"/>
  <c r="K199" i="15"/>
  <c r="L199" i="15" s="1"/>
  <c r="K60" i="15"/>
  <c r="L60" i="15" s="1"/>
  <c r="H91" i="13"/>
  <c r="I91" i="13" s="1"/>
  <c r="X38" i="13"/>
  <c r="M38" i="13"/>
  <c r="AF38" i="13" s="1"/>
  <c r="X275" i="13"/>
  <c r="M275" i="13"/>
  <c r="AF275" i="13" s="1"/>
  <c r="K258" i="15"/>
  <c r="L258" i="15" s="1"/>
  <c r="H374" i="13"/>
  <c r="I374" i="13" s="1"/>
  <c r="X23" i="13"/>
  <c r="M23" i="13"/>
  <c r="AF23" i="13" s="1"/>
  <c r="X232" i="13"/>
  <c r="M232" i="13"/>
  <c r="AF232" i="13" s="1"/>
  <c r="Q1525" i="19"/>
  <c r="P1529" i="19"/>
  <c r="Q1529" i="19" s="1"/>
  <c r="AH165" i="13"/>
  <c r="AJ165" i="13" s="1"/>
  <c r="AA364" i="10"/>
  <c r="W16" i="3" s="1"/>
  <c r="AA361" i="10"/>
  <c r="W12" i="3" s="1"/>
  <c r="H138" i="13"/>
  <c r="I138" i="13" s="1"/>
  <c r="X349" i="13"/>
  <c r="M349" i="13"/>
  <c r="AF349" i="13" s="1"/>
  <c r="K156" i="15"/>
  <c r="L156" i="15" s="1"/>
  <c r="H229" i="13"/>
  <c r="I229" i="13" s="1"/>
  <c r="H153" i="13"/>
  <c r="I153" i="13" s="1"/>
  <c r="K99" i="15"/>
  <c r="L99" i="15" s="1"/>
  <c r="H202" i="13"/>
  <c r="I202" i="13" s="1"/>
  <c r="K330" i="15"/>
  <c r="L330" i="15" s="1"/>
  <c r="H446" i="13"/>
  <c r="I446" i="13" s="1"/>
  <c r="Q1135" i="19"/>
  <c r="P1139" i="19"/>
  <c r="Q1139" i="19" s="1"/>
  <c r="K196" i="15"/>
  <c r="L196" i="15" s="1"/>
  <c r="H290" i="13"/>
  <c r="I290" i="13" s="1"/>
  <c r="Q35" i="19"/>
  <c r="P39" i="19"/>
  <c r="Q39" i="19" s="1"/>
  <c r="Q575" i="19"/>
  <c r="P579" i="19"/>
  <c r="Q579" i="19" s="1"/>
  <c r="P969" i="19"/>
  <c r="Q969" i="19" s="1"/>
  <c r="Q965" i="19"/>
  <c r="H237" i="13"/>
  <c r="I237" i="13" s="1"/>
  <c r="P384" i="19"/>
  <c r="Q384" i="19" s="1"/>
  <c r="Q380" i="19"/>
  <c r="X168" i="13"/>
  <c r="M168" i="13"/>
  <c r="AF168" i="13" s="1"/>
  <c r="K169" i="15"/>
  <c r="L169" i="15" s="1"/>
  <c r="H249" i="13"/>
  <c r="I249" i="13" s="1"/>
  <c r="X391" i="13"/>
  <c r="M391" i="13"/>
  <c r="AF391" i="13" s="1"/>
  <c r="X86" i="13"/>
  <c r="M86" i="13"/>
  <c r="AF86" i="13" s="1"/>
  <c r="AQ131" i="13" l="1"/>
  <c r="AP131" i="13"/>
  <c r="AW131" i="13" s="1"/>
  <c r="AR131" i="13"/>
  <c r="AR213" i="13"/>
  <c r="AQ213" i="13"/>
  <c r="AP213" i="13"/>
  <c r="AW213" i="13" s="1"/>
  <c r="AP303" i="13"/>
  <c r="AQ303" i="13"/>
  <c r="AQ118" i="13"/>
  <c r="AP118" i="13"/>
  <c r="AW118" i="13" s="1"/>
  <c r="AP165" i="13"/>
  <c r="AQ165" i="13"/>
  <c r="AP128" i="13"/>
  <c r="AW128" i="13" s="1"/>
  <c r="AQ128" i="13"/>
  <c r="AQ42" i="13"/>
  <c r="AP42" i="13"/>
  <c r="AW42" i="13" s="1"/>
  <c r="AQ125" i="13"/>
  <c r="AP125" i="13"/>
  <c r="AW125" i="13" s="1"/>
  <c r="AQ343" i="13"/>
  <c r="AP343" i="13"/>
  <c r="AW343" i="13" s="1"/>
  <c r="AQ311" i="13"/>
  <c r="AP311" i="13"/>
  <c r="AW311" i="13" s="1"/>
  <c r="AR25" i="13"/>
  <c r="AQ25" i="13"/>
  <c r="AP25" i="13"/>
  <c r="AW25" i="13" s="1"/>
  <c r="AP192" i="13"/>
  <c r="AW192" i="13" s="1"/>
  <c r="AQ192" i="13"/>
  <c r="AQ13" i="13"/>
  <c r="AP13" i="13"/>
  <c r="AW13" i="13" s="1"/>
  <c r="AQ90" i="13"/>
  <c r="AP90" i="13"/>
  <c r="AP216" i="13"/>
  <c r="AW216" i="13" s="1"/>
  <c r="AR216" i="13"/>
  <c r="AQ216" i="13"/>
  <c r="AQ211" i="13"/>
  <c r="AP211" i="13"/>
  <c r="AW211" i="13" s="1"/>
  <c r="AP323" i="13"/>
  <c r="AW323" i="13" s="1"/>
  <c r="AR323" i="13"/>
  <c r="AQ323" i="13"/>
  <c r="AQ223" i="13"/>
  <c r="AP223" i="13"/>
  <c r="AW223" i="13" s="1"/>
  <c r="AR223" i="13"/>
  <c r="AQ69" i="13"/>
  <c r="AP69" i="13"/>
  <c r="AW69" i="13" s="1"/>
  <c r="AP348" i="13"/>
  <c r="AW348" i="13" s="1"/>
  <c r="AQ348" i="13"/>
  <c r="AR166" i="13"/>
  <c r="AQ166" i="13"/>
  <c r="AP166" i="13"/>
  <c r="AW166" i="13" s="1"/>
  <c r="AP224" i="13"/>
  <c r="AW224" i="13" s="1"/>
  <c r="AR224" i="13"/>
  <c r="AQ224" i="13"/>
  <c r="AP204" i="13"/>
  <c r="AW204" i="13" s="1"/>
  <c r="AQ204" i="13"/>
  <c r="AQ129" i="13"/>
  <c r="AP129" i="13"/>
  <c r="AW129" i="13" s="1"/>
  <c r="AP264" i="13"/>
  <c r="AW264" i="13" s="1"/>
  <c r="AQ264" i="13"/>
  <c r="AP291" i="13"/>
  <c r="AQ291" i="13"/>
  <c r="AP133" i="13"/>
  <c r="AW133" i="13" s="1"/>
  <c r="AQ133" i="13"/>
  <c r="N119" i="15"/>
  <c r="Q119" i="15" s="1"/>
  <c r="AR177" i="13"/>
  <c r="AQ177" i="13"/>
  <c r="AP177" i="13"/>
  <c r="AW177" i="13" s="1"/>
  <c r="AR97" i="13"/>
  <c r="AQ97" i="13"/>
  <c r="AP97" i="13"/>
  <c r="AW97" i="13" s="1"/>
  <c r="AQ214" i="13"/>
  <c r="AP214" i="13"/>
  <c r="AP354" i="13"/>
  <c r="AW354" i="13" s="1"/>
  <c r="AQ354" i="13"/>
  <c r="AQ179" i="13"/>
  <c r="AP179" i="13"/>
  <c r="AW179" i="13" s="1"/>
  <c r="AR179" i="13"/>
  <c r="AQ51" i="13"/>
  <c r="AP51" i="13"/>
  <c r="AW51" i="13" s="1"/>
  <c r="AP294" i="13"/>
  <c r="AW294" i="13" s="1"/>
  <c r="AR294" i="13"/>
  <c r="AQ294" i="13"/>
  <c r="AP266" i="13"/>
  <c r="AW266" i="13" s="1"/>
  <c r="AQ266" i="13"/>
  <c r="AR150" i="13"/>
  <c r="AQ150" i="13"/>
  <c r="AP150" i="13"/>
  <c r="AQ268" i="13"/>
  <c r="AP268" i="13"/>
  <c r="AQ262" i="13"/>
  <c r="AP262" i="13"/>
  <c r="AW262" i="13" s="1"/>
  <c r="AR262" i="13"/>
  <c r="AQ347" i="13"/>
  <c r="AP347" i="13"/>
  <c r="AW347" i="13" s="1"/>
  <c r="AQ141" i="13"/>
  <c r="AP141" i="13"/>
  <c r="AW141" i="13" s="1"/>
  <c r="AP56" i="13"/>
  <c r="AW56" i="13" s="1"/>
  <c r="AQ56" i="13"/>
  <c r="AR77" i="13"/>
  <c r="AQ77" i="13"/>
  <c r="AP77" i="13"/>
  <c r="AW77" i="13" s="1"/>
  <c r="AG330" i="13"/>
  <c r="AG284" i="13"/>
  <c r="AH284" i="13" s="1"/>
  <c r="AJ284" i="13" s="1"/>
  <c r="AG194" i="13"/>
  <c r="AG85" i="13"/>
  <c r="AG255" i="13"/>
  <c r="AG26" i="13"/>
  <c r="AG358" i="13"/>
  <c r="AH358" i="13" s="1"/>
  <c r="AG45" i="13"/>
  <c r="AG78" i="13"/>
  <c r="AH78" i="13" s="1"/>
  <c r="AJ78" i="13" s="1"/>
  <c r="AG152" i="13"/>
  <c r="AG61" i="13"/>
  <c r="AG164" i="13"/>
  <c r="AG242" i="13"/>
  <c r="AH242" i="13" s="1"/>
  <c r="AJ242" i="13" s="1"/>
  <c r="AG143" i="13"/>
  <c r="AG76" i="13"/>
  <c r="AH76" i="13" s="1"/>
  <c r="AG34" i="13"/>
  <c r="AG100" i="13"/>
  <c r="AG184" i="13"/>
  <c r="AG360" i="13"/>
  <c r="AG170" i="13"/>
  <c r="AG205" i="13"/>
  <c r="AH205" i="13" s="1"/>
  <c r="AG86" i="13"/>
  <c r="AG23" i="13"/>
  <c r="AG275" i="13"/>
  <c r="AH275" i="13" s="1"/>
  <c r="AG169" i="13"/>
  <c r="AG73" i="13"/>
  <c r="AH73" i="13" s="1"/>
  <c r="AG55" i="13"/>
  <c r="AH55" i="13" s="1"/>
  <c r="AG301" i="13"/>
  <c r="AH301" i="13" s="1"/>
  <c r="AJ301" i="13" s="1"/>
  <c r="AG302" i="13"/>
  <c r="AH302" i="13" s="1"/>
  <c r="AG132" i="13"/>
  <c r="AH132" i="13" s="1"/>
  <c r="AJ132" i="13" s="1"/>
  <c r="AG245" i="13"/>
  <c r="AG47" i="13"/>
  <c r="AG72" i="13"/>
  <c r="AH72" i="13" s="1"/>
  <c r="AJ72" i="13" s="1"/>
  <c r="AG43" i="13"/>
  <c r="AH43" i="13" s="1"/>
  <c r="AJ43" i="13" s="1"/>
  <c r="AG282" i="13"/>
  <c r="AH282" i="13" s="1"/>
  <c r="AG79" i="13"/>
  <c r="AH79" i="13" s="1"/>
  <c r="AJ79" i="13" s="1"/>
  <c r="AG252" i="13"/>
  <c r="AH252" i="13" s="1"/>
  <c r="AG297" i="13"/>
  <c r="AG175" i="13"/>
  <c r="AH175" i="13" s="1"/>
  <c r="AJ175" i="13" s="1"/>
  <c r="AG98" i="13"/>
  <c r="AH98" i="13" s="1"/>
  <c r="AG329" i="13"/>
  <c r="AH329" i="13" s="1"/>
  <c r="AJ329" i="13" s="1"/>
  <c r="AG89" i="13"/>
  <c r="AG93" i="13"/>
  <c r="AG176" i="13"/>
  <c r="AG234" i="13"/>
  <c r="AH234" i="13" s="1"/>
  <c r="AJ234" i="13" s="1"/>
  <c r="AG232" i="13"/>
  <c r="AH232" i="13" s="1"/>
  <c r="AJ232" i="13" s="1"/>
  <c r="AG38" i="13"/>
  <c r="AH38" i="13" s="1"/>
  <c r="AJ38" i="13" s="1"/>
  <c r="AG105" i="13"/>
  <c r="AG212" i="13"/>
  <c r="AG67" i="13"/>
  <c r="AH67" i="13" s="1"/>
  <c r="AJ67" i="13" s="1"/>
  <c r="AG285" i="13"/>
  <c r="AG308" i="13"/>
  <c r="AG207" i="13"/>
  <c r="AH207" i="13" s="1"/>
  <c r="AG155" i="13"/>
  <c r="AH155" i="13" s="1"/>
  <c r="AJ155" i="13" s="1"/>
  <c r="AG306" i="13"/>
  <c r="AG326" i="13"/>
  <c r="AG191" i="13"/>
  <c r="AH191" i="13" s="1"/>
  <c r="AG221" i="13"/>
  <c r="AH221" i="13" s="1"/>
  <c r="AJ221" i="13" s="1"/>
  <c r="AG258" i="13"/>
  <c r="AG11" i="13"/>
  <c r="AG40" i="13"/>
  <c r="AG112" i="13"/>
  <c r="AG193" i="13"/>
  <c r="AH193" i="13" s="1"/>
  <c r="AG217" i="13"/>
  <c r="AH217" i="13" s="1"/>
  <c r="AJ217" i="13" s="1"/>
  <c r="AG178" i="13"/>
  <c r="AG44" i="13"/>
  <c r="AH44" i="13" s="1"/>
  <c r="AG340" i="13"/>
  <c r="AH340" i="13" s="1"/>
  <c r="AG288" i="13"/>
  <c r="AG200" i="13"/>
  <c r="AH200" i="13" s="1"/>
  <c r="AG210" i="13"/>
  <c r="AH210" i="13" s="1"/>
  <c r="AG120" i="13"/>
  <c r="AH120" i="13" s="1"/>
  <c r="AG82" i="13"/>
  <c r="AG250" i="13"/>
  <c r="AG341" i="13"/>
  <c r="AG136" i="13"/>
  <c r="AG333" i="13"/>
  <c r="AH333" i="13" s="1"/>
  <c r="AJ333" i="13" s="1"/>
  <c r="AG218" i="13"/>
  <c r="AH218" i="13" s="1"/>
  <c r="AG83" i="13"/>
  <c r="AG46" i="13"/>
  <c r="AH46" i="13" s="1"/>
  <c r="AJ46" i="13" s="1"/>
  <c r="AG127" i="13"/>
  <c r="AH127" i="13" s="1"/>
  <c r="AG53" i="13"/>
  <c r="AG144" i="13"/>
  <c r="AH144" i="13" s="1"/>
  <c r="AG280" i="13"/>
  <c r="AH280" i="13" s="1"/>
  <c r="AJ280" i="13" s="1"/>
  <c r="AG63" i="13"/>
  <c r="AG66" i="13"/>
  <c r="AH66" i="13" s="1"/>
  <c r="AG19" i="13"/>
  <c r="AH19" i="13" s="1"/>
  <c r="AG305" i="13"/>
  <c r="AH305" i="13" s="1"/>
  <c r="AG115" i="13"/>
  <c r="AH115" i="13" s="1"/>
  <c r="AJ115" i="13" s="1"/>
  <c r="AG139" i="13"/>
  <c r="AG278" i="13"/>
  <c r="AG349" i="13"/>
  <c r="AH349" i="13" s="1"/>
  <c r="AG70" i="13"/>
  <c r="AH70" i="13" s="1"/>
  <c r="AG35" i="13"/>
  <c r="AH35" i="13" s="1"/>
  <c r="AG168" i="13"/>
  <c r="AH168" i="13" s="1"/>
  <c r="AJ168" i="13" s="1"/>
  <c r="AG186" i="13"/>
  <c r="AG239" i="13"/>
  <c r="AG162" i="13"/>
  <c r="AH162" i="13" s="1"/>
  <c r="AG209" i="13"/>
  <c r="AG145" i="13"/>
  <c r="AH145" i="13" s="1"/>
  <c r="AJ145" i="13" s="1"/>
  <c r="AG36" i="13"/>
  <c r="AH36" i="13" s="1"/>
  <c r="AJ36" i="13" s="1"/>
  <c r="AG265" i="13"/>
  <c r="AG28" i="13"/>
  <c r="AG113" i="13"/>
  <c r="AH113" i="13" s="1"/>
  <c r="AJ113" i="13" s="1"/>
  <c r="AG256" i="13"/>
  <c r="AH256" i="13" s="1"/>
  <c r="AJ256" i="13" s="1"/>
  <c r="AG320" i="13"/>
  <c r="AH320" i="13" s="1"/>
  <c r="AJ320" i="13" s="1"/>
  <c r="AG24" i="13"/>
  <c r="AH24" i="13" s="1"/>
  <c r="AJ24" i="13" s="1"/>
  <c r="AG366" i="13"/>
  <c r="AG390" i="13"/>
  <c r="AG373" i="13"/>
  <c r="AG363" i="13"/>
  <c r="AG391" i="13"/>
  <c r="AG422" i="13"/>
  <c r="AG388" i="13"/>
  <c r="AG437" i="13"/>
  <c r="AG410" i="13"/>
  <c r="AG444" i="13"/>
  <c r="AG377" i="13"/>
  <c r="AG399" i="13"/>
  <c r="AG429" i="13"/>
  <c r="AG418" i="13"/>
  <c r="AG415" i="13"/>
  <c r="AG431" i="13"/>
  <c r="AG370" i="13"/>
  <c r="AK97" i="13"/>
  <c r="N65" i="15"/>
  <c r="Q65" i="15" s="1"/>
  <c r="AL177" i="13"/>
  <c r="AM177" i="13" s="1"/>
  <c r="AK177" i="13"/>
  <c r="AL97" i="13"/>
  <c r="AM97" i="13" s="1"/>
  <c r="AJ16" i="13"/>
  <c r="AJ12" i="13"/>
  <c r="AJ80" i="13"/>
  <c r="AJ208" i="13"/>
  <c r="AJ103" i="13"/>
  <c r="AL103" i="13" s="1"/>
  <c r="AM103" i="13" s="1"/>
  <c r="N198" i="15"/>
  <c r="N152" i="15"/>
  <c r="O152" i="15" s="1"/>
  <c r="AJ352" i="13"/>
  <c r="AJ39" i="13"/>
  <c r="AK39" i="13" s="1"/>
  <c r="AJ137" i="13"/>
  <c r="AJ356" i="13"/>
  <c r="AJ346" i="13"/>
  <c r="N151" i="15"/>
  <c r="N18" i="15"/>
  <c r="N144" i="15"/>
  <c r="N143" i="15"/>
  <c r="N218" i="15"/>
  <c r="N121" i="15"/>
  <c r="N97" i="15"/>
  <c r="N109" i="15"/>
  <c r="N52" i="15"/>
  <c r="N179" i="15"/>
  <c r="AJ273" i="13"/>
  <c r="AJ167" i="13"/>
  <c r="AJ310" i="13"/>
  <c r="AJ196" i="13"/>
  <c r="AL196" i="13" s="1"/>
  <c r="AM196" i="13" s="1"/>
  <c r="AJ37" i="13"/>
  <c r="AJ148" i="13"/>
  <c r="AJ355" i="13"/>
  <c r="AJ243" i="13"/>
  <c r="AJ106" i="13"/>
  <c r="AJ27" i="13"/>
  <c r="AJ299" i="13"/>
  <c r="AJ270" i="13"/>
  <c r="AJ140" i="13"/>
  <c r="AJ300" i="13"/>
  <c r="AK300" i="13" s="1"/>
  <c r="AJ81" i="13"/>
  <c r="AJ59" i="13"/>
  <c r="AJ220" i="13"/>
  <c r="AJ54" i="13"/>
  <c r="AJ17" i="13"/>
  <c r="AJ283" i="13"/>
  <c r="AK283" i="13" s="1"/>
  <c r="AJ219" i="13"/>
  <c r="AJ174" i="13"/>
  <c r="AJ247" i="13"/>
  <c r="AJ324" i="13"/>
  <c r="AJ173" i="13"/>
  <c r="AL131" i="13"/>
  <c r="AM131" i="13" s="1"/>
  <c r="N86" i="15"/>
  <c r="O86" i="15" s="1"/>
  <c r="AL343" i="13"/>
  <c r="AK224" i="13"/>
  <c r="AL224" i="13"/>
  <c r="AM224" i="13" s="1"/>
  <c r="AL204" i="13"/>
  <c r="AM204" i="13" s="1"/>
  <c r="AH31" i="13"/>
  <c r="AJ31" i="13" s="1"/>
  <c r="AL266" i="13"/>
  <c r="AH58" i="13"/>
  <c r="AH189" i="13"/>
  <c r="AJ189" i="13" s="1"/>
  <c r="AH292" i="13"/>
  <c r="AJ292" i="13" s="1"/>
  <c r="AK131" i="13"/>
  <c r="AH114" i="13"/>
  <c r="AJ114" i="13" s="1"/>
  <c r="AH197" i="13"/>
  <c r="AJ197" i="13" s="1"/>
  <c r="AH149" i="13"/>
  <c r="AJ149" i="13" s="1"/>
  <c r="AH34" i="13"/>
  <c r="AJ34" i="13" s="1"/>
  <c r="AH94" i="13"/>
  <c r="AH387" i="13"/>
  <c r="AJ387" i="13" s="1"/>
  <c r="AH416" i="13"/>
  <c r="AJ416" i="13" s="1"/>
  <c r="G22" i="12"/>
  <c r="L19" i="16"/>
  <c r="M19" i="16" s="1"/>
  <c r="X230" i="13"/>
  <c r="K324" i="15"/>
  <c r="L324" i="15" s="1"/>
  <c r="P12" i="19"/>
  <c r="H22" i="12"/>
  <c r="P13" i="19"/>
  <c r="I22" i="12"/>
  <c r="G17" i="16"/>
  <c r="M440" i="13"/>
  <c r="AF440" i="13" s="1"/>
  <c r="X440" i="13"/>
  <c r="Q225" i="19"/>
  <c r="P229" i="19"/>
  <c r="Q229" i="19" s="1"/>
  <c r="M393" i="13"/>
  <c r="AF393" i="13" s="1"/>
  <c r="X393" i="13"/>
  <c r="H425" i="13"/>
  <c r="I425" i="13" s="1"/>
  <c r="H379" i="13"/>
  <c r="I379" i="13" s="1"/>
  <c r="M230" i="13"/>
  <c r="AF230" i="13" s="1"/>
  <c r="Q1125" i="19"/>
  <c r="P1129" i="19"/>
  <c r="Q1129" i="19" s="1"/>
  <c r="K159" i="15"/>
  <c r="L159" i="15" s="1"/>
  <c r="H233" i="13"/>
  <c r="I233" i="13" s="1"/>
  <c r="X279" i="13"/>
  <c r="M362" i="13"/>
  <c r="AF362" i="13" s="1"/>
  <c r="K318" i="15"/>
  <c r="L318" i="15" s="1"/>
  <c r="K317" i="15"/>
  <c r="L317" i="15" s="1"/>
  <c r="K281" i="15"/>
  <c r="L281" i="15" s="1"/>
  <c r="M279" i="13"/>
  <c r="AF279" i="13" s="1"/>
  <c r="X109" i="13"/>
  <c r="X362" i="13"/>
  <c r="M109" i="13"/>
  <c r="AF109" i="13" s="1"/>
  <c r="K161" i="15"/>
  <c r="L161" i="15" s="1"/>
  <c r="H236" i="13"/>
  <c r="I236" i="13" s="1"/>
  <c r="P1194" i="19"/>
  <c r="Q1194" i="19" s="1"/>
  <c r="Q1190" i="19"/>
  <c r="K222" i="15"/>
  <c r="L222" i="15" s="1"/>
  <c r="H327" i="13"/>
  <c r="I327" i="13" s="1"/>
  <c r="Q1140" i="19"/>
  <c r="P1144" i="19"/>
  <c r="Q1144" i="19" s="1"/>
  <c r="X246" i="13"/>
  <c r="M246" i="13"/>
  <c r="AF246" i="13" s="1"/>
  <c r="H382" i="13"/>
  <c r="I382" i="13" s="1"/>
  <c r="K266" i="15"/>
  <c r="L266" i="15" s="1"/>
  <c r="K201" i="15"/>
  <c r="L201" i="15" s="1"/>
  <c r="H298" i="13"/>
  <c r="I298" i="13" s="1"/>
  <c r="P1599" i="19"/>
  <c r="Q1599" i="19" s="1"/>
  <c r="Q1595" i="19"/>
  <c r="P1454" i="19"/>
  <c r="Q1454" i="19" s="1"/>
  <c r="Q1450" i="19"/>
  <c r="X316" i="13"/>
  <c r="M316" i="13"/>
  <c r="AF316" i="13" s="1"/>
  <c r="H409" i="13"/>
  <c r="I409" i="13" s="1"/>
  <c r="K304" i="15"/>
  <c r="L304" i="15" s="1"/>
  <c r="K326" i="15"/>
  <c r="L326" i="15" s="1"/>
  <c r="H435" i="13"/>
  <c r="I435" i="13" s="1"/>
  <c r="H398" i="13"/>
  <c r="I398" i="13" s="1"/>
  <c r="H432" i="13"/>
  <c r="I432" i="13" s="1"/>
  <c r="H447" i="13"/>
  <c r="I447" i="13" s="1"/>
  <c r="M386" i="13"/>
  <c r="AF386" i="13" s="1"/>
  <c r="X386" i="13"/>
  <c r="M419" i="13"/>
  <c r="AF419" i="13" s="1"/>
  <c r="X419" i="13"/>
  <c r="K322" i="15"/>
  <c r="L322" i="15" s="1"/>
  <c r="Q730" i="19"/>
  <c r="P734" i="19"/>
  <c r="Q734" i="19" s="1"/>
  <c r="H154" i="13"/>
  <c r="I154" i="13" s="1"/>
  <c r="K100" i="15"/>
  <c r="L100" i="15" s="1"/>
  <c r="K251" i="15"/>
  <c r="L251" i="15" s="1"/>
  <c r="H350" i="13"/>
  <c r="I350" i="13" s="1"/>
  <c r="K236" i="15"/>
  <c r="L236" i="15" s="1"/>
  <c r="Q1710" i="19"/>
  <c r="P1714" i="19"/>
  <c r="Q1714" i="19" s="1"/>
  <c r="X315" i="13"/>
  <c r="M315" i="13"/>
  <c r="AF315" i="13" s="1"/>
  <c r="M332" i="13"/>
  <c r="AF332" i="13" s="1"/>
  <c r="X332" i="13"/>
  <c r="K139" i="15"/>
  <c r="L139" i="15" s="1"/>
  <c r="H206" i="13"/>
  <c r="I206" i="13" s="1"/>
  <c r="H130" i="13"/>
  <c r="I130" i="13" s="1"/>
  <c r="K85" i="15"/>
  <c r="L85" i="15" s="1"/>
  <c r="P614" i="19"/>
  <c r="Q614" i="19" s="1"/>
  <c r="Q610" i="19"/>
  <c r="P994" i="19"/>
  <c r="Q994" i="19" s="1"/>
  <c r="Q990" i="19"/>
  <c r="H335" i="13"/>
  <c r="I335" i="13" s="1"/>
  <c r="K227" i="15"/>
  <c r="L227" i="15" s="1"/>
  <c r="K63" i="15"/>
  <c r="L63" i="15" s="1"/>
  <c r="H95" i="13"/>
  <c r="I95" i="13" s="1"/>
  <c r="X119" i="13"/>
  <c r="M119" i="13"/>
  <c r="AF119" i="13" s="1"/>
  <c r="Q435" i="19"/>
  <c r="P439" i="19"/>
  <c r="Q439" i="19" s="1"/>
  <c r="K310" i="15"/>
  <c r="L310" i="15" s="1"/>
  <c r="Q1635" i="19"/>
  <c r="P1639" i="19"/>
  <c r="Q1639" i="19" s="1"/>
  <c r="P1554" i="19"/>
  <c r="Q1554" i="19" s="1"/>
  <c r="Q1550" i="19"/>
  <c r="Q1355" i="19"/>
  <c r="P1359" i="19"/>
  <c r="Q1359" i="19" s="1"/>
  <c r="X101" i="13"/>
  <c r="M101" i="13"/>
  <c r="AF101" i="13" s="1"/>
  <c r="M312" i="13"/>
  <c r="AF312" i="13" s="1"/>
  <c r="M421" i="13"/>
  <c r="AF421" i="13" s="1"/>
  <c r="H392" i="13"/>
  <c r="I392" i="13" s="1"/>
  <c r="K276" i="15"/>
  <c r="L276" i="15" s="1"/>
  <c r="K216" i="15"/>
  <c r="L216" i="15" s="1"/>
  <c r="H318" i="13"/>
  <c r="I318" i="13" s="1"/>
  <c r="P469" i="19"/>
  <c r="Q469" i="19" s="1"/>
  <c r="Q465" i="19"/>
  <c r="P64" i="19"/>
  <c r="Q64" i="19" s="1"/>
  <c r="Q60" i="19"/>
  <c r="M321" i="13"/>
  <c r="AF321" i="13" s="1"/>
  <c r="X20" i="13"/>
  <c r="M20" i="13"/>
  <c r="AF20" i="13" s="1"/>
  <c r="AH361" i="13"/>
  <c r="AJ361" i="13" s="1"/>
  <c r="H445" i="13"/>
  <c r="I445" i="13" s="1"/>
  <c r="M445" i="13" s="1"/>
  <c r="AF445" i="13" s="1"/>
  <c r="H424" i="13"/>
  <c r="I424" i="13" s="1"/>
  <c r="K320" i="15"/>
  <c r="L320" i="15" s="1"/>
  <c r="K305" i="15"/>
  <c r="L305" i="15" s="1"/>
  <c r="H443" i="13"/>
  <c r="I443" i="13" s="1"/>
  <c r="M443" i="13" s="1"/>
  <c r="AF443" i="13" s="1"/>
  <c r="X312" i="13"/>
  <c r="M378" i="13"/>
  <c r="AF378" i="13" s="1"/>
  <c r="X378" i="13"/>
  <c r="X321" i="13"/>
  <c r="Q1650" i="19"/>
  <c r="P1654" i="19"/>
  <c r="Q1654" i="19" s="1"/>
  <c r="K21" i="15"/>
  <c r="L21" i="15" s="1"/>
  <c r="H29" i="13"/>
  <c r="I29" i="13" s="1"/>
  <c r="K208" i="15"/>
  <c r="L208" i="15" s="1"/>
  <c r="H307" i="13"/>
  <c r="I307" i="13" s="1"/>
  <c r="H405" i="13"/>
  <c r="I405" i="13" s="1"/>
  <c r="K289" i="15"/>
  <c r="L289" i="15" s="1"/>
  <c r="M156" i="13"/>
  <c r="AF156" i="13" s="1"/>
  <c r="X156" i="13"/>
  <c r="X75" i="13"/>
  <c r="M75" i="13"/>
  <c r="AF75" i="13" s="1"/>
  <c r="P879" i="19"/>
  <c r="Q879" i="19" s="1"/>
  <c r="Q875" i="19"/>
  <c r="Q105" i="19"/>
  <c r="P109" i="19"/>
  <c r="Q109" i="19" s="1"/>
  <c r="Q740" i="19"/>
  <c r="P744" i="19"/>
  <c r="Q744" i="19" s="1"/>
  <c r="P1499" i="19"/>
  <c r="Q1499" i="19" s="1"/>
  <c r="Q1495" i="19"/>
  <c r="H183" i="13"/>
  <c r="I183" i="13" s="1"/>
  <c r="K125" i="15"/>
  <c r="L125" i="15" s="1"/>
  <c r="K278" i="15"/>
  <c r="L278" i="15" s="1"/>
  <c r="H394" i="13"/>
  <c r="I394" i="13" s="1"/>
  <c r="H400" i="13"/>
  <c r="I400" i="13" s="1"/>
  <c r="K284" i="15"/>
  <c r="L284" i="15" s="1"/>
  <c r="M338" i="13"/>
  <c r="AF338" i="13" s="1"/>
  <c r="X338" i="13"/>
  <c r="P339" i="19"/>
  <c r="Q339" i="19" s="1"/>
  <c r="Q335" i="19"/>
  <c r="M187" i="13"/>
  <c r="AF187" i="13" s="1"/>
  <c r="X187" i="13"/>
  <c r="X359" i="13"/>
  <c r="M359" i="13"/>
  <c r="AF359" i="13" s="1"/>
  <c r="M151" i="13"/>
  <c r="AF151" i="13" s="1"/>
  <c r="X151" i="13"/>
  <c r="X49" i="13"/>
  <c r="M49" i="13"/>
  <c r="AF49" i="13" s="1"/>
  <c r="M159" i="13"/>
  <c r="AF159" i="13" s="1"/>
  <c r="X159" i="13"/>
  <c r="M337" i="13"/>
  <c r="AF337" i="13" s="1"/>
  <c r="X337" i="13"/>
  <c r="K264" i="15"/>
  <c r="L264" i="15" s="1"/>
  <c r="H380" i="13"/>
  <c r="I380" i="13" s="1"/>
  <c r="Q1090" i="19"/>
  <c r="P1094" i="19"/>
  <c r="Q1094" i="19" s="1"/>
  <c r="X215" i="13"/>
  <c r="M215" i="13"/>
  <c r="AF215" i="13" s="1"/>
  <c r="M269" i="13"/>
  <c r="AF269" i="13" s="1"/>
  <c r="X269" i="13"/>
  <c r="K285" i="15"/>
  <c r="L285" i="15" s="1"/>
  <c r="H401" i="13"/>
  <c r="I401" i="13" s="1"/>
  <c r="P1524" i="19"/>
  <c r="Q1524" i="19" s="1"/>
  <c r="Q1520" i="19"/>
  <c r="K292" i="15"/>
  <c r="L292" i="15" s="1"/>
  <c r="H408" i="13"/>
  <c r="I408" i="13" s="1"/>
  <c r="M107" i="13"/>
  <c r="AF107" i="13" s="1"/>
  <c r="X107" i="13"/>
  <c r="P514" i="19"/>
  <c r="Q514" i="19" s="1"/>
  <c r="Q510" i="19"/>
  <c r="Q1615" i="19"/>
  <c r="P1619" i="19"/>
  <c r="Q1619" i="19" s="1"/>
  <c r="K249" i="15"/>
  <c r="L249" i="15" s="1"/>
  <c r="H365" i="13"/>
  <c r="I365" i="13" s="1"/>
  <c r="H334" i="13"/>
  <c r="I334" i="13" s="1"/>
  <c r="K226" i="15"/>
  <c r="L226" i="15" s="1"/>
  <c r="Q1245" i="19"/>
  <c r="P1249" i="19"/>
  <c r="Q1249" i="19" s="1"/>
  <c r="X309" i="13"/>
  <c r="M309" i="13"/>
  <c r="AF309" i="13" s="1"/>
  <c r="P1219" i="19"/>
  <c r="Q1219" i="19" s="1"/>
  <c r="Q1215" i="19"/>
  <c r="P1749" i="19"/>
  <c r="Q1749" i="19" s="1"/>
  <c r="Q1745" i="19"/>
  <c r="Q1585" i="19"/>
  <c r="P1589" i="19"/>
  <c r="Q1589" i="19" s="1"/>
  <c r="X353" i="13"/>
  <c r="M353" i="13"/>
  <c r="AF353" i="13" s="1"/>
  <c r="H331" i="13"/>
  <c r="I331" i="13" s="1"/>
  <c r="K224" i="15"/>
  <c r="L224" i="15" s="1"/>
  <c r="P1569" i="19"/>
  <c r="Q1569" i="19" s="1"/>
  <c r="Q1565" i="19"/>
  <c r="K174" i="15"/>
  <c r="L174" i="15" s="1"/>
  <c r="H257" i="13"/>
  <c r="I257" i="13" s="1"/>
  <c r="K170" i="15"/>
  <c r="L170" i="15" s="1"/>
  <c r="H251" i="13"/>
  <c r="I251" i="13" s="1"/>
  <c r="M260" i="13"/>
  <c r="AF260" i="13" s="1"/>
  <c r="X260" i="13"/>
  <c r="H325" i="13"/>
  <c r="I325" i="13" s="1"/>
  <c r="K220" i="15"/>
  <c r="L220" i="15" s="1"/>
  <c r="Q1645" i="19"/>
  <c r="P1649" i="19"/>
  <c r="Q1649" i="19" s="1"/>
  <c r="K76" i="15"/>
  <c r="L76" i="15" s="1"/>
  <c r="H110" i="13"/>
  <c r="I110" i="13" s="1"/>
  <c r="H395" i="13"/>
  <c r="I395" i="13" s="1"/>
  <c r="K279" i="15"/>
  <c r="L279" i="15" s="1"/>
  <c r="K153" i="15"/>
  <c r="L153" i="15" s="1"/>
  <c r="H226" i="13"/>
  <c r="I226" i="13" s="1"/>
  <c r="Q1630" i="19"/>
  <c r="P1634" i="19"/>
  <c r="Q1634" i="19" s="1"/>
  <c r="Q1035" i="19"/>
  <c r="P1039" i="19"/>
  <c r="Q1039" i="19" s="1"/>
  <c r="P1309" i="19"/>
  <c r="Q1309" i="19" s="1"/>
  <c r="Q1305" i="19"/>
  <c r="H406" i="13"/>
  <c r="I406" i="13" s="1"/>
  <c r="K290" i="15"/>
  <c r="L290" i="15" s="1"/>
  <c r="M293" i="13"/>
  <c r="AF293" i="13" s="1"/>
  <c r="X293" i="13"/>
  <c r="K242" i="15"/>
  <c r="L242" i="15" s="1"/>
  <c r="H357" i="13"/>
  <c r="I357" i="13" s="1"/>
  <c r="X228" i="13"/>
  <c r="M228" i="13"/>
  <c r="AF228" i="13" s="1"/>
  <c r="M48" i="13"/>
  <c r="AF48" i="13" s="1"/>
  <c r="X48" i="13"/>
  <c r="X376" i="13"/>
  <c r="M376" i="13"/>
  <c r="AF376" i="13" s="1"/>
  <c r="AH105" i="13"/>
  <c r="AJ105" i="13" s="1"/>
  <c r="M413" i="13"/>
  <c r="AF413" i="13" s="1"/>
  <c r="X413" i="13"/>
  <c r="M248" i="13"/>
  <c r="AF248" i="13" s="1"/>
  <c r="X248" i="13"/>
  <c r="X319" i="13"/>
  <c r="M319" i="13"/>
  <c r="AF319" i="13" s="1"/>
  <c r="M369" i="13"/>
  <c r="AF369" i="13" s="1"/>
  <c r="X369" i="13"/>
  <c r="M397" i="13"/>
  <c r="AF397" i="13" s="1"/>
  <c r="X397" i="13"/>
  <c r="M157" i="13"/>
  <c r="AF157" i="13" s="1"/>
  <c r="X157" i="13"/>
  <c r="X339" i="13"/>
  <c r="M339" i="13"/>
  <c r="AF339" i="13" s="1"/>
  <c r="X181" i="13"/>
  <c r="M181" i="13"/>
  <c r="AF181" i="13" s="1"/>
  <c r="AL125" i="13"/>
  <c r="AM125" i="13" s="1"/>
  <c r="AW303" i="13"/>
  <c r="AL303" i="13"/>
  <c r="AM303" i="13" s="1"/>
  <c r="AL192" i="13"/>
  <c r="AM192" i="13" s="1"/>
  <c r="AL264" i="13"/>
  <c r="X163" i="13"/>
  <c r="M163" i="13"/>
  <c r="AF163" i="13" s="1"/>
  <c r="X32" i="13"/>
  <c r="M32" i="13"/>
  <c r="AF32" i="13" s="1"/>
  <c r="M180" i="13"/>
  <c r="AF180" i="13" s="1"/>
  <c r="X180" i="13"/>
  <c r="X274" i="13"/>
  <c r="M274" i="13"/>
  <c r="AF274" i="13" s="1"/>
  <c r="AK77" i="13"/>
  <c r="AL77" i="13"/>
  <c r="AM77" i="13" s="1"/>
  <c r="X344" i="13"/>
  <c r="M344" i="13"/>
  <c r="AF344" i="13" s="1"/>
  <c r="X345" i="13"/>
  <c r="M345" i="13"/>
  <c r="AF345" i="13" s="1"/>
  <c r="X351" i="13"/>
  <c r="M351" i="13"/>
  <c r="AF351" i="13" s="1"/>
  <c r="X364" i="13"/>
  <c r="M364" i="13"/>
  <c r="AF364" i="13" s="1"/>
  <c r="M423" i="13"/>
  <c r="AF423" i="13" s="1"/>
  <c r="X423" i="13"/>
  <c r="M304" i="13"/>
  <c r="AF304" i="13" s="1"/>
  <c r="X304" i="13"/>
  <c r="M371" i="13"/>
  <c r="AF371" i="13" s="1"/>
  <c r="X371" i="13"/>
  <c r="X18" i="13"/>
  <c r="M18" i="13"/>
  <c r="AF18" i="13" s="1"/>
  <c r="X259" i="13"/>
  <c r="M259" i="13"/>
  <c r="AF259" i="13" s="1"/>
  <c r="M336" i="13"/>
  <c r="AF336" i="13" s="1"/>
  <c r="X336" i="13"/>
  <c r="M116" i="13"/>
  <c r="AF116" i="13" s="1"/>
  <c r="X116" i="13"/>
  <c r="X96" i="13"/>
  <c r="M96" i="13"/>
  <c r="AF96" i="13" s="1"/>
  <c r="X317" i="13"/>
  <c r="M317" i="13"/>
  <c r="AF317" i="13" s="1"/>
  <c r="M74" i="13"/>
  <c r="AF74" i="13" s="1"/>
  <c r="X74" i="13"/>
  <c r="X287" i="13"/>
  <c r="M287" i="13"/>
  <c r="AF287" i="13" s="1"/>
  <c r="M367" i="13"/>
  <c r="AF367" i="13" s="1"/>
  <c r="X367" i="13"/>
  <c r="M147" i="13"/>
  <c r="AF147" i="13" s="1"/>
  <c r="X147" i="13"/>
  <c r="M240" i="13"/>
  <c r="AF240" i="13" s="1"/>
  <c r="X240" i="13"/>
  <c r="AL354" i="13"/>
  <c r="AM354" i="13" s="1"/>
  <c r="AH289" i="13"/>
  <c r="AJ289" i="13" s="1"/>
  <c r="AH102" i="13"/>
  <c r="AL56" i="13"/>
  <c r="AM56" i="13" s="1"/>
  <c r="AK262" i="13"/>
  <c r="AL262" i="13"/>
  <c r="AM262" i="13" s="1"/>
  <c r="AH161" i="13"/>
  <c r="AJ161" i="13" s="1"/>
  <c r="AK25" i="13"/>
  <c r="AL25" i="13"/>
  <c r="AM25" i="13" s="1"/>
  <c r="AK179" i="13"/>
  <c r="AL179" i="13"/>
  <c r="AM179" i="13" s="1"/>
  <c r="AL347" i="13"/>
  <c r="AM347" i="13" s="1"/>
  <c r="AL211" i="13"/>
  <c r="AH227" i="13"/>
  <c r="AH254" i="13"/>
  <c r="AJ254" i="13" s="1"/>
  <c r="AL13" i="13"/>
  <c r="AW165" i="13"/>
  <c r="AL165" i="13"/>
  <c r="AK216" i="13"/>
  <c r="AL216" i="13"/>
  <c r="AM216" i="13" s="1"/>
  <c r="AH122" i="13"/>
  <c r="AJ122" i="13" s="1"/>
  <c r="AH64" i="13"/>
  <c r="AJ64" i="13" s="1"/>
  <c r="AH71" i="13"/>
  <c r="AJ71" i="13" s="1"/>
  <c r="AL128" i="13"/>
  <c r="AL141" i="13"/>
  <c r="AM141" i="13" s="1"/>
  <c r="AL51" i="13"/>
  <c r="AM51" i="13" s="1"/>
  <c r="AL69" i="13"/>
  <c r="AM69" i="13" s="1"/>
  <c r="AL129" i="13"/>
  <c r="AH65" i="13"/>
  <c r="AJ65" i="13" s="1"/>
  <c r="AH225" i="13"/>
  <c r="AJ225" i="13" s="1"/>
  <c r="AL348" i="13"/>
  <c r="AM348" i="13" s="1"/>
  <c r="AK323" i="13"/>
  <c r="AL323" i="13"/>
  <c r="AM323" i="13" s="1"/>
  <c r="AW268" i="13"/>
  <c r="AL268" i="13"/>
  <c r="AM268" i="13" s="1"/>
  <c r="X314" i="13"/>
  <c r="M314" i="13"/>
  <c r="AF314" i="13" s="1"/>
  <c r="X403" i="13"/>
  <c r="M403" i="13"/>
  <c r="AF403" i="13" s="1"/>
  <c r="AL118" i="13"/>
  <c r="AM118" i="13" s="1"/>
  <c r="AH185" i="13"/>
  <c r="X123" i="13"/>
  <c r="M123" i="13"/>
  <c r="AF123" i="13" s="1"/>
  <c r="X57" i="13"/>
  <c r="M57" i="13"/>
  <c r="AF57" i="13" s="1"/>
  <c r="X385" i="13"/>
  <c r="M385" i="13"/>
  <c r="AF385" i="13" s="1"/>
  <c r="X121" i="13"/>
  <c r="M121" i="13"/>
  <c r="AF121" i="13" s="1"/>
  <c r="AH160" i="13"/>
  <c r="X124" i="13"/>
  <c r="M124" i="13"/>
  <c r="AF124" i="13" s="1"/>
  <c r="X68" i="13"/>
  <c r="M68" i="13"/>
  <c r="AF68" i="13" s="1"/>
  <c r="X52" i="13"/>
  <c r="M52" i="13"/>
  <c r="AF52" i="13" s="1"/>
  <c r="X104" i="13"/>
  <c r="M104" i="13"/>
  <c r="AF104" i="13" s="1"/>
  <c r="X286" i="13"/>
  <c r="M286" i="13"/>
  <c r="AF286" i="13" s="1"/>
  <c r="AH134" i="13"/>
  <c r="AH277" i="13"/>
  <c r="AJ277" i="13" s="1"/>
  <c r="X203" i="13"/>
  <c r="M203" i="13"/>
  <c r="AF203" i="13" s="1"/>
  <c r="X195" i="13"/>
  <c r="M195" i="13"/>
  <c r="AF195" i="13" s="1"/>
  <c r="X263" i="13"/>
  <c r="M263" i="13"/>
  <c r="AF263" i="13" s="1"/>
  <c r="X402" i="13"/>
  <c r="M402" i="13"/>
  <c r="AF402" i="13" s="1"/>
  <c r="AL42" i="13"/>
  <c r="AM42" i="13" s="1"/>
  <c r="AW90" i="13"/>
  <c r="AL90" i="13"/>
  <c r="AM90" i="13" s="1"/>
  <c r="X290" i="13"/>
  <c r="M290" i="13"/>
  <c r="AF290" i="13" s="1"/>
  <c r="X446" i="13"/>
  <c r="M446" i="13"/>
  <c r="AF446" i="13" s="1"/>
  <c r="X202" i="13"/>
  <c r="M202" i="13"/>
  <c r="AF202" i="13" s="1"/>
  <c r="X229" i="13"/>
  <c r="M229" i="13"/>
  <c r="AF229" i="13" s="1"/>
  <c r="X91" i="13"/>
  <c r="M91" i="13"/>
  <c r="AF91" i="13" s="1"/>
  <c r="X384" i="13"/>
  <c r="M384" i="13"/>
  <c r="AF384" i="13" s="1"/>
  <c r="X15" i="13"/>
  <c r="M15" i="13"/>
  <c r="AF15" i="13" s="1"/>
  <c r="X235" i="13"/>
  <c r="M235" i="13"/>
  <c r="AF235" i="13" s="1"/>
  <c r="X322" i="13"/>
  <c r="M322" i="13"/>
  <c r="AF322" i="13" s="1"/>
  <c r="X253" i="13"/>
  <c r="M253" i="13"/>
  <c r="AF253" i="13" s="1"/>
  <c r="X342" i="13"/>
  <c r="M342" i="13"/>
  <c r="AF342" i="13" s="1"/>
  <c r="AH99" i="13"/>
  <c r="AJ99" i="13" s="1"/>
  <c r="AH88" i="13"/>
  <c r="X84" i="13"/>
  <c r="M84" i="13"/>
  <c r="AF84" i="13" s="1"/>
  <c r="X198" i="13"/>
  <c r="M198" i="13"/>
  <c r="AF198" i="13" s="1"/>
  <c r="X111" i="13"/>
  <c r="M111" i="13"/>
  <c r="AF111" i="13" s="1"/>
  <c r="X417" i="13"/>
  <c r="M417" i="13"/>
  <c r="AF417" i="13" s="1"/>
  <c r="X33" i="13"/>
  <c r="M33" i="13"/>
  <c r="AF33" i="13" s="1"/>
  <c r="X375" i="13"/>
  <c r="M375" i="13"/>
  <c r="AF375" i="13" s="1"/>
  <c r="AH126" i="13"/>
  <c r="X414" i="13"/>
  <c r="M414" i="13"/>
  <c r="AF414" i="13" s="1"/>
  <c r="X436" i="13"/>
  <c r="M436" i="13"/>
  <c r="AF436" i="13" s="1"/>
  <c r="X313" i="13"/>
  <c r="M313" i="13"/>
  <c r="AF313" i="13" s="1"/>
  <c r="X389" i="13"/>
  <c r="M389" i="13"/>
  <c r="AF389" i="13" s="1"/>
  <c r="X22" i="13"/>
  <c r="M22" i="13"/>
  <c r="AF22" i="13" s="1"/>
  <c r="X138" i="13"/>
  <c r="M138" i="13"/>
  <c r="AF138" i="13" s="1"/>
  <c r="X434" i="13"/>
  <c r="M434" i="13"/>
  <c r="AF434" i="13" s="1"/>
  <c r="X272" i="13"/>
  <c r="M272" i="13"/>
  <c r="AF272" i="13" s="1"/>
  <c r="X433" i="13"/>
  <c r="M433" i="13"/>
  <c r="AF433" i="13" s="1"/>
  <c r="G441" i="13"/>
  <c r="P11" i="19"/>
  <c r="X190" i="13"/>
  <c r="M190" i="13"/>
  <c r="AF190" i="13" s="1"/>
  <c r="X50" i="13"/>
  <c r="M50" i="13"/>
  <c r="AF50" i="13" s="1"/>
  <c r="X407" i="13"/>
  <c r="M407" i="13"/>
  <c r="AF407" i="13" s="1"/>
  <c r="X60" i="13"/>
  <c r="M60" i="13"/>
  <c r="AF60" i="13" s="1"/>
  <c r="X442" i="13"/>
  <c r="M442" i="13"/>
  <c r="AF442" i="13" s="1"/>
  <c r="AH87" i="13"/>
  <c r="AH231" i="13"/>
  <c r="AJ231" i="13" s="1"/>
  <c r="AH281" i="13"/>
  <c r="AH108" i="13"/>
  <c r="X412" i="13"/>
  <c r="M412" i="13"/>
  <c r="AF412" i="13" s="1"/>
  <c r="X182" i="13"/>
  <c r="M182" i="13"/>
  <c r="AF182" i="13" s="1"/>
  <c r="X21" i="13"/>
  <c r="M21" i="13"/>
  <c r="AF21" i="13" s="1"/>
  <c r="X411" i="13"/>
  <c r="M411" i="13"/>
  <c r="AF411" i="13" s="1"/>
  <c r="X92" i="13"/>
  <c r="M92" i="13"/>
  <c r="AF92" i="13" s="1"/>
  <c r="AH241" i="13"/>
  <c r="AJ241" i="13" s="1"/>
  <c r="AH14" i="13"/>
  <c r="AH295" i="13"/>
  <c r="AJ295" i="13" s="1"/>
  <c r="X383" i="13"/>
  <c r="M383" i="13"/>
  <c r="AF383" i="13" s="1"/>
  <c r="X439" i="13"/>
  <c r="M439" i="13"/>
  <c r="AF439" i="13" s="1"/>
  <c r="X142" i="13"/>
  <c r="M142" i="13"/>
  <c r="AF142" i="13" s="1"/>
  <c r="X426" i="13"/>
  <c r="M426" i="13"/>
  <c r="AF426" i="13" s="1"/>
  <c r="P182" i="15"/>
  <c r="O182" i="15"/>
  <c r="Q182" i="15"/>
  <c r="AL133" i="13"/>
  <c r="AK166" i="13"/>
  <c r="AL166" i="13"/>
  <c r="AM166" i="13" s="1"/>
  <c r="AW214" i="13"/>
  <c r="AL214" i="13"/>
  <c r="AK150" i="13"/>
  <c r="AW150" i="13"/>
  <c r="AL150" i="13"/>
  <c r="AM150" i="13" s="1"/>
  <c r="AK223" i="13"/>
  <c r="AL223" i="13"/>
  <c r="AM223" i="13" s="1"/>
  <c r="P119" i="15"/>
  <c r="AK294" i="13"/>
  <c r="AL294" i="13"/>
  <c r="AM294" i="13" s="1"/>
  <c r="X249" i="13"/>
  <c r="M249" i="13"/>
  <c r="AF249" i="13" s="1"/>
  <c r="X237" i="13"/>
  <c r="M237" i="13"/>
  <c r="AF237" i="13" s="1"/>
  <c r="X153" i="13"/>
  <c r="M153" i="13"/>
  <c r="AF153" i="13" s="1"/>
  <c r="X374" i="13"/>
  <c r="M374" i="13"/>
  <c r="AF374" i="13" s="1"/>
  <c r="X296" i="13"/>
  <c r="M296" i="13"/>
  <c r="AF296" i="13" s="1"/>
  <c r="X428" i="13"/>
  <c r="M428" i="13"/>
  <c r="AF428" i="13" s="1"/>
  <c r="X381" i="13"/>
  <c r="M381" i="13"/>
  <c r="AF381" i="13" s="1"/>
  <c r="X368" i="13"/>
  <c r="M368" i="13"/>
  <c r="AF368" i="13" s="1"/>
  <c r="P10" i="19"/>
  <c r="F24" i="12" s="1"/>
  <c r="N14" i="19"/>
  <c r="G448" i="13" s="1"/>
  <c r="G10" i="13"/>
  <c r="X30" i="13"/>
  <c r="M30" i="13"/>
  <c r="AF30" i="13" s="1"/>
  <c r="X420" i="13"/>
  <c r="M420" i="13"/>
  <c r="AF420" i="13" s="1"/>
  <c r="X427" i="13"/>
  <c r="M427" i="13"/>
  <c r="AF427" i="13" s="1"/>
  <c r="X276" i="13"/>
  <c r="M276" i="13"/>
  <c r="AF276" i="13" s="1"/>
  <c r="AH41" i="13"/>
  <c r="AJ41" i="13" s="1"/>
  <c r="AH297" i="13"/>
  <c r="X261" i="13"/>
  <c r="M261" i="13"/>
  <c r="AF261" i="13" s="1"/>
  <c r="X222" i="13"/>
  <c r="M222" i="13"/>
  <c r="AF222" i="13" s="1"/>
  <c r="X199" i="13"/>
  <c r="M199" i="13"/>
  <c r="AF199" i="13" s="1"/>
  <c r="AK213" i="13"/>
  <c r="AL213" i="13"/>
  <c r="AM213" i="13" s="1"/>
  <c r="AH188" i="13"/>
  <c r="AJ188" i="13" s="1"/>
  <c r="AH62" i="13"/>
  <c r="AJ62" i="13" s="1"/>
  <c r="X267" i="13"/>
  <c r="M267" i="13"/>
  <c r="AF267" i="13" s="1"/>
  <c r="X201" i="13"/>
  <c r="M201" i="13"/>
  <c r="AF201" i="13" s="1"/>
  <c r="X438" i="13"/>
  <c r="M438" i="13"/>
  <c r="AF438" i="13" s="1"/>
  <c r="Q102" i="15"/>
  <c r="O102" i="15"/>
  <c r="P102" i="15"/>
  <c r="X238" i="13"/>
  <c r="M238" i="13"/>
  <c r="AF238" i="13" s="1"/>
  <c r="X146" i="13"/>
  <c r="M146" i="13"/>
  <c r="AF146" i="13" s="1"/>
  <c r="X404" i="13"/>
  <c r="M404" i="13"/>
  <c r="AF404" i="13" s="1"/>
  <c r="AL311" i="13"/>
  <c r="AM311" i="13" s="1"/>
  <c r="O114" i="15"/>
  <c r="Q114" i="15"/>
  <c r="P114" i="15"/>
  <c r="O119" i="15" l="1"/>
  <c r="AQ277" i="13"/>
  <c r="AP277" i="13"/>
  <c r="AQ122" i="13"/>
  <c r="AP122" i="13"/>
  <c r="AW122" i="13" s="1"/>
  <c r="AQ43" i="13"/>
  <c r="AP43" i="13"/>
  <c r="AQ361" i="13"/>
  <c r="AR361" i="13"/>
  <c r="AP361" i="13"/>
  <c r="AW361" i="13" s="1"/>
  <c r="AQ387" i="13"/>
  <c r="AP387" i="13"/>
  <c r="AW387" i="13" s="1"/>
  <c r="AR387" i="13"/>
  <c r="AQ149" i="13"/>
  <c r="AP149" i="13"/>
  <c r="AW149" i="13" s="1"/>
  <c r="AP292" i="13"/>
  <c r="AW292" i="13" s="1"/>
  <c r="AQ292" i="13"/>
  <c r="N116" i="15"/>
  <c r="Q116" i="15" s="1"/>
  <c r="AR173" i="13"/>
  <c r="AP173" i="13"/>
  <c r="AW173" i="13" s="1"/>
  <c r="AQ173" i="13"/>
  <c r="N147" i="15"/>
  <c r="O147" i="15" s="1"/>
  <c r="AQ219" i="13"/>
  <c r="AP219" i="13"/>
  <c r="AW219" i="13" s="1"/>
  <c r="AR219" i="13"/>
  <c r="N148" i="15"/>
  <c r="O148" i="15" s="1"/>
  <c r="AP220" i="13"/>
  <c r="AR220" i="13"/>
  <c r="AQ220" i="13"/>
  <c r="N90" i="15"/>
  <c r="O90" i="15" s="1"/>
  <c r="AP140" i="13"/>
  <c r="AW140" i="13" s="1"/>
  <c r="AQ140" i="13"/>
  <c r="AR140" i="13"/>
  <c r="N72" i="15"/>
  <c r="Q72" i="15" s="1"/>
  <c r="AR106" i="13"/>
  <c r="AQ106" i="13"/>
  <c r="AP106" i="13"/>
  <c r="AW106" i="13" s="1"/>
  <c r="N27" i="15"/>
  <c r="P27" i="15" s="1"/>
  <c r="AR37" i="13"/>
  <c r="AP37" i="13"/>
  <c r="AW37" i="13" s="1"/>
  <c r="AQ37" i="13"/>
  <c r="N184" i="15"/>
  <c r="P184" i="15" s="1"/>
  <c r="AQ273" i="13"/>
  <c r="AR273" i="13"/>
  <c r="AP273" i="13"/>
  <c r="AW273" i="13" s="1"/>
  <c r="N241" i="15"/>
  <c r="Q241" i="15" s="1"/>
  <c r="AR356" i="13"/>
  <c r="AP356" i="13"/>
  <c r="AW356" i="13" s="1"/>
  <c r="AQ356" i="13"/>
  <c r="N53" i="15"/>
  <c r="Q53" i="15" s="1"/>
  <c r="AP80" i="13"/>
  <c r="AW80" i="13" s="1"/>
  <c r="AQ80" i="13"/>
  <c r="AR80" i="13"/>
  <c r="AQ113" i="13"/>
  <c r="AP113" i="13"/>
  <c r="AW113" i="13" s="1"/>
  <c r="AR145" i="13"/>
  <c r="AP145" i="13"/>
  <c r="AQ145" i="13"/>
  <c r="AR280" i="13"/>
  <c r="AP280" i="13"/>
  <c r="AW280" i="13" s="1"/>
  <c r="AQ280" i="13"/>
  <c r="AQ234" i="13"/>
  <c r="AP234" i="13"/>
  <c r="AW234" i="13" s="1"/>
  <c r="AP72" i="13"/>
  <c r="AR72" i="13"/>
  <c r="AQ72" i="13"/>
  <c r="AP188" i="13"/>
  <c r="AW188" i="13" s="1"/>
  <c r="AQ188" i="13"/>
  <c r="AP41" i="13"/>
  <c r="AW41" i="13" s="1"/>
  <c r="AQ41" i="13"/>
  <c r="AQ67" i="13"/>
  <c r="AP67" i="13"/>
  <c r="AW67" i="13" s="1"/>
  <c r="AQ62" i="13"/>
  <c r="AP62" i="13"/>
  <c r="AW62" i="13" s="1"/>
  <c r="AQ79" i="13"/>
  <c r="AP79" i="13"/>
  <c r="AW79" i="13" s="1"/>
  <c r="AP295" i="13"/>
  <c r="AW295" i="13" s="1"/>
  <c r="AQ295" i="13"/>
  <c r="AP64" i="13"/>
  <c r="AW64" i="13" s="1"/>
  <c r="AQ64" i="13"/>
  <c r="AQ254" i="13"/>
  <c r="AP254" i="13"/>
  <c r="AW254" i="13" s="1"/>
  <c r="AQ242" i="13"/>
  <c r="AP242" i="13"/>
  <c r="AW242" i="13" s="1"/>
  <c r="AR416" i="13"/>
  <c r="AP416" i="13"/>
  <c r="AW416" i="13" s="1"/>
  <c r="AQ416" i="13"/>
  <c r="AR34" i="13"/>
  <c r="AQ34" i="13"/>
  <c r="AP34" i="13"/>
  <c r="AW34" i="13" s="1"/>
  <c r="N117" i="15"/>
  <c r="P117" i="15" s="1"/>
  <c r="AR174" i="13"/>
  <c r="AQ174" i="13"/>
  <c r="AP174" i="13"/>
  <c r="N38" i="15"/>
  <c r="P38" i="15" s="1"/>
  <c r="AR54" i="13"/>
  <c r="AQ54" i="13"/>
  <c r="AP54" i="13"/>
  <c r="AW54" i="13" s="1"/>
  <c r="N203" i="15"/>
  <c r="O203" i="15" s="1"/>
  <c r="AR300" i="13"/>
  <c r="AQ300" i="13"/>
  <c r="AP300" i="13"/>
  <c r="AW300" i="13" s="1"/>
  <c r="N20" i="15"/>
  <c r="P20" i="15" s="1"/>
  <c r="AQ27" i="13"/>
  <c r="AP27" i="13"/>
  <c r="AR27" i="13"/>
  <c r="N96" i="15"/>
  <c r="Q96" i="15" s="1"/>
  <c r="AP148" i="13"/>
  <c r="AW148" i="13" s="1"/>
  <c r="AQ148" i="13"/>
  <c r="AR148" i="13"/>
  <c r="N110" i="15"/>
  <c r="Q110" i="15" s="1"/>
  <c r="AQ167" i="13"/>
  <c r="AP167" i="13"/>
  <c r="AW167" i="13" s="1"/>
  <c r="AR167" i="13"/>
  <c r="N234" i="15"/>
  <c r="O234" i="15" s="1"/>
  <c r="AP346" i="13"/>
  <c r="AW346" i="13" s="1"/>
  <c r="AR346" i="13"/>
  <c r="AQ346" i="13"/>
  <c r="N238" i="15"/>
  <c r="Q238" i="15" s="1"/>
  <c r="AR352" i="13"/>
  <c r="AP352" i="13"/>
  <c r="AQ352" i="13"/>
  <c r="N141" i="15"/>
  <c r="P141" i="15" s="1"/>
  <c r="AP208" i="13"/>
  <c r="AW208" i="13" s="1"/>
  <c r="AR208" i="13"/>
  <c r="AQ208" i="13"/>
  <c r="AQ256" i="13"/>
  <c r="AP256" i="13"/>
  <c r="AW256" i="13" s="1"/>
  <c r="AP36" i="13"/>
  <c r="AR36" i="13"/>
  <c r="AQ36" i="13"/>
  <c r="AQ115" i="13"/>
  <c r="AP115" i="13"/>
  <c r="AR221" i="13"/>
  <c r="AQ221" i="13"/>
  <c r="AP221" i="13"/>
  <c r="AW221" i="13" s="1"/>
  <c r="AQ155" i="13"/>
  <c r="AP155" i="13"/>
  <c r="AW155" i="13" s="1"/>
  <c r="AP132" i="13"/>
  <c r="AW132" i="13" s="1"/>
  <c r="AQ132" i="13"/>
  <c r="AR284" i="13"/>
  <c r="AQ284" i="13"/>
  <c r="AP284" i="13"/>
  <c r="AW284" i="13" s="1"/>
  <c r="AP231" i="13"/>
  <c r="AW231" i="13" s="1"/>
  <c r="AQ231" i="13"/>
  <c r="AR65" i="13"/>
  <c r="AP65" i="13"/>
  <c r="AQ65" i="13"/>
  <c r="AQ71" i="13"/>
  <c r="AP71" i="13"/>
  <c r="AW71" i="13" s="1"/>
  <c r="AR232" i="13"/>
  <c r="AP232" i="13"/>
  <c r="AQ232" i="13"/>
  <c r="AR161" i="13"/>
  <c r="AQ161" i="13"/>
  <c r="AP161" i="13"/>
  <c r="AW161" i="13" s="1"/>
  <c r="AR105" i="13"/>
  <c r="AQ105" i="13"/>
  <c r="AP105" i="13"/>
  <c r="AQ329" i="13"/>
  <c r="AP329" i="13"/>
  <c r="AW329" i="13" s="1"/>
  <c r="AR114" i="13"/>
  <c r="AQ114" i="13"/>
  <c r="AP114" i="13"/>
  <c r="AW114" i="13" s="1"/>
  <c r="N167" i="15"/>
  <c r="Q167" i="15" s="1"/>
  <c r="AP247" i="13"/>
  <c r="AW247" i="13" s="1"/>
  <c r="AR247" i="13"/>
  <c r="AQ247" i="13"/>
  <c r="N14" i="15"/>
  <c r="O14" i="15" s="1"/>
  <c r="AR17" i="13"/>
  <c r="AP17" i="13"/>
  <c r="AW17" i="13" s="1"/>
  <c r="AQ17" i="13"/>
  <c r="N54" i="15"/>
  <c r="P54" i="15" s="1"/>
  <c r="AR81" i="13"/>
  <c r="AQ81" i="13"/>
  <c r="AP81" i="13"/>
  <c r="AW81" i="13" s="1"/>
  <c r="N202" i="15"/>
  <c r="O202" i="15" s="1"/>
  <c r="AQ299" i="13"/>
  <c r="AP299" i="13"/>
  <c r="AW299" i="13" s="1"/>
  <c r="AR299" i="13"/>
  <c r="N240" i="15"/>
  <c r="Q240" i="15" s="1"/>
  <c r="AQ355" i="13"/>
  <c r="AR355" i="13"/>
  <c r="AP355" i="13"/>
  <c r="AW355" i="13" s="1"/>
  <c r="N210" i="15"/>
  <c r="O210" i="15" s="1"/>
  <c r="AP310" i="13"/>
  <c r="AW310" i="13" s="1"/>
  <c r="AQ310" i="13"/>
  <c r="AR310" i="13"/>
  <c r="N28" i="15"/>
  <c r="O28" i="15" s="1"/>
  <c r="AQ39" i="13"/>
  <c r="AP39" i="13"/>
  <c r="AW39" i="13" s="1"/>
  <c r="AR39" i="13"/>
  <c r="N69" i="15"/>
  <c r="P69" i="15" s="1"/>
  <c r="AQ103" i="13"/>
  <c r="AP103" i="13"/>
  <c r="AR103" i="13"/>
  <c r="N13" i="15"/>
  <c r="P13" i="15" s="1"/>
  <c r="AP16" i="13"/>
  <c r="AW16" i="13" s="1"/>
  <c r="AR16" i="13"/>
  <c r="AQ16" i="13"/>
  <c r="AP320" i="13"/>
  <c r="AQ320" i="13"/>
  <c r="AQ46" i="13"/>
  <c r="AP46" i="13"/>
  <c r="AQ38" i="13"/>
  <c r="AP38" i="13"/>
  <c r="AW38" i="13" s="1"/>
  <c r="AQ175" i="13"/>
  <c r="AP175" i="13"/>
  <c r="AW175" i="13" s="1"/>
  <c r="AQ241" i="13"/>
  <c r="AP241" i="13"/>
  <c r="AW241" i="13" s="1"/>
  <c r="AQ99" i="13"/>
  <c r="AP99" i="13"/>
  <c r="AW99" i="13" s="1"/>
  <c r="AQ225" i="13"/>
  <c r="AP225" i="13"/>
  <c r="AW225" i="13" s="1"/>
  <c r="AQ289" i="13"/>
  <c r="AP289" i="13"/>
  <c r="AW289" i="13" s="1"/>
  <c r="AQ78" i="13"/>
  <c r="AP78" i="13"/>
  <c r="AW78" i="13" s="1"/>
  <c r="AQ197" i="13"/>
  <c r="AP197" i="13"/>
  <c r="AP189" i="13"/>
  <c r="AW189" i="13" s="1"/>
  <c r="AQ189" i="13"/>
  <c r="AQ31" i="13"/>
  <c r="AP31" i="13"/>
  <c r="AW31" i="13" s="1"/>
  <c r="N219" i="15"/>
  <c r="P219" i="15" s="1"/>
  <c r="AR324" i="13"/>
  <c r="AP324" i="13"/>
  <c r="AW324" i="13" s="1"/>
  <c r="AQ324" i="13"/>
  <c r="N191" i="15"/>
  <c r="O191" i="15" s="1"/>
  <c r="AQ283" i="13"/>
  <c r="AP283" i="13"/>
  <c r="AR283" i="13"/>
  <c r="N42" i="15"/>
  <c r="Q42" i="15" s="1"/>
  <c r="AQ59" i="13"/>
  <c r="AP59" i="13"/>
  <c r="AW59" i="13" s="1"/>
  <c r="AR59" i="13"/>
  <c r="N181" i="15"/>
  <c r="Q181" i="15" s="1"/>
  <c r="AP270" i="13"/>
  <c r="AW270" i="13" s="1"/>
  <c r="AQ270" i="13"/>
  <c r="AR270" i="13"/>
  <c r="N165" i="15"/>
  <c r="O165" i="15" s="1"/>
  <c r="AP243" i="13"/>
  <c r="AQ243" i="13"/>
  <c r="AR243" i="13"/>
  <c r="N135" i="15"/>
  <c r="Q135" i="15" s="1"/>
  <c r="AP196" i="13"/>
  <c r="AQ196" i="13"/>
  <c r="AR196" i="13"/>
  <c r="N89" i="15"/>
  <c r="P89" i="15" s="1"/>
  <c r="AR137" i="13"/>
  <c r="AQ137" i="13"/>
  <c r="AP137" i="13"/>
  <c r="AW137" i="13" s="1"/>
  <c r="N11" i="15"/>
  <c r="Q11" i="15" s="1"/>
  <c r="AP12" i="13"/>
  <c r="AW12" i="13" s="1"/>
  <c r="AR12" i="13"/>
  <c r="AQ12" i="13"/>
  <c r="AP24" i="13"/>
  <c r="AW24" i="13" s="1"/>
  <c r="AQ24" i="13"/>
  <c r="AP168" i="13"/>
  <c r="AW168" i="13" s="1"/>
  <c r="AQ168" i="13"/>
  <c r="AR168" i="13"/>
  <c r="AQ333" i="13"/>
  <c r="AP333" i="13"/>
  <c r="AR217" i="13"/>
  <c r="AQ217" i="13"/>
  <c r="AP217" i="13"/>
  <c r="AW217" i="13" s="1"/>
  <c r="AQ301" i="13"/>
  <c r="AR301" i="13"/>
  <c r="AP301" i="13"/>
  <c r="AW301" i="13" s="1"/>
  <c r="AG315" i="13"/>
  <c r="AG187" i="13"/>
  <c r="AG309" i="13"/>
  <c r="AG240" i="13"/>
  <c r="AH240" i="13" s="1"/>
  <c r="AJ240" i="13" s="1"/>
  <c r="AG199" i="13"/>
  <c r="AH199" i="13" s="1"/>
  <c r="AJ199" i="13" s="1"/>
  <c r="AG121" i="13"/>
  <c r="AG101" i="13"/>
  <c r="AG159" i="13"/>
  <c r="AG151" i="13"/>
  <c r="AG32" i="13"/>
  <c r="AG259" i="13"/>
  <c r="AH259" i="13" s="1"/>
  <c r="AG182" i="13"/>
  <c r="AG30" i="13"/>
  <c r="AH30" i="13" s="1"/>
  <c r="AJ30" i="13" s="1"/>
  <c r="AG202" i="13"/>
  <c r="AG147" i="13"/>
  <c r="AG313" i="13"/>
  <c r="AH313" i="13" s="1"/>
  <c r="AJ313" i="13" s="1"/>
  <c r="AG267" i="13"/>
  <c r="AH267" i="13" s="1"/>
  <c r="AG68" i="13"/>
  <c r="AH68" i="13" s="1"/>
  <c r="AJ68" i="13" s="1"/>
  <c r="AG276" i="13"/>
  <c r="AH276" i="13" s="1"/>
  <c r="AJ276" i="13" s="1"/>
  <c r="AG249" i="13"/>
  <c r="AH249" i="13" s="1"/>
  <c r="AG338" i="13"/>
  <c r="AG293" i="13"/>
  <c r="AG345" i="13"/>
  <c r="AG344" i="13"/>
  <c r="AG146" i="13"/>
  <c r="AG263" i="13"/>
  <c r="AH263" i="13" s="1"/>
  <c r="AJ263" i="13" s="1"/>
  <c r="AG60" i="13"/>
  <c r="AH60" i="13" s="1"/>
  <c r="AJ60" i="13" s="1"/>
  <c r="AG57" i="13"/>
  <c r="AH57" i="13" s="1"/>
  <c r="AG230" i="13"/>
  <c r="AH230" i="13" s="1"/>
  <c r="AG109" i="13"/>
  <c r="AG119" i="13"/>
  <c r="AG359" i="13"/>
  <c r="AG260" i="13"/>
  <c r="AH260" i="13" s="1"/>
  <c r="AG248" i="13"/>
  <c r="AG116" i="13"/>
  <c r="AH116" i="13" s="1"/>
  <c r="AG22" i="13"/>
  <c r="AG142" i="13"/>
  <c r="AH142" i="13" s="1"/>
  <c r="AJ142" i="13" s="1"/>
  <c r="AG52" i="13"/>
  <c r="AH52" i="13" s="1"/>
  <c r="AG84" i="13"/>
  <c r="AG272" i="13"/>
  <c r="AH272" i="13" s="1"/>
  <c r="AG296" i="13"/>
  <c r="AH296" i="13" s="1"/>
  <c r="AJ296" i="13" s="1"/>
  <c r="AG228" i="13"/>
  <c r="AG157" i="13"/>
  <c r="AH157" i="13" s="1"/>
  <c r="AG96" i="13"/>
  <c r="AH96" i="13" s="1"/>
  <c r="AJ96" i="13" s="1"/>
  <c r="AG274" i="13"/>
  <c r="AG351" i="13"/>
  <c r="AG238" i="13"/>
  <c r="AG124" i="13"/>
  <c r="AG190" i="13"/>
  <c r="AG91" i="13"/>
  <c r="AG138" i="13"/>
  <c r="AH138" i="13" s="1"/>
  <c r="AJ138" i="13" s="1"/>
  <c r="AG337" i="13"/>
  <c r="AG75" i="13"/>
  <c r="AG107" i="13"/>
  <c r="AG33" i="13"/>
  <c r="AG269" i="13"/>
  <c r="AG203" i="13"/>
  <c r="AH203" i="13" s="1"/>
  <c r="AJ203" i="13" s="1"/>
  <c r="AG253" i="13"/>
  <c r="AG304" i="13"/>
  <c r="AH304" i="13" s="1"/>
  <c r="AJ304" i="13" s="1"/>
  <c r="AG92" i="13"/>
  <c r="AG123" i="13"/>
  <c r="AG332" i="13"/>
  <c r="AG321" i="13"/>
  <c r="AG180" i="13"/>
  <c r="AG286" i="13"/>
  <c r="AH286" i="13" s="1"/>
  <c r="AJ286" i="13" s="1"/>
  <c r="AG246" i="13"/>
  <c r="AG49" i="13"/>
  <c r="AG353" i="13"/>
  <c r="AG336" i="13"/>
  <c r="AG195" i="13"/>
  <c r="AH195" i="13" s="1"/>
  <c r="AJ195" i="13" s="1"/>
  <c r="AG50" i="13"/>
  <c r="AG153" i="13"/>
  <c r="AG339" i="13"/>
  <c r="AG18" i="13"/>
  <c r="AG201" i="13"/>
  <c r="AH201" i="13" s="1"/>
  <c r="AJ201" i="13" s="1"/>
  <c r="AG342" i="13"/>
  <c r="AH342" i="13" s="1"/>
  <c r="AJ342" i="13" s="1"/>
  <c r="AG229" i="13"/>
  <c r="AG156" i="13"/>
  <c r="AG319" i="13"/>
  <c r="AG198" i="13"/>
  <c r="AH198" i="13" s="1"/>
  <c r="AG316" i="13"/>
  <c r="AG279" i="13"/>
  <c r="AH279" i="13" s="1"/>
  <c r="AJ279" i="13" s="1"/>
  <c r="AG215" i="13"/>
  <c r="AG111" i="13"/>
  <c r="AH111" i="13" s="1"/>
  <c r="AJ111" i="13" s="1"/>
  <c r="AG235" i="13"/>
  <c r="AH235" i="13" s="1"/>
  <c r="AJ235" i="13" s="1"/>
  <c r="AG163" i="13"/>
  <c r="AH163" i="13" s="1"/>
  <c r="AG21" i="13"/>
  <c r="AH21" i="13" s="1"/>
  <c r="AJ21" i="13" s="1"/>
  <c r="AG314" i="13"/>
  <c r="AH314" i="13" s="1"/>
  <c r="AG317" i="13"/>
  <c r="AH317" i="13" s="1"/>
  <c r="AG261" i="13"/>
  <c r="AG20" i="13"/>
  <c r="AG312" i="13"/>
  <c r="AG181" i="13"/>
  <c r="AG287" i="13"/>
  <c r="AH287" i="13" s="1"/>
  <c r="AJ287" i="13" s="1"/>
  <c r="AG104" i="13"/>
  <c r="AH104" i="13" s="1"/>
  <c r="AG322" i="13"/>
  <c r="AH322" i="13" s="1"/>
  <c r="AJ322" i="13" s="1"/>
  <c r="AG290" i="13"/>
  <c r="AH290" i="13" s="1"/>
  <c r="AG48" i="13"/>
  <c r="AG74" i="13"/>
  <c r="AH74" i="13" s="1"/>
  <c r="AJ74" i="13" s="1"/>
  <c r="AG222" i="13"/>
  <c r="AH222" i="13" s="1"/>
  <c r="AG15" i="13"/>
  <c r="AH15" i="13" s="1"/>
  <c r="AJ15" i="13" s="1"/>
  <c r="AG237" i="13"/>
  <c r="AH237" i="13" s="1"/>
  <c r="AJ237" i="13" s="1"/>
  <c r="AG426" i="13"/>
  <c r="AG412" i="13"/>
  <c r="AG407" i="13"/>
  <c r="AG434" i="13"/>
  <c r="AG414" i="13"/>
  <c r="AG417" i="13"/>
  <c r="AG384" i="13"/>
  <c r="AG446" i="13"/>
  <c r="AG404" i="13"/>
  <c r="AG442" i="13"/>
  <c r="AG375" i="13"/>
  <c r="AG369" i="13"/>
  <c r="AG420" i="13"/>
  <c r="AG383" i="13"/>
  <c r="AG411" i="13"/>
  <c r="AG389" i="13"/>
  <c r="AG436" i="13"/>
  <c r="AG402" i="13"/>
  <c r="AG385" i="13"/>
  <c r="AG364" i="13"/>
  <c r="AG376" i="13"/>
  <c r="AG378" i="13"/>
  <c r="AL12" i="13"/>
  <c r="AM12" i="13" s="1"/>
  <c r="AL355" i="13"/>
  <c r="AM355" i="13" s="1"/>
  <c r="AK17" i="13"/>
  <c r="AL283" i="13"/>
  <c r="AM283" i="13" s="1"/>
  <c r="AL270" i="13"/>
  <c r="AM270" i="13" s="1"/>
  <c r="AL17" i="13"/>
  <c r="AM17" i="13" s="1"/>
  <c r="AL243" i="13"/>
  <c r="AM243" i="13" s="1"/>
  <c r="AG438" i="13"/>
  <c r="AG427" i="13"/>
  <c r="AG439" i="13"/>
  <c r="AG433" i="13"/>
  <c r="AG362" i="13"/>
  <c r="AG381" i="13"/>
  <c r="AG368" i="13"/>
  <c r="AG428" i="13"/>
  <c r="AG374" i="13"/>
  <c r="AG403" i="13"/>
  <c r="AG367" i="13"/>
  <c r="AG371" i="13"/>
  <c r="AG423" i="13"/>
  <c r="AG397" i="13"/>
  <c r="AG413" i="13"/>
  <c r="AK81" i="13"/>
  <c r="AL81" i="13"/>
  <c r="AM81" i="13" s="1"/>
  <c r="AL137" i="13"/>
  <c r="AM137" i="13" s="1"/>
  <c r="Q152" i="15"/>
  <c r="AK12" i="13"/>
  <c r="AK355" i="13"/>
  <c r="AL310" i="13"/>
  <c r="AM310" i="13" s="1"/>
  <c r="AK299" i="13"/>
  <c r="AG421" i="13"/>
  <c r="AG419" i="13"/>
  <c r="P65" i="15"/>
  <c r="AK137" i="13"/>
  <c r="AK247" i="13"/>
  <c r="AL299" i="13"/>
  <c r="AM299" i="13" s="1"/>
  <c r="AG386" i="13"/>
  <c r="AL247" i="13"/>
  <c r="AM247" i="13" s="1"/>
  <c r="O65" i="15"/>
  <c r="AK310" i="13"/>
  <c r="AL208" i="13"/>
  <c r="AM208" i="13" s="1"/>
  <c r="AL300" i="13"/>
  <c r="AM300" i="13" s="1"/>
  <c r="AK208" i="13"/>
  <c r="AK27" i="13"/>
  <c r="AK174" i="13"/>
  <c r="AL54" i="13"/>
  <c r="AM54" i="13" s="1"/>
  <c r="AL148" i="13"/>
  <c r="AM148" i="13" s="1"/>
  <c r="AL37" i="13"/>
  <c r="AM37" i="13" s="1"/>
  <c r="AK219" i="13"/>
  <c r="AK220" i="13"/>
  <c r="AK346" i="13"/>
  <c r="AL174" i="13"/>
  <c r="AM174" i="13" s="1"/>
  <c r="AK167" i="13"/>
  <c r="P152" i="15"/>
  <c r="AW174" i="13"/>
  <c r="AW283" i="13"/>
  <c r="AL324" i="13"/>
  <c r="AM324" i="13" s="1"/>
  <c r="AK270" i="13"/>
  <c r="AW196" i="13"/>
  <c r="AL356" i="13"/>
  <c r="AM356" i="13" s="1"/>
  <c r="AK356" i="13"/>
  <c r="AW243" i="13"/>
  <c r="AL59" i="13"/>
  <c r="AM59" i="13" s="1"/>
  <c r="AK59" i="13"/>
  <c r="AL27" i="13"/>
  <c r="AM27" i="13" s="1"/>
  <c r="AW27" i="13"/>
  <c r="AK324" i="13"/>
  <c r="AK54" i="13"/>
  <c r="AL80" i="13"/>
  <c r="AM80" i="13" s="1"/>
  <c r="AK80" i="13"/>
  <c r="AK196" i="13"/>
  <c r="AK148" i="13"/>
  <c r="AL167" i="13"/>
  <c r="AM167" i="13" s="1"/>
  <c r="AL39" i="13"/>
  <c r="AM39" i="13" s="1"/>
  <c r="AK243" i="13"/>
  <c r="AL173" i="13"/>
  <c r="AM173" i="13" s="1"/>
  <c r="AL220" i="13"/>
  <c r="AM220" i="13" s="1"/>
  <c r="AW220" i="13"/>
  <c r="AL352" i="13"/>
  <c r="AM352" i="13" s="1"/>
  <c r="AK106" i="13"/>
  <c r="AK16" i="13"/>
  <c r="AL273" i="13"/>
  <c r="AM273" i="13" s="1"/>
  <c r="AK37" i="13"/>
  <c r="AW103" i="13"/>
  <c r="AL346" i="13"/>
  <c r="AM346" i="13" s="1"/>
  <c r="AL219" i="13"/>
  <c r="AM219" i="13" s="1"/>
  <c r="AK173" i="13"/>
  <c r="AW352" i="13"/>
  <c r="AL16" i="13"/>
  <c r="AM16" i="13" s="1"/>
  <c r="AK273" i="13"/>
  <c r="AL140" i="13"/>
  <c r="AM140" i="13" s="1"/>
  <c r="AK140" i="13"/>
  <c r="AK103" i="13"/>
  <c r="AK352" i="13"/>
  <c r="AL106" i="13"/>
  <c r="AM106" i="13" s="1"/>
  <c r="Q86" i="15"/>
  <c r="AJ281" i="13"/>
  <c r="AJ126" i="13"/>
  <c r="AJ88" i="13"/>
  <c r="AK88" i="13" s="1"/>
  <c r="AJ134" i="13"/>
  <c r="AJ160" i="13"/>
  <c r="AJ94" i="13"/>
  <c r="AK94" i="13" s="1"/>
  <c r="AJ297" i="13"/>
  <c r="AL297" i="13" s="1"/>
  <c r="AM297" i="13" s="1"/>
  <c r="AJ218" i="13"/>
  <c r="AJ193" i="13"/>
  <c r="N188" i="15"/>
  <c r="N204" i="15"/>
  <c r="O204" i="15" s="1"/>
  <c r="AJ55" i="13"/>
  <c r="AJ205" i="13"/>
  <c r="AJ200" i="13"/>
  <c r="AJ191" i="13"/>
  <c r="AJ275" i="13"/>
  <c r="AJ207" i="13"/>
  <c r="AJ14" i="13"/>
  <c r="AJ108" i="13"/>
  <c r="N111" i="15"/>
  <c r="N105" i="15"/>
  <c r="N145" i="15"/>
  <c r="AJ76" i="13"/>
  <c r="AJ282" i="13"/>
  <c r="AJ162" i="13"/>
  <c r="AJ252" i="13"/>
  <c r="AJ340" i="13"/>
  <c r="AJ305" i="13"/>
  <c r="AJ210" i="13"/>
  <c r="AJ98" i="13"/>
  <c r="AJ227" i="13"/>
  <c r="AJ87" i="13"/>
  <c r="AJ185" i="13"/>
  <c r="N192" i="15"/>
  <c r="N45" i="15"/>
  <c r="N158" i="15"/>
  <c r="N93" i="15"/>
  <c r="N149" i="15"/>
  <c r="N71" i="15"/>
  <c r="N78" i="15"/>
  <c r="P78" i="15" s="1"/>
  <c r="N26" i="15"/>
  <c r="O26" i="15" s="1"/>
  <c r="AJ35" i="13"/>
  <c r="AJ58" i="13"/>
  <c r="AK58" i="13" s="1"/>
  <c r="AJ19" i="13"/>
  <c r="AJ102" i="13"/>
  <c r="AJ66" i="13"/>
  <c r="AJ349" i="13"/>
  <c r="AJ302" i="13"/>
  <c r="AJ44" i="13"/>
  <c r="AJ144" i="13"/>
  <c r="AL144" i="13" s="1"/>
  <c r="AM144" i="13" s="1"/>
  <c r="AJ73" i="13"/>
  <c r="AJ120" i="13"/>
  <c r="AJ70" i="13"/>
  <c r="AJ358" i="13"/>
  <c r="AJ127" i="13"/>
  <c r="P86" i="15"/>
  <c r="N245" i="15"/>
  <c r="N271" i="15"/>
  <c r="N24" i="15"/>
  <c r="Q24" i="15" s="1"/>
  <c r="AL149" i="13"/>
  <c r="AL31" i="13"/>
  <c r="AM31" i="13" s="1"/>
  <c r="AL114" i="13"/>
  <c r="AM114" i="13" s="1"/>
  <c r="AK114" i="13"/>
  <c r="AL189" i="13"/>
  <c r="AM189" i="13" s="1"/>
  <c r="AL329" i="13"/>
  <c r="AL292" i="13"/>
  <c r="AL155" i="13"/>
  <c r="AM155" i="13" s="1"/>
  <c r="AL301" i="13"/>
  <c r="AM301" i="13" s="1"/>
  <c r="AK301" i="13"/>
  <c r="AK36" i="13"/>
  <c r="AW36" i="13"/>
  <c r="AL36" i="13"/>
  <c r="AM36" i="13" s="1"/>
  <c r="AH184" i="13"/>
  <c r="AH135" i="13"/>
  <c r="AJ135" i="13" s="1"/>
  <c r="AH330" i="13"/>
  <c r="AJ330" i="13" s="1"/>
  <c r="AH194" i="13"/>
  <c r="AJ194" i="13" s="1"/>
  <c r="AH170" i="13"/>
  <c r="AH255" i="13"/>
  <c r="AJ255" i="13" s="1"/>
  <c r="AH100" i="13"/>
  <c r="AJ100" i="13" s="1"/>
  <c r="AH341" i="13"/>
  <c r="AJ341" i="13" s="1"/>
  <c r="AH40" i="13"/>
  <c r="AH93" i="13"/>
  <c r="AJ93" i="13" s="1"/>
  <c r="AH278" i="13"/>
  <c r="AH63" i="13"/>
  <c r="AJ63" i="13" s="1"/>
  <c r="AH139" i="13"/>
  <c r="AJ139" i="13" s="1"/>
  <c r="AH172" i="13"/>
  <c r="AJ172" i="13" s="1"/>
  <c r="AH26" i="13"/>
  <c r="AJ26" i="13" s="1"/>
  <c r="AH265" i="13"/>
  <c r="AJ265" i="13" s="1"/>
  <c r="AH186" i="13"/>
  <c r="AH244" i="13"/>
  <c r="AH28" i="13"/>
  <c r="AJ28" i="13" s="1"/>
  <c r="AH89" i="13"/>
  <c r="AJ89" i="13" s="1"/>
  <c r="AH326" i="13"/>
  <c r="AH47" i="13"/>
  <c r="AJ47" i="13" s="1"/>
  <c r="AH245" i="13"/>
  <c r="AJ245" i="13" s="1"/>
  <c r="AH328" i="13"/>
  <c r="AJ328" i="13" s="1"/>
  <c r="AH136" i="13"/>
  <c r="AJ136" i="13" s="1"/>
  <c r="AH306" i="13"/>
  <c r="AJ306" i="13" s="1"/>
  <c r="AH85" i="13"/>
  <c r="AJ85" i="13" s="1"/>
  <c r="AL197" i="13"/>
  <c r="AM197" i="13" s="1"/>
  <c r="AL387" i="13"/>
  <c r="AM387" i="13" s="1"/>
  <c r="AK387" i="13"/>
  <c r="AH372" i="13"/>
  <c r="AJ372" i="13" s="1"/>
  <c r="AH396" i="13"/>
  <c r="AJ396" i="13" s="1"/>
  <c r="AH399" i="13"/>
  <c r="AJ399" i="13" s="1"/>
  <c r="AH377" i="13"/>
  <c r="AJ377" i="13" s="1"/>
  <c r="AH429" i="13"/>
  <c r="AJ429" i="13" s="1"/>
  <c r="AH363" i="13"/>
  <c r="AJ363" i="13" s="1"/>
  <c r="AH370" i="13"/>
  <c r="AJ370" i="13" s="1"/>
  <c r="AH430" i="13"/>
  <c r="AJ430" i="13" s="1"/>
  <c r="Q11" i="19"/>
  <c r="G24" i="12"/>
  <c r="Q12" i="19"/>
  <c r="H24" i="12"/>
  <c r="Q13" i="19"/>
  <c r="I24" i="12"/>
  <c r="H17" i="16"/>
  <c r="L17" i="16"/>
  <c r="K17" i="16"/>
  <c r="X425" i="13"/>
  <c r="X398" i="13"/>
  <c r="M425" i="13"/>
  <c r="AF425" i="13" s="1"/>
  <c r="M379" i="13"/>
  <c r="AF379" i="13" s="1"/>
  <c r="X379" i="13"/>
  <c r="M398" i="13"/>
  <c r="AF398" i="13" s="1"/>
  <c r="M424" i="13"/>
  <c r="AF424" i="13" s="1"/>
  <c r="M432" i="13"/>
  <c r="AF432" i="13" s="1"/>
  <c r="X233" i="13"/>
  <c r="M233" i="13"/>
  <c r="AF233" i="13" s="1"/>
  <c r="X424" i="13"/>
  <c r="X435" i="13"/>
  <c r="M435" i="13"/>
  <c r="AF435" i="13" s="1"/>
  <c r="X432" i="13"/>
  <c r="X447" i="13"/>
  <c r="M447" i="13"/>
  <c r="AF447" i="13" s="1"/>
  <c r="M327" i="13"/>
  <c r="AF327" i="13" s="1"/>
  <c r="X327" i="13"/>
  <c r="M236" i="13"/>
  <c r="AF236" i="13" s="1"/>
  <c r="X236" i="13"/>
  <c r="M298" i="13"/>
  <c r="AF298" i="13" s="1"/>
  <c r="X298" i="13"/>
  <c r="M382" i="13"/>
  <c r="AF382" i="13" s="1"/>
  <c r="X382" i="13"/>
  <c r="M409" i="13"/>
  <c r="AF409" i="13" s="1"/>
  <c r="X409" i="13"/>
  <c r="X154" i="13"/>
  <c r="M154" i="13"/>
  <c r="AF154" i="13" s="1"/>
  <c r="M350" i="13"/>
  <c r="AF350" i="13" s="1"/>
  <c r="X350" i="13"/>
  <c r="M206" i="13"/>
  <c r="AF206" i="13" s="1"/>
  <c r="X206" i="13"/>
  <c r="M130" i="13"/>
  <c r="AF130" i="13" s="1"/>
  <c r="X130" i="13"/>
  <c r="X335" i="13"/>
  <c r="M335" i="13"/>
  <c r="AF335" i="13" s="1"/>
  <c r="M95" i="13"/>
  <c r="AF95" i="13" s="1"/>
  <c r="X95" i="13"/>
  <c r="M318" i="13"/>
  <c r="AF318" i="13" s="1"/>
  <c r="X318" i="13"/>
  <c r="X392" i="13"/>
  <c r="M392" i="13"/>
  <c r="AF392" i="13" s="1"/>
  <c r="X443" i="13"/>
  <c r="AG443" i="13"/>
  <c r="X445" i="13"/>
  <c r="AG445" i="13"/>
  <c r="AH444" i="13"/>
  <c r="AJ444" i="13" s="1"/>
  <c r="AH373" i="13"/>
  <c r="AJ373" i="13" s="1"/>
  <c r="AH437" i="13"/>
  <c r="AJ437" i="13" s="1"/>
  <c r="AH391" i="13"/>
  <c r="AJ391" i="13" s="1"/>
  <c r="AH418" i="13"/>
  <c r="AJ418" i="13" s="1"/>
  <c r="AH422" i="13"/>
  <c r="AJ422" i="13" s="1"/>
  <c r="AL34" i="13"/>
  <c r="AM34" i="13" s="1"/>
  <c r="AL291" i="13"/>
  <c r="AK34" i="13"/>
  <c r="AW291" i="13"/>
  <c r="X400" i="13"/>
  <c r="M400" i="13"/>
  <c r="AF400" i="13" s="1"/>
  <c r="X183" i="13"/>
  <c r="M183" i="13"/>
  <c r="AF183" i="13" s="1"/>
  <c r="M307" i="13"/>
  <c r="AF307" i="13" s="1"/>
  <c r="X307" i="13"/>
  <c r="M405" i="13"/>
  <c r="AF405" i="13" s="1"/>
  <c r="X405" i="13"/>
  <c r="M394" i="13"/>
  <c r="AF394" i="13" s="1"/>
  <c r="X394" i="13"/>
  <c r="X29" i="13"/>
  <c r="M29" i="13"/>
  <c r="AF29" i="13" s="1"/>
  <c r="M357" i="13"/>
  <c r="AF357" i="13" s="1"/>
  <c r="X357" i="13"/>
  <c r="M226" i="13"/>
  <c r="X226" i="13"/>
  <c r="X110" i="13"/>
  <c r="M110" i="13"/>
  <c r="AF110" i="13" s="1"/>
  <c r="M257" i="13"/>
  <c r="AF257" i="13" s="1"/>
  <c r="X257" i="13"/>
  <c r="M334" i="13"/>
  <c r="AF334" i="13" s="1"/>
  <c r="X334" i="13"/>
  <c r="M395" i="13"/>
  <c r="AF395" i="13" s="1"/>
  <c r="X395" i="13"/>
  <c r="M325" i="13"/>
  <c r="AF325" i="13" s="1"/>
  <c r="X325" i="13"/>
  <c r="X251" i="13"/>
  <c r="M251" i="13"/>
  <c r="AF251" i="13" s="1"/>
  <c r="AW72" i="13"/>
  <c r="X406" i="13"/>
  <c r="M406" i="13"/>
  <c r="AF406" i="13" s="1"/>
  <c r="M331" i="13"/>
  <c r="X331" i="13"/>
  <c r="X365" i="13"/>
  <c r="M365" i="13"/>
  <c r="AF365" i="13" s="1"/>
  <c r="M408" i="13"/>
  <c r="AF408" i="13" s="1"/>
  <c r="X408" i="13"/>
  <c r="X401" i="13"/>
  <c r="M401" i="13"/>
  <c r="AF401" i="13" s="1"/>
  <c r="X380" i="13"/>
  <c r="M380" i="13"/>
  <c r="AF380" i="13" s="1"/>
  <c r="AH176" i="13"/>
  <c r="AJ176" i="13" s="1"/>
  <c r="AK98" i="13"/>
  <c r="AH164" i="13"/>
  <c r="AJ164" i="13" s="1"/>
  <c r="AH11" i="13"/>
  <c r="AJ11" i="13" s="1"/>
  <c r="AH285" i="13"/>
  <c r="AH250" i="13"/>
  <c r="AJ250" i="13" s="1"/>
  <c r="AH351" i="13"/>
  <c r="AJ351" i="13" s="1"/>
  <c r="AH239" i="13"/>
  <c r="O69" i="15"/>
  <c r="AH45" i="13"/>
  <c r="O52" i="15"/>
  <c r="Q52" i="15"/>
  <c r="P52" i="15"/>
  <c r="AK358" i="13"/>
  <c r="AL280" i="13"/>
  <c r="AM280" i="13" s="1"/>
  <c r="AK280" i="13"/>
  <c r="AW115" i="13"/>
  <c r="AL115" i="13"/>
  <c r="AL113" i="13"/>
  <c r="AH152" i="13"/>
  <c r="AJ152" i="13" s="1"/>
  <c r="AH22" i="13"/>
  <c r="AJ22" i="13" s="1"/>
  <c r="AH83" i="13"/>
  <c r="AJ83" i="13" s="1"/>
  <c r="AL78" i="13"/>
  <c r="AM78" i="13" s="1"/>
  <c r="AL254" i="13"/>
  <c r="AL256" i="13"/>
  <c r="AH53" i="13"/>
  <c r="AW333" i="13"/>
  <c r="AL333" i="13"/>
  <c r="AM333" i="13" s="1"/>
  <c r="AK66" i="13"/>
  <c r="AW46" i="13"/>
  <c r="AL46" i="13"/>
  <c r="AM46" i="13" s="1"/>
  <c r="AK252" i="13"/>
  <c r="AL41" i="13"/>
  <c r="AM41" i="13" s="1"/>
  <c r="AW145" i="13"/>
  <c r="AK145" i="13"/>
  <c r="AL145" i="13"/>
  <c r="AM145" i="13" s="1"/>
  <c r="AH86" i="13"/>
  <c r="AJ86" i="13" s="1"/>
  <c r="AH143" i="13"/>
  <c r="AJ143" i="13" s="1"/>
  <c r="AH308" i="13"/>
  <c r="AJ308" i="13" s="1"/>
  <c r="AW65" i="13"/>
  <c r="AK65" i="13"/>
  <c r="AL65" i="13"/>
  <c r="AM65" i="13" s="1"/>
  <c r="AL295" i="13"/>
  <c r="AM295" i="13" s="1"/>
  <c r="AH182" i="13"/>
  <c r="AJ182" i="13" s="1"/>
  <c r="AH23" i="13"/>
  <c r="AH212" i="13"/>
  <c r="AJ212" i="13" s="1"/>
  <c r="AW43" i="13"/>
  <c r="AL43" i="13"/>
  <c r="AM43" i="13" s="1"/>
  <c r="AL175" i="13"/>
  <c r="AL62" i="13"/>
  <c r="AM62" i="13" s="1"/>
  <c r="AK221" i="13"/>
  <c r="AL221" i="13"/>
  <c r="AM221" i="13" s="1"/>
  <c r="AL241" i="13"/>
  <c r="AL231" i="13"/>
  <c r="AM231" i="13" s="1"/>
  <c r="O42" i="15"/>
  <c r="AL79" i="13"/>
  <c r="AM79" i="13" s="1"/>
  <c r="Q54" i="15"/>
  <c r="AL188" i="13"/>
  <c r="AM188" i="13" s="1"/>
  <c r="Q97" i="15"/>
  <c r="O97" i="15"/>
  <c r="P97" i="15"/>
  <c r="AH61" i="13"/>
  <c r="O20" i="15"/>
  <c r="AW277" i="13"/>
  <c r="AL277" i="13"/>
  <c r="AK284" i="13"/>
  <c r="AL284" i="13"/>
  <c r="AM284" i="13" s="1"/>
  <c r="Q38" i="15"/>
  <c r="Q210" i="15"/>
  <c r="AL122" i="13"/>
  <c r="P144" i="15"/>
  <c r="O144" i="15"/>
  <c r="Q144" i="15"/>
  <c r="AK168" i="13"/>
  <c r="AL168" i="13"/>
  <c r="AM168" i="13" s="1"/>
  <c r="AW320" i="13"/>
  <c r="AL320" i="13"/>
  <c r="AW232" i="13"/>
  <c r="AK232" i="13"/>
  <c r="AL232" i="13"/>
  <c r="AM232" i="13" s="1"/>
  <c r="O121" i="15"/>
  <c r="Q121" i="15"/>
  <c r="P121" i="15"/>
  <c r="Q165" i="15"/>
  <c r="P18" i="15"/>
  <c r="O18" i="15"/>
  <c r="Q18" i="15"/>
  <c r="AL289" i="13"/>
  <c r="AM289" i="13" s="1"/>
  <c r="N1765" i="19"/>
  <c r="J22" i="12" s="1"/>
  <c r="K325" i="15"/>
  <c r="L325" i="15" s="1"/>
  <c r="H441" i="13"/>
  <c r="I441" i="13" s="1"/>
  <c r="AK361" i="13"/>
  <c r="AL361" i="13"/>
  <c r="AH169" i="13"/>
  <c r="O117" i="15"/>
  <c r="Q191" i="15"/>
  <c r="Q219" i="15"/>
  <c r="Q218" i="15"/>
  <c r="P218" i="15"/>
  <c r="O218" i="15"/>
  <c r="P240" i="15"/>
  <c r="P135" i="15"/>
  <c r="P238" i="15"/>
  <c r="O13" i="15"/>
  <c r="K332" i="15"/>
  <c r="G13" i="7"/>
  <c r="C16" i="7"/>
  <c r="AD12" i="7"/>
  <c r="P151" i="15"/>
  <c r="O151" i="15"/>
  <c r="Q151" i="15"/>
  <c r="AL67" i="13"/>
  <c r="AL99" i="13"/>
  <c r="AL38" i="13"/>
  <c r="AL24" i="13"/>
  <c r="AM24" i="13" s="1"/>
  <c r="AL234" i="13"/>
  <c r="AM234" i="13" s="1"/>
  <c r="AL225" i="13"/>
  <c r="AL71" i="13"/>
  <c r="AL64" i="13"/>
  <c r="P14" i="15"/>
  <c r="Q28" i="15"/>
  <c r="AK161" i="13"/>
  <c r="AL161" i="13"/>
  <c r="AM161" i="13" s="1"/>
  <c r="O179" i="15"/>
  <c r="P179" i="15"/>
  <c r="Q179" i="15"/>
  <c r="Q143" i="15"/>
  <c r="P143" i="15"/>
  <c r="O143" i="15"/>
  <c r="AK217" i="13"/>
  <c r="AL217" i="13"/>
  <c r="AM217" i="13" s="1"/>
  <c r="AW105" i="13"/>
  <c r="AK105" i="13"/>
  <c r="AL105" i="13"/>
  <c r="AM105" i="13" s="1"/>
  <c r="Q10" i="19"/>
  <c r="P14" i="19"/>
  <c r="P198" i="15"/>
  <c r="Q198" i="15"/>
  <c r="O198" i="15"/>
  <c r="H10" i="13"/>
  <c r="K10" i="15"/>
  <c r="L10" i="15" s="1"/>
  <c r="Q203" i="15"/>
  <c r="Q89" i="15"/>
  <c r="O109" i="15"/>
  <c r="Q109" i="15"/>
  <c r="P109" i="15"/>
  <c r="AL132" i="13"/>
  <c r="AM132" i="13" s="1"/>
  <c r="AH109" i="13"/>
  <c r="O11" i="15"/>
  <c r="AL242" i="13"/>
  <c r="AM242" i="13" s="1"/>
  <c r="O181" i="15"/>
  <c r="P110" i="15"/>
  <c r="O110" i="15"/>
  <c r="O135" i="15" l="1"/>
  <c r="P191" i="15"/>
  <c r="P42" i="15"/>
  <c r="P181" i="15"/>
  <c r="P11" i="15"/>
  <c r="O89" i="15"/>
  <c r="Q14" i="15"/>
  <c r="P165" i="15"/>
  <c r="O54" i="15"/>
  <c r="Q69" i="15"/>
  <c r="P202" i="15"/>
  <c r="P167" i="15"/>
  <c r="Q13" i="15"/>
  <c r="O240" i="15"/>
  <c r="Q202" i="15"/>
  <c r="P28" i="15"/>
  <c r="O167" i="15"/>
  <c r="O219" i="15"/>
  <c r="P210" i="15"/>
  <c r="AF226" i="13"/>
  <c r="AG226" i="13" s="1"/>
  <c r="AF331" i="13"/>
  <c r="AG331" i="13" s="1"/>
  <c r="AH331" i="13" s="1"/>
  <c r="AJ331" i="13" s="1"/>
  <c r="O53" i="15"/>
  <c r="O141" i="15"/>
  <c r="O184" i="15"/>
  <c r="O116" i="15"/>
  <c r="O96" i="15"/>
  <c r="O238" i="15"/>
  <c r="Q20" i="15"/>
  <c r="P234" i="15"/>
  <c r="Q90" i="15"/>
  <c r="P72" i="15"/>
  <c r="Q141" i="15"/>
  <c r="P203" i="15"/>
  <c r="Q27" i="15"/>
  <c r="Q148" i="15"/>
  <c r="P147" i="15"/>
  <c r="P241" i="15"/>
  <c r="O72" i="15"/>
  <c r="O27" i="15"/>
  <c r="P148" i="15"/>
  <c r="P96" i="15"/>
  <c r="Q117" i="15"/>
  <c r="P90" i="15"/>
  <c r="P53" i="15"/>
  <c r="O38" i="15"/>
  <c r="Q147" i="15"/>
  <c r="Q234" i="15"/>
  <c r="O241" i="15"/>
  <c r="Q184" i="15"/>
  <c r="P116" i="15"/>
  <c r="AP235" i="13"/>
  <c r="AW235" i="13" s="1"/>
  <c r="AQ235" i="13"/>
  <c r="AR235" i="13"/>
  <c r="AQ201" i="13"/>
  <c r="AP201" i="13"/>
  <c r="AW201" i="13" s="1"/>
  <c r="AQ203" i="13"/>
  <c r="AP203" i="13"/>
  <c r="AW203" i="13" s="1"/>
  <c r="AP322" i="13"/>
  <c r="AW322" i="13" s="1"/>
  <c r="AQ322" i="13"/>
  <c r="AR182" i="13"/>
  <c r="AQ182" i="13"/>
  <c r="AP182" i="13"/>
  <c r="AW182" i="13" s="1"/>
  <c r="AQ308" i="13"/>
  <c r="AP308" i="13"/>
  <c r="AW308" i="13" s="1"/>
  <c r="AQ83" i="13"/>
  <c r="AP83" i="13"/>
  <c r="AW83" i="13" s="1"/>
  <c r="AR83" i="13"/>
  <c r="AR240" i="13"/>
  <c r="AQ240" i="13"/>
  <c r="AP240" i="13"/>
  <c r="AP422" i="13"/>
  <c r="AW422" i="13" s="1"/>
  <c r="AR422" i="13"/>
  <c r="AQ422" i="13"/>
  <c r="AQ373" i="13"/>
  <c r="AR373" i="13"/>
  <c r="AP373" i="13"/>
  <c r="AW373" i="13" s="1"/>
  <c r="AP370" i="13"/>
  <c r="AW370" i="13" s="1"/>
  <c r="AR370" i="13"/>
  <c r="AQ370" i="13"/>
  <c r="AQ399" i="13"/>
  <c r="AR399" i="13"/>
  <c r="AP399" i="13"/>
  <c r="AW399" i="13" s="1"/>
  <c r="AP136" i="13"/>
  <c r="AW136" i="13" s="1"/>
  <c r="AQ136" i="13"/>
  <c r="AR136" i="13"/>
  <c r="AQ139" i="13"/>
  <c r="AP139" i="13"/>
  <c r="AW139" i="13" s="1"/>
  <c r="N47" i="15"/>
  <c r="O47" i="15" s="1"/>
  <c r="AR70" i="13"/>
  <c r="AQ70" i="13"/>
  <c r="AP70" i="13"/>
  <c r="AW70" i="13" s="1"/>
  <c r="N30" i="15"/>
  <c r="Q30" i="15" s="1"/>
  <c r="AP44" i="13"/>
  <c r="AR44" i="13"/>
  <c r="AQ44" i="13"/>
  <c r="N68" i="15"/>
  <c r="Q68" i="15" s="1"/>
  <c r="AR102" i="13"/>
  <c r="AQ102" i="13"/>
  <c r="AP102" i="13"/>
  <c r="N127" i="15"/>
  <c r="O127" i="15" s="1"/>
  <c r="AR185" i="13"/>
  <c r="AQ185" i="13"/>
  <c r="AP185" i="13"/>
  <c r="AW185" i="13" s="1"/>
  <c r="N142" i="15"/>
  <c r="P142" i="15" s="1"/>
  <c r="AR210" i="13"/>
  <c r="AQ210" i="13"/>
  <c r="AP210" i="13"/>
  <c r="AR162" i="13"/>
  <c r="AQ162" i="13"/>
  <c r="AP162" i="13"/>
  <c r="AW162" i="13" s="1"/>
  <c r="N140" i="15"/>
  <c r="P140" i="15" s="1"/>
  <c r="AQ207" i="13"/>
  <c r="AP207" i="13"/>
  <c r="AW207" i="13" s="1"/>
  <c r="AR207" i="13"/>
  <c r="N138" i="15"/>
  <c r="Q138" i="15" s="1"/>
  <c r="AR205" i="13"/>
  <c r="AQ205" i="13"/>
  <c r="AP205" i="13"/>
  <c r="AW205" i="13" s="1"/>
  <c r="N132" i="15"/>
  <c r="Q132" i="15" s="1"/>
  <c r="AR193" i="13"/>
  <c r="AP193" i="13"/>
  <c r="AW193" i="13" s="1"/>
  <c r="AQ193" i="13"/>
  <c r="N104" i="15"/>
  <c r="Q104" i="15" s="1"/>
  <c r="AP160" i="13"/>
  <c r="AW160" i="13" s="1"/>
  <c r="AQ160" i="13"/>
  <c r="AR160" i="13"/>
  <c r="N189" i="15"/>
  <c r="P189" i="15" s="1"/>
  <c r="AQ281" i="13"/>
  <c r="AP281" i="13"/>
  <c r="AW281" i="13" s="1"/>
  <c r="AR281" i="13"/>
  <c r="AQ111" i="13"/>
  <c r="AP111" i="13"/>
  <c r="AW111" i="13" s="1"/>
  <c r="AR304" i="13"/>
  <c r="AP304" i="13"/>
  <c r="AQ304" i="13"/>
  <c r="AP68" i="13"/>
  <c r="AW68" i="13" s="1"/>
  <c r="AQ68" i="13"/>
  <c r="AP96" i="13"/>
  <c r="AW96" i="13" s="1"/>
  <c r="AQ96" i="13"/>
  <c r="AR96" i="13"/>
  <c r="AQ250" i="13"/>
  <c r="AP250" i="13"/>
  <c r="AP437" i="13"/>
  <c r="AW437" i="13" s="1"/>
  <c r="AQ437" i="13"/>
  <c r="AR437" i="13"/>
  <c r="AP430" i="13"/>
  <c r="AW430" i="13" s="1"/>
  <c r="AR430" i="13"/>
  <c r="AQ430" i="13"/>
  <c r="AQ377" i="13"/>
  <c r="AR377" i="13"/>
  <c r="AP377" i="13"/>
  <c r="AW377" i="13" s="1"/>
  <c r="AP306" i="13"/>
  <c r="AQ306" i="13"/>
  <c r="AQ47" i="13"/>
  <c r="AP47" i="13"/>
  <c r="AR47" i="13"/>
  <c r="AP172" i="13"/>
  <c r="AW172" i="13" s="1"/>
  <c r="AR172" i="13"/>
  <c r="AQ172" i="13"/>
  <c r="AQ93" i="13"/>
  <c r="AP93" i="13"/>
  <c r="AP255" i="13"/>
  <c r="AR255" i="13"/>
  <c r="AQ255" i="13"/>
  <c r="AQ135" i="13"/>
  <c r="AP135" i="13"/>
  <c r="N243" i="15"/>
  <c r="P243" i="15" s="1"/>
  <c r="AP358" i="13"/>
  <c r="AR358" i="13"/>
  <c r="AQ358" i="13"/>
  <c r="N92" i="15"/>
  <c r="P92" i="15" s="1"/>
  <c r="AP144" i="13"/>
  <c r="AW144" i="13" s="1"/>
  <c r="AR144" i="13"/>
  <c r="AQ144" i="13"/>
  <c r="N46" i="15"/>
  <c r="P46" i="15" s="1"/>
  <c r="AR66" i="13"/>
  <c r="AQ66" i="13"/>
  <c r="AP66" i="13"/>
  <c r="AW66" i="13" s="1"/>
  <c r="N25" i="15"/>
  <c r="O25" i="15" s="1"/>
  <c r="AQ35" i="13"/>
  <c r="AP35" i="13"/>
  <c r="AW35" i="13" s="1"/>
  <c r="AR35" i="13"/>
  <c r="N66" i="15"/>
  <c r="O66" i="15" s="1"/>
  <c r="AR98" i="13"/>
  <c r="AQ98" i="13"/>
  <c r="AP98" i="13"/>
  <c r="AW98" i="13" s="1"/>
  <c r="N171" i="15"/>
  <c r="Q171" i="15" s="1"/>
  <c r="AR252" i="13"/>
  <c r="AQ252" i="13"/>
  <c r="AP252" i="13"/>
  <c r="AW252" i="13" s="1"/>
  <c r="N12" i="15"/>
  <c r="O12" i="15" s="1"/>
  <c r="AR14" i="13"/>
  <c r="AQ14" i="13"/>
  <c r="AP14" i="13"/>
  <c r="N137" i="15"/>
  <c r="P137" i="15" s="1"/>
  <c r="AP200" i="13"/>
  <c r="AW200" i="13" s="1"/>
  <c r="AR200" i="13"/>
  <c r="AQ200" i="13"/>
  <c r="AR94" i="13"/>
  <c r="AQ94" i="13"/>
  <c r="AP94" i="13"/>
  <c r="AW94" i="13" s="1"/>
  <c r="N83" i="15"/>
  <c r="P83" i="15" s="1"/>
  <c r="AR126" i="13"/>
  <c r="AQ126" i="13"/>
  <c r="AP126" i="13"/>
  <c r="AQ15" i="13"/>
  <c r="AP15" i="13"/>
  <c r="AP342" i="13"/>
  <c r="AW342" i="13" s="1"/>
  <c r="AQ342" i="13"/>
  <c r="AR296" i="13"/>
  <c r="AP296" i="13"/>
  <c r="AW296" i="13" s="1"/>
  <c r="AQ296" i="13"/>
  <c r="AR142" i="13"/>
  <c r="AQ142" i="13"/>
  <c r="AP142" i="13"/>
  <c r="AW142" i="13" s="1"/>
  <c r="AQ30" i="13"/>
  <c r="AP30" i="13"/>
  <c r="AW30" i="13" s="1"/>
  <c r="AQ199" i="13"/>
  <c r="AP199" i="13"/>
  <c r="AG29" i="13"/>
  <c r="AQ313" i="13"/>
  <c r="AP313" i="13"/>
  <c r="AW313" i="13" s="1"/>
  <c r="AR313" i="13"/>
  <c r="AR86" i="13"/>
  <c r="AQ86" i="13"/>
  <c r="AP86" i="13"/>
  <c r="AW86" i="13" s="1"/>
  <c r="AP152" i="13"/>
  <c r="AW152" i="13" s="1"/>
  <c r="AQ152" i="13"/>
  <c r="AQ351" i="13"/>
  <c r="AP351" i="13"/>
  <c r="AW351" i="13" s="1"/>
  <c r="AR351" i="13"/>
  <c r="AP164" i="13"/>
  <c r="AR164" i="13"/>
  <c r="AQ164" i="13"/>
  <c r="AQ391" i="13"/>
  <c r="AR391" i="13"/>
  <c r="AP391" i="13"/>
  <c r="AW391" i="13" s="1"/>
  <c r="AQ429" i="13"/>
  <c r="AR429" i="13"/>
  <c r="AP429" i="13"/>
  <c r="AW429" i="13" s="1"/>
  <c r="AR372" i="13"/>
  <c r="AP372" i="13"/>
  <c r="AW372" i="13" s="1"/>
  <c r="AQ372" i="13"/>
  <c r="AP85" i="13"/>
  <c r="AW85" i="13" s="1"/>
  <c r="AQ85" i="13"/>
  <c r="AR245" i="13"/>
  <c r="AQ245" i="13"/>
  <c r="AP245" i="13"/>
  <c r="AP28" i="13"/>
  <c r="AW28" i="13" s="1"/>
  <c r="AQ28" i="13"/>
  <c r="AR26" i="13"/>
  <c r="AQ26" i="13"/>
  <c r="AP26" i="13"/>
  <c r="AW26" i="13" s="1"/>
  <c r="AP100" i="13"/>
  <c r="AW100" i="13" s="1"/>
  <c r="AR100" i="13"/>
  <c r="AQ100" i="13"/>
  <c r="AP330" i="13"/>
  <c r="AW330" i="13" s="1"/>
  <c r="AQ330" i="13"/>
  <c r="AR330" i="13"/>
  <c r="N84" i="15"/>
  <c r="Q84" i="15" s="1"/>
  <c r="AQ127" i="13"/>
  <c r="AP127" i="13"/>
  <c r="AW127" i="13" s="1"/>
  <c r="AR127" i="13"/>
  <c r="N49" i="15"/>
  <c r="P49" i="15" s="1"/>
  <c r="AR73" i="13"/>
  <c r="AQ73" i="13"/>
  <c r="AP73" i="13"/>
  <c r="AW73" i="13" s="1"/>
  <c r="N235" i="15"/>
  <c r="Q235" i="15" s="1"/>
  <c r="AQ349" i="13"/>
  <c r="AR349" i="13"/>
  <c r="AP349" i="13"/>
  <c r="N41" i="15"/>
  <c r="Q41" i="15" s="1"/>
  <c r="AR58" i="13"/>
  <c r="AQ58" i="13"/>
  <c r="AP58" i="13"/>
  <c r="N154" i="15"/>
  <c r="P154" i="15" s="1"/>
  <c r="AP227" i="13"/>
  <c r="AW227" i="13" s="1"/>
  <c r="AR227" i="13"/>
  <c r="AQ227" i="13"/>
  <c r="N230" i="15"/>
  <c r="Q230" i="15" s="1"/>
  <c r="AR340" i="13"/>
  <c r="AQ340" i="13"/>
  <c r="AP340" i="13"/>
  <c r="AW340" i="13" s="1"/>
  <c r="N51" i="15"/>
  <c r="Q51" i="15" s="1"/>
  <c r="AP76" i="13"/>
  <c r="AW76" i="13" s="1"/>
  <c r="AQ76" i="13"/>
  <c r="AR76" i="13"/>
  <c r="N74" i="15"/>
  <c r="Q74" i="15" s="1"/>
  <c r="AP108" i="13"/>
  <c r="AW108" i="13" s="1"/>
  <c r="AR108" i="13"/>
  <c r="AQ108" i="13"/>
  <c r="N131" i="15"/>
  <c r="P131" i="15" s="1"/>
  <c r="AQ191" i="13"/>
  <c r="AP191" i="13"/>
  <c r="AW191" i="13" s="1"/>
  <c r="AR191" i="13"/>
  <c r="N200" i="15"/>
  <c r="P200" i="15" s="1"/>
  <c r="AQ297" i="13"/>
  <c r="AP297" i="13"/>
  <c r="AW297" i="13" s="1"/>
  <c r="AR297" i="13"/>
  <c r="N59" i="15"/>
  <c r="O59" i="15" s="1"/>
  <c r="AP88" i="13"/>
  <c r="AQ88" i="13"/>
  <c r="AR88" i="13"/>
  <c r="AQ237" i="13"/>
  <c r="AP237" i="13"/>
  <c r="AW237" i="13" s="1"/>
  <c r="AP287" i="13"/>
  <c r="AW287" i="13" s="1"/>
  <c r="AR287" i="13"/>
  <c r="AQ287" i="13"/>
  <c r="AP279" i="13"/>
  <c r="AQ279" i="13"/>
  <c r="AP286" i="13"/>
  <c r="AR286" i="13"/>
  <c r="AQ286" i="13"/>
  <c r="AP263" i="13"/>
  <c r="AW263" i="13" s="1"/>
  <c r="AQ263" i="13"/>
  <c r="AG318" i="13"/>
  <c r="AG327" i="13"/>
  <c r="AG233" i="13"/>
  <c r="AK35" i="13"/>
  <c r="AG183" i="13"/>
  <c r="AG357" i="13"/>
  <c r="AP212" i="13"/>
  <c r="AW212" i="13" s="1"/>
  <c r="AQ212" i="13"/>
  <c r="AQ143" i="13"/>
  <c r="AP143" i="13"/>
  <c r="AW143" i="13" s="1"/>
  <c r="AQ22" i="13"/>
  <c r="AP22" i="13"/>
  <c r="AW22" i="13" s="1"/>
  <c r="AQ11" i="13"/>
  <c r="AP11" i="13"/>
  <c r="AW11" i="13" s="1"/>
  <c r="AP176" i="13"/>
  <c r="AR176" i="13"/>
  <c r="AQ176" i="13"/>
  <c r="AP418" i="13"/>
  <c r="AR418" i="13"/>
  <c r="AQ418" i="13"/>
  <c r="AQ444" i="13"/>
  <c r="AR444" i="13"/>
  <c r="AP444" i="13"/>
  <c r="AW444" i="13" s="1"/>
  <c r="AQ363" i="13"/>
  <c r="AP363" i="13"/>
  <c r="AW363" i="13" s="1"/>
  <c r="AR363" i="13"/>
  <c r="AR396" i="13"/>
  <c r="AP396" i="13"/>
  <c r="AW396" i="13" s="1"/>
  <c r="AQ396" i="13"/>
  <c r="AQ328" i="13"/>
  <c r="AP328" i="13"/>
  <c r="AQ89" i="13"/>
  <c r="AP89" i="13"/>
  <c r="AW89" i="13" s="1"/>
  <c r="AQ265" i="13"/>
  <c r="AP265" i="13"/>
  <c r="AW265" i="13" s="1"/>
  <c r="AQ63" i="13"/>
  <c r="AP63" i="13"/>
  <c r="AW63" i="13" s="1"/>
  <c r="AQ341" i="13"/>
  <c r="AR341" i="13"/>
  <c r="AP341" i="13"/>
  <c r="AR194" i="13"/>
  <c r="AQ194" i="13"/>
  <c r="AP194" i="13"/>
  <c r="AW194" i="13" s="1"/>
  <c r="N81" i="15"/>
  <c r="Q81" i="15" s="1"/>
  <c r="AP120" i="13"/>
  <c r="AW120" i="13" s="1"/>
  <c r="AQ120" i="13"/>
  <c r="AR120" i="13"/>
  <c r="N205" i="15"/>
  <c r="Q205" i="15" s="1"/>
  <c r="AP302" i="13"/>
  <c r="AW302" i="13" s="1"/>
  <c r="AR302" i="13"/>
  <c r="AQ302" i="13"/>
  <c r="N16" i="15"/>
  <c r="P16" i="15" s="1"/>
  <c r="AQ19" i="13"/>
  <c r="AP19" i="13"/>
  <c r="AW19" i="13" s="1"/>
  <c r="AR19" i="13"/>
  <c r="N58" i="15"/>
  <c r="Q58" i="15" s="1"/>
  <c r="AQ87" i="13"/>
  <c r="AP87" i="13"/>
  <c r="AW87" i="13" s="1"/>
  <c r="AR87" i="13"/>
  <c r="N207" i="15"/>
  <c r="O207" i="15" s="1"/>
  <c r="AQ305" i="13"/>
  <c r="AP305" i="13"/>
  <c r="AW305" i="13" s="1"/>
  <c r="AR305" i="13"/>
  <c r="N190" i="15"/>
  <c r="O190" i="15" s="1"/>
  <c r="AP282" i="13"/>
  <c r="AQ282" i="13"/>
  <c r="AR282" i="13"/>
  <c r="N186" i="15"/>
  <c r="O186" i="15" s="1"/>
  <c r="AR275" i="13"/>
  <c r="AP275" i="13"/>
  <c r="AW275" i="13" s="1"/>
  <c r="AQ275" i="13"/>
  <c r="N39" i="15"/>
  <c r="Q39" i="15" s="1"/>
  <c r="AQ55" i="13"/>
  <c r="AP55" i="13"/>
  <c r="AW55" i="13" s="1"/>
  <c r="AR55" i="13"/>
  <c r="N146" i="15"/>
  <c r="P146" i="15" s="1"/>
  <c r="AR218" i="13"/>
  <c r="AQ218" i="13"/>
  <c r="AP218" i="13"/>
  <c r="AW218" i="13" s="1"/>
  <c r="N87" i="15"/>
  <c r="P87" i="15" s="1"/>
  <c r="AR134" i="13"/>
  <c r="AQ134" i="13"/>
  <c r="AP134" i="13"/>
  <c r="AW134" i="13" s="1"/>
  <c r="AR74" i="13"/>
  <c r="AQ74" i="13"/>
  <c r="AP74" i="13"/>
  <c r="AW74" i="13" s="1"/>
  <c r="AQ21" i="13"/>
  <c r="AP21" i="13"/>
  <c r="AW21" i="13" s="1"/>
  <c r="AQ195" i="13"/>
  <c r="AP195" i="13"/>
  <c r="AW195" i="13" s="1"/>
  <c r="AR195" i="13"/>
  <c r="AQ138" i="13"/>
  <c r="AP138" i="13"/>
  <c r="AW138" i="13" s="1"/>
  <c r="AP60" i="13"/>
  <c r="AR60" i="13"/>
  <c r="AQ60" i="13"/>
  <c r="AP276" i="13"/>
  <c r="AW276" i="13" s="1"/>
  <c r="AQ276" i="13"/>
  <c r="AG154" i="13"/>
  <c r="AG130" i="13"/>
  <c r="AG307" i="13"/>
  <c r="AG236" i="13"/>
  <c r="AG350" i="13"/>
  <c r="AG325" i="13"/>
  <c r="AG206" i="13"/>
  <c r="AG298" i="13"/>
  <c r="AG95" i="13"/>
  <c r="AG110" i="13"/>
  <c r="AH110" i="13" s="1"/>
  <c r="AG334" i="13"/>
  <c r="AG257" i="13"/>
  <c r="AG335" i="13"/>
  <c r="AG251" i="13"/>
  <c r="AH251" i="13" s="1"/>
  <c r="AJ251" i="13" s="1"/>
  <c r="AG401" i="13"/>
  <c r="AG406" i="13"/>
  <c r="AG395" i="13"/>
  <c r="AG408" i="13"/>
  <c r="AG394" i="13"/>
  <c r="AG380" i="13"/>
  <c r="AG400" i="13"/>
  <c r="AG409" i="13"/>
  <c r="AG435" i="13"/>
  <c r="AG393" i="13"/>
  <c r="AH393" i="13" s="1"/>
  <c r="AJ393" i="13" s="1"/>
  <c r="AL87" i="13"/>
  <c r="AM87" i="13" s="1"/>
  <c r="AG440" i="13"/>
  <c r="AH440" i="13" s="1"/>
  <c r="AJ440" i="13" s="1"/>
  <c r="AG365" i="13"/>
  <c r="AG405" i="13"/>
  <c r="Q78" i="15"/>
  <c r="AG382" i="13"/>
  <c r="AG392" i="13"/>
  <c r="AG447" i="13"/>
  <c r="AG379" i="13"/>
  <c r="AK282" i="13"/>
  <c r="AL19" i="13"/>
  <c r="AM19" i="13" s="1"/>
  <c r="AL185" i="13"/>
  <c r="AM185" i="13" s="1"/>
  <c r="AL70" i="13"/>
  <c r="AM70" i="13" s="1"/>
  <c r="AL340" i="13"/>
  <c r="AM340" i="13" s="1"/>
  <c r="AG424" i="13"/>
  <c r="AH424" i="13" s="1"/>
  <c r="AJ424" i="13" s="1"/>
  <c r="AW102" i="13"/>
  <c r="AL120" i="13"/>
  <c r="AM120" i="13" s="1"/>
  <c r="AK14" i="13"/>
  <c r="Q204" i="15"/>
  <c r="AL66" i="13"/>
  <c r="AM66" i="13" s="1"/>
  <c r="AL191" i="13"/>
  <c r="AM191" i="13" s="1"/>
  <c r="AL14" i="13"/>
  <c r="AM14" i="13" s="1"/>
  <c r="AK297" i="13"/>
  <c r="P204" i="15"/>
  <c r="AL218" i="13"/>
  <c r="AM218" i="13" s="1"/>
  <c r="AK134" i="13"/>
  <c r="AK144" i="13"/>
  <c r="AK191" i="13"/>
  <c r="AL44" i="13"/>
  <c r="AM44" i="13" s="1"/>
  <c r="AL35" i="13"/>
  <c r="AM35" i="13" s="1"/>
  <c r="AL252" i="13"/>
  <c r="AM252" i="13" s="1"/>
  <c r="AL358" i="13"/>
  <c r="AM358" i="13" s="1"/>
  <c r="AL98" i="13"/>
  <c r="AM98" i="13" s="1"/>
  <c r="AW14" i="13"/>
  <c r="AL134" i="13"/>
  <c r="AM134" i="13" s="1"/>
  <c r="AW358" i="13"/>
  <c r="AL305" i="13"/>
  <c r="AM305" i="13" s="1"/>
  <c r="AK19" i="13"/>
  <c r="AL193" i="13"/>
  <c r="AM193" i="13" s="1"/>
  <c r="AL102" i="13"/>
  <c r="AM102" i="13" s="1"/>
  <c r="AK302" i="13"/>
  <c r="AL282" i="13"/>
  <c r="AM282" i="13" s="1"/>
  <c r="AW282" i="13"/>
  <c r="AK120" i="13"/>
  <c r="AK70" i="13"/>
  <c r="AL205" i="13"/>
  <c r="AM205" i="13" s="1"/>
  <c r="O78" i="15"/>
  <c r="AL207" i="13"/>
  <c r="AM207" i="13" s="1"/>
  <c r="AK305" i="13"/>
  <c r="AK207" i="13"/>
  <c r="AL302" i="13"/>
  <c r="AM302" i="13" s="1"/>
  <c r="AK185" i="13"/>
  <c r="AK193" i="13"/>
  <c r="AK205" i="13"/>
  <c r="AL200" i="13"/>
  <c r="AM200" i="13" s="1"/>
  <c r="Q26" i="15"/>
  <c r="P26" i="15"/>
  <c r="AK55" i="13"/>
  <c r="AK44" i="13"/>
  <c r="AL94" i="13"/>
  <c r="AM94" i="13" s="1"/>
  <c r="N62" i="15"/>
  <c r="AL126" i="13"/>
  <c r="AM126" i="13" s="1"/>
  <c r="AW126" i="13"/>
  <c r="AL227" i="13"/>
  <c r="AM227" i="13" s="1"/>
  <c r="AK227" i="13"/>
  <c r="AL160" i="13"/>
  <c r="AM160" i="13" s="1"/>
  <c r="AW349" i="13"/>
  <c r="AK108" i="13"/>
  <c r="AK76" i="13"/>
  <c r="AL275" i="13"/>
  <c r="AM275" i="13" s="1"/>
  <c r="AK102" i="13"/>
  <c r="AK126" i="13"/>
  <c r="AL210" i="13"/>
  <c r="AM210" i="13" s="1"/>
  <c r="AK200" i="13"/>
  <c r="AW44" i="13"/>
  <c r="AK340" i="13"/>
  <c r="AL76" i="13"/>
  <c r="AM76" i="13" s="1"/>
  <c r="AK73" i="13"/>
  <c r="AK281" i="13"/>
  <c r="AK210" i="13"/>
  <c r="AL58" i="13"/>
  <c r="AM58" i="13" s="1"/>
  <c r="N106" i="15"/>
  <c r="Q106" i="15" s="1"/>
  <c r="AW88" i="13"/>
  <c r="AK275" i="13"/>
  <c r="AK160" i="13"/>
  <c r="AK87" i="13"/>
  <c r="AL73" i="13"/>
  <c r="AM73" i="13" s="1"/>
  <c r="AK349" i="13"/>
  <c r="AL55" i="13"/>
  <c r="AM55" i="13" s="1"/>
  <c r="AW58" i="13"/>
  <c r="AK162" i="13"/>
  <c r="AL127" i="13"/>
  <c r="AM127" i="13" s="1"/>
  <c r="AK127" i="13"/>
  <c r="AL162" i="13"/>
  <c r="AM162" i="13" s="1"/>
  <c r="AL88" i="13"/>
  <c r="AM88" i="13" s="1"/>
  <c r="AK218" i="13"/>
  <c r="AL281" i="13"/>
  <c r="AM281" i="13" s="1"/>
  <c r="AL349" i="13"/>
  <c r="AM349" i="13" s="1"/>
  <c r="AL108" i="13"/>
  <c r="AM108" i="13" s="1"/>
  <c r="AW210" i="13"/>
  <c r="P25" i="15"/>
  <c r="O30" i="15"/>
  <c r="AJ61" i="13"/>
  <c r="AJ290" i="13"/>
  <c r="AJ104" i="13"/>
  <c r="AJ198" i="13"/>
  <c r="AJ169" i="13"/>
  <c r="AJ239" i="13"/>
  <c r="N57" i="15"/>
  <c r="N91" i="15"/>
  <c r="N115" i="15"/>
  <c r="O115" i="15" s="1"/>
  <c r="AJ157" i="13"/>
  <c r="AJ163" i="13"/>
  <c r="AJ40" i="13"/>
  <c r="AJ285" i="13"/>
  <c r="AJ45" i="13"/>
  <c r="N199" i="15"/>
  <c r="N160" i="15"/>
  <c r="N134" i="15"/>
  <c r="N164" i="15"/>
  <c r="N206" i="15"/>
  <c r="N88" i="15"/>
  <c r="O88" i="15" s="1"/>
  <c r="N19" i="15"/>
  <c r="Q19" i="15" s="1"/>
  <c r="N67" i="15"/>
  <c r="Q67" i="15" s="1"/>
  <c r="N223" i="15"/>
  <c r="O223" i="15" s="1"/>
  <c r="AJ57" i="13"/>
  <c r="AJ272" i="13"/>
  <c r="AJ186" i="13"/>
  <c r="AJ116" i="13"/>
  <c r="AJ230" i="13"/>
  <c r="AJ314" i="13"/>
  <c r="AJ222" i="13"/>
  <c r="AJ267" i="13"/>
  <c r="N194" i="15"/>
  <c r="N211" i="15"/>
  <c r="N124" i="15"/>
  <c r="N56" i="15"/>
  <c r="N195" i="15"/>
  <c r="N64" i="15"/>
  <c r="N43" i="15"/>
  <c r="N237" i="15"/>
  <c r="N108" i="15"/>
  <c r="P108" i="15" s="1"/>
  <c r="N50" i="15"/>
  <c r="N118" i="15"/>
  <c r="N32" i="15"/>
  <c r="Q32" i="15" s="1"/>
  <c r="N231" i="15"/>
  <c r="Q231" i="15" s="1"/>
  <c r="N133" i="15"/>
  <c r="Q133" i="15" s="1"/>
  <c r="AJ184" i="13"/>
  <c r="AJ244" i="13"/>
  <c r="AJ326" i="13"/>
  <c r="AK326" i="13" s="1"/>
  <c r="AJ259" i="13"/>
  <c r="AJ317" i="13"/>
  <c r="AJ52" i="13"/>
  <c r="AJ249" i="13"/>
  <c r="AL249" i="13" s="1"/>
  <c r="AM249" i="13" s="1"/>
  <c r="AJ109" i="13"/>
  <c r="AJ278" i="13"/>
  <c r="AJ170" i="13"/>
  <c r="AJ260" i="13"/>
  <c r="AK260" i="13" s="1"/>
  <c r="AJ53" i="13"/>
  <c r="AJ23" i="13"/>
  <c r="P271" i="15"/>
  <c r="O271" i="15"/>
  <c r="Q271" i="15"/>
  <c r="N283" i="15"/>
  <c r="Q283" i="15" s="1"/>
  <c r="N300" i="15"/>
  <c r="N314" i="15"/>
  <c r="O314" i="15" s="1"/>
  <c r="N261" i="15"/>
  <c r="P261" i="15" s="1"/>
  <c r="AK416" i="13"/>
  <c r="N257" i="15"/>
  <c r="N313" i="15"/>
  <c r="Q313" i="15" s="1"/>
  <c r="AL416" i="13"/>
  <c r="AM416" i="13" s="1"/>
  <c r="N256" i="15"/>
  <c r="N328" i="15"/>
  <c r="N306" i="15"/>
  <c r="N321" i="15"/>
  <c r="N247" i="15"/>
  <c r="Q247" i="15" s="1"/>
  <c r="N280" i="15"/>
  <c r="O280" i="15" s="1"/>
  <c r="N302" i="15"/>
  <c r="N275" i="15"/>
  <c r="AL72" i="13"/>
  <c r="AM72" i="13" s="1"/>
  <c r="AK72" i="13"/>
  <c r="N48" i="15"/>
  <c r="O48" i="15" s="1"/>
  <c r="AL172" i="13"/>
  <c r="AM172" i="13" s="1"/>
  <c r="AK172" i="13"/>
  <c r="AL28" i="13"/>
  <c r="AK26" i="13"/>
  <c r="AL26" i="13"/>
  <c r="AM26" i="13" s="1"/>
  <c r="AL89" i="13"/>
  <c r="AM89" i="13" s="1"/>
  <c r="AL306" i="13"/>
  <c r="AM306" i="13" s="1"/>
  <c r="AW306" i="13"/>
  <c r="AW47" i="13"/>
  <c r="AK47" i="13"/>
  <c r="AL47" i="13"/>
  <c r="AM47" i="13" s="1"/>
  <c r="AW93" i="13"/>
  <c r="AL93" i="13"/>
  <c r="AM93" i="13" s="1"/>
  <c r="AL85" i="13"/>
  <c r="AL100" i="13"/>
  <c r="AM100" i="13" s="1"/>
  <c r="AK100" i="13"/>
  <c r="AL330" i="13"/>
  <c r="AM330" i="13" s="1"/>
  <c r="AK330" i="13"/>
  <c r="AW279" i="13"/>
  <c r="AL279" i="13"/>
  <c r="AW328" i="13"/>
  <c r="AL328" i="13"/>
  <c r="AL63" i="13"/>
  <c r="AM63" i="13" s="1"/>
  <c r="AW341" i="13"/>
  <c r="AK341" i="13"/>
  <c r="AL341" i="13"/>
  <c r="AM341" i="13" s="1"/>
  <c r="AL194" i="13"/>
  <c r="AM194" i="13" s="1"/>
  <c r="AK194" i="13"/>
  <c r="AL136" i="13"/>
  <c r="AM136" i="13" s="1"/>
  <c r="AK136" i="13"/>
  <c r="AL139" i="13"/>
  <c r="AH359" i="13"/>
  <c r="AH209" i="13"/>
  <c r="AJ209" i="13" s="1"/>
  <c r="AH336" i="13"/>
  <c r="AH156" i="13"/>
  <c r="AJ156" i="13" s="1"/>
  <c r="AH180" i="13"/>
  <c r="AH315" i="13"/>
  <c r="AH337" i="13"/>
  <c r="AJ337" i="13" s="1"/>
  <c r="AH319" i="13"/>
  <c r="AH258" i="13"/>
  <c r="AH112" i="13"/>
  <c r="AH353" i="13"/>
  <c r="AH147" i="13"/>
  <c r="AJ147" i="13" s="1"/>
  <c r="AH187" i="13"/>
  <c r="AH248" i="13"/>
  <c r="AH178" i="13"/>
  <c r="AH312" i="13"/>
  <c r="AJ312" i="13" s="1"/>
  <c r="AH246" i="13"/>
  <c r="AJ246" i="13" s="1"/>
  <c r="AW197" i="13"/>
  <c r="N166" i="15"/>
  <c r="P166" i="15" s="1"/>
  <c r="AH288" i="13"/>
  <c r="AJ288" i="13" s="1"/>
  <c r="AH360" i="13"/>
  <c r="AJ360" i="13" s="1"/>
  <c r="AH48" i="13"/>
  <c r="AH332" i="13"/>
  <c r="AJ332" i="13" s="1"/>
  <c r="AH75" i="13"/>
  <c r="AJ75" i="13" s="1"/>
  <c r="AH293" i="13"/>
  <c r="AH82" i="13"/>
  <c r="AH215" i="13"/>
  <c r="AJ215" i="13" s="1"/>
  <c r="AH18" i="13"/>
  <c r="AH159" i="13"/>
  <c r="AH181" i="13"/>
  <c r="AH321" i="13"/>
  <c r="AJ321" i="13" s="1"/>
  <c r="AH101" i="13"/>
  <c r="AJ101" i="13" s="1"/>
  <c r="AH119" i="13"/>
  <c r="AH316" i="13"/>
  <c r="AL265" i="13"/>
  <c r="AM265" i="13" s="1"/>
  <c r="N173" i="15"/>
  <c r="O173" i="15" s="1"/>
  <c r="AH107" i="13"/>
  <c r="AJ107" i="13" s="1"/>
  <c r="AH32" i="13"/>
  <c r="AH338" i="13"/>
  <c r="AJ338" i="13" s="1"/>
  <c r="AH274" i="13"/>
  <c r="AJ274" i="13" s="1"/>
  <c r="AH151" i="13"/>
  <c r="AH339" i="13"/>
  <c r="AJ339" i="13" s="1"/>
  <c r="AH20" i="13"/>
  <c r="AJ20" i="13" s="1"/>
  <c r="AL377" i="13"/>
  <c r="AM377" i="13" s="1"/>
  <c r="AK377" i="13"/>
  <c r="AL396" i="13"/>
  <c r="AM396" i="13" s="1"/>
  <c r="AK396" i="13"/>
  <c r="AL363" i="13"/>
  <c r="AM363" i="13" s="1"/>
  <c r="AK363" i="13"/>
  <c r="AK430" i="13"/>
  <c r="AL430" i="13"/>
  <c r="AM430" i="13" s="1"/>
  <c r="AK429" i="13"/>
  <c r="AL429" i="13"/>
  <c r="AM429" i="13" s="1"/>
  <c r="AK372" i="13"/>
  <c r="AL372" i="13"/>
  <c r="AM372" i="13" s="1"/>
  <c r="AL399" i="13"/>
  <c r="AM399" i="13" s="1"/>
  <c r="AK399" i="13"/>
  <c r="AH366" i="13"/>
  <c r="AJ366" i="13" s="1"/>
  <c r="AH390" i="13"/>
  <c r="AJ390" i="13" s="1"/>
  <c r="AH431" i="13"/>
  <c r="AJ431" i="13" s="1"/>
  <c r="AH386" i="13"/>
  <c r="AJ386" i="13" s="1"/>
  <c r="AH388" i="13"/>
  <c r="AJ388" i="13" s="1"/>
  <c r="AH362" i="13"/>
  <c r="AJ362" i="13" s="1"/>
  <c r="AH415" i="13"/>
  <c r="AJ415" i="13" s="1"/>
  <c r="AH410" i="13"/>
  <c r="AJ410" i="13" s="1"/>
  <c r="AH421" i="13"/>
  <c r="AJ421" i="13" s="1"/>
  <c r="AH419" i="13"/>
  <c r="AJ419" i="13" s="1"/>
  <c r="Q14" i="19"/>
  <c r="J24" i="12"/>
  <c r="M17" i="16"/>
  <c r="P24" i="15"/>
  <c r="AL418" i="13"/>
  <c r="AM418" i="13" s="1"/>
  <c r="AK437" i="13"/>
  <c r="AL437" i="13"/>
  <c r="AM437" i="13" s="1"/>
  <c r="AK444" i="13"/>
  <c r="AL444" i="13"/>
  <c r="AM444" i="13" s="1"/>
  <c r="AH371" i="13"/>
  <c r="AJ371" i="13" s="1"/>
  <c r="AH403" i="13"/>
  <c r="AJ403" i="13" s="1"/>
  <c r="AH442" i="13"/>
  <c r="AJ442" i="13" s="1"/>
  <c r="AH428" i="13"/>
  <c r="AJ428" i="13" s="1"/>
  <c r="AH438" i="13"/>
  <c r="AJ438" i="13" s="1"/>
  <c r="AH407" i="13"/>
  <c r="AJ407" i="13" s="1"/>
  <c r="AH404" i="13"/>
  <c r="AJ404" i="13" s="1"/>
  <c r="AH367" i="13"/>
  <c r="AJ367" i="13" s="1"/>
  <c r="AH420" i="13"/>
  <c r="AJ420" i="13" s="1"/>
  <c r="AH378" i="13"/>
  <c r="AJ378" i="13" s="1"/>
  <c r="AH423" i="13"/>
  <c r="AJ423" i="13" s="1"/>
  <c r="AH385" i="13"/>
  <c r="AJ385" i="13" s="1"/>
  <c r="AH436" i="13"/>
  <c r="AJ436" i="13" s="1"/>
  <c r="AH433" i="13"/>
  <c r="AJ433" i="13" s="1"/>
  <c r="AH411" i="13"/>
  <c r="AJ411" i="13" s="1"/>
  <c r="AH427" i="13"/>
  <c r="AJ427" i="13" s="1"/>
  <c r="AH364" i="13"/>
  <c r="AJ364" i="13" s="1"/>
  <c r="AH439" i="13"/>
  <c r="AJ439" i="13" s="1"/>
  <c r="AL391" i="13"/>
  <c r="AM391" i="13" s="1"/>
  <c r="AK391" i="13"/>
  <c r="AK373" i="13"/>
  <c r="AL373" i="13"/>
  <c r="AM373" i="13" s="1"/>
  <c r="AL422" i="13"/>
  <c r="AM422" i="13" s="1"/>
  <c r="AK422" i="13"/>
  <c r="AH434" i="13"/>
  <c r="AJ434" i="13" s="1"/>
  <c r="AH374" i="13"/>
  <c r="AJ374" i="13" s="1"/>
  <c r="AH414" i="13"/>
  <c r="AJ414" i="13" s="1"/>
  <c r="AH443" i="13"/>
  <c r="AJ443" i="13" s="1"/>
  <c r="AH446" i="13"/>
  <c r="AJ446" i="13" s="1"/>
  <c r="AH412" i="13"/>
  <c r="AJ412" i="13" s="1"/>
  <c r="AH384" i="13"/>
  <c r="AJ384" i="13" s="1"/>
  <c r="O24" i="15"/>
  <c r="AW164" i="13"/>
  <c r="AK164" i="13"/>
  <c r="AL164" i="13"/>
  <c r="AM164" i="13" s="1"/>
  <c r="AW176" i="13"/>
  <c r="AL176" i="13"/>
  <c r="AM176" i="13" s="1"/>
  <c r="AK176" i="13"/>
  <c r="AK74" i="13"/>
  <c r="AL74" i="13"/>
  <c r="AM74" i="13" s="1"/>
  <c r="AH253" i="13"/>
  <c r="AJ253" i="13" s="1"/>
  <c r="AL250" i="13"/>
  <c r="AW250" i="13"/>
  <c r="AL11" i="13"/>
  <c r="AL285" i="13"/>
  <c r="AM285" i="13" s="1"/>
  <c r="O142" i="15"/>
  <c r="AK240" i="13"/>
  <c r="AW240" i="13"/>
  <c r="AL240" i="13"/>
  <c r="AM240" i="13" s="1"/>
  <c r="AK351" i="13"/>
  <c r="AL351" i="13"/>
  <c r="AM351" i="13" s="1"/>
  <c r="P66" i="15"/>
  <c r="Q188" i="15"/>
  <c r="O188" i="15"/>
  <c r="P188" i="15"/>
  <c r="O138" i="15"/>
  <c r="P138" i="15"/>
  <c r="AK287" i="13"/>
  <c r="AL287" i="13"/>
  <c r="AM287" i="13" s="1"/>
  <c r="AK96" i="13"/>
  <c r="AL96" i="13"/>
  <c r="AM96" i="13" s="1"/>
  <c r="O137" i="15"/>
  <c r="Q137" i="15"/>
  <c r="AW304" i="13"/>
  <c r="AK304" i="13"/>
  <c r="AL304" i="13"/>
  <c r="AM304" i="13" s="1"/>
  <c r="O243" i="15"/>
  <c r="Q243" i="15"/>
  <c r="Q92" i="15"/>
  <c r="AK296" i="13"/>
  <c r="AL296" i="13"/>
  <c r="AM296" i="13" s="1"/>
  <c r="AH229" i="13"/>
  <c r="AJ229" i="13" s="1"/>
  <c r="AK313" i="13"/>
  <c r="AL313" i="13"/>
  <c r="AM313" i="13" s="1"/>
  <c r="AW15" i="13"/>
  <c r="AL15" i="13"/>
  <c r="AL21" i="13"/>
  <c r="AK83" i="13"/>
  <c r="AL83" i="13"/>
  <c r="AM83" i="13" s="1"/>
  <c r="AL22" i="13"/>
  <c r="AM22" i="13" s="1"/>
  <c r="AL237" i="13"/>
  <c r="AL201" i="13"/>
  <c r="AW286" i="13"/>
  <c r="AK286" i="13"/>
  <c r="AL286" i="13"/>
  <c r="AM286" i="13" s="1"/>
  <c r="AH146" i="13"/>
  <c r="AL111" i="13"/>
  <c r="AM111" i="13" s="1"/>
  <c r="AL276" i="13"/>
  <c r="AM276" i="13" s="1"/>
  <c r="AL322" i="13"/>
  <c r="AM322" i="13" s="1"/>
  <c r="AW60" i="13"/>
  <c r="AK60" i="13"/>
  <c r="AL60" i="13"/>
  <c r="AM60" i="13" s="1"/>
  <c r="AL342" i="13"/>
  <c r="AL198" i="13"/>
  <c r="AM198" i="13" s="1"/>
  <c r="AL212" i="13"/>
  <c r="AM212" i="13" s="1"/>
  <c r="AK249" i="13"/>
  <c r="AH124" i="13"/>
  <c r="AJ124" i="13" s="1"/>
  <c r="AH33" i="13"/>
  <c r="AJ33" i="13" s="1"/>
  <c r="AL30" i="13"/>
  <c r="AW199" i="13"/>
  <c r="AL199" i="13"/>
  <c r="AM199" i="13" s="1"/>
  <c r="AL263" i="13"/>
  <c r="AM263" i="13" s="1"/>
  <c r="AK142" i="13"/>
  <c r="AL142" i="13"/>
  <c r="AM142" i="13" s="1"/>
  <c r="AL68" i="13"/>
  <c r="AM68" i="13" s="1"/>
  <c r="AL152" i="13"/>
  <c r="AM152" i="13" s="1"/>
  <c r="O245" i="15"/>
  <c r="P245" i="15"/>
  <c r="Q245" i="15"/>
  <c r="P71" i="15"/>
  <c r="Q71" i="15"/>
  <c r="O71" i="15"/>
  <c r="AH121" i="13"/>
  <c r="AJ121" i="13" s="1"/>
  <c r="AH202" i="13"/>
  <c r="AJ202" i="13" s="1"/>
  <c r="AH238" i="13"/>
  <c r="AL138" i="13"/>
  <c r="AM138" i="13" s="1"/>
  <c r="AK182" i="13"/>
  <c r="AL182" i="13"/>
  <c r="AM182" i="13" s="1"/>
  <c r="P45" i="15"/>
  <c r="O45" i="15"/>
  <c r="Q45" i="15"/>
  <c r="O93" i="15"/>
  <c r="Q93" i="15"/>
  <c r="P93" i="15"/>
  <c r="O171" i="15"/>
  <c r="AK235" i="13"/>
  <c r="AL235" i="13"/>
  <c r="AM235" i="13" s="1"/>
  <c r="P74" i="15"/>
  <c r="P1765" i="19"/>
  <c r="Q1765" i="19" s="1"/>
  <c r="L335" i="15"/>
  <c r="L336" i="15"/>
  <c r="Q186" i="15"/>
  <c r="H448" i="13"/>
  <c r="C17" i="7" s="1"/>
  <c r="I10" i="13"/>
  <c r="Q59" i="15"/>
  <c r="L332" i="15"/>
  <c r="K333" i="15"/>
  <c r="AM361" i="13"/>
  <c r="AH261" i="13"/>
  <c r="P111" i="15"/>
  <c r="O111" i="15"/>
  <c r="Q111" i="15"/>
  <c r="P104" i="15"/>
  <c r="O104" i="15"/>
  <c r="O189" i="15"/>
  <c r="Q189" i="15"/>
  <c r="O46" i="15"/>
  <c r="Q46" i="15"/>
  <c r="P12" i="15"/>
  <c r="Q12" i="15"/>
  <c r="O145" i="15"/>
  <c r="P145" i="15"/>
  <c r="Q145" i="15"/>
  <c r="AK169" i="13"/>
  <c r="AL169" i="13"/>
  <c r="AM169" i="13" s="1"/>
  <c r="AH84" i="13"/>
  <c r="AJ84" i="13" s="1"/>
  <c r="P192" i="15"/>
  <c r="O192" i="15"/>
  <c r="Q192" i="15"/>
  <c r="Q140" i="15"/>
  <c r="O140" i="15"/>
  <c r="AK195" i="13"/>
  <c r="AL195" i="13"/>
  <c r="AM195" i="13" s="1"/>
  <c r="AL143" i="13"/>
  <c r="AM143" i="13" s="1"/>
  <c r="AK86" i="13"/>
  <c r="AL86" i="13"/>
  <c r="AM86" i="13" s="1"/>
  <c r="P81" i="15"/>
  <c r="O132" i="15"/>
  <c r="AL203" i="13"/>
  <c r="AM203" i="13" s="1"/>
  <c r="Q83" i="15"/>
  <c r="AH153" i="13"/>
  <c r="H13" i="7"/>
  <c r="I13" i="7" s="1"/>
  <c r="AH50" i="13"/>
  <c r="O105" i="15"/>
  <c r="Q105" i="15"/>
  <c r="P105" i="15"/>
  <c r="P68" i="15"/>
  <c r="X441" i="13"/>
  <c r="M441" i="13"/>
  <c r="AF441" i="13" s="1"/>
  <c r="AH91" i="13"/>
  <c r="AH190" i="13"/>
  <c r="O158" i="15"/>
  <c r="P158" i="15"/>
  <c r="Q158" i="15"/>
  <c r="P149" i="15"/>
  <c r="O149" i="15"/>
  <c r="Q149" i="15"/>
  <c r="Q146" i="15"/>
  <c r="P127" i="15"/>
  <c r="AL308" i="13"/>
  <c r="AK272" i="13"/>
  <c r="AL272" i="13"/>
  <c r="AM272" i="13" s="1"/>
  <c r="P190" i="15"/>
  <c r="Q47" i="15"/>
  <c r="P47" i="15" l="1"/>
  <c r="Q127" i="15"/>
  <c r="O235" i="15"/>
  <c r="Q142" i="15"/>
  <c r="O230" i="15"/>
  <c r="P41" i="15"/>
  <c r="O131" i="15"/>
  <c r="P51" i="15"/>
  <c r="P30" i="15"/>
  <c r="O68" i="15"/>
  <c r="Q49" i="15"/>
  <c r="Q200" i="15"/>
  <c r="O83" i="15"/>
  <c r="P132" i="15"/>
  <c r="O16" i="15"/>
  <c r="P58" i="15"/>
  <c r="O87" i="15"/>
  <c r="P171" i="15"/>
  <c r="O205" i="15"/>
  <c r="O92" i="15"/>
  <c r="Q66" i="15"/>
  <c r="Q25" i="15"/>
  <c r="O39" i="15"/>
  <c r="O146" i="15"/>
  <c r="O58" i="15"/>
  <c r="P207" i="15"/>
  <c r="Q154" i="15"/>
  <c r="O200" i="15"/>
  <c r="O74" i="15"/>
  <c r="O51" i="15"/>
  <c r="Q190" i="15"/>
  <c r="O81" i="15"/>
  <c r="Q16" i="15"/>
  <c r="Q87" i="15"/>
  <c r="Q207" i="15"/>
  <c r="O49" i="15"/>
  <c r="O154" i="15"/>
  <c r="P59" i="15"/>
  <c r="P186" i="15"/>
  <c r="P235" i="15"/>
  <c r="P205" i="15"/>
  <c r="O84" i="15"/>
  <c r="P39" i="15"/>
  <c r="P230" i="15"/>
  <c r="O41" i="15"/>
  <c r="P84" i="15"/>
  <c r="Q131" i="15"/>
  <c r="AP251" i="13"/>
  <c r="AR251" i="13"/>
  <c r="AQ251" i="13"/>
  <c r="AP84" i="13"/>
  <c r="AW84" i="13" s="1"/>
  <c r="AQ84" i="13"/>
  <c r="AQ202" i="13"/>
  <c r="AP202" i="13"/>
  <c r="AR33" i="13"/>
  <c r="AQ33" i="13"/>
  <c r="AP33" i="13"/>
  <c r="AW33" i="13" s="1"/>
  <c r="AR384" i="13"/>
  <c r="AP384" i="13"/>
  <c r="AQ384" i="13"/>
  <c r="AP414" i="13"/>
  <c r="AW414" i="13" s="1"/>
  <c r="AR414" i="13"/>
  <c r="AQ414" i="13"/>
  <c r="AR439" i="13"/>
  <c r="AP439" i="13"/>
  <c r="AW439" i="13" s="1"/>
  <c r="AQ439" i="13"/>
  <c r="AQ433" i="13"/>
  <c r="AR433" i="13"/>
  <c r="AP433" i="13"/>
  <c r="AW433" i="13" s="1"/>
  <c r="AP378" i="13"/>
  <c r="AW378" i="13" s="1"/>
  <c r="AR378" i="13"/>
  <c r="AQ378" i="13"/>
  <c r="AQ407" i="13"/>
  <c r="AP407" i="13"/>
  <c r="AW407" i="13" s="1"/>
  <c r="AR407" i="13"/>
  <c r="AQ403" i="13"/>
  <c r="AP403" i="13"/>
  <c r="AR403" i="13"/>
  <c r="AQ415" i="13"/>
  <c r="AR415" i="13"/>
  <c r="AP415" i="13"/>
  <c r="AW415" i="13" s="1"/>
  <c r="AQ431" i="13"/>
  <c r="AP431" i="13"/>
  <c r="AW431" i="13" s="1"/>
  <c r="AR431" i="13"/>
  <c r="AP20" i="13"/>
  <c r="AW20" i="13" s="1"/>
  <c r="AQ20" i="13"/>
  <c r="AP338" i="13"/>
  <c r="AW338" i="13" s="1"/>
  <c r="AQ338" i="13"/>
  <c r="AP101" i="13"/>
  <c r="AW101" i="13" s="1"/>
  <c r="AQ101" i="13"/>
  <c r="AQ75" i="13"/>
  <c r="AP75" i="13"/>
  <c r="AW75" i="13" s="1"/>
  <c r="AP288" i="13"/>
  <c r="AW288" i="13" s="1"/>
  <c r="AQ288" i="13"/>
  <c r="AQ246" i="13"/>
  <c r="AP246" i="13"/>
  <c r="AW246" i="13" s="1"/>
  <c r="N37" i="15"/>
  <c r="Q37" i="15" s="1"/>
  <c r="AR53" i="13"/>
  <c r="AP53" i="13"/>
  <c r="AW53" i="13" s="1"/>
  <c r="AQ53" i="13"/>
  <c r="N75" i="15"/>
  <c r="O75" i="15" s="1"/>
  <c r="AR109" i="13"/>
  <c r="AP109" i="13"/>
  <c r="AQ109" i="13"/>
  <c r="N176" i="15"/>
  <c r="O176" i="15" s="1"/>
  <c r="AP259" i="13"/>
  <c r="AQ259" i="13"/>
  <c r="AR259" i="13"/>
  <c r="N150" i="15"/>
  <c r="O150" i="15" s="1"/>
  <c r="AR222" i="13"/>
  <c r="AQ222" i="13"/>
  <c r="AP222" i="13"/>
  <c r="AW222" i="13" s="1"/>
  <c r="N128" i="15"/>
  <c r="Q128" i="15" s="1"/>
  <c r="AR186" i="13"/>
  <c r="AQ186" i="13"/>
  <c r="AP186" i="13"/>
  <c r="AW186" i="13" s="1"/>
  <c r="N31" i="15"/>
  <c r="O31" i="15" s="1"/>
  <c r="AR45" i="13"/>
  <c r="AP45" i="13"/>
  <c r="AW45" i="13" s="1"/>
  <c r="AQ45" i="13"/>
  <c r="N101" i="15"/>
  <c r="Q101" i="15" s="1"/>
  <c r="AR157" i="13"/>
  <c r="AP157" i="13"/>
  <c r="AQ157" i="13"/>
  <c r="N163" i="15"/>
  <c r="Q163" i="15" s="1"/>
  <c r="AP239" i="13"/>
  <c r="AR239" i="13"/>
  <c r="AQ239" i="13"/>
  <c r="N196" i="15"/>
  <c r="Q196" i="15" s="1"/>
  <c r="AP290" i="13"/>
  <c r="AR290" i="13"/>
  <c r="AQ290" i="13"/>
  <c r="AR229" i="13"/>
  <c r="AP229" i="13"/>
  <c r="AQ229" i="13"/>
  <c r="AR253" i="13"/>
  <c r="AQ253" i="13"/>
  <c r="AP253" i="13"/>
  <c r="AQ331" i="13"/>
  <c r="AR331" i="13"/>
  <c r="AP331" i="13"/>
  <c r="AR443" i="13"/>
  <c r="AP443" i="13"/>
  <c r="AW443" i="13" s="1"/>
  <c r="AQ443" i="13"/>
  <c r="AQ411" i="13"/>
  <c r="AP411" i="13"/>
  <c r="AW411" i="13" s="1"/>
  <c r="AR411" i="13"/>
  <c r="AQ423" i="13"/>
  <c r="AR423" i="13"/>
  <c r="AP423" i="13"/>
  <c r="AW423" i="13" s="1"/>
  <c r="AR404" i="13"/>
  <c r="AP404" i="13"/>
  <c r="AW404" i="13" s="1"/>
  <c r="AQ404" i="13"/>
  <c r="AQ442" i="13"/>
  <c r="AR442" i="13"/>
  <c r="AP442" i="13"/>
  <c r="AP410" i="13"/>
  <c r="AW410" i="13" s="1"/>
  <c r="AR410" i="13"/>
  <c r="AQ410" i="13"/>
  <c r="AP386" i="13"/>
  <c r="AR386" i="13"/>
  <c r="AQ386" i="13"/>
  <c r="AP274" i="13"/>
  <c r="AR274" i="13"/>
  <c r="AQ274" i="13"/>
  <c r="AP360" i="13"/>
  <c r="AQ360" i="13"/>
  <c r="AQ209" i="13"/>
  <c r="AP209" i="13"/>
  <c r="N17" i="15"/>
  <c r="AQ23" i="13"/>
  <c r="AP23" i="13"/>
  <c r="AW23" i="13" s="1"/>
  <c r="AR23" i="13"/>
  <c r="N187" i="15"/>
  <c r="P187" i="15" s="1"/>
  <c r="AP278" i="13"/>
  <c r="AW278" i="13" s="1"/>
  <c r="AR278" i="13"/>
  <c r="AQ278" i="13"/>
  <c r="N215" i="15"/>
  <c r="O215" i="15" s="1"/>
  <c r="AQ317" i="13"/>
  <c r="AR317" i="13"/>
  <c r="AP317" i="13"/>
  <c r="AW317" i="13" s="1"/>
  <c r="N126" i="15"/>
  <c r="P126" i="15" s="1"/>
  <c r="AP184" i="13"/>
  <c r="AW184" i="13" s="1"/>
  <c r="AR184" i="13"/>
  <c r="AQ184" i="13"/>
  <c r="N180" i="15"/>
  <c r="Q180" i="15" s="1"/>
  <c r="AQ267" i="13"/>
  <c r="AR267" i="13"/>
  <c r="AP267" i="13"/>
  <c r="AW267" i="13" s="1"/>
  <c r="N79" i="15"/>
  <c r="P79" i="15" s="1"/>
  <c r="AP116" i="13"/>
  <c r="AQ116" i="13"/>
  <c r="AR116" i="13"/>
  <c r="N107" i="15"/>
  <c r="P107" i="15" s="1"/>
  <c r="AQ163" i="13"/>
  <c r="AP163" i="13"/>
  <c r="AR163" i="13"/>
  <c r="N70" i="15"/>
  <c r="O70" i="15" s="1"/>
  <c r="AP104" i="13"/>
  <c r="AW104" i="13" s="1"/>
  <c r="AQ104" i="13"/>
  <c r="AR104" i="13"/>
  <c r="AQ393" i="13"/>
  <c r="AR393" i="13"/>
  <c r="AP393" i="13"/>
  <c r="AW393" i="13" s="1"/>
  <c r="AP446" i="13"/>
  <c r="AR446" i="13"/>
  <c r="AQ446" i="13"/>
  <c r="AP434" i="13"/>
  <c r="AW434" i="13" s="1"/>
  <c r="AR434" i="13"/>
  <c r="AQ434" i="13"/>
  <c r="AQ427" i="13"/>
  <c r="AP427" i="13"/>
  <c r="AW427" i="13" s="1"/>
  <c r="AR427" i="13"/>
  <c r="AQ385" i="13"/>
  <c r="AR385" i="13"/>
  <c r="AP385" i="13"/>
  <c r="AW385" i="13" s="1"/>
  <c r="AQ367" i="13"/>
  <c r="AR367" i="13"/>
  <c r="AP367" i="13"/>
  <c r="AW367" i="13" s="1"/>
  <c r="AR428" i="13"/>
  <c r="AP428" i="13"/>
  <c r="AW428" i="13" s="1"/>
  <c r="AQ428" i="13"/>
  <c r="AQ421" i="13"/>
  <c r="AR421" i="13"/>
  <c r="AP421" i="13"/>
  <c r="AW421" i="13" s="1"/>
  <c r="AR388" i="13"/>
  <c r="AP388" i="13"/>
  <c r="AW388" i="13" s="1"/>
  <c r="AQ388" i="13"/>
  <c r="AP366" i="13"/>
  <c r="AW366" i="13" s="1"/>
  <c r="AR366" i="13"/>
  <c r="AQ366" i="13"/>
  <c r="AQ107" i="13"/>
  <c r="AP107" i="13"/>
  <c r="AR107" i="13"/>
  <c r="AQ337" i="13"/>
  <c r="AP337" i="13"/>
  <c r="N113" i="15"/>
  <c r="O113" i="15" s="1"/>
  <c r="AR170" i="13"/>
  <c r="AQ170" i="13"/>
  <c r="AP170" i="13"/>
  <c r="AW170" i="13" s="1"/>
  <c r="N36" i="15"/>
  <c r="Q36" i="15" s="1"/>
  <c r="AP52" i="13"/>
  <c r="AW52" i="13" s="1"/>
  <c r="AR52" i="13"/>
  <c r="AQ52" i="13"/>
  <c r="AW244" i="13"/>
  <c r="AP244" i="13"/>
  <c r="AQ244" i="13"/>
  <c r="N157" i="15"/>
  <c r="O157" i="15" s="1"/>
  <c r="AQ230" i="13"/>
  <c r="AP230" i="13"/>
  <c r="AW230" i="13" s="1"/>
  <c r="AR230" i="13"/>
  <c r="N40" i="15"/>
  <c r="Q40" i="15" s="1"/>
  <c r="AR57" i="13"/>
  <c r="AQ57" i="13"/>
  <c r="AP57" i="13"/>
  <c r="AW57" i="13" s="1"/>
  <c r="N29" i="15"/>
  <c r="Q29" i="15" s="1"/>
  <c r="AP40" i="13"/>
  <c r="AW40" i="13" s="1"/>
  <c r="AR40" i="13"/>
  <c r="AQ40" i="13"/>
  <c r="N136" i="15"/>
  <c r="P136" i="15" s="1"/>
  <c r="AR198" i="13"/>
  <c r="AQ198" i="13"/>
  <c r="AP198" i="13"/>
  <c r="AW198" i="13" s="1"/>
  <c r="AR424" i="13"/>
  <c r="AP424" i="13"/>
  <c r="AW424" i="13" s="1"/>
  <c r="AQ424" i="13"/>
  <c r="AQ121" i="13"/>
  <c r="AP121" i="13"/>
  <c r="AW121" i="13" s="1"/>
  <c r="AP124" i="13"/>
  <c r="AW124" i="13" s="1"/>
  <c r="AQ124" i="13"/>
  <c r="AR412" i="13"/>
  <c r="AP412" i="13"/>
  <c r="AW412" i="13" s="1"/>
  <c r="AQ412" i="13"/>
  <c r="AP374" i="13"/>
  <c r="AW374" i="13" s="1"/>
  <c r="AR374" i="13"/>
  <c r="AQ374" i="13"/>
  <c r="AR364" i="13"/>
  <c r="AP364" i="13"/>
  <c r="AW364" i="13" s="1"/>
  <c r="AQ364" i="13"/>
  <c r="AQ436" i="13"/>
  <c r="AP436" i="13"/>
  <c r="AW436" i="13" s="1"/>
  <c r="AR436" i="13"/>
  <c r="AR420" i="13"/>
  <c r="AP420" i="13"/>
  <c r="AW420" i="13" s="1"/>
  <c r="AQ420" i="13"/>
  <c r="AQ438" i="13"/>
  <c r="AR438" i="13"/>
  <c r="AP438" i="13"/>
  <c r="AW438" i="13" s="1"/>
  <c r="AQ371" i="13"/>
  <c r="AP371" i="13"/>
  <c r="AR371" i="13"/>
  <c r="AQ419" i="13"/>
  <c r="AP419" i="13"/>
  <c r="AW419" i="13" s="1"/>
  <c r="AR419" i="13"/>
  <c r="AP362" i="13"/>
  <c r="AW362" i="13" s="1"/>
  <c r="AR362" i="13"/>
  <c r="AQ362" i="13"/>
  <c r="AP390" i="13"/>
  <c r="AW390" i="13" s="1"/>
  <c r="AR390" i="13"/>
  <c r="AQ390" i="13"/>
  <c r="AQ339" i="13"/>
  <c r="AR339" i="13"/>
  <c r="AP339" i="13"/>
  <c r="AQ321" i="13"/>
  <c r="AP321" i="13"/>
  <c r="AW321" i="13" s="1"/>
  <c r="AQ215" i="13"/>
  <c r="AP215" i="13"/>
  <c r="AR332" i="13"/>
  <c r="AQ332" i="13"/>
  <c r="AP332" i="13"/>
  <c r="AQ312" i="13"/>
  <c r="AP312" i="13"/>
  <c r="AW312" i="13" s="1"/>
  <c r="AQ147" i="13"/>
  <c r="AP147" i="13"/>
  <c r="AW147" i="13" s="1"/>
  <c r="AR147" i="13"/>
  <c r="AP156" i="13"/>
  <c r="AQ156" i="13"/>
  <c r="N177" i="15"/>
  <c r="O177" i="15" s="1"/>
  <c r="AR260" i="13"/>
  <c r="AP260" i="13"/>
  <c r="AW260" i="13" s="1"/>
  <c r="AQ260" i="13"/>
  <c r="N169" i="15"/>
  <c r="Q169" i="15" s="1"/>
  <c r="AR249" i="13"/>
  <c r="AQ249" i="13"/>
  <c r="AP249" i="13"/>
  <c r="AW249" i="13" s="1"/>
  <c r="N221" i="15"/>
  <c r="O221" i="15" s="1"/>
  <c r="AP326" i="13"/>
  <c r="AQ326" i="13"/>
  <c r="AR326" i="13"/>
  <c r="N212" i="15"/>
  <c r="O212" i="15" s="1"/>
  <c r="AP314" i="13"/>
  <c r="AW314" i="13" s="1"/>
  <c r="AQ314" i="13"/>
  <c r="AR314" i="13"/>
  <c r="N183" i="15"/>
  <c r="Q183" i="15" s="1"/>
  <c r="AR272" i="13"/>
  <c r="AQ272" i="13"/>
  <c r="AP272" i="13"/>
  <c r="AW272" i="13" s="1"/>
  <c r="N193" i="15"/>
  <c r="Q193" i="15" s="1"/>
  <c r="AQ285" i="13"/>
  <c r="AR285" i="13"/>
  <c r="AP285" i="13"/>
  <c r="AW285" i="13" s="1"/>
  <c r="N112" i="15"/>
  <c r="AR169" i="13"/>
  <c r="AQ169" i="13"/>
  <c r="AP169" i="13"/>
  <c r="AW169" i="13" s="1"/>
  <c r="N44" i="15"/>
  <c r="O44" i="15" s="1"/>
  <c r="AR61" i="13"/>
  <c r="AP61" i="13"/>
  <c r="AW61" i="13" s="1"/>
  <c r="AQ61" i="13"/>
  <c r="AQ440" i="13"/>
  <c r="AR440" i="13"/>
  <c r="AP440" i="13"/>
  <c r="AW440" i="13" s="1"/>
  <c r="AL52" i="13"/>
  <c r="AM52" i="13" s="1"/>
  <c r="AK230" i="13"/>
  <c r="Q88" i="15"/>
  <c r="AL170" i="13"/>
  <c r="AM170" i="13" s="1"/>
  <c r="AK57" i="13"/>
  <c r="AL230" i="13"/>
  <c r="AM230" i="13" s="1"/>
  <c r="AL244" i="13"/>
  <c r="AK170" i="13"/>
  <c r="AL40" i="13"/>
  <c r="AM40" i="13" s="1"/>
  <c r="AL57" i="13"/>
  <c r="AM57" i="13" s="1"/>
  <c r="AK52" i="13"/>
  <c r="AK40" i="13"/>
  <c r="N277" i="15"/>
  <c r="O277" i="15" s="1"/>
  <c r="AK440" i="13"/>
  <c r="N324" i="15"/>
  <c r="P324" i="15" s="1"/>
  <c r="AL440" i="13"/>
  <c r="AM440" i="13" s="1"/>
  <c r="AG441" i="13"/>
  <c r="AL61" i="13"/>
  <c r="AM61" i="13" s="1"/>
  <c r="AK314" i="13"/>
  <c r="AK61" i="13"/>
  <c r="AW326" i="13"/>
  <c r="AH379" i="13"/>
  <c r="AJ379" i="13" s="1"/>
  <c r="AG398" i="13"/>
  <c r="AH398" i="13" s="1"/>
  <c r="AJ398" i="13" s="1"/>
  <c r="AG432" i="13"/>
  <c r="AH432" i="13" s="1"/>
  <c r="AJ432" i="13" s="1"/>
  <c r="P231" i="15"/>
  <c r="AL314" i="13"/>
  <c r="AM314" i="13" s="1"/>
  <c r="AK285" i="13"/>
  <c r="AL260" i="13"/>
  <c r="AM260" i="13" s="1"/>
  <c r="AL326" i="13"/>
  <c r="AM326" i="13" s="1"/>
  <c r="AH447" i="13"/>
  <c r="AJ447" i="13" s="1"/>
  <c r="AG425" i="13"/>
  <c r="AH425" i="13" s="1"/>
  <c r="AJ425" i="13" s="1"/>
  <c r="Q173" i="15"/>
  <c r="AW290" i="13"/>
  <c r="AK163" i="13"/>
  <c r="Q223" i="15"/>
  <c r="AL267" i="13"/>
  <c r="AM267" i="13" s="1"/>
  <c r="AL317" i="13"/>
  <c r="AM317" i="13" s="1"/>
  <c r="AK259" i="13"/>
  <c r="AK186" i="13"/>
  <c r="AK23" i="13"/>
  <c r="AW116" i="13"/>
  <c r="AK157" i="13"/>
  <c r="AL23" i="13"/>
  <c r="AM23" i="13" s="1"/>
  <c r="AL290" i="13"/>
  <c r="AM290" i="13" s="1"/>
  <c r="AK290" i="13"/>
  <c r="AL104" i="13"/>
  <c r="AM104" i="13" s="1"/>
  <c r="AK116" i="13"/>
  <c r="O231" i="15"/>
  <c r="O19" i="15"/>
  <c r="P115" i="15"/>
  <c r="Q115" i="15"/>
  <c r="P19" i="15"/>
  <c r="O67" i="15"/>
  <c r="P88" i="15"/>
  <c r="AL109" i="13"/>
  <c r="AM109" i="13" s="1"/>
  <c r="AK104" i="13"/>
  <c r="AL157" i="13"/>
  <c r="AM157" i="13" s="1"/>
  <c r="O133" i="15"/>
  <c r="O106" i="15"/>
  <c r="AK53" i="13"/>
  <c r="AK109" i="13"/>
  <c r="AL222" i="13"/>
  <c r="AM222" i="13" s="1"/>
  <c r="AK222" i="13"/>
  <c r="AW259" i="13"/>
  <c r="AK239" i="13"/>
  <c r="AK317" i="13"/>
  <c r="AL116" i="13"/>
  <c r="AM116" i="13" s="1"/>
  <c r="P133" i="15"/>
  <c r="P223" i="15"/>
  <c r="P67" i="15"/>
  <c r="AK184" i="13"/>
  <c r="AL278" i="13"/>
  <c r="AM278" i="13" s="1"/>
  <c r="AL186" i="13"/>
  <c r="AM186" i="13" s="1"/>
  <c r="Q62" i="15"/>
  <c r="P62" i="15"/>
  <c r="O62" i="15"/>
  <c r="P106" i="15"/>
  <c r="AW239" i="13"/>
  <c r="AL45" i="13"/>
  <c r="AM45" i="13" s="1"/>
  <c r="AW157" i="13"/>
  <c r="AK267" i="13"/>
  <c r="AL53" i="13"/>
  <c r="AM53" i="13" s="1"/>
  <c r="AK198" i="13"/>
  <c r="AW109" i="13"/>
  <c r="AL259" i="13"/>
  <c r="AM259" i="13" s="1"/>
  <c r="AL163" i="13"/>
  <c r="AM163" i="13" s="1"/>
  <c r="AW163" i="13"/>
  <c r="AL239" i="13"/>
  <c r="AM239" i="13" s="1"/>
  <c r="AK45" i="13"/>
  <c r="P32" i="15"/>
  <c r="O32" i="15"/>
  <c r="AL184" i="13"/>
  <c r="AM184" i="13" s="1"/>
  <c r="AK278" i="13"/>
  <c r="P313" i="15"/>
  <c r="O283" i="15"/>
  <c r="O247" i="15"/>
  <c r="O313" i="15"/>
  <c r="P283" i="15"/>
  <c r="P280" i="15"/>
  <c r="Q187" i="15"/>
  <c r="O187" i="15"/>
  <c r="Q126" i="15"/>
  <c r="O126" i="15"/>
  <c r="P221" i="15"/>
  <c r="Q221" i="15"/>
  <c r="AJ261" i="13"/>
  <c r="AJ50" i="13"/>
  <c r="AJ190" i="13"/>
  <c r="AJ153" i="13"/>
  <c r="AJ238" i="13"/>
  <c r="AL238" i="13" s="1"/>
  <c r="AM238" i="13" s="1"/>
  <c r="AJ187" i="13"/>
  <c r="AJ258" i="13"/>
  <c r="AJ159" i="13"/>
  <c r="AL159" i="13" s="1"/>
  <c r="AM159" i="13" s="1"/>
  <c r="AJ32" i="13"/>
  <c r="AJ119" i="13"/>
  <c r="AJ293" i="13"/>
  <c r="AJ248" i="13"/>
  <c r="AL248" i="13" s="1"/>
  <c r="AM248" i="13" s="1"/>
  <c r="AJ112" i="13"/>
  <c r="AJ181" i="13"/>
  <c r="AJ48" i="13"/>
  <c r="AJ82" i="13"/>
  <c r="AK82" i="13" s="1"/>
  <c r="AJ178" i="13"/>
  <c r="AJ336" i="13"/>
  <c r="AJ91" i="13"/>
  <c r="N23" i="15"/>
  <c r="N156" i="15"/>
  <c r="N185" i="15"/>
  <c r="O185" i="15" s="1"/>
  <c r="N95" i="15"/>
  <c r="O95" i="15" s="1"/>
  <c r="AJ353" i="13"/>
  <c r="AJ110" i="13"/>
  <c r="AJ180" i="13"/>
  <c r="AJ146" i="13"/>
  <c r="AJ315" i="13"/>
  <c r="AL315" i="13" s="1"/>
  <c r="AM315" i="13" s="1"/>
  <c r="AJ18" i="13"/>
  <c r="AJ359" i="13"/>
  <c r="AJ316" i="13"/>
  <c r="AJ151" i="13"/>
  <c r="AL151" i="13" s="1"/>
  <c r="AM151" i="13" s="1"/>
  <c r="AJ319" i="13"/>
  <c r="Q314" i="15"/>
  <c r="O261" i="15"/>
  <c r="P247" i="15"/>
  <c r="Q261" i="15"/>
  <c r="O256" i="15"/>
  <c r="P256" i="15"/>
  <c r="Q256" i="15"/>
  <c r="N308" i="15"/>
  <c r="N254" i="15"/>
  <c r="P48" i="15"/>
  <c r="Q48" i="15"/>
  <c r="N258" i="15"/>
  <c r="AK393" i="13"/>
  <c r="P314" i="15"/>
  <c r="N320" i="15"/>
  <c r="N304" i="15"/>
  <c r="Q280" i="15"/>
  <c r="AK418" i="13"/>
  <c r="N299" i="15"/>
  <c r="O299" i="15" s="1"/>
  <c r="AL370" i="13"/>
  <c r="AM370" i="13" s="1"/>
  <c r="N330" i="15"/>
  <c r="N291" i="15"/>
  <c r="N311" i="15"/>
  <c r="N303" i="15"/>
  <c r="Q303" i="15" s="1"/>
  <c r="N298" i="15"/>
  <c r="AL393" i="13"/>
  <c r="AM393" i="13" s="1"/>
  <c r="N317" i="15"/>
  <c r="N288" i="15"/>
  <c r="N294" i="15"/>
  <c r="P294" i="15" s="1"/>
  <c r="N272" i="15"/>
  <c r="Q272" i="15" s="1"/>
  <c r="AK370" i="13"/>
  <c r="N250" i="15"/>
  <c r="N296" i="15"/>
  <c r="AL442" i="13"/>
  <c r="AM442" i="13" s="1"/>
  <c r="P300" i="15"/>
  <c r="Q300" i="15"/>
  <c r="O300" i="15"/>
  <c r="N318" i="15"/>
  <c r="N269" i="15"/>
  <c r="N315" i="15"/>
  <c r="P315" i="15" s="1"/>
  <c r="N327" i="15"/>
  <c r="N323" i="15"/>
  <c r="N295" i="15"/>
  <c r="N307" i="15"/>
  <c r="N251" i="15"/>
  <c r="N312" i="15"/>
  <c r="AW418" i="13"/>
  <c r="N246" i="15"/>
  <c r="O246" i="15" s="1"/>
  <c r="N274" i="15"/>
  <c r="N248" i="15"/>
  <c r="N287" i="15"/>
  <c r="N322" i="15"/>
  <c r="P173" i="15"/>
  <c r="O166" i="15"/>
  <c r="Q166" i="15"/>
  <c r="N305" i="15"/>
  <c r="O305" i="15" s="1"/>
  <c r="AK274" i="13"/>
  <c r="AL274" i="13"/>
  <c r="AM274" i="13" s="1"/>
  <c r="AW274" i="13"/>
  <c r="AW360" i="13"/>
  <c r="AK151" i="13"/>
  <c r="AK353" i="13"/>
  <c r="AW337" i="13"/>
  <c r="AL337" i="13"/>
  <c r="AL321" i="13"/>
  <c r="AW215" i="13"/>
  <c r="AL215" i="13"/>
  <c r="AM215" i="13" s="1"/>
  <c r="AL312" i="13"/>
  <c r="AM312" i="13" s="1"/>
  <c r="AK147" i="13"/>
  <c r="AL20" i="13"/>
  <c r="AL101" i="13"/>
  <c r="AL75" i="13"/>
  <c r="AM75" i="13" s="1"/>
  <c r="AL288" i="13"/>
  <c r="AM288" i="13" s="1"/>
  <c r="AL246" i="13"/>
  <c r="AM246" i="13" s="1"/>
  <c r="AL187" i="13"/>
  <c r="AM187" i="13" s="1"/>
  <c r="AH350" i="13"/>
  <c r="AH327" i="13"/>
  <c r="AJ327" i="13" s="1"/>
  <c r="AH357" i="13"/>
  <c r="AH123" i="13"/>
  <c r="AH226" i="13"/>
  <c r="AH49" i="13"/>
  <c r="AH335" i="13"/>
  <c r="AH130" i="13"/>
  <c r="AL135" i="13"/>
  <c r="N229" i="15"/>
  <c r="AW135" i="13"/>
  <c r="N225" i="15"/>
  <c r="AH307" i="13"/>
  <c r="AJ307" i="13" s="1"/>
  <c r="AH236" i="13"/>
  <c r="AJ236" i="13" s="1"/>
  <c r="AH92" i="13"/>
  <c r="AJ92" i="13" s="1"/>
  <c r="AH325" i="13"/>
  <c r="AJ325" i="13" s="1"/>
  <c r="AH269" i="13"/>
  <c r="AJ269" i="13" s="1"/>
  <c r="AH206" i="13"/>
  <c r="AJ206" i="13" s="1"/>
  <c r="AH298" i="13"/>
  <c r="AJ298" i="13" s="1"/>
  <c r="AL209" i="13"/>
  <c r="AM209" i="13" s="1"/>
  <c r="AH228" i="13"/>
  <c r="AH309" i="13"/>
  <c r="AH318" i="13"/>
  <c r="AJ318" i="13" s="1"/>
  <c r="AH233" i="13"/>
  <c r="AH334" i="13"/>
  <c r="AH29" i="13"/>
  <c r="AH345" i="13"/>
  <c r="AH257" i="13"/>
  <c r="AJ257" i="13" s="1"/>
  <c r="AH344" i="13"/>
  <c r="AH95" i="13"/>
  <c r="AH154" i="13"/>
  <c r="AJ154" i="13" s="1"/>
  <c r="AW255" i="13"/>
  <c r="AL255" i="13"/>
  <c r="AM255" i="13" s="1"/>
  <c r="AL245" i="13"/>
  <c r="AM245" i="13" s="1"/>
  <c r="AK245" i="13"/>
  <c r="AW245" i="13"/>
  <c r="AL338" i="13"/>
  <c r="AM338" i="13" s="1"/>
  <c r="AL147" i="13"/>
  <c r="AM147" i="13" s="1"/>
  <c r="AK255" i="13"/>
  <c r="AL360" i="13"/>
  <c r="AL362" i="13"/>
  <c r="AM362" i="13" s="1"/>
  <c r="AK390" i="13"/>
  <c r="AL390" i="13"/>
  <c r="AM390" i="13" s="1"/>
  <c r="AK415" i="13"/>
  <c r="AK431" i="13"/>
  <c r="AL431" i="13"/>
  <c r="AM431" i="13" s="1"/>
  <c r="AL421" i="13"/>
  <c r="AM421" i="13" s="1"/>
  <c r="AK388" i="13"/>
  <c r="AL388" i="13"/>
  <c r="AM388" i="13" s="1"/>
  <c r="AL419" i="13"/>
  <c r="AM419" i="13" s="1"/>
  <c r="AK419" i="13"/>
  <c r="AL410" i="13"/>
  <c r="AM410" i="13" s="1"/>
  <c r="AK410" i="13"/>
  <c r="AK366" i="13"/>
  <c r="AL366" i="13"/>
  <c r="AM366" i="13" s="1"/>
  <c r="AH397" i="13"/>
  <c r="AJ397" i="13" s="1"/>
  <c r="AH445" i="13"/>
  <c r="AJ445" i="13" s="1"/>
  <c r="AH413" i="13"/>
  <c r="AJ413" i="13" s="1"/>
  <c r="AH402" i="13"/>
  <c r="AJ402" i="13" s="1"/>
  <c r="AH409" i="13"/>
  <c r="AJ409" i="13" s="1"/>
  <c r="AH389" i="13"/>
  <c r="AJ389" i="13" s="1"/>
  <c r="AH369" i="13"/>
  <c r="AJ369" i="13" s="1"/>
  <c r="AH375" i="13"/>
  <c r="AJ375" i="13" s="1"/>
  <c r="AL415" i="13"/>
  <c r="AM415" i="13" s="1"/>
  <c r="AK421" i="13"/>
  <c r="AH417" i="13"/>
  <c r="AJ417" i="13" s="1"/>
  <c r="AH376" i="13"/>
  <c r="AJ376" i="13" s="1"/>
  <c r="AH381" i="13"/>
  <c r="AJ381" i="13" s="1"/>
  <c r="AH368" i="13"/>
  <c r="AJ368" i="13" s="1"/>
  <c r="AH383" i="13"/>
  <c r="AJ383" i="13" s="1"/>
  <c r="AH426" i="13"/>
  <c r="AJ426" i="13" s="1"/>
  <c r="AH435" i="13"/>
  <c r="AJ435" i="13" s="1"/>
  <c r="AH392" i="13"/>
  <c r="AJ392" i="13" s="1"/>
  <c r="AH382" i="13"/>
  <c r="AJ382" i="13" s="1"/>
  <c r="AK362" i="13"/>
  <c r="N270" i="15"/>
  <c r="O270" i="15" s="1"/>
  <c r="I451" i="13"/>
  <c r="O193" i="15"/>
  <c r="AK384" i="13"/>
  <c r="AL443" i="13"/>
  <c r="AM443" i="13" s="1"/>
  <c r="AK443" i="13"/>
  <c r="AL434" i="13"/>
  <c r="AM434" i="13" s="1"/>
  <c r="AK434" i="13"/>
  <c r="AL433" i="13"/>
  <c r="AM433" i="13" s="1"/>
  <c r="AK433" i="13"/>
  <c r="AL378" i="13"/>
  <c r="AM378" i="13" s="1"/>
  <c r="AK404" i="13"/>
  <c r="AL404" i="13"/>
  <c r="AM404" i="13" s="1"/>
  <c r="Q302" i="15"/>
  <c r="O302" i="15"/>
  <c r="P302" i="15"/>
  <c r="AL446" i="13"/>
  <c r="AM446" i="13" s="1"/>
  <c r="AK374" i="13"/>
  <c r="AL374" i="13"/>
  <c r="AM374" i="13" s="1"/>
  <c r="P306" i="15"/>
  <c r="O306" i="15"/>
  <c r="Q306" i="15"/>
  <c r="Q257" i="15"/>
  <c r="P257" i="15"/>
  <c r="O257" i="15"/>
  <c r="AL439" i="13"/>
  <c r="AM439" i="13" s="1"/>
  <c r="AK439" i="13"/>
  <c r="AK411" i="13"/>
  <c r="AL411" i="13"/>
  <c r="AM411" i="13" s="1"/>
  <c r="AL423" i="13"/>
  <c r="AM423" i="13" s="1"/>
  <c r="AK423" i="13"/>
  <c r="AK367" i="13"/>
  <c r="AL367" i="13"/>
  <c r="AM367" i="13" s="1"/>
  <c r="AK428" i="13"/>
  <c r="AL428" i="13"/>
  <c r="AM428" i="13" s="1"/>
  <c r="AH406" i="13"/>
  <c r="AJ406" i="13" s="1"/>
  <c r="AH401" i="13"/>
  <c r="AJ401" i="13" s="1"/>
  <c r="AH394" i="13"/>
  <c r="AJ394" i="13" s="1"/>
  <c r="AH380" i="13"/>
  <c r="AJ380" i="13" s="1"/>
  <c r="AL412" i="13"/>
  <c r="AM412" i="13" s="1"/>
  <c r="AK412" i="13"/>
  <c r="AL427" i="13"/>
  <c r="AM427" i="13" s="1"/>
  <c r="AK427" i="13"/>
  <c r="AL385" i="13"/>
  <c r="AM385" i="13" s="1"/>
  <c r="AK385" i="13"/>
  <c r="AK424" i="13"/>
  <c r="AL424" i="13"/>
  <c r="AM424" i="13" s="1"/>
  <c r="AK438" i="13"/>
  <c r="AL438" i="13"/>
  <c r="AM438" i="13" s="1"/>
  <c r="O321" i="15"/>
  <c r="P321" i="15"/>
  <c r="Q321" i="15"/>
  <c r="AL414" i="13"/>
  <c r="AM414" i="13" s="1"/>
  <c r="AK414" i="13"/>
  <c r="Q275" i="15"/>
  <c r="O275" i="15"/>
  <c r="P275" i="15"/>
  <c r="AK364" i="13"/>
  <c r="AL364" i="13"/>
  <c r="AM364" i="13" s="1"/>
  <c r="AK436" i="13"/>
  <c r="AL436" i="13"/>
  <c r="AM436" i="13" s="1"/>
  <c r="AK420" i="13"/>
  <c r="AL420" i="13"/>
  <c r="AM420" i="13" s="1"/>
  <c r="AK407" i="13"/>
  <c r="AL407" i="13"/>
  <c r="AM407" i="13" s="1"/>
  <c r="P328" i="15"/>
  <c r="Q328" i="15"/>
  <c r="O328" i="15"/>
  <c r="AH400" i="13"/>
  <c r="AJ400" i="13" s="1"/>
  <c r="AH405" i="13"/>
  <c r="AJ405" i="13" s="1"/>
  <c r="AH365" i="13"/>
  <c r="AJ365" i="13" s="1"/>
  <c r="AH395" i="13"/>
  <c r="AJ395" i="13" s="1"/>
  <c r="O108" i="15"/>
  <c r="Q108" i="15"/>
  <c r="P193" i="15"/>
  <c r="AK331" i="13"/>
  <c r="AL253" i="13"/>
  <c r="AM253" i="13" s="1"/>
  <c r="P177" i="15"/>
  <c r="Q177" i="15"/>
  <c r="Q118" i="15"/>
  <c r="P118" i="15"/>
  <c r="O118" i="15"/>
  <c r="P195" i="15"/>
  <c r="O195" i="15"/>
  <c r="Q195" i="15"/>
  <c r="P237" i="15"/>
  <c r="O237" i="15"/>
  <c r="Q237" i="15"/>
  <c r="O164" i="15"/>
  <c r="Q164" i="15"/>
  <c r="P164" i="15"/>
  <c r="O79" i="15"/>
  <c r="Q79" i="15"/>
  <c r="O107" i="15"/>
  <c r="Q107" i="15"/>
  <c r="Q215" i="15"/>
  <c r="P215" i="15"/>
  <c r="O206" i="15"/>
  <c r="Q206" i="15"/>
  <c r="P206" i="15"/>
  <c r="O64" i="15"/>
  <c r="P64" i="15"/>
  <c r="Q64" i="15"/>
  <c r="P50" i="15"/>
  <c r="O50" i="15"/>
  <c r="Q50" i="15"/>
  <c r="AK238" i="13"/>
  <c r="AL121" i="13"/>
  <c r="AM121" i="13" s="1"/>
  <c r="AW202" i="13"/>
  <c r="AL202" i="13"/>
  <c r="AW229" i="13"/>
  <c r="AK229" i="13"/>
  <c r="AL229" i="13"/>
  <c r="AM229" i="13" s="1"/>
  <c r="AK33" i="13"/>
  <c r="AL33" i="13"/>
  <c r="AM33" i="13" s="1"/>
  <c r="P112" i="15"/>
  <c r="Q112" i="15"/>
  <c r="O112" i="15"/>
  <c r="Q124" i="15"/>
  <c r="P124" i="15"/>
  <c r="O124" i="15"/>
  <c r="P194" i="15"/>
  <c r="O194" i="15"/>
  <c r="Q194" i="15"/>
  <c r="P70" i="15"/>
  <c r="Q70" i="15"/>
  <c r="L337" i="15"/>
  <c r="O180" i="15"/>
  <c r="P180" i="15"/>
  <c r="Q134" i="15"/>
  <c r="P134" i="15"/>
  <c r="O134" i="15"/>
  <c r="P44" i="15"/>
  <c r="Q44" i="15"/>
  <c r="Q199" i="15"/>
  <c r="O199" i="15"/>
  <c r="P199" i="15"/>
  <c r="Q57" i="15"/>
  <c r="O57" i="15"/>
  <c r="P57" i="15"/>
  <c r="Q212" i="15"/>
  <c r="P212" i="15"/>
  <c r="O40" i="15"/>
  <c r="P37" i="15"/>
  <c r="Q160" i="15"/>
  <c r="P160" i="15"/>
  <c r="O160" i="15"/>
  <c r="O91" i="15"/>
  <c r="Q91" i="15"/>
  <c r="P91" i="15"/>
  <c r="P17" i="15"/>
  <c r="Q17" i="15"/>
  <c r="O17" i="15"/>
  <c r="AL124" i="13"/>
  <c r="P43" i="15"/>
  <c r="O43" i="15"/>
  <c r="Q43" i="15"/>
  <c r="O56" i="15"/>
  <c r="Q56" i="15"/>
  <c r="P56" i="15"/>
  <c r="Q211" i="15"/>
  <c r="O211" i="15"/>
  <c r="P211" i="15"/>
  <c r="O183" i="15"/>
  <c r="P183" i="15"/>
  <c r="AL84" i="13"/>
  <c r="X10" i="13"/>
  <c r="X448" i="13" s="1"/>
  <c r="H18" i="3" s="1"/>
  <c r="I448" i="13"/>
  <c r="M10" i="13"/>
  <c r="M448" i="13" s="1"/>
  <c r="O169" i="15"/>
  <c r="P169" i="15"/>
  <c r="O101" i="15" l="1"/>
  <c r="Q136" i="15"/>
  <c r="Q176" i="15"/>
  <c r="Q157" i="15"/>
  <c r="O128" i="15"/>
  <c r="P36" i="15"/>
  <c r="P31" i="15"/>
  <c r="Q324" i="15"/>
  <c r="AF10" i="13"/>
  <c r="AG10" i="13" s="1"/>
  <c r="Q31" i="15"/>
  <c r="P101" i="15"/>
  <c r="Q113" i="15"/>
  <c r="P196" i="15"/>
  <c r="P75" i="15"/>
  <c r="Q150" i="15"/>
  <c r="P176" i="15"/>
  <c r="O163" i="15"/>
  <c r="P277" i="15"/>
  <c r="O136" i="15"/>
  <c r="O36" i="15"/>
  <c r="O37" i="15"/>
  <c r="P40" i="15"/>
  <c r="Q75" i="15"/>
  <c r="P150" i="15"/>
  <c r="P163" i="15"/>
  <c r="P29" i="15"/>
  <c r="P113" i="15"/>
  <c r="P128" i="15"/>
  <c r="P157" i="15"/>
  <c r="O29" i="15"/>
  <c r="O196" i="15"/>
  <c r="AQ405" i="13"/>
  <c r="AR405" i="13"/>
  <c r="AP405" i="13"/>
  <c r="AQ395" i="13"/>
  <c r="AP395" i="13"/>
  <c r="AW395" i="13" s="1"/>
  <c r="AR395" i="13"/>
  <c r="AQ401" i="13"/>
  <c r="AR401" i="13"/>
  <c r="AP401" i="13"/>
  <c r="AW401" i="13" s="1"/>
  <c r="AR392" i="13"/>
  <c r="AP392" i="13"/>
  <c r="AW392" i="13" s="1"/>
  <c r="AQ392" i="13"/>
  <c r="AR368" i="13"/>
  <c r="AP368" i="13"/>
  <c r="AW368" i="13" s="1"/>
  <c r="AQ368" i="13"/>
  <c r="AQ389" i="13"/>
  <c r="AR389" i="13"/>
  <c r="AP389" i="13"/>
  <c r="AW389" i="13" s="1"/>
  <c r="AP445" i="13"/>
  <c r="AW445" i="13" s="1"/>
  <c r="AR445" i="13"/>
  <c r="AQ445" i="13"/>
  <c r="AR154" i="13"/>
  <c r="AQ154" i="13"/>
  <c r="AP154" i="13"/>
  <c r="AP318" i="13"/>
  <c r="AW318" i="13" s="1"/>
  <c r="AR318" i="13"/>
  <c r="AQ318" i="13"/>
  <c r="AP298" i="13"/>
  <c r="AQ298" i="13"/>
  <c r="AR298" i="13"/>
  <c r="AP92" i="13"/>
  <c r="AW92" i="13" s="1"/>
  <c r="AR92" i="13"/>
  <c r="AQ92" i="13"/>
  <c r="N217" i="15"/>
  <c r="O217" i="15" s="1"/>
  <c r="AP319" i="13"/>
  <c r="AW319" i="13" s="1"/>
  <c r="AR319" i="13"/>
  <c r="AQ319" i="13"/>
  <c r="N15" i="15"/>
  <c r="Q15" i="15" s="1"/>
  <c r="AR18" i="13"/>
  <c r="AQ18" i="13"/>
  <c r="AP18" i="13"/>
  <c r="AW18" i="13" s="1"/>
  <c r="N76" i="15"/>
  <c r="Q76" i="15" s="1"/>
  <c r="AR110" i="13"/>
  <c r="AQ110" i="13"/>
  <c r="AP110" i="13"/>
  <c r="AW110" i="13" s="1"/>
  <c r="N120" i="15"/>
  <c r="P120" i="15" s="1"/>
  <c r="AR178" i="13"/>
  <c r="AQ178" i="13"/>
  <c r="AP178" i="13"/>
  <c r="AW178" i="13" s="1"/>
  <c r="N77" i="15"/>
  <c r="O77" i="15" s="1"/>
  <c r="AP112" i="13"/>
  <c r="AW112" i="13" s="1"/>
  <c r="AR112" i="13"/>
  <c r="AQ112" i="13"/>
  <c r="N22" i="15"/>
  <c r="Q22" i="15" s="1"/>
  <c r="AP32" i="13"/>
  <c r="AW32" i="13" s="1"/>
  <c r="AQ32" i="13"/>
  <c r="AR32" i="13"/>
  <c r="N162" i="15"/>
  <c r="P162" i="15" s="1"/>
  <c r="AQ238" i="13"/>
  <c r="AP238" i="13"/>
  <c r="AW238" i="13" s="1"/>
  <c r="AR238" i="13"/>
  <c r="AR261" i="13"/>
  <c r="AQ261" i="13"/>
  <c r="AP261" i="13"/>
  <c r="AW261" i="13" s="1"/>
  <c r="N263" i="15"/>
  <c r="P263" i="15" s="1"/>
  <c r="AQ379" i="13"/>
  <c r="AP379" i="13"/>
  <c r="AW379" i="13" s="1"/>
  <c r="AR379" i="13"/>
  <c r="AR400" i="13"/>
  <c r="AP400" i="13"/>
  <c r="AW400" i="13" s="1"/>
  <c r="AQ400" i="13"/>
  <c r="AP394" i="13"/>
  <c r="AW394" i="13" s="1"/>
  <c r="AR394" i="13"/>
  <c r="AQ394" i="13"/>
  <c r="AP382" i="13"/>
  <c r="AR382" i="13"/>
  <c r="AQ382" i="13"/>
  <c r="AQ383" i="13"/>
  <c r="AR383" i="13"/>
  <c r="AP383" i="13"/>
  <c r="AW383" i="13" s="1"/>
  <c r="AQ417" i="13"/>
  <c r="AR417" i="13"/>
  <c r="AP417" i="13"/>
  <c r="AW417" i="13" s="1"/>
  <c r="AQ369" i="13"/>
  <c r="AR369" i="13"/>
  <c r="AP369" i="13"/>
  <c r="AW369" i="13" s="1"/>
  <c r="AQ413" i="13"/>
  <c r="AR413" i="13"/>
  <c r="AP413" i="13"/>
  <c r="AW413" i="13" s="1"/>
  <c r="AR257" i="13"/>
  <c r="AQ257" i="13"/>
  <c r="AP257" i="13"/>
  <c r="AQ325" i="13"/>
  <c r="AP325" i="13"/>
  <c r="AW325" i="13" s="1"/>
  <c r="AR325" i="13"/>
  <c r="N244" i="15"/>
  <c r="Q244" i="15" s="1"/>
  <c r="AQ359" i="13"/>
  <c r="AP359" i="13"/>
  <c r="AR359" i="13"/>
  <c r="N122" i="15"/>
  <c r="O122" i="15" s="1"/>
  <c r="AP180" i="13"/>
  <c r="AW180" i="13" s="1"/>
  <c r="AR180" i="13"/>
  <c r="AQ180" i="13"/>
  <c r="N228" i="15"/>
  <c r="O228" i="15" s="1"/>
  <c r="AR336" i="13"/>
  <c r="AP336" i="13"/>
  <c r="AW336" i="13" s="1"/>
  <c r="AQ336" i="13"/>
  <c r="N123" i="15"/>
  <c r="O123" i="15" s="1"/>
  <c r="AR181" i="13"/>
  <c r="AQ181" i="13"/>
  <c r="AP181" i="13"/>
  <c r="AW181" i="13" s="1"/>
  <c r="N80" i="15"/>
  <c r="P80" i="15" s="1"/>
  <c r="AQ119" i="13"/>
  <c r="AP119" i="13"/>
  <c r="AW119" i="13" s="1"/>
  <c r="AR119" i="13"/>
  <c r="N129" i="15"/>
  <c r="Q129" i="15" s="1"/>
  <c r="AQ187" i="13"/>
  <c r="AP187" i="13"/>
  <c r="AW187" i="13" s="1"/>
  <c r="AR187" i="13"/>
  <c r="N35" i="15"/>
  <c r="Q35" i="15" s="1"/>
  <c r="AR50" i="13"/>
  <c r="AQ50" i="13"/>
  <c r="AP50" i="13"/>
  <c r="AW50" i="13" s="1"/>
  <c r="AR447" i="13"/>
  <c r="AQ447" i="13"/>
  <c r="AP447" i="13"/>
  <c r="AW447" i="13" s="1"/>
  <c r="AP398" i="13"/>
  <c r="AW398" i="13" s="1"/>
  <c r="AR398" i="13"/>
  <c r="AQ398" i="13"/>
  <c r="AR380" i="13"/>
  <c r="AP380" i="13"/>
  <c r="AW380" i="13" s="1"/>
  <c r="AQ380" i="13"/>
  <c r="AP426" i="13"/>
  <c r="AW426" i="13" s="1"/>
  <c r="AR426" i="13"/>
  <c r="AQ426" i="13"/>
  <c r="AR376" i="13"/>
  <c r="AP376" i="13"/>
  <c r="AW376" i="13" s="1"/>
  <c r="AQ376" i="13"/>
  <c r="AQ375" i="13"/>
  <c r="AR375" i="13"/>
  <c r="AP375" i="13"/>
  <c r="AW375" i="13" s="1"/>
  <c r="AP402" i="13"/>
  <c r="AW402" i="13" s="1"/>
  <c r="AR402" i="13"/>
  <c r="AQ402" i="13"/>
  <c r="AQ269" i="13"/>
  <c r="AP269" i="13"/>
  <c r="AW269" i="13" s="1"/>
  <c r="AQ307" i="13"/>
  <c r="AP307" i="13"/>
  <c r="AR307" i="13"/>
  <c r="N214" i="15"/>
  <c r="Q214" i="15" s="1"/>
  <c r="AR316" i="13"/>
  <c r="AQ316" i="13"/>
  <c r="AP316" i="13"/>
  <c r="N94" i="15"/>
  <c r="P94" i="15" s="1"/>
  <c r="AR146" i="13"/>
  <c r="AQ146" i="13"/>
  <c r="AP146" i="13"/>
  <c r="AW146" i="13" s="1"/>
  <c r="N60" i="15"/>
  <c r="Q60" i="15" s="1"/>
  <c r="AQ91" i="13"/>
  <c r="AP91" i="13"/>
  <c r="AR91" i="13"/>
  <c r="N33" i="15"/>
  <c r="Q33" i="15" s="1"/>
  <c r="AP48" i="13"/>
  <c r="AQ48" i="13"/>
  <c r="AR48" i="13"/>
  <c r="N197" i="15"/>
  <c r="Q197" i="15" s="1"/>
  <c r="AQ293" i="13"/>
  <c r="AR293" i="13"/>
  <c r="AP293" i="13"/>
  <c r="AW293" i="13" s="1"/>
  <c r="N175" i="15"/>
  <c r="Q175" i="15" s="1"/>
  <c r="AQ258" i="13"/>
  <c r="AP258" i="13"/>
  <c r="AR258" i="13"/>
  <c r="N130" i="15"/>
  <c r="Q130" i="15" s="1"/>
  <c r="AR190" i="13"/>
  <c r="AQ190" i="13"/>
  <c r="AP190" i="13"/>
  <c r="AW190" i="13" s="1"/>
  <c r="AQ425" i="13"/>
  <c r="AR425" i="13"/>
  <c r="AP425" i="13"/>
  <c r="AW425" i="13" s="1"/>
  <c r="AR432" i="13"/>
  <c r="AQ432" i="13"/>
  <c r="AP432" i="13"/>
  <c r="AW432" i="13" s="1"/>
  <c r="AQ365" i="13"/>
  <c r="AP365" i="13"/>
  <c r="AW365" i="13" s="1"/>
  <c r="AR365" i="13"/>
  <c r="AP406" i="13"/>
  <c r="AW406" i="13" s="1"/>
  <c r="AR406" i="13"/>
  <c r="AQ406" i="13"/>
  <c r="AR435" i="13"/>
  <c r="AP435" i="13"/>
  <c r="AW435" i="13" s="1"/>
  <c r="AQ435" i="13"/>
  <c r="AQ381" i="13"/>
  <c r="AR381" i="13"/>
  <c r="AP381" i="13"/>
  <c r="AW381" i="13" s="1"/>
  <c r="AQ409" i="13"/>
  <c r="AR409" i="13"/>
  <c r="AP409" i="13"/>
  <c r="AQ397" i="13"/>
  <c r="AR397" i="13"/>
  <c r="AP397" i="13"/>
  <c r="AW397" i="13" s="1"/>
  <c r="AR206" i="13"/>
  <c r="AQ206" i="13"/>
  <c r="AP206" i="13"/>
  <c r="AR236" i="13"/>
  <c r="AP236" i="13"/>
  <c r="AQ236" i="13"/>
  <c r="AQ327" i="13"/>
  <c r="AR327" i="13"/>
  <c r="AP327" i="13"/>
  <c r="N98" i="15"/>
  <c r="Q98" i="15" s="1"/>
  <c r="AQ151" i="13"/>
  <c r="AP151" i="13"/>
  <c r="AW151" i="13" s="1"/>
  <c r="AR151" i="13"/>
  <c r="N213" i="15"/>
  <c r="O213" i="15" s="1"/>
  <c r="AQ315" i="13"/>
  <c r="AP315" i="13"/>
  <c r="AW315" i="13" s="1"/>
  <c r="AR315" i="13"/>
  <c r="N239" i="15"/>
  <c r="O239" i="15" s="1"/>
  <c r="AQ353" i="13"/>
  <c r="AR353" i="13"/>
  <c r="AP353" i="13"/>
  <c r="AW353" i="13" s="1"/>
  <c r="N55" i="15"/>
  <c r="P55" i="15" s="1"/>
  <c r="AR82" i="13"/>
  <c r="AQ82" i="13"/>
  <c r="AP82" i="13"/>
  <c r="AW82" i="13" s="1"/>
  <c r="N168" i="15"/>
  <c r="O168" i="15" s="1"/>
  <c r="AR248" i="13"/>
  <c r="AQ248" i="13"/>
  <c r="AP248" i="13"/>
  <c r="AW248" i="13" s="1"/>
  <c r="N103" i="15"/>
  <c r="Q103" i="15" s="1"/>
  <c r="AQ159" i="13"/>
  <c r="AP159" i="13"/>
  <c r="AW159" i="13" s="1"/>
  <c r="AR159" i="13"/>
  <c r="N99" i="15"/>
  <c r="P99" i="15" s="1"/>
  <c r="AR153" i="13"/>
  <c r="AQ153" i="13"/>
  <c r="AP153" i="13"/>
  <c r="AW153" i="13" s="1"/>
  <c r="Q277" i="15"/>
  <c r="AK110" i="13"/>
  <c r="O324" i="15"/>
  <c r="AK447" i="13"/>
  <c r="N331" i="15"/>
  <c r="O331" i="15" s="1"/>
  <c r="N282" i="15"/>
  <c r="P282" i="15" s="1"/>
  <c r="AK398" i="13"/>
  <c r="AL398" i="13"/>
  <c r="AM398" i="13" s="1"/>
  <c r="N309" i="15"/>
  <c r="Q309" i="15" s="1"/>
  <c r="AK425" i="13"/>
  <c r="AL425" i="13"/>
  <c r="AM425" i="13" s="1"/>
  <c r="AL432" i="13"/>
  <c r="AM432" i="13" s="1"/>
  <c r="AK432" i="13"/>
  <c r="N316" i="15"/>
  <c r="O316" i="15" s="1"/>
  <c r="AL316" i="13"/>
  <c r="AM316" i="13" s="1"/>
  <c r="AL447" i="13"/>
  <c r="AM447" i="13" s="1"/>
  <c r="AL82" i="13"/>
  <c r="AM82" i="13" s="1"/>
  <c r="AK248" i="13"/>
  <c r="AL91" i="13"/>
  <c r="AM91" i="13" s="1"/>
  <c r="AL353" i="13"/>
  <c r="AM353" i="13" s="1"/>
  <c r="AK315" i="13"/>
  <c r="AK293" i="13"/>
  <c r="AK159" i="13"/>
  <c r="AK32" i="13"/>
  <c r="AK18" i="13"/>
  <c r="N178" i="15"/>
  <c r="O178" i="15" s="1"/>
  <c r="AL190" i="13"/>
  <c r="AM190" i="13" s="1"/>
  <c r="AK261" i="13"/>
  <c r="AK153" i="13"/>
  <c r="AL110" i="13"/>
  <c r="AM110" i="13" s="1"/>
  <c r="AK180" i="13"/>
  <c r="AL319" i="13"/>
  <c r="AM319" i="13" s="1"/>
  <c r="AL112" i="13"/>
  <c r="AM112" i="13" s="1"/>
  <c r="AK190" i="13"/>
  <c r="AK146" i="13"/>
  <c r="AL261" i="13"/>
  <c r="AM261" i="13" s="1"/>
  <c r="AK178" i="13"/>
  <c r="AK181" i="13"/>
  <c r="AL119" i="13"/>
  <c r="AM119" i="13" s="1"/>
  <c r="AL18" i="13"/>
  <c r="AM18" i="13" s="1"/>
  <c r="AW258" i="13"/>
  <c r="AK336" i="13"/>
  <c r="AK119" i="13"/>
  <c r="AW91" i="13"/>
  <c r="AL50" i="13"/>
  <c r="AM50" i="13" s="1"/>
  <c r="Q95" i="15"/>
  <c r="AW359" i="13"/>
  <c r="AL180" i="13"/>
  <c r="AM180" i="13" s="1"/>
  <c r="AL258" i="13"/>
  <c r="AM258" i="13" s="1"/>
  <c r="AL181" i="13"/>
  <c r="AM181" i="13" s="1"/>
  <c r="AW316" i="13"/>
  <c r="AL359" i="13"/>
  <c r="AM359" i="13" s="1"/>
  <c r="AK91" i="13"/>
  <c r="AL153" i="13"/>
  <c r="AM153" i="13" s="1"/>
  <c r="AK50" i="13"/>
  <c r="P185" i="15"/>
  <c r="Q185" i="15"/>
  <c r="AK359" i="13"/>
  <c r="AK258" i="13"/>
  <c r="AL336" i="13"/>
  <c r="AM336" i="13" s="1"/>
  <c r="AL48" i="13"/>
  <c r="AM48" i="13" s="1"/>
  <c r="AL146" i="13"/>
  <c r="AM146" i="13" s="1"/>
  <c r="P95" i="15"/>
  <c r="AL178" i="13"/>
  <c r="AM178" i="13" s="1"/>
  <c r="AW48" i="13"/>
  <c r="AK316" i="13"/>
  <c r="AK112" i="13"/>
  <c r="AK187" i="13"/>
  <c r="AK319" i="13"/>
  <c r="AL32" i="13"/>
  <c r="AM32" i="13" s="1"/>
  <c r="AK48" i="13"/>
  <c r="AL293" i="13"/>
  <c r="AM293" i="13" s="1"/>
  <c r="Q228" i="15"/>
  <c r="Q299" i="15"/>
  <c r="Q246" i="15"/>
  <c r="O272" i="15"/>
  <c r="P299" i="15"/>
  <c r="O15" i="15"/>
  <c r="Q123" i="15"/>
  <c r="O129" i="15"/>
  <c r="O244" i="15"/>
  <c r="P33" i="15"/>
  <c r="P22" i="15"/>
  <c r="P175" i="15"/>
  <c r="P214" i="15"/>
  <c r="Q80" i="15"/>
  <c r="Q213" i="15"/>
  <c r="O120" i="15"/>
  <c r="P197" i="15"/>
  <c r="AJ357" i="13"/>
  <c r="AJ344" i="13"/>
  <c r="AJ335" i="13"/>
  <c r="AL335" i="13" s="1"/>
  <c r="AM335" i="13" s="1"/>
  <c r="AJ29" i="13"/>
  <c r="AL29" i="13" s="1"/>
  <c r="AM29" i="13" s="1"/>
  <c r="AJ130" i="13"/>
  <c r="AJ334" i="13"/>
  <c r="N100" i="15"/>
  <c r="O100" i="15" s="1"/>
  <c r="N216" i="15"/>
  <c r="Q216" i="15" s="1"/>
  <c r="AJ95" i="13"/>
  <c r="AJ345" i="13"/>
  <c r="AJ226" i="13"/>
  <c r="AJ228" i="13"/>
  <c r="AL228" i="13" s="1"/>
  <c r="AM228" i="13" s="1"/>
  <c r="N222" i="15"/>
  <c r="O222" i="15" s="1"/>
  <c r="AJ350" i="13"/>
  <c r="AJ123" i="13"/>
  <c r="AL123" i="13" s="1"/>
  <c r="AM123" i="13" s="1"/>
  <c r="AJ309" i="13"/>
  <c r="AL309" i="13" s="1"/>
  <c r="AM309" i="13" s="1"/>
  <c r="AJ49" i="13"/>
  <c r="AJ233" i="13"/>
  <c r="P272" i="15"/>
  <c r="P246" i="15"/>
  <c r="O303" i="15"/>
  <c r="Q315" i="15"/>
  <c r="O294" i="15"/>
  <c r="P250" i="15"/>
  <c r="Q250" i="15"/>
  <c r="O250" i="15"/>
  <c r="P274" i="15"/>
  <c r="O274" i="15"/>
  <c r="Q274" i="15"/>
  <c r="N326" i="15"/>
  <c r="Q326" i="15" s="1"/>
  <c r="N284" i="15"/>
  <c r="Q284" i="15" s="1"/>
  <c r="Q294" i="15"/>
  <c r="O315" i="15"/>
  <c r="AW403" i="13"/>
  <c r="AW446" i="13"/>
  <c r="AW442" i="13"/>
  <c r="P303" i="15"/>
  <c r="N276" i="15"/>
  <c r="O276" i="15" s="1"/>
  <c r="N273" i="15"/>
  <c r="O273" i="15" s="1"/>
  <c r="N281" i="15"/>
  <c r="P281" i="15" s="1"/>
  <c r="N268" i="15"/>
  <c r="O268" i="15" s="1"/>
  <c r="N290" i="15"/>
  <c r="AL403" i="13"/>
  <c r="AM403" i="13" s="1"/>
  <c r="AK446" i="13"/>
  <c r="AK442" i="13"/>
  <c r="AK378" i="13"/>
  <c r="AW384" i="13"/>
  <c r="N301" i="15"/>
  <c r="Q301" i="15" s="1"/>
  <c r="N253" i="15"/>
  <c r="P253" i="15" s="1"/>
  <c r="N297" i="15"/>
  <c r="O297" i="15" s="1"/>
  <c r="N278" i="15"/>
  <c r="N262" i="15"/>
  <c r="O262" i="15" s="1"/>
  <c r="N267" i="15"/>
  <c r="P254" i="15"/>
  <c r="Q254" i="15"/>
  <c r="O254" i="15"/>
  <c r="N265" i="15"/>
  <c r="P265" i="15" s="1"/>
  <c r="N279" i="15"/>
  <c r="N249" i="15"/>
  <c r="N285" i="15"/>
  <c r="AK403" i="13"/>
  <c r="AL384" i="13"/>
  <c r="AM384" i="13" s="1"/>
  <c r="N260" i="15"/>
  <c r="P260" i="15" s="1"/>
  <c r="N259" i="15"/>
  <c r="O259" i="15" s="1"/>
  <c r="N286" i="15"/>
  <c r="P286" i="15" s="1"/>
  <c r="AL405" i="13"/>
  <c r="AM405" i="13" s="1"/>
  <c r="N310" i="15"/>
  <c r="N264" i="15"/>
  <c r="AW331" i="13"/>
  <c r="AL331" i="13"/>
  <c r="AM331" i="13" s="1"/>
  <c r="N139" i="15"/>
  <c r="P139" i="15" s="1"/>
  <c r="AW206" i="13"/>
  <c r="N161" i="15"/>
  <c r="P161" i="15" s="1"/>
  <c r="AL236" i="13"/>
  <c r="AM236" i="13" s="1"/>
  <c r="AW298" i="13"/>
  <c r="N201" i="15"/>
  <c r="P201" i="15" s="1"/>
  <c r="AL298" i="13"/>
  <c r="AM298" i="13" s="1"/>
  <c r="N61" i="15"/>
  <c r="O61" i="15" s="1"/>
  <c r="N220" i="15"/>
  <c r="P220" i="15" s="1"/>
  <c r="AL325" i="13"/>
  <c r="AM325" i="13" s="1"/>
  <c r="AL269" i="13"/>
  <c r="AM269" i="13" s="1"/>
  <c r="AL307" i="13"/>
  <c r="AM307" i="13" s="1"/>
  <c r="N208" i="15"/>
  <c r="P208" i="15" s="1"/>
  <c r="N174" i="15"/>
  <c r="Q174" i="15" s="1"/>
  <c r="AK107" i="13"/>
  <c r="N73" i="15"/>
  <c r="Q225" i="15"/>
  <c r="O225" i="15"/>
  <c r="P225" i="15"/>
  <c r="N224" i="15"/>
  <c r="P224" i="15" s="1"/>
  <c r="AW253" i="13"/>
  <c r="N172" i="15"/>
  <c r="P172" i="15" s="1"/>
  <c r="AL251" i="13"/>
  <c r="AM251" i="13" s="1"/>
  <c r="N170" i="15"/>
  <c r="Q170" i="15" s="1"/>
  <c r="O229" i="15"/>
  <c r="P229" i="15"/>
  <c r="Q229" i="15"/>
  <c r="Q305" i="15"/>
  <c r="P305" i="15"/>
  <c r="P270" i="15"/>
  <c r="Q270" i="15"/>
  <c r="N329" i="15"/>
  <c r="O329" i="15" s="1"/>
  <c r="AW371" i="13"/>
  <c r="N255" i="15"/>
  <c r="O255" i="15" s="1"/>
  <c r="AL368" i="13"/>
  <c r="AM368" i="13" s="1"/>
  <c r="N252" i="15"/>
  <c r="O252" i="15" s="1"/>
  <c r="AK251" i="13"/>
  <c r="AL92" i="13"/>
  <c r="AM92" i="13" s="1"/>
  <c r="AK307" i="13"/>
  <c r="AW307" i="13"/>
  <c r="AK298" i="13"/>
  <c r="AK92" i="13"/>
  <c r="AW251" i="13"/>
  <c r="AK29" i="13"/>
  <c r="AK123" i="13"/>
  <c r="AL154" i="13"/>
  <c r="AM154" i="13" s="1"/>
  <c r="AW154" i="13"/>
  <c r="AK154" i="13"/>
  <c r="AL318" i="13"/>
  <c r="AM318" i="13" s="1"/>
  <c r="AK318" i="13"/>
  <c r="AK226" i="13"/>
  <c r="AK257" i="13"/>
  <c r="AL257" i="13"/>
  <c r="AM257" i="13" s="1"/>
  <c r="AW257" i="13"/>
  <c r="AL327" i="13"/>
  <c r="AM327" i="13" s="1"/>
  <c r="AK327" i="13"/>
  <c r="AW327" i="13"/>
  <c r="AL332" i="13"/>
  <c r="AM332" i="13" s="1"/>
  <c r="AW332" i="13"/>
  <c r="AK332" i="13"/>
  <c r="AK325" i="13"/>
  <c r="AK206" i="13"/>
  <c r="AW236" i="13"/>
  <c r="AL156" i="13"/>
  <c r="AM156" i="13" s="1"/>
  <c r="AW156" i="13"/>
  <c r="AW209" i="13"/>
  <c r="AL339" i="13"/>
  <c r="AM339" i="13" s="1"/>
  <c r="AK339" i="13"/>
  <c r="AW339" i="13"/>
  <c r="AK253" i="13"/>
  <c r="AL206" i="13"/>
  <c r="AM206" i="13" s="1"/>
  <c r="AH183" i="13"/>
  <c r="AJ183" i="13" s="1"/>
  <c r="AW107" i="13"/>
  <c r="AL107" i="13"/>
  <c r="AM107" i="13" s="1"/>
  <c r="AK236" i="13"/>
  <c r="AL371" i="13"/>
  <c r="AM371" i="13" s="1"/>
  <c r="AK426" i="13"/>
  <c r="AL426" i="13"/>
  <c r="AM426" i="13" s="1"/>
  <c r="AK392" i="13"/>
  <c r="AL392" i="13"/>
  <c r="AM392" i="13" s="1"/>
  <c r="AK376" i="13"/>
  <c r="AL376" i="13"/>
  <c r="AM376" i="13" s="1"/>
  <c r="AK389" i="13"/>
  <c r="AK375" i="13"/>
  <c r="AK368" i="13"/>
  <c r="AL445" i="13"/>
  <c r="AM445" i="13" s="1"/>
  <c r="AK383" i="13"/>
  <c r="AL383" i="13"/>
  <c r="AM383" i="13" s="1"/>
  <c r="AL413" i="13"/>
  <c r="AM413" i="13" s="1"/>
  <c r="AK413" i="13"/>
  <c r="AK381" i="13"/>
  <c r="AL381" i="13"/>
  <c r="AM381" i="13" s="1"/>
  <c r="AK397" i="13"/>
  <c r="AL397" i="13"/>
  <c r="AM397" i="13" s="1"/>
  <c r="AL417" i="13"/>
  <c r="AM417" i="13" s="1"/>
  <c r="AK417" i="13"/>
  <c r="AL369" i="13"/>
  <c r="AM369" i="13" s="1"/>
  <c r="AK369" i="13"/>
  <c r="AH408" i="13"/>
  <c r="AJ408" i="13" s="1"/>
  <c r="AK379" i="13"/>
  <c r="AL379" i="13"/>
  <c r="AM379" i="13" s="1"/>
  <c r="AK371" i="13"/>
  <c r="N266" i="15"/>
  <c r="Q266" i="15" s="1"/>
  <c r="AL389" i="13"/>
  <c r="AM389" i="13" s="1"/>
  <c r="AL375" i="13"/>
  <c r="AM375" i="13" s="1"/>
  <c r="AL402" i="13"/>
  <c r="AM402" i="13" s="1"/>
  <c r="AW386" i="13"/>
  <c r="AK386" i="13"/>
  <c r="AL386" i="13"/>
  <c r="AM386" i="13" s="1"/>
  <c r="AK400" i="13"/>
  <c r="AK445" i="13"/>
  <c r="AK402" i="13"/>
  <c r="AL400" i="13"/>
  <c r="AM400" i="13" s="1"/>
  <c r="AK405" i="13"/>
  <c r="Q298" i="15"/>
  <c r="P298" i="15"/>
  <c r="O298" i="15"/>
  <c r="O269" i="15"/>
  <c r="P269" i="15"/>
  <c r="Q269" i="15"/>
  <c r="AL401" i="13"/>
  <c r="AM401" i="13" s="1"/>
  <c r="AK401" i="13"/>
  <c r="Q307" i="15"/>
  <c r="O307" i="15"/>
  <c r="P307" i="15"/>
  <c r="Q330" i="15"/>
  <c r="O330" i="15"/>
  <c r="P330" i="15"/>
  <c r="O311" i="15"/>
  <c r="P311" i="15"/>
  <c r="Q311" i="15"/>
  <c r="Q258" i="15"/>
  <c r="O258" i="15"/>
  <c r="P258" i="15"/>
  <c r="O291" i="15"/>
  <c r="Q291" i="15"/>
  <c r="P291" i="15"/>
  <c r="P304" i="15"/>
  <c r="Q304" i="15"/>
  <c r="O304" i="15"/>
  <c r="O248" i="15"/>
  <c r="P248" i="15"/>
  <c r="Q248" i="15"/>
  <c r="O322" i="15"/>
  <c r="Q322" i="15"/>
  <c r="P322" i="15"/>
  <c r="Q296" i="15"/>
  <c r="P296" i="15"/>
  <c r="O296" i="15"/>
  <c r="AK380" i="13"/>
  <c r="AL380" i="13"/>
  <c r="AM380" i="13" s="1"/>
  <c r="P323" i="15"/>
  <c r="Q323" i="15"/>
  <c r="O323" i="15"/>
  <c r="O318" i="15"/>
  <c r="Q318" i="15"/>
  <c r="P318" i="15"/>
  <c r="Q320" i="15"/>
  <c r="P320" i="15"/>
  <c r="O320" i="15"/>
  <c r="P295" i="15"/>
  <c r="Q295" i="15"/>
  <c r="O295" i="15"/>
  <c r="O317" i="15"/>
  <c r="Q317" i="15"/>
  <c r="P317" i="15"/>
  <c r="AK365" i="13"/>
  <c r="AL365" i="13"/>
  <c r="AM365" i="13" s="1"/>
  <c r="O308" i="15"/>
  <c r="Q308" i="15"/>
  <c r="P308" i="15"/>
  <c r="AK394" i="13"/>
  <c r="AL394" i="13"/>
  <c r="AM394" i="13" s="1"/>
  <c r="P312" i="15"/>
  <c r="Q312" i="15"/>
  <c r="O312" i="15"/>
  <c r="AL395" i="13"/>
  <c r="AM395" i="13" s="1"/>
  <c r="AK395" i="13"/>
  <c r="AL406" i="13"/>
  <c r="AM406" i="13" s="1"/>
  <c r="AK406" i="13"/>
  <c r="Q287" i="15"/>
  <c r="O287" i="15"/>
  <c r="P287" i="15"/>
  <c r="P251" i="15"/>
  <c r="O251" i="15"/>
  <c r="Q251" i="15"/>
  <c r="Q288" i="15"/>
  <c r="O288" i="15"/>
  <c r="P288" i="15"/>
  <c r="Q327" i="15"/>
  <c r="O327" i="15"/>
  <c r="P327" i="15"/>
  <c r="AH441" i="13"/>
  <c r="AJ441" i="13" s="1"/>
  <c r="O76" i="15"/>
  <c r="P76" i="15"/>
  <c r="P130" i="15"/>
  <c r="Q156" i="15"/>
  <c r="O156" i="15"/>
  <c r="P156" i="15"/>
  <c r="P35" i="15"/>
  <c r="O60" i="15"/>
  <c r="Q23" i="15"/>
  <c r="O23" i="15"/>
  <c r="P23" i="15"/>
  <c r="Q178" i="15"/>
  <c r="Q162" i="15"/>
  <c r="O162" i="15"/>
  <c r="H8" i="3"/>
  <c r="C18" i="7"/>
  <c r="P60" i="15" l="1"/>
  <c r="Q94" i="15"/>
  <c r="AF448" i="13"/>
  <c r="H10" i="3" s="1"/>
  <c r="AK228" i="13"/>
  <c r="Q120" i="15"/>
  <c r="O175" i="15"/>
  <c r="O22" i="15"/>
  <c r="Q77" i="15"/>
  <c r="P15" i="15"/>
  <c r="P217" i="15"/>
  <c r="O94" i="15"/>
  <c r="O130" i="15"/>
  <c r="AK309" i="13"/>
  <c r="O197" i="15"/>
  <c r="O214" i="15"/>
  <c r="P77" i="15"/>
  <c r="O33" i="15"/>
  <c r="Q217" i="15"/>
  <c r="Q239" i="15"/>
  <c r="O55" i="15"/>
  <c r="O99" i="15"/>
  <c r="P98" i="15"/>
  <c r="P168" i="15"/>
  <c r="P213" i="15"/>
  <c r="Q168" i="15"/>
  <c r="O263" i="15"/>
  <c r="Q99" i="15"/>
  <c r="P239" i="15"/>
  <c r="O98" i="15"/>
  <c r="Q55" i="15"/>
  <c r="P103" i="15"/>
  <c r="O103" i="15"/>
  <c r="Q263" i="15"/>
  <c r="Q122" i="15"/>
  <c r="P123" i="15"/>
  <c r="P178" i="15"/>
  <c r="O35" i="15"/>
  <c r="Q172" i="15"/>
  <c r="P216" i="15"/>
  <c r="P122" i="15"/>
  <c r="P244" i="15"/>
  <c r="O216" i="15"/>
  <c r="O80" i="15"/>
  <c r="P129" i="15"/>
  <c r="P228" i="15"/>
  <c r="N159" i="15"/>
  <c r="O159" i="15" s="1"/>
  <c r="AR233" i="13"/>
  <c r="AQ233" i="13"/>
  <c r="AP233" i="13"/>
  <c r="AW233" i="13" s="1"/>
  <c r="N236" i="15"/>
  <c r="P236" i="15" s="1"/>
  <c r="AP350" i="13"/>
  <c r="AR350" i="13"/>
  <c r="AQ350" i="13"/>
  <c r="N233" i="15"/>
  <c r="Q233" i="15" s="1"/>
  <c r="AQ345" i="13"/>
  <c r="AP345" i="13"/>
  <c r="AR345" i="13"/>
  <c r="N226" i="15"/>
  <c r="P226" i="15" s="1"/>
  <c r="AP334" i="13"/>
  <c r="AR334" i="13"/>
  <c r="AQ334" i="13"/>
  <c r="N232" i="15"/>
  <c r="P232" i="15" s="1"/>
  <c r="AR344" i="13"/>
  <c r="AP344" i="13"/>
  <c r="AQ344" i="13"/>
  <c r="AQ183" i="13"/>
  <c r="AP183" i="13"/>
  <c r="AW183" i="13" s="1"/>
  <c r="AR183" i="13"/>
  <c r="AR408" i="13"/>
  <c r="AP408" i="13"/>
  <c r="AW408" i="13" s="1"/>
  <c r="AQ408" i="13"/>
  <c r="N82" i="15"/>
  <c r="O82" i="15" s="1"/>
  <c r="AQ123" i="13"/>
  <c r="AP123" i="13"/>
  <c r="AW123" i="13" s="1"/>
  <c r="AR123" i="13"/>
  <c r="N153" i="15"/>
  <c r="O153" i="15" s="1"/>
  <c r="AQ226" i="13"/>
  <c r="AR226" i="13"/>
  <c r="AP226" i="13"/>
  <c r="AW226" i="13" s="1"/>
  <c r="N227" i="15"/>
  <c r="O227" i="15" s="1"/>
  <c r="AR335" i="13"/>
  <c r="AP335" i="13"/>
  <c r="AW335" i="13" s="1"/>
  <c r="AQ335" i="13"/>
  <c r="N209" i="15"/>
  <c r="O209" i="15" s="1"/>
  <c r="AQ309" i="13"/>
  <c r="AP309" i="13"/>
  <c r="AW309" i="13" s="1"/>
  <c r="AR309" i="13"/>
  <c r="N155" i="15"/>
  <c r="P155" i="15" s="1"/>
  <c r="AR228" i="13"/>
  <c r="AP228" i="13"/>
  <c r="AW228" i="13" s="1"/>
  <c r="AQ228" i="13"/>
  <c r="N21" i="15"/>
  <c r="P21" i="15" s="1"/>
  <c r="AR29" i="13"/>
  <c r="AP29" i="13"/>
  <c r="AW29" i="13" s="1"/>
  <c r="AQ29" i="13"/>
  <c r="AP441" i="13"/>
  <c r="AW441" i="13" s="1"/>
  <c r="AR441" i="13"/>
  <c r="AQ441" i="13"/>
  <c r="N34" i="15"/>
  <c r="Q34" i="15" s="1"/>
  <c r="AR49" i="13"/>
  <c r="AQ49" i="13"/>
  <c r="AP49" i="13"/>
  <c r="AW49" i="13" s="1"/>
  <c r="N63" i="15"/>
  <c r="P63" i="15" s="1"/>
  <c r="AQ95" i="13"/>
  <c r="AP95" i="13"/>
  <c r="AW95" i="13" s="1"/>
  <c r="AR95" i="13"/>
  <c r="N85" i="15"/>
  <c r="O85" i="15" s="1"/>
  <c r="AR130" i="13"/>
  <c r="AQ130" i="13"/>
  <c r="AP130" i="13"/>
  <c r="AW130" i="13" s="1"/>
  <c r="N242" i="15"/>
  <c r="Q242" i="15" s="1"/>
  <c r="AQ357" i="13"/>
  <c r="AP357" i="13"/>
  <c r="AW357" i="13" s="1"/>
  <c r="AR357" i="13"/>
  <c r="Q331" i="15"/>
  <c r="P331" i="15"/>
  <c r="P316" i="15"/>
  <c r="Q282" i="15"/>
  <c r="O282" i="15"/>
  <c r="O309" i="15"/>
  <c r="P309" i="15"/>
  <c r="Q316" i="15"/>
  <c r="AK350" i="13"/>
  <c r="AK344" i="13"/>
  <c r="AK357" i="13"/>
  <c r="AK49" i="13"/>
  <c r="Q100" i="15"/>
  <c r="AK335" i="13"/>
  <c r="AK334" i="13"/>
  <c r="AL233" i="13"/>
  <c r="AM233" i="13" s="1"/>
  <c r="AL350" i="13"/>
  <c r="AM350" i="13" s="1"/>
  <c r="AL344" i="13"/>
  <c r="AM344" i="13" s="1"/>
  <c r="AK233" i="13"/>
  <c r="AL226" i="13"/>
  <c r="AM226" i="13" s="1"/>
  <c r="AK345" i="13"/>
  <c r="P100" i="15"/>
  <c r="Q297" i="15"/>
  <c r="Q161" i="15"/>
  <c r="O242" i="15"/>
  <c r="AL357" i="13"/>
  <c r="AM357" i="13" s="1"/>
  <c r="P222" i="15"/>
  <c r="AW344" i="13"/>
  <c r="AW350" i="13"/>
  <c r="AL345" i="13"/>
  <c r="AM345" i="13" s="1"/>
  <c r="AW345" i="13"/>
  <c r="AK130" i="13"/>
  <c r="AL95" i="13"/>
  <c r="AM95" i="13" s="1"/>
  <c r="Q222" i="15"/>
  <c r="AK95" i="13"/>
  <c r="O161" i="15"/>
  <c r="AL130" i="13"/>
  <c r="AM130" i="13" s="1"/>
  <c r="AW334" i="13"/>
  <c r="AL334" i="13"/>
  <c r="AM334" i="13" s="1"/>
  <c r="AL49" i="13"/>
  <c r="AM49" i="13" s="1"/>
  <c r="Q265" i="15"/>
  <c r="P259" i="15"/>
  <c r="P326" i="15"/>
  <c r="O326" i="15"/>
  <c r="O260" i="15"/>
  <c r="P276" i="15"/>
  <c r="Q276" i="15"/>
  <c r="O286" i="15"/>
  <c r="Q268" i="15"/>
  <c r="O301" i="15"/>
  <c r="O265" i="15"/>
  <c r="Q273" i="15"/>
  <c r="Q209" i="15"/>
  <c r="Q63" i="15"/>
  <c r="O226" i="15"/>
  <c r="P153" i="15"/>
  <c r="Q153" i="15"/>
  <c r="Q227" i="15"/>
  <c r="Q82" i="15"/>
  <c r="P82" i="15"/>
  <c r="Q155" i="15"/>
  <c r="O21" i="15"/>
  <c r="Q21" i="15"/>
  <c r="N125" i="15"/>
  <c r="Q125" i="15" s="1"/>
  <c r="O224" i="15"/>
  <c r="P268" i="15"/>
  <c r="Q286" i="15"/>
  <c r="P297" i="15"/>
  <c r="O281" i="15"/>
  <c r="Q259" i="15"/>
  <c r="Q281" i="15"/>
  <c r="P170" i="15"/>
  <c r="P273" i="15"/>
  <c r="P301" i="15"/>
  <c r="O253" i="15"/>
  <c r="Q262" i="15"/>
  <c r="P310" i="15"/>
  <c r="O310" i="15"/>
  <c r="Q310" i="15"/>
  <c r="O267" i="15"/>
  <c r="Q267" i="15"/>
  <c r="P267" i="15"/>
  <c r="N289" i="15"/>
  <c r="P289" i="15" s="1"/>
  <c r="Q260" i="15"/>
  <c r="Q253" i="15"/>
  <c r="AK435" i="13"/>
  <c r="N325" i="15"/>
  <c r="P262" i="15"/>
  <c r="AW405" i="13"/>
  <c r="AL435" i="13"/>
  <c r="AM435" i="13" s="1"/>
  <c r="N319" i="15"/>
  <c r="O172" i="15"/>
  <c r="Q208" i="15"/>
  <c r="Q201" i="15"/>
  <c r="O208" i="15"/>
  <c r="O201" i="15"/>
  <c r="P252" i="15"/>
  <c r="P61" i="15"/>
  <c r="Q224" i="15"/>
  <c r="O170" i="15"/>
  <c r="O220" i="15"/>
  <c r="O174" i="15"/>
  <c r="O139" i="15"/>
  <c r="Q220" i="15"/>
  <c r="P174" i="15"/>
  <c r="Q139" i="15"/>
  <c r="Q61" i="15"/>
  <c r="P73" i="15"/>
  <c r="Q73" i="15"/>
  <c r="O73" i="15"/>
  <c r="Q329" i="15"/>
  <c r="Q252" i="15"/>
  <c r="P329" i="15"/>
  <c r="Q255" i="15"/>
  <c r="O266" i="15"/>
  <c r="P266" i="15"/>
  <c r="AL409" i="13"/>
  <c r="AM409" i="13" s="1"/>
  <c r="N293" i="15"/>
  <c r="P255" i="15"/>
  <c r="AL183" i="13"/>
  <c r="AM183" i="13" s="1"/>
  <c r="AK183" i="13"/>
  <c r="AW382" i="13"/>
  <c r="AK382" i="13"/>
  <c r="AL382" i="13"/>
  <c r="AM382" i="13" s="1"/>
  <c r="AW409" i="13"/>
  <c r="AK409" i="13"/>
  <c r="P284" i="15"/>
  <c r="O284" i="15"/>
  <c r="AK441" i="13"/>
  <c r="AL441" i="13"/>
  <c r="AM441" i="13" s="1"/>
  <c r="Q279" i="15"/>
  <c r="P279" i="15"/>
  <c r="O279" i="15"/>
  <c r="Q249" i="15"/>
  <c r="O249" i="15"/>
  <c r="P249" i="15"/>
  <c r="P285" i="15"/>
  <c r="O285" i="15"/>
  <c r="Q285" i="15"/>
  <c r="P278" i="15"/>
  <c r="O278" i="15"/>
  <c r="Q278" i="15"/>
  <c r="O264" i="15"/>
  <c r="P264" i="15"/>
  <c r="Q264" i="15"/>
  <c r="P290" i="15"/>
  <c r="O290" i="15"/>
  <c r="Q290" i="15"/>
  <c r="AF451" i="13"/>
  <c r="C21" i="7" l="1"/>
  <c r="Q85" i="15"/>
  <c r="P125" i="15"/>
  <c r="O34" i="15"/>
  <c r="P85" i="15"/>
  <c r="O63" i="15"/>
  <c r="P242" i="15"/>
  <c r="P34" i="15"/>
  <c r="O155" i="15"/>
  <c r="P227" i="15"/>
  <c r="P233" i="15"/>
  <c r="P209" i="15"/>
  <c r="Q232" i="15"/>
  <c r="O236" i="15"/>
  <c r="Q226" i="15"/>
  <c r="O233" i="15"/>
  <c r="P159" i="15"/>
  <c r="Q236" i="15"/>
  <c r="O232" i="15"/>
  <c r="Q159" i="15"/>
  <c r="O125" i="15"/>
  <c r="Q289" i="15"/>
  <c r="O289" i="15"/>
  <c r="P319" i="15"/>
  <c r="O319" i="15"/>
  <c r="Q319" i="15"/>
  <c r="AL408" i="13"/>
  <c r="AM408" i="13" s="1"/>
  <c r="AK408" i="13"/>
  <c r="N292" i="15"/>
  <c r="O293" i="15"/>
  <c r="Q293" i="15"/>
  <c r="P293" i="15"/>
  <c r="AG448" i="13"/>
  <c r="Q325" i="15"/>
  <c r="P325" i="15"/>
  <c r="O325" i="15"/>
  <c r="AH10" i="13"/>
  <c r="AH448" i="13" s="1"/>
  <c r="C24" i="7" s="1"/>
  <c r="AJ10" i="13" l="1"/>
  <c r="Q292" i="15"/>
  <c r="O292" i="15"/>
  <c r="P292" i="15"/>
  <c r="H11" i="3"/>
  <c r="AR10" i="13" l="1"/>
  <c r="AQ10" i="13"/>
  <c r="AP10" i="13"/>
  <c r="AW10" i="13" s="1"/>
  <c r="AK10" i="13"/>
  <c r="N10" i="15"/>
  <c r="Q10" i="15" s="1"/>
  <c r="AL10" i="13"/>
  <c r="AL448" i="13" s="1"/>
  <c r="AM448" i="13" s="1"/>
  <c r="AJ448" i="13"/>
  <c r="AQ449" i="13" l="1"/>
  <c r="W45" i="3" s="1"/>
  <c r="AQ450" i="13"/>
  <c r="W46" i="3" s="1"/>
  <c r="C31" i="7"/>
  <c r="N332" i="15"/>
  <c r="P332" i="15" s="1"/>
  <c r="AD13" i="7"/>
  <c r="AJ449" i="13"/>
  <c r="P10" i="15"/>
  <c r="P335" i="15" s="1"/>
  <c r="AM10" i="13"/>
  <c r="O10" i="15"/>
  <c r="O335" i="15" s="1"/>
  <c r="AK448" i="13"/>
  <c r="H12" i="3"/>
  <c r="H15" i="3" s="1"/>
  <c r="H16" i="3" s="1"/>
  <c r="P336" i="15" l="1"/>
  <c r="P337" i="15" s="1"/>
  <c r="O336" i="15"/>
  <c r="O337" i="15" s="1"/>
  <c r="Q332" i="15"/>
  <c r="O332" i="15"/>
  <c r="H20" i="3"/>
  <c r="H19" i="3"/>
  <c r="H21" i="3" l="1"/>
  <c r="G14" i="7"/>
  <c r="H14" i="7" s="1"/>
  <c r="I14" i="7" s="1"/>
  <c r="G18" i="7" l="1"/>
  <c r="G15" i="7"/>
  <c r="H15" i="7" s="1"/>
  <c r="I15" i="7" s="1"/>
  <c r="G20" i="7" l="1"/>
</calcChain>
</file>

<file path=xl/comments1.xml><?xml version="1.0" encoding="utf-8"?>
<comments xmlns="http://schemas.openxmlformats.org/spreadsheetml/2006/main">
  <authors>
    <author>RFO</author>
  </authors>
  <commentList>
    <comment ref="I1410" authorId="0" shapeId="0">
      <text>
        <r>
          <rPr>
            <b/>
            <sz val="8"/>
            <color indexed="81"/>
            <rFont val="Tahoma"/>
            <family val="2"/>
          </rPr>
          <t>RFO:</t>
        </r>
        <r>
          <rPr>
            <sz val="8"/>
            <color indexed="81"/>
            <rFont val="Tahoma"/>
            <family val="2"/>
          </rPr>
          <t xml:space="preserve">
Reflects $918,098 waiver granted November 24, 2004 by DOR.</t>
        </r>
      </text>
    </comment>
  </commentList>
</comments>
</file>

<file path=xl/comments2.xml><?xml version="1.0" encoding="utf-8"?>
<comments xmlns="http://schemas.openxmlformats.org/spreadsheetml/2006/main">
  <authors>
    <author>Melissa King</author>
  </authors>
  <commentList>
    <comment ref="T9" authorId="0" shapeId="0">
      <text>
        <r>
          <rPr>
            <b/>
            <sz val="9"/>
            <color indexed="81"/>
            <rFont val="Tahoma"/>
            <family val="2"/>
          </rPr>
          <t>Melissa King:</t>
        </r>
        <r>
          <rPr>
            <sz val="9"/>
            <color indexed="81"/>
            <rFont val="Tahoma"/>
            <family val="2"/>
          </rPr>
          <t xml:space="preserve">
Calculates the prelim c70 % of foundation budget, excluding this aid parameter.</t>
        </r>
      </text>
    </comment>
    <comment ref="U9" authorId="0" shapeId="0">
      <text>
        <r>
          <rPr>
            <b/>
            <sz val="9"/>
            <color indexed="81"/>
            <rFont val="Tahoma"/>
            <family val="2"/>
          </rPr>
          <t>Melissa King:</t>
        </r>
        <r>
          <rPr>
            <sz val="9"/>
            <color indexed="81"/>
            <rFont val="Tahoma"/>
            <family val="2"/>
          </rPr>
          <t xml:space="preserve">
If prelim c70 % is greater than 0 and target aid share floor is less than prelim c70%, provide the difference up to that floor.</t>
        </r>
      </text>
    </comment>
  </commentList>
</comments>
</file>

<file path=xl/comments3.xml><?xml version="1.0" encoding="utf-8"?>
<comments xmlns="http://schemas.openxmlformats.org/spreadsheetml/2006/main">
  <authors>
    <author>Hatch, Roger M (DOE)</author>
  </authors>
  <commentList>
    <comment ref="AF448" authorId="0" shapeId="0">
      <text>
        <r>
          <rPr>
            <b/>
            <sz val="8"/>
            <color indexed="81"/>
            <rFont val="Tahoma"/>
            <family val="2"/>
          </rPr>
          <t xml:space="preserve">adds in Essex Ag which is no longer on the file
</t>
        </r>
        <r>
          <rPr>
            <sz val="8"/>
            <color indexed="81"/>
            <rFont val="Tahoma"/>
            <family val="2"/>
          </rPr>
          <t xml:space="preserve">
</t>
        </r>
      </text>
    </comment>
    <comment ref="AG448" authorId="0" shapeId="0">
      <text>
        <r>
          <rPr>
            <b/>
            <sz val="8"/>
            <color indexed="81"/>
            <rFont val="Tahoma"/>
            <family val="2"/>
          </rPr>
          <t xml:space="preserve">adds in essex ag which is no longer on the file; source: state total fy14
</t>
        </r>
        <r>
          <rPr>
            <sz val="8"/>
            <color indexed="81"/>
            <rFont val="Tahoma"/>
            <family val="2"/>
          </rPr>
          <t xml:space="preserve">
</t>
        </r>
      </text>
    </comment>
    <comment ref="AH448" authorId="0" shapeId="0">
      <text>
        <r>
          <rPr>
            <b/>
            <sz val="8"/>
            <color indexed="81"/>
            <rFont val="Tahoma"/>
            <family val="2"/>
          </rPr>
          <t xml:space="preserve">adds in essex ag which is no longer on the file; source: c70fy14 state total from summary page
</t>
        </r>
      </text>
    </comment>
  </commentList>
</comments>
</file>

<file path=xl/sharedStrings.xml><?xml version="1.0" encoding="utf-8"?>
<sst xmlns="http://schemas.openxmlformats.org/spreadsheetml/2006/main" count="14852" uniqueCount="2836">
  <si>
    <t xml:space="preserve">SOUTHERN BERKSHIRE           </t>
  </si>
  <si>
    <t xml:space="preserve">AMESBURY                     </t>
  </si>
  <si>
    <t xml:space="preserve">WHITTIER                     </t>
  </si>
  <si>
    <t xml:space="preserve">AMHERST                      </t>
  </si>
  <si>
    <t xml:space="preserve">AMHERST PELHAM               </t>
  </si>
  <si>
    <t xml:space="preserve">ANDOVER                      </t>
  </si>
  <si>
    <t xml:space="preserve">GREATER LAWRENCE             </t>
  </si>
  <si>
    <t xml:space="preserve">ARLINGTON                    </t>
  </si>
  <si>
    <t xml:space="preserve">ASHBURNHAM                   </t>
  </si>
  <si>
    <t xml:space="preserve">ASHBURNHAM WESTMINSTER       </t>
  </si>
  <si>
    <t xml:space="preserve">MONTACHUSETT                 </t>
  </si>
  <si>
    <t xml:space="preserve">ASHBY                        </t>
  </si>
  <si>
    <t xml:space="preserve">NORTH MIDDLESEX              </t>
  </si>
  <si>
    <t xml:space="preserve">ASHFIELD                     </t>
  </si>
  <si>
    <t xml:space="preserve">MOHAWK TRAIL                 </t>
  </si>
  <si>
    <t xml:space="preserve">ASHLAND                      </t>
  </si>
  <si>
    <t xml:space="preserve">SOUTH MIDDLESEX              </t>
  </si>
  <si>
    <t xml:space="preserve">ATHOL                        </t>
  </si>
  <si>
    <t xml:space="preserve">ATHOL ROYALSTON              </t>
  </si>
  <si>
    <t xml:space="preserve">ATTLEBORO                    </t>
  </si>
  <si>
    <t xml:space="preserve">AUBURN                       </t>
  </si>
  <si>
    <t xml:space="preserve">SOUTHERN WORCESTER           </t>
  </si>
  <si>
    <t xml:space="preserve">AVON                         </t>
  </si>
  <si>
    <t xml:space="preserve">BLUE HILLS                   </t>
  </si>
  <si>
    <t xml:space="preserve">NORFOLK COUNTY               </t>
  </si>
  <si>
    <t xml:space="preserve">AYER                         </t>
  </si>
  <si>
    <t xml:space="preserve">BARNSTABLE                   </t>
  </si>
  <si>
    <t xml:space="preserve">CAPE COD                     </t>
  </si>
  <si>
    <t xml:space="preserve">BARRE                        </t>
  </si>
  <si>
    <t xml:space="preserve">QUABBIN                      </t>
  </si>
  <si>
    <t xml:space="preserve">BECKET                       </t>
  </si>
  <si>
    <t xml:space="preserve">CENTRAL BERKSHIRE            </t>
  </si>
  <si>
    <t xml:space="preserve">BEDFORD                      </t>
  </si>
  <si>
    <t xml:space="preserve">SHAWSHEEN VALLEY             </t>
  </si>
  <si>
    <t xml:space="preserve">BELCHERTOWN                  </t>
  </si>
  <si>
    <t xml:space="preserve">PATHFINDER                   </t>
  </si>
  <si>
    <t xml:space="preserve">BELLINGHAM                   </t>
  </si>
  <si>
    <t xml:space="preserve">BLACKSTONE VALLEY            </t>
  </si>
  <si>
    <t xml:space="preserve">BELMONT                      </t>
  </si>
  <si>
    <t xml:space="preserve">BERKLEY                      </t>
  </si>
  <si>
    <t xml:space="preserve">BRISTOL PLYMOUTH             </t>
  </si>
  <si>
    <t xml:space="preserve">BERLIN                       </t>
  </si>
  <si>
    <t xml:space="preserve">BERLIN BOYLSTON              </t>
  </si>
  <si>
    <t xml:space="preserve">ASSABET VALLEY               </t>
  </si>
  <si>
    <t xml:space="preserve">BERNARDSTON                  </t>
  </si>
  <si>
    <t xml:space="preserve">PIONEER                      </t>
  </si>
  <si>
    <t xml:space="preserve">FRANKLIN COUNTY              </t>
  </si>
  <si>
    <t xml:space="preserve">BEVERLY                      </t>
  </si>
  <si>
    <t xml:space="preserve">BILLERICA                    </t>
  </si>
  <si>
    <t xml:space="preserve">BLACKSTONE                   </t>
  </si>
  <si>
    <t xml:space="preserve">BLACKSTONE MILLVILLE         </t>
  </si>
  <si>
    <t>c70fy09 oct 15</t>
  </si>
  <si>
    <t>sfsf</t>
  </si>
  <si>
    <t>Foundation Aid</t>
  </si>
  <si>
    <t>Non-Operating District Reduction to Foundation</t>
  </si>
  <si>
    <t xml:space="preserve">BLANDFORD                    </t>
  </si>
  <si>
    <t xml:space="preserve">GATEWAY                      </t>
  </si>
  <si>
    <t xml:space="preserve">BOLTON                       </t>
  </si>
  <si>
    <t>LEA</t>
  </si>
  <si>
    <t>Town</t>
  </si>
  <si>
    <t>Order</t>
  </si>
  <si>
    <t>Percentage</t>
  </si>
  <si>
    <t>Record</t>
  </si>
  <si>
    <t>Number</t>
  </si>
  <si>
    <t>NEWBURY</t>
  </si>
  <si>
    <t>Non-Op</t>
  </si>
  <si>
    <t>foundaid</t>
  </si>
  <si>
    <t>Share of Total</t>
  </si>
  <si>
    <t>ESSEX</t>
  </si>
  <si>
    <t>MANCHESTER</t>
  </si>
  <si>
    <t>HOLDEN</t>
  </si>
  <si>
    <t>HARDWICK</t>
  </si>
  <si>
    <t>RUTLAND</t>
  </si>
  <si>
    <t>BILLERICA</t>
  </si>
  <si>
    <t>CHELMSFORD</t>
  </si>
  <si>
    <t>DRACUT</t>
  </si>
  <si>
    <t>LOWELL</t>
  </si>
  <si>
    <t>MALDEN</t>
  </si>
  <si>
    <t>MELROSE</t>
  </si>
  <si>
    <t>REVERE</t>
  </si>
  <si>
    <t>STONEHAM</t>
  </si>
  <si>
    <t>TEWKSBURY</t>
  </si>
  <si>
    <t>WAKEFIELD</t>
  </si>
  <si>
    <t>WILMINGTON</t>
  </si>
  <si>
    <t>WINTHROP</t>
  </si>
  <si>
    <t>Pct Chg</t>
  </si>
  <si>
    <t>Foundation budget</t>
  </si>
  <si>
    <t xml:space="preserve"> </t>
  </si>
  <si>
    <t>Minimum</t>
  </si>
  <si>
    <t>code</t>
  </si>
  <si>
    <t>change</t>
  </si>
  <si>
    <t>Summary</t>
  </si>
  <si>
    <t>Foundation Budget</t>
  </si>
  <si>
    <t>Regional Allocation</t>
  </si>
  <si>
    <t>Regional District Detail</t>
  </si>
  <si>
    <t>Questions or comments about Chapter 70 may be directed to:</t>
  </si>
  <si>
    <t>MONOMOY</t>
  </si>
  <si>
    <t>FY13</t>
  </si>
  <si>
    <t>SOUTHWICK TOLLAND GRANVILLE</t>
  </si>
  <si>
    <t>C70 % of foundation</t>
  </si>
  <si>
    <t xml:space="preserve">foundation </t>
  </si>
  <si>
    <t>operating dist</t>
  </si>
  <si>
    <t>aid?</t>
  </si>
  <si>
    <t>c70fy12, oct 14; monomoy, chatham harwich, granville, st</t>
  </si>
  <si>
    <t>Reduction to foundation</t>
  </si>
  <si>
    <t>Target aid share</t>
  </si>
  <si>
    <t>19)</t>
  </si>
  <si>
    <t>Return to Index</t>
  </si>
  <si>
    <t>Lea</t>
  </si>
  <si>
    <t>ABINGTON</t>
  </si>
  <si>
    <t>ACTON</t>
  </si>
  <si>
    <t>ACUSHNET</t>
  </si>
  <si>
    <t>ADAMS</t>
  </si>
  <si>
    <t>AGAWAM</t>
  </si>
  <si>
    <t>ALFORD</t>
  </si>
  <si>
    <t>AMESBURY</t>
  </si>
  <si>
    <t>AMHERST</t>
  </si>
  <si>
    <t>ANDOVER</t>
  </si>
  <si>
    <t>ARLINGTON</t>
  </si>
  <si>
    <t>ASHBURNHAM</t>
  </si>
  <si>
    <t>ASHBY</t>
  </si>
  <si>
    <t>ASHFIELD</t>
  </si>
  <si>
    <t>ASHLAND</t>
  </si>
  <si>
    <t>ATHOL</t>
  </si>
  <si>
    <t>ATTLEBORO</t>
  </si>
  <si>
    <t>AUBURN</t>
  </si>
  <si>
    <t>AVON</t>
  </si>
  <si>
    <t>AYER</t>
  </si>
  <si>
    <t>BARNSTABLE</t>
  </si>
  <si>
    <t>BARRE</t>
  </si>
  <si>
    <t>BECKET</t>
  </si>
  <si>
    <t>BEDFORD</t>
  </si>
  <si>
    <t>BELCHERTOWN</t>
  </si>
  <si>
    <t>BELLINGHAM</t>
  </si>
  <si>
    <t>BELMONT</t>
  </si>
  <si>
    <t>BERKLEY</t>
  </si>
  <si>
    <t>BERLIN</t>
  </si>
  <si>
    <t>BERNARDSTON</t>
  </si>
  <si>
    <t>BEVERLY</t>
  </si>
  <si>
    <t>BLACKSTONE</t>
  </si>
  <si>
    <t>BLANDFORD</t>
  </si>
  <si>
    <t>BOLTON</t>
  </si>
  <si>
    <t>BOSTON</t>
  </si>
  <si>
    <t>BOURNE</t>
  </si>
  <si>
    <t>BOYLSTON</t>
  </si>
  <si>
    <t>BRAINTREE</t>
  </si>
  <si>
    <t>BREWSTER</t>
  </si>
  <si>
    <t>BRIDGEWATER</t>
  </si>
  <si>
    <t>BRIMFIELD</t>
  </si>
  <si>
    <t>BROCKTON</t>
  </si>
  <si>
    <t>BROOKFIELD</t>
  </si>
  <si>
    <t>BROOKLINE</t>
  </si>
  <si>
    <t>BUCKLAND</t>
  </si>
  <si>
    <t>BURLINGTON</t>
  </si>
  <si>
    <t>CAMBRIDGE</t>
  </si>
  <si>
    <t>CANTON</t>
  </si>
  <si>
    <t>CARLISLE</t>
  </si>
  <si>
    <t>CARVER</t>
  </si>
  <si>
    <t>CHARLEMONT</t>
  </si>
  <si>
    <t>CHARLTON</t>
  </si>
  <si>
    <t>CHATHAM</t>
  </si>
  <si>
    <t>(1)</t>
  </si>
  <si>
    <t>(2)</t>
  </si>
  <si>
    <t>(3)</t>
  </si>
  <si>
    <t>(4)</t>
  </si>
  <si>
    <t>(5)</t>
  </si>
  <si>
    <t>(6)</t>
  </si>
  <si>
    <t>(7)</t>
  </si>
  <si>
    <t>(8)</t>
  </si>
  <si>
    <t>(9)</t>
  </si>
  <si>
    <t>(10)</t>
  </si>
  <si>
    <t>(11)</t>
  </si>
  <si>
    <t>(12)</t>
  </si>
  <si>
    <t>(13)</t>
  </si>
  <si>
    <t>Pre-</t>
  </si>
  <si>
    <t xml:space="preserve"> ------ Kindergarten ------</t>
  </si>
  <si>
    <t xml:space="preserve"> Jr High/</t>
  </si>
  <si>
    <t>High</t>
  </si>
  <si>
    <t>ELL</t>
  </si>
  <si>
    <t>Wage</t>
  </si>
  <si>
    <t>Factor</t>
  </si>
  <si>
    <t>The foundation budget shown on this page may differ from the final number used in the formula, due to rounding error.</t>
  </si>
  <si>
    <t>Voca-</t>
  </si>
  <si>
    <t>Half-Day</t>
  </si>
  <si>
    <t>Full-Day</t>
  </si>
  <si>
    <t>KF - 12</t>
  </si>
  <si>
    <t>tional</t>
  </si>
  <si>
    <t>In District</t>
  </si>
  <si>
    <t>Out of Dist</t>
  </si>
  <si>
    <t>TOTAL*</t>
  </si>
  <si>
    <t>Instructional Leadership</t>
  </si>
  <si>
    <t>Classroom and Specialist Teachers</t>
  </si>
  <si>
    <t>Other Teaching Services</t>
  </si>
  <si>
    <t>Professional Development</t>
  </si>
  <si>
    <t>FY08</t>
  </si>
  <si>
    <t xml:space="preserve">mrgf </t>
  </si>
  <si>
    <t>Instructional Equipment &amp; Tech</t>
  </si>
  <si>
    <t>Pupil Services</t>
  </si>
  <si>
    <t>Operations and Maintenance</t>
  </si>
  <si>
    <t>Employee Benefits/Fixed Charges</t>
  </si>
  <si>
    <t>Special Ed Tuition</t>
  </si>
  <si>
    <t>Wage Adjustment Factor</t>
  </si>
  <si>
    <t>*</t>
  </si>
  <si>
    <t>Total foundation enrollment assigns pupils in pre-kindergarten and half-time kindergarten an enrollment count of .5.</t>
  </si>
  <si>
    <t>Special education in-district headcount is an assumed percentage, representing 3.75 percent of K to 12 non-vocational enrollment and 4.75 percent of vocational enrollment.</t>
  </si>
  <si>
    <t>Special education out-of-district headcount is also an assumed percentage, representing 1 percent of non-vocational K-12 enrollment.</t>
  </si>
  <si>
    <t>Each component of the foundation budget represents the enrollment on line 1 multiplied by the appropriate state-wide foundation allotment.</t>
  </si>
  <si>
    <t>The wage adjustment factor is applied to underlying rates in all functions except instructional equipment, benefits and special education tuition.</t>
  </si>
  <si>
    <t>Foundation Enrollment</t>
  </si>
  <si>
    <t>Regional District Enrollment and Contributions by Member City or Town</t>
  </si>
  <si>
    <t>Member</t>
  </si>
  <si>
    <t>District Total</t>
  </si>
  <si>
    <t>Required district contribution</t>
  </si>
  <si>
    <t>Income percentage</t>
  </si>
  <si>
    <t>Property percentage</t>
  </si>
  <si>
    <t>local</t>
  </si>
  <si>
    <t xml:space="preserve">maximum </t>
  </si>
  <si>
    <t>local contribution</t>
  </si>
  <si>
    <t>target</t>
  </si>
  <si>
    <t xml:space="preserve">local </t>
  </si>
  <si>
    <t>target local</t>
  </si>
  <si>
    <t>(lesser of max local</t>
  </si>
  <si>
    <t>or effort yield)</t>
  </si>
  <si>
    <t>Combined effort yield (row 3+ row 6)</t>
  </si>
  <si>
    <t>Target local contribution (lesser of row 7 or row 9)</t>
  </si>
  <si>
    <t>share</t>
  </si>
  <si>
    <t>excess effort</t>
  </si>
  <si>
    <t>times effort</t>
  </si>
  <si>
    <t>reduction %</t>
  </si>
  <si>
    <t>CHELSEA</t>
  </si>
  <si>
    <t>CHESHIRE</t>
  </si>
  <si>
    <t>CHESTER</t>
  </si>
  <si>
    <t>CHESTERFIELD</t>
  </si>
  <si>
    <t>CHICOPEE</t>
  </si>
  <si>
    <t>CHILMARK</t>
  </si>
  <si>
    <t>CLARKSBURG</t>
  </si>
  <si>
    <t>CLINTON</t>
  </si>
  <si>
    <t>COHASSET</t>
  </si>
  <si>
    <t>COLRAIN</t>
  </si>
  <si>
    <t>CONCORD</t>
  </si>
  <si>
    <t>CONWAY</t>
  </si>
  <si>
    <t>CUMMINGTON</t>
  </si>
  <si>
    <t>DALTON</t>
  </si>
  <si>
    <t>DANVERS</t>
  </si>
  <si>
    <t>DARTMOUTH</t>
  </si>
  <si>
    <t>DEDHAM</t>
  </si>
  <si>
    <t>DEERFIELD</t>
  </si>
  <si>
    <t>DENNIS</t>
  </si>
  <si>
    <t>DIGHTON</t>
  </si>
  <si>
    <t>DOUGLAS</t>
  </si>
  <si>
    <t>DOVER</t>
  </si>
  <si>
    <t>DUDLEY</t>
  </si>
  <si>
    <t>DUNSTABLE</t>
  </si>
  <si>
    <t>DUXBURY</t>
  </si>
  <si>
    <t>EAST BRIDGEWATER</t>
  </si>
  <si>
    <t>EAST BROOKFIELD</t>
  </si>
  <si>
    <t>EASTHAM</t>
  </si>
  <si>
    <t>EASTHAMPTON</t>
  </si>
  <si>
    <t>EAST LONGMEADOW</t>
  </si>
  <si>
    <t>EASTON</t>
  </si>
  <si>
    <t>EDGARTOWN</t>
  </si>
  <si>
    <t>EGREMONT</t>
  </si>
  <si>
    <t>ERVING</t>
  </si>
  <si>
    <t>EVERETT</t>
  </si>
  <si>
    <t>FAIRHAVEN</t>
  </si>
  <si>
    <t>FALL RIVER</t>
  </si>
  <si>
    <t>FALMOUTH</t>
  </si>
  <si>
    <t>FITCHBURG</t>
  </si>
  <si>
    <t>FLORIDA</t>
  </si>
  <si>
    <t>FOXBOROUGH</t>
  </si>
  <si>
    <t>FRAMINGHAM</t>
  </si>
  <si>
    <t>FRANKLIN</t>
  </si>
  <si>
    <t>FREETOWN</t>
  </si>
  <si>
    <t>GARDNER</t>
  </si>
  <si>
    <t>GEORGETOWN</t>
  </si>
  <si>
    <t>GILL</t>
  </si>
  <si>
    <t>GLOUCESTER</t>
  </si>
  <si>
    <t>GOSHEN</t>
  </si>
  <si>
    <t>GOSNOLD</t>
  </si>
  <si>
    <t>GRAFTON</t>
  </si>
  <si>
    <t>GRANBY</t>
  </si>
  <si>
    <t>GRANVILLE</t>
  </si>
  <si>
    <t>GREAT BARRINGTON</t>
  </si>
  <si>
    <t>GREENFIELD</t>
  </si>
  <si>
    <t>GROTON</t>
  </si>
  <si>
    <t>GROVELAND</t>
  </si>
  <si>
    <t>HADLEY</t>
  </si>
  <si>
    <t>HALIFAX</t>
  </si>
  <si>
    <t>HAMILTON</t>
  </si>
  <si>
    <t>HAMPDEN</t>
  </si>
  <si>
    <t>HANCOCK</t>
  </si>
  <si>
    <t>HANOVER</t>
  </si>
  <si>
    <t>HANSON</t>
  </si>
  <si>
    <t>HARVARD</t>
  </si>
  <si>
    <t>HARWICH</t>
  </si>
  <si>
    <t>HATFIELD</t>
  </si>
  <si>
    <t>HAVERHILL</t>
  </si>
  <si>
    <t>HAWLEY</t>
  </si>
  <si>
    <t>HEATH</t>
  </si>
  <si>
    <t>HINGHAM</t>
  </si>
  <si>
    <t>HINSDALE</t>
  </si>
  <si>
    <t>HOLBROOK</t>
  </si>
  <si>
    <t>HOLLAND</t>
  </si>
  <si>
    <t>HOLLISTON</t>
  </si>
  <si>
    <t>HOLYOKE</t>
  </si>
  <si>
    <t>HOPEDALE</t>
  </si>
  <si>
    <t>HOPKINTON</t>
  </si>
  <si>
    <t>HUBBARDSTON</t>
  </si>
  <si>
    <t>HUDSON</t>
  </si>
  <si>
    <t>HULL</t>
  </si>
  <si>
    <t>HUNTINGTON</t>
  </si>
  <si>
    <t>IPSWICH</t>
  </si>
  <si>
    <t>KINGSTON</t>
  </si>
  <si>
    <t>LAKEVILLE</t>
  </si>
  <si>
    <t>LANCASTER</t>
  </si>
  <si>
    <t>LANESBOROUGH</t>
  </si>
  <si>
    <t>LAWRENCE</t>
  </si>
  <si>
    <t>LEE</t>
  </si>
  <si>
    <t>LEICESTER</t>
  </si>
  <si>
    <t>LENOX</t>
  </si>
  <si>
    <t>LEOMINSTER</t>
  </si>
  <si>
    <t>LEVERETT</t>
  </si>
  <si>
    <t>LEXINGTON</t>
  </si>
  <si>
    <t>LEYDEN</t>
  </si>
  <si>
    <t>LINCOLN</t>
  </si>
  <si>
    <t>LITTLETON</t>
  </si>
  <si>
    <t>LONGMEADOW</t>
  </si>
  <si>
    <t>LUDLOW</t>
  </si>
  <si>
    <t>LUNENBURG</t>
  </si>
  <si>
    <t>LYNN</t>
  </si>
  <si>
    <t>LYNNFIELD</t>
  </si>
  <si>
    <t>MANSFIELD</t>
  </si>
  <si>
    <t>MARBLEHEAD</t>
  </si>
  <si>
    <t>MARION</t>
  </si>
  <si>
    <t>MARLBOROUGH</t>
  </si>
  <si>
    <t>MARSHFIELD</t>
  </si>
  <si>
    <t>MASHPEE</t>
  </si>
  <si>
    <t>MATTAPOISETT</t>
  </si>
  <si>
    <t>MAYNARD</t>
  </si>
  <si>
    <t>MEDFIELD</t>
  </si>
  <si>
    <t>MEDFORD</t>
  </si>
  <si>
    <t>MEDWAY</t>
  </si>
  <si>
    <t>MENDON</t>
  </si>
  <si>
    <t>MERRIMAC</t>
  </si>
  <si>
    <t>METHUEN</t>
  </si>
  <si>
    <t>MIDDLEBOROUGH</t>
  </si>
  <si>
    <t>MIDDLEFIELD</t>
  </si>
  <si>
    <t>MIDDLETON</t>
  </si>
  <si>
    <t>MILFORD</t>
  </si>
  <si>
    <t>fy11 fb in localcont pivoted, total difffers because of regionalizers</t>
  </si>
  <si>
    <t>MILLBURY</t>
  </si>
  <si>
    <t>MILLIS</t>
  </si>
  <si>
    <t>MILLVILLE</t>
  </si>
  <si>
    <t>MILTON</t>
  </si>
  <si>
    <t>MONROE</t>
  </si>
  <si>
    <t>MONSON</t>
  </si>
  <si>
    <t>MONTAGUE</t>
  </si>
  <si>
    <t>MONTEREY</t>
  </si>
  <si>
    <t>MONTGOMERY</t>
  </si>
  <si>
    <t>MOUNT WASHINGTON</t>
  </si>
  <si>
    <t>NAHANT</t>
  </si>
  <si>
    <t>NANTUCKET</t>
  </si>
  <si>
    <t>NATICK</t>
  </si>
  <si>
    <t>NEEDHAM</t>
  </si>
  <si>
    <t>NEW ASHFORD</t>
  </si>
  <si>
    <t>NEW BEDFORD</t>
  </si>
  <si>
    <t>NEW BRAINTREE</t>
  </si>
  <si>
    <t>NEWBURYPORT</t>
  </si>
  <si>
    <t>NEW MARLBOROUGH</t>
  </si>
  <si>
    <t>NEW SALEM</t>
  </si>
  <si>
    <t>NEWTON</t>
  </si>
  <si>
    <t>NORFOLK</t>
  </si>
  <si>
    <t>NORTH ADAMS</t>
  </si>
  <si>
    <t>FY11</t>
  </si>
  <si>
    <t>NORTHAMPTON</t>
  </si>
  <si>
    <t>NORTH ANDOVER</t>
  </si>
  <si>
    <t>NORTH ATTLEBOROUGH</t>
  </si>
  <si>
    <t>NORTHBOROUGH</t>
  </si>
  <si>
    <t>NORTHBRIDGE</t>
  </si>
  <si>
    <t>NORTH BROOKFIELD</t>
  </si>
  <si>
    <t>NORTHFIELD</t>
  </si>
  <si>
    <t>NORTH READING</t>
  </si>
  <si>
    <t>NORTON</t>
  </si>
  <si>
    <t>NORWELL</t>
  </si>
  <si>
    <t>NORWOOD</t>
  </si>
  <si>
    <t>OAK BLUFFS</t>
  </si>
  <si>
    <t>OAKHAM</t>
  </si>
  <si>
    <t>ORANGE</t>
  </si>
  <si>
    <t>ORLEANS</t>
  </si>
  <si>
    <t>OTIS</t>
  </si>
  <si>
    <t>OXFORD</t>
  </si>
  <si>
    <t>PALMER</t>
  </si>
  <si>
    <t>PAXTON</t>
  </si>
  <si>
    <t>PEABODY</t>
  </si>
  <si>
    <t>PELHAM</t>
  </si>
  <si>
    <t>PEMBROKE</t>
  </si>
  <si>
    <t>PEPPERELL</t>
  </si>
  <si>
    <t>PERU</t>
  </si>
  <si>
    <t>PETERSHAM</t>
  </si>
  <si>
    <t>PHILLIPSTON</t>
  </si>
  <si>
    <t>PITTSFIELD</t>
  </si>
  <si>
    <t>PLAINFIELD</t>
  </si>
  <si>
    <t>PLAINVILLE</t>
  </si>
  <si>
    <t>PLYMOUTH</t>
  </si>
  <si>
    <t>PLYMPTON</t>
  </si>
  <si>
    <t>PRINCETON</t>
  </si>
  <si>
    <t>PROVINCETOWN</t>
  </si>
  <si>
    <t>QUINCY</t>
  </si>
  <si>
    <t>RANDOLPH</t>
  </si>
  <si>
    <t>RAYNHAM</t>
  </si>
  <si>
    <t>READING</t>
  </si>
  <si>
    <t>REHOBOTH</t>
  </si>
  <si>
    <t>RICHMOND</t>
  </si>
  <si>
    <t>ROCHESTER</t>
  </si>
  <si>
    <t>ROCKLAND</t>
  </si>
  <si>
    <t>ROCKPORT</t>
  </si>
  <si>
    <t>ROWE</t>
  </si>
  <si>
    <t>ROWLEY</t>
  </si>
  <si>
    <t>ROYALSTON</t>
  </si>
  <si>
    <t>RUSSELL</t>
  </si>
  <si>
    <t>SALEM</t>
  </si>
  <si>
    <t>SALISBURY</t>
  </si>
  <si>
    <t>SANDISFIELD</t>
  </si>
  <si>
    <t>SANDWICH</t>
  </si>
  <si>
    <t>SAUGUS</t>
  </si>
  <si>
    <t>SAVOY</t>
  </si>
  <si>
    <t>SCITUATE</t>
  </si>
  <si>
    <t>SEEKONK</t>
  </si>
  <si>
    <t>SHARON</t>
  </si>
  <si>
    <t>SHEFFIELD</t>
  </si>
  <si>
    <t>SHELBURNE</t>
  </si>
  <si>
    <t>SHERBORN</t>
  </si>
  <si>
    <t>SHIRLEY</t>
  </si>
  <si>
    <t>SHREWSBURY</t>
  </si>
  <si>
    <t>SHUTESBURY</t>
  </si>
  <si>
    <t>SOMERSET</t>
  </si>
  <si>
    <t>SOMERVILLE</t>
  </si>
  <si>
    <t>SOUTHAMPTON</t>
  </si>
  <si>
    <t>SOUTHBOROUGH</t>
  </si>
  <si>
    <t>SOUTHBRIDGE</t>
  </si>
  <si>
    <t>SOUTH HADLEY</t>
  </si>
  <si>
    <t>SOUTHWICK</t>
  </si>
  <si>
    <t>SPENCER</t>
  </si>
  <si>
    <t>SPRINGFIELD</t>
  </si>
  <si>
    <t>STERLING</t>
  </si>
  <si>
    <t>STOCKBRIDGE</t>
  </si>
  <si>
    <t>STOUGHTON</t>
  </si>
  <si>
    <t>STOW</t>
  </si>
  <si>
    <t>STURBRIDGE</t>
  </si>
  <si>
    <t>SUDBURY</t>
  </si>
  <si>
    <t>SUNDERLAND</t>
  </si>
  <si>
    <t>SUTTON</t>
  </si>
  <si>
    <t>SWAMPSCOTT</t>
  </si>
  <si>
    <t>SWANSEA</t>
  </si>
  <si>
    <t>TAUNTON</t>
  </si>
  <si>
    <t>TEMPLETON</t>
  </si>
  <si>
    <t>TISBURY</t>
  </si>
  <si>
    <t>TOLLAND</t>
  </si>
  <si>
    <t>Reg'l Total</t>
  </si>
  <si>
    <t>TOPSFIELD</t>
  </si>
  <si>
    <t>TOWNSEND</t>
  </si>
  <si>
    <t>TRURO</t>
  </si>
  <si>
    <t>TYNGSBOROUGH</t>
  </si>
  <si>
    <t>TYRINGHAM</t>
  </si>
  <si>
    <t>UPTON</t>
  </si>
  <si>
    <t>UXBRIDGE</t>
  </si>
  <si>
    <t>WALES</t>
  </si>
  <si>
    <t>WALPOLE</t>
  </si>
  <si>
    <t>WALTHAM</t>
  </si>
  <si>
    <t>WARE</t>
  </si>
  <si>
    <t>WAREHAM</t>
  </si>
  <si>
    <t>WARREN</t>
  </si>
  <si>
    <t>WARWICK</t>
  </si>
  <si>
    <t>WASHINGTON</t>
  </si>
  <si>
    <t>WATERTOWN</t>
  </si>
  <si>
    <t>WAYLAND</t>
  </si>
  <si>
    <t>WEBSTER</t>
  </si>
  <si>
    <t>WELLESLEY</t>
  </si>
  <si>
    <t>WELLFLEET</t>
  </si>
  <si>
    <t>WENDELL</t>
  </si>
  <si>
    <t>WENHAM</t>
  </si>
  <si>
    <t>WESTBOROUGH</t>
  </si>
  <si>
    <t>WEST BOYLSTON</t>
  </si>
  <si>
    <t>WEST BRIDGEWATER</t>
  </si>
  <si>
    <t>WEST BROOKFIELD</t>
  </si>
  <si>
    <t>WESTFIELD</t>
  </si>
  <si>
    <t>WESTFORD</t>
  </si>
  <si>
    <t>WESTHAMPTON</t>
  </si>
  <si>
    <t>WESTMINSTER</t>
  </si>
  <si>
    <t>WEST NEWBURY</t>
  </si>
  <si>
    <t>WESTON</t>
  </si>
  <si>
    <t>WESTPORT</t>
  </si>
  <si>
    <t>WEST SPRINGFIELD</t>
  </si>
  <si>
    <t>WEST STOCKBRIDGE</t>
  </si>
  <si>
    <t>WEST TISBURY</t>
  </si>
  <si>
    <t>WESTWOOD</t>
  </si>
  <si>
    <t>WEYMOUTH</t>
  </si>
  <si>
    <t>WHATELY</t>
  </si>
  <si>
    <t>WHITMAN</t>
  </si>
  <si>
    <t>WILBRAHAM</t>
  </si>
  <si>
    <t>WILLIAMSBURG</t>
  </si>
  <si>
    <t>WILLIAMSTOWN</t>
  </si>
  <si>
    <t>budget</t>
  </si>
  <si>
    <t>WINCHENDON</t>
  </si>
  <si>
    <t>WINCHESTER</t>
  </si>
  <si>
    <t>WINDSOR</t>
  </si>
  <si>
    <t>WORCESTER</t>
  </si>
  <si>
    <t>WORTHINGTON</t>
  </si>
  <si>
    <t>WRENTHAM</t>
  </si>
  <si>
    <t>YARMOUTH</t>
  </si>
  <si>
    <t>wealth</t>
  </si>
  <si>
    <t>combined</t>
  </si>
  <si>
    <t>foundation</t>
  </si>
  <si>
    <t>local effort</t>
  </si>
  <si>
    <t>from income</t>
  </si>
  <si>
    <t>from property</t>
  </si>
  <si>
    <t>total</t>
  </si>
  <si>
    <t>income</t>
  </si>
  <si>
    <t>contribution</t>
  </si>
  <si>
    <t>Municipal Contribution Requirement</t>
  </si>
  <si>
    <t>Effort Goal</t>
  </si>
  <si>
    <t>Local effort from property wealth</t>
  </si>
  <si>
    <t>Local effort from income</t>
  </si>
  <si>
    <t>1)</t>
  </si>
  <si>
    <t>2)</t>
  </si>
  <si>
    <t>3)</t>
  </si>
  <si>
    <t>4)</t>
  </si>
  <si>
    <t>5)</t>
  </si>
  <si>
    <t>6)</t>
  </si>
  <si>
    <t>7)</t>
  </si>
  <si>
    <t>8)</t>
  </si>
  <si>
    <t>9)</t>
  </si>
  <si>
    <t>10)</t>
  </si>
  <si>
    <t>11)</t>
  </si>
  <si>
    <t>12)</t>
  </si>
  <si>
    <t>13)</t>
  </si>
  <si>
    <t>14)</t>
  </si>
  <si>
    <t>15)</t>
  </si>
  <si>
    <t>16)</t>
  </si>
  <si>
    <t>17)</t>
  </si>
  <si>
    <t>See a listing of all 351 communities</t>
  </si>
  <si>
    <t>Required</t>
  </si>
  <si>
    <t>District name</t>
  </si>
  <si>
    <t>Operating</t>
  </si>
  <si>
    <t>required</t>
  </si>
  <si>
    <t>preliminary</t>
  </si>
  <si>
    <t>18)</t>
  </si>
  <si>
    <t>DOR total</t>
  </si>
  <si>
    <t>yield</t>
  </si>
  <si>
    <t>property percentage</t>
  </si>
  <si>
    <t>income percentage</t>
  </si>
  <si>
    <t xml:space="preserve">non-op </t>
  </si>
  <si>
    <t>rednonop</t>
  </si>
  <si>
    <t xml:space="preserve">nss </t>
  </si>
  <si>
    <t>23)</t>
  </si>
  <si>
    <t>foundation pct=</t>
  </si>
  <si>
    <t>negative</t>
  </si>
  <si>
    <t>capped at 82.5</t>
  </si>
  <si>
    <t>25)</t>
  </si>
  <si>
    <t>Office of School Finance</t>
  </si>
  <si>
    <t>Special Ed</t>
  </si>
  <si>
    <t>School</t>
  </si>
  <si>
    <t>Elementary</t>
  </si>
  <si>
    <t>Middle</t>
  </si>
  <si>
    <t>PK</t>
  </si>
  <si>
    <t>K Half</t>
  </si>
  <si>
    <t>Elem</t>
  </si>
  <si>
    <t>NORTHAMPTON SMITH</t>
  </si>
  <si>
    <t>ADAMS CHESHIRE</t>
  </si>
  <si>
    <t>AMHERST PELHAM</t>
  </si>
  <si>
    <t>ASHBURNHAM WESTMINSTER</t>
  </si>
  <si>
    <t>ATHOL ROYALSTON</t>
  </si>
  <si>
    <t>BERKSHIRE HILLS</t>
  </si>
  <si>
    <t>BERLIN BOYLSTON</t>
  </si>
  <si>
    <t>BLACKSTONE MILLVILLE</t>
  </si>
  <si>
    <t>BRIDGEWATER RAYNHAM</t>
  </si>
  <si>
    <t>CENTRAL BERKSHIRE</t>
  </si>
  <si>
    <t>CONCORD CARLISLE</t>
  </si>
  <si>
    <t>DENNIS YARMOUTH</t>
  </si>
  <si>
    <t>DIGHTON REHOBOTH</t>
  </si>
  <si>
    <t>DOVER SHERBORN</t>
  </si>
  <si>
    <t>DUDLEY CHARLTON</t>
  </si>
  <si>
    <t>NAUSET</t>
  </si>
  <si>
    <t>FREETOWN LAKEVILLE</t>
  </si>
  <si>
    <t>FRONTIER</t>
  </si>
  <si>
    <t>GATEWAY</t>
  </si>
  <si>
    <t>GROTON DUNSTABLE</t>
  </si>
  <si>
    <t>GILL MONTAGUE</t>
  </si>
  <si>
    <t>HAMILTON WENHAM</t>
  </si>
  <si>
    <t>HAMPDEN WILBRAHAM</t>
  </si>
  <si>
    <t>HAMPSHIRE</t>
  </si>
  <si>
    <t>HAWLEMONT</t>
  </si>
  <si>
    <t>KING PHILIP</t>
  </si>
  <si>
    <t>LINCOLN SUDBURY</t>
  </si>
  <si>
    <t>MARTHAS VINEYARD</t>
  </si>
  <si>
    <t>MASCONOMET</t>
  </si>
  <si>
    <t>MENDON UPTON</t>
  </si>
  <si>
    <t>Prior Year Data (for comparison purposes)</t>
  </si>
  <si>
    <t>Shortfall from target after adding increment (10 - 15 - 22)</t>
  </si>
  <si>
    <t>Prior Year Aid</t>
  </si>
  <si>
    <t>MOUNT GREYLOCK</t>
  </si>
  <si>
    <t>MOHAWK TRAIL</t>
  </si>
  <si>
    <t xml:space="preserve">Chapter 70 aid </t>
  </si>
  <si>
    <t>FY09 9c cut</t>
  </si>
  <si>
    <t>stabilization aid</t>
  </si>
  <si>
    <t>NARRAGANSETT</t>
  </si>
  <si>
    <t>NASHOBA</t>
  </si>
  <si>
    <t>NEW SALEM WENDELL</t>
  </si>
  <si>
    <t>NORTHBORO SOUTHBORO</t>
  </si>
  <si>
    <t>NORTH MIDDLESEX</t>
  </si>
  <si>
    <t>OLD ROCHESTER</t>
  </si>
  <si>
    <t>PENTUCKET</t>
  </si>
  <si>
    <t>PIONEER</t>
  </si>
  <si>
    <t>QUABBIN</t>
  </si>
  <si>
    <t>RALPH C MAHAR</t>
  </si>
  <si>
    <t>SILVER LAKE</t>
  </si>
  <si>
    <t>SOUTHERN BERKSHIRE</t>
  </si>
  <si>
    <t>SPENCER EAST BROOKFIELD</t>
  </si>
  <si>
    <t>TANTASQUA</t>
  </si>
  <si>
    <t>TRITON</t>
  </si>
  <si>
    <t>WACHUSETT</t>
  </si>
  <si>
    <t>WHITMAN HANSON</t>
  </si>
  <si>
    <t>ASSABET VALLEY</t>
  </si>
  <si>
    <t>BLACKSTONE VALLEY</t>
  </si>
  <si>
    <t>BLUE HILLS</t>
  </si>
  <si>
    <t>BRISTOL PLYMOUTH</t>
  </si>
  <si>
    <t>CAPE COD</t>
  </si>
  <si>
    <t>FRANKLIN COUNTY</t>
  </si>
  <si>
    <t>GREATER FALL RIVER</t>
  </si>
  <si>
    <t>GREATER LAWRENCE</t>
  </si>
  <si>
    <t>GREATER NEW BEDFORD</t>
  </si>
  <si>
    <t>GREATER LOWELL</t>
  </si>
  <si>
    <t>SOUTH MIDDLESEX</t>
  </si>
  <si>
    <t>MINUTEMAN</t>
  </si>
  <si>
    <t>MONTACHUSETT</t>
  </si>
  <si>
    <t>NORTHERN BERKSHIRE</t>
  </si>
  <si>
    <t>NASHOBA VALLEY</t>
  </si>
  <si>
    <t>NORTHEAST METROPOLITAN</t>
  </si>
  <si>
    <t>OLD COLONY</t>
  </si>
  <si>
    <t>SHAWSHEEN VALLEY</t>
  </si>
  <si>
    <t>SOUTHEASTERN</t>
  </si>
  <si>
    <t>SOUTH SHORE</t>
  </si>
  <si>
    <t>SOUTHERN WORCESTER</t>
  </si>
  <si>
    <t>TRI COUNTY</t>
  </si>
  <si>
    <t>UPPER CAPE COD</t>
  </si>
  <si>
    <t>WHITTIER</t>
  </si>
  <si>
    <t>BRISTOL COUNTY</t>
  </si>
  <si>
    <t>NORFOLK COUNTY</t>
  </si>
  <si>
    <t>Administration</t>
  </si>
  <si>
    <t>Assumed</t>
  </si>
  <si>
    <t>Classroom</t>
  </si>
  <si>
    <t xml:space="preserve">Other </t>
  </si>
  <si>
    <t>K</t>
  </si>
  <si>
    <t>Junior</t>
  </si>
  <si>
    <t xml:space="preserve">High  </t>
  </si>
  <si>
    <t>Instructional</t>
  </si>
  <si>
    <t>&amp; Specialist</t>
  </si>
  <si>
    <t>Teaching</t>
  </si>
  <si>
    <t>Half</t>
  </si>
  <si>
    <t>Full</t>
  </si>
  <si>
    <t>In School</t>
  </si>
  <si>
    <t>Tuitioned</t>
  </si>
  <si>
    <t>thru G12</t>
  </si>
  <si>
    <t>Leadership</t>
  </si>
  <si>
    <t>Teachers</t>
  </si>
  <si>
    <t>Services</t>
  </si>
  <si>
    <t>Pre-School</t>
  </si>
  <si>
    <t>Kindergarten-Half</t>
  </si>
  <si>
    <t>Kindergarten-Full</t>
  </si>
  <si>
    <t>Junior/Middle</t>
  </si>
  <si>
    <t>High School</t>
  </si>
  <si>
    <t>Special Ed-In School</t>
  </si>
  <si>
    <t>Special Ed-Tuitioned Out</t>
  </si>
  <si>
    <t>Vocational</t>
  </si>
  <si>
    <t>aid</t>
  </si>
  <si>
    <t xml:space="preserve">town </t>
  </si>
  <si>
    <t xml:space="preserve">effort </t>
  </si>
  <si>
    <t>goal pct</t>
  </si>
  <si>
    <t>chapter 70</t>
  </si>
  <si>
    <t>memeffpct</t>
  </si>
  <si>
    <t>weighted</t>
  </si>
  <si>
    <t>percentage</t>
  </si>
  <si>
    <t>effort goal</t>
  </si>
  <si>
    <t xml:space="preserve">Foundation </t>
  </si>
  <si>
    <t xml:space="preserve">NASHOBA                      </t>
  </si>
  <si>
    <t xml:space="preserve">BOSTON                       </t>
  </si>
  <si>
    <t xml:space="preserve">BOURNE                       </t>
  </si>
  <si>
    <t>AYER SHIRLEY</t>
  </si>
  <si>
    <t>SOMERSET BERKLEY</t>
  </si>
  <si>
    <t xml:space="preserve">UPPER CAPE COD               </t>
  </si>
  <si>
    <t xml:space="preserve">BOXBOROUGH                   </t>
  </si>
  <si>
    <t xml:space="preserve">BOXFORD                      </t>
  </si>
  <si>
    <t xml:space="preserve">MASCONOMET                   </t>
  </si>
  <si>
    <t xml:space="preserve">BOYLSTON                     </t>
  </si>
  <si>
    <t xml:space="preserve">BRAINTREE                    </t>
  </si>
  <si>
    <t xml:space="preserve">BREWSTER                     </t>
  </si>
  <si>
    <t xml:space="preserve">NAUSET                       </t>
  </si>
  <si>
    <t xml:space="preserve">BRIDGEWATER                  </t>
  </si>
  <si>
    <t xml:space="preserve">BRIDGEWATER RAYNHAM          </t>
  </si>
  <si>
    <t xml:space="preserve">BRIMFIELD                    </t>
  </si>
  <si>
    <t xml:space="preserve">TANTASQUA                    </t>
  </si>
  <si>
    <t xml:space="preserve">BROCKTON                     </t>
  </si>
  <si>
    <t xml:space="preserve">SOUTHEASTERN                 </t>
  </si>
  <si>
    <t xml:space="preserve">BROOKFIELD                   </t>
  </si>
  <si>
    <t xml:space="preserve">BROOKLINE                    </t>
  </si>
  <si>
    <t xml:space="preserve">BUCKLAND                     </t>
  </si>
  <si>
    <t xml:space="preserve">BURLINGTON                   </t>
  </si>
  <si>
    <t xml:space="preserve">CAMBRIDGE                    </t>
  </si>
  <si>
    <t xml:space="preserve">CANTON                       </t>
  </si>
  <si>
    <t xml:space="preserve">CARLISLE                     </t>
  </si>
  <si>
    <t xml:space="preserve">CONCORD CARLISLE             </t>
  </si>
  <si>
    <t xml:space="preserve">CARVER                       </t>
  </si>
  <si>
    <t xml:space="preserve">CHARLEMONT                   </t>
  </si>
  <si>
    <t xml:space="preserve">HAWLEMONT                    </t>
  </si>
  <si>
    <t xml:space="preserve">CHARLTON                     </t>
  </si>
  <si>
    <t xml:space="preserve">DUDLEY CHARLTON              </t>
  </si>
  <si>
    <t xml:space="preserve">CHATHAM                      </t>
  </si>
  <si>
    <t>Contribution as percentage of foundation (24 / 8)</t>
  </si>
  <si>
    <t xml:space="preserve">CHELMSFORD                   </t>
  </si>
  <si>
    <t xml:space="preserve">NASHOBA VALLEY               </t>
  </si>
  <si>
    <t xml:space="preserve">CHELSEA                      </t>
  </si>
  <si>
    <t xml:space="preserve">NORTHEAST METROPOLITAN       </t>
  </si>
  <si>
    <t xml:space="preserve">CHESHIRE                     </t>
  </si>
  <si>
    <t xml:space="preserve">CHESTER                      </t>
  </si>
  <si>
    <t xml:space="preserve">CHESTERFIELD                 </t>
  </si>
  <si>
    <t>CHESTERFIELD GOSHEN</t>
  </si>
  <si>
    <t xml:space="preserve">HAMPSHIRE                    </t>
  </si>
  <si>
    <t xml:space="preserve">CHICOPEE                     </t>
  </si>
  <si>
    <t xml:space="preserve">CHILMARK                     </t>
  </si>
  <si>
    <t>increment</t>
  </si>
  <si>
    <t>(go to this sheet to see any particular regional district's comparison of enrollment and minimum contributions to the prior year)</t>
  </si>
  <si>
    <t>Maximum local contribution (82.5% * row 8)</t>
  </si>
  <si>
    <t xml:space="preserve">MARTHAS VINEYARD             </t>
  </si>
  <si>
    <t>UPISLAND</t>
  </si>
  <si>
    <t xml:space="preserve">CLARKSBURG                   </t>
  </si>
  <si>
    <t xml:space="preserve">CLINTON                      </t>
  </si>
  <si>
    <t xml:space="preserve">COHASSET                     </t>
  </si>
  <si>
    <t xml:space="preserve">COLRAIN                      </t>
  </si>
  <si>
    <t xml:space="preserve">CONCORD                      </t>
  </si>
  <si>
    <t xml:space="preserve">CONWAY                       </t>
  </si>
  <si>
    <t xml:space="preserve">FRONTIER                     </t>
  </si>
  <si>
    <t xml:space="preserve">CUMMINGTON                   </t>
  </si>
  <si>
    <t xml:space="preserve">DALTON                       </t>
  </si>
  <si>
    <t xml:space="preserve">DANVERS                      </t>
  </si>
  <si>
    <t xml:space="preserve">DARTMOUTH                    </t>
  </si>
  <si>
    <t xml:space="preserve">GREATER NEW BEDFORD          </t>
  </si>
  <si>
    <t xml:space="preserve">DEDHAM                       </t>
  </si>
  <si>
    <t>pymincont pivoted dec 21, reflects raynham waiver and reallocated contributions for a/s, s/b oakhamfor comparison purposes</t>
  </si>
  <si>
    <t>ayer, shirley, berkley, somerset, freetown, lakeville, ayer/shirley,  berk/som, f/l  adjusted based upon disaagregation file; oakham aid assigned to pathfindeer</t>
  </si>
  <si>
    <t>ayer, shirley, berkley, somerset,freetown, lakeville,  ayer/shirley, berk/som, freetown/lakevilleadjusted based upon disaagregation file</t>
  </si>
  <si>
    <t>ayer, shirley, berkley, somerset, freetown, lakeville, ayer/shirley, berk/som, freetown/lakeville  adjusted based upon disaagregation file</t>
  </si>
  <si>
    <t xml:space="preserve">DEERFIELD                    </t>
  </si>
  <si>
    <t xml:space="preserve">DENNIS                       </t>
  </si>
  <si>
    <t xml:space="preserve">DENNIS YARMOUTH              </t>
  </si>
  <si>
    <t xml:space="preserve">DIGHTON                      </t>
  </si>
  <si>
    <t xml:space="preserve">DIGHTON REHOBOTH             </t>
  </si>
  <si>
    <t xml:space="preserve">DOUGLAS                      </t>
  </si>
  <si>
    <t xml:space="preserve">DOVER                        </t>
  </si>
  <si>
    <t xml:space="preserve">DOVER SHERBORN               </t>
  </si>
  <si>
    <t xml:space="preserve">DRACUT                       </t>
  </si>
  <si>
    <t>effort reduction</t>
  </si>
  <si>
    <t>pct chg</t>
  </si>
  <si>
    <t xml:space="preserve">GREATER LOWELL               </t>
  </si>
  <si>
    <t xml:space="preserve">DUDLEY                       </t>
  </si>
  <si>
    <t xml:space="preserve">DUNSTABLE                    </t>
  </si>
  <si>
    <t xml:space="preserve">GROTON DUNSTABLE             </t>
  </si>
  <si>
    <t xml:space="preserve">DUXBURY                      </t>
  </si>
  <si>
    <t xml:space="preserve">EAST BRIDGEWATER             </t>
  </si>
  <si>
    <t xml:space="preserve">EAST BROOKFIELD              </t>
  </si>
  <si>
    <t xml:space="preserve">SPENCER EAST BROOKFIELD      </t>
  </si>
  <si>
    <t xml:space="preserve">EASTHAM                      </t>
  </si>
  <si>
    <t xml:space="preserve">EASTHAMPTON                  </t>
  </si>
  <si>
    <t xml:space="preserve">EAST LONGMEADOW              </t>
  </si>
  <si>
    <t xml:space="preserve">EASTON                       </t>
  </si>
  <si>
    <t xml:space="preserve">EDGARTOWN                    </t>
  </si>
  <si>
    <t>c70fy10finalmay, reflecting weymouth and chelsea waiver, june 29, 2010</t>
  </si>
  <si>
    <t xml:space="preserve">EGREMONT                     </t>
  </si>
  <si>
    <t xml:space="preserve">ERVING                       </t>
  </si>
  <si>
    <t xml:space="preserve">ESSEX                        </t>
  </si>
  <si>
    <t xml:space="preserve">EVERETT                      </t>
  </si>
  <si>
    <t xml:space="preserve">FAIRHAVEN                    </t>
  </si>
  <si>
    <t xml:space="preserve">FALL RIVER                   </t>
  </si>
  <si>
    <t xml:space="preserve">GREATER FALL RIVER           </t>
  </si>
  <si>
    <t xml:space="preserve">FALMOUTH                     </t>
  </si>
  <si>
    <t xml:space="preserve">FITCHBURG                    </t>
  </si>
  <si>
    <t xml:space="preserve">FLORIDA                      </t>
  </si>
  <si>
    <t xml:space="preserve">FOXBOROUGH                   </t>
  </si>
  <si>
    <t xml:space="preserve">FRAMINGHAM                   </t>
  </si>
  <si>
    <t xml:space="preserve">FRANKLIN                     </t>
  </si>
  <si>
    <t xml:space="preserve">TRI COUNTY                   </t>
  </si>
  <si>
    <t xml:space="preserve">FREETOWN                     </t>
  </si>
  <si>
    <t xml:space="preserve">FREETOWN LAKEVILLE           </t>
  </si>
  <si>
    <t xml:space="preserve">GARDNER                      </t>
  </si>
  <si>
    <t xml:space="preserve">GAY HEAD                     </t>
  </si>
  <si>
    <t xml:space="preserve">GEORGETOWN                   </t>
  </si>
  <si>
    <t xml:space="preserve">GILL                         </t>
  </si>
  <si>
    <t xml:space="preserve">GILL MONTAGUE                </t>
  </si>
  <si>
    <t xml:space="preserve">GLOUCESTER                   </t>
  </si>
  <si>
    <t xml:space="preserve">GOSHEN                       </t>
  </si>
  <si>
    <t xml:space="preserve">GOSNOLD                      </t>
  </si>
  <si>
    <t xml:space="preserve">GRAFTON                      </t>
  </si>
  <si>
    <t xml:space="preserve">GRANBY                       </t>
  </si>
  <si>
    <t xml:space="preserve">GRANVILLE                    </t>
  </si>
  <si>
    <t xml:space="preserve">GREAT BARRINGTON             </t>
  </si>
  <si>
    <t xml:space="preserve">BERKSHIRE HILLS              </t>
  </si>
  <si>
    <t xml:space="preserve">GREENFIELD                   </t>
  </si>
  <si>
    <t xml:space="preserve">GROTON                       </t>
  </si>
  <si>
    <t xml:space="preserve">GROVELAND                    </t>
  </si>
  <si>
    <t xml:space="preserve">PENTUCKET                    </t>
  </si>
  <si>
    <t xml:space="preserve">HADLEY                       </t>
  </si>
  <si>
    <t xml:space="preserve">HALIFAX                      </t>
  </si>
  <si>
    <t xml:space="preserve">SILVER LAKE                  </t>
  </si>
  <si>
    <t xml:space="preserve">HAMILTON                     </t>
  </si>
  <si>
    <t xml:space="preserve">HAMILTON WENHAM              </t>
  </si>
  <si>
    <t xml:space="preserve">HAMPDEN                      </t>
  </si>
  <si>
    <t xml:space="preserve">HAMPDEN WILBRAHAM            </t>
  </si>
  <si>
    <t xml:space="preserve">HANCOCK                      </t>
  </si>
  <si>
    <t xml:space="preserve">HANOVER                      </t>
  </si>
  <si>
    <t xml:space="preserve">HANSON                       </t>
  </si>
  <si>
    <t xml:space="preserve">WHITMAN HANSON               </t>
  </si>
  <si>
    <t xml:space="preserve">HARDWICK                     </t>
  </si>
  <si>
    <t xml:space="preserve">HARVARD                      </t>
  </si>
  <si>
    <t xml:space="preserve">HARWICH                      </t>
  </si>
  <si>
    <t xml:space="preserve">HATFIELD                     </t>
  </si>
  <si>
    <t xml:space="preserve">HAVERHILL                    </t>
  </si>
  <si>
    <t xml:space="preserve">HAWLEY                       </t>
  </si>
  <si>
    <t xml:space="preserve">HEATH                        </t>
  </si>
  <si>
    <t xml:space="preserve">HINGHAM                      </t>
  </si>
  <si>
    <t xml:space="preserve">HINSDALE                     </t>
  </si>
  <si>
    <t xml:space="preserve">HOLBROOK                     </t>
  </si>
  <si>
    <t xml:space="preserve">HOLDEN                       </t>
  </si>
  <si>
    <t xml:space="preserve">WACHUSETT                    </t>
  </si>
  <si>
    <t xml:space="preserve">HOLLAND                      </t>
  </si>
  <si>
    <t xml:space="preserve">HOLLISTON                    </t>
  </si>
  <si>
    <t xml:space="preserve">HOLYOKE                      </t>
  </si>
  <si>
    <t xml:space="preserve">HOPEDALE                     </t>
  </si>
  <si>
    <t xml:space="preserve">HOPKINTON                    </t>
  </si>
  <si>
    <t xml:space="preserve">HUBBARDSTON                  </t>
  </si>
  <si>
    <t xml:space="preserve">HUDSON                       </t>
  </si>
  <si>
    <t xml:space="preserve">HULL                         </t>
  </si>
  <si>
    <t xml:space="preserve">HUNTINGTON                   </t>
  </si>
  <si>
    <t xml:space="preserve">IPSWICH                      </t>
  </si>
  <si>
    <t xml:space="preserve">KINGSTON                     </t>
  </si>
  <si>
    <t xml:space="preserve">LAKEVILLE                    </t>
  </si>
  <si>
    <t xml:space="preserve">LANCASTER                    </t>
  </si>
  <si>
    <t xml:space="preserve">LANESBOROUGH                 </t>
  </si>
  <si>
    <t xml:space="preserve">MOUNT GREYLOCK               </t>
  </si>
  <si>
    <t xml:space="preserve">LAWRENCE                     </t>
  </si>
  <si>
    <t xml:space="preserve">LEE                          </t>
  </si>
  <si>
    <t xml:space="preserve">LEICESTER                    </t>
  </si>
  <si>
    <t xml:space="preserve">LENOX                        </t>
  </si>
  <si>
    <t xml:space="preserve">LEOMINSTER                   </t>
  </si>
  <si>
    <t xml:space="preserve">LEVERETT                     </t>
  </si>
  <si>
    <t xml:space="preserve">LEXINGTON                    </t>
  </si>
  <si>
    <t xml:space="preserve">LEYDEN                       </t>
  </si>
  <si>
    <t xml:space="preserve">LINCOLN                      </t>
  </si>
  <si>
    <t xml:space="preserve">LINCOLN SUDBURY              </t>
  </si>
  <si>
    <t xml:space="preserve">LITTLETON                    </t>
  </si>
  <si>
    <t xml:space="preserve">LONGMEADOW                   </t>
  </si>
  <si>
    <t xml:space="preserve">LOWELL                       </t>
  </si>
  <si>
    <t>Preliminary contribution pct of foundation (15/8)</t>
  </si>
  <si>
    <t>If preliminary contribution is below the target share:</t>
  </si>
  <si>
    <t>Shortfall from target local share (11 - 16)</t>
  </si>
  <si>
    <t>FY06</t>
  </si>
  <si>
    <t>FY07</t>
  </si>
  <si>
    <t>c70fy07</t>
  </si>
  <si>
    <t>c70fy06</t>
  </si>
  <si>
    <t>FY12</t>
  </si>
  <si>
    <t>State Total</t>
  </si>
  <si>
    <t>net of $412m cut</t>
  </si>
  <si>
    <t xml:space="preserve">chapter 70 </t>
  </si>
  <si>
    <t>aid increase</t>
  </si>
  <si>
    <t>Foundation aid (2 -3)</t>
  </si>
  <si>
    <t>20)</t>
  </si>
  <si>
    <t>Contribution as percentage of foundation (19 / 8)</t>
  </si>
  <si>
    <t>If preliminary contribution is above the target share:</t>
  </si>
  <si>
    <t>Excess local effort (15 - 10)</t>
  </si>
  <si>
    <t>21)</t>
  </si>
  <si>
    <t>22)</t>
  </si>
  <si>
    <t>Guidance and Psychological</t>
  </si>
  <si>
    <t>c70</t>
  </si>
  <si>
    <t>percent of</t>
  </si>
  <si>
    <t>any of the first four links below.  Only municipal LEA codes will activate the Municipal Contribution Requirement and Regional Allocation tables.</t>
  </si>
  <si>
    <t>There are also a number of "hidden" sheets which contain the underlying spreadsheet calculations.</t>
  </si>
  <si>
    <t>percentage of</t>
  </si>
  <si>
    <t>shortfall</t>
  </si>
  <si>
    <t>from target</t>
  </si>
  <si>
    <t>local share</t>
  </si>
  <si>
    <t>toward</t>
  </si>
  <si>
    <t>dollar</t>
  </si>
  <si>
    <t>excess</t>
  </si>
  <si>
    <t>effort</t>
  </si>
  <si>
    <t xml:space="preserve">percentage </t>
  </si>
  <si>
    <t>of foundation</t>
  </si>
  <si>
    <t>24)</t>
  </si>
  <si>
    <t>Municipal revenue growth factor (DOR)</t>
  </si>
  <si>
    <t xml:space="preserve">LUDLOW                       </t>
  </si>
  <si>
    <t xml:space="preserve">LUNENBURG                    </t>
  </si>
  <si>
    <t xml:space="preserve">LYNN                         </t>
  </si>
  <si>
    <t xml:space="preserve">LYNNFIELD                    </t>
  </si>
  <si>
    <t xml:space="preserve">MALDEN                       </t>
  </si>
  <si>
    <t xml:space="preserve">MANCHESTER                   </t>
  </si>
  <si>
    <t xml:space="preserve">MANSFIELD                    </t>
  </si>
  <si>
    <t xml:space="preserve">MARBLEHEAD                   </t>
  </si>
  <si>
    <t xml:space="preserve">MARION                       </t>
  </si>
  <si>
    <t xml:space="preserve">OLD ROCHESTER                </t>
  </si>
  <si>
    <t xml:space="preserve">MARLBOROUGH                  </t>
  </si>
  <si>
    <t xml:space="preserve">MARSHFIELD                   </t>
  </si>
  <si>
    <t xml:space="preserve">MASHPEE                      </t>
  </si>
  <si>
    <t xml:space="preserve">MATTAPOISETT                 </t>
  </si>
  <si>
    <t xml:space="preserve">MAYNARD                      </t>
  </si>
  <si>
    <t xml:space="preserve">MEDFIELD                     </t>
  </si>
  <si>
    <t>pyenro</t>
  </si>
  <si>
    <t>pynetmin</t>
  </si>
  <si>
    <t xml:space="preserve">MEDFORD                      </t>
  </si>
  <si>
    <t xml:space="preserve">MEDWAY                       </t>
  </si>
  <si>
    <t xml:space="preserve">MELROSE                      </t>
  </si>
  <si>
    <t xml:space="preserve">MENDON                       </t>
  </si>
  <si>
    <t xml:space="preserve">MENDON UPTON                 </t>
  </si>
  <si>
    <t xml:space="preserve">MERRIMAC                     </t>
  </si>
  <si>
    <t xml:space="preserve">METHUEN                      </t>
  </si>
  <si>
    <t xml:space="preserve">MIDDLEBOROUGH                </t>
  </si>
  <si>
    <t xml:space="preserve">MIDDLEFIELD                  </t>
  </si>
  <si>
    <t xml:space="preserve">MIDDLETON                    </t>
  </si>
  <si>
    <t xml:space="preserve">MILFORD                      </t>
  </si>
  <si>
    <t xml:space="preserve">MILLBURY                     </t>
  </si>
  <si>
    <t xml:space="preserve">MILLIS                       </t>
  </si>
  <si>
    <t xml:space="preserve">MILLVILLE                    </t>
  </si>
  <si>
    <t xml:space="preserve">MILTON                       </t>
  </si>
  <si>
    <t xml:space="preserve">MONROE                       </t>
  </si>
  <si>
    <t xml:space="preserve">MONSON                       </t>
  </si>
  <si>
    <t xml:space="preserve">MONTAGUE                     </t>
  </si>
  <si>
    <t xml:space="preserve">MONTEREY                     </t>
  </si>
  <si>
    <t xml:space="preserve">MONTGOMERY                   </t>
  </si>
  <si>
    <t xml:space="preserve">MOUNT WASHINGTON             </t>
  </si>
  <si>
    <t xml:space="preserve">NAHANT                       </t>
  </si>
  <si>
    <t xml:space="preserve">NANTUCKET                    </t>
  </si>
  <si>
    <t xml:space="preserve">NATICK                       </t>
  </si>
  <si>
    <t>Required net school spending (NSS)</t>
  </si>
  <si>
    <t xml:space="preserve">NEEDHAM                      </t>
  </si>
  <si>
    <t xml:space="preserve">NEW ASHFORD                  </t>
  </si>
  <si>
    <t xml:space="preserve">NEW BEDFORD                  </t>
  </si>
  <si>
    <t xml:space="preserve">NEW BRAINTREE                </t>
  </si>
  <si>
    <t xml:space="preserve">NEWBURY                      </t>
  </si>
  <si>
    <t xml:space="preserve">TRITON                       </t>
  </si>
  <si>
    <t xml:space="preserve">NEWBURYPORT                  </t>
  </si>
  <si>
    <t xml:space="preserve">NEW MARLBOROUGH              </t>
  </si>
  <si>
    <t xml:space="preserve">NEW SALEM                    </t>
  </si>
  <si>
    <t xml:space="preserve">NEW SALEM WENDELL            </t>
  </si>
  <si>
    <t xml:space="preserve">RALPH C MAHAR                </t>
  </si>
  <si>
    <t xml:space="preserve">NEWTON                       </t>
  </si>
  <si>
    <t xml:space="preserve">NORFOLK                      </t>
  </si>
  <si>
    <t xml:space="preserve">KING PHILIP                  </t>
  </si>
  <si>
    <t xml:space="preserve">NORTH ADAMS                  </t>
  </si>
  <si>
    <t xml:space="preserve">NORTHAMPTON                  </t>
  </si>
  <si>
    <t xml:space="preserve">NORTHAMPTON SMITH            </t>
  </si>
  <si>
    <t>nonop</t>
  </si>
  <si>
    <t xml:space="preserve">NORTH ANDOVER                </t>
  </si>
  <si>
    <t xml:space="preserve">NORTH ATTLEBOROUGH           </t>
  </si>
  <si>
    <t xml:space="preserve">NORTHBOROUGH                 </t>
  </si>
  <si>
    <t xml:space="preserve">NORTHBORO SOUTHBORO          </t>
  </si>
  <si>
    <t xml:space="preserve">NORTHBRIDGE                  </t>
  </si>
  <si>
    <t xml:space="preserve">NORTH BROOKFIELD             </t>
  </si>
  <si>
    <t xml:space="preserve">NORTHFIELD                   </t>
  </si>
  <si>
    <t xml:space="preserve">NORTH READING                </t>
  </si>
  <si>
    <t xml:space="preserve">NORTON                       </t>
  </si>
  <si>
    <t>FY10</t>
  </si>
  <si>
    <t xml:space="preserve">NORWELL                      </t>
  </si>
  <si>
    <t xml:space="preserve">NORWOOD                      </t>
  </si>
  <si>
    <t xml:space="preserve">OAK BLUFFS                   </t>
  </si>
  <si>
    <t>FY09</t>
  </si>
  <si>
    <t xml:space="preserve">OAKHAM                       </t>
  </si>
  <si>
    <t xml:space="preserve">ORANGE                       </t>
  </si>
  <si>
    <t xml:space="preserve">ORLEANS                      </t>
  </si>
  <si>
    <t>to reach</t>
  </si>
  <si>
    <t>full phase-in</t>
  </si>
  <si>
    <t>down-payment</t>
  </si>
  <si>
    <t>of foundation aid</t>
  </si>
  <si>
    <t>foundinc</t>
  </si>
  <si>
    <t xml:space="preserve">on full phase-in </t>
  </si>
  <si>
    <t xml:space="preserve">c70 prior </t>
  </si>
  <si>
    <t>to non-op</t>
  </si>
  <si>
    <t>reduction</t>
  </si>
  <si>
    <t xml:space="preserve">OTIS                         </t>
  </si>
  <si>
    <t>FARMINGTON RIVER</t>
  </si>
  <si>
    <t xml:space="preserve">OXFORD                       </t>
  </si>
  <si>
    <t xml:space="preserve">PALMER                       </t>
  </si>
  <si>
    <t xml:space="preserve">PAXTON                       </t>
  </si>
  <si>
    <t>edujobs</t>
  </si>
  <si>
    <t>c70fy10final, june30, 2010; reflects what weymouth chelsea and associated districts were ELIGIBLE for after June 30 waivers</t>
  </si>
  <si>
    <t xml:space="preserve">PEABODY                      </t>
  </si>
  <si>
    <t xml:space="preserve">PELHAM                       </t>
  </si>
  <si>
    <t>district</t>
  </si>
  <si>
    <t>foundation aid</t>
  </si>
  <si>
    <t>target aid</t>
  </si>
  <si>
    <t>with effort</t>
  </si>
  <si>
    <t>fully reduced</t>
  </si>
  <si>
    <t>enro</t>
  </si>
  <si>
    <t>downaid</t>
  </si>
  <si>
    <t>minaid</t>
  </si>
  <si>
    <t xml:space="preserve">PEMBROKE                     </t>
  </si>
  <si>
    <t xml:space="preserve">PEPPERELL                    </t>
  </si>
  <si>
    <t xml:space="preserve">PERU                         </t>
  </si>
  <si>
    <t xml:space="preserve">PETERSHAM                    </t>
  </si>
  <si>
    <t xml:space="preserve">PHILLIPSTON                  </t>
  </si>
  <si>
    <t xml:space="preserve">NARRAGANSETT                 </t>
  </si>
  <si>
    <t xml:space="preserve">PITTSFIELD                   </t>
  </si>
  <si>
    <t xml:space="preserve">PLAINFIELD                   </t>
  </si>
  <si>
    <t xml:space="preserve">PLAINVILLE                   </t>
  </si>
  <si>
    <t xml:space="preserve">PLYMOUTH                     </t>
  </si>
  <si>
    <t xml:space="preserve">PLYMPTON                     </t>
  </si>
  <si>
    <t xml:space="preserve">PRINCETON                    </t>
  </si>
  <si>
    <t xml:space="preserve">PROVINCETOWN                 </t>
  </si>
  <si>
    <t xml:space="preserve">QUINCY                       </t>
  </si>
  <si>
    <t xml:space="preserve">RANDOLPH                     </t>
  </si>
  <si>
    <t xml:space="preserve">RAYNHAM                      </t>
  </si>
  <si>
    <t xml:space="preserve">READING                      </t>
  </si>
  <si>
    <t xml:space="preserve">REHOBOTH                     </t>
  </si>
  <si>
    <t xml:space="preserve">REVERE                       </t>
  </si>
  <si>
    <t xml:space="preserve">RICHMOND                     </t>
  </si>
  <si>
    <t xml:space="preserve">ROCHESTER                    </t>
  </si>
  <si>
    <t xml:space="preserve">ROCKLAND                     </t>
  </si>
  <si>
    <t xml:space="preserve">ROCKPORT                     </t>
  </si>
  <si>
    <t xml:space="preserve">ROWE                         </t>
  </si>
  <si>
    <t xml:space="preserve">ROWLEY                       </t>
  </si>
  <si>
    <t xml:space="preserve">ROYALSTON                    </t>
  </si>
  <si>
    <t xml:space="preserve">RUSSELL                      </t>
  </si>
  <si>
    <t xml:space="preserve">RUTLAND                      </t>
  </si>
  <si>
    <t xml:space="preserve">SALEM                        </t>
  </si>
  <si>
    <t xml:space="preserve">SALISBURY                    </t>
  </si>
  <si>
    <t xml:space="preserve">SANDISFIELD                  </t>
  </si>
  <si>
    <t xml:space="preserve">SANDWICH                     </t>
  </si>
  <si>
    <t xml:space="preserve">SAUGUS                       </t>
  </si>
  <si>
    <t xml:space="preserve">SAVOY                        </t>
  </si>
  <si>
    <t xml:space="preserve">SCITUATE                     </t>
  </si>
  <si>
    <t xml:space="preserve">SEEKONK                      </t>
  </si>
  <si>
    <t xml:space="preserve">SHARON                       </t>
  </si>
  <si>
    <t xml:space="preserve">SHEFFIELD                    </t>
  </si>
  <si>
    <t xml:space="preserve">SHELBURNE                    </t>
  </si>
  <si>
    <t xml:space="preserve">SHERBORN                     </t>
  </si>
  <si>
    <t xml:space="preserve">SHIRLEY                      </t>
  </si>
  <si>
    <t xml:space="preserve">SHREWSBURY                   </t>
  </si>
  <si>
    <t xml:space="preserve">SHUTESBURY                   </t>
  </si>
  <si>
    <t xml:space="preserve">SOMERSET                     </t>
  </si>
  <si>
    <t xml:space="preserve">SOMERVILLE                   </t>
  </si>
  <si>
    <t xml:space="preserve">SOUTHAMPTON                  </t>
  </si>
  <si>
    <t xml:space="preserve">SOUTHBOROUGH                 </t>
  </si>
  <si>
    <t>chg pp</t>
  </si>
  <si>
    <t>increasing</t>
  </si>
  <si>
    <t>Massachusetts Department of Elementary and Secondary Education</t>
  </si>
  <si>
    <t>Foundation Categories</t>
  </si>
  <si>
    <t>decreasing</t>
  </si>
  <si>
    <t>same</t>
  </si>
  <si>
    <t xml:space="preserve">SOUTHBRIDGE                  </t>
  </si>
  <si>
    <t xml:space="preserve">SOUTH HADLEY                 </t>
  </si>
  <si>
    <t xml:space="preserve">SOUTHWICK                    </t>
  </si>
  <si>
    <t>SOUTHWICK TOLLAND</t>
  </si>
  <si>
    <t xml:space="preserve">SPENCER                      </t>
  </si>
  <si>
    <t xml:space="preserve">SPRINGFIELD                  </t>
  </si>
  <si>
    <t xml:space="preserve">STERLING                     </t>
  </si>
  <si>
    <t xml:space="preserve">STOCKBRIDGE                  </t>
  </si>
  <si>
    <t xml:space="preserve">STONEHAM                     </t>
  </si>
  <si>
    <t xml:space="preserve">STOUGHTON                    </t>
  </si>
  <si>
    <t xml:space="preserve">STOW                         </t>
  </si>
  <si>
    <t xml:space="preserve">STURBRIDGE                   </t>
  </si>
  <si>
    <t xml:space="preserve">SUDBURY                      </t>
  </si>
  <si>
    <t xml:space="preserve">SUNDERLAND                   </t>
  </si>
  <si>
    <t xml:space="preserve">SUTTON                       </t>
  </si>
  <si>
    <t xml:space="preserve">SWAMPSCOTT                   </t>
  </si>
  <si>
    <t xml:space="preserve">SWANSEA                      </t>
  </si>
  <si>
    <t xml:space="preserve">TAUNTON                      </t>
  </si>
  <si>
    <t xml:space="preserve">TEMPLETON                    </t>
  </si>
  <si>
    <t xml:space="preserve">TEWKSBURY                    </t>
  </si>
  <si>
    <t xml:space="preserve">TISBURY                      </t>
  </si>
  <si>
    <t xml:space="preserve">TOLLAND                      </t>
  </si>
  <si>
    <t xml:space="preserve">TOPSFIELD                    </t>
  </si>
  <si>
    <t xml:space="preserve">TOWNSEND                     </t>
  </si>
  <si>
    <t xml:space="preserve">TRURO                        </t>
  </si>
  <si>
    <t xml:space="preserve">TYNGSBOROUGH                 </t>
  </si>
  <si>
    <t xml:space="preserve">TYRINGHAM                    </t>
  </si>
  <si>
    <t xml:space="preserve">UPTON                        </t>
  </si>
  <si>
    <t xml:space="preserve">UXBRIDGE                     </t>
  </si>
  <si>
    <t xml:space="preserve">WAKEFIELD                    </t>
  </si>
  <si>
    <t xml:space="preserve">WALES                        </t>
  </si>
  <si>
    <t xml:space="preserve">WALPOLE                      </t>
  </si>
  <si>
    <t xml:space="preserve">WALTHAM                      </t>
  </si>
  <si>
    <t xml:space="preserve">WARE                         </t>
  </si>
  <si>
    <t xml:space="preserve">WAREHAM                      </t>
  </si>
  <si>
    <t xml:space="preserve">WARREN                       </t>
  </si>
  <si>
    <t>QUABOAG</t>
  </si>
  <si>
    <t xml:space="preserve">WARWICK                      </t>
  </si>
  <si>
    <t xml:space="preserve">WASHINGTON                   </t>
  </si>
  <si>
    <t xml:space="preserve">WATERTOWN                    </t>
  </si>
  <si>
    <t xml:space="preserve">WAYLAND                      </t>
  </si>
  <si>
    <t xml:space="preserve">WEBSTER                      </t>
  </si>
  <si>
    <t xml:space="preserve">WELLESLEY                    </t>
  </si>
  <si>
    <t xml:space="preserve">WELLFLEET                    </t>
  </si>
  <si>
    <t xml:space="preserve">WENDELL                      </t>
  </si>
  <si>
    <t xml:space="preserve">WENHAM                       </t>
  </si>
  <si>
    <t xml:space="preserve">WESTBOROUGH                  </t>
  </si>
  <si>
    <t xml:space="preserve">WEST BOYLSTON                </t>
  </si>
  <si>
    <t xml:space="preserve">WEST BRIDGEWATER             </t>
  </si>
  <si>
    <t xml:space="preserve">WEST BROOKFIELD              </t>
  </si>
  <si>
    <t xml:space="preserve">WESTFIELD                    </t>
  </si>
  <si>
    <t xml:space="preserve">WESTFORD                     </t>
  </si>
  <si>
    <t xml:space="preserve">WESTHAMPTON                  </t>
  </si>
  <si>
    <t xml:space="preserve">WESTMINSTER                  </t>
  </si>
  <si>
    <t xml:space="preserve">WEST NEWBURY                 </t>
  </si>
  <si>
    <t xml:space="preserve">WESTON                       </t>
  </si>
  <si>
    <t xml:space="preserve">WESTPORT                     </t>
  </si>
  <si>
    <t xml:space="preserve">WEST SPRINGFIELD             </t>
  </si>
  <si>
    <t xml:space="preserve">WEST STOCKBRIDGE             </t>
  </si>
  <si>
    <t xml:space="preserve">WEST TISBURY                 </t>
  </si>
  <si>
    <t xml:space="preserve">WESTWOOD                     </t>
  </si>
  <si>
    <t xml:space="preserve">WEYMOUTH                     </t>
  </si>
  <si>
    <t xml:space="preserve">WHATELY                      </t>
  </si>
  <si>
    <t xml:space="preserve">WHITMAN                      </t>
  </si>
  <si>
    <t xml:space="preserve">WILBRAHAM                    </t>
  </si>
  <si>
    <t xml:space="preserve">WILLIAMSBURG                 </t>
  </si>
  <si>
    <t xml:space="preserve">WILLIAMSTOWN                 </t>
  </si>
  <si>
    <t xml:space="preserve">WILMINGTON                   </t>
  </si>
  <si>
    <t xml:space="preserve">WINCHENDON                   </t>
  </si>
  <si>
    <t xml:space="preserve">WINCHESTER                   </t>
  </si>
  <si>
    <t xml:space="preserve">WINDSOR                      </t>
  </si>
  <si>
    <t xml:space="preserve">WINTHROP                     </t>
  </si>
  <si>
    <t>WOBURN</t>
  </si>
  <si>
    <t xml:space="preserve">WORCESTER                    </t>
  </si>
  <si>
    <t xml:space="preserve">WORTHINGTON                  </t>
  </si>
  <si>
    <t xml:space="preserve">WRENTHAM                     </t>
  </si>
  <si>
    <t xml:space="preserve">YARMOUTH                     </t>
  </si>
  <si>
    <t>STATE TOTAL</t>
  </si>
  <si>
    <t>AQUINNAH</t>
  </si>
  <si>
    <t>Total</t>
  </si>
  <si>
    <t>District</t>
  </si>
  <si>
    <t>MANCHESTER ESSEX</t>
  </si>
  <si>
    <t>memlea</t>
  </si>
  <si>
    <t>fraclea</t>
  </si>
  <si>
    <t>found</t>
  </si>
  <si>
    <t>Chapter 70</t>
  </si>
  <si>
    <t>City or Town</t>
  </si>
  <si>
    <t>School District</t>
  </si>
  <si>
    <t>PATHFINDER</t>
  </si>
  <si>
    <t>Townwide</t>
  </si>
  <si>
    <t>Adjustment</t>
  </si>
  <si>
    <t>fraconcat</t>
  </si>
  <si>
    <t>prelcont1755</t>
  </si>
  <si>
    <t>lea1755</t>
  </si>
  <si>
    <t>prelcont436</t>
  </si>
  <si>
    <t>found1755</t>
  </si>
  <si>
    <t>enro1755</t>
  </si>
  <si>
    <t>Net Minimum</t>
  </si>
  <si>
    <t>Percent</t>
  </si>
  <si>
    <t>Change</t>
  </si>
  <si>
    <t>regorder</t>
  </si>
  <si>
    <t>BOXFORD</t>
  </si>
  <si>
    <t>BOXBOROUGH</t>
  </si>
  <si>
    <t>ACTON BOXBOROUGH</t>
  </si>
  <si>
    <t>Foundation</t>
  </si>
  <si>
    <t>Enrollment</t>
  </si>
  <si>
    <t>Budget</t>
  </si>
  <si>
    <t>Contribution</t>
  </si>
  <si>
    <t xml:space="preserve">ABINGTON                     </t>
  </si>
  <si>
    <t xml:space="preserve">SOUTH SHORE                  </t>
  </si>
  <si>
    <t xml:space="preserve">ACTON                        </t>
  </si>
  <si>
    <t xml:space="preserve">ACTON BOXBOROUGH             </t>
  </si>
  <si>
    <t xml:space="preserve">MINUTEMAN                    </t>
  </si>
  <si>
    <t xml:space="preserve">ACUSHNET                     </t>
  </si>
  <si>
    <t xml:space="preserve">OLD COLONY                   </t>
  </si>
  <si>
    <t xml:space="preserve">BRISTOL COUNTY               </t>
  </si>
  <si>
    <t xml:space="preserve">ADAMS                        </t>
  </si>
  <si>
    <t xml:space="preserve">ADAMS CHESHIRE               </t>
  </si>
  <si>
    <t xml:space="preserve">NORTHERN BERKSHIRE           </t>
  </si>
  <si>
    <t xml:space="preserve">AGAWAM                       </t>
  </si>
  <si>
    <t xml:space="preserve">ALFORD                       </t>
  </si>
  <si>
    <t>Version</t>
  </si>
  <si>
    <t>enrollment</t>
  </si>
  <si>
    <t>CEY</t>
  </si>
  <si>
    <t>Members</t>
  </si>
  <si>
    <t>Melissa King</t>
  </si>
  <si>
    <t>mking@doe.mass.edu</t>
  </si>
  <si>
    <t>781-338-6532</t>
  </si>
  <si>
    <t>c70 pct of</t>
  </si>
  <si>
    <t>final</t>
  </si>
  <si>
    <t>FY14</t>
  </si>
  <si>
    <t>disthist</t>
  </si>
  <si>
    <t>leas</t>
  </si>
  <si>
    <t>CHESIRE</t>
  </si>
  <si>
    <t>% distance</t>
  </si>
  <si>
    <t>Points</t>
  </si>
  <si>
    <t>min</t>
  </si>
  <si>
    <t>median</t>
  </si>
  <si>
    <t>max</t>
  </si>
  <si>
    <t>the gap</t>
  </si>
  <si>
    <t>x% of</t>
  </si>
  <si>
    <t>c70fy13; adjusts Lanesborough, Chesire, Berlin, Boylston, Ayer, N Berkshire, Nashoba Valley, Berlin Boylston</t>
  </si>
  <si>
    <t>regcount</t>
  </si>
  <si>
    <t>c70fy13; adjusts Lanesborough, Chesire, Berlin, Boylston, Ayer, N Berkshire, Nashoba Valley, Berlin Boylston; New Bedford</t>
  </si>
  <si>
    <t>Total CEY for town</t>
  </si>
  <si>
    <t>FB for school district/town combo</t>
  </si>
  <si>
    <t>CEY*% of town's fb</t>
  </si>
  <si>
    <t>Calculation of CEY as a % of Foundation</t>
  </si>
  <si>
    <t>mrgf</t>
  </si>
  <si>
    <t>Per Pupil</t>
  </si>
  <si>
    <t>to Reach Min</t>
  </si>
  <si>
    <t>Added increment toward target (13 x 1% or 2%)*</t>
  </si>
  <si>
    <t xml:space="preserve">Addl Aid </t>
  </si>
  <si>
    <t>chapter70</t>
  </si>
  <si>
    <t>A list of codes begins on row 30 of this sheet.</t>
  </si>
  <si>
    <t>Use the drop-down menu to select a municipal district LEA code (1-351) or regional district LEA code (406-915) and then go to</t>
  </si>
  <si>
    <t>lea_order</t>
  </si>
  <si>
    <t>reg_order</t>
  </si>
  <si>
    <t>c70fy15</t>
  </si>
  <si>
    <t>FY15</t>
  </si>
  <si>
    <t xml:space="preserve">Min Aid </t>
  </si>
  <si>
    <t>Minimum Aid Calculation</t>
  </si>
  <si>
    <t>Foundation Aid Calculation</t>
  </si>
  <si>
    <t>Downpayment Aid Calculation</t>
  </si>
  <si>
    <t>c70fy14; adjusts Acton Boxborough; removes Essex</t>
  </si>
  <si>
    <t>priorc70</t>
  </si>
  <si>
    <t>c70fy14; adjusts Acton Boxborough; removes Essex and allocates aid to sending districts</t>
  </si>
  <si>
    <t>Progress Towards Target Local Share</t>
  </si>
  <si>
    <t>excess effort before effort reduction</t>
  </si>
  <si>
    <t>net excess after effort reduction</t>
  </si>
  <si>
    <t>shortfall below target before increment</t>
  </si>
  <si>
    <t>additional increments toward target</t>
  </si>
  <si>
    <t>net shortfall below target after increment</t>
  </si>
  <si>
    <t>n of municipalities with effort too high</t>
  </si>
  <si>
    <t>Progress Towards Target Aid Share</t>
  </si>
  <si>
    <t>aid above target</t>
  </si>
  <si>
    <t>aid below target</t>
  </si>
  <si>
    <t>Before</t>
  </si>
  <si>
    <t>After implementation</t>
  </si>
  <si>
    <t>below effort</t>
  </si>
  <si>
    <t>above effort</t>
  </si>
  <si>
    <t>distance from</t>
  </si>
  <si>
    <t>Aid Comp'd</t>
  </si>
  <si>
    <t>Distance from</t>
  </si>
  <si>
    <t>to Target</t>
  </si>
  <si>
    <t>Aid Target</t>
  </si>
  <si>
    <t>Base</t>
  </si>
  <si>
    <t>*1% if shortfall is between 2.5% and 7.5%; 2% if shortfall &gt; 7.5%</t>
  </si>
  <si>
    <t>See Progress Towards Targets</t>
  </si>
  <si>
    <t>c70fy16</t>
  </si>
  <si>
    <t>FY16</t>
  </si>
  <si>
    <t>FY16 Total</t>
  </si>
  <si>
    <t>FY16 Proportional</t>
  </si>
  <si>
    <t>FY16 Prop</t>
  </si>
  <si>
    <t>ESSEX NORTH SHORE</t>
  </si>
  <si>
    <r>
      <t xml:space="preserve">lea_list </t>
    </r>
    <r>
      <rPr>
        <sz val="10"/>
        <rFont val="Calibri"/>
        <family val="2"/>
        <scheme val="minor"/>
      </rPr>
      <t xml:space="preserve">and </t>
    </r>
    <r>
      <rPr>
        <b/>
        <i/>
        <sz val="10"/>
        <rFont val="Calibri"/>
        <family val="2"/>
        <scheme val="minor"/>
      </rPr>
      <t xml:space="preserve">reg_list </t>
    </r>
  </si>
  <si>
    <t>Required NSS % of foundation</t>
  </si>
  <si>
    <t xml:space="preserve">ESSEX NORTH SHORE                  </t>
  </si>
  <si>
    <t>base</t>
  </si>
  <si>
    <t>Base Aid</t>
  </si>
  <si>
    <t>Reduction</t>
  </si>
  <si>
    <t xml:space="preserve">ELL PK </t>
  </si>
  <si>
    <t>ELL K Half Time</t>
  </si>
  <si>
    <t>ELL Full Time</t>
  </si>
  <si>
    <t>c70fy15; adjusts Gateway and Worthington; Peabody and ENS</t>
  </si>
  <si>
    <t>FY17</t>
  </si>
  <si>
    <t>Pyr</t>
  </si>
  <si>
    <t>Cyr</t>
  </si>
  <si>
    <t>disthist cell references</t>
  </si>
  <si>
    <t>Required NSS</t>
  </si>
  <si>
    <t>We recommend that you save this workbook to your computer before proceeding, then leave this browser, and open the workbook using Excel or My Computer.</t>
  </si>
  <si>
    <t>Parameters</t>
  </si>
  <si>
    <t>∆ in Foundation Budget</t>
  </si>
  <si>
    <t>∆ in Aid</t>
  </si>
  <si>
    <t>Abington</t>
  </si>
  <si>
    <t>Acton</t>
  </si>
  <si>
    <t>Acushnet</t>
  </si>
  <si>
    <t>Adams</t>
  </si>
  <si>
    <t>Agawam</t>
  </si>
  <si>
    <t>Alford</t>
  </si>
  <si>
    <t>Amesbury</t>
  </si>
  <si>
    <t>Amherst</t>
  </si>
  <si>
    <t>Andover</t>
  </si>
  <si>
    <t>Arlington</t>
  </si>
  <si>
    <t>Ashburnham</t>
  </si>
  <si>
    <t>Ashby</t>
  </si>
  <si>
    <t>Ashfield</t>
  </si>
  <si>
    <t>Ashland</t>
  </si>
  <si>
    <t>Athol</t>
  </si>
  <si>
    <t>Attleboro</t>
  </si>
  <si>
    <t>Auburn</t>
  </si>
  <si>
    <t>Avon</t>
  </si>
  <si>
    <t>Ayer</t>
  </si>
  <si>
    <t>Barnstable</t>
  </si>
  <si>
    <t>Barre</t>
  </si>
  <si>
    <t>Becket</t>
  </si>
  <si>
    <t>Bedford</t>
  </si>
  <si>
    <t>Belchertown</t>
  </si>
  <si>
    <t>Bellingham</t>
  </si>
  <si>
    <t>Belmont</t>
  </si>
  <si>
    <t>Berkley</t>
  </si>
  <si>
    <t>Berlin</t>
  </si>
  <si>
    <t>Bernardston</t>
  </si>
  <si>
    <t>Beverly</t>
  </si>
  <si>
    <t>Billerica</t>
  </si>
  <si>
    <t>Blackstone</t>
  </si>
  <si>
    <t>Blandford</t>
  </si>
  <si>
    <t>Bolton</t>
  </si>
  <si>
    <t>Boston</t>
  </si>
  <si>
    <t>Bourne</t>
  </si>
  <si>
    <t>Boxborough</t>
  </si>
  <si>
    <t>Boxford</t>
  </si>
  <si>
    <t>Boylston</t>
  </si>
  <si>
    <t>Braintree</t>
  </si>
  <si>
    <t>Brewster</t>
  </si>
  <si>
    <t>Bridgewater</t>
  </si>
  <si>
    <t>Brimfield</t>
  </si>
  <si>
    <t>Brockton</t>
  </si>
  <si>
    <t>Brookfield</t>
  </si>
  <si>
    <t>Brookline</t>
  </si>
  <si>
    <t>Buckland</t>
  </si>
  <si>
    <t>Burlington</t>
  </si>
  <si>
    <t>Cambridge</t>
  </si>
  <si>
    <t>Canton</t>
  </si>
  <si>
    <t>Carlisle</t>
  </si>
  <si>
    <t>Carver</t>
  </si>
  <si>
    <t>Charlemont</t>
  </si>
  <si>
    <t>Charlton</t>
  </si>
  <si>
    <t>Chatham</t>
  </si>
  <si>
    <t>Chelmsford</t>
  </si>
  <si>
    <t>Chelsea</t>
  </si>
  <si>
    <t>Cheshire</t>
  </si>
  <si>
    <t>Chester</t>
  </si>
  <si>
    <t>Chesterfield</t>
  </si>
  <si>
    <t>Chicopee</t>
  </si>
  <si>
    <t>Chilmark</t>
  </si>
  <si>
    <t>Clarksburg</t>
  </si>
  <si>
    <t>Clinton</t>
  </si>
  <si>
    <t>Cohasset</t>
  </si>
  <si>
    <t>Colrain</t>
  </si>
  <si>
    <t>Concord</t>
  </si>
  <si>
    <t>Conway</t>
  </si>
  <si>
    <t>Cummington</t>
  </si>
  <si>
    <t>Dalton</t>
  </si>
  <si>
    <t>Danvers</t>
  </si>
  <si>
    <t>Dartmouth</t>
  </si>
  <si>
    <t>Dedham</t>
  </si>
  <si>
    <t>Deerfield</t>
  </si>
  <si>
    <t>Dennis</t>
  </si>
  <si>
    <t>Dighton</t>
  </si>
  <si>
    <t>Douglas</t>
  </si>
  <si>
    <t>Dover</t>
  </si>
  <si>
    <t>Dracut</t>
  </si>
  <si>
    <t>Dudley</t>
  </si>
  <si>
    <t>Dunstable</t>
  </si>
  <si>
    <t>Duxbury</t>
  </si>
  <si>
    <t>East Bridgewater</t>
  </si>
  <si>
    <t>East Brookfield</t>
  </si>
  <si>
    <t>Eastham</t>
  </si>
  <si>
    <t>Easthampton</t>
  </si>
  <si>
    <t>East Longmeadow</t>
  </si>
  <si>
    <t>Easton</t>
  </si>
  <si>
    <t>Edgartown</t>
  </si>
  <si>
    <t>Egremont</t>
  </si>
  <si>
    <t>Erving</t>
  </si>
  <si>
    <t>Essex</t>
  </si>
  <si>
    <t>Everett</t>
  </si>
  <si>
    <t>Fairhaven</t>
  </si>
  <si>
    <t>Fall River</t>
  </si>
  <si>
    <t>Falmouth</t>
  </si>
  <si>
    <t>Fitchburg</t>
  </si>
  <si>
    <t>Florida</t>
  </si>
  <si>
    <t>Foxborough</t>
  </si>
  <si>
    <t>Framingham</t>
  </si>
  <si>
    <t>Franklin</t>
  </si>
  <si>
    <t>Freetown</t>
  </si>
  <si>
    <t>Gardner</t>
  </si>
  <si>
    <t>Aquinnah</t>
  </si>
  <si>
    <t>Georgetown</t>
  </si>
  <si>
    <t>Gill</t>
  </si>
  <si>
    <t>Gloucester</t>
  </si>
  <si>
    <t>Goshen</t>
  </si>
  <si>
    <t>Gosnold</t>
  </si>
  <si>
    <t>Grafton</t>
  </si>
  <si>
    <t>Granby</t>
  </si>
  <si>
    <t>Granville</t>
  </si>
  <si>
    <t>Great Barrington</t>
  </si>
  <si>
    <t>Greenfield</t>
  </si>
  <si>
    <t>Groton</t>
  </si>
  <si>
    <t>Groveland</t>
  </si>
  <si>
    <t>Hadley</t>
  </si>
  <si>
    <t>Halifax</t>
  </si>
  <si>
    <t>Hamilton</t>
  </si>
  <si>
    <t>Hampden</t>
  </si>
  <si>
    <t>Hancock</t>
  </si>
  <si>
    <t>Hanover</t>
  </si>
  <si>
    <t>Hanson</t>
  </si>
  <si>
    <t>Hardwick</t>
  </si>
  <si>
    <t>Harvard</t>
  </si>
  <si>
    <t>Harwich</t>
  </si>
  <si>
    <t>Hatfield</t>
  </si>
  <si>
    <t>Haverhill</t>
  </si>
  <si>
    <t>Hawley</t>
  </si>
  <si>
    <t>Heath</t>
  </si>
  <si>
    <t>Hingham</t>
  </si>
  <si>
    <t>Hinsdale</t>
  </si>
  <si>
    <t>Holbrook</t>
  </si>
  <si>
    <t>Holden</t>
  </si>
  <si>
    <t>Holland</t>
  </si>
  <si>
    <t>Holliston</t>
  </si>
  <si>
    <t>Holyoke</t>
  </si>
  <si>
    <t>Hopedale</t>
  </si>
  <si>
    <t>Hopkinton</t>
  </si>
  <si>
    <t>Hubbardston</t>
  </si>
  <si>
    <t>Hudson</t>
  </si>
  <si>
    <t>Hull</t>
  </si>
  <si>
    <t>Huntington</t>
  </si>
  <si>
    <t>Ipswich</t>
  </si>
  <si>
    <t>Kingston</t>
  </si>
  <si>
    <t>Lakeville</t>
  </si>
  <si>
    <t>Lancaster</t>
  </si>
  <si>
    <t>Lanesborough</t>
  </si>
  <si>
    <t>Lawrence</t>
  </si>
  <si>
    <t>Lee</t>
  </si>
  <si>
    <t>Leicester</t>
  </si>
  <si>
    <t>Lenox</t>
  </si>
  <si>
    <t>Leominster</t>
  </si>
  <si>
    <t>Leverett</t>
  </si>
  <si>
    <t>Lexington</t>
  </si>
  <si>
    <t>Leyden</t>
  </si>
  <si>
    <t>Lincoln</t>
  </si>
  <si>
    <t>Littleton</t>
  </si>
  <si>
    <t>Longmeadow</t>
  </si>
  <si>
    <t>Lowell</t>
  </si>
  <si>
    <t>Ludlow</t>
  </si>
  <si>
    <t>Lunenburg</t>
  </si>
  <si>
    <t>Lynn</t>
  </si>
  <si>
    <t>Lynnfield</t>
  </si>
  <si>
    <t>Malden</t>
  </si>
  <si>
    <t>Manchester</t>
  </si>
  <si>
    <t>Mansfield</t>
  </si>
  <si>
    <t>Marblehead</t>
  </si>
  <si>
    <t>Marion</t>
  </si>
  <si>
    <t>Marlborough</t>
  </si>
  <si>
    <t>Marshfield</t>
  </si>
  <si>
    <t>Mashpee</t>
  </si>
  <si>
    <t>Mattapoisett</t>
  </si>
  <si>
    <t>Maynard</t>
  </si>
  <si>
    <t>Medfield</t>
  </si>
  <si>
    <t>Medford</t>
  </si>
  <si>
    <t>Medway</t>
  </si>
  <si>
    <t>Melrose</t>
  </si>
  <si>
    <t>Mendon</t>
  </si>
  <si>
    <t>Merrimac</t>
  </si>
  <si>
    <t>Methuen</t>
  </si>
  <si>
    <t>Middleborough</t>
  </si>
  <si>
    <t>Middlefield</t>
  </si>
  <si>
    <t>Middleton</t>
  </si>
  <si>
    <t>Milford</t>
  </si>
  <si>
    <t>Millbury</t>
  </si>
  <si>
    <t>Millis</t>
  </si>
  <si>
    <t>Millville</t>
  </si>
  <si>
    <t>Milton</t>
  </si>
  <si>
    <t>Monroe</t>
  </si>
  <si>
    <t>Monson</t>
  </si>
  <si>
    <t>Montague</t>
  </si>
  <si>
    <t>Monterey</t>
  </si>
  <si>
    <t>Montgomery</t>
  </si>
  <si>
    <t>Mount Washington</t>
  </si>
  <si>
    <t>Nahant</t>
  </si>
  <si>
    <t>Nantucket</t>
  </si>
  <si>
    <t>Natick</t>
  </si>
  <si>
    <t>Needham</t>
  </si>
  <si>
    <t>New Ashford</t>
  </si>
  <si>
    <t>New Bedford</t>
  </si>
  <si>
    <t>New Braintree</t>
  </si>
  <si>
    <t>Newbury</t>
  </si>
  <si>
    <t>Newburyport</t>
  </si>
  <si>
    <t>New Marlborough</t>
  </si>
  <si>
    <t>New Salem</t>
  </si>
  <si>
    <t>Newton</t>
  </si>
  <si>
    <t>Norfolk</t>
  </si>
  <si>
    <t>North Adams</t>
  </si>
  <si>
    <t>Northampton</t>
  </si>
  <si>
    <t>North Andover</t>
  </si>
  <si>
    <t>North Attleborough</t>
  </si>
  <si>
    <t>Northborough</t>
  </si>
  <si>
    <t>Northbridge</t>
  </si>
  <si>
    <t>North Brookfield</t>
  </si>
  <si>
    <t>Northfield</t>
  </si>
  <si>
    <t>North Reading</t>
  </si>
  <si>
    <t>Norton</t>
  </si>
  <si>
    <t>Norwell</t>
  </si>
  <si>
    <t>Norwood</t>
  </si>
  <si>
    <t>Oak Bluffs</t>
  </si>
  <si>
    <t>Oakham</t>
  </si>
  <si>
    <t>Orange</t>
  </si>
  <si>
    <t>Orleans</t>
  </si>
  <si>
    <t>Otis</t>
  </si>
  <si>
    <t>Oxford</t>
  </si>
  <si>
    <t>Palmer</t>
  </si>
  <si>
    <t>Paxton</t>
  </si>
  <si>
    <t>Peabody</t>
  </si>
  <si>
    <t>Pelham</t>
  </si>
  <si>
    <t>Pembroke</t>
  </si>
  <si>
    <t>Pepperell</t>
  </si>
  <si>
    <t>Peru</t>
  </si>
  <si>
    <t>Petersham</t>
  </si>
  <si>
    <t>Phillipston</t>
  </si>
  <si>
    <t>Pittsfield</t>
  </si>
  <si>
    <t>Plainfield</t>
  </si>
  <si>
    <t>Plainville</t>
  </si>
  <si>
    <t>Plymouth</t>
  </si>
  <si>
    <t>Plympton</t>
  </si>
  <si>
    <t>Princeton</t>
  </si>
  <si>
    <t>Provincetown</t>
  </si>
  <si>
    <t>Quincy</t>
  </si>
  <si>
    <t>Randolph</t>
  </si>
  <si>
    <t>Raynham</t>
  </si>
  <si>
    <t>Reading</t>
  </si>
  <si>
    <t>Rehoboth</t>
  </si>
  <si>
    <t>Revere</t>
  </si>
  <si>
    <t>Richmond</t>
  </si>
  <si>
    <t>Rochester</t>
  </si>
  <si>
    <t>Rockland</t>
  </si>
  <si>
    <t>Rockport</t>
  </si>
  <si>
    <t>Rowe</t>
  </si>
  <si>
    <t>Rowley</t>
  </si>
  <si>
    <t>Royalston</t>
  </si>
  <si>
    <t>Russell</t>
  </si>
  <si>
    <t>Rutland</t>
  </si>
  <si>
    <t>Salem</t>
  </si>
  <si>
    <t>Salisbury</t>
  </si>
  <si>
    <t>Sandisfield</t>
  </si>
  <si>
    <t>Sandwich</t>
  </si>
  <si>
    <t>Saugus</t>
  </si>
  <si>
    <t>Savoy</t>
  </si>
  <si>
    <t>Scituate</t>
  </si>
  <si>
    <t>Seekonk</t>
  </si>
  <si>
    <t>Sharon</t>
  </si>
  <si>
    <t>Sheffield</t>
  </si>
  <si>
    <t>Shelburne</t>
  </si>
  <si>
    <t>Sherborn</t>
  </si>
  <si>
    <t>Shirley</t>
  </si>
  <si>
    <t>Shrewsbury</t>
  </si>
  <si>
    <t>Shutesbury</t>
  </si>
  <si>
    <t>Somerset</t>
  </si>
  <si>
    <t>Somerville</t>
  </si>
  <si>
    <t>Southampton</t>
  </si>
  <si>
    <t>Southborough</t>
  </si>
  <si>
    <t>Southbridge</t>
  </si>
  <si>
    <t>South Hadley</t>
  </si>
  <si>
    <t>Southwick</t>
  </si>
  <si>
    <t>Spencer</t>
  </si>
  <si>
    <t>Springfield</t>
  </si>
  <si>
    <t>Sterling</t>
  </si>
  <si>
    <t>Stockbridge</t>
  </si>
  <si>
    <t>Stoneham</t>
  </si>
  <si>
    <t>Stoughton</t>
  </si>
  <si>
    <t>Stow</t>
  </si>
  <si>
    <t>Sturbridge</t>
  </si>
  <si>
    <t>Sudbury</t>
  </si>
  <si>
    <t>Sunderland</t>
  </si>
  <si>
    <t>Sutton</t>
  </si>
  <si>
    <t>Swampscott</t>
  </si>
  <si>
    <t>Swansea</t>
  </si>
  <si>
    <t>Taunton</t>
  </si>
  <si>
    <t>Templeton</t>
  </si>
  <si>
    <t>Tewksbury</t>
  </si>
  <si>
    <t>Tisbury</t>
  </si>
  <si>
    <t>Tolland</t>
  </si>
  <si>
    <t>Topsfield</t>
  </si>
  <si>
    <t>Townsend</t>
  </si>
  <si>
    <t>Truro</t>
  </si>
  <si>
    <t>Tyngsborough</t>
  </si>
  <si>
    <t>Tyringham</t>
  </si>
  <si>
    <t>Upton</t>
  </si>
  <si>
    <t>Uxbridge</t>
  </si>
  <si>
    <t>Wakefield</t>
  </si>
  <si>
    <t>Wales</t>
  </si>
  <si>
    <t>Walpole</t>
  </si>
  <si>
    <t>Waltham</t>
  </si>
  <si>
    <t>Ware</t>
  </si>
  <si>
    <t>Wareham</t>
  </si>
  <si>
    <t>Warren</t>
  </si>
  <si>
    <t>Warwick</t>
  </si>
  <si>
    <t>Washington</t>
  </si>
  <si>
    <t>Watertown</t>
  </si>
  <si>
    <t>Wayland</t>
  </si>
  <si>
    <t>Webster</t>
  </si>
  <si>
    <t>Wellesley</t>
  </si>
  <si>
    <t>Wellfleet</t>
  </si>
  <si>
    <t>Wendell</t>
  </si>
  <si>
    <t>Wenham</t>
  </si>
  <si>
    <t>Westborough</t>
  </si>
  <si>
    <t>West Boylston</t>
  </si>
  <si>
    <t>West Bridgewater</t>
  </si>
  <si>
    <t>West Brookfield</t>
  </si>
  <si>
    <t>Westfield</t>
  </si>
  <si>
    <t>Westford</t>
  </si>
  <si>
    <t>Westhampton</t>
  </si>
  <si>
    <t>Westminster</t>
  </si>
  <si>
    <t>West Newbury</t>
  </si>
  <si>
    <t>Weston</t>
  </si>
  <si>
    <t>Westport</t>
  </si>
  <si>
    <t>West Springfield</t>
  </si>
  <si>
    <t>West Stockbridge</t>
  </si>
  <si>
    <t>West Tisbury</t>
  </si>
  <si>
    <t>Westwood</t>
  </si>
  <si>
    <t>Weymouth</t>
  </si>
  <si>
    <t>Whately</t>
  </si>
  <si>
    <t>Whitman</t>
  </si>
  <si>
    <t>Wilbraham</t>
  </si>
  <si>
    <t>Williamsburg</t>
  </si>
  <si>
    <t>Williamstown</t>
  </si>
  <si>
    <t>Wilmington</t>
  </si>
  <si>
    <t>Winchendon</t>
  </si>
  <si>
    <t>Winchester</t>
  </si>
  <si>
    <t>Windsor</t>
  </si>
  <si>
    <t>Winthrop</t>
  </si>
  <si>
    <t>Woburn</t>
  </si>
  <si>
    <t>Worcester</t>
  </si>
  <si>
    <t>Worthington</t>
  </si>
  <si>
    <t>Wrentham</t>
  </si>
  <si>
    <t>Yarmouth</t>
  </si>
  <si>
    <t>Devens</t>
  </si>
  <si>
    <t>Southfield</t>
  </si>
  <si>
    <t>Northampton Smith</t>
  </si>
  <si>
    <t>Acton Boxborough</t>
  </si>
  <si>
    <t>Adams Cheshire</t>
  </si>
  <si>
    <t>Amherst Pelham</t>
  </si>
  <si>
    <t>Ashburnham Westminster</t>
  </si>
  <si>
    <t>Athol Royalston</t>
  </si>
  <si>
    <t>Ayer Shirley</t>
  </si>
  <si>
    <t>Berkshire Hills</t>
  </si>
  <si>
    <t>Berlin Boylston</t>
  </si>
  <si>
    <t>Blackstone Millville</t>
  </si>
  <si>
    <t>Bridgewater Raynham</t>
  </si>
  <si>
    <t>Chesterfield Goshen</t>
  </si>
  <si>
    <t>Central Berkshire</t>
  </si>
  <si>
    <t>Concord Carlisle</t>
  </si>
  <si>
    <t>Dennis Yarmouth</t>
  </si>
  <si>
    <t>Dighton Rehoboth</t>
  </si>
  <si>
    <t>Dover Sherborn</t>
  </si>
  <si>
    <t>Dudley Charlton</t>
  </si>
  <si>
    <t>Nauset</t>
  </si>
  <si>
    <t>Farmington River</t>
  </si>
  <si>
    <t>Freetown Lakeville</t>
  </si>
  <si>
    <t>Frontier</t>
  </si>
  <si>
    <t>Gateway</t>
  </si>
  <si>
    <t>Groton Dunstable</t>
  </si>
  <si>
    <t>Gill Montague</t>
  </si>
  <si>
    <t>Hamilton Wenham</t>
  </si>
  <si>
    <t>Hampden Wilbraham</t>
  </si>
  <si>
    <t>Hampshire</t>
  </si>
  <si>
    <t>Hawlemont</t>
  </si>
  <si>
    <t>King Philip</t>
  </si>
  <si>
    <t>Lincoln Sudbury</t>
  </si>
  <si>
    <t>Manchester Essex</t>
  </si>
  <si>
    <t>Marthas Vineyard</t>
  </si>
  <si>
    <t>Masconomet</t>
  </si>
  <si>
    <t>Mendon Upton</t>
  </si>
  <si>
    <t>Monomoy</t>
  </si>
  <si>
    <t>Mount Greylock</t>
  </si>
  <si>
    <t>Mohawk Trail</t>
  </si>
  <si>
    <t>Narragansett</t>
  </si>
  <si>
    <t>Nashoba</t>
  </si>
  <si>
    <t>New Salem Wendell</t>
  </si>
  <si>
    <t>Northboro Southboro</t>
  </si>
  <si>
    <t>North Middlesex</t>
  </si>
  <si>
    <t>Old Rochester</t>
  </si>
  <si>
    <t>Pentucket</t>
  </si>
  <si>
    <t>Pioneer</t>
  </si>
  <si>
    <t>Quabbin</t>
  </si>
  <si>
    <t>Ralph C Mahar</t>
  </si>
  <si>
    <t>Silver Lake</t>
  </si>
  <si>
    <t>Somerset Berkley</t>
  </si>
  <si>
    <t>Southern Berkshire</t>
  </si>
  <si>
    <t>Southwick Tolland Granville</t>
  </si>
  <si>
    <t>Spencer East Brookfield</t>
  </si>
  <si>
    <t>Tantasqua</t>
  </si>
  <si>
    <t>Triton</t>
  </si>
  <si>
    <t>Upisland</t>
  </si>
  <si>
    <t>Wachusett</t>
  </si>
  <si>
    <t>Quaboag</t>
  </si>
  <si>
    <t>Whitman Hanson</t>
  </si>
  <si>
    <t>Assabet Valley</t>
  </si>
  <si>
    <t>Blackstone Valley</t>
  </si>
  <si>
    <t>Blue Hills</t>
  </si>
  <si>
    <t>Bristol Plymouth</t>
  </si>
  <si>
    <t>Cape Cod</t>
  </si>
  <si>
    <t>Essex North Shore</t>
  </si>
  <si>
    <t>Franklin County</t>
  </si>
  <si>
    <t>Greater Fall River</t>
  </si>
  <si>
    <t>Greater Lawrence</t>
  </si>
  <si>
    <t>Greater New Bedford</t>
  </si>
  <si>
    <t>Greater Lowell</t>
  </si>
  <si>
    <t>South Middlesex</t>
  </si>
  <si>
    <t>Minuteman</t>
  </si>
  <si>
    <t>Montachusett</t>
  </si>
  <si>
    <t>Northern Berkshire</t>
  </si>
  <si>
    <t>Nashoba Valley</t>
  </si>
  <si>
    <t>Northeast Metropolitan</t>
  </si>
  <si>
    <t>Old Colony</t>
  </si>
  <si>
    <t>Pathfinder</t>
  </si>
  <si>
    <t>Shawsheen Valley</t>
  </si>
  <si>
    <t>Southeastern</t>
  </si>
  <si>
    <t>South Shore</t>
  </si>
  <si>
    <t>Southern Worcester</t>
  </si>
  <si>
    <t>Tri County</t>
  </si>
  <si>
    <t>Upper Cape Cod</t>
  </si>
  <si>
    <t>Whittier</t>
  </si>
  <si>
    <t>Bristol County</t>
  </si>
  <si>
    <t>Norfolk County</t>
  </si>
  <si>
    <t xml:space="preserve">Abington                     </t>
  </si>
  <si>
    <t xml:space="preserve">Acton                        </t>
  </si>
  <si>
    <t xml:space="preserve">Acushnet                     </t>
  </si>
  <si>
    <t xml:space="preserve">Adams                        </t>
  </si>
  <si>
    <t xml:space="preserve">Agawam                       </t>
  </si>
  <si>
    <t xml:space="preserve">Alford                       </t>
  </si>
  <si>
    <t xml:space="preserve">Amesbury                     </t>
  </si>
  <si>
    <t xml:space="preserve">Amherst                      </t>
  </si>
  <si>
    <t xml:space="preserve">Andover                      </t>
  </si>
  <si>
    <t xml:space="preserve">Arlington                    </t>
  </si>
  <si>
    <t xml:space="preserve">Ashburnham                   </t>
  </si>
  <si>
    <t xml:space="preserve">Ashby                        </t>
  </si>
  <si>
    <t xml:space="preserve">Ashfield                     </t>
  </si>
  <si>
    <t xml:space="preserve">Ashland                      </t>
  </si>
  <si>
    <t xml:space="preserve">Athol                        </t>
  </si>
  <si>
    <t xml:space="preserve">Attleboro                    </t>
  </si>
  <si>
    <t xml:space="preserve">Auburn                       </t>
  </si>
  <si>
    <t xml:space="preserve">Avon                         </t>
  </si>
  <si>
    <t xml:space="preserve">Ayer                         </t>
  </si>
  <si>
    <t xml:space="preserve">Barnstable                   </t>
  </si>
  <si>
    <t xml:space="preserve">Barre                        </t>
  </si>
  <si>
    <t xml:space="preserve">Becket                       </t>
  </si>
  <si>
    <t xml:space="preserve">Bedford                      </t>
  </si>
  <si>
    <t xml:space="preserve">Belchertown                  </t>
  </si>
  <si>
    <t xml:space="preserve">Bellingham                   </t>
  </si>
  <si>
    <t xml:space="preserve">Belmont                      </t>
  </si>
  <si>
    <t xml:space="preserve">Berkley                      </t>
  </si>
  <si>
    <t xml:space="preserve">Berlin                       </t>
  </si>
  <si>
    <t xml:space="preserve">Bernardston                  </t>
  </si>
  <si>
    <t xml:space="preserve">Beverly                      </t>
  </si>
  <si>
    <t xml:space="preserve">Billerica                    </t>
  </si>
  <si>
    <t xml:space="preserve">Blackstone                   </t>
  </si>
  <si>
    <t xml:space="preserve">Blandford                    </t>
  </si>
  <si>
    <t xml:space="preserve">Bolton                       </t>
  </si>
  <si>
    <t xml:space="preserve">Boston                       </t>
  </si>
  <si>
    <t xml:space="preserve">Bourne                       </t>
  </si>
  <si>
    <t xml:space="preserve">Boxborough                   </t>
  </si>
  <si>
    <t xml:space="preserve">Boxford                      </t>
  </si>
  <si>
    <t xml:space="preserve">Boylston                     </t>
  </si>
  <si>
    <t xml:space="preserve">Braintree                    </t>
  </si>
  <si>
    <t xml:space="preserve">Brewster                     </t>
  </si>
  <si>
    <t xml:space="preserve">Bridgewater                  </t>
  </si>
  <si>
    <t xml:space="preserve">Brimfield                    </t>
  </si>
  <si>
    <t xml:space="preserve">Brockton                     </t>
  </si>
  <si>
    <t xml:space="preserve">Brookfield                   </t>
  </si>
  <si>
    <t xml:space="preserve">Brookline                    </t>
  </si>
  <si>
    <t xml:space="preserve">Buckland                     </t>
  </si>
  <si>
    <t xml:space="preserve">Burlington                   </t>
  </si>
  <si>
    <t xml:space="preserve">Cambridge                    </t>
  </si>
  <si>
    <t xml:space="preserve">Canton                       </t>
  </si>
  <si>
    <t xml:space="preserve">Carlisle                     </t>
  </si>
  <si>
    <t xml:space="preserve">Carver                       </t>
  </si>
  <si>
    <t xml:space="preserve">Charlemont                   </t>
  </si>
  <si>
    <t xml:space="preserve">Charlton                     </t>
  </si>
  <si>
    <t xml:space="preserve">Chatham                      </t>
  </si>
  <si>
    <t xml:space="preserve">Chelmsford                   </t>
  </si>
  <si>
    <t xml:space="preserve">Chelsea                      </t>
  </si>
  <si>
    <t xml:space="preserve">Cheshire                     </t>
  </si>
  <si>
    <t xml:space="preserve">Chester                      </t>
  </si>
  <si>
    <t xml:space="preserve">Chesterfield                 </t>
  </si>
  <si>
    <t xml:space="preserve">Chicopee                     </t>
  </si>
  <si>
    <t xml:space="preserve">Chilmark                     </t>
  </si>
  <si>
    <t xml:space="preserve">Clarksburg                   </t>
  </si>
  <si>
    <t xml:space="preserve">Clinton                      </t>
  </si>
  <si>
    <t xml:space="preserve">Cohasset                     </t>
  </si>
  <si>
    <t xml:space="preserve">Colrain                      </t>
  </si>
  <si>
    <t xml:space="preserve">Concord                      </t>
  </si>
  <si>
    <t xml:space="preserve">Conway                       </t>
  </si>
  <si>
    <t xml:space="preserve">Cummington                   </t>
  </si>
  <si>
    <t xml:space="preserve">Dalton                       </t>
  </si>
  <si>
    <t xml:space="preserve">Danvers                      </t>
  </si>
  <si>
    <t xml:space="preserve">Dartmouth                    </t>
  </si>
  <si>
    <t xml:space="preserve">Dedham                       </t>
  </si>
  <si>
    <t xml:space="preserve">Deerfield                    </t>
  </si>
  <si>
    <t xml:space="preserve">Dennis                       </t>
  </si>
  <si>
    <t xml:space="preserve">Dighton                      </t>
  </si>
  <si>
    <t xml:space="preserve">Douglas                      </t>
  </si>
  <si>
    <t xml:space="preserve">Dover                        </t>
  </si>
  <si>
    <t xml:space="preserve">Dracut                       </t>
  </si>
  <si>
    <t xml:space="preserve">Dudley                       </t>
  </si>
  <si>
    <t xml:space="preserve">Dunstable                    </t>
  </si>
  <si>
    <t xml:space="preserve">Duxbury                      </t>
  </si>
  <si>
    <t xml:space="preserve">East Bridgewater             </t>
  </si>
  <si>
    <t xml:space="preserve">East Brookfield              </t>
  </si>
  <si>
    <t xml:space="preserve">Eastham                      </t>
  </si>
  <si>
    <t xml:space="preserve">Easthampton                  </t>
  </si>
  <si>
    <t xml:space="preserve">East Longmeadow              </t>
  </si>
  <si>
    <t xml:space="preserve">Easton                       </t>
  </si>
  <si>
    <t xml:space="preserve">Edgartown                    </t>
  </si>
  <si>
    <t xml:space="preserve">Egremont                     </t>
  </si>
  <si>
    <t xml:space="preserve">Erving                       </t>
  </si>
  <si>
    <t xml:space="preserve">Essex                        </t>
  </si>
  <si>
    <t xml:space="preserve">Everett                      </t>
  </si>
  <si>
    <t xml:space="preserve">Fairhaven                    </t>
  </si>
  <si>
    <t xml:space="preserve">Fall River                   </t>
  </si>
  <si>
    <t xml:space="preserve">Falmouth                     </t>
  </si>
  <si>
    <t xml:space="preserve">Fitchburg                    </t>
  </si>
  <si>
    <t xml:space="preserve">Florida                      </t>
  </si>
  <si>
    <t xml:space="preserve">Foxborough                   </t>
  </si>
  <si>
    <t xml:space="preserve">Framingham                   </t>
  </si>
  <si>
    <t xml:space="preserve">Franklin                     </t>
  </si>
  <si>
    <t xml:space="preserve">Freetown                     </t>
  </si>
  <si>
    <t xml:space="preserve">Gardner                      </t>
  </si>
  <si>
    <t xml:space="preserve">Georgetown                   </t>
  </si>
  <si>
    <t xml:space="preserve">Gill                         </t>
  </si>
  <si>
    <t xml:space="preserve">Gloucester                   </t>
  </si>
  <si>
    <t xml:space="preserve">Goshen                       </t>
  </si>
  <si>
    <t xml:space="preserve">Gosnold                      </t>
  </si>
  <si>
    <t xml:space="preserve">Grafton                      </t>
  </si>
  <si>
    <t xml:space="preserve">Granby                       </t>
  </si>
  <si>
    <t xml:space="preserve">Granville                    </t>
  </si>
  <si>
    <t xml:space="preserve">Great Barrington             </t>
  </si>
  <si>
    <t xml:space="preserve">Greenfield                   </t>
  </si>
  <si>
    <t xml:space="preserve">Groton                       </t>
  </si>
  <si>
    <t xml:space="preserve">Groveland                    </t>
  </si>
  <si>
    <t xml:space="preserve">Hadley                       </t>
  </si>
  <si>
    <t xml:space="preserve">Halifax                      </t>
  </si>
  <si>
    <t xml:space="preserve">Hamilton                     </t>
  </si>
  <si>
    <t xml:space="preserve">Hampden                      </t>
  </si>
  <si>
    <t xml:space="preserve">Hancock                      </t>
  </si>
  <si>
    <t xml:space="preserve">Hanover                      </t>
  </si>
  <si>
    <t xml:space="preserve">Hanson                       </t>
  </si>
  <si>
    <t xml:space="preserve">Hardwick                     </t>
  </si>
  <si>
    <t xml:space="preserve">Harvard                      </t>
  </si>
  <si>
    <t xml:space="preserve">Harwich                      </t>
  </si>
  <si>
    <t xml:space="preserve">Hatfield                     </t>
  </si>
  <si>
    <t xml:space="preserve">Haverhill                    </t>
  </si>
  <si>
    <t xml:space="preserve">Hawley                       </t>
  </si>
  <si>
    <t xml:space="preserve">Heath                        </t>
  </si>
  <si>
    <t xml:space="preserve">Hingham                      </t>
  </si>
  <si>
    <t xml:space="preserve">Hinsdale                     </t>
  </si>
  <si>
    <t xml:space="preserve">Holbrook                     </t>
  </si>
  <si>
    <t xml:space="preserve">Holden                       </t>
  </si>
  <si>
    <t xml:space="preserve">Holland                      </t>
  </si>
  <si>
    <t xml:space="preserve">Holliston                    </t>
  </si>
  <si>
    <t xml:space="preserve">Holyoke                      </t>
  </si>
  <si>
    <t xml:space="preserve">Hopedale                     </t>
  </si>
  <si>
    <t xml:space="preserve">Hopkinton                    </t>
  </si>
  <si>
    <t xml:space="preserve">Hubbardston                  </t>
  </si>
  <si>
    <t xml:space="preserve">Hudson                       </t>
  </si>
  <si>
    <t xml:space="preserve">Hull                         </t>
  </si>
  <si>
    <t xml:space="preserve">Huntington                   </t>
  </si>
  <si>
    <t xml:space="preserve">Ipswich                      </t>
  </si>
  <si>
    <t xml:space="preserve">Kingston                     </t>
  </si>
  <si>
    <t xml:space="preserve">Lakeville                    </t>
  </si>
  <si>
    <t xml:space="preserve">Lancaster                    </t>
  </si>
  <si>
    <t xml:space="preserve">Lanesborough                 </t>
  </si>
  <si>
    <t xml:space="preserve">Lawrence                     </t>
  </si>
  <si>
    <t xml:space="preserve">Lee                          </t>
  </si>
  <si>
    <t xml:space="preserve">Leicester                    </t>
  </si>
  <si>
    <t xml:space="preserve">Lenox                        </t>
  </si>
  <si>
    <t xml:space="preserve">Leominster                   </t>
  </si>
  <si>
    <t xml:space="preserve">Leverett                     </t>
  </si>
  <si>
    <t xml:space="preserve">Lexington                    </t>
  </si>
  <si>
    <t xml:space="preserve">Leyden                       </t>
  </si>
  <si>
    <t xml:space="preserve">Lincoln                      </t>
  </si>
  <si>
    <t xml:space="preserve">Littleton                    </t>
  </si>
  <si>
    <t xml:space="preserve">Longmeadow                   </t>
  </si>
  <si>
    <t xml:space="preserve">Lowell                       </t>
  </si>
  <si>
    <t xml:space="preserve">Ludlow                       </t>
  </si>
  <si>
    <t xml:space="preserve">Lunenburg                    </t>
  </si>
  <si>
    <t xml:space="preserve">Lynn                         </t>
  </si>
  <si>
    <t xml:space="preserve">Lynnfield                    </t>
  </si>
  <si>
    <t xml:space="preserve">Malden                       </t>
  </si>
  <si>
    <t xml:space="preserve">Manchester                   </t>
  </si>
  <si>
    <t xml:space="preserve">Mansfield                    </t>
  </si>
  <si>
    <t xml:space="preserve">Marblehead                   </t>
  </si>
  <si>
    <t xml:space="preserve">Marion                       </t>
  </si>
  <si>
    <t xml:space="preserve">Marlborough                  </t>
  </si>
  <si>
    <t xml:space="preserve">Marshfield                   </t>
  </si>
  <si>
    <t xml:space="preserve">Mashpee                      </t>
  </si>
  <si>
    <t xml:space="preserve">Mattapoisett                 </t>
  </si>
  <si>
    <t xml:space="preserve">Maynard                      </t>
  </si>
  <si>
    <t xml:space="preserve">Medfield                     </t>
  </si>
  <si>
    <t xml:space="preserve">Medford                      </t>
  </si>
  <si>
    <t xml:space="preserve">Medway                       </t>
  </si>
  <si>
    <t xml:space="preserve">Melrose                      </t>
  </si>
  <si>
    <t xml:space="preserve">Mendon                       </t>
  </si>
  <si>
    <t xml:space="preserve">Merrimac                     </t>
  </si>
  <si>
    <t xml:space="preserve">Methuen                      </t>
  </si>
  <si>
    <t xml:space="preserve">Middleborough                </t>
  </si>
  <si>
    <t xml:space="preserve">Middlefield                  </t>
  </si>
  <si>
    <t xml:space="preserve">Middleton                    </t>
  </si>
  <si>
    <t xml:space="preserve">Milford                      </t>
  </si>
  <si>
    <t xml:space="preserve">Millbury                     </t>
  </si>
  <si>
    <t xml:space="preserve">Millis                       </t>
  </si>
  <si>
    <t xml:space="preserve">Millville                    </t>
  </si>
  <si>
    <t xml:space="preserve">Milton                       </t>
  </si>
  <si>
    <t xml:space="preserve">Monroe                       </t>
  </si>
  <si>
    <t xml:space="preserve">Monson                       </t>
  </si>
  <si>
    <t xml:space="preserve">Montague                     </t>
  </si>
  <si>
    <t xml:space="preserve">Monterey                     </t>
  </si>
  <si>
    <t xml:space="preserve">Montgomery                   </t>
  </si>
  <si>
    <t xml:space="preserve">Mount Washington             </t>
  </si>
  <si>
    <t xml:space="preserve">Nahant                       </t>
  </si>
  <si>
    <t xml:space="preserve">Nantucket                    </t>
  </si>
  <si>
    <t xml:space="preserve">Natick                       </t>
  </si>
  <si>
    <t xml:space="preserve">Needham                      </t>
  </si>
  <si>
    <t xml:space="preserve">New Ashford                  </t>
  </si>
  <si>
    <t xml:space="preserve">New Bedford                  </t>
  </si>
  <si>
    <t xml:space="preserve">New Braintree                </t>
  </si>
  <si>
    <t xml:space="preserve">Newbury                      </t>
  </si>
  <si>
    <t xml:space="preserve">Newburyport                  </t>
  </si>
  <si>
    <t xml:space="preserve">New Marlborough              </t>
  </si>
  <si>
    <t xml:space="preserve">New Salem                    </t>
  </si>
  <si>
    <t xml:space="preserve">Newton                       </t>
  </si>
  <si>
    <t xml:space="preserve">Norfolk                      </t>
  </si>
  <si>
    <t xml:space="preserve">North Adams                  </t>
  </si>
  <si>
    <t xml:space="preserve">Northampton                  </t>
  </si>
  <si>
    <t xml:space="preserve">North Andover                </t>
  </si>
  <si>
    <t xml:space="preserve">North Attleborough           </t>
  </si>
  <si>
    <t xml:space="preserve">Northborough                 </t>
  </si>
  <si>
    <t xml:space="preserve">Northbridge                  </t>
  </si>
  <si>
    <t xml:space="preserve">North Brookfield             </t>
  </si>
  <si>
    <t xml:space="preserve">Northfield                   </t>
  </si>
  <si>
    <t xml:space="preserve">North Reading                </t>
  </si>
  <si>
    <t xml:space="preserve">Norton                       </t>
  </si>
  <si>
    <t xml:space="preserve">Norwell                      </t>
  </si>
  <si>
    <t xml:space="preserve">Norwood                      </t>
  </si>
  <si>
    <t xml:space="preserve">Oak Bluffs                   </t>
  </si>
  <si>
    <t xml:space="preserve">Oakham                       </t>
  </si>
  <si>
    <t xml:space="preserve">Orange                       </t>
  </si>
  <si>
    <t xml:space="preserve">Orleans                      </t>
  </si>
  <si>
    <t xml:space="preserve">Otis                         </t>
  </si>
  <si>
    <t xml:space="preserve">Oxford                       </t>
  </si>
  <si>
    <t xml:space="preserve">Palmer                       </t>
  </si>
  <si>
    <t xml:space="preserve">Paxton                       </t>
  </si>
  <si>
    <t xml:space="preserve">Peabody                      </t>
  </si>
  <si>
    <t xml:space="preserve">Pelham                       </t>
  </si>
  <si>
    <t xml:space="preserve">Pembroke                     </t>
  </si>
  <si>
    <t xml:space="preserve">Pepperell                    </t>
  </si>
  <si>
    <t xml:space="preserve">Peru                         </t>
  </si>
  <si>
    <t xml:space="preserve">Petersham                    </t>
  </si>
  <si>
    <t xml:space="preserve">Phillipston                  </t>
  </si>
  <si>
    <t xml:space="preserve">Pittsfield                   </t>
  </si>
  <si>
    <t xml:space="preserve">Plainfield                   </t>
  </si>
  <si>
    <t xml:space="preserve">Plainville                   </t>
  </si>
  <si>
    <t xml:space="preserve">Plymouth                     </t>
  </si>
  <si>
    <t xml:space="preserve">Plympton                     </t>
  </si>
  <si>
    <t xml:space="preserve">Princeton                    </t>
  </si>
  <si>
    <t xml:space="preserve">Provincetown                 </t>
  </si>
  <si>
    <t xml:space="preserve">Quincy                       </t>
  </si>
  <si>
    <t xml:space="preserve">Randolph                     </t>
  </si>
  <si>
    <t xml:space="preserve">Raynham                      </t>
  </si>
  <si>
    <t xml:space="preserve">Reading                      </t>
  </si>
  <si>
    <t xml:space="preserve">Rehoboth                     </t>
  </si>
  <si>
    <t xml:space="preserve">Revere                       </t>
  </si>
  <si>
    <t xml:space="preserve">Richmond                     </t>
  </si>
  <si>
    <t xml:space="preserve">Rochester                    </t>
  </si>
  <si>
    <t xml:space="preserve">Rockland                     </t>
  </si>
  <si>
    <t xml:space="preserve">Rockport                     </t>
  </si>
  <si>
    <t xml:space="preserve">Rowe                         </t>
  </si>
  <si>
    <t xml:space="preserve">Rowley                       </t>
  </si>
  <si>
    <t xml:space="preserve">Royalston                    </t>
  </si>
  <si>
    <t xml:space="preserve">Russell                      </t>
  </si>
  <si>
    <t xml:space="preserve">Rutland                      </t>
  </si>
  <si>
    <t xml:space="preserve">Salem                        </t>
  </si>
  <si>
    <t xml:space="preserve">Salisbury                    </t>
  </si>
  <si>
    <t xml:space="preserve">Sandisfield                  </t>
  </si>
  <si>
    <t xml:space="preserve">Sandwich                     </t>
  </si>
  <si>
    <t xml:space="preserve">Saugus                       </t>
  </si>
  <si>
    <t xml:space="preserve">Savoy                        </t>
  </si>
  <si>
    <t xml:space="preserve">Scituate                     </t>
  </si>
  <si>
    <t xml:space="preserve">Seekonk                      </t>
  </si>
  <si>
    <t xml:space="preserve">Sharon                       </t>
  </si>
  <si>
    <t xml:space="preserve">Sheffield                    </t>
  </si>
  <si>
    <t xml:space="preserve">Shelburne                    </t>
  </si>
  <si>
    <t xml:space="preserve">Sherborn                     </t>
  </si>
  <si>
    <t xml:space="preserve">Shirley                      </t>
  </si>
  <si>
    <t xml:space="preserve">Shrewsbury                   </t>
  </si>
  <si>
    <t xml:space="preserve">Shutesbury                   </t>
  </si>
  <si>
    <t xml:space="preserve">Somerset                     </t>
  </si>
  <si>
    <t xml:space="preserve">Somerville                   </t>
  </si>
  <si>
    <t xml:space="preserve">Southampton                  </t>
  </si>
  <si>
    <t xml:space="preserve">Southborough                 </t>
  </si>
  <si>
    <t xml:space="preserve">Southbridge                  </t>
  </si>
  <si>
    <t xml:space="preserve">South Hadley                 </t>
  </si>
  <si>
    <t xml:space="preserve">Southwick                    </t>
  </si>
  <si>
    <t xml:space="preserve">Spencer                      </t>
  </si>
  <si>
    <t xml:space="preserve">Springfield                  </t>
  </si>
  <si>
    <t xml:space="preserve">Sterling                     </t>
  </si>
  <si>
    <t xml:space="preserve">Stockbridge                  </t>
  </si>
  <si>
    <t xml:space="preserve">Stoneham                     </t>
  </si>
  <si>
    <t xml:space="preserve">Stoughton                    </t>
  </si>
  <si>
    <t xml:space="preserve">Stow                         </t>
  </si>
  <si>
    <t xml:space="preserve">Sturbridge                   </t>
  </si>
  <si>
    <t xml:space="preserve">Sudbury                      </t>
  </si>
  <si>
    <t xml:space="preserve">Sunderland                   </t>
  </si>
  <si>
    <t xml:space="preserve">Sutton                       </t>
  </si>
  <si>
    <t xml:space="preserve">Swampscott                   </t>
  </si>
  <si>
    <t xml:space="preserve">Swansea                      </t>
  </si>
  <si>
    <t xml:space="preserve">Taunton                      </t>
  </si>
  <si>
    <t xml:space="preserve">Templeton                    </t>
  </si>
  <si>
    <t xml:space="preserve">Tewksbury                    </t>
  </si>
  <si>
    <t xml:space="preserve">Tisbury                      </t>
  </si>
  <si>
    <t xml:space="preserve">Tolland                      </t>
  </si>
  <si>
    <t xml:space="preserve">Topsfield                    </t>
  </si>
  <si>
    <t xml:space="preserve">Townsend                     </t>
  </si>
  <si>
    <t xml:space="preserve">Truro                        </t>
  </si>
  <si>
    <t xml:space="preserve">Tyngsborough                 </t>
  </si>
  <si>
    <t xml:space="preserve">Tyringham                    </t>
  </si>
  <si>
    <t xml:space="preserve">Upton                        </t>
  </si>
  <si>
    <t xml:space="preserve">Uxbridge                     </t>
  </si>
  <si>
    <t xml:space="preserve">Wakefield                    </t>
  </si>
  <si>
    <t xml:space="preserve">Wales                        </t>
  </si>
  <si>
    <t xml:space="preserve">Walpole                      </t>
  </si>
  <si>
    <t xml:space="preserve">Waltham                      </t>
  </si>
  <si>
    <t xml:space="preserve">Ware                         </t>
  </si>
  <si>
    <t xml:space="preserve">Wareham                      </t>
  </si>
  <si>
    <t xml:space="preserve">Warren                       </t>
  </si>
  <si>
    <t xml:space="preserve">Warwick                      </t>
  </si>
  <si>
    <t xml:space="preserve">Washington                   </t>
  </si>
  <si>
    <t xml:space="preserve">Watertown                    </t>
  </si>
  <si>
    <t xml:space="preserve">Wayland                      </t>
  </si>
  <si>
    <t xml:space="preserve">Webster                      </t>
  </si>
  <si>
    <t xml:space="preserve">Wellesley                    </t>
  </si>
  <si>
    <t xml:space="preserve">Wellfleet                    </t>
  </si>
  <si>
    <t xml:space="preserve">Wendell                      </t>
  </si>
  <si>
    <t xml:space="preserve">Wenham                       </t>
  </si>
  <si>
    <t xml:space="preserve">Westborough                  </t>
  </si>
  <si>
    <t xml:space="preserve">West Boylston                </t>
  </si>
  <si>
    <t xml:space="preserve">West Bridgewater             </t>
  </si>
  <si>
    <t xml:space="preserve">West Brookfield              </t>
  </si>
  <si>
    <t xml:space="preserve">Westfield                    </t>
  </si>
  <si>
    <t xml:space="preserve">Westford                     </t>
  </si>
  <si>
    <t xml:space="preserve">Westhampton                  </t>
  </si>
  <si>
    <t xml:space="preserve">Westminster                  </t>
  </si>
  <si>
    <t xml:space="preserve">West Newbury                 </t>
  </si>
  <si>
    <t xml:space="preserve">Weston                       </t>
  </si>
  <si>
    <t xml:space="preserve">Westport                     </t>
  </si>
  <si>
    <t xml:space="preserve">West Springfield             </t>
  </si>
  <si>
    <t xml:space="preserve">West Stockbridge             </t>
  </si>
  <si>
    <t xml:space="preserve">West Tisbury                 </t>
  </si>
  <si>
    <t xml:space="preserve">Westwood                     </t>
  </si>
  <si>
    <t xml:space="preserve">Weymouth                     </t>
  </si>
  <si>
    <t xml:space="preserve">Whately                      </t>
  </si>
  <si>
    <t xml:space="preserve">Whitman                      </t>
  </si>
  <si>
    <t xml:space="preserve">Wilbraham                    </t>
  </si>
  <si>
    <t xml:space="preserve">Williamsburg                 </t>
  </si>
  <si>
    <t xml:space="preserve">Williamstown                 </t>
  </si>
  <si>
    <t xml:space="preserve">Wilmington                   </t>
  </si>
  <si>
    <t xml:space="preserve">Winchendon                   </t>
  </si>
  <si>
    <t xml:space="preserve">Winchester                   </t>
  </si>
  <si>
    <t xml:space="preserve">Windsor                      </t>
  </si>
  <si>
    <t xml:space="preserve">Winthrop                     </t>
  </si>
  <si>
    <t xml:space="preserve">Worcester                    </t>
  </si>
  <si>
    <t xml:space="preserve">Worthington                  </t>
  </si>
  <si>
    <t xml:space="preserve">Wrentham                     </t>
  </si>
  <si>
    <t xml:space="preserve">Yarmouth                     </t>
  </si>
  <si>
    <t xml:space="preserve">Northampton Smith            </t>
  </si>
  <si>
    <t xml:space="preserve">Acton Boxborough             </t>
  </si>
  <si>
    <t xml:space="preserve">Adams Cheshire               </t>
  </si>
  <si>
    <t xml:space="preserve">Amherst Pelham               </t>
  </si>
  <si>
    <t xml:space="preserve">Ashburnham Westminster       </t>
  </si>
  <si>
    <t xml:space="preserve">Athol Royalston              </t>
  </si>
  <si>
    <t xml:space="preserve">Berkshire Hills              </t>
  </si>
  <si>
    <t xml:space="preserve">Berlin Boylston              </t>
  </si>
  <si>
    <t xml:space="preserve">Blackstone Millville         </t>
  </si>
  <si>
    <t xml:space="preserve">Bridgewater Raynham          </t>
  </si>
  <si>
    <t xml:space="preserve">Central Berkshire            </t>
  </si>
  <si>
    <t xml:space="preserve">Concord Carlisle             </t>
  </si>
  <si>
    <t xml:space="preserve">Dennis Yarmouth              </t>
  </si>
  <si>
    <t xml:space="preserve">Dighton Rehoboth             </t>
  </si>
  <si>
    <t xml:space="preserve">Dover Sherborn               </t>
  </si>
  <si>
    <t xml:space="preserve">Dudley Charlton              </t>
  </si>
  <si>
    <t xml:space="preserve">Nauset                       </t>
  </si>
  <si>
    <t xml:space="preserve">Freetown Lakeville           </t>
  </si>
  <si>
    <t xml:space="preserve">Frontier                     </t>
  </si>
  <si>
    <t xml:space="preserve">Gateway                      </t>
  </si>
  <si>
    <t xml:space="preserve">Groton Dunstable             </t>
  </si>
  <si>
    <t xml:space="preserve">Gill Montague                </t>
  </si>
  <si>
    <t xml:space="preserve">Hamilton Wenham              </t>
  </si>
  <si>
    <t xml:space="preserve">Hampden Wilbraham            </t>
  </si>
  <si>
    <t xml:space="preserve">Hampshire                    </t>
  </si>
  <si>
    <t xml:space="preserve">Hawlemont                    </t>
  </si>
  <si>
    <t xml:space="preserve">King Philip                  </t>
  </si>
  <si>
    <t xml:space="preserve">Lincoln Sudbury              </t>
  </si>
  <si>
    <t xml:space="preserve">Marthas Vineyard             </t>
  </si>
  <si>
    <t xml:space="preserve">Masconomet                   </t>
  </si>
  <si>
    <t xml:space="preserve">Mendon Upton                 </t>
  </si>
  <si>
    <t xml:space="preserve">Mount Greylock               </t>
  </si>
  <si>
    <t xml:space="preserve">Mohawk Trail                 </t>
  </si>
  <si>
    <t xml:space="preserve">Narragansett                 </t>
  </si>
  <si>
    <t xml:space="preserve">Nashoba                      </t>
  </si>
  <si>
    <t xml:space="preserve">New Salem Wendell            </t>
  </si>
  <si>
    <t xml:space="preserve">Northboro Southboro          </t>
  </si>
  <si>
    <t xml:space="preserve">North Middlesex              </t>
  </si>
  <si>
    <t xml:space="preserve">Old Rochester                </t>
  </si>
  <si>
    <t xml:space="preserve">Pentucket                    </t>
  </si>
  <si>
    <t xml:space="preserve">Pioneer                      </t>
  </si>
  <si>
    <t xml:space="preserve">Quabbin                      </t>
  </si>
  <si>
    <t xml:space="preserve">Ralph C Mahar                </t>
  </si>
  <si>
    <t xml:space="preserve">Silver Lake                  </t>
  </si>
  <si>
    <t xml:space="preserve">Southern Berkshire           </t>
  </si>
  <si>
    <t xml:space="preserve">Spencer East Brookfield      </t>
  </si>
  <si>
    <t xml:space="preserve">Tantasqua                    </t>
  </si>
  <si>
    <t xml:space="preserve">Triton                       </t>
  </si>
  <si>
    <t xml:space="preserve">Wachusett                    </t>
  </si>
  <si>
    <t xml:space="preserve">Whitman Hanson               </t>
  </si>
  <si>
    <t xml:space="preserve">Assabet Valley               </t>
  </si>
  <si>
    <t xml:space="preserve">Blackstone Valley            </t>
  </si>
  <si>
    <t xml:space="preserve">Blue Hills                   </t>
  </si>
  <si>
    <t xml:space="preserve">Bristol Plymouth             </t>
  </si>
  <si>
    <t xml:space="preserve">Cape Cod                     </t>
  </si>
  <si>
    <t xml:space="preserve">Franklin County              </t>
  </si>
  <si>
    <t xml:space="preserve">Greater Fall River           </t>
  </si>
  <si>
    <t xml:space="preserve">Greater Lawrence             </t>
  </si>
  <si>
    <t xml:space="preserve">Greater New Bedford          </t>
  </si>
  <si>
    <t xml:space="preserve">Greater Lowell               </t>
  </si>
  <si>
    <t xml:space="preserve">South Middlesex              </t>
  </si>
  <si>
    <t xml:space="preserve">Minuteman                    </t>
  </si>
  <si>
    <t xml:space="preserve">Montachusett                 </t>
  </si>
  <si>
    <t xml:space="preserve">Northern Berkshire           </t>
  </si>
  <si>
    <t xml:space="preserve">Nashoba Valley               </t>
  </si>
  <si>
    <t xml:space="preserve">Northeast Metropolitan       </t>
  </si>
  <si>
    <t xml:space="preserve">Old Colony                   </t>
  </si>
  <si>
    <t xml:space="preserve">Pathfinder                   </t>
  </si>
  <si>
    <t xml:space="preserve">Shawsheen Valley             </t>
  </si>
  <si>
    <t xml:space="preserve">Southeastern                 </t>
  </si>
  <si>
    <t xml:space="preserve">South Shore                  </t>
  </si>
  <si>
    <t xml:space="preserve">Southern Worcester           </t>
  </si>
  <si>
    <t xml:space="preserve">Tri County                   </t>
  </si>
  <si>
    <t xml:space="preserve">Upper Cape Cod               </t>
  </si>
  <si>
    <t xml:space="preserve">Whittier                     </t>
  </si>
  <si>
    <t xml:space="preserve">Bristol County               </t>
  </si>
  <si>
    <t xml:space="preserve">Norfolk County               </t>
  </si>
  <si>
    <t>State Total, All Districts</t>
  </si>
  <si>
    <t xml:space="preserve">Gay Head                     </t>
  </si>
  <si>
    <t/>
  </si>
  <si>
    <t>Southwick Tolland</t>
  </si>
  <si>
    <t>Combined Total for All Districts</t>
  </si>
  <si>
    <t>Foundation Budget per Pupil</t>
  </si>
  <si>
    <t>Decile</t>
  </si>
  <si>
    <t xml:space="preserve">Which version of foundation budget? </t>
  </si>
  <si>
    <t>Effort reduction</t>
  </si>
  <si>
    <t>Eqv/income percentages</t>
  </si>
  <si>
    <t>Per pupil guaranteed increase</t>
  </si>
  <si>
    <t>Below effort threshold 1</t>
  </si>
  <si>
    <t>Below effort threshold 2</t>
  </si>
  <si>
    <t>Below effort contribution increment, 5-10% under</t>
  </si>
  <si>
    <t>Below effort contribution increment, &gt;10% under</t>
  </si>
  <si>
    <t>Maximum local contribution pct of foundation</t>
  </si>
  <si>
    <t>Statewide target for local contribution % of foundation</t>
  </si>
  <si>
    <t>Cap contributions at fixed percentage of foundation</t>
  </si>
  <si>
    <t>Percentage cut to base aid</t>
  </si>
  <si>
    <t>Target effort FY17</t>
  </si>
  <si>
    <t>Effort based upon following percentages</t>
  </si>
  <si>
    <t>Difference  from target</t>
  </si>
  <si>
    <t xml:space="preserve">           Percentage of EQV </t>
  </si>
  <si>
    <t xml:space="preserve">           Percentage of  INCOME</t>
  </si>
  <si>
    <t>State Average % of EQV</t>
  </si>
  <si>
    <t>Total EQV</t>
  </si>
  <si>
    <t>Total Income</t>
  </si>
  <si>
    <t>Minimum per pupil aid increase</t>
  </si>
  <si>
    <t>Non-op reduction</t>
  </si>
  <si>
    <t>Change in C70 Appropriation</t>
  </si>
  <si>
    <t>Percent Change</t>
  </si>
  <si>
    <t>N of Foundation Aid Districts</t>
  </si>
  <si>
    <t>N of Districts with an Aid Increase</t>
  </si>
  <si>
    <t>Total C70 Including Devens</t>
  </si>
  <si>
    <t>Minimum Aid</t>
  </si>
  <si>
    <t>All Grades</t>
  </si>
  <si>
    <t xml:space="preserve">Assistance Program (SNAP); the Transitional Assistance for Families with Dependent Children (TAFDC); the Department of Children and Families' (DCF) foster care program; and MassHealth (Medicaid). </t>
  </si>
  <si>
    <t>sum of line 1, 5 minus 7</t>
  </si>
  <si>
    <t>Budget PP</t>
  </si>
  <si>
    <t>Economically</t>
  </si>
  <si>
    <t>Disadvantaged</t>
  </si>
  <si>
    <t>Economically Disadvantaged Decile 1</t>
  </si>
  <si>
    <t>Economically Disadvantaged Decile 2</t>
  </si>
  <si>
    <t>Economically Disadvantaged Decile 3</t>
  </si>
  <si>
    <t>Economically Disadvantaged Decile 4</t>
  </si>
  <si>
    <t>Economically Disadvantaged Decile 5</t>
  </si>
  <si>
    <t>Economically Disadvantaged Decile 6</t>
  </si>
  <si>
    <t>Economically Disadvantaged Decile 7</t>
  </si>
  <si>
    <t>Economically Disadvantaged Decile 8</t>
  </si>
  <si>
    <t>Economically Disadvantaged Decile 9</t>
  </si>
  <si>
    <t>Economically Disadvantaged Decile 10</t>
  </si>
  <si>
    <t>Total foundation enrollment does not include columns 11 through 13, because those columns represent increments above the base.  The pupils are already counted in columns 1 to 10.</t>
  </si>
  <si>
    <t>Economically Disadvantaged Decile</t>
  </si>
  <si>
    <t>Required District Contribution</t>
  </si>
  <si>
    <t>C70 Aid</t>
  </si>
  <si>
    <t>c70fy16, $1M for Framingham (found reserve)</t>
  </si>
  <si>
    <t>per pupil</t>
  </si>
  <si>
    <t>blank</t>
  </si>
  <si>
    <t xml:space="preserve">Economically disadvantaged headcounts are the number of pupils in columns 1 through 10 who are directly certified as eligible for the Supplemental Nutrition 
</t>
  </si>
  <si>
    <t>Instructional Materials, Equipment &amp; Technology</t>
  </si>
  <si>
    <t>Guidance &amp; Psychological Services</t>
  </si>
  <si>
    <t>Operations &amp; Maintenance</t>
  </si>
  <si>
    <t>Employee Benefits &amp; Fixed Charges</t>
  </si>
  <si>
    <t>Special Education Tuition</t>
  </si>
  <si>
    <t>Total, All Categories</t>
  </si>
  <si>
    <t>As of</t>
  </si>
  <si>
    <t>PY Base Aid</t>
  </si>
  <si>
    <t>FY18</t>
  </si>
  <si>
    <t>c70fy17</t>
  </si>
  <si>
    <t>FY17 C70 (GAA)</t>
  </si>
  <si>
    <t>FY18 foundation aid increase</t>
  </si>
  <si>
    <t>FY18 downpayment increase</t>
  </si>
  <si>
    <t>FY18 Chapter 70</t>
  </si>
  <si>
    <t>Analysis of Aggregate Wealth Model Implementation</t>
  </si>
  <si>
    <t>2016 equalized valuation</t>
  </si>
  <si>
    <t>2014 income</t>
  </si>
  <si>
    <t>Foundation budget FY18</t>
  </si>
  <si>
    <t>Required local contribution FY17</t>
  </si>
  <si>
    <t>1. Calculation of effort goal (target local share)</t>
  </si>
  <si>
    <t>2. Calculation of annual increments toward goal (required local contribution)</t>
  </si>
  <si>
    <t>Analysis of Gap Closing</t>
  </si>
  <si>
    <t>They can be accessed by right-clicking on any of the tabs below and choosing a sheet to unhide.</t>
  </si>
  <si>
    <t>Lookup table for foundation budget scenarios</t>
  </si>
  <si>
    <t>distfrac18prelim</t>
  </si>
  <si>
    <t>c70fy17
Minuteman, Boxborough, Carlisle, Lincoln, Sudbury, Wayland, Weston</t>
  </si>
  <si>
    <t>ok</t>
  </si>
  <si>
    <t>EQV 2016</t>
  </si>
  <si>
    <r>
      <t xml:space="preserve">From DOR, Prelim EQV 2016, 12/12/16, </t>
    </r>
    <r>
      <rPr>
        <b/>
        <i/>
        <u/>
        <sz val="8"/>
        <color rgb="FFFF0000"/>
        <rFont val="Calibri"/>
        <family val="2"/>
        <scheme val="minor"/>
      </rPr>
      <t>EMBARGOED</t>
    </r>
    <r>
      <rPr>
        <sz val="8"/>
        <rFont val="Calibri"/>
        <family val="2"/>
        <scheme val="minor"/>
      </rPr>
      <t xml:space="preserve"> 
3</t>
    </r>
  </si>
  <si>
    <t>Target Aid Share</t>
  </si>
  <si>
    <t>increase over PY</t>
  </si>
  <si>
    <t>Analysis</t>
  </si>
  <si>
    <r>
      <t xml:space="preserve">Pct downpayment on </t>
    </r>
    <r>
      <rPr>
        <i/>
        <sz val="10"/>
        <rFont val="Calibri"/>
        <family val="2"/>
        <scheme val="minor"/>
      </rPr>
      <t>target aid share</t>
    </r>
  </si>
  <si>
    <t xml:space="preserve">
From DOR, 2014 Income, 12/20/16
5</t>
  </si>
  <si>
    <t>FY18 Foundation Budget Rates (Inflation set at 1.11%)</t>
  </si>
  <si>
    <t>Final 18 rates based on Q3 inflation</t>
  </si>
  <si>
    <t>Increments</t>
  </si>
  <si>
    <t>Thresholds</t>
  </si>
  <si>
    <t>Effort Reduction</t>
  </si>
  <si>
    <t xml:space="preserve">Instructional </t>
  </si>
  <si>
    <t xml:space="preserve">Employee </t>
  </si>
  <si>
    <t>Professional</t>
  </si>
  <si>
    <t>Materials, Equip-</t>
  </si>
  <si>
    <t>Guidance &amp;</t>
  </si>
  <si>
    <t>Pupil</t>
  </si>
  <si>
    <t>Operations &amp;</t>
  </si>
  <si>
    <t>Benefits &amp;</t>
  </si>
  <si>
    <t>Development</t>
  </si>
  <si>
    <t>Ment  &amp; Technology</t>
  </si>
  <si>
    <t>Psychological</t>
  </si>
  <si>
    <t>Maintenance</t>
  </si>
  <si>
    <t>Fixed Charges</t>
  </si>
  <si>
    <t>Tuition</t>
  </si>
  <si>
    <t>ELL Kfull</t>
  </si>
  <si>
    <t>Voc</t>
  </si>
  <si>
    <t>=</t>
  </si>
  <si>
    <t>Update this every year</t>
  </si>
  <si>
    <t>Prior Year</t>
  </si>
  <si>
    <t xml:space="preserve">
14</t>
  </si>
  <si>
    <t>85% reduction toward target (17 x 85%)</t>
  </si>
  <si>
    <t>12/22/2016 final inflation rate = 1.11%</t>
  </si>
  <si>
    <t>Tabs</t>
  </si>
  <si>
    <t>What happens on this sheet</t>
  </si>
  <si>
    <t>Data source (if any)</t>
  </si>
  <si>
    <t>Notes</t>
  </si>
  <si>
    <r>
      <t xml:space="preserve">Allows the user to adjust all of the policy levers in Chapter 70, </t>
    </r>
    <r>
      <rPr>
        <b/>
        <u/>
        <sz val="10"/>
        <rFont val="Calibri"/>
        <family val="2"/>
        <scheme val="minor"/>
      </rPr>
      <t>except</t>
    </r>
    <r>
      <rPr>
        <sz val="10"/>
        <rFont val="Calibri"/>
        <family val="2"/>
        <scheme val="minor"/>
      </rPr>
      <t xml:space="preserve"> for changes to foundation.</t>
    </r>
    <r>
      <rPr>
        <i/>
        <sz val="10"/>
        <rFont val="Calibri"/>
        <family val="2"/>
        <scheme val="minor"/>
      </rPr>
      <t xml:space="preserve">  Foundation budget scenarios can be changed, but they must 1st be run separately and dropped into localcont (all the way to the right).  Up to 11 alternatives can be included.</t>
    </r>
  </si>
  <si>
    <t>set parameters to 0, and changed dates</t>
  </si>
  <si>
    <t>Index</t>
  </si>
  <si>
    <t>Controls the district being viewed for all reports except regional dist members</t>
  </si>
  <si>
    <t>Dropdown box reads LEAs</t>
  </si>
  <si>
    <t>Rates</t>
  </si>
  <si>
    <t>CY and PY foundation budget rates
Used to calculate foundation budget report</t>
  </si>
  <si>
    <t>Copied in from found file</t>
  </si>
  <si>
    <t>final rates based on Dec and benefits rate adjustment</t>
  </si>
  <si>
    <t>1 district report showing build-up of foundation budget</t>
  </si>
  <si>
    <t>Rates, dist435</t>
  </si>
  <si>
    <t>labels</t>
  </si>
  <si>
    <t>Municipal Contribution</t>
  </si>
  <si>
    <t>1 city/town report showing build-up of required local contribution (municipal level)</t>
  </si>
  <si>
    <t>townwide contributions</t>
  </si>
  <si>
    <t>1 city/town report showing allocation of total municipal required local contribution based on proportion of foundation budget at each district to which it belongs</t>
  </si>
  <si>
    <t>localcont</t>
  </si>
  <si>
    <t>1 district report summarizing C70 calculation and comparison to PY</t>
  </si>
  <si>
    <t>aid436, disthist</t>
  </si>
  <si>
    <t>Regional Dist Members</t>
  </si>
  <si>
    <t>LocalCont</t>
  </si>
  <si>
    <r>
      <t xml:space="preserve">Results from distfrac get copied into the far right (up to 11 versions of foundation budget can be entered).  Toggle is on parameters sheet.
Data is organized in 5 row format for each city/town (municipality and its districts, blanks are 998 and total is 999).
</t>
    </r>
    <r>
      <rPr>
        <b/>
        <sz val="10"/>
        <rFont val="Calibri"/>
        <family val="2"/>
        <scheme val="minor"/>
      </rPr>
      <t>Used to calculate each municipal-district combination's RLC.</t>
    </r>
  </si>
  <si>
    <t>found file, distfrac (allocate sheet)</t>
  </si>
  <si>
    <t>Copied in FY17 foundation budget, %s, RLCs and enro.</t>
  </si>
  <si>
    <t>Regionals</t>
  </si>
  <si>
    <t>Slice of data from localcont (just regionals), organized such that it can be read by regional dist members report.</t>
  </si>
  <si>
    <t>localcont
updated 1/3/2017 at 85% eff red</t>
  </si>
  <si>
    <t xml:space="preserve">**is there any way of getting rid of this tab, and having that regional dist members report look up the data from localcont? </t>
  </si>
  <si>
    <t>Comparison to Fyxx</t>
  </si>
  <si>
    <t>2 year comparison for operating districts</t>
  </si>
  <si>
    <t>aid436, disthist, localcont</t>
  </si>
  <si>
    <t>Townwide Contributions</t>
  </si>
  <si>
    <t>Calculates municipal required local contributions</t>
  </si>
  <si>
    <t>DOR (EQV, Income, MRGFs), PY file (RLCs), parameters</t>
  </si>
  <si>
    <t>Copied in FY17 RLCs into PY RLC column</t>
  </si>
  <si>
    <t>Aid436</t>
  </si>
  <si>
    <t>Calculates district Ch 70 aid</t>
  </si>
  <si>
    <t>Copied in FY17 foundation budget, aid, and enrollment.  Took out hold harmless column from FY17 file.
Created "downpayment v2" calc to the far right. Allocates a % of future aid from benefits rate increase.</t>
  </si>
  <si>
    <t>Frac</t>
  </si>
  <si>
    <t>Calculates target aid percentage for regional districts</t>
  </si>
  <si>
    <t>updated</t>
  </si>
  <si>
    <t>DistHist</t>
  </si>
  <si>
    <t>***Don't forget to copy in target aid %s from PY
Historical C70 data used in summary report, and other places</t>
  </si>
  <si>
    <t>Copied in FY17 FB, RLC and Aid
Copied in target aid %s from FY17***</t>
  </si>
  <si>
    <t>Dist435</t>
  </si>
  <si>
    <t>Data source for foundation budget report, shows detailed enrollment and budget columns</t>
  </si>
  <si>
    <t>Data</t>
  </si>
  <si>
    <t>Source</t>
  </si>
  <si>
    <t>Updated?</t>
  </si>
  <si>
    <t>Inflation</t>
  </si>
  <si>
    <t>BEA website</t>
  </si>
  <si>
    <t>Q3 Dec</t>
  </si>
  <si>
    <t>1.11% 12/22, final</t>
  </si>
  <si>
    <t>Wage Adjustment Factor Inputs</t>
  </si>
  <si>
    <t>EOLWD</t>
  </si>
  <si>
    <t>fy18</t>
  </si>
  <si>
    <t>calculated on 9/21/16</t>
  </si>
  <si>
    <t>EQV</t>
  </si>
  <si>
    <t>DOR</t>
  </si>
  <si>
    <t>2016 EQV</t>
  </si>
  <si>
    <t>Copied in from DOR file 12/12/16</t>
  </si>
  <si>
    <t>Income</t>
  </si>
  <si>
    <t>2014 Income</t>
  </si>
  <si>
    <t>12/20/16 from DOR</t>
  </si>
  <si>
    <t>ESE</t>
  </si>
  <si>
    <t>FY18 except for Postgrad</t>
  </si>
  <si>
    <t>Postgrad Enrollment</t>
  </si>
  <si>
    <t>ESE-CVTE office</t>
  </si>
  <si>
    <t>MRGFs</t>
  </si>
  <si>
    <t>DOR/ANF</t>
  </si>
  <si>
    <t>FY18 1/6/16</t>
  </si>
  <si>
    <t>Rcvd from DOR 1/6/16</t>
  </si>
  <si>
    <t>Manual Adjustments</t>
  </si>
  <si>
    <t>Minuteman - 6 town withdrawal</t>
  </si>
  <si>
    <t>\\Ese-fps-mal-001\shared\FINANCE\SCHFIN\FY18data\c70fy18\enro\District Specific\18MinutemanWithdrawal_manualfoundenroadj_2016-12-7.xlsx</t>
  </si>
  <si>
    <t>6 member towns leaving Minuteman, have to allocate a piece of Minuteman's aid to each - done</t>
  </si>
  <si>
    <t>Reduces Taunton's foundation budget by 935,000 in aid436 (enrollment correction) - done</t>
  </si>
  <si>
    <t>Eco Dis</t>
  </si>
  <si>
    <t>HWM: All post H1 enrollment corrections + 15% of HC</t>
  </si>
  <si>
    <t>Which version of mrgf? 1 = Gov</t>
  </si>
  <si>
    <t>Gov FY18 HWM</t>
  </si>
  <si>
    <t>regdetail</t>
  </si>
  <si>
    <t>org4code</t>
  </si>
  <si>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</si>
  <si>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</si>
  <si>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</si>
  <si>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</si>
  <si>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</si>
  <si>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</si>
  <si>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</si>
  <si>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</si>
  <si>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</si>
  <si>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</si>
  <si>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</si>
  <si>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</si>
  <si>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</si>
  <si>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</si>
  <si>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</si>
  <si>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</si>
  <si>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</si>
  <si>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</si>
  <si>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</si>
  <si>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</si>
  <si>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</si>
  <si>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</si>
  <si>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</si>
  <si>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</si>
  <si>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</si>
  <si>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</si>
  <si>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</si>
  <si>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</si>
  <si>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</si>
  <si>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</si>
  <si>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</si>
  <si>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</si>
  <si>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</si>
  <si>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</si>
  <si>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</si>
  <si>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</si>
  <si>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</si>
  <si>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</si>
  <si>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</si>
  <si>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</si>
  <si>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</si>
  <si>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</si>
  <si>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</si>
  <si>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</si>
  <si>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</si>
  <si>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</si>
  <si>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</si>
  <si>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</si>
  <si>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</si>
  <si>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</si>
  <si>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</si>
  <si>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</si>
  <si>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</si>
  <si>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</si>
  <si>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</si>
  <si>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</si>
  <si>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</si>
  <si>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</si>
  <si>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</si>
  <si>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</si>
  <si>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</si>
  <si>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</si>
  <si>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</si>
  <si>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</si>
  <si>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</si>
  <si>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</si>
  <si>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</si>
  <si>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</si>
  <si>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</si>
  <si>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</si>
  <si>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</si>
  <si>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</si>
  <si>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</si>
  <si>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</si>
  <si>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</si>
  <si>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</si>
  <si>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</si>
  <si>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</si>
  <si>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</si>
  <si>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</si>
  <si>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</si>
  <si>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</si>
  <si>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</si>
  <si>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</si>
  <si>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</si>
  <si>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</si>
  <si>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</si>
  <si>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</si>
  <si>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</si>
  <si>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</si>
  <si>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</si>
  <si>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</si>
  <si>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</si>
  <si>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</si>
  <si>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</si>
  <si>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</si>
  <si>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</si>
  <si>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</si>
  <si>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</si>
  <si>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</si>
  <si>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</si>
  <si>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</si>
  <si>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</si>
  <si>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</si>
  <si>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</si>
  <si>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</si>
  <si>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</si>
  <si>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</si>
  <si>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</si>
  <si>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</si>
  <si>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</si>
  <si>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</si>
  <si>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</si>
  <si>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</si>
  <si>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</si>
  <si>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</si>
  <si>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</si>
  <si>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</si>
  <si>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</si>
  <si>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</si>
  <si>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</si>
  <si>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</si>
  <si>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</si>
  <si>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</si>
  <si>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</si>
  <si>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</si>
  <si>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</si>
  <si>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</si>
  <si>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</si>
  <si>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</si>
  <si>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</si>
  <si>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</si>
  <si>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</si>
  <si>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</si>
  <si>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</si>
  <si>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</si>
  <si>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</si>
  <si>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</si>
  <si>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</si>
  <si>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</si>
  <si>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</si>
  <si>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</si>
  <si>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</si>
  <si>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</si>
  <si>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</si>
  <si>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</si>
  <si>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</si>
  <si>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</si>
  <si>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</si>
  <si>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</si>
  <si>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</si>
  <si>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</si>
  <si>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</si>
  <si>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</si>
  <si>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</si>
  <si>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</si>
  <si>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</si>
  <si>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</si>
  <si>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</si>
  <si>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</si>
  <si>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</si>
  <si>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</si>
  <si>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</si>
  <si>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</si>
  <si>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</si>
  <si>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</si>
  <si>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</si>
  <si>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</si>
  <si>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</si>
  <si>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</si>
  <si>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</si>
  <si>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</si>
  <si>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</si>
  <si>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</si>
  <si>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</si>
  <si>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</si>
  <si>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</si>
  <si>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</si>
  <si>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</si>
  <si>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</si>
  <si>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</si>
  <si>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</si>
  <si>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</si>
  <si>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</si>
  <si>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</si>
  <si>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</si>
  <si>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</si>
  <si>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</si>
  <si>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</si>
  <si>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</si>
  <si>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</si>
  <si>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</si>
  <si>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</si>
  <si>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</si>
  <si>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</si>
  <si>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</si>
  <si>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</si>
  <si>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</si>
  <si>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</si>
  <si>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</si>
  <si>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</si>
  <si>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</si>
  <si>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</si>
  <si>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</si>
  <si>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</si>
  <si>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</si>
  <si>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</si>
  <si>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</si>
  <si>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</si>
  <si>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</si>
  <si>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</si>
  <si>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</si>
  <si>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</si>
  <si>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</si>
  <si>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</si>
  <si>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</si>
  <si>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</si>
  <si>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</si>
  <si>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</si>
  <si>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</si>
  <si>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</si>
  <si>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</si>
  <si>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</si>
  <si>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</si>
  <si>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</si>
  <si>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</si>
  <si>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</si>
  <si>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</si>
  <si>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</si>
  <si>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</si>
  <si>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</si>
  <si>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</si>
  <si>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</si>
  <si>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</si>
  <si>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</si>
  <si>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</si>
  <si>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</si>
  <si>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</si>
  <si>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</si>
  <si>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</si>
  <si>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</si>
  <si>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</si>
  <si>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</si>
  <si>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</si>
  <si>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</si>
  <si>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</si>
  <si>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</si>
  <si>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</si>
  <si>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</si>
  <si>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</si>
  <si>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</si>
  <si>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</si>
  <si>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</si>
  <si>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</si>
  <si>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</si>
  <si>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</si>
  <si>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</si>
  <si>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</si>
  <si>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</si>
  <si>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</si>
  <si>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</si>
  <si>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</si>
  <si>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</si>
  <si>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</si>
  <si>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</si>
  <si>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</si>
  <si>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</si>
  <si>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</si>
  <si>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</si>
  <si>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</si>
  <si>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</si>
  <si>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</si>
  <si>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</si>
  <si>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</si>
  <si>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</si>
  <si>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</si>
  <si>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</si>
  <si>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</si>
  <si>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</si>
  <si>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</si>
  <si>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</si>
  <si>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</si>
  <si>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</si>
  <si>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</si>
  <si>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</si>
  <si>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</si>
  <si>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</si>
  <si>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</si>
  <si>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</si>
  <si>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</si>
  <si>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</si>
  <si>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</si>
  <si>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</si>
  <si>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</si>
  <si>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</si>
  <si>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</si>
  <si>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</si>
  <si>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</si>
  <si>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</si>
  <si>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</si>
  <si>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</si>
  <si>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</si>
  <si>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</si>
  <si>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</si>
  <si>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</si>
  <si>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</si>
  <si>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</si>
  <si>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</si>
  <si>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</si>
  <si>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</si>
  <si>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</si>
  <si>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</si>
  <si>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</si>
  <si>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</si>
  <si>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</si>
  <si>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</si>
  <si>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</si>
  <si>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</si>
  <si>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</si>
  <si>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</si>
  <si>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</si>
  <si>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</si>
  <si>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</si>
  <si>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</si>
  <si>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</si>
  <si>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</si>
  <si>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</si>
  <si>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</si>
  <si>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</si>
  <si>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</si>
  <si>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</si>
  <si>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</si>
  <si>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</si>
  <si>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</si>
  <si>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</si>
  <si>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</si>
  <si>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</si>
  <si>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</si>
  <si>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</si>
  <si>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</si>
  <si>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</si>
  <si>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</si>
  <si>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</si>
  <si>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</si>
  <si>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</si>
  <si>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</si>
  <si>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</si>
  <si>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</si>
  <si>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</si>
  <si>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</si>
  <si>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</si>
  <si>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</si>
  <si>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</si>
  <si>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0406</t>
  </si>
  <si>
    <t>0600</t>
  </si>
  <si>
    <t>0603</t>
  </si>
  <si>
    <t>0605</t>
  </si>
  <si>
    <t>0610</t>
  </si>
  <si>
    <t>0615</t>
  </si>
  <si>
    <t>0616</t>
  </si>
  <si>
    <t>0618</t>
  </si>
  <si>
    <t>0620</t>
  </si>
  <si>
    <t>0622</t>
  </si>
  <si>
    <t>0625</t>
  </si>
  <si>
    <t>0632</t>
  </si>
  <si>
    <t>0635</t>
  </si>
  <si>
    <t>0640</t>
  </si>
  <si>
    <t>0645</t>
  </si>
  <si>
    <t>0650</t>
  </si>
  <si>
    <t>0655</t>
  </si>
  <si>
    <t>0658</t>
  </si>
  <si>
    <t>0660</t>
  </si>
  <si>
    <t>0662</t>
  </si>
  <si>
    <t>0665</t>
  </si>
  <si>
    <t>0670</t>
  </si>
  <si>
    <t>0672</t>
  </si>
  <si>
    <t>0673</t>
  </si>
  <si>
    <t>0674</t>
  </si>
  <si>
    <t>0675</t>
  </si>
  <si>
    <t>0680</t>
  </si>
  <si>
    <t>0683</t>
  </si>
  <si>
    <t>0685</t>
  </si>
  <si>
    <t>0690</t>
  </si>
  <si>
    <t>0695</t>
  </si>
  <si>
    <t>0698</t>
  </si>
  <si>
    <t>0700</t>
  </si>
  <si>
    <t>0705</t>
  </si>
  <si>
    <t>0710</t>
  </si>
  <si>
    <t>0712</t>
  </si>
  <si>
    <t>0715</t>
  </si>
  <si>
    <t>0717</t>
  </si>
  <si>
    <t>0720</t>
  </si>
  <si>
    <t>0725</t>
  </si>
  <si>
    <t>0728</t>
  </si>
  <si>
    <t>0730</t>
  </si>
  <si>
    <t>0735</t>
  </si>
  <si>
    <t>0740</t>
  </si>
  <si>
    <t>0745</t>
  </si>
  <si>
    <t>0750</t>
  </si>
  <si>
    <t>0753</t>
  </si>
  <si>
    <t>0755</t>
  </si>
  <si>
    <t>0760</t>
  </si>
  <si>
    <t>0763</t>
  </si>
  <si>
    <t>0765</t>
  </si>
  <si>
    <t>0766</t>
  </si>
  <si>
    <t>0767</t>
  </si>
  <si>
    <t>0770</t>
  </si>
  <si>
    <t>0773</t>
  </si>
  <si>
    <t>0774</t>
  </si>
  <si>
    <t>0775</t>
  </si>
  <si>
    <t>0778</t>
  </si>
  <si>
    <t>0780</t>
  </si>
  <si>
    <t>0801</t>
  </si>
  <si>
    <t>0805</t>
  </si>
  <si>
    <t>0806</t>
  </si>
  <si>
    <t>0810</t>
  </si>
  <si>
    <t>0815</t>
  </si>
  <si>
    <t>0817</t>
  </si>
  <si>
    <t>0818</t>
  </si>
  <si>
    <t>0821</t>
  </si>
  <si>
    <t>0823</t>
  </si>
  <si>
    <t>0825</t>
  </si>
  <si>
    <t>0828</t>
  </si>
  <si>
    <t>0829</t>
  </si>
  <si>
    <t>0830</t>
  </si>
  <si>
    <t>0832</t>
  </si>
  <si>
    <t>0851</t>
  </si>
  <si>
    <t>0852</t>
  </si>
  <si>
    <t>0853</t>
  </si>
  <si>
    <t>0855</t>
  </si>
  <si>
    <t>0860</t>
  </si>
  <si>
    <t>0871</t>
  </si>
  <si>
    <t>0872</t>
  </si>
  <si>
    <t>0873</t>
  </si>
  <si>
    <t>0876</t>
  </si>
  <si>
    <t>0878</t>
  </si>
  <si>
    <t>0879</t>
  </si>
  <si>
    <t>0885</t>
  </si>
  <si>
    <t>0910</t>
  </si>
  <si>
    <t>0915</t>
  </si>
  <si>
    <t>TownLEA</t>
  </si>
  <si>
    <t>0998</t>
  </si>
  <si>
    <t>0999</t>
  </si>
  <si>
    <t>Deleted this. Changed formulas in Regional Dist Members to rely on localcont.</t>
  </si>
  <si>
    <t>localcont, leas</t>
  </si>
  <si>
    <r>
      <t xml:space="preserve">1 regional district report summarizing enrollment and local contribution for each member town
</t>
    </r>
    <r>
      <rPr>
        <i/>
        <sz val="10"/>
        <color rgb="FFFF0000"/>
        <rFont val="Calibri"/>
        <family val="2"/>
        <scheme val="minor"/>
      </rPr>
      <t>Changed in FY18 to vlookup on localcont</t>
    </r>
  </si>
  <si>
    <r>
      <t xml:space="preserve">disthist, localcont, frac, parameters
</t>
    </r>
    <r>
      <rPr>
        <i/>
        <sz val="10"/>
        <rFont val="Calibri"/>
        <family val="2"/>
        <scheme val="minor"/>
      </rPr>
      <t>Starting w/ LEA 406, in col J (target aid %), formula changes to pull from frac tab.</t>
    </r>
  </si>
  <si>
    <t>Base Foundation Components</t>
  </si>
  <si>
    <t>Incremental Costs Above The Base</t>
  </si>
  <si>
    <r>
      <t xml:space="preserve">Target </t>
    </r>
    <r>
      <rPr>
        <b/>
        <sz val="12"/>
        <rFont val="Calibri"/>
        <family val="2"/>
        <scheme val="minor"/>
      </rPr>
      <t>local</t>
    </r>
    <r>
      <rPr>
        <sz val="12"/>
        <rFont val="Calibri"/>
        <family val="2"/>
        <scheme val="minor"/>
      </rPr>
      <t xml:space="preserve"> share (row 10 as % of row 8)</t>
    </r>
  </si>
  <si>
    <r>
      <t>Target</t>
    </r>
    <r>
      <rPr>
        <b/>
        <sz val="12"/>
        <rFont val="Calibri"/>
        <family val="2"/>
        <scheme val="minor"/>
      </rPr>
      <t xml:space="preserve"> aid </t>
    </r>
    <r>
      <rPr>
        <sz val="12"/>
        <rFont val="Calibri"/>
        <family val="2"/>
        <scheme val="minor"/>
      </rPr>
      <t>share (100% minus row 11)</t>
    </r>
  </si>
  <si>
    <t>FY18 Chapter 70 Apportionment of Local Contribution Across School Districts</t>
  </si>
  <si>
    <t>District's Share of Town Foundation Budget</t>
  </si>
  <si>
    <t>Town Required Local Contribution</t>
  </si>
  <si>
    <t>Above/Below Target</t>
  </si>
  <si>
    <t>Pct of Town Enrollment</t>
  </si>
  <si>
    <t>Target</t>
  </si>
  <si>
    <t>Actual</t>
  </si>
  <si>
    <t>District Foundation Enrollment</t>
  </si>
  <si>
    <t>District Required Minimum Contribution</t>
  </si>
  <si>
    <t>FY18 Chapter 70 and Net School Spending Formula Spreadsheet</t>
  </si>
  <si>
    <t>FY18 Chapter 70 and Net School Spending Formula</t>
  </si>
  <si>
    <t>More about the data</t>
  </si>
  <si>
    <t>Back to the top</t>
  </si>
  <si>
    <t>Regional District Members</t>
  </si>
  <si>
    <t>Comparison to FY17</t>
  </si>
  <si>
    <t>This report displays the required local contribution for a single municipality. Each municipality has a target local share of its foundation budget, based on local ability to pay. The required local contribution for each municipality is based on the previous year's required contribution, and includes some transition factors so that the shift toward the target levels occurs over a period of several years.</t>
  </si>
  <si>
    <t>This report displays relevant data for municipal members of a single regional district.</t>
  </si>
  <si>
    <t>This report displays prior year and current year foundation enrollment, foundation budget, required local contribution and Chapter 70 aid for all operating districts.</t>
  </si>
  <si>
    <t>This sheet displays the FY18 foundation budget rates, and the prior year (FY17) foundation budget rates. Rates are annually adjusted for inflation.</t>
  </si>
  <si>
    <t>This sheet calculates FY18 Chapter 70 aid for each district.</t>
  </si>
  <si>
    <t>This sheet calculates FY18 required local contributions for each municipality.</t>
  </si>
  <si>
    <r>
      <t xml:space="preserve">This report displays the Chapter 70 aid calculation for a single district. The aid calculation begins with each district's FY17 Chapter 70 amount. The difference between each district's foundation budget and its required contribution equals foundation aid.  In FY18, each district is guaranteed to receive at least </t>
    </r>
    <r>
      <rPr>
        <sz val="10"/>
        <color rgb="FFFF0000"/>
        <rFont val="Calibri"/>
        <family val="2"/>
        <scheme val="minor"/>
      </rPr>
      <t>$30</t>
    </r>
    <r>
      <rPr>
        <sz val="10"/>
        <rFont val="Calibri"/>
        <family val="2"/>
        <scheme val="minor"/>
      </rPr>
      <t xml:space="preserve"> per pupil in additional Chapter 70 aid.  On the right-hand side, there is a comparison to the prior year.
</t>
    </r>
  </si>
  <si>
    <t>This report displays the allocation of a municipality's required local contribution across the districts to which it belongs. The municipality's required contribution is allocated in direct proportion to the district's share of the municipality's foundation budget.</t>
  </si>
  <si>
    <t>Key Terms</t>
  </si>
  <si>
    <t>FY18 Town Target v Actual Local Share</t>
  </si>
  <si>
    <t>Select the district you're interested in from the dropdown list on this sheet. Districts are listed by LEA number.</t>
  </si>
  <si>
    <t xml:space="preserve">This report displays the foundation enrollment and foundation budget for a single district. A district’s foundation budget is updated each year and it is derived by multiplying the number of pupils in thirteen enrollment categories by cost rates in eleven functional areas.  More on calculating the foundation budget can be found here: 
</t>
  </si>
  <si>
    <t xml:space="preserve">http://www.doe.mass.edu/finance/chapter70/chapter-cal.docx </t>
  </si>
  <si>
    <r>
      <rPr>
        <b/>
        <sz val="10"/>
        <rFont val="Calibri"/>
        <family val="2"/>
        <scheme val="minor"/>
      </rPr>
      <t>Equalized Valuation (EQV)</t>
    </r>
    <r>
      <rPr>
        <sz val="10"/>
        <rFont val="Calibri"/>
        <family val="2"/>
        <scheme val="minor"/>
      </rPr>
      <t xml:space="preserve">: Calculated by DOR every two years. Full and fair cash value of all taxable property for each municipality.
</t>
    </r>
    <r>
      <rPr>
        <b/>
        <sz val="10"/>
        <rFont val="Calibri"/>
        <family val="2"/>
        <scheme val="minor"/>
      </rPr>
      <t>Income</t>
    </r>
    <r>
      <rPr>
        <sz val="10"/>
        <rFont val="Calibri"/>
        <family val="2"/>
        <scheme val="minor"/>
      </rPr>
      <t xml:space="preserve">: Derived annually by DOR from state income tax returns. Includes all forms of wage, pension, interest, business, investment, and capital gains income.
</t>
    </r>
    <r>
      <rPr>
        <b/>
        <sz val="10"/>
        <rFont val="Calibri"/>
        <family val="2"/>
        <scheme val="minor"/>
      </rPr>
      <t>Combined Effort Yield (CEY)</t>
    </r>
    <r>
      <rPr>
        <sz val="10"/>
        <rFont val="Calibri"/>
        <family val="2"/>
        <scheme val="minor"/>
      </rPr>
      <t xml:space="preserve">: Sum of property and income effort. Based on DESE-calculated property and income percentages, which, when applied to all municipalities in the Commonwealth, yields 59% of statewide foundation coming from local revenue.
</t>
    </r>
    <r>
      <rPr>
        <b/>
        <sz val="10"/>
        <rFont val="Calibri"/>
        <family val="2"/>
        <scheme val="minor"/>
      </rPr>
      <t>Target Local Contribution/Share</t>
    </r>
    <r>
      <rPr>
        <sz val="10"/>
        <rFont val="Calibri"/>
        <family val="2"/>
        <scheme val="minor"/>
      </rPr>
      <t xml:space="preserve">: Calculated for each municipality as an equitable share of its foundation budget based on property wealth and income.
</t>
    </r>
    <r>
      <rPr>
        <b/>
        <sz val="10"/>
        <rFont val="Calibri"/>
        <family val="2"/>
        <scheme val="minor"/>
      </rPr>
      <t>Municipal Revenue Growth Factor (MRGF)</t>
    </r>
    <r>
      <rPr>
        <sz val="10"/>
        <rFont val="Calibri"/>
        <family val="2"/>
        <scheme val="minor"/>
      </rPr>
      <t xml:space="preserve">: Calculated each year by DOR and quantifies the most recent annual percentage change in each community's local revenues (such as the annual increase in the Proposition 2½ levy limit) that should be available for schools. </t>
    </r>
  </si>
  <si>
    <r>
      <rPr>
        <b/>
        <sz val="10"/>
        <rFont val="Calibri"/>
        <family val="2"/>
        <scheme val="minor"/>
      </rPr>
      <t>Foundation Aid</t>
    </r>
    <r>
      <rPr>
        <sz val="10"/>
        <rFont val="Calibri"/>
        <family val="2"/>
        <scheme val="minor"/>
      </rPr>
      <t xml:space="preserve">: The amount of aid needed by a district to reach its foundation budget, after factoring in this year's required local contribution. Foundation budget - Required Local Contribution = Foundation Aid
</t>
    </r>
    <r>
      <rPr>
        <b/>
        <sz val="10"/>
        <rFont val="Calibri"/>
        <family val="2"/>
        <scheme val="minor"/>
      </rPr>
      <t>Minimum Aid</t>
    </r>
    <r>
      <rPr>
        <sz val="10"/>
        <rFont val="Calibri"/>
        <family val="2"/>
        <scheme val="minor"/>
      </rPr>
      <t xml:space="preserve">: A guaranteed per pupil aid increase over the prior year.
</t>
    </r>
    <r>
      <rPr>
        <b/>
        <sz val="10"/>
        <rFont val="Calibri"/>
        <family val="2"/>
        <scheme val="minor"/>
      </rPr>
      <t>Required Net School Spending (NSS)</t>
    </r>
    <r>
      <rPr>
        <sz val="10"/>
        <rFont val="Calibri"/>
        <family val="2"/>
        <scheme val="minor"/>
      </rPr>
      <t>: The sum of this year's required local contribution and Chapter 70 aid. A district must spend this amount to be in compliance.</t>
    </r>
  </si>
  <si>
    <t>Minimum $30 per pupil increase</t>
  </si>
  <si>
    <r>
      <rPr>
        <b/>
        <sz val="10"/>
        <rFont val="Calibri"/>
        <family val="2"/>
        <scheme val="minor"/>
      </rPr>
      <t>District Foundation Enrollment</t>
    </r>
    <r>
      <rPr>
        <sz val="10"/>
        <rFont val="Calibri"/>
        <family val="2"/>
        <scheme val="minor"/>
      </rPr>
      <t xml:space="preserve">: Foundation enrollment for the selected district, in total and by member.
</t>
    </r>
    <r>
      <rPr>
        <b/>
        <sz val="10"/>
        <rFont val="Calibri"/>
        <family val="2"/>
        <scheme val="minor"/>
      </rPr>
      <t>District Required Minimum Contribution</t>
    </r>
    <r>
      <rPr>
        <sz val="10"/>
        <rFont val="Calibri"/>
        <family val="2"/>
        <scheme val="minor"/>
      </rPr>
      <t xml:space="preserve">: Total required minimum contribution for the selected district, in total and by member.
</t>
    </r>
    <r>
      <rPr>
        <b/>
        <sz val="10"/>
        <rFont val="Calibri"/>
        <family val="2"/>
        <scheme val="minor"/>
      </rPr>
      <t>District's Share of Town Foundation Budget</t>
    </r>
    <r>
      <rPr>
        <sz val="10"/>
        <rFont val="Calibri"/>
        <family val="2"/>
        <scheme val="minor"/>
      </rPr>
      <t xml:space="preserve">: The proportion of the town's total foundation budget related to students at the selected district. Municipalities often belong to more than one district. 
</t>
    </r>
    <r>
      <rPr>
        <b/>
        <sz val="10"/>
        <rFont val="Calibri"/>
        <family val="2"/>
        <scheme val="minor"/>
      </rPr>
      <t>Town Required Local Contribution</t>
    </r>
    <r>
      <rPr>
        <sz val="10"/>
        <rFont val="Calibri"/>
        <family val="2"/>
        <scheme val="minor"/>
      </rPr>
      <t xml:space="preserve">: The total municipal required local contribution for all of its students across all of the districts to which it belongs.
</t>
    </r>
  </si>
  <si>
    <t>SWM foundation budget and enrollment</t>
  </si>
  <si>
    <t>found17prelimSWM 4-6</t>
  </si>
  <si>
    <t>Transitional Relief</t>
  </si>
  <si>
    <t xml:space="preserve">Transitional Relief for Significant and Negative Impact </t>
  </si>
  <si>
    <t>of the Change in Low-income Enrollment Measurement</t>
  </si>
  <si>
    <t>Additional aid</t>
  </si>
  <si>
    <t>Plus $1M in reserve for charters related to eco dis</t>
  </si>
  <si>
    <r>
      <rPr>
        <b/>
        <sz val="10"/>
        <rFont val="Calibri"/>
        <family val="2"/>
        <scheme val="minor"/>
      </rPr>
      <t>Foundation Enrollment</t>
    </r>
    <r>
      <rPr>
        <sz val="10"/>
        <rFont val="Calibri"/>
        <family val="2"/>
        <scheme val="minor"/>
      </rPr>
      <t>:</t>
    </r>
    <r>
      <rPr>
        <b/>
        <sz val="10"/>
        <rFont val="Calibri"/>
        <family val="2"/>
        <scheme val="minor"/>
      </rPr>
      <t xml:space="preserve"> </t>
    </r>
    <r>
      <rPr>
        <sz val="10"/>
        <rFont val="Calibri"/>
        <family val="2"/>
        <scheme val="minor"/>
      </rPr>
      <t xml:space="preserve">A count of the students for whom a school district is financially responsible on October 1st of any given year.
</t>
    </r>
    <r>
      <rPr>
        <b/>
        <sz val="10"/>
        <rFont val="Calibri"/>
        <family val="2"/>
        <scheme val="minor"/>
      </rPr>
      <t>Inflation</t>
    </r>
    <r>
      <rPr>
        <sz val="10"/>
        <rFont val="Calibri"/>
        <family val="2"/>
        <scheme val="minor"/>
      </rPr>
      <t xml:space="preserve">: Foundation budget rates are adjusted each year by a statutorily defined inflationary factor.  It affects all districts in the same way. 
</t>
    </r>
    <r>
      <rPr>
        <b/>
        <sz val="10"/>
        <rFont val="Calibri"/>
        <family val="2"/>
        <scheme val="minor"/>
      </rPr>
      <t>Wage Adjustment Factor (WAF)</t>
    </r>
    <r>
      <rPr>
        <sz val="10"/>
        <rFont val="Calibri"/>
        <family val="2"/>
        <scheme val="minor"/>
      </rPr>
      <t xml:space="preserve">: Gives a district credit for having higher school costs if it is located in a geographic area where average wages are higher than in other areas of the state. Calculated using the latest available average wage data supplied by the state’s Executive Office of Labor and Workforce Development (EOLWD).  
</t>
    </r>
    <r>
      <rPr>
        <b/>
        <sz val="10"/>
        <rFont val="Calibri"/>
        <family val="2"/>
        <scheme val="minor"/>
      </rPr>
      <t>Economically Disadvantaged Decile</t>
    </r>
    <r>
      <rPr>
        <sz val="10"/>
        <rFont val="Calibri"/>
        <family val="2"/>
        <scheme val="minor"/>
      </rPr>
      <t>: Determined based on the relative concentration of economically disadvantaged students served in the district (decile 10 includes the districts with the greatest concentration of these students). Corresponds to a foundation budget rate for economically disadvantaged students.</t>
    </r>
  </si>
  <si>
    <r>
      <rPr>
        <i/>
        <sz val="14"/>
        <rFont val="Calibri"/>
        <family val="2"/>
        <scheme val="minor"/>
      </rPr>
      <t>TABLE OF CONTENTS</t>
    </r>
    <r>
      <rPr>
        <sz val="10"/>
        <rFont val="Calibri"/>
        <family val="2"/>
        <scheme val="minor"/>
      </rPr>
      <t xml:space="preserve">
</t>
    </r>
  </si>
  <si>
    <t>found18</t>
  </si>
  <si>
    <t>Conference Language</t>
  </si>
  <si>
    <r>
      <t xml:space="preserve">For school aid to cities, towns, regional school districts, counties maintaining agricultural schools, independent vocational schools and independent agricultural and technical schools to be distributed under chapters 70 and 76 of the General Laws and section 3; provided, that not less than $12,548,162 shall be used to provide transitional relief to school districts and charter schools whose fiscal year 2018 chapter 70 aid and tuition revenue, respectively, are significantly and negatively impacted by the change in low-income enrollment measurement; provided further, </t>
    </r>
    <r>
      <rPr>
        <sz val="10"/>
        <color rgb="FFFF0000"/>
        <rFont val="Calibri"/>
        <family val="2"/>
        <scheme val="minor"/>
      </rPr>
      <t>that these funds shall be distributed by the department not later than September 1, 2017</t>
    </r>
    <r>
      <rPr>
        <sz val="10"/>
        <rFont val="Calibri"/>
        <family val="2"/>
        <scheme val="minor"/>
      </rPr>
      <t xml:space="preserve">; and provided further, that </t>
    </r>
    <r>
      <rPr>
        <sz val="10"/>
        <color rgb="FFFF0000"/>
        <rFont val="Calibri"/>
        <family val="2"/>
        <scheme val="minor"/>
      </rPr>
      <t>the department shall submit to the house and senate committees on ways and means not later than September 1, 2017 its recommendations for adjustments to the chapter 70 foundation budget calculation for fiscal years 2019 and beyond to improve the accuracy and equity of the low-income component</t>
    </r>
    <r>
      <rPr>
        <sz val="10"/>
        <rFont val="Calibri"/>
        <family val="2"/>
        <scheme val="minor"/>
      </rPr>
      <t xml:space="preserve"> ....................................................................................... $4,746,953,715</t>
    </r>
  </si>
  <si>
    <t>GAA 7/17/2017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</si>
</sst>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6" formatCode="&quot;$&quot;#,##0_);[Red]\(&quot;$&quot;#,##0\)"/>
    <numFmt numFmtId="43" formatCode="_(* #,##0.00_);_(* \(#,##0.00\);_(* &quot;-&quot;??_);_(@_)"/>
    <numFmt numFmtId="164" formatCode="_(* #,##0_);_(* \(#,##0\);_(* &quot;-&quot;??_);_(@_)"/>
    <numFmt numFmtId="165" formatCode="0.000"/>
    <numFmt numFmtId="166" formatCode="0.0000"/>
    <numFmt numFmtId="167" formatCode="0.0"/>
    <numFmt numFmtId="168" formatCode="0.0000%"/>
    <numFmt numFmtId="169" formatCode="#,##0.0"/>
    <numFmt numFmtId="170" formatCode="0.00000000"/>
    <numFmt numFmtId="171" formatCode="0.000_)"/>
    <numFmt numFmtId="172" formatCode="0.0%"/>
    <numFmt numFmtId="173" formatCode="mm/dd/yy"/>
    <numFmt numFmtId="174" formatCode="dd\-mmm\-yy"/>
    <numFmt numFmtId="175" formatCode="m/d/yy\ h:mm\ AM/PM"/>
    <numFmt numFmtId="176" formatCode="m/d/yy;@"/>
    <numFmt numFmtId="177" formatCode="0.00_);[Red]\(0.00\)"/>
  </numFmts>
  <fonts count="89">
    <font>
      <sz val="10"/>
      <name val="Courier"/>
    </font>
    <font>
      <sz val="11"/>
      <color theme="1"/>
      <name val="Calibri"/>
      <family val="2"/>
      <scheme val="minor"/>
    </font>
    <font>
      <sz val="10"/>
      <name val="Arial"/>
      <family val="2"/>
    </font>
    <font>
      <sz val="10"/>
      <name val="Arial"/>
      <family val="2"/>
    </font>
    <font>
      <b/>
      <sz val="10"/>
      <name val="Arial Narrow"/>
      <family val="2"/>
    </font>
    <font>
      <sz val="8"/>
      <name val="Arial Narrow"/>
      <family val="2"/>
    </font>
    <font>
      <u/>
      <sz val="10"/>
      <color indexed="12"/>
      <name val="Courier"/>
      <family val="3"/>
    </font>
    <font>
      <sz val="10"/>
      <name val="Courier"/>
      <family val="3"/>
    </font>
    <font>
      <b/>
      <sz val="8"/>
      <color indexed="81"/>
      <name val="Tahoma"/>
      <family val="2"/>
    </font>
    <font>
      <sz val="8"/>
      <color indexed="81"/>
      <name val="Tahoma"/>
      <family val="2"/>
    </font>
    <font>
      <sz val="12"/>
      <name val="SWISS"/>
    </font>
    <font>
      <sz val="10"/>
      <color indexed="8"/>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name val="Times New Roman"/>
      <family val="1"/>
    </font>
    <font>
      <sz val="9"/>
      <color indexed="81"/>
      <name val="Tahoma"/>
      <family val="2"/>
    </font>
    <font>
      <b/>
      <sz val="9"/>
      <color indexed="81"/>
      <name val="Tahoma"/>
      <family val="2"/>
    </font>
    <font>
      <b/>
      <sz val="12"/>
      <name val="Calibri"/>
      <family val="2"/>
      <scheme val="minor"/>
    </font>
    <font>
      <sz val="10"/>
      <name val="Calibri"/>
      <family val="2"/>
      <scheme val="minor"/>
    </font>
    <font>
      <b/>
      <sz val="10"/>
      <name val="Calibri"/>
      <family val="2"/>
      <scheme val="minor"/>
    </font>
    <font>
      <b/>
      <u/>
      <sz val="10"/>
      <name val="Calibri"/>
      <family val="2"/>
      <scheme val="minor"/>
    </font>
    <font>
      <b/>
      <sz val="8"/>
      <name val="Calibri"/>
      <family val="2"/>
      <scheme val="minor"/>
    </font>
    <font>
      <b/>
      <i/>
      <sz val="10"/>
      <name val="Calibri"/>
      <family val="2"/>
      <scheme val="minor"/>
    </font>
    <font>
      <i/>
      <sz val="10"/>
      <name val="Calibri"/>
      <family val="2"/>
      <scheme val="minor"/>
    </font>
    <font>
      <sz val="10"/>
      <color indexed="8"/>
      <name val="Calibri"/>
      <family val="2"/>
      <scheme val="minor"/>
    </font>
    <font>
      <i/>
      <sz val="10"/>
      <color indexed="8"/>
      <name val="Calibri"/>
      <family val="2"/>
      <scheme val="minor"/>
    </font>
    <font>
      <i/>
      <sz val="8"/>
      <name val="Calibri"/>
      <family val="2"/>
      <scheme val="minor"/>
    </font>
    <font>
      <sz val="8"/>
      <name val="Calibri"/>
      <family val="2"/>
      <scheme val="minor"/>
    </font>
    <font>
      <i/>
      <sz val="12"/>
      <name val="Calibri"/>
      <family val="2"/>
      <scheme val="minor"/>
    </font>
    <font>
      <i/>
      <sz val="10"/>
      <color rgb="FFFF0000"/>
      <name val="Calibri"/>
      <family val="2"/>
      <scheme val="minor"/>
    </font>
    <font>
      <b/>
      <u/>
      <sz val="12"/>
      <name val="Calibri"/>
      <family val="2"/>
      <scheme val="minor"/>
    </font>
    <font>
      <sz val="12"/>
      <name val="Calibri"/>
      <family val="2"/>
      <scheme val="minor"/>
    </font>
    <font>
      <sz val="6"/>
      <name val="Calibri"/>
      <family val="2"/>
      <scheme val="minor"/>
    </font>
    <font>
      <b/>
      <sz val="10"/>
      <color rgb="FFFF0000"/>
      <name val="Calibri"/>
      <family val="2"/>
      <scheme val="minor"/>
    </font>
    <font>
      <b/>
      <sz val="14"/>
      <name val="Calibri"/>
      <family val="2"/>
      <scheme val="minor"/>
    </font>
    <font>
      <i/>
      <u/>
      <sz val="10"/>
      <color indexed="12"/>
      <name val="Calibri"/>
      <family val="2"/>
      <scheme val="minor"/>
    </font>
    <font>
      <b/>
      <sz val="11"/>
      <name val="Calibri"/>
      <family val="2"/>
      <scheme val="minor"/>
    </font>
    <font>
      <b/>
      <sz val="9"/>
      <name val="Calibri"/>
      <family val="2"/>
      <scheme val="minor"/>
    </font>
    <font>
      <i/>
      <sz val="9"/>
      <name val="Calibri"/>
      <family val="2"/>
      <scheme val="minor"/>
    </font>
    <font>
      <sz val="9"/>
      <name val="Calibri"/>
      <family val="2"/>
      <scheme val="minor"/>
    </font>
    <font>
      <u/>
      <sz val="9"/>
      <color indexed="12"/>
      <name val="Calibri"/>
      <family val="2"/>
      <scheme val="minor"/>
    </font>
    <font>
      <b/>
      <sz val="20"/>
      <name val="Calibri"/>
      <family val="2"/>
      <scheme val="minor"/>
    </font>
    <font>
      <sz val="10"/>
      <color theme="1"/>
      <name val="Calibri"/>
      <family val="2"/>
      <scheme val="minor"/>
    </font>
    <font>
      <b/>
      <sz val="10"/>
      <color theme="1"/>
      <name val="Calibri"/>
      <family val="2"/>
      <scheme val="minor"/>
    </font>
    <font>
      <b/>
      <sz val="9"/>
      <color rgb="FFFF0000"/>
      <name val="Calibri"/>
      <family val="2"/>
      <scheme val="minor"/>
    </font>
    <font>
      <i/>
      <sz val="10"/>
      <color theme="1"/>
      <name val="Calibri"/>
      <family val="2"/>
      <scheme val="minor"/>
    </font>
    <font>
      <b/>
      <i/>
      <sz val="12"/>
      <color rgb="FFFF0000"/>
      <name val="Calibri"/>
      <family val="2"/>
      <scheme val="minor"/>
    </font>
    <font>
      <b/>
      <sz val="12"/>
      <color rgb="FFFF0000"/>
      <name val="Calibri"/>
      <family val="2"/>
      <scheme val="minor"/>
    </font>
    <font>
      <u/>
      <sz val="10"/>
      <color indexed="12"/>
      <name val="Calibri"/>
      <family val="2"/>
      <scheme val="minor"/>
    </font>
    <font>
      <b/>
      <sz val="16"/>
      <name val="Calibri"/>
      <family val="2"/>
      <scheme val="minor"/>
    </font>
    <font>
      <b/>
      <sz val="18"/>
      <name val="Calibri"/>
      <family val="2"/>
      <scheme val="minor"/>
    </font>
    <font>
      <sz val="11"/>
      <name val="Calibri"/>
      <family val="2"/>
      <scheme val="minor"/>
    </font>
    <font>
      <u/>
      <sz val="12"/>
      <color indexed="12"/>
      <name val="Calibri"/>
      <family val="2"/>
      <scheme val="minor"/>
    </font>
    <font>
      <b/>
      <u/>
      <sz val="14"/>
      <name val="Calibri"/>
      <family val="2"/>
      <scheme val="minor"/>
    </font>
    <font>
      <sz val="14"/>
      <name val="Calibri"/>
      <family val="2"/>
      <scheme val="minor"/>
    </font>
    <font>
      <sz val="10"/>
      <color indexed="10"/>
      <name val="Calibri"/>
      <family val="2"/>
      <scheme val="minor"/>
    </font>
    <font>
      <sz val="12"/>
      <color indexed="9"/>
      <name val="Calibri"/>
      <family val="2"/>
      <scheme val="minor"/>
    </font>
    <font>
      <b/>
      <i/>
      <u/>
      <sz val="8"/>
      <color rgb="FFFF0000"/>
      <name val="Calibri"/>
      <family val="2"/>
      <scheme val="minor"/>
    </font>
    <font>
      <u/>
      <sz val="8"/>
      <color indexed="12"/>
      <name val="Calibri"/>
      <family val="2"/>
      <scheme val="minor"/>
    </font>
    <font>
      <u/>
      <sz val="8"/>
      <color indexed="12"/>
      <name val="Calibri"/>
      <family val="2"/>
    </font>
    <font>
      <b/>
      <sz val="8"/>
      <color rgb="FFFF0000"/>
      <name val="Calibri"/>
      <family val="2"/>
      <scheme val="minor"/>
    </font>
    <font>
      <strike/>
      <sz val="10"/>
      <name val="Calibri"/>
      <family val="2"/>
      <scheme val="minor"/>
    </font>
    <font>
      <i/>
      <strike/>
      <sz val="10"/>
      <color rgb="FFFF0000"/>
      <name val="Calibri"/>
      <family val="2"/>
      <scheme val="minor"/>
    </font>
    <font>
      <b/>
      <u/>
      <sz val="11"/>
      <name val="Calibri"/>
      <family val="2"/>
      <scheme val="minor"/>
    </font>
    <font>
      <b/>
      <i/>
      <sz val="12"/>
      <name val="Calibri"/>
      <family val="2"/>
      <scheme val="minor"/>
    </font>
    <font>
      <sz val="14"/>
      <name val="Courier"/>
      <family val="3"/>
    </font>
    <font>
      <u/>
      <sz val="10"/>
      <color indexed="12"/>
      <name val="Calibri"/>
      <family val="2"/>
    </font>
    <font>
      <b/>
      <sz val="16"/>
      <color theme="3"/>
      <name val="Calibri"/>
      <family val="2"/>
      <scheme val="minor"/>
    </font>
    <font>
      <b/>
      <sz val="18"/>
      <color theme="0"/>
      <name val="Calibri"/>
      <family val="2"/>
      <scheme val="minor"/>
    </font>
    <font>
      <i/>
      <sz val="14"/>
      <name val="Calibri"/>
      <family val="2"/>
      <scheme val="minor"/>
    </font>
    <font>
      <b/>
      <sz val="14"/>
      <color rgb="FF0000FF"/>
      <name val="Calibri"/>
      <family val="2"/>
      <scheme val="minor"/>
    </font>
    <font>
      <sz val="10"/>
      <color rgb="FFFF0000"/>
      <name val="Calibri"/>
      <family val="2"/>
      <scheme val="minor"/>
    </font>
    <font>
      <b/>
      <sz val="12"/>
      <color theme="0" tint="-0.499984740745262"/>
      <name val="Calibri"/>
      <family val="2"/>
      <scheme val="minor"/>
    </font>
    <font>
      <b/>
      <sz val="12"/>
      <color rgb="FF000000"/>
      <name val="Calibri"/>
      <family val="2"/>
    </font>
  </fonts>
  <fills count="4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13"/>
        <bgColor indexed="64"/>
      </patternFill>
    </fill>
    <fill>
      <patternFill patternType="solid">
        <fgColor indexed="26"/>
        <bgColor indexed="64"/>
      </patternFill>
    </fill>
    <fill>
      <patternFill patternType="solid">
        <fgColor indexed="44"/>
        <bgColor indexed="64"/>
      </patternFill>
    </fill>
    <fill>
      <patternFill patternType="solid">
        <fgColor theme="4" tint="0.59999389629810485"/>
        <bgColor indexed="64"/>
      </patternFill>
    </fill>
    <fill>
      <patternFill patternType="solid">
        <fgColor rgb="FFFFFF00"/>
        <bgColor indexed="64"/>
      </patternFill>
    </fill>
    <fill>
      <patternFill patternType="solid">
        <fgColor theme="8"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theme="1"/>
        <bgColor indexed="64"/>
      </patternFill>
    </fill>
    <fill>
      <patternFill patternType="solid">
        <fgColor theme="0" tint="-4.9989318521683403E-2"/>
        <bgColor indexed="64"/>
      </patternFill>
    </fill>
    <fill>
      <patternFill patternType="solid">
        <fgColor theme="0" tint="-0.249977111117893"/>
        <bgColor indexed="64"/>
      </patternFill>
    </fill>
  </fills>
  <borders count="2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diagonal/>
    </border>
  </borders>
  <cellStyleXfs count="52">
    <xf numFmtId="0" fontId="0" fillId="0" borderId="0"/>
    <xf numFmtId="0" fontId="12" fillId="2" borderId="0" applyNumberFormat="0" applyBorder="0" applyAlignment="0" applyProtection="0"/>
    <xf numFmtId="0" fontId="12" fillId="3" borderId="0" applyNumberFormat="0" applyBorder="0" applyAlignment="0" applyProtection="0"/>
    <xf numFmtId="0" fontId="12" fillId="4" borderId="0" applyNumberFormat="0" applyBorder="0" applyAlignment="0" applyProtection="0"/>
    <xf numFmtId="0" fontId="12" fillId="5" borderId="0" applyNumberFormat="0" applyBorder="0" applyAlignment="0" applyProtection="0"/>
    <xf numFmtId="0" fontId="12" fillId="6" borderId="0" applyNumberFormat="0" applyBorder="0" applyAlignment="0" applyProtection="0"/>
    <xf numFmtId="0" fontId="12" fillId="7" borderId="0" applyNumberFormat="0" applyBorder="0" applyAlignment="0" applyProtection="0"/>
    <xf numFmtId="0" fontId="12" fillId="8"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5" borderId="0" applyNumberFormat="0" applyBorder="0" applyAlignment="0" applyProtection="0"/>
    <xf numFmtId="0" fontId="12" fillId="8" borderId="0" applyNumberFormat="0" applyBorder="0" applyAlignment="0" applyProtection="0"/>
    <xf numFmtId="0" fontId="12" fillId="11" borderId="0" applyNumberForma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13" fillId="17" borderId="0" applyNumberFormat="0" applyBorder="0" applyAlignment="0" applyProtection="0"/>
    <xf numFmtId="0" fontId="13" fillId="18"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9" borderId="0" applyNumberFormat="0" applyBorder="0" applyAlignment="0" applyProtection="0"/>
    <xf numFmtId="0" fontId="14" fillId="3" borderId="0" applyNumberFormat="0" applyBorder="0" applyAlignment="0" applyProtection="0"/>
    <xf numFmtId="0" fontId="15" fillId="20" borderId="1" applyNumberFormat="0" applyAlignment="0" applyProtection="0"/>
    <xf numFmtId="0" fontId="16" fillId="21" borderId="2" applyNumberFormat="0" applyAlignment="0" applyProtection="0"/>
    <xf numFmtId="43" fontId="2" fillId="0" borderId="0" applyFont="0" applyFill="0" applyBorder="0" applyAlignment="0" applyProtection="0"/>
    <xf numFmtId="0" fontId="17" fillId="0" borderId="0" applyNumberFormat="0" applyFill="0" applyBorder="0" applyAlignment="0" applyProtection="0"/>
    <xf numFmtId="0" fontId="18" fillId="4" borderId="0" applyNumberFormat="0" applyBorder="0" applyAlignment="0" applyProtection="0"/>
    <xf numFmtId="0" fontId="19" fillId="0" borderId="3" applyNumberFormat="0" applyFill="0" applyAlignment="0" applyProtection="0"/>
    <xf numFmtId="0" fontId="20" fillId="0" borderId="4" applyNumberFormat="0" applyFill="0" applyAlignment="0" applyProtection="0"/>
    <xf numFmtId="0" fontId="21" fillId="0" borderId="5" applyNumberFormat="0" applyFill="0" applyAlignment="0" applyProtection="0"/>
    <xf numFmtId="0" fontId="21" fillId="0" borderId="0" applyNumberFormat="0" applyFill="0" applyBorder="0" applyAlignment="0" applyProtection="0"/>
    <xf numFmtId="0" fontId="6" fillId="0" borderId="0" applyNumberFormat="0" applyFill="0" applyBorder="0" applyAlignment="0" applyProtection="0">
      <alignment vertical="top"/>
      <protection locked="0"/>
    </xf>
    <xf numFmtId="0" fontId="22" fillId="7" borderId="1" applyNumberFormat="0" applyAlignment="0" applyProtection="0"/>
    <xf numFmtId="0" fontId="23" fillId="0" borderId="6" applyNumberFormat="0" applyFill="0" applyAlignment="0" applyProtection="0"/>
    <xf numFmtId="0" fontId="24" fillId="22" borderId="0" applyNumberFormat="0" applyBorder="0" applyAlignment="0" applyProtection="0"/>
    <xf numFmtId="0" fontId="29" fillId="0" borderId="0"/>
    <xf numFmtId="0" fontId="3" fillId="0" borderId="0"/>
    <xf numFmtId="0" fontId="10" fillId="0" borderId="0"/>
    <xf numFmtId="0" fontId="11" fillId="0" borderId="0"/>
    <xf numFmtId="0" fontId="2" fillId="23" borderId="7" applyNumberFormat="0" applyFont="0" applyAlignment="0" applyProtection="0"/>
    <xf numFmtId="0" fontId="25" fillId="20" borderId="8" applyNumberFormat="0" applyAlignment="0" applyProtection="0"/>
    <xf numFmtId="9" fontId="2" fillId="0" borderId="0" applyFont="0" applyFill="0" applyBorder="0" applyAlignment="0" applyProtection="0"/>
    <xf numFmtId="0" fontId="26" fillId="0" borderId="0" applyNumberFormat="0" applyFill="0" applyBorder="0" applyAlignment="0" applyProtection="0"/>
    <xf numFmtId="0" fontId="27" fillId="0" borderId="9" applyNumberFormat="0" applyFill="0" applyAlignment="0" applyProtection="0"/>
    <xf numFmtId="0" fontId="28" fillId="0" borderId="0" applyNumberFormat="0" applyFill="0" applyBorder="0" applyAlignment="0" applyProtection="0"/>
    <xf numFmtId="0" fontId="1" fillId="0" borderId="0"/>
    <xf numFmtId="43" fontId="1" fillId="0" borderId="0" applyFont="0" applyFill="0" applyBorder="0" applyAlignment="0" applyProtection="0"/>
    <xf numFmtId="0" fontId="7" fillId="0" borderId="0"/>
  </cellStyleXfs>
  <cellXfs count="632">
    <xf numFmtId="0" fontId="0" fillId="0" borderId="0" xfId="0"/>
    <xf numFmtId="0" fontId="4" fillId="0" borderId="0" xfId="0" applyFont="1" applyAlignment="1">
      <alignment horizontal="center"/>
    </xf>
    <xf numFmtId="0" fontId="5" fillId="0" borderId="0" xfId="0" applyFont="1"/>
    <xf numFmtId="0" fontId="4" fillId="0" borderId="0" xfId="0" applyFont="1" applyFill="1" applyAlignment="1">
      <alignment horizontal="center"/>
    </xf>
    <xf numFmtId="0" fontId="4" fillId="0" borderId="0" xfId="0" applyFont="1"/>
    <xf numFmtId="0" fontId="2" fillId="0" borderId="0" xfId="0" applyFont="1"/>
    <xf numFmtId="14" fontId="4" fillId="0" borderId="0" xfId="0" applyNumberFormat="1" applyFont="1"/>
    <xf numFmtId="0" fontId="33" fillId="0" borderId="0" xfId="0" applyFont="1"/>
    <xf numFmtId="0" fontId="33" fillId="0" borderId="0" xfId="0" applyFont="1" applyAlignment="1">
      <alignment horizontal="center"/>
    </xf>
    <xf numFmtId="164" fontId="33" fillId="0" borderId="0" xfId="28" applyNumberFormat="1" applyFont="1"/>
    <xf numFmtId="3" fontId="33" fillId="0" borderId="0" xfId="0" applyNumberFormat="1" applyFont="1"/>
    <xf numFmtId="0" fontId="34" fillId="0" borderId="0" xfId="0" applyFont="1"/>
    <xf numFmtId="0" fontId="35" fillId="0" borderId="0" xfId="0" applyFont="1"/>
    <xf numFmtId="0" fontId="34" fillId="0" borderId="0" xfId="0" applyFont="1" applyAlignment="1">
      <alignment horizontal="center"/>
    </xf>
    <xf numFmtId="0" fontId="37" fillId="0" borderId="0" xfId="0" applyFont="1"/>
    <xf numFmtId="0" fontId="38" fillId="0" borderId="0" xfId="0" applyFont="1"/>
    <xf numFmtId="0" fontId="33" fillId="0" borderId="0" xfId="0" applyFont="1" applyAlignment="1">
      <alignment horizontal="center" wrapText="1"/>
    </xf>
    <xf numFmtId="3" fontId="33" fillId="29" borderId="0" xfId="0" applyNumberFormat="1" applyFont="1" applyFill="1"/>
    <xf numFmtId="0" fontId="34" fillId="0" borderId="0" xfId="0" applyFont="1" applyAlignment="1">
      <alignment horizontal="left"/>
    </xf>
    <xf numFmtId="14" fontId="33" fillId="0" borderId="0" xfId="0" applyNumberFormat="1" applyFont="1"/>
    <xf numFmtId="0" fontId="41" fillId="0" borderId="0" xfId="0" applyFont="1"/>
    <xf numFmtId="0" fontId="33" fillId="41" borderId="0" xfId="0" applyFont="1" applyFill="1" applyAlignment="1">
      <alignment horizontal="right"/>
    </xf>
    <xf numFmtId="10" fontId="33" fillId="0" borderId="0" xfId="0" applyNumberFormat="1" applyFont="1" applyFill="1" applyAlignment="1">
      <alignment horizontal="right"/>
    </xf>
    <xf numFmtId="9" fontId="33" fillId="41" borderId="0" xfId="45" applyFont="1" applyFill="1" applyAlignment="1">
      <alignment horizontal="right"/>
    </xf>
    <xf numFmtId="9" fontId="41" fillId="0" borderId="0" xfId="0" applyNumberFormat="1" applyFont="1"/>
    <xf numFmtId="0" fontId="36" fillId="0" borderId="0" xfId="0" applyFont="1"/>
    <xf numFmtId="0" fontId="42" fillId="0" borderId="0" xfId="0" applyFont="1"/>
    <xf numFmtId="1" fontId="41" fillId="0" borderId="0" xfId="0" applyNumberFormat="1" applyFont="1"/>
    <xf numFmtId="0" fontId="42" fillId="0" borderId="10" xfId="0" applyFont="1" applyFill="1" applyBorder="1"/>
    <xf numFmtId="0" fontId="36" fillId="0" borderId="10" xfId="0" applyFont="1" applyFill="1" applyBorder="1" applyAlignment="1">
      <alignment horizontal="center"/>
    </xf>
    <xf numFmtId="167" fontId="36" fillId="0" borderId="10" xfId="0" applyNumberFormat="1" applyFont="1" applyFill="1" applyBorder="1"/>
    <xf numFmtId="37" fontId="33" fillId="0" borderId="0" xfId="0" applyNumberFormat="1" applyFont="1"/>
    <xf numFmtId="0" fontId="34" fillId="0" borderId="0" xfId="0" applyFont="1" applyAlignment="1">
      <alignment horizontal="right"/>
    </xf>
    <xf numFmtId="0" fontId="41" fillId="0" borderId="0" xfId="0" applyFont="1" applyFill="1" applyBorder="1"/>
    <xf numFmtId="169" fontId="42" fillId="0" borderId="0" xfId="0" applyNumberFormat="1" applyFont="1" applyFill="1" applyBorder="1"/>
    <xf numFmtId="167" fontId="42" fillId="0" borderId="0" xfId="0" applyNumberFormat="1" applyFont="1" applyFill="1" applyBorder="1"/>
    <xf numFmtId="169" fontId="42" fillId="37" borderId="0" xfId="0" applyNumberFormat="1" applyFont="1" applyFill="1" applyBorder="1"/>
    <xf numFmtId="3" fontId="33" fillId="0" borderId="0" xfId="0" quotePrefix="1" applyNumberFormat="1" applyFont="1"/>
    <xf numFmtId="172" fontId="41" fillId="0" borderId="0" xfId="0" applyNumberFormat="1" applyFont="1"/>
    <xf numFmtId="0" fontId="41" fillId="0" borderId="10" xfId="0" applyFont="1" applyFill="1" applyBorder="1"/>
    <xf numFmtId="169" fontId="42" fillId="0" borderId="10" xfId="0" applyNumberFormat="1" applyFont="1" applyFill="1" applyBorder="1"/>
    <xf numFmtId="167" fontId="42" fillId="0" borderId="10" xfId="0" applyNumberFormat="1" applyFont="1" applyFill="1" applyBorder="1"/>
    <xf numFmtId="43" fontId="41" fillId="0" borderId="0" xfId="0" applyNumberFormat="1" applyFont="1"/>
    <xf numFmtId="10" fontId="41" fillId="0" borderId="0" xfId="45" applyNumberFormat="1" applyFont="1"/>
    <xf numFmtId="9" fontId="41" fillId="0" borderId="0" xfId="0" applyNumberFormat="1" applyFont="1" applyAlignment="1">
      <alignment horizontal="center"/>
    </xf>
    <xf numFmtId="169" fontId="34" fillId="0" borderId="0" xfId="0" applyNumberFormat="1" applyFont="1"/>
    <xf numFmtId="169" fontId="33" fillId="0" borderId="0" xfId="0" applyNumberFormat="1" applyFont="1"/>
    <xf numFmtId="172" fontId="33" fillId="41" borderId="0" xfId="45" applyNumberFormat="1" applyFont="1" applyFill="1" applyAlignment="1">
      <alignment horizontal="right"/>
    </xf>
    <xf numFmtId="10" fontId="41" fillId="0" borderId="0" xfId="0" applyNumberFormat="1" applyFont="1"/>
    <xf numFmtId="0" fontId="33" fillId="0" borderId="0" xfId="0" applyFont="1" applyFill="1"/>
    <xf numFmtId="37" fontId="38" fillId="0" borderId="0" xfId="0" applyNumberFormat="1" applyFont="1"/>
    <xf numFmtId="3" fontId="33" fillId="28" borderId="0" xfId="0" applyNumberFormat="1" applyFont="1" applyFill="1"/>
    <xf numFmtId="3" fontId="33" fillId="28" borderId="0" xfId="0" applyNumberFormat="1" applyFont="1" applyFill="1" applyAlignment="1">
      <alignment wrapText="1"/>
    </xf>
    <xf numFmtId="3" fontId="33" fillId="28" borderId="0" xfId="0" quotePrefix="1" applyNumberFormat="1" applyFont="1" applyFill="1" applyAlignment="1">
      <alignment wrapText="1"/>
    </xf>
    <xf numFmtId="168" fontId="33" fillId="28" borderId="0" xfId="0" applyNumberFormat="1" applyFont="1" applyFill="1"/>
    <xf numFmtId="10" fontId="33" fillId="28" borderId="0" xfId="0" applyNumberFormat="1" applyFont="1" applyFill="1"/>
    <xf numFmtId="0" fontId="33" fillId="0" borderId="0" xfId="0" applyFont="1" applyBorder="1"/>
    <xf numFmtId="0" fontId="41" fillId="0" borderId="22" xfId="0" applyFont="1" applyFill="1" applyBorder="1"/>
    <xf numFmtId="169" fontId="42" fillId="0" borderId="22" xfId="0" applyNumberFormat="1" applyFont="1" applyFill="1" applyBorder="1"/>
    <xf numFmtId="167" fontId="42" fillId="0" borderId="22" xfId="0" applyNumberFormat="1" applyFont="1" applyFill="1" applyBorder="1"/>
    <xf numFmtId="167" fontId="42" fillId="37" borderId="22" xfId="0" applyNumberFormat="1" applyFont="1" applyFill="1" applyBorder="1"/>
    <xf numFmtId="167" fontId="42" fillId="37" borderId="10" xfId="0" applyNumberFormat="1" applyFont="1" applyFill="1" applyBorder="1"/>
    <xf numFmtId="3" fontId="33" fillId="0" borderId="0" xfId="0" applyNumberFormat="1" applyFont="1" applyFill="1"/>
    <xf numFmtId="3" fontId="34" fillId="33" borderId="0" xfId="0" applyNumberFormat="1" applyFont="1" applyFill="1"/>
    <xf numFmtId="175" fontId="33" fillId="0" borderId="0" xfId="0" applyNumberFormat="1" applyFont="1" applyFill="1" applyAlignment="1">
      <alignment horizontal="left"/>
    </xf>
    <xf numFmtId="0" fontId="38" fillId="0" borderId="0" xfId="0" applyFont="1" applyAlignment="1">
      <alignment horizontal="center"/>
    </xf>
    <xf numFmtId="0" fontId="34" fillId="0" borderId="0" xfId="0" applyFont="1" applyFill="1" applyAlignment="1">
      <alignment horizontal="center"/>
    </xf>
    <xf numFmtId="0" fontId="43" fillId="0" borderId="0" xfId="0" applyFont="1" applyAlignment="1">
      <alignment horizontal="center"/>
    </xf>
    <xf numFmtId="2" fontId="33" fillId="0" borderId="0" xfId="0" applyNumberFormat="1" applyFont="1"/>
    <xf numFmtId="14" fontId="33" fillId="0" borderId="0" xfId="0" applyNumberFormat="1" applyFont="1" applyAlignment="1">
      <alignment horizontal="center"/>
    </xf>
    <xf numFmtId="3" fontId="33" fillId="0" borderId="0" xfId="0" quotePrefix="1" applyNumberFormat="1" applyFont="1" applyFill="1"/>
    <xf numFmtId="167" fontId="33" fillId="0" borderId="0" xfId="0" applyNumberFormat="1" applyFont="1"/>
    <xf numFmtId="0" fontId="32" fillId="0" borderId="0" xfId="41" applyFont="1"/>
    <xf numFmtId="14" fontId="33" fillId="0" borderId="0" xfId="41" applyNumberFormat="1" applyFont="1" applyAlignment="1">
      <alignment horizontal="left"/>
    </xf>
    <xf numFmtId="1" fontId="32" fillId="0" borderId="0" xfId="41" applyNumberFormat="1" applyFont="1"/>
    <xf numFmtId="0" fontId="33" fillId="0" borderId="0" xfId="41" applyFont="1" applyAlignment="1">
      <alignment horizontal="left"/>
    </xf>
    <xf numFmtId="39" fontId="32" fillId="0" borderId="0" xfId="41" applyNumberFormat="1" applyFont="1" applyAlignment="1" applyProtection="1">
      <alignment horizontal="center"/>
    </xf>
    <xf numFmtId="0" fontId="32" fillId="0" borderId="0" xfId="41" applyFont="1" applyAlignment="1">
      <alignment horizontal="center"/>
    </xf>
    <xf numFmtId="1" fontId="32" fillId="0" borderId="0" xfId="41" applyNumberFormat="1" applyFont="1" applyAlignment="1">
      <alignment horizontal="center"/>
    </xf>
    <xf numFmtId="0" fontId="45" fillId="0" borderId="0" xfId="41" applyFont="1" applyAlignment="1">
      <alignment horizontal="left"/>
    </xf>
    <xf numFmtId="0" fontId="34" fillId="0" borderId="0" xfId="41" applyFont="1" applyAlignment="1">
      <alignment horizontal="center"/>
    </xf>
    <xf numFmtId="1" fontId="34" fillId="0" borderId="0" xfId="41" applyNumberFormat="1" applyFont="1" applyAlignment="1">
      <alignment horizontal="center"/>
    </xf>
    <xf numFmtId="39" fontId="34" fillId="0" borderId="0" xfId="41" applyNumberFormat="1" applyFont="1" applyAlignment="1" applyProtection="1">
      <alignment horizontal="center"/>
    </xf>
    <xf numFmtId="0" fontId="37" fillId="0" borderId="0" xfId="41" applyFont="1" applyAlignment="1">
      <alignment horizontal="center"/>
    </xf>
    <xf numFmtId="1" fontId="37" fillId="0" borderId="0" xfId="41" applyNumberFormat="1" applyFont="1" applyAlignment="1">
      <alignment horizontal="center"/>
    </xf>
    <xf numFmtId="0" fontId="37" fillId="0" borderId="0" xfId="41" applyFont="1"/>
    <xf numFmtId="0" fontId="34" fillId="0" borderId="0" xfId="41" applyFont="1"/>
    <xf numFmtId="1" fontId="37" fillId="0" borderId="0" xfId="41" applyNumberFormat="1" applyFont="1"/>
    <xf numFmtId="0" fontId="33" fillId="0" borderId="0" xfId="41" applyFont="1"/>
    <xf numFmtId="1" fontId="46" fillId="0" borderId="0" xfId="41" applyNumberFormat="1" applyFont="1"/>
    <xf numFmtId="0" fontId="46" fillId="0" borderId="0" xfId="41" applyFont="1"/>
    <xf numFmtId="37" fontId="34" fillId="0" borderId="0" xfId="0" applyNumberFormat="1" applyFont="1"/>
    <xf numFmtId="171" fontId="34" fillId="0" borderId="0" xfId="0" applyNumberFormat="1" applyFont="1"/>
    <xf numFmtId="37" fontId="32" fillId="0" borderId="0" xfId="41" applyNumberFormat="1" applyFont="1" applyProtection="1"/>
    <xf numFmtId="0" fontId="42" fillId="0" borderId="0" xfId="0" applyFont="1" applyAlignment="1">
      <alignment horizontal="center" vertical="top" wrapText="1"/>
    </xf>
    <xf numFmtId="0" fontId="42" fillId="0" borderId="0" xfId="0" applyFont="1" applyFill="1" applyAlignment="1">
      <alignment horizontal="center" vertical="top" wrapText="1"/>
    </xf>
    <xf numFmtId="0" fontId="47" fillId="0" borderId="0" xfId="0" applyFont="1" applyAlignment="1">
      <alignment horizontal="center" vertical="top" wrapText="1"/>
    </xf>
    <xf numFmtId="0" fontId="42" fillId="0" borderId="0" xfId="0" applyFont="1" applyAlignment="1">
      <alignment wrapText="1"/>
    </xf>
    <xf numFmtId="0" fontId="42" fillId="0" borderId="0" xfId="0" applyFont="1" applyFill="1" applyAlignment="1">
      <alignment wrapText="1"/>
    </xf>
    <xf numFmtId="0" fontId="34" fillId="0" borderId="0" xfId="0" applyFont="1" applyAlignment="1"/>
    <xf numFmtId="0" fontId="34" fillId="0" borderId="0" xfId="0" applyFont="1" applyAlignment="1">
      <alignment horizontal="center" vertical="top"/>
    </xf>
    <xf numFmtId="0" fontId="34" fillId="0" borderId="0" xfId="0" applyFont="1" applyFill="1" applyAlignment="1">
      <alignment horizontal="center" vertical="top"/>
    </xf>
    <xf numFmtId="0" fontId="33" fillId="0" borderId="0" xfId="0" applyNumberFormat="1" applyFont="1" applyBorder="1"/>
    <xf numFmtId="2" fontId="33" fillId="0" borderId="0" xfId="0" applyNumberFormat="1" applyFont="1" applyFill="1" applyAlignment="1">
      <alignment horizontal="center"/>
    </xf>
    <xf numFmtId="0" fontId="34" fillId="0" borderId="0" xfId="0" applyNumberFormat="1" applyFont="1" applyBorder="1"/>
    <xf numFmtId="3" fontId="34" fillId="0" borderId="0" xfId="0" applyNumberFormat="1" applyFont="1"/>
    <xf numFmtId="0" fontId="34" fillId="0" borderId="0" xfId="0" applyFont="1" applyFill="1"/>
    <xf numFmtId="0" fontId="34" fillId="0" borderId="0" xfId="0" applyFont="1" applyBorder="1"/>
    <xf numFmtId="0" fontId="48" fillId="0" borderId="0" xfId="0" applyFont="1"/>
    <xf numFmtId="164" fontId="33" fillId="0" borderId="0" xfId="0" applyNumberFormat="1" applyFont="1"/>
    <xf numFmtId="0" fontId="33" fillId="0" borderId="0" xfId="0" applyFont="1" applyAlignment="1">
      <alignment wrapText="1"/>
    </xf>
    <xf numFmtId="0" fontId="33" fillId="0" borderId="0" xfId="0" applyFont="1" applyFill="1" applyAlignment="1">
      <alignment horizontal="center" wrapText="1"/>
    </xf>
    <xf numFmtId="16" fontId="33" fillId="0" borderId="0" xfId="0" applyNumberFormat="1" applyFont="1" applyFill="1" applyAlignment="1">
      <alignment horizontal="center" wrapText="1"/>
    </xf>
    <xf numFmtId="16" fontId="33" fillId="0" borderId="0" xfId="0" applyNumberFormat="1" applyFont="1" applyFill="1" applyAlignment="1">
      <alignment horizontal="center"/>
    </xf>
    <xf numFmtId="174" fontId="33" fillId="0" borderId="0" xfId="0" applyNumberFormat="1" applyFont="1" applyFill="1" applyAlignment="1">
      <alignment horizontal="center"/>
    </xf>
    <xf numFmtId="0" fontId="38" fillId="0" borderId="0" xfId="0" applyFont="1" applyAlignment="1"/>
    <xf numFmtId="0" fontId="38" fillId="0" borderId="0" xfId="0" applyFont="1" applyFill="1"/>
    <xf numFmtId="0" fontId="38" fillId="0" borderId="0" xfId="0" applyFont="1" applyFill="1" applyAlignment="1"/>
    <xf numFmtId="0" fontId="33" fillId="0" borderId="0" xfId="0" applyFont="1" applyFill="1" applyAlignment="1">
      <alignment horizontal="center" vertical="center"/>
    </xf>
    <xf numFmtId="3" fontId="34" fillId="0" borderId="0" xfId="0" applyNumberFormat="1" applyFont="1" applyFill="1" applyAlignment="1">
      <alignment horizontal="center"/>
    </xf>
    <xf numFmtId="3" fontId="34" fillId="33" borderId="0" xfId="0" quotePrefix="1" applyNumberFormat="1" applyFont="1" applyFill="1" applyAlignment="1">
      <alignment horizontal="center"/>
    </xf>
    <xf numFmtId="3" fontId="34" fillId="0" borderId="0" xfId="0" applyNumberFormat="1" applyFont="1" applyFill="1" applyAlignment="1">
      <alignment horizontal="center" vertical="top"/>
    </xf>
    <xf numFmtId="10" fontId="33" fillId="0" borderId="0" xfId="0" quotePrefix="1" applyNumberFormat="1" applyFont="1"/>
    <xf numFmtId="3" fontId="33" fillId="33" borderId="0" xfId="0" applyNumberFormat="1" applyFont="1" applyFill="1" applyProtection="1"/>
    <xf numFmtId="3" fontId="33" fillId="34" borderId="0" xfId="39" applyNumberFormat="1" applyFont="1" applyFill="1"/>
    <xf numFmtId="0" fontId="33" fillId="0" borderId="0" xfId="39" applyFont="1" applyFill="1"/>
    <xf numFmtId="10" fontId="34" fillId="0" borderId="0" xfId="0" applyNumberFormat="1" applyFont="1"/>
    <xf numFmtId="3" fontId="34" fillId="33" borderId="0" xfId="0" applyNumberFormat="1" applyFont="1" applyFill="1" applyProtection="1"/>
    <xf numFmtId="3" fontId="34" fillId="0" borderId="0" xfId="0" quotePrefix="1" applyNumberFormat="1" applyFont="1" applyFill="1"/>
    <xf numFmtId="3" fontId="33" fillId="35" borderId="0" xfId="0" quotePrefix="1" applyNumberFormat="1" applyFont="1" applyFill="1"/>
    <xf numFmtId="10" fontId="33" fillId="35" borderId="0" xfId="0" quotePrefix="1" applyNumberFormat="1" applyFont="1" applyFill="1"/>
    <xf numFmtId="10" fontId="33" fillId="0" borderId="0" xfId="0" quotePrefix="1" applyNumberFormat="1" applyFont="1" applyFill="1"/>
    <xf numFmtId="3" fontId="33" fillId="25" borderId="0" xfId="0" quotePrefix="1" applyNumberFormat="1" applyFont="1" applyFill="1"/>
    <xf numFmtId="3" fontId="33" fillId="27" borderId="0" xfId="0" applyNumberFormat="1" applyFont="1" applyFill="1"/>
    <xf numFmtId="3" fontId="34" fillId="0" borderId="0" xfId="0" applyNumberFormat="1" applyFont="1" applyFill="1"/>
    <xf numFmtId="10" fontId="34" fillId="0" borderId="0" xfId="0" applyNumberFormat="1" applyFont="1" applyFill="1"/>
    <xf numFmtId="3" fontId="34" fillId="27" borderId="0" xfId="0" applyNumberFormat="1" applyFont="1" applyFill="1"/>
    <xf numFmtId="3" fontId="34" fillId="0" borderId="0" xfId="0" quotePrefix="1" applyNumberFormat="1" applyFont="1"/>
    <xf numFmtId="169" fontId="34" fillId="0" borderId="0" xfId="0" applyNumberFormat="1" applyFont="1" applyFill="1"/>
    <xf numFmtId="3" fontId="37" fillId="0" borderId="0" xfId="0" applyNumberFormat="1" applyFont="1" applyProtection="1"/>
    <xf numFmtId="3" fontId="37" fillId="0" borderId="0" xfId="0" applyNumberFormat="1" applyFont="1"/>
    <xf numFmtId="4" fontId="33" fillId="0" borderId="0" xfId="0" applyNumberFormat="1" applyFont="1"/>
    <xf numFmtId="14" fontId="46" fillId="0" borderId="0" xfId="41" applyNumberFormat="1" applyFont="1" applyAlignment="1">
      <alignment wrapText="1"/>
    </xf>
    <xf numFmtId="0" fontId="46" fillId="0" borderId="0" xfId="41" applyFont="1" applyFill="1"/>
    <xf numFmtId="4" fontId="46" fillId="0" borderId="0" xfId="41" applyNumberFormat="1" applyFont="1"/>
    <xf numFmtId="0" fontId="38" fillId="0" borderId="0" xfId="41" applyFont="1"/>
    <xf numFmtId="172" fontId="34" fillId="0" borderId="0" xfId="45" applyNumberFormat="1" applyFont="1"/>
    <xf numFmtId="0" fontId="50" fillId="0" borderId="0" xfId="35" applyFont="1" applyAlignment="1" applyProtection="1"/>
    <xf numFmtId="37" fontId="33" fillId="35" borderId="0" xfId="0" applyNumberFormat="1" applyFont="1" applyFill="1"/>
    <xf numFmtId="37" fontId="33" fillId="29" borderId="0" xfId="0" applyNumberFormat="1" applyFont="1" applyFill="1"/>
    <xf numFmtId="165" fontId="33" fillId="0" borderId="0" xfId="0" applyNumberFormat="1" applyFont="1"/>
    <xf numFmtId="0" fontId="51" fillId="0" borderId="0" xfId="41" applyFont="1" applyAlignment="1">
      <alignment vertical="center" wrapText="1"/>
    </xf>
    <xf numFmtId="0" fontId="46" fillId="0" borderId="0" xfId="41" applyFont="1" applyAlignment="1">
      <alignment horizontal="center"/>
    </xf>
    <xf numFmtId="4" fontId="46" fillId="0" borderId="0" xfId="41" applyNumberFormat="1" applyFont="1" applyAlignment="1">
      <alignment horizontal="center"/>
    </xf>
    <xf numFmtId="170" fontId="46" fillId="0" borderId="0" xfId="41" applyNumberFormat="1" applyFont="1" applyAlignment="1">
      <alignment horizontal="center"/>
    </xf>
    <xf numFmtId="0" fontId="46" fillId="0" borderId="0" xfId="0" applyFont="1" applyAlignment="1">
      <alignment horizontal="center"/>
    </xf>
    <xf numFmtId="3" fontId="46" fillId="0" borderId="0" xfId="0" applyNumberFormat="1" applyFont="1" applyAlignment="1">
      <alignment horizontal="center"/>
    </xf>
    <xf numFmtId="166" fontId="46" fillId="0" borderId="0" xfId="41" applyNumberFormat="1" applyFont="1" applyAlignment="1">
      <alignment horizontal="center"/>
    </xf>
    <xf numFmtId="37" fontId="46" fillId="0" borderId="0" xfId="41" applyNumberFormat="1" applyFont="1" applyAlignment="1" applyProtection="1">
      <alignment horizontal="center"/>
    </xf>
    <xf numFmtId="39" fontId="46" fillId="0" borderId="0" xfId="41" applyNumberFormat="1" applyFont="1" applyAlignment="1" applyProtection="1">
      <alignment horizontal="center"/>
    </xf>
    <xf numFmtId="4" fontId="46" fillId="0" borderId="0" xfId="41" applyNumberFormat="1" applyFont="1" applyAlignment="1">
      <alignment horizontal="right"/>
    </xf>
    <xf numFmtId="3" fontId="42" fillId="0" borderId="22" xfId="0" applyNumberFormat="1" applyFont="1" applyFill="1" applyBorder="1"/>
    <xf numFmtId="0" fontId="42" fillId="0" borderId="0" xfId="0" applyFont="1" applyFill="1" applyAlignment="1">
      <alignment vertical="top" wrapText="1"/>
    </xf>
    <xf numFmtId="0" fontId="42" fillId="0" borderId="0" xfId="0" applyFont="1" applyAlignment="1">
      <alignment vertical="top" wrapText="1"/>
    </xf>
    <xf numFmtId="0" fontId="33" fillId="0" borderId="0" xfId="0" applyFont="1" applyAlignment="1">
      <alignment horizontal="center" vertical="top" wrapText="1"/>
    </xf>
    <xf numFmtId="0" fontId="33" fillId="0" borderId="0" xfId="0" applyFont="1" applyFill="1" applyAlignment="1">
      <alignment wrapText="1"/>
    </xf>
    <xf numFmtId="0" fontId="52" fillId="0" borderId="0" xfId="0" applyFont="1" applyAlignment="1">
      <alignment horizontal="center"/>
    </xf>
    <xf numFmtId="0" fontId="53" fillId="0" borderId="0" xfId="0" applyFont="1" applyAlignment="1">
      <alignment horizontal="center"/>
    </xf>
    <xf numFmtId="0" fontId="52" fillId="0" borderId="0" xfId="0" applyFont="1" applyFill="1" applyAlignment="1">
      <alignment horizontal="center"/>
    </xf>
    <xf numFmtId="0" fontId="53" fillId="0" borderId="0" xfId="0" applyFont="1" applyAlignment="1"/>
    <xf numFmtId="0" fontId="54" fillId="0" borderId="0" xfId="0" applyFont="1"/>
    <xf numFmtId="0" fontId="53" fillId="0" borderId="0" xfId="0" applyFont="1" applyFill="1" applyAlignment="1">
      <alignment horizontal="center"/>
    </xf>
    <xf numFmtId="37" fontId="33" fillId="31" borderId="0" xfId="0" quotePrefix="1" applyNumberFormat="1" applyFont="1" applyFill="1"/>
    <xf numFmtId="3" fontId="33" fillId="30" borderId="0" xfId="0" applyNumberFormat="1" applyFont="1" applyFill="1"/>
    <xf numFmtId="2" fontId="33" fillId="0" borderId="0" xfId="0" quotePrefix="1" applyNumberFormat="1" applyFont="1" applyFill="1"/>
    <xf numFmtId="3" fontId="33" fillId="26" borderId="0" xfId="0" quotePrefix="1" applyNumberFormat="1" applyFont="1" applyFill="1"/>
    <xf numFmtId="4" fontId="33" fillId="0" borderId="0" xfId="0" quotePrefix="1" applyNumberFormat="1" applyFont="1" applyFill="1"/>
    <xf numFmtId="37" fontId="33" fillId="0" borderId="0" xfId="0" applyNumberFormat="1" applyFont="1" applyFill="1"/>
    <xf numFmtId="37" fontId="33" fillId="30" borderId="0" xfId="0" applyNumberFormat="1" applyFont="1" applyFill="1"/>
    <xf numFmtId="169" fontId="33" fillId="0" borderId="0" xfId="0" quotePrefix="1" applyNumberFormat="1" applyFont="1" applyFill="1"/>
    <xf numFmtId="39" fontId="33" fillId="0" borderId="0" xfId="0" applyNumberFormat="1" applyFont="1"/>
    <xf numFmtId="10" fontId="33" fillId="0" borderId="0" xfId="45" applyNumberFormat="1" applyFont="1"/>
    <xf numFmtId="3" fontId="34" fillId="30" borderId="0" xfId="0" applyNumberFormat="1" applyFont="1" applyFill="1"/>
    <xf numFmtId="169" fontId="34" fillId="0" borderId="0" xfId="0" quotePrefix="1" applyNumberFormat="1" applyFont="1"/>
    <xf numFmtId="164" fontId="34" fillId="0" borderId="0" xfId="28" applyNumberFormat="1" applyFont="1"/>
    <xf numFmtId="164" fontId="34" fillId="0" borderId="0" xfId="28" applyNumberFormat="1" applyFont="1" applyFill="1"/>
    <xf numFmtId="10" fontId="34" fillId="0" borderId="0" xfId="45" applyNumberFormat="1" applyFont="1"/>
    <xf numFmtId="37" fontId="34" fillId="0" borderId="0" xfId="0" applyNumberFormat="1" applyFont="1" applyFill="1"/>
    <xf numFmtId="0" fontId="52" fillId="29" borderId="0" xfId="0" applyFont="1" applyFill="1" applyAlignment="1">
      <alignment horizontal="center"/>
    </xf>
    <xf numFmtId="172" fontId="52" fillId="29" borderId="0" xfId="45" applyNumberFormat="1" applyFont="1" applyFill="1" applyAlignment="1">
      <alignment horizontal="center"/>
    </xf>
    <xf numFmtId="9" fontId="52" fillId="25" borderId="0" xfId="0" applyNumberFormat="1" applyFont="1" applyFill="1" applyAlignment="1">
      <alignment horizontal="center"/>
    </xf>
    <xf numFmtId="0" fontId="52" fillId="0" borderId="0" xfId="0" applyFont="1" applyAlignment="1">
      <alignment horizontal="center" wrapText="1"/>
    </xf>
    <xf numFmtId="10" fontId="52" fillId="29" borderId="0" xfId="0" applyNumberFormat="1" applyFont="1" applyFill="1" applyAlignment="1">
      <alignment horizontal="center"/>
    </xf>
    <xf numFmtId="9" fontId="52" fillId="29" borderId="0" xfId="0" applyNumberFormat="1" applyFont="1" applyFill="1" applyAlignment="1">
      <alignment horizontal="center"/>
    </xf>
    <xf numFmtId="0" fontId="52" fillId="0" borderId="0" xfId="0" applyFont="1" applyAlignment="1">
      <alignment horizontal="left"/>
    </xf>
    <xf numFmtId="0" fontId="52" fillId="30" borderId="0" xfId="0" applyFont="1" applyFill="1" applyAlignment="1">
      <alignment horizontal="center"/>
    </xf>
    <xf numFmtId="0" fontId="52" fillId="0" borderId="0" xfId="0" applyFont="1" applyAlignment="1"/>
    <xf numFmtId="0" fontId="52" fillId="0" borderId="0" xfId="0" applyFont="1" applyAlignment="1">
      <alignment horizontal="center" vertical="top"/>
    </xf>
    <xf numFmtId="4" fontId="33" fillId="0" borderId="0" xfId="0" quotePrefix="1" applyNumberFormat="1" applyFont="1" applyFill="1" applyBorder="1"/>
    <xf numFmtId="1" fontId="33" fillId="0" borderId="0" xfId="0" applyNumberFormat="1" applyFont="1"/>
    <xf numFmtId="0" fontId="52" fillId="0" borderId="0" xfId="0" applyFont="1"/>
    <xf numFmtId="0" fontId="33" fillId="0" borderId="0" xfId="0" applyFont="1" applyProtection="1"/>
    <xf numFmtId="164" fontId="33" fillId="0" borderId="0" xfId="0" applyNumberFormat="1" applyFont="1" applyFill="1" applyBorder="1"/>
    <xf numFmtId="3" fontId="33" fillId="30" borderId="0" xfId="0" quotePrefix="1" applyNumberFormat="1" applyFont="1" applyFill="1" applyBorder="1"/>
    <xf numFmtId="3" fontId="33" fillId="0" borderId="0" xfId="0" quotePrefix="1" applyNumberFormat="1" applyFont="1" applyFill="1" applyBorder="1"/>
    <xf numFmtId="1" fontId="33" fillId="0" borderId="0" xfId="0" applyNumberFormat="1" applyFont="1" applyBorder="1"/>
    <xf numFmtId="3" fontId="33" fillId="31" borderId="0" xfId="0" quotePrefix="1" applyNumberFormat="1" applyFont="1" applyFill="1" applyBorder="1"/>
    <xf numFmtId="10" fontId="33" fillId="0" borderId="0" xfId="0" applyNumberFormat="1" applyFont="1" applyBorder="1"/>
    <xf numFmtId="2" fontId="33" fillId="0" borderId="0" xfId="0" applyNumberFormat="1" applyFont="1" applyBorder="1"/>
    <xf numFmtId="10" fontId="33" fillId="0" borderId="0" xfId="0" quotePrefix="1" applyNumberFormat="1" applyFont="1" applyBorder="1"/>
    <xf numFmtId="3" fontId="33" fillId="0" borderId="0" xfId="0" applyNumberFormat="1" applyFont="1" applyFill="1" applyBorder="1"/>
    <xf numFmtId="4" fontId="33" fillId="0" borderId="0" xfId="0" applyNumberFormat="1" applyFont="1" applyBorder="1"/>
    <xf numFmtId="3" fontId="33" fillId="0" borderId="0" xfId="0" quotePrefix="1" applyNumberFormat="1" applyFont="1" applyBorder="1"/>
    <xf numFmtId="43" fontId="33" fillId="0" borderId="0" xfId="0" applyNumberFormat="1" applyFont="1"/>
    <xf numFmtId="10" fontId="33" fillId="0" borderId="0" xfId="0" applyNumberFormat="1" applyFont="1"/>
    <xf numFmtId="3" fontId="34" fillId="0" borderId="0" xfId="0" applyNumberFormat="1" applyFont="1" applyBorder="1"/>
    <xf numFmtId="167" fontId="34" fillId="0" borderId="0" xfId="0" quotePrefix="1" applyNumberFormat="1" applyFont="1" applyFill="1" applyBorder="1"/>
    <xf numFmtId="10" fontId="34" fillId="0" borderId="0" xfId="0" applyNumberFormat="1" applyFont="1" applyFill="1" applyBorder="1"/>
    <xf numFmtId="4" fontId="34" fillId="0" borderId="0" xfId="0" quotePrefix="1" applyNumberFormat="1" applyFont="1" applyFill="1"/>
    <xf numFmtId="43" fontId="34" fillId="0" borderId="0" xfId="28" applyFont="1"/>
    <xf numFmtId="1" fontId="34" fillId="0" borderId="0" xfId="0" applyNumberFormat="1" applyFont="1"/>
    <xf numFmtId="9" fontId="34" fillId="0" borderId="0" xfId="45" applyFont="1"/>
    <xf numFmtId="3" fontId="34" fillId="0" borderId="0" xfId="0" applyNumberFormat="1" applyFont="1" applyAlignment="1">
      <alignment horizontal="left"/>
    </xf>
    <xf numFmtId="0" fontId="54" fillId="0" borderId="0" xfId="0" applyFont="1" applyAlignment="1">
      <alignment wrapText="1"/>
    </xf>
    <xf numFmtId="0" fontId="55" fillId="0" borderId="0" xfId="35" applyFont="1" applyFill="1" applyAlignment="1" applyProtection="1"/>
    <xf numFmtId="14" fontId="54" fillId="0" borderId="0" xfId="0" applyNumberFormat="1" applyFont="1" applyAlignment="1">
      <alignment horizontal="center" wrapText="1"/>
    </xf>
    <xf numFmtId="0" fontId="54" fillId="0" borderId="0" xfId="0" applyFont="1" applyFill="1"/>
    <xf numFmtId="164" fontId="54" fillId="0" borderId="0" xfId="0" applyNumberFormat="1" applyFont="1"/>
    <xf numFmtId="1" fontId="54" fillId="0" borderId="0" xfId="0" applyNumberFormat="1" applyFont="1"/>
    <xf numFmtId="2" fontId="52" fillId="29" borderId="0" xfId="0" applyNumberFormat="1" applyFont="1" applyFill="1" applyAlignment="1">
      <alignment horizontal="center"/>
    </xf>
    <xf numFmtId="1" fontId="54" fillId="0" borderId="0" xfId="0" applyNumberFormat="1" applyFont="1" applyAlignment="1">
      <alignment horizontal="center"/>
    </xf>
    <xf numFmtId="168" fontId="52" fillId="29" borderId="0" xfId="0" applyNumberFormat="1" applyFont="1" applyFill="1" applyAlignment="1">
      <alignment horizontal="center"/>
    </xf>
    <xf numFmtId="3" fontId="54" fillId="0" borderId="0" xfId="0" quotePrefix="1" applyNumberFormat="1" applyFont="1" applyFill="1"/>
    <xf numFmtId="1" fontId="52" fillId="29" borderId="0" xfId="0" applyNumberFormat="1" applyFont="1" applyFill="1" applyAlignment="1">
      <alignment horizontal="center"/>
    </xf>
    <xf numFmtId="1" fontId="52" fillId="0" borderId="0" xfId="0" applyNumberFormat="1" applyFont="1" applyAlignment="1">
      <alignment horizontal="center"/>
    </xf>
    <xf numFmtId="0" fontId="52" fillId="0" borderId="0" xfId="0" applyFont="1" applyFill="1" applyAlignment="1">
      <alignment horizontal="center" vertical="top"/>
    </xf>
    <xf numFmtId="0" fontId="52" fillId="0" borderId="0" xfId="0" applyFont="1" applyAlignment="1">
      <alignment horizontal="left" vertical="top"/>
    </xf>
    <xf numFmtId="172" fontId="52" fillId="29" borderId="0" xfId="0" applyNumberFormat="1" applyFont="1" applyFill="1" applyAlignment="1">
      <alignment horizontal="center"/>
    </xf>
    <xf numFmtId="1" fontId="52" fillId="0" borderId="0" xfId="0" applyNumberFormat="1" applyFont="1" applyAlignment="1">
      <alignment horizontal="center" vertical="top"/>
    </xf>
    <xf numFmtId="0" fontId="52" fillId="0" borderId="0" xfId="0" applyFont="1" applyFill="1" applyAlignment="1">
      <alignment horizontal="left" vertical="top"/>
    </xf>
    <xf numFmtId="0" fontId="34" fillId="0" borderId="0" xfId="0" applyFont="1" applyFill="1" applyBorder="1" applyAlignment="1">
      <alignment vertical="center"/>
    </xf>
    <xf numFmtId="0" fontId="34" fillId="29" borderId="0" xfId="0" applyFont="1" applyFill="1" applyBorder="1" applyAlignment="1">
      <alignment horizontal="center" vertical="center"/>
    </xf>
    <xf numFmtId="0" fontId="33" fillId="0" borderId="0" xfId="0" applyFont="1" applyFill="1" applyBorder="1" applyAlignment="1">
      <alignment vertical="center"/>
    </xf>
    <xf numFmtId="0" fontId="33" fillId="0" borderId="0" xfId="0" applyFont="1" applyFill="1" applyBorder="1" applyAlignment="1">
      <alignment horizontal="center" vertical="center"/>
    </xf>
    <xf numFmtId="0" fontId="38" fillId="0" borderId="0" xfId="0" applyFont="1" applyFill="1" applyBorder="1" applyAlignment="1">
      <alignment vertical="center"/>
    </xf>
    <xf numFmtId="0" fontId="37" fillId="0" borderId="0" xfId="0" applyFont="1" applyFill="1" applyBorder="1" applyAlignment="1">
      <alignment vertical="center"/>
    </xf>
    <xf numFmtId="0" fontId="34" fillId="0" borderId="0" xfId="0" applyFont="1" applyFill="1" applyBorder="1" applyAlignment="1">
      <alignment horizontal="center" vertical="center"/>
    </xf>
    <xf numFmtId="0" fontId="39" fillId="0" borderId="0" xfId="42" applyFont="1" applyFill="1" applyBorder="1" applyAlignment="1">
      <alignment horizontal="center" vertical="center" wrapText="1"/>
    </xf>
    <xf numFmtId="0" fontId="39" fillId="0" borderId="0" xfId="42" applyFont="1" applyFill="1" applyBorder="1" applyAlignment="1">
      <alignment horizontal="left" vertical="center" wrapText="1"/>
    </xf>
    <xf numFmtId="0" fontId="33" fillId="0" borderId="14" xfId="0" applyFont="1" applyFill="1" applyBorder="1" applyAlignment="1">
      <alignment horizontal="center" vertical="center"/>
    </xf>
    <xf numFmtId="0" fontId="33" fillId="0" borderId="15" xfId="0" applyFont="1" applyFill="1" applyBorder="1" applyAlignment="1">
      <alignment vertical="center"/>
    </xf>
    <xf numFmtId="0" fontId="39" fillId="0" borderId="15" xfId="42" applyFont="1" applyFill="1" applyBorder="1" applyAlignment="1">
      <alignment horizontal="center" vertical="center" wrapText="1"/>
    </xf>
    <xf numFmtId="0" fontId="39" fillId="0" borderId="16" xfId="42" applyFont="1" applyFill="1" applyBorder="1" applyAlignment="1">
      <alignment horizontal="left" vertical="center" wrapText="1"/>
    </xf>
    <xf numFmtId="0" fontId="40" fillId="0" borderId="0" xfId="42" applyFont="1" applyFill="1" applyBorder="1" applyAlignment="1">
      <alignment horizontal="left" vertical="center" wrapText="1"/>
    </xf>
    <xf numFmtId="0" fontId="33" fillId="0" borderId="17" xfId="0" applyFont="1" applyFill="1" applyBorder="1" applyAlignment="1">
      <alignment horizontal="center" vertical="center"/>
    </xf>
    <xf numFmtId="0" fontId="39" fillId="0" borderId="18" xfId="42" applyFont="1" applyFill="1" applyBorder="1" applyAlignment="1">
      <alignment horizontal="left" vertical="center" wrapText="1"/>
    </xf>
    <xf numFmtId="0" fontId="33" fillId="0" borderId="19" xfId="0" applyFont="1" applyFill="1" applyBorder="1" applyAlignment="1">
      <alignment horizontal="center" vertical="center"/>
    </xf>
    <xf numFmtId="0" fontId="33" fillId="0" borderId="20" xfId="0" applyFont="1" applyFill="1" applyBorder="1" applyAlignment="1">
      <alignment vertical="center"/>
    </xf>
    <xf numFmtId="0" fontId="39" fillId="0" borderId="20" xfId="42" applyFont="1" applyFill="1" applyBorder="1" applyAlignment="1">
      <alignment horizontal="center" vertical="center" wrapText="1"/>
    </xf>
    <xf numFmtId="0" fontId="39" fillId="0" borderId="21" xfId="42" applyFont="1" applyFill="1" applyBorder="1" applyAlignment="1">
      <alignment horizontal="left" vertical="center" wrapText="1"/>
    </xf>
    <xf numFmtId="167" fontId="33" fillId="0" borderId="0" xfId="0" applyNumberFormat="1" applyFont="1" applyFill="1"/>
    <xf numFmtId="0" fontId="34" fillId="0" borderId="0" xfId="0" applyFont="1" applyFill="1" applyAlignment="1">
      <alignment horizontal="center" vertical="center"/>
    </xf>
    <xf numFmtId="0" fontId="33" fillId="0" borderId="0" xfId="0" applyFont="1" applyAlignment="1">
      <alignment vertical="center"/>
    </xf>
    <xf numFmtId="0" fontId="34" fillId="0" borderId="0" xfId="0" applyFont="1" applyAlignment="1">
      <alignment horizontal="center"/>
    </xf>
    <xf numFmtId="0" fontId="42" fillId="33" borderId="0" xfId="0" applyFont="1" applyFill="1"/>
    <xf numFmtId="0" fontId="41" fillId="0" borderId="0" xfId="0" applyFont="1" applyAlignment="1">
      <alignment horizontal="center"/>
    </xf>
    <xf numFmtId="0" fontId="34" fillId="0" borderId="0" xfId="0" applyFont="1" applyAlignment="1">
      <alignment horizontal="center"/>
    </xf>
    <xf numFmtId="0" fontId="41" fillId="0" borderId="0" xfId="0" applyFont="1" applyFill="1" applyAlignment="1">
      <alignment horizontal="center"/>
    </xf>
    <xf numFmtId="0" fontId="36" fillId="0" borderId="0" xfId="0" applyFont="1" applyFill="1" applyAlignment="1">
      <alignment horizontal="center" vertical="center" wrapText="1"/>
    </xf>
    <xf numFmtId="168" fontId="33" fillId="0" borderId="0" xfId="0" applyNumberFormat="1" applyFont="1"/>
    <xf numFmtId="14" fontId="54" fillId="0" borderId="0" xfId="0" applyNumberFormat="1" applyFont="1" applyAlignment="1">
      <alignment wrapText="1"/>
    </xf>
    <xf numFmtId="0" fontId="57" fillId="0" borderId="0" xfId="0" applyFont="1"/>
    <xf numFmtId="0" fontId="57" fillId="0" borderId="0" xfId="0" applyFont="1" applyFill="1"/>
    <xf numFmtId="0" fontId="57" fillId="0" borderId="0" xfId="0" applyFont="1" applyAlignment="1">
      <alignment horizontal="center"/>
    </xf>
    <xf numFmtId="0" fontId="60" fillId="0" borderId="0" xfId="0" applyFont="1"/>
    <xf numFmtId="0" fontId="58" fillId="0" borderId="0" xfId="0" applyFont="1" applyFill="1" applyAlignment="1">
      <alignment horizontal="center"/>
    </xf>
    <xf numFmtId="37" fontId="46" fillId="0" borderId="0" xfId="41" applyNumberFormat="1" applyFont="1"/>
    <xf numFmtId="0" fontId="33" fillId="0" borderId="0" xfId="41" applyFont="1" applyProtection="1"/>
    <xf numFmtId="10" fontId="46" fillId="0" borderId="0" xfId="41" applyNumberFormat="1" applyFont="1"/>
    <xf numFmtId="0" fontId="59" fillId="0" borderId="0" xfId="0" applyFont="1" applyFill="1" applyAlignment="1">
      <alignment horizontal="center"/>
    </xf>
    <xf numFmtId="2" fontId="52" fillId="0" borderId="0" xfId="0" applyNumberFormat="1" applyFont="1" applyFill="1" applyAlignment="1">
      <alignment horizontal="center"/>
    </xf>
    <xf numFmtId="2" fontId="34" fillId="0" borderId="0" xfId="0" applyNumberFormat="1" applyFont="1"/>
    <xf numFmtId="4" fontId="34" fillId="0" borderId="0" xfId="0" applyNumberFormat="1" applyFont="1"/>
    <xf numFmtId="0" fontId="52" fillId="0" borderId="0" xfId="0" applyFont="1" applyAlignment="1">
      <alignment horizontal="center"/>
    </xf>
    <xf numFmtId="39" fontId="46" fillId="0" borderId="0" xfId="41" applyNumberFormat="1" applyFont="1" applyAlignment="1">
      <alignment horizontal="right"/>
    </xf>
    <xf numFmtId="9" fontId="46" fillId="0" borderId="0" xfId="45" applyFont="1" applyAlignment="1">
      <alignment horizontal="center"/>
    </xf>
    <xf numFmtId="39" fontId="46" fillId="0" borderId="0" xfId="41" applyNumberFormat="1" applyFont="1"/>
    <xf numFmtId="0" fontId="52" fillId="0" borderId="0" xfId="0" applyFont="1" applyFill="1" applyAlignment="1">
      <alignment horizontal="center"/>
    </xf>
    <xf numFmtId="10" fontId="52" fillId="0" borderId="0" xfId="0" applyNumberFormat="1" applyFont="1" applyFill="1" applyAlignment="1">
      <alignment horizontal="center"/>
    </xf>
    <xf numFmtId="9" fontId="52" fillId="0" borderId="0" xfId="0" applyNumberFormat="1" applyFont="1" applyFill="1" applyAlignment="1">
      <alignment horizontal="center"/>
    </xf>
    <xf numFmtId="172" fontId="33" fillId="0" borderId="0" xfId="45" applyNumberFormat="1" applyFont="1" applyFill="1"/>
    <xf numFmtId="43" fontId="33" fillId="0" borderId="0" xfId="28" applyFont="1" applyFill="1"/>
    <xf numFmtId="10" fontId="33" fillId="0" borderId="0" xfId="45" applyNumberFormat="1" applyFont="1" applyFill="1"/>
    <xf numFmtId="9" fontId="33" fillId="0" borderId="0" xfId="45" applyFont="1" applyFill="1" applyAlignment="1">
      <alignment horizontal="right"/>
    </xf>
    <xf numFmtId="172" fontId="41" fillId="0" borderId="0" xfId="0" applyNumberFormat="1" applyFont="1" applyFill="1"/>
    <xf numFmtId="0" fontId="33" fillId="0" borderId="0" xfId="0" applyFont="1" applyFill="1" applyAlignment="1">
      <alignment horizontal="right"/>
    </xf>
    <xf numFmtId="0" fontId="41" fillId="0" borderId="0" xfId="45" applyNumberFormat="1" applyFont="1" applyFill="1"/>
    <xf numFmtId="167" fontId="41" fillId="0" borderId="0" xfId="45" applyNumberFormat="1" applyFont="1" applyFill="1"/>
    <xf numFmtId="9" fontId="41" fillId="0" borderId="0" xfId="0" applyNumberFormat="1" applyFont="1" applyFill="1"/>
    <xf numFmtId="1" fontId="52" fillId="0" borderId="0" xfId="0" applyNumberFormat="1" applyFont="1" applyFill="1" applyAlignment="1">
      <alignment horizontal="center"/>
    </xf>
    <xf numFmtId="0" fontId="52" fillId="0" borderId="0" xfId="0" applyFont="1" applyFill="1" applyAlignment="1">
      <alignment horizontal="center"/>
    </xf>
    <xf numFmtId="43" fontId="33" fillId="0" borderId="0" xfId="28" applyFont="1"/>
    <xf numFmtId="0" fontId="52" fillId="35" borderId="0" xfId="0" applyFont="1" applyFill="1" applyAlignment="1">
      <alignment horizontal="center" vertical="top"/>
    </xf>
    <xf numFmtId="0" fontId="52" fillId="0" borderId="0" xfId="0" applyFont="1" applyAlignment="1">
      <alignment horizontal="center"/>
    </xf>
    <xf numFmtId="0" fontId="52" fillId="0" borderId="0" xfId="0" applyFont="1" applyFill="1" applyAlignment="1">
      <alignment horizontal="center"/>
    </xf>
    <xf numFmtId="3" fontId="38" fillId="0" borderId="0" xfId="0" applyNumberFormat="1" applyFont="1"/>
    <xf numFmtId="0" fontId="42" fillId="0" borderId="0" xfId="0" applyFont="1" applyAlignment="1">
      <alignment horizontal="left" wrapText="1"/>
    </xf>
    <xf numFmtId="177" fontId="36" fillId="0" borderId="0" xfId="0" applyNumberFormat="1" applyFont="1" applyAlignment="1">
      <alignment horizontal="left" wrapText="1"/>
    </xf>
    <xf numFmtId="0" fontId="36" fillId="0" borderId="0" xfId="41" applyFont="1" applyAlignment="1">
      <alignment horizontal="center" vertical="center" wrapText="1"/>
    </xf>
    <xf numFmtId="14" fontId="33" fillId="0" borderId="0" xfId="0" applyNumberFormat="1" applyFont="1" applyAlignment="1">
      <alignment horizontal="left"/>
    </xf>
    <xf numFmtId="0" fontId="52" fillId="33" borderId="0" xfId="0" applyFont="1" applyFill="1" applyAlignment="1">
      <alignment horizontal="center"/>
    </xf>
    <xf numFmtId="0" fontId="34" fillId="0" borderId="0" xfId="0" applyFont="1" applyAlignment="1">
      <alignment horizontal="center"/>
    </xf>
    <xf numFmtId="0" fontId="34" fillId="0" borderId="0" xfId="0" applyFont="1" applyAlignment="1">
      <alignment horizontal="center"/>
    </xf>
    <xf numFmtId="0" fontId="61" fillId="0" borderId="0" xfId="41" applyFont="1"/>
    <xf numFmtId="0" fontId="32" fillId="32" borderId="0" xfId="0" applyFont="1" applyFill="1" applyAlignment="1"/>
    <xf numFmtId="0" fontId="33" fillId="32" borderId="0" xfId="0" applyFont="1" applyFill="1" applyAlignment="1"/>
    <xf numFmtId="0" fontId="33" fillId="32" borderId="0" xfId="0" applyFont="1" applyFill="1"/>
    <xf numFmtId="173" fontId="32" fillId="32" borderId="0" xfId="0" applyNumberFormat="1" applyFont="1" applyFill="1" applyAlignment="1"/>
    <xf numFmtId="0" fontId="62" fillId="32" borderId="0" xfId="0" applyFont="1" applyFill="1" applyAlignment="1"/>
    <xf numFmtId="0" fontId="34" fillId="32" borderId="0" xfId="0" applyFont="1" applyFill="1"/>
    <xf numFmtId="0" fontId="33" fillId="32" borderId="0" xfId="0" applyFont="1" applyFill="1" applyAlignment="1">
      <alignment wrapText="1"/>
    </xf>
    <xf numFmtId="0" fontId="63" fillId="32" borderId="0" xfId="35" applyFont="1" applyFill="1" applyAlignment="1" applyProtection="1"/>
    <xf numFmtId="0" fontId="33" fillId="24" borderId="0" xfId="0" applyFont="1" applyFill="1" applyProtection="1"/>
    <xf numFmtId="0" fontId="46" fillId="0" borderId="0" xfId="41" applyFont="1" applyFill="1" applyBorder="1"/>
    <xf numFmtId="0" fontId="36" fillId="0" borderId="0" xfId="40" applyFont="1" applyFill="1" applyBorder="1"/>
    <xf numFmtId="0" fontId="36" fillId="0" borderId="0" xfId="41" applyFont="1" applyFill="1" applyBorder="1"/>
    <xf numFmtId="0" fontId="36" fillId="0" borderId="10" xfId="41" applyFont="1" applyFill="1" applyBorder="1"/>
    <xf numFmtId="0" fontId="51" fillId="0" borderId="10" xfId="41" applyFont="1" applyFill="1" applyBorder="1" applyAlignment="1">
      <alignment horizontal="center"/>
    </xf>
    <xf numFmtId="0" fontId="66" fillId="0" borderId="0" xfId="41" applyFont="1" applyFill="1" applyBorder="1"/>
    <xf numFmtId="3" fontId="66" fillId="0" borderId="0" xfId="41" applyNumberFormat="1" applyFont="1" applyFill="1" applyBorder="1" applyAlignment="1">
      <alignment horizontal="right"/>
    </xf>
    <xf numFmtId="0" fontId="66" fillId="0" borderId="0" xfId="41" applyFont="1" applyFill="1" applyBorder="1" applyAlignment="1">
      <alignment horizontal="right"/>
    </xf>
    <xf numFmtId="37" fontId="66" fillId="0" borderId="0" xfId="41" applyNumberFormat="1" applyFont="1" applyFill="1" applyBorder="1" applyAlignment="1" applyProtection="1">
      <alignment horizontal="right"/>
    </xf>
    <xf numFmtId="0" fontId="33" fillId="0" borderId="0" xfId="41" applyFont="1" applyFill="1" applyBorder="1"/>
    <xf numFmtId="0" fontId="33" fillId="0" borderId="0" xfId="41" applyFont="1" applyFill="1" applyBorder="1" applyAlignment="1">
      <alignment horizontal="right"/>
    </xf>
    <xf numFmtId="37" fontId="33" fillId="0" borderId="0" xfId="41" applyNumberFormat="1" applyFont="1" applyFill="1" applyBorder="1" applyAlignment="1" applyProtection="1">
      <alignment horizontal="right"/>
    </xf>
    <xf numFmtId="0" fontId="51" fillId="0" borderId="0" xfId="41" applyFont="1" applyFill="1" applyBorder="1"/>
    <xf numFmtId="37" fontId="51" fillId="0" borderId="0" xfId="41" applyNumberFormat="1" applyFont="1" applyFill="1" applyBorder="1" applyAlignment="1" applyProtection="1">
      <alignment horizontal="right"/>
    </xf>
    <xf numFmtId="0" fontId="66" fillId="0" borderId="0" xfId="41" applyFont="1" applyFill="1" applyBorder="1" applyAlignment="1">
      <alignment horizontal="center"/>
    </xf>
    <xf numFmtId="0" fontId="42" fillId="0" borderId="0" xfId="41" applyFont="1" applyFill="1" applyBorder="1" applyAlignment="1">
      <alignment horizontal="center"/>
    </xf>
    <xf numFmtId="37" fontId="42" fillId="0" borderId="0" xfId="41" applyNumberFormat="1" applyFont="1" applyFill="1" applyBorder="1" applyAlignment="1">
      <alignment horizontal="center"/>
    </xf>
    <xf numFmtId="14" fontId="33" fillId="0" borderId="0" xfId="0" applyNumberFormat="1" applyFont="1" applyFill="1" applyProtection="1"/>
    <xf numFmtId="0" fontId="33" fillId="0" borderId="0" xfId="0" applyFont="1" applyFill="1" applyBorder="1" applyProtection="1"/>
    <xf numFmtId="3" fontId="33" fillId="24" borderId="0" xfId="0" applyNumberFormat="1" applyFont="1" applyFill="1" applyProtection="1"/>
    <xf numFmtId="3" fontId="33" fillId="24" borderId="0" xfId="0" applyNumberFormat="1" applyFont="1" applyFill="1" applyBorder="1" applyAlignment="1" applyProtection="1">
      <alignment horizontal="left"/>
    </xf>
    <xf numFmtId="10" fontId="33" fillId="24" borderId="0" xfId="0" applyNumberFormat="1" applyFont="1" applyFill="1" applyProtection="1"/>
    <xf numFmtId="0" fontId="33" fillId="0" borderId="0" xfId="0" applyFont="1" applyFill="1" applyBorder="1" applyAlignment="1" applyProtection="1">
      <alignment horizontal="left"/>
    </xf>
    <xf numFmtId="0" fontId="67" fillId="0" borderId="0" xfId="35" applyFont="1" applyFill="1" applyAlignment="1" applyProtection="1"/>
    <xf numFmtId="0" fontId="33" fillId="0" borderId="0" xfId="0" applyFont="1" applyFill="1" applyAlignment="1"/>
    <xf numFmtId="0" fontId="32" fillId="0" borderId="0" xfId="0" applyFont="1" applyFill="1" applyAlignment="1"/>
    <xf numFmtId="0" fontId="49" fillId="0" borderId="0" xfId="0" applyFont="1" applyFill="1" applyBorder="1" applyProtection="1"/>
    <xf numFmtId="0" fontId="49" fillId="0" borderId="0" xfId="0" quotePrefix="1" applyFont="1" applyFill="1" applyAlignment="1"/>
    <xf numFmtId="0" fontId="32" fillId="0" borderId="0" xfId="0" quotePrefix="1" applyFont="1" applyFill="1" applyAlignment="1">
      <alignment horizontal="center" wrapText="1"/>
    </xf>
    <xf numFmtId="0" fontId="32" fillId="0" borderId="0" xfId="0" applyFont="1" applyFill="1" applyAlignment="1">
      <alignment horizontal="center" wrapText="1"/>
    </xf>
    <xf numFmtId="3" fontId="46" fillId="0" borderId="0" xfId="0" applyNumberFormat="1" applyFont="1" applyFill="1" applyAlignment="1"/>
    <xf numFmtId="3" fontId="46" fillId="0" borderId="0" xfId="0" applyNumberFormat="1" applyFont="1" applyFill="1"/>
    <xf numFmtId="0" fontId="68" fillId="0" borderId="0" xfId="0" applyFont="1" applyFill="1"/>
    <xf numFmtId="0" fontId="69" fillId="0" borderId="0" xfId="0" applyFont="1" applyFill="1"/>
    <xf numFmtId="3" fontId="46" fillId="0" borderId="0" xfId="0" quotePrefix="1" applyNumberFormat="1" applyFont="1" applyFill="1" applyAlignment="1"/>
    <xf numFmtId="3" fontId="46" fillId="0" borderId="0" xfId="0" quotePrefix="1" applyNumberFormat="1" applyFont="1" applyFill="1"/>
    <xf numFmtId="1" fontId="33" fillId="0" borderId="0" xfId="0" applyNumberFormat="1" applyFont="1" applyFill="1"/>
    <xf numFmtId="168" fontId="33" fillId="0" borderId="0" xfId="0" applyNumberFormat="1" applyFont="1" applyFill="1"/>
    <xf numFmtId="1" fontId="69" fillId="0" borderId="0" xfId="0" applyNumberFormat="1" applyFont="1" applyFill="1"/>
    <xf numFmtId="168" fontId="69" fillId="0" borderId="0" xfId="0" applyNumberFormat="1" applyFont="1" applyFill="1"/>
    <xf numFmtId="10" fontId="46" fillId="0" borderId="0" xfId="0" quotePrefix="1" applyNumberFormat="1" applyFont="1" applyFill="1" applyAlignment="1"/>
    <xf numFmtId="10" fontId="46" fillId="0" borderId="0" xfId="0" quotePrefix="1" applyNumberFormat="1" applyFont="1" applyFill="1"/>
    <xf numFmtId="0" fontId="46" fillId="0" borderId="0" xfId="0" applyFont="1" applyFill="1"/>
    <xf numFmtId="3" fontId="46" fillId="0" borderId="0" xfId="0" quotePrefix="1" applyNumberFormat="1" applyFont="1" applyFill="1" applyAlignment="1">
      <alignment horizontal="right"/>
    </xf>
    <xf numFmtId="10" fontId="46" fillId="0" borderId="0" xfId="0" quotePrefix="1" applyNumberFormat="1" applyFont="1" applyFill="1" applyAlignment="1">
      <alignment horizontal="right"/>
    </xf>
    <xf numFmtId="0" fontId="49" fillId="0" borderId="0" xfId="0" applyFont="1" applyFill="1"/>
    <xf numFmtId="3" fontId="32" fillId="0" borderId="0" xfId="0" quotePrefix="1" applyNumberFormat="1" applyFont="1" applyFill="1" applyAlignment="1">
      <alignment horizontal="right"/>
    </xf>
    <xf numFmtId="0" fontId="69" fillId="0" borderId="0" xfId="0" applyFont="1" applyFill="1" applyAlignment="1"/>
    <xf numFmtId="0" fontId="33" fillId="24" borderId="0" xfId="0" applyFont="1" applyFill="1" applyAlignment="1" applyProtection="1">
      <alignment vertical="center"/>
    </xf>
    <xf numFmtId="0" fontId="63" fillId="24" borderId="0" xfId="35" applyFont="1" applyFill="1" applyAlignment="1" applyProtection="1">
      <alignment vertical="center"/>
    </xf>
    <xf numFmtId="0" fontId="70" fillId="24" borderId="0" xfId="0" applyFont="1" applyFill="1" applyAlignment="1" applyProtection="1">
      <alignment vertical="center"/>
    </xf>
    <xf numFmtId="176" fontId="33" fillId="24" borderId="0" xfId="0" applyNumberFormat="1" applyFont="1" applyFill="1" applyAlignment="1" applyProtection="1">
      <alignment vertical="center"/>
    </xf>
    <xf numFmtId="0" fontId="34" fillId="24" borderId="0" xfId="0" applyFont="1" applyFill="1" applyAlignment="1" applyProtection="1">
      <alignment horizontal="center" vertical="center"/>
    </xf>
    <xf numFmtId="0" fontId="32" fillId="24" borderId="0" xfId="0" applyFont="1" applyFill="1" applyBorder="1" applyAlignment="1" applyProtection="1">
      <alignment vertical="center"/>
    </xf>
    <xf numFmtId="0" fontId="33" fillId="24" borderId="0" xfId="0" applyFont="1" applyFill="1" applyBorder="1" applyAlignment="1" applyProtection="1">
      <alignment vertical="center"/>
    </xf>
    <xf numFmtId="0" fontId="33" fillId="24" borderId="0" xfId="0" applyFont="1" applyFill="1" applyAlignment="1" applyProtection="1">
      <alignment horizontal="center"/>
    </xf>
    <xf numFmtId="3" fontId="33" fillId="24" borderId="0" xfId="0" applyNumberFormat="1" applyFont="1" applyFill="1" applyBorder="1" applyAlignment="1" applyProtection="1">
      <alignment horizontal="right" vertical="center"/>
    </xf>
    <xf numFmtId="0" fontId="33" fillId="24" borderId="0" xfId="0" applyFont="1" applyFill="1" applyBorder="1" applyAlignment="1" applyProtection="1">
      <alignment horizontal="left" vertical="center"/>
    </xf>
    <xf numFmtId="3" fontId="33" fillId="24" borderId="0" xfId="0" quotePrefix="1" applyNumberFormat="1" applyFont="1" applyFill="1" applyBorder="1" applyAlignment="1" applyProtection="1">
      <alignment vertical="center"/>
    </xf>
    <xf numFmtId="3" fontId="38" fillId="24" borderId="0" xfId="0" applyNumberFormat="1" applyFont="1" applyFill="1" applyAlignment="1" applyProtection="1">
      <alignment vertical="center"/>
    </xf>
    <xf numFmtId="3" fontId="33" fillId="0" borderId="0" xfId="0" applyNumberFormat="1" applyFont="1" applyFill="1" applyProtection="1"/>
    <xf numFmtId="0" fontId="34" fillId="24" borderId="0" xfId="0" applyFont="1" applyFill="1" applyBorder="1" applyAlignment="1" applyProtection="1">
      <alignment horizontal="left" vertical="center"/>
    </xf>
    <xf numFmtId="0" fontId="42" fillId="0" borderId="0" xfId="0" applyFont="1" applyFill="1" applyAlignment="1">
      <alignment horizontal="center" wrapText="1"/>
    </xf>
    <xf numFmtId="0" fontId="34" fillId="0" borderId="0" xfId="0" applyFont="1" applyAlignment="1">
      <alignment vertical="top"/>
    </xf>
    <xf numFmtId="0" fontId="34" fillId="0" borderId="0" xfId="0" applyFont="1" applyAlignment="1">
      <alignment horizontal="left" vertical="top"/>
    </xf>
    <xf numFmtId="3" fontId="34" fillId="26" borderId="0" xfId="0" quotePrefix="1" applyNumberFormat="1" applyFont="1" applyFill="1"/>
    <xf numFmtId="0" fontId="33" fillId="33" borderId="0" xfId="0" applyFont="1" applyFill="1" applyBorder="1" applyAlignment="1">
      <alignment horizontal="right"/>
    </xf>
    <xf numFmtId="0" fontId="33" fillId="33" borderId="0" xfId="0" applyFont="1" applyFill="1" applyBorder="1"/>
    <xf numFmtId="0" fontId="57" fillId="33" borderId="0" xfId="0" applyFont="1" applyFill="1" applyBorder="1"/>
    <xf numFmtId="0" fontId="32" fillId="0" borderId="0" xfId="41" applyFont="1" applyAlignment="1">
      <alignment horizontal="center"/>
    </xf>
    <xf numFmtId="0" fontId="52" fillId="0" borderId="0" xfId="0" applyFont="1" applyFill="1" applyAlignment="1">
      <alignment horizontal="center"/>
    </xf>
    <xf numFmtId="165" fontId="46" fillId="0" borderId="0" xfId="41" applyNumberFormat="1" applyFont="1"/>
    <xf numFmtId="37" fontId="32" fillId="0" borderId="0" xfId="41" applyNumberFormat="1" applyFont="1"/>
    <xf numFmtId="171" fontId="32" fillId="0" borderId="0" xfId="41" applyNumberFormat="1" applyFont="1"/>
    <xf numFmtId="0" fontId="42" fillId="0" borderId="22" xfId="0" applyFont="1" applyFill="1" applyBorder="1"/>
    <xf numFmtId="0" fontId="52" fillId="0" borderId="0" xfId="0" applyFont="1" applyAlignment="1">
      <alignment horizontal="center"/>
    </xf>
    <xf numFmtId="0" fontId="73" fillId="0" borderId="0" xfId="35" applyFont="1" applyAlignment="1" applyProtection="1"/>
    <xf numFmtId="0" fontId="74" fillId="0" borderId="0" xfId="35" applyFont="1" applyAlignment="1" applyProtection="1"/>
    <xf numFmtId="14" fontId="44" fillId="0" borderId="0" xfId="0" applyNumberFormat="1" applyFont="1"/>
    <xf numFmtId="0" fontId="42" fillId="0" borderId="0" xfId="0" applyFont="1" applyAlignment="1"/>
    <xf numFmtId="0" fontId="52" fillId="0" borderId="0" xfId="0" applyFont="1" applyAlignment="1">
      <alignment horizontal="center"/>
    </xf>
    <xf numFmtId="0" fontId="34" fillId="0" borderId="0" xfId="0" applyFont="1" applyAlignment="1">
      <alignment horizontal="center"/>
    </xf>
    <xf numFmtId="10" fontId="34" fillId="0" borderId="0" xfId="0" applyNumberFormat="1" applyFont="1" applyBorder="1"/>
    <xf numFmtId="9" fontId="33" fillId="0" borderId="0" xfId="45" applyFont="1"/>
    <xf numFmtId="172" fontId="33" fillId="0" borderId="0" xfId="45" quotePrefix="1" applyNumberFormat="1" applyFont="1"/>
    <xf numFmtId="3" fontId="0" fillId="0" borderId="0" xfId="0" applyNumberFormat="1"/>
    <xf numFmtId="0" fontId="33" fillId="0" borderId="0" xfId="51" applyFont="1" applyAlignment="1">
      <alignment wrapText="1"/>
    </xf>
    <xf numFmtId="0" fontId="33" fillId="0" borderId="0" xfId="51" applyFont="1"/>
    <xf numFmtId="0" fontId="34" fillId="38" borderId="0" xfId="51" applyFont="1" applyFill="1" applyAlignment="1">
      <alignment wrapText="1"/>
    </xf>
    <xf numFmtId="0" fontId="33" fillId="0" borderId="0" xfId="51" applyFont="1" applyAlignment="1">
      <alignment vertical="center" wrapText="1"/>
    </xf>
    <xf numFmtId="14" fontId="33" fillId="0" borderId="0" xfId="51" applyNumberFormat="1" applyFont="1" applyAlignment="1">
      <alignment vertical="center" wrapText="1"/>
    </xf>
    <xf numFmtId="10" fontId="33" fillId="0" borderId="0" xfId="51" applyNumberFormat="1" applyFont="1" applyAlignment="1">
      <alignment horizontal="left" wrapText="1"/>
    </xf>
    <xf numFmtId="0" fontId="34" fillId="0" borderId="0" xfId="51" applyFont="1" applyAlignment="1">
      <alignment wrapText="1"/>
    </xf>
    <xf numFmtId="0" fontId="33" fillId="0" borderId="0" xfId="51" applyFont="1" applyAlignment="1"/>
    <xf numFmtId="0" fontId="63" fillId="0" borderId="0" xfId="35" applyFont="1" applyAlignment="1" applyProtection="1"/>
    <xf numFmtId="164" fontId="33" fillId="0" borderId="0" xfId="28" applyNumberFormat="1" applyFont="1" applyAlignment="1">
      <alignment wrapText="1"/>
    </xf>
    <xf numFmtId="0" fontId="33" fillId="0" borderId="0" xfId="51" applyFont="1" applyAlignment="1">
      <alignment vertical="center"/>
    </xf>
    <xf numFmtId="177" fontId="42" fillId="0" borderId="0" xfId="0" applyNumberFormat="1" applyFont="1" applyAlignment="1">
      <alignment horizontal="left" wrapText="1"/>
    </xf>
    <xf numFmtId="0" fontId="33" fillId="0" borderId="0" xfId="0" applyFont="1" applyAlignment="1"/>
    <xf numFmtId="0" fontId="73" fillId="0" borderId="0" xfId="35" applyFont="1" applyAlignment="1" applyProtection="1">
      <alignment horizontal="left"/>
    </xf>
    <xf numFmtId="0" fontId="51" fillId="0" borderId="0" xfId="41" applyFont="1" applyFill="1" applyBorder="1" applyAlignment="1">
      <alignment horizontal="center"/>
    </xf>
    <xf numFmtId="0" fontId="49" fillId="0" borderId="0" xfId="0" applyFont="1" applyFill="1" applyAlignment="1">
      <alignment horizontal="center"/>
    </xf>
    <xf numFmtId="0" fontId="33" fillId="0" borderId="0" xfId="0" applyFont="1" applyFill="1" applyAlignment="1">
      <alignment horizontal="center"/>
    </xf>
    <xf numFmtId="49" fontId="34" fillId="0" borderId="0" xfId="0" applyNumberFormat="1" applyFont="1"/>
    <xf numFmtId="0" fontId="76" fillId="0" borderId="0" xfId="51" applyFont="1" applyAlignment="1">
      <alignment vertical="center" wrapText="1"/>
    </xf>
    <xf numFmtId="0" fontId="77" fillId="0" borderId="0" xfId="51" applyFont="1" applyAlignment="1">
      <alignment vertical="center" wrapText="1"/>
    </xf>
    <xf numFmtId="4" fontId="46" fillId="0" borderId="0" xfId="0" applyNumberFormat="1" applyFont="1" applyFill="1"/>
    <xf numFmtId="49" fontId="51" fillId="0" borderId="0" xfId="41" applyNumberFormat="1" applyFont="1" applyFill="1" applyBorder="1" applyAlignment="1">
      <alignment horizontal="center" vertical="center"/>
    </xf>
    <xf numFmtId="0" fontId="51" fillId="0" borderId="0" xfId="41" applyFont="1" applyFill="1" applyBorder="1" applyAlignment="1">
      <alignment horizontal="center" vertical="center"/>
    </xf>
    <xf numFmtId="0" fontId="36" fillId="0" borderId="0" xfId="41" applyFont="1" applyFill="1" applyBorder="1" applyAlignment="1">
      <alignment horizontal="center" vertical="center"/>
    </xf>
    <xf numFmtId="0" fontId="33" fillId="0" borderId="0" xfId="0" applyFont="1" applyFill="1" applyProtection="1"/>
    <xf numFmtId="0" fontId="63" fillId="0" borderId="0" xfId="35" applyFont="1" applyFill="1" applyAlignment="1" applyProtection="1"/>
    <xf numFmtId="0" fontId="49" fillId="0" borderId="0" xfId="0" applyFont="1" applyFill="1" applyAlignment="1" applyProtection="1"/>
    <xf numFmtId="0" fontId="64" fillId="0" borderId="0" xfId="41" applyFont="1" applyFill="1" applyAlignment="1">
      <alignment vertical="center"/>
    </xf>
    <xf numFmtId="0" fontId="32" fillId="0" borderId="0" xfId="41" applyFont="1" applyFill="1" applyAlignment="1">
      <alignment vertical="center"/>
    </xf>
    <xf numFmtId="0" fontId="32" fillId="0" borderId="0" xfId="0" applyFont="1" applyFill="1" applyAlignment="1" applyProtection="1"/>
    <xf numFmtId="0" fontId="65" fillId="0" borderId="0" xfId="41" applyFont="1" applyFill="1" applyAlignment="1">
      <alignment vertical="center"/>
    </xf>
    <xf numFmtId="0" fontId="63" fillId="0" borderId="0" xfId="35" applyFont="1" applyFill="1" applyBorder="1" applyAlignment="1" applyProtection="1">
      <alignment horizontal="left"/>
    </xf>
    <xf numFmtId="3" fontId="33" fillId="0" borderId="0" xfId="0" applyNumberFormat="1" applyFont="1" applyFill="1" applyBorder="1" applyProtection="1"/>
    <xf numFmtId="10" fontId="33" fillId="0" borderId="0" xfId="0" applyNumberFormat="1" applyFont="1" applyFill="1" applyBorder="1" applyProtection="1"/>
    <xf numFmtId="0" fontId="46" fillId="0" borderId="0" xfId="41" applyFont="1" applyFill="1" applyAlignment="1">
      <alignment vertical="center"/>
    </xf>
    <xf numFmtId="0" fontId="64" fillId="0" borderId="0" xfId="41" quotePrefix="1" applyFont="1" applyFill="1"/>
    <xf numFmtId="0" fontId="32" fillId="0" borderId="0" xfId="41" applyFont="1" applyFill="1"/>
    <xf numFmtId="0" fontId="54" fillId="0" borderId="0" xfId="41" applyFont="1" applyFill="1"/>
    <xf numFmtId="0" fontId="34" fillId="0" borderId="0" xfId="40" applyFont="1" applyFill="1"/>
    <xf numFmtId="49" fontId="32" fillId="0" borderId="0" xfId="41" applyNumberFormat="1" applyFont="1" applyFill="1" applyAlignment="1">
      <alignment horizontal="center" vertical="center"/>
    </xf>
    <xf numFmtId="0" fontId="32" fillId="0" borderId="0" xfId="41" applyFont="1" applyFill="1" applyAlignment="1">
      <alignment horizontal="center" vertical="center"/>
    </xf>
    <xf numFmtId="0" fontId="66" fillId="0" borderId="0" xfId="41" applyFont="1" applyFill="1"/>
    <xf numFmtId="37" fontId="46" fillId="0" borderId="0" xfId="41" quotePrefix="1" applyNumberFormat="1" applyFont="1" applyFill="1" applyProtection="1"/>
    <xf numFmtId="37" fontId="46" fillId="0" borderId="0" xfId="41" applyNumberFormat="1" applyFont="1" applyFill="1" applyProtection="1"/>
    <xf numFmtId="0" fontId="0" fillId="0" borderId="0" xfId="0" applyFill="1"/>
    <xf numFmtId="37" fontId="46" fillId="0" borderId="0" xfId="41" applyNumberFormat="1" applyFont="1" applyFill="1"/>
    <xf numFmtId="172" fontId="66" fillId="0" borderId="0" xfId="41" applyNumberFormat="1" applyFont="1" applyFill="1" applyAlignment="1">
      <alignment horizontal="center"/>
    </xf>
    <xf numFmtId="1" fontId="66" fillId="0" borderId="0" xfId="41" applyNumberFormat="1" applyFont="1" applyFill="1" applyAlignment="1">
      <alignment horizontal="center"/>
    </xf>
    <xf numFmtId="0" fontId="42" fillId="0" borderId="0" xfId="41" applyFont="1" applyFill="1"/>
    <xf numFmtId="0" fontId="42" fillId="0" borderId="0" xfId="41" applyFont="1" applyFill="1" applyAlignment="1">
      <alignment horizontal="right"/>
    </xf>
    <xf numFmtId="0" fontId="42" fillId="0" borderId="0" xfId="41" applyFont="1" applyFill="1" applyAlignment="1">
      <alignment horizontal="center"/>
    </xf>
    <xf numFmtId="0" fontId="66" fillId="0" borderId="0" xfId="41" applyFont="1" applyFill="1" applyAlignment="1"/>
    <xf numFmtId="37" fontId="42" fillId="35" borderId="12" xfId="41" applyNumberFormat="1" applyFont="1" applyFill="1" applyBorder="1" applyAlignment="1">
      <alignment horizontal="center"/>
    </xf>
    <xf numFmtId="37" fontId="32" fillId="35" borderId="13" xfId="41" applyNumberFormat="1" applyFont="1" applyFill="1" applyBorder="1" applyAlignment="1"/>
    <xf numFmtId="0" fontId="66" fillId="0" borderId="0" xfId="0" applyFont="1" applyFill="1" applyProtection="1"/>
    <xf numFmtId="0" fontId="64" fillId="0" borderId="0" xfId="0" applyFont="1" applyFill="1" applyProtection="1"/>
    <xf numFmtId="0" fontId="32" fillId="0" borderId="0" xfId="41" applyFont="1" applyFill="1" applyAlignment="1">
      <alignment vertical="top"/>
    </xf>
    <xf numFmtId="3" fontId="66" fillId="43" borderId="0" xfId="41" applyNumberFormat="1" applyFont="1" applyFill="1" applyBorder="1" applyAlignment="1">
      <alignment horizontal="right"/>
    </xf>
    <xf numFmtId="0" fontId="66" fillId="43" borderId="0" xfId="41" applyFont="1" applyFill="1" applyBorder="1" applyAlignment="1">
      <alignment horizontal="right"/>
    </xf>
    <xf numFmtId="0" fontId="33" fillId="43" borderId="0" xfId="41" applyFont="1" applyFill="1" applyBorder="1" applyAlignment="1">
      <alignment horizontal="right"/>
    </xf>
    <xf numFmtId="37" fontId="51" fillId="43" borderId="0" xfId="41" applyNumberFormat="1" applyFont="1" applyFill="1" applyBorder="1" applyAlignment="1" applyProtection="1">
      <alignment horizontal="right"/>
    </xf>
    <xf numFmtId="0" fontId="64" fillId="0" borderId="0" xfId="0" applyFont="1" applyFill="1" applyAlignment="1"/>
    <xf numFmtId="0" fontId="49" fillId="0" borderId="0" xfId="0" applyFont="1" applyFill="1" applyAlignment="1"/>
    <xf numFmtId="0" fontId="32" fillId="32" borderId="0" xfId="0" applyFont="1" applyFill="1" applyAlignment="1">
      <alignment vertical="top"/>
    </xf>
    <xf numFmtId="0" fontId="33" fillId="32" borderId="0" xfId="0" applyFont="1" applyFill="1" applyAlignment="1">
      <alignment vertical="top"/>
    </xf>
    <xf numFmtId="0" fontId="61" fillId="32" borderId="0" xfId="0" applyFont="1" applyFill="1" applyAlignment="1">
      <alignment vertical="top"/>
    </xf>
    <xf numFmtId="0" fontId="49" fillId="24" borderId="0" xfId="0" applyFont="1" applyFill="1" applyAlignment="1" applyProtection="1">
      <alignment vertical="center"/>
    </xf>
    <xf numFmtId="0" fontId="45" fillId="0" borderId="0" xfId="0" applyFont="1" applyFill="1" applyBorder="1" applyAlignment="1" applyProtection="1">
      <alignment horizontal="right"/>
    </xf>
    <xf numFmtId="0" fontId="46" fillId="0" borderId="0" xfId="0" applyFont="1" applyFill="1" applyBorder="1" applyProtection="1"/>
    <xf numFmtId="0" fontId="45" fillId="0" borderId="0" xfId="0" applyFont="1" applyFill="1" applyBorder="1" applyProtection="1"/>
    <xf numFmtId="0" fontId="32" fillId="0" borderId="0" xfId="0" applyFont="1" applyFill="1" applyBorder="1" applyProtection="1"/>
    <xf numFmtId="3" fontId="46" fillId="0" borderId="0" xfId="0" applyNumberFormat="1" applyFont="1" applyFill="1" applyProtection="1"/>
    <xf numFmtId="0" fontId="46" fillId="0" borderId="0" xfId="0" applyFont="1" applyFill="1" applyProtection="1"/>
    <xf numFmtId="0" fontId="68" fillId="24" borderId="0" xfId="0" applyFont="1" applyFill="1" applyBorder="1" applyAlignment="1" applyProtection="1">
      <alignment vertical="center"/>
    </xf>
    <xf numFmtId="0" fontId="49" fillId="24" borderId="0" xfId="0" applyFont="1" applyFill="1" applyBorder="1" applyAlignment="1" applyProtection="1">
      <alignment vertical="center"/>
    </xf>
    <xf numFmtId="0" fontId="69" fillId="24" borderId="0" xfId="0" applyFont="1" applyFill="1" applyAlignment="1" applyProtection="1">
      <alignment vertical="center"/>
    </xf>
    <xf numFmtId="0" fontId="69" fillId="24" borderId="0" xfId="0" applyFont="1" applyFill="1" applyProtection="1"/>
    <xf numFmtId="0" fontId="80" fillId="0" borderId="0" xfId="0" applyFont="1"/>
    <xf numFmtId="0" fontId="66" fillId="24" borderId="0" xfId="0" applyFont="1" applyFill="1" applyAlignment="1" applyProtection="1">
      <alignment vertical="center"/>
    </xf>
    <xf numFmtId="0" fontId="66" fillId="24" borderId="0" xfId="0" applyFont="1" applyFill="1" applyBorder="1" applyAlignment="1" applyProtection="1">
      <alignment vertical="center"/>
    </xf>
    <xf numFmtId="0" fontId="51" fillId="24" borderId="0" xfId="0" applyFont="1" applyFill="1" applyBorder="1" applyAlignment="1" applyProtection="1">
      <alignment horizontal="center" vertical="center"/>
    </xf>
    <xf numFmtId="0" fontId="51" fillId="24" borderId="0" xfId="0" applyFont="1" applyFill="1" applyBorder="1" applyAlignment="1" applyProtection="1">
      <alignment vertical="center"/>
    </xf>
    <xf numFmtId="3" fontId="66" fillId="24" borderId="0" xfId="0" applyNumberFormat="1" applyFont="1" applyFill="1" applyBorder="1" applyAlignment="1" applyProtection="1">
      <alignment horizontal="right" vertical="center"/>
    </xf>
    <xf numFmtId="0" fontId="66" fillId="24" borderId="0" xfId="0" applyFont="1" applyFill="1" applyBorder="1" applyAlignment="1" applyProtection="1">
      <alignment horizontal="left" vertical="center"/>
    </xf>
    <xf numFmtId="3" fontId="66" fillId="24" borderId="0" xfId="0" quotePrefix="1" applyNumberFormat="1" applyFont="1" applyFill="1" applyBorder="1" applyAlignment="1" applyProtection="1">
      <alignment vertical="center"/>
    </xf>
    <xf numFmtId="3" fontId="66" fillId="24" borderId="0" xfId="0" applyNumberFormat="1" applyFont="1" applyFill="1" applyBorder="1" applyAlignment="1" applyProtection="1">
      <alignment vertical="center"/>
    </xf>
    <xf numFmtId="10" fontId="66" fillId="24" borderId="0" xfId="0" applyNumberFormat="1" applyFont="1" applyFill="1" applyBorder="1" applyAlignment="1" applyProtection="1">
      <alignment vertical="center"/>
    </xf>
    <xf numFmtId="3" fontId="51" fillId="38" borderId="0" xfId="0" quotePrefix="1" applyNumberFormat="1" applyFont="1" applyFill="1" applyBorder="1" applyAlignment="1" applyProtection="1">
      <alignment vertical="center"/>
    </xf>
    <xf numFmtId="3" fontId="66" fillId="24" borderId="0" xfId="0" applyNumberFormat="1" applyFont="1" applyFill="1" applyAlignment="1" applyProtection="1">
      <alignment vertical="center"/>
    </xf>
    <xf numFmtId="167" fontId="66" fillId="24" borderId="0" xfId="0" applyNumberFormat="1" applyFont="1" applyFill="1" applyBorder="1" applyAlignment="1" applyProtection="1">
      <alignment vertical="center"/>
    </xf>
    <xf numFmtId="10" fontId="66" fillId="24" borderId="0" xfId="0" quotePrefix="1" applyNumberFormat="1" applyFont="1" applyFill="1" applyBorder="1" applyAlignment="1" applyProtection="1">
      <alignment vertical="center"/>
    </xf>
    <xf numFmtId="0" fontId="66" fillId="0" borderId="0" xfId="0" applyFont="1" applyFill="1" applyBorder="1" applyAlignment="1" applyProtection="1">
      <alignment vertical="center"/>
    </xf>
    <xf numFmtId="3" fontId="51" fillId="0" borderId="0" xfId="0" quotePrefix="1" applyNumberFormat="1" applyFont="1" applyFill="1" applyBorder="1" applyAlignment="1" applyProtection="1">
      <alignment vertical="center"/>
    </xf>
    <xf numFmtId="3" fontId="51" fillId="38" borderId="0" xfId="0" quotePrefix="1" applyNumberFormat="1" applyFont="1" applyFill="1" applyAlignment="1" applyProtection="1">
      <alignment vertical="center"/>
    </xf>
    <xf numFmtId="0" fontId="66" fillId="0" borderId="0" xfId="0" applyFont="1" applyFill="1" applyBorder="1" applyAlignment="1" applyProtection="1">
      <alignment horizontal="left" vertical="center"/>
    </xf>
    <xf numFmtId="3" fontId="51" fillId="0" borderId="0" xfId="0" quotePrefix="1" applyNumberFormat="1" applyFont="1" applyFill="1" applyAlignment="1" applyProtection="1">
      <alignment vertical="center"/>
    </xf>
    <xf numFmtId="3" fontId="51" fillId="24" borderId="0" xfId="0" quotePrefix="1" applyNumberFormat="1" applyFont="1" applyFill="1" applyAlignment="1" applyProtection="1">
      <alignment vertical="center"/>
    </xf>
    <xf numFmtId="0" fontId="66" fillId="0" borderId="0" xfId="0" applyFont="1" applyAlignment="1">
      <alignment vertical="center"/>
    </xf>
    <xf numFmtId="0" fontId="51" fillId="0" borderId="0" xfId="0" applyFont="1" applyFill="1" applyBorder="1" applyAlignment="1" applyProtection="1">
      <alignment horizontal="left" vertical="center"/>
    </xf>
    <xf numFmtId="3" fontId="51" fillId="38" borderId="0" xfId="0" applyNumberFormat="1" applyFont="1" applyFill="1" applyAlignment="1" applyProtection="1">
      <alignment vertical="center"/>
    </xf>
    <xf numFmtId="0" fontId="65" fillId="24" borderId="0" xfId="0" applyFont="1" applyFill="1" applyAlignment="1" applyProtection="1">
      <alignment vertical="top"/>
    </xf>
    <xf numFmtId="0" fontId="64" fillId="24" borderId="0" xfId="0" applyFont="1" applyFill="1" applyAlignment="1" applyProtection="1"/>
    <xf numFmtId="0" fontId="51" fillId="0" borderId="0" xfId="41" applyFont="1" applyFill="1" applyBorder="1" applyAlignment="1">
      <alignment horizontal="center"/>
    </xf>
    <xf numFmtId="0" fontId="78" fillId="0" borderId="0" xfId="40" quotePrefix="1" applyFont="1" applyFill="1" applyBorder="1" applyAlignment="1"/>
    <xf numFmtId="14" fontId="46" fillId="0" borderId="0" xfId="0" applyNumberFormat="1" applyFont="1" applyFill="1" applyProtection="1"/>
    <xf numFmtId="0" fontId="64" fillId="0" borderId="0" xfId="0" applyFont="1" applyFill="1" applyAlignment="1" applyProtection="1">
      <alignment horizontal="center"/>
    </xf>
    <xf numFmtId="0" fontId="64" fillId="0" borderId="0" xfId="0" applyFont="1" applyFill="1" applyAlignment="1" applyProtection="1"/>
    <xf numFmtId="0" fontId="32" fillId="0" borderId="0" xfId="0" applyFont="1" applyFill="1" applyAlignment="1" applyProtection="1">
      <alignment horizontal="center"/>
    </xf>
    <xf numFmtId="0" fontId="71" fillId="0" borderId="0" xfId="0" applyFont="1" applyFill="1" applyProtection="1"/>
    <xf numFmtId="0" fontId="64" fillId="0" borderId="0" xfId="0" applyFont="1" applyFill="1" applyBorder="1" applyProtection="1"/>
    <xf numFmtId="3" fontId="46" fillId="0" borderId="0" xfId="0" quotePrefix="1" applyNumberFormat="1" applyFont="1" applyFill="1" applyProtection="1"/>
    <xf numFmtId="0" fontId="33" fillId="0" borderId="0" xfId="0" applyFont="1" applyFill="1" applyAlignment="1" applyProtection="1">
      <alignment vertical="center"/>
    </xf>
    <xf numFmtId="172" fontId="46" fillId="0" borderId="0" xfId="45" applyNumberFormat="1" applyFont="1" applyFill="1" applyProtection="1"/>
    <xf numFmtId="172" fontId="46" fillId="0" borderId="0" xfId="45" quotePrefix="1" applyNumberFormat="1" applyFont="1" applyFill="1" applyProtection="1"/>
    <xf numFmtId="43" fontId="46" fillId="0" borderId="0" xfId="0" applyNumberFormat="1" applyFont="1" applyFill="1" applyProtection="1"/>
    <xf numFmtId="0" fontId="49" fillId="0" borderId="0" xfId="0" applyFont="1" applyFill="1" applyAlignment="1" applyProtection="1">
      <alignment horizontal="center" vertical="center"/>
    </xf>
    <xf numFmtId="0" fontId="49" fillId="0" borderId="0" xfId="0" applyFont="1" applyFill="1" applyAlignment="1" applyProtection="1">
      <alignment horizontal="center"/>
    </xf>
    <xf numFmtId="0" fontId="69" fillId="0" borderId="0" xfId="0" applyFont="1" applyFill="1" applyAlignment="1" applyProtection="1">
      <alignment horizontal="center"/>
    </xf>
    <xf numFmtId="0" fontId="69" fillId="0" borderId="0" xfId="0" applyFont="1" applyFill="1" applyProtection="1"/>
    <xf numFmtId="0" fontId="49" fillId="0" borderId="0" xfId="0" applyFont="1" applyFill="1" applyAlignment="1" applyProtection="1">
      <alignment vertical="center"/>
    </xf>
    <xf numFmtId="0" fontId="49" fillId="24" borderId="0" xfId="0" applyFont="1" applyFill="1" applyAlignment="1" applyProtection="1">
      <alignment horizontal="center" vertical="center"/>
    </xf>
    <xf numFmtId="0" fontId="49" fillId="0" borderId="0" xfId="0" applyFont="1" applyFill="1" applyAlignment="1" applyProtection="1">
      <alignment vertical="top"/>
    </xf>
    <xf numFmtId="3" fontId="49" fillId="0" borderId="0" xfId="0" applyNumberFormat="1" applyFont="1" applyFill="1" applyAlignment="1" applyProtection="1">
      <alignment vertical="top"/>
    </xf>
    <xf numFmtId="3" fontId="49" fillId="0" borderId="0" xfId="0" quotePrefix="1" applyNumberFormat="1" applyFont="1" applyFill="1" applyAlignment="1" applyProtection="1">
      <alignment vertical="top"/>
    </xf>
    <xf numFmtId="3" fontId="69" fillId="0" borderId="0" xfId="0" applyNumberFormat="1" applyFont="1" applyFill="1" applyProtection="1"/>
    <xf numFmtId="3" fontId="69" fillId="0" borderId="0" xfId="0" quotePrefix="1" applyNumberFormat="1" applyFont="1" applyFill="1" applyProtection="1"/>
    <xf numFmtId="172" fontId="69" fillId="0" borderId="0" xfId="45" applyNumberFormat="1" applyFont="1" applyFill="1" applyProtection="1"/>
    <xf numFmtId="172" fontId="69" fillId="0" borderId="0" xfId="45" quotePrefix="1" applyNumberFormat="1" applyFont="1" applyFill="1" applyProtection="1"/>
    <xf numFmtId="43" fontId="69" fillId="0" borderId="0" xfId="0" applyNumberFormat="1" applyFont="1" applyFill="1" applyProtection="1"/>
    <xf numFmtId="0" fontId="56" fillId="0" borderId="0" xfId="41" applyFont="1" applyFill="1" applyAlignment="1">
      <alignment vertical="center"/>
    </xf>
    <xf numFmtId="0" fontId="64" fillId="0" borderId="0" xfId="41" applyFont="1" applyFill="1" applyAlignment="1">
      <alignment vertical="top"/>
    </xf>
    <xf numFmtId="0" fontId="56" fillId="0" borderId="0" xfId="0" applyFont="1" applyFill="1" applyAlignment="1" applyProtection="1"/>
    <xf numFmtId="3" fontId="66" fillId="0" borderId="0" xfId="0" applyNumberFormat="1" applyFont="1"/>
    <xf numFmtId="6" fontId="33" fillId="24" borderId="0" xfId="0" applyNumberFormat="1" applyFont="1" applyFill="1" applyProtection="1"/>
    <xf numFmtId="0" fontId="32" fillId="24" borderId="0" xfId="0" applyFont="1" applyFill="1" applyAlignment="1" applyProtection="1">
      <alignment vertical="center" wrapText="1"/>
    </xf>
    <xf numFmtId="0" fontId="32" fillId="0" borderId="0" xfId="0" applyFont="1" applyFill="1" applyAlignment="1" applyProtection="1">
      <alignment horizontal="center" vertical="center" wrapText="1"/>
    </xf>
    <xf numFmtId="0" fontId="49" fillId="0" borderId="0" xfId="0" applyFont="1" applyFill="1" applyAlignment="1" applyProtection="1">
      <alignment horizontal="center" vertical="center"/>
    </xf>
    <xf numFmtId="0" fontId="33" fillId="0" borderId="0" xfId="0" applyFont="1" applyFill="1" applyAlignment="1" applyProtection="1">
      <alignment vertical="center" wrapText="1"/>
    </xf>
    <xf numFmtId="0" fontId="49" fillId="0" borderId="0" xfId="0" applyFont="1" applyFill="1" applyAlignment="1" applyProtection="1">
      <alignment horizontal="center" vertical="center" wrapText="1"/>
    </xf>
    <xf numFmtId="0" fontId="33" fillId="0" borderId="0" xfId="0" applyFont="1" applyFill="1" applyAlignment="1" applyProtection="1">
      <alignment horizontal="center"/>
    </xf>
    <xf numFmtId="0" fontId="46" fillId="0" borderId="0" xfId="0" applyFont="1" applyFill="1" applyAlignment="1" applyProtection="1">
      <alignment horizontal="center"/>
    </xf>
    <xf numFmtId="43" fontId="69" fillId="0" borderId="0" xfId="28" applyFont="1" applyFill="1" applyAlignment="1" applyProtection="1">
      <alignment horizontal="center"/>
    </xf>
    <xf numFmtId="43" fontId="46" fillId="0" borderId="0" xfId="28" applyFont="1" applyFill="1" applyAlignment="1" applyProtection="1">
      <alignment horizontal="center"/>
    </xf>
    <xf numFmtId="0" fontId="54" fillId="45" borderId="0" xfId="39" applyFont="1" applyFill="1" applyAlignment="1">
      <alignment vertical="center"/>
    </xf>
    <xf numFmtId="0" fontId="54" fillId="45" borderId="0" xfId="39" applyFont="1" applyFill="1" applyBorder="1" applyAlignment="1">
      <alignment vertical="center"/>
    </xf>
    <xf numFmtId="0" fontId="85" fillId="0" borderId="22" xfId="0" applyFont="1" applyBorder="1" applyAlignment="1">
      <alignment vertical="center"/>
    </xf>
    <xf numFmtId="0" fontId="0" fillId="0" borderId="22" xfId="0" applyBorder="1" applyAlignment="1">
      <alignment vertical="center"/>
    </xf>
    <xf numFmtId="0" fontId="33" fillId="0" borderId="22" xfId="0" applyFont="1" applyBorder="1"/>
    <xf numFmtId="0" fontId="33" fillId="0" borderId="0" xfId="0" applyFont="1" applyBorder="1" applyAlignment="1">
      <alignment horizontal="left" vertical="center" wrapText="1"/>
    </xf>
    <xf numFmtId="0" fontId="87" fillId="0" borderId="0" xfId="0" applyFont="1" applyBorder="1" applyAlignment="1">
      <alignment horizontal="left" vertical="center" wrapText="1"/>
    </xf>
    <xf numFmtId="0" fontId="49" fillId="0" borderId="0" xfId="0" applyFont="1" applyFill="1" applyBorder="1" applyAlignment="1" applyProtection="1">
      <alignment horizontal="center"/>
    </xf>
    <xf numFmtId="0" fontId="33" fillId="0" borderId="0" xfId="0" applyFont="1" applyAlignment="1">
      <alignment vertical="top"/>
    </xf>
    <xf numFmtId="0" fontId="63" fillId="0" borderId="0" xfId="35" applyFont="1" applyBorder="1" applyAlignment="1" applyProtection="1">
      <alignment horizontal="left" vertical="top"/>
    </xf>
    <xf numFmtId="0" fontId="33" fillId="0" borderId="0" xfId="0" applyFont="1" applyBorder="1" applyAlignment="1">
      <alignment horizontal="left" vertical="top"/>
    </xf>
    <xf numFmtId="0" fontId="33" fillId="0" borderId="0" xfId="0" applyFont="1" applyAlignment="1">
      <alignment horizontal="left" vertical="top"/>
    </xf>
    <xf numFmtId="14" fontId="63" fillId="0" borderId="0" xfId="35" applyNumberFormat="1" applyFont="1" applyFill="1" applyAlignment="1" applyProtection="1"/>
    <xf numFmtId="14" fontId="55" fillId="0" borderId="0" xfId="35" applyNumberFormat="1" applyFont="1" applyFill="1" applyAlignment="1" applyProtection="1"/>
    <xf numFmtId="0" fontId="46" fillId="0" borderId="0" xfId="0" applyFont="1" applyFill="1" applyAlignment="1" applyProtection="1">
      <alignment horizontal="right" vertical="center"/>
    </xf>
    <xf numFmtId="0" fontId="46" fillId="0" borderId="0" xfId="0" applyFont="1" applyFill="1" applyBorder="1" applyAlignment="1" applyProtection="1">
      <alignment horizontal="left" vertical="center"/>
    </xf>
    <xf numFmtId="10" fontId="46" fillId="0" borderId="0" xfId="0" applyNumberFormat="1" applyFont="1" applyFill="1" applyAlignment="1" applyProtection="1">
      <alignment vertical="center"/>
    </xf>
    <xf numFmtId="0" fontId="46" fillId="0" borderId="0" xfId="0" applyFont="1" applyFill="1" applyBorder="1" applyAlignment="1" applyProtection="1">
      <alignment horizontal="right" vertical="center"/>
    </xf>
    <xf numFmtId="3" fontId="46" fillId="0" borderId="0" xfId="0" applyNumberFormat="1" applyFont="1" applyFill="1" applyBorder="1" applyAlignment="1" applyProtection="1">
      <alignment horizontal="left" vertical="center"/>
    </xf>
    <xf numFmtId="3" fontId="46" fillId="0" borderId="0" xfId="0" applyNumberFormat="1" applyFont="1" applyFill="1" applyAlignment="1" applyProtection="1">
      <alignment vertical="center"/>
    </xf>
    <xf numFmtId="3" fontId="32" fillId="0" borderId="0" xfId="0" applyNumberFormat="1" applyFont="1" applyFill="1" applyAlignment="1" applyProtection="1">
      <alignment vertical="center"/>
    </xf>
    <xf numFmtId="0" fontId="46" fillId="0" borderId="0" xfId="0" applyFont="1" applyFill="1" applyBorder="1" applyAlignment="1" applyProtection="1">
      <alignment vertical="center"/>
    </xf>
    <xf numFmtId="168" fontId="46" fillId="0" borderId="0" xfId="0" applyNumberFormat="1" applyFont="1" applyFill="1" applyBorder="1" applyAlignment="1" applyProtection="1">
      <alignment horizontal="right" vertical="center"/>
    </xf>
    <xf numFmtId="0" fontId="46" fillId="0" borderId="0" xfId="0" applyFont="1" applyFill="1" applyAlignment="1" applyProtection="1">
      <alignment vertical="center"/>
    </xf>
    <xf numFmtId="168" fontId="46" fillId="0" borderId="0" xfId="0" applyNumberFormat="1" applyFont="1" applyFill="1" applyAlignment="1" applyProtection="1">
      <alignment vertical="center"/>
    </xf>
    <xf numFmtId="0" fontId="79" fillId="0" borderId="0" xfId="0" applyFont="1" applyFill="1" applyAlignment="1" applyProtection="1">
      <alignment vertical="center"/>
    </xf>
    <xf numFmtId="4" fontId="32" fillId="0" borderId="0" xfId="0" applyNumberFormat="1" applyFont="1" applyFill="1" applyAlignment="1" applyProtection="1">
      <alignment vertical="center"/>
    </xf>
    <xf numFmtId="10" fontId="43" fillId="0" borderId="0" xfId="0" applyNumberFormat="1" applyFont="1" applyFill="1" applyBorder="1" applyAlignment="1" applyProtection="1">
      <alignment vertical="center"/>
    </xf>
    <xf numFmtId="0" fontId="49" fillId="0" borderId="0" xfId="41" applyFont="1" applyAlignment="1"/>
    <xf numFmtId="0" fontId="32" fillId="0" borderId="0" xfId="41" applyFont="1" applyAlignment="1"/>
    <xf numFmtId="0" fontId="34" fillId="0" borderId="0" xfId="0" applyFont="1" applyAlignment="1">
      <alignment horizontal="center"/>
    </xf>
    <xf numFmtId="0" fontId="52" fillId="0" borderId="0" xfId="0" applyFont="1" applyAlignment="1">
      <alignment horizontal="center"/>
    </xf>
    <xf numFmtId="0" fontId="52" fillId="0" borderId="0" xfId="0" applyFont="1" applyFill="1" applyAlignment="1">
      <alignment horizontal="center"/>
    </xf>
    <xf numFmtId="0" fontId="33" fillId="0" borderId="0" xfId="0" applyFont="1" applyFill="1" applyBorder="1" applyAlignment="1">
      <alignment horizontal="center"/>
    </xf>
    <xf numFmtId="0" fontId="33" fillId="0" borderId="0" xfId="0" applyFont="1" applyFill="1" applyBorder="1"/>
    <xf numFmtId="37" fontId="33" fillId="0" borderId="0" xfId="0" quotePrefix="1" applyNumberFormat="1" applyFont="1" applyFill="1"/>
    <xf numFmtId="0" fontId="34" fillId="0" borderId="0" xfId="51" applyFont="1" applyAlignment="1"/>
    <xf numFmtId="0" fontId="44" fillId="0" borderId="0" xfId="0" applyFont="1"/>
    <xf numFmtId="37" fontId="44" fillId="0" borderId="0" xfId="0" applyNumberFormat="1" applyFont="1"/>
    <xf numFmtId="0" fontId="34" fillId="0" borderId="0" xfId="0" applyFont="1" applyAlignment="1">
      <alignment horizontal="center"/>
    </xf>
    <xf numFmtId="43" fontId="46" fillId="35" borderId="0" xfId="0" applyNumberFormat="1" applyFont="1" applyFill="1"/>
    <xf numFmtId="0" fontId="33" fillId="0" borderId="0" xfId="41" applyFont="1" applyAlignment="1">
      <alignment horizontal="center"/>
    </xf>
    <xf numFmtId="0" fontId="33" fillId="0" borderId="0" xfId="51" applyNumberFormat="1" applyFont="1" applyAlignment="1">
      <alignment horizontal="left" wrapText="1"/>
    </xf>
    <xf numFmtId="0" fontId="35" fillId="0" borderId="0" xfId="0" applyFont="1" applyAlignment="1">
      <alignment horizontal="left"/>
    </xf>
    <xf numFmtId="0" fontId="78" fillId="0" borderId="0" xfId="40" applyFont="1" applyFill="1" applyBorder="1" applyAlignment="1">
      <alignment horizontal="center"/>
    </xf>
    <xf numFmtId="37" fontId="32" fillId="35" borderId="11" xfId="41" applyNumberFormat="1" applyFont="1" applyFill="1" applyBorder="1" applyAlignment="1">
      <alignment horizontal="center"/>
    </xf>
    <xf numFmtId="37" fontId="32" fillId="35" borderId="12" xfId="41" applyNumberFormat="1" applyFont="1" applyFill="1" applyBorder="1" applyAlignment="1">
      <alignment horizontal="center"/>
    </xf>
    <xf numFmtId="0" fontId="51" fillId="0" borderId="0" xfId="41" applyFont="1" applyFill="1" applyBorder="1" applyAlignment="1">
      <alignment horizontal="center"/>
    </xf>
    <xf numFmtId="0" fontId="49" fillId="24" borderId="0" xfId="0" applyFont="1" applyFill="1" applyAlignment="1" applyProtection="1">
      <alignment horizontal="center" vertical="center" wrapText="1"/>
    </xf>
    <xf numFmtId="0" fontId="49" fillId="0" borderId="0" xfId="0" applyFont="1" applyFill="1" applyAlignment="1" applyProtection="1">
      <alignment horizontal="center"/>
    </xf>
    <xf numFmtId="0" fontId="49" fillId="0" borderId="0" xfId="0" applyFont="1" applyFill="1" applyAlignment="1" applyProtection="1">
      <alignment horizontal="center" vertical="center" wrapText="1"/>
    </xf>
    <xf numFmtId="0" fontId="51" fillId="0" borderId="0" xfId="0" applyFont="1" applyFill="1" applyAlignment="1">
      <alignment horizontal="center"/>
    </xf>
    <xf numFmtId="0" fontId="34" fillId="0" borderId="0" xfId="0" applyFont="1" applyAlignment="1">
      <alignment horizontal="center"/>
    </xf>
    <xf numFmtId="0" fontId="52" fillId="0" borderId="0" xfId="0" applyFont="1" applyAlignment="1">
      <alignment horizontal="center"/>
    </xf>
    <xf numFmtId="0" fontId="52" fillId="37" borderId="0" xfId="0" applyFont="1" applyFill="1" applyAlignment="1">
      <alignment horizontal="center"/>
    </xf>
    <xf numFmtId="0" fontId="52" fillId="39" borderId="0" xfId="0" applyFont="1" applyFill="1" applyAlignment="1">
      <alignment horizontal="center" wrapText="1"/>
    </xf>
    <xf numFmtId="0" fontId="58" fillId="40" borderId="0" xfId="0" applyFont="1" applyFill="1" applyAlignment="1">
      <alignment horizontal="center"/>
    </xf>
    <xf numFmtId="0" fontId="81" fillId="40" borderId="0" xfId="35" applyFont="1" applyFill="1" applyAlignment="1" applyProtection="1">
      <alignment horizontal="center" vertical="center" wrapText="1"/>
    </xf>
    <xf numFmtId="0" fontId="36" fillId="40" borderId="0" xfId="0" applyFont="1" applyFill="1" applyAlignment="1">
      <alignment horizontal="center" vertical="center" wrapText="1"/>
    </xf>
    <xf numFmtId="0" fontId="75" fillId="40" borderId="0" xfId="0" applyFont="1" applyFill="1" applyAlignment="1">
      <alignment horizontal="center" vertical="center" wrapText="1"/>
    </xf>
    <xf numFmtId="1" fontId="56" fillId="35" borderId="0" xfId="0" applyNumberFormat="1" applyFont="1" applyFill="1" applyAlignment="1">
      <alignment horizontal="center" vertical="center"/>
    </xf>
    <xf numFmtId="0" fontId="56" fillId="35" borderId="0" xfId="0" applyFont="1" applyFill="1" applyAlignment="1">
      <alignment horizontal="center" vertical="center"/>
    </xf>
    <xf numFmtId="0" fontId="52" fillId="42" borderId="0" xfId="0" applyFont="1" applyFill="1" applyAlignment="1">
      <alignment horizontal="center"/>
    </xf>
    <xf numFmtId="0" fontId="52" fillId="0" borderId="0" xfId="0" applyFont="1" applyFill="1" applyAlignment="1">
      <alignment horizontal="center"/>
    </xf>
    <xf numFmtId="0" fontId="52" fillId="36" borderId="0" xfId="0" applyFont="1" applyFill="1" applyAlignment="1">
      <alignment horizontal="center"/>
    </xf>
    <xf numFmtId="0" fontId="52" fillId="38" borderId="0" xfId="0" applyFont="1" applyFill="1" applyAlignment="1">
      <alignment horizontal="center"/>
    </xf>
    <xf numFmtId="0" fontId="33" fillId="0" borderId="0" xfId="0" applyFont="1" applyFill="1" applyAlignment="1">
      <alignment horizontal="center"/>
    </xf>
    <xf numFmtId="14" fontId="33" fillId="0" borderId="0" xfId="0" applyNumberFormat="1" applyFont="1" applyFill="1" applyAlignment="1">
      <alignment horizontal="center"/>
    </xf>
    <xf numFmtId="0" fontId="37" fillId="39" borderId="0" xfId="0" applyFont="1" applyFill="1" applyBorder="1" applyAlignment="1">
      <alignment horizontal="center" vertical="center"/>
    </xf>
    <xf numFmtId="0" fontId="33" fillId="0" borderId="0" xfId="0" applyFont="1" applyAlignment="1">
      <alignment horizontal="left" vertical="center"/>
    </xf>
    <xf numFmtId="0" fontId="33" fillId="0" borderId="0" xfId="0" applyFont="1" applyBorder="1" applyAlignment="1">
      <alignment horizontal="left" vertical="center"/>
    </xf>
    <xf numFmtId="0" fontId="33" fillId="0" borderId="0" xfId="0" applyFont="1" applyAlignment="1">
      <alignment horizontal="left" vertical="center" wrapText="1"/>
    </xf>
    <xf numFmtId="0" fontId="33" fillId="0" borderId="10" xfId="0" applyFont="1" applyBorder="1" applyAlignment="1">
      <alignment horizontal="left" vertical="center" wrapText="1"/>
    </xf>
    <xf numFmtId="0" fontId="33" fillId="0" borderId="10" xfId="0" applyFont="1" applyBorder="1" applyAlignment="1">
      <alignment horizontal="left" vertical="center"/>
    </xf>
    <xf numFmtId="0" fontId="55" fillId="0" borderId="22" xfId="35" applyFont="1" applyBorder="1" applyAlignment="1" applyProtection="1">
      <alignment horizontal="right" vertical="center" indent="1"/>
    </xf>
    <xf numFmtId="0" fontId="0" fillId="0" borderId="0" xfId="0"/>
    <xf numFmtId="0" fontId="33" fillId="0" borderId="0" xfId="0" applyFont="1" applyBorder="1" applyAlignment="1">
      <alignment horizontal="left" vertical="center" wrapText="1"/>
    </xf>
    <xf numFmtId="0" fontId="82" fillId="45" borderId="0" xfId="39" applyFont="1" applyFill="1" applyAlignment="1">
      <alignment horizontal="left" vertical="center"/>
    </xf>
    <xf numFmtId="0" fontId="83" fillId="45" borderId="0" xfId="39" applyFont="1" applyFill="1" applyBorder="1" applyAlignment="1">
      <alignment horizontal="left" vertical="center"/>
    </xf>
    <xf numFmtId="0" fontId="33" fillId="44" borderId="12" xfId="0" applyFont="1" applyFill="1" applyBorder="1" applyAlignment="1">
      <alignment horizontal="left" vertical="center" wrapText="1"/>
    </xf>
  </cellXfs>
  <cellStyles count="5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Comma" xfId="28" builtinId="3"/>
    <cellStyle name="Comma 2" xfId="50"/>
    <cellStyle name="Explanatory Text" xfId="29" builtinId="53" customBuiltin="1"/>
    <cellStyle name="Good" xfId="30" builtinId="26" customBuiltin="1"/>
    <cellStyle name="Heading 1" xfId="31" builtinId="16" customBuiltin="1"/>
    <cellStyle name="Heading 2" xfId="32" builtinId="17" customBuiltin="1"/>
    <cellStyle name="Heading 3" xfId="33" builtinId="18" customBuiltin="1"/>
    <cellStyle name="Heading 4" xfId="34" builtinId="19" customBuiltin="1"/>
    <cellStyle name="Hyperlink" xfId="35" builtinId="8"/>
    <cellStyle name="Input" xfId="36" builtinId="20" customBuiltin="1"/>
    <cellStyle name="Linked Cell" xfId="37" builtinId="24" customBuiltin="1"/>
    <cellStyle name="Neutral" xfId="38" builtinId="28" customBuiltin="1"/>
    <cellStyle name="Normal" xfId="0" builtinId="0"/>
    <cellStyle name="Normal 2" xfId="39"/>
    <cellStyle name="Normal 3" xfId="49"/>
    <cellStyle name="Normal 4" xfId="51"/>
    <cellStyle name="Normal_05 - OCT rate" xfId="40"/>
    <cellStyle name="Normal_a&amp;f newfound07" xfId="41"/>
    <cellStyle name="Normal_leas" xfId="42"/>
    <cellStyle name="Note" xfId="43" builtinId="10" customBuiltin="1"/>
    <cellStyle name="Output" xfId="44" builtinId="21" customBuiltin="1"/>
    <cellStyle name="Percent" xfId="45" builtinId="5"/>
    <cellStyle name="Title" xfId="46" builtinId="15" customBuiltin="1"/>
    <cellStyle name="Total" xfId="47" builtinId="25" customBuiltin="1"/>
    <cellStyle name="Warning Text" xfId="48" builtinId="11" customBuiltin="1"/>
  </cellStyles>
  <dxfs count="5">
    <dxf>
      <font>
        <condense val="0"/>
        <extend val="0"/>
        <color rgb="FF9C6500"/>
      </font>
      <fill>
        <patternFill>
          <bgColor rgb="FFFFEB9C"/>
        </patternFill>
      </fill>
    </dxf>
    <dxf>
      <font>
        <b/>
        <i val="0"/>
        <condense val="0"/>
        <extend val="0"/>
        <color indexed="8"/>
      </font>
      <fill>
        <patternFill>
          <bgColor indexed="29"/>
        </patternFill>
      </fill>
    </dxf>
    <dxf>
      <fill>
        <patternFill>
          <bgColor indexed="29"/>
        </patternFill>
      </fill>
    </dxf>
    <dxf>
      <fill>
        <patternFill>
          <bgColor theme="9" tint="0.39994506668294322"/>
        </patternFill>
      </fill>
    </dxf>
    <dxf>
      <fill>
        <patternFill>
          <bgColor theme="9"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3.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ustomXml" Target="../customXml/item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957915047694453"/>
          <c:y val="3.7382221161748719E-2"/>
          <c:w val="0.8567268370497636"/>
          <c:h val="0.68650547469446765"/>
        </c:manualLayout>
      </c:layout>
      <c:barChart>
        <c:barDir val="col"/>
        <c:grouping val="clustered"/>
        <c:varyColors val="0"/>
        <c:ser>
          <c:idx val="0"/>
          <c:order val="0"/>
          <c:tx>
            <c:strRef>
              <c:f>parameters!$K$10</c:f>
              <c:strCache>
                <c:ptCount val="1"/>
                <c:pt idx="0">
                  <c:v>excess effort before effort reduction</c:v>
                </c:pt>
              </c:strCache>
            </c:strRef>
          </c:tx>
          <c:spPr>
            <a:solidFill>
              <a:schemeClr val="accent5">
                <a:lumMod val="75000"/>
              </a:schemeClr>
            </a:solidFill>
          </c:spPr>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parameters!$L$10:$W$10</c:f>
              <c:numCache>
                <c:formatCode>#,##0.0</c:formatCode>
                <c:ptCount val="12"/>
                <c:pt idx="0">
                  <c:v>621.084157</c:v>
                </c:pt>
                <c:pt idx="1">
                  <c:v>494.05891200000002</c:v>
                </c:pt>
                <c:pt idx="2" formatCode="0.0">
                  <c:v>372.382091</c:v>
                </c:pt>
                <c:pt idx="3">
                  <c:v>228.110232</c:v>
                </c:pt>
                <c:pt idx="4">
                  <c:v>366</c:v>
                </c:pt>
                <c:pt idx="5">
                  <c:v>293.3</c:v>
                </c:pt>
                <c:pt idx="6">
                  <c:v>229.8</c:v>
                </c:pt>
                <c:pt idx="7">
                  <c:v>234.5</c:v>
                </c:pt>
                <c:pt idx="8">
                  <c:v>307.90301399999998</c:v>
                </c:pt>
                <c:pt idx="9">
                  <c:v>235.358789</c:v>
                </c:pt>
                <c:pt idx="10">
                  <c:v>299.86437000000001</c:v>
                </c:pt>
                <c:pt idx="11">
                  <c:v>151.670894</c:v>
                </c:pt>
              </c:numCache>
            </c:numRef>
          </c:val>
        </c:ser>
        <c:ser>
          <c:idx val="1"/>
          <c:order val="1"/>
          <c:tx>
            <c:strRef>
              <c:f>parameters!$K$11</c:f>
              <c:strCache>
                <c:ptCount val="1"/>
                <c:pt idx="0">
                  <c:v>effort reduction</c:v>
                </c:pt>
              </c:strCache>
            </c:strRef>
          </c:tx>
          <c:spPr>
            <a:solidFill>
              <a:srgbClr val="FFC000"/>
            </a:solidFill>
          </c:spPr>
          <c:invertIfNegative val="0"/>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parameters!$L$11:$W$11</c:f>
              <c:numCache>
                <c:formatCode>#,##0.0</c:formatCode>
                <c:ptCount val="12"/>
                <c:pt idx="0">
                  <c:v>124.21683139999998</c:v>
                </c:pt>
                <c:pt idx="1">
                  <c:v>123.51472800000001</c:v>
                </c:pt>
                <c:pt idx="2" formatCode="0.0">
                  <c:v>122.88609003000001</c:v>
                </c:pt>
                <c:pt idx="3">
                  <c:v>34.216535</c:v>
                </c:pt>
                <c:pt idx="4">
                  <c:v>109.8</c:v>
                </c:pt>
                <c:pt idx="5">
                  <c:v>58.7</c:v>
                </c:pt>
                <c:pt idx="6">
                  <c:v>34.5</c:v>
                </c:pt>
                <c:pt idx="7">
                  <c:v>35.200000000000003</c:v>
                </c:pt>
                <c:pt idx="8">
                  <c:v>153.95150699999999</c:v>
                </c:pt>
                <c:pt idx="9">
                  <c:v>117.6793945</c:v>
                </c:pt>
                <c:pt idx="10">
                  <c:v>254.88471449999989</c:v>
                </c:pt>
                <c:pt idx="11">
                  <c:v>128.92025990000005</c:v>
                </c:pt>
              </c:numCache>
            </c:numRef>
          </c:val>
        </c:ser>
        <c:ser>
          <c:idx val="2"/>
          <c:order val="2"/>
          <c:tx>
            <c:strRef>
              <c:f>parameters!$K$12</c:f>
              <c:strCache>
                <c:ptCount val="1"/>
                <c:pt idx="0">
                  <c:v>net excess after effort reduction</c:v>
                </c:pt>
              </c:strCache>
            </c:strRef>
          </c:tx>
          <c:spPr>
            <a:solidFill>
              <a:schemeClr val="accent5">
                <a:lumMod val="40000"/>
                <a:lumOff val="60000"/>
              </a:schemeClr>
            </a:solidFill>
          </c:spPr>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parameters!$L$12:$W$12</c:f>
              <c:numCache>
                <c:formatCode>#,##0.0</c:formatCode>
                <c:ptCount val="12"/>
                <c:pt idx="0">
                  <c:v>496.86732560000002</c:v>
                </c:pt>
                <c:pt idx="1">
                  <c:v>370.54418399999997</c:v>
                </c:pt>
                <c:pt idx="2" formatCode="0.0">
                  <c:v>249.49600097000001</c:v>
                </c:pt>
                <c:pt idx="3">
                  <c:v>193.893697</c:v>
                </c:pt>
                <c:pt idx="4">
                  <c:v>256.2</c:v>
                </c:pt>
                <c:pt idx="5">
                  <c:v>234.60000000000002</c:v>
                </c:pt>
                <c:pt idx="6">
                  <c:v>195.3</c:v>
                </c:pt>
                <c:pt idx="7">
                  <c:v>199.3</c:v>
                </c:pt>
                <c:pt idx="8">
                  <c:v>152.08069825743701</c:v>
                </c:pt>
                <c:pt idx="9">
                  <c:v>117.482913201</c:v>
                </c:pt>
                <c:pt idx="10">
                  <c:v>44.978793475999993</c:v>
                </c:pt>
                <c:pt idx="11">
                  <c:v>22.749214023213945</c:v>
                </c:pt>
              </c:numCache>
            </c:numRef>
          </c:val>
        </c:ser>
        <c:ser>
          <c:idx val="3"/>
          <c:order val="3"/>
          <c:tx>
            <c:strRef>
              <c:f>parameters!$K$13</c:f>
              <c:strCache>
                <c:ptCount val="1"/>
                <c:pt idx="0">
                  <c:v>shortfall below target before increment</c:v>
                </c:pt>
              </c:strCache>
            </c:strRef>
          </c:tx>
          <c:spPr>
            <a:solidFill>
              <a:schemeClr val="accent2">
                <a:lumMod val="50000"/>
              </a:schemeClr>
            </a:solidFill>
          </c:spPr>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parameters!$L$13:$W$13</c:f>
              <c:numCache>
                <c:formatCode>#,##0.0</c:formatCode>
                <c:ptCount val="12"/>
                <c:pt idx="0">
                  <c:v>-321.45232199999998</c:v>
                </c:pt>
                <c:pt idx="1">
                  <c:v>-352.17487499999999</c:v>
                </c:pt>
                <c:pt idx="2" formatCode="0.0">
                  <c:v>-359.19356299999998</c:v>
                </c:pt>
                <c:pt idx="3">
                  <c:v>-427.2</c:v>
                </c:pt>
                <c:pt idx="4">
                  <c:v>-228</c:v>
                </c:pt>
                <c:pt idx="5">
                  <c:v>-211</c:v>
                </c:pt>
                <c:pt idx="6">
                  <c:v>-200</c:v>
                </c:pt>
                <c:pt idx="7">
                  <c:v>-180.2</c:v>
                </c:pt>
                <c:pt idx="8">
                  <c:v>-162.97221500000001</c:v>
                </c:pt>
                <c:pt idx="9">
                  <c:v>-132.627218</c:v>
                </c:pt>
                <c:pt idx="10">
                  <c:v>-96.928090999999995</c:v>
                </c:pt>
                <c:pt idx="11">
                  <c:v>-103.17317</c:v>
                </c:pt>
              </c:numCache>
            </c:numRef>
          </c:val>
        </c:ser>
        <c:ser>
          <c:idx val="4"/>
          <c:order val="4"/>
          <c:tx>
            <c:strRef>
              <c:f>parameters!$K$14</c:f>
              <c:strCache>
                <c:ptCount val="1"/>
                <c:pt idx="0">
                  <c:v>additional increments toward target</c:v>
                </c:pt>
              </c:strCache>
            </c:strRef>
          </c:tx>
          <c:spPr>
            <a:solidFill>
              <a:srgbClr val="FFC000"/>
            </a:solidFill>
          </c:spPr>
          <c:invertIfNegative val="0"/>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parameters!$L$14:$W$14</c:f>
              <c:numCache>
                <c:formatCode>#,##0.0</c:formatCode>
                <c:ptCount val="12"/>
                <c:pt idx="0">
                  <c:v>0</c:v>
                </c:pt>
                <c:pt idx="1">
                  <c:v>-19.739149000000001</c:v>
                </c:pt>
                <c:pt idx="2" formatCode="0.0">
                  <c:v>-21.387588000000001</c:v>
                </c:pt>
                <c:pt idx="3">
                  <c:v>-121.2</c:v>
                </c:pt>
                <c:pt idx="4">
                  <c:v>-10.6</c:v>
                </c:pt>
                <c:pt idx="5">
                  <c:v>-10</c:v>
                </c:pt>
                <c:pt idx="6">
                  <c:v>-4.2</c:v>
                </c:pt>
                <c:pt idx="7">
                  <c:v>-3.9</c:v>
                </c:pt>
                <c:pt idx="8">
                  <c:v>-7.5630930000000003</c:v>
                </c:pt>
                <c:pt idx="9">
                  <c:v>-5.8487390000000001</c:v>
                </c:pt>
                <c:pt idx="10">
                  <c:v>-2.4742150000000001</c:v>
                </c:pt>
                <c:pt idx="11">
                  <c:v>-3.6281780000000001</c:v>
                </c:pt>
              </c:numCache>
            </c:numRef>
          </c:val>
        </c:ser>
        <c:ser>
          <c:idx val="5"/>
          <c:order val="5"/>
          <c:tx>
            <c:strRef>
              <c:f>parameters!$K$15</c:f>
              <c:strCache>
                <c:ptCount val="1"/>
                <c:pt idx="0">
                  <c:v>net shortfall below target after increment</c:v>
                </c:pt>
              </c:strCache>
            </c:strRef>
          </c:tx>
          <c:spPr>
            <a:solidFill>
              <a:schemeClr val="accent2">
                <a:lumMod val="60000"/>
                <a:lumOff val="40000"/>
              </a:schemeClr>
            </a:solidFill>
          </c:spPr>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parameters!$L$9:$W$9</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parameters!$L$15:$W$15</c:f>
              <c:numCache>
                <c:formatCode>#,##0.0</c:formatCode>
                <c:ptCount val="12"/>
                <c:pt idx="0">
                  <c:v>-321.45232199999998</c:v>
                </c:pt>
                <c:pt idx="1">
                  <c:v>-332.43572599999999</c:v>
                </c:pt>
                <c:pt idx="2" formatCode="0.0">
                  <c:v>-337.80597499999999</c:v>
                </c:pt>
                <c:pt idx="3">
                  <c:v>-306</c:v>
                </c:pt>
                <c:pt idx="4">
                  <c:v>-217.4</c:v>
                </c:pt>
                <c:pt idx="5">
                  <c:v>-200.9</c:v>
                </c:pt>
                <c:pt idx="6">
                  <c:v>-195.7</c:v>
                </c:pt>
                <c:pt idx="7">
                  <c:v>-176.3</c:v>
                </c:pt>
                <c:pt idx="8">
                  <c:v>-155.409122</c:v>
                </c:pt>
                <c:pt idx="9">
                  <c:v>-126.778479</c:v>
                </c:pt>
                <c:pt idx="10">
                  <c:v>-94.453875999999994</c:v>
                </c:pt>
                <c:pt idx="11">
                  <c:v>-99.544991999999993</c:v>
                </c:pt>
              </c:numCache>
            </c:numRef>
          </c:val>
        </c:ser>
        <c:dLbls>
          <c:showLegendKey val="0"/>
          <c:showVal val="0"/>
          <c:showCatName val="0"/>
          <c:showSerName val="0"/>
          <c:showPercent val="0"/>
          <c:showBubbleSize val="0"/>
        </c:dLbls>
        <c:gapWidth val="70"/>
        <c:axId val="206019584"/>
        <c:axId val="206016056"/>
      </c:barChart>
      <c:catAx>
        <c:axId val="206019584"/>
        <c:scaling>
          <c:orientation val="minMax"/>
        </c:scaling>
        <c:delete val="0"/>
        <c:axPos val="b"/>
        <c:numFmt formatCode="General" sourceLinked="0"/>
        <c:majorTickMark val="out"/>
        <c:minorTickMark val="none"/>
        <c:tickLblPos val="low"/>
        <c:crossAx val="206016056"/>
        <c:crosses val="autoZero"/>
        <c:auto val="1"/>
        <c:lblAlgn val="ctr"/>
        <c:lblOffset val="100"/>
        <c:noMultiLvlLbl val="0"/>
      </c:catAx>
      <c:valAx>
        <c:axId val="206016056"/>
        <c:scaling>
          <c:orientation val="minMax"/>
        </c:scaling>
        <c:delete val="0"/>
        <c:axPos val="l"/>
        <c:title>
          <c:tx>
            <c:rich>
              <a:bodyPr rot="-5400000" vert="horz"/>
              <a:lstStyle/>
              <a:p>
                <a:pPr>
                  <a:defRPr/>
                </a:pPr>
                <a:r>
                  <a:rPr lang="en-US"/>
                  <a:t>Dollars Above/Below Target Local Share ($)</a:t>
                </a:r>
              </a:p>
            </c:rich>
          </c:tx>
          <c:overlay val="0"/>
        </c:title>
        <c:numFmt formatCode="#,##0" sourceLinked="0"/>
        <c:majorTickMark val="out"/>
        <c:minorTickMark val="none"/>
        <c:tickLblPos val="nextTo"/>
        <c:crossAx val="206019584"/>
        <c:crosses val="autoZero"/>
        <c:crossBetween val="between"/>
      </c:valAx>
    </c:plotArea>
    <c:legend>
      <c:legendPos val="b"/>
      <c:layout>
        <c:manualLayout>
          <c:xMode val="edge"/>
          <c:yMode val="edge"/>
          <c:x val="1.6649336641139083E-2"/>
          <c:y val="0.83922983111963001"/>
          <c:w val="0.97218077877251641"/>
          <c:h val="0.14056814867838491"/>
        </c:manualLayout>
      </c:layout>
      <c:overlay val="0"/>
    </c:legend>
    <c:plotVisOnly val="1"/>
    <c:dispBlanksAs val="gap"/>
    <c:showDLblsOverMax val="0"/>
  </c:chart>
  <c:spPr>
    <a:ln>
      <a:noFill/>
    </a:ln>
  </c:spPr>
  <c:txPr>
    <a:bodyPr/>
    <a:lstStyle/>
    <a:p>
      <a:pPr>
        <a:defRPr sz="900" b="1"/>
      </a:pPr>
      <a:endParaRPr lang="en-US"/>
    </a:p>
  </c:txPr>
  <c:printSettings>
    <c:headerFooter/>
    <c:pageMargins b="0.75000000000001465" l="0.70000000000000062" r="0.70000000000000062" t="0.7500000000000146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parameters!$K$45</c:f>
              <c:strCache>
                <c:ptCount val="1"/>
                <c:pt idx="0">
                  <c:v>aid above target</c:v>
                </c:pt>
              </c:strCache>
            </c:strRef>
          </c:tx>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parameters!$L$44:$W$44</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parameters!$L$45:$W$45</c:f>
              <c:numCache>
                <c:formatCode>#,##0.0</c:formatCode>
                <c:ptCount val="12"/>
                <c:pt idx="0">
                  <c:v>394.9</c:v>
                </c:pt>
                <c:pt idx="1">
                  <c:v>421</c:v>
                </c:pt>
                <c:pt idx="2">
                  <c:v>440.4</c:v>
                </c:pt>
                <c:pt idx="3">
                  <c:v>413.59914561056684</c:v>
                </c:pt>
                <c:pt idx="4">
                  <c:v>489.29058672761249</c:v>
                </c:pt>
                <c:pt idx="5">
                  <c:v>360.5802896250691</c:v>
                </c:pt>
                <c:pt idx="6">
                  <c:v>372.91397258755205</c:v>
                </c:pt>
                <c:pt idx="7">
                  <c:v>385.3</c:v>
                </c:pt>
                <c:pt idx="8" formatCode="0.0">
                  <c:v>404.65393358144092</c:v>
                </c:pt>
                <c:pt idx="9" formatCode="0.0">
                  <c:v>419.07307786449184</c:v>
                </c:pt>
                <c:pt idx="10" formatCode="0.0">
                  <c:v>488.13621374028867</c:v>
                </c:pt>
                <c:pt idx="11" formatCode="0.0">
                  <c:v>497.40384494550671</c:v>
                </c:pt>
              </c:numCache>
            </c:numRef>
          </c:val>
        </c:ser>
        <c:ser>
          <c:idx val="1"/>
          <c:order val="1"/>
          <c:tx>
            <c:strRef>
              <c:f>parameters!$K$46</c:f>
              <c:strCache>
                <c:ptCount val="1"/>
                <c:pt idx="0">
                  <c:v>aid below target</c:v>
                </c:pt>
              </c:strCache>
            </c:strRef>
          </c:tx>
          <c:invertIfNegative val="0"/>
          <c:dLbls>
            <c:dLbl>
              <c:idx val="11"/>
              <c:showLegendKey val="0"/>
              <c:showVal val="1"/>
              <c:showCatName val="0"/>
              <c:showSerName val="0"/>
              <c:showPercent val="0"/>
              <c:showBubbleSize val="0"/>
              <c:extLst>
                <c:ext xmlns:c15="http://schemas.microsoft.com/office/drawing/2012/chart" uri="{CE6537A1-D6FC-4f65-9D91-7224C49458BB}"/>
              </c:extLst>
            </c:dLbl>
            <c:spPr>
              <a:noFill/>
              <a:ln>
                <a:noFill/>
              </a:ln>
              <a:effectLst/>
            </c:spPr>
            <c:showLegendKey val="0"/>
            <c:showVal val="0"/>
            <c:showCatName val="0"/>
            <c:showSerName val="0"/>
            <c:showPercent val="0"/>
            <c:showBubbleSize val="0"/>
            <c:extLst>
              <c:ext xmlns:c15="http://schemas.microsoft.com/office/drawing/2012/chart" uri="{CE6537A1-D6FC-4f65-9D91-7224C49458BB}">
                <c15:showLeaderLines val="0"/>
              </c:ext>
            </c:extLst>
          </c:dLbls>
          <c:cat>
            <c:strRef>
              <c:f>parameters!$L$44:$W$44</c:f>
              <c:strCache>
                <c:ptCount val="12"/>
                <c:pt idx="0">
                  <c:v>FY07</c:v>
                </c:pt>
                <c:pt idx="1">
                  <c:v>FY08</c:v>
                </c:pt>
                <c:pt idx="2">
                  <c:v>FY09</c:v>
                </c:pt>
                <c:pt idx="3">
                  <c:v>FY10</c:v>
                </c:pt>
                <c:pt idx="4">
                  <c:v>FY11</c:v>
                </c:pt>
                <c:pt idx="5">
                  <c:v>FY12</c:v>
                </c:pt>
                <c:pt idx="6">
                  <c:v>FY13</c:v>
                </c:pt>
                <c:pt idx="7">
                  <c:v>FY14</c:v>
                </c:pt>
                <c:pt idx="8">
                  <c:v>FY15</c:v>
                </c:pt>
                <c:pt idx="9">
                  <c:v>FY16</c:v>
                </c:pt>
                <c:pt idx="10">
                  <c:v>FY17</c:v>
                </c:pt>
                <c:pt idx="11">
                  <c:v>FY18</c:v>
                </c:pt>
              </c:strCache>
            </c:strRef>
          </c:cat>
          <c:val>
            <c:numRef>
              <c:f>parameters!$L$46:$W$46</c:f>
              <c:numCache>
                <c:formatCode>#,##0.0</c:formatCode>
                <c:ptCount val="12"/>
                <c:pt idx="0">
                  <c:v>-176.3</c:v>
                </c:pt>
                <c:pt idx="1">
                  <c:v>-143</c:v>
                </c:pt>
                <c:pt idx="2">
                  <c:v>-105.5</c:v>
                </c:pt>
                <c:pt idx="3">
                  <c:v>-97.823632622684812</c:v>
                </c:pt>
                <c:pt idx="4">
                  <c:v>-75.730739773442338</c:v>
                </c:pt>
                <c:pt idx="5">
                  <c:v>-110.4290612110001</c:v>
                </c:pt>
                <c:pt idx="6">
                  <c:v>-84.706296922117531</c:v>
                </c:pt>
                <c:pt idx="7">
                  <c:v>-66.900000000000006</c:v>
                </c:pt>
                <c:pt idx="8" formatCode="0.0">
                  <c:v>-49.399214270156875</c:v>
                </c:pt>
                <c:pt idx="9" formatCode="0.0">
                  <c:v>-44.487988876901781</c:v>
                </c:pt>
                <c:pt idx="10" formatCode="0.0">
                  <c:v>-13.013026762936654</c:v>
                </c:pt>
                <c:pt idx="11" formatCode="0.0">
                  <c:v>-7.2026888360463408</c:v>
                </c:pt>
              </c:numCache>
            </c:numRef>
          </c:val>
        </c:ser>
        <c:dLbls>
          <c:showLegendKey val="0"/>
          <c:showVal val="0"/>
          <c:showCatName val="0"/>
          <c:showSerName val="0"/>
          <c:showPercent val="0"/>
          <c:showBubbleSize val="0"/>
        </c:dLbls>
        <c:gapWidth val="101"/>
        <c:axId val="206016448"/>
        <c:axId val="206013704"/>
      </c:barChart>
      <c:catAx>
        <c:axId val="206016448"/>
        <c:scaling>
          <c:orientation val="minMax"/>
        </c:scaling>
        <c:delete val="0"/>
        <c:axPos val="b"/>
        <c:numFmt formatCode="General" sourceLinked="0"/>
        <c:majorTickMark val="out"/>
        <c:minorTickMark val="none"/>
        <c:tickLblPos val="low"/>
        <c:crossAx val="206013704"/>
        <c:crosses val="autoZero"/>
        <c:auto val="1"/>
        <c:lblAlgn val="ctr"/>
        <c:lblOffset val="100"/>
        <c:noMultiLvlLbl val="0"/>
      </c:catAx>
      <c:valAx>
        <c:axId val="206013704"/>
        <c:scaling>
          <c:orientation val="minMax"/>
        </c:scaling>
        <c:delete val="0"/>
        <c:axPos val="l"/>
        <c:numFmt formatCode="#,##0" sourceLinked="0"/>
        <c:majorTickMark val="out"/>
        <c:minorTickMark val="none"/>
        <c:tickLblPos val="nextTo"/>
        <c:crossAx val="206016448"/>
        <c:crosses val="autoZero"/>
        <c:crossBetween val="between"/>
      </c:valAx>
    </c:plotArea>
    <c:legend>
      <c:legendPos val="b"/>
      <c:overlay val="0"/>
    </c:legend>
    <c:plotVisOnly val="1"/>
    <c:dispBlanksAs val="gap"/>
    <c:showDLblsOverMax val="0"/>
  </c:chart>
  <c:spPr>
    <a:ln>
      <a:noFill/>
    </a:ln>
  </c:spPr>
  <c:txPr>
    <a:bodyPr/>
    <a:lstStyle/>
    <a:p>
      <a:pPr>
        <a:defRPr b="1"/>
      </a:pPr>
      <a:endParaRPr lang="en-US"/>
    </a:p>
  </c:txPr>
  <c:printSettings>
    <c:headerFooter/>
    <c:pageMargins b="0.75000000000001465" l="0.70000000000000062" r="0.70000000000000062" t="0.75000000000001465"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Target v. Required Contribution, FY2018</a:t>
            </a:r>
          </a:p>
        </c:rich>
      </c:tx>
      <c:overlay val="0"/>
    </c:title>
    <c:autoTitleDeleted val="0"/>
    <c:plotArea>
      <c:layout>
        <c:manualLayout>
          <c:layoutTarget val="inner"/>
          <c:xMode val="edge"/>
          <c:yMode val="edge"/>
          <c:x val="0.14482951271889238"/>
          <c:y val="9.207211640774618E-2"/>
          <c:w val="0.78642503389960061"/>
          <c:h val="0.75029029134296443"/>
        </c:manualLayout>
      </c:layout>
      <c:scatterChart>
        <c:scatterStyle val="lineMarker"/>
        <c:varyColors val="0"/>
        <c:ser>
          <c:idx val="0"/>
          <c:order val="0"/>
          <c:tx>
            <c:v>Required Contribution %</c:v>
          </c:tx>
          <c:spPr>
            <a:ln w="28575">
              <a:noFill/>
            </a:ln>
          </c:spPr>
          <c:marker>
            <c:symbol val="circle"/>
            <c:size val="6"/>
            <c:spPr>
              <a:noFill/>
              <a:ln w="12700">
                <a:solidFill>
                  <a:schemeClr val="accent5">
                    <a:lumMod val="50000"/>
                  </a:schemeClr>
                </a:solidFill>
              </a:ln>
            </c:spPr>
          </c:marker>
          <c:xVal>
            <c:numRef>
              <c:f>'Townwide Contributions'!$K$10:$K$360</c:f>
              <c:numCache>
                <c:formatCode>#,##0.00</c:formatCode>
                <c:ptCount val="351"/>
                <c:pt idx="0">
                  <c:v>65.25</c:v>
                </c:pt>
                <c:pt idx="1">
                  <c:v>77.88</c:v>
                </c:pt>
                <c:pt idx="2">
                  <c:v>58.17</c:v>
                </c:pt>
                <c:pt idx="3">
                  <c:v>32.74</c:v>
                </c:pt>
                <c:pt idx="4">
                  <c:v>53.93</c:v>
                </c:pt>
                <c:pt idx="5">
                  <c:v>82.5</c:v>
                </c:pt>
                <c:pt idx="6">
                  <c:v>65.83</c:v>
                </c:pt>
                <c:pt idx="7">
                  <c:v>73.849999999999994</c:v>
                </c:pt>
                <c:pt idx="8">
                  <c:v>82.5</c:v>
                </c:pt>
                <c:pt idx="9">
                  <c:v>82.5</c:v>
                </c:pt>
                <c:pt idx="10">
                  <c:v>44.38</c:v>
                </c:pt>
                <c:pt idx="11">
                  <c:v>52.91</c:v>
                </c:pt>
                <c:pt idx="12">
                  <c:v>77.180000000000007</c:v>
                </c:pt>
                <c:pt idx="13">
                  <c:v>77.709999999999994</c:v>
                </c:pt>
                <c:pt idx="14">
                  <c:v>29.73</c:v>
                </c:pt>
                <c:pt idx="15">
                  <c:v>48.85</c:v>
                </c:pt>
                <c:pt idx="16">
                  <c:v>57.6</c:v>
                </c:pt>
                <c:pt idx="17">
                  <c:v>74.75</c:v>
                </c:pt>
                <c:pt idx="18">
                  <c:v>67.45</c:v>
                </c:pt>
                <c:pt idx="19">
                  <c:v>82.5</c:v>
                </c:pt>
                <c:pt idx="20">
                  <c:v>41.44</c:v>
                </c:pt>
                <c:pt idx="21">
                  <c:v>82.5</c:v>
                </c:pt>
                <c:pt idx="22">
                  <c:v>82.5</c:v>
                </c:pt>
                <c:pt idx="23">
                  <c:v>47.77</c:v>
                </c:pt>
                <c:pt idx="24">
                  <c:v>66.55</c:v>
                </c:pt>
                <c:pt idx="25">
                  <c:v>82.5</c:v>
                </c:pt>
                <c:pt idx="26">
                  <c:v>50.03</c:v>
                </c:pt>
                <c:pt idx="27">
                  <c:v>82.5</c:v>
                </c:pt>
                <c:pt idx="28">
                  <c:v>51.72</c:v>
                </c:pt>
                <c:pt idx="29">
                  <c:v>82.5</c:v>
                </c:pt>
                <c:pt idx="30">
                  <c:v>71.67</c:v>
                </c:pt>
                <c:pt idx="31">
                  <c:v>47.96</c:v>
                </c:pt>
                <c:pt idx="32">
                  <c:v>82.5</c:v>
                </c:pt>
                <c:pt idx="33">
                  <c:v>82.5</c:v>
                </c:pt>
                <c:pt idx="34">
                  <c:v>82.5</c:v>
                </c:pt>
                <c:pt idx="35">
                  <c:v>82.5</c:v>
                </c:pt>
                <c:pt idx="36">
                  <c:v>82.5</c:v>
                </c:pt>
                <c:pt idx="37">
                  <c:v>82.5</c:v>
                </c:pt>
                <c:pt idx="38">
                  <c:v>82.5</c:v>
                </c:pt>
                <c:pt idx="39">
                  <c:v>70.36</c:v>
                </c:pt>
                <c:pt idx="40">
                  <c:v>82.5</c:v>
                </c:pt>
                <c:pt idx="41">
                  <c:v>61.9</c:v>
                </c:pt>
                <c:pt idx="42">
                  <c:v>56.93</c:v>
                </c:pt>
                <c:pt idx="43">
                  <c:v>21.75</c:v>
                </c:pt>
                <c:pt idx="44">
                  <c:v>42.71</c:v>
                </c:pt>
                <c:pt idx="45">
                  <c:v>82.5</c:v>
                </c:pt>
                <c:pt idx="46">
                  <c:v>62.44</c:v>
                </c:pt>
                <c:pt idx="47">
                  <c:v>82.5</c:v>
                </c:pt>
                <c:pt idx="48">
                  <c:v>82.5</c:v>
                </c:pt>
                <c:pt idx="49">
                  <c:v>82.5</c:v>
                </c:pt>
                <c:pt idx="50">
                  <c:v>82.5</c:v>
                </c:pt>
                <c:pt idx="51">
                  <c:v>50.07</c:v>
                </c:pt>
                <c:pt idx="52">
                  <c:v>50.24</c:v>
                </c:pt>
                <c:pt idx="53">
                  <c:v>51.69</c:v>
                </c:pt>
                <c:pt idx="54">
                  <c:v>82.5</c:v>
                </c:pt>
                <c:pt idx="55">
                  <c:v>79.34</c:v>
                </c:pt>
                <c:pt idx="56">
                  <c:v>20.74</c:v>
                </c:pt>
                <c:pt idx="57">
                  <c:v>47.32</c:v>
                </c:pt>
                <c:pt idx="58">
                  <c:v>51.16</c:v>
                </c:pt>
                <c:pt idx="59">
                  <c:v>60.17</c:v>
                </c:pt>
                <c:pt idx="60">
                  <c:v>31.71</c:v>
                </c:pt>
                <c:pt idx="61">
                  <c:v>82.5</c:v>
                </c:pt>
                <c:pt idx="62">
                  <c:v>34.630000000000003</c:v>
                </c:pt>
                <c:pt idx="63">
                  <c:v>44.36</c:v>
                </c:pt>
                <c:pt idx="64">
                  <c:v>82.5</c:v>
                </c:pt>
                <c:pt idx="65">
                  <c:v>54.6</c:v>
                </c:pt>
                <c:pt idx="66">
                  <c:v>82.5</c:v>
                </c:pt>
                <c:pt idx="67">
                  <c:v>78.510000000000005</c:v>
                </c:pt>
                <c:pt idx="68">
                  <c:v>82.5</c:v>
                </c:pt>
                <c:pt idx="69">
                  <c:v>52.97</c:v>
                </c:pt>
                <c:pt idx="70">
                  <c:v>82.5</c:v>
                </c:pt>
                <c:pt idx="71">
                  <c:v>82.5</c:v>
                </c:pt>
                <c:pt idx="72">
                  <c:v>82.5</c:v>
                </c:pt>
                <c:pt idx="73">
                  <c:v>82.5</c:v>
                </c:pt>
                <c:pt idx="74">
                  <c:v>82.5</c:v>
                </c:pt>
                <c:pt idx="75">
                  <c:v>48.15</c:v>
                </c:pt>
                <c:pt idx="76">
                  <c:v>52.42</c:v>
                </c:pt>
                <c:pt idx="77">
                  <c:v>82.5</c:v>
                </c:pt>
                <c:pt idx="78">
                  <c:v>55.84</c:v>
                </c:pt>
                <c:pt idx="79">
                  <c:v>38.69</c:v>
                </c:pt>
                <c:pt idx="80">
                  <c:v>82.07</c:v>
                </c:pt>
                <c:pt idx="81">
                  <c:v>82.5</c:v>
                </c:pt>
                <c:pt idx="82">
                  <c:v>53.62</c:v>
                </c:pt>
                <c:pt idx="83">
                  <c:v>47.48</c:v>
                </c:pt>
                <c:pt idx="84">
                  <c:v>82.5</c:v>
                </c:pt>
                <c:pt idx="85">
                  <c:v>62.92</c:v>
                </c:pt>
                <c:pt idx="86">
                  <c:v>59.64</c:v>
                </c:pt>
                <c:pt idx="87">
                  <c:v>76.150000000000006</c:v>
                </c:pt>
                <c:pt idx="88">
                  <c:v>82.5</c:v>
                </c:pt>
                <c:pt idx="89">
                  <c:v>82.5</c:v>
                </c:pt>
                <c:pt idx="90">
                  <c:v>82.5</c:v>
                </c:pt>
                <c:pt idx="91">
                  <c:v>82.5</c:v>
                </c:pt>
                <c:pt idx="92">
                  <c:v>31.21</c:v>
                </c:pt>
                <c:pt idx="93">
                  <c:v>61.27</c:v>
                </c:pt>
                <c:pt idx="94">
                  <c:v>24.92</c:v>
                </c:pt>
                <c:pt idx="95">
                  <c:v>82.5</c:v>
                </c:pt>
                <c:pt idx="96">
                  <c:v>25.33</c:v>
                </c:pt>
                <c:pt idx="97">
                  <c:v>55.63</c:v>
                </c:pt>
                <c:pt idx="98">
                  <c:v>82.5</c:v>
                </c:pt>
                <c:pt idx="99">
                  <c:v>61.36</c:v>
                </c:pt>
                <c:pt idx="100">
                  <c:v>65.36</c:v>
                </c:pt>
                <c:pt idx="101">
                  <c:v>66.66</c:v>
                </c:pt>
                <c:pt idx="102">
                  <c:v>32.130000000000003</c:v>
                </c:pt>
                <c:pt idx="103">
                  <c:v>82.5</c:v>
                </c:pt>
                <c:pt idx="104">
                  <c:v>72.83</c:v>
                </c:pt>
                <c:pt idx="105">
                  <c:v>60.25</c:v>
                </c:pt>
                <c:pt idx="106">
                  <c:v>82.5</c:v>
                </c:pt>
                <c:pt idx="107">
                  <c:v>66.52</c:v>
                </c:pt>
                <c:pt idx="108">
                  <c:v>82.5</c:v>
                </c:pt>
                <c:pt idx="109">
                  <c:v>65.739999999999995</c:v>
                </c:pt>
                <c:pt idx="110">
                  <c:v>61.36</c:v>
                </c:pt>
                <c:pt idx="111">
                  <c:v>74.13</c:v>
                </c:pt>
                <c:pt idx="112">
                  <c:v>82.5</c:v>
                </c:pt>
                <c:pt idx="113">
                  <c:v>45.84</c:v>
                </c:pt>
                <c:pt idx="114">
                  <c:v>82.5</c:v>
                </c:pt>
                <c:pt idx="115">
                  <c:v>67.42</c:v>
                </c:pt>
                <c:pt idx="116">
                  <c:v>82.5</c:v>
                </c:pt>
                <c:pt idx="117">
                  <c:v>52.31</c:v>
                </c:pt>
                <c:pt idx="118">
                  <c:v>82.5</c:v>
                </c:pt>
                <c:pt idx="119">
                  <c:v>75.42</c:v>
                </c:pt>
                <c:pt idx="120">
                  <c:v>82.5</c:v>
                </c:pt>
                <c:pt idx="121">
                  <c:v>79.38</c:v>
                </c:pt>
                <c:pt idx="122">
                  <c:v>54.91</c:v>
                </c:pt>
                <c:pt idx="123">
                  <c:v>35.99</c:v>
                </c:pt>
                <c:pt idx="124">
                  <c:v>82.5</c:v>
                </c:pt>
                <c:pt idx="125">
                  <c:v>82.5</c:v>
                </c:pt>
                <c:pt idx="126">
                  <c:v>82.5</c:v>
                </c:pt>
                <c:pt idx="127">
                  <c:v>42.51</c:v>
                </c:pt>
                <c:pt idx="128">
                  <c:v>76.569999999999993</c:v>
                </c:pt>
                <c:pt idx="129">
                  <c:v>42.35</c:v>
                </c:pt>
                <c:pt idx="130">
                  <c:v>82.5</c:v>
                </c:pt>
                <c:pt idx="131">
                  <c:v>82.39</c:v>
                </c:pt>
                <c:pt idx="132">
                  <c:v>56.37</c:v>
                </c:pt>
                <c:pt idx="133">
                  <c:v>58.75</c:v>
                </c:pt>
                <c:pt idx="134">
                  <c:v>57.24</c:v>
                </c:pt>
                <c:pt idx="135">
                  <c:v>73.58</c:v>
                </c:pt>
                <c:pt idx="136">
                  <c:v>20.100000000000001</c:v>
                </c:pt>
                <c:pt idx="137">
                  <c:v>55.01</c:v>
                </c:pt>
                <c:pt idx="138">
                  <c:v>82.5</c:v>
                </c:pt>
                <c:pt idx="139">
                  <c:v>52.35</c:v>
                </c:pt>
                <c:pt idx="140">
                  <c:v>59.62</c:v>
                </c:pt>
                <c:pt idx="141">
                  <c:v>82.5</c:v>
                </c:pt>
                <c:pt idx="142">
                  <c:v>52.26</c:v>
                </c:pt>
                <c:pt idx="143">
                  <c:v>82.5</c:v>
                </c:pt>
                <c:pt idx="144">
                  <c:v>61.89</c:v>
                </c:pt>
                <c:pt idx="145">
                  <c:v>65.67</c:v>
                </c:pt>
                <c:pt idx="146">
                  <c:v>68.77</c:v>
                </c:pt>
                <c:pt idx="147">
                  <c:v>59.48</c:v>
                </c:pt>
                <c:pt idx="148">
                  <c:v>13.46</c:v>
                </c:pt>
                <c:pt idx="149">
                  <c:v>82.5</c:v>
                </c:pt>
                <c:pt idx="150">
                  <c:v>47.45</c:v>
                </c:pt>
                <c:pt idx="151">
                  <c:v>82.5</c:v>
                </c:pt>
                <c:pt idx="152">
                  <c:v>39.869999999999997</c:v>
                </c:pt>
                <c:pt idx="153">
                  <c:v>82.5</c:v>
                </c:pt>
                <c:pt idx="154">
                  <c:v>82.5</c:v>
                </c:pt>
                <c:pt idx="155">
                  <c:v>82.5</c:v>
                </c:pt>
                <c:pt idx="156">
                  <c:v>82.5</c:v>
                </c:pt>
                <c:pt idx="157">
                  <c:v>81.45</c:v>
                </c:pt>
                <c:pt idx="158">
                  <c:v>82.5</c:v>
                </c:pt>
                <c:pt idx="159">
                  <c:v>25.96</c:v>
                </c:pt>
                <c:pt idx="160">
                  <c:v>56.5</c:v>
                </c:pt>
                <c:pt idx="161">
                  <c:v>55.73</c:v>
                </c:pt>
                <c:pt idx="162">
                  <c:v>24.42</c:v>
                </c:pt>
                <c:pt idx="163">
                  <c:v>82.5</c:v>
                </c:pt>
                <c:pt idx="164">
                  <c:v>48.23</c:v>
                </c:pt>
                <c:pt idx="165">
                  <c:v>82.5</c:v>
                </c:pt>
                <c:pt idx="166">
                  <c:v>67.31</c:v>
                </c:pt>
                <c:pt idx="167">
                  <c:v>82.5</c:v>
                </c:pt>
                <c:pt idx="168">
                  <c:v>82.5</c:v>
                </c:pt>
                <c:pt idx="169">
                  <c:v>58.68</c:v>
                </c:pt>
                <c:pt idx="170">
                  <c:v>82.45</c:v>
                </c:pt>
                <c:pt idx="171">
                  <c:v>82.5</c:v>
                </c:pt>
                <c:pt idx="172">
                  <c:v>82.5</c:v>
                </c:pt>
                <c:pt idx="173">
                  <c:v>66.34</c:v>
                </c:pt>
                <c:pt idx="174">
                  <c:v>82.5</c:v>
                </c:pt>
                <c:pt idx="175">
                  <c:v>82.5</c:v>
                </c:pt>
                <c:pt idx="176">
                  <c:v>67.83</c:v>
                </c:pt>
                <c:pt idx="177">
                  <c:v>82.5</c:v>
                </c:pt>
                <c:pt idx="178">
                  <c:v>73.39</c:v>
                </c:pt>
                <c:pt idx="179">
                  <c:v>63.01</c:v>
                </c:pt>
                <c:pt idx="180">
                  <c:v>46.36</c:v>
                </c:pt>
                <c:pt idx="181">
                  <c:v>52.8</c:v>
                </c:pt>
                <c:pt idx="182">
                  <c:v>82.5</c:v>
                </c:pt>
                <c:pt idx="183">
                  <c:v>82.5</c:v>
                </c:pt>
                <c:pt idx="184">
                  <c:v>49.89</c:v>
                </c:pt>
                <c:pt idx="185">
                  <c:v>59.53</c:v>
                </c:pt>
                <c:pt idx="186">
                  <c:v>71.41</c:v>
                </c:pt>
                <c:pt idx="187">
                  <c:v>43.29</c:v>
                </c:pt>
                <c:pt idx="188">
                  <c:v>82.5</c:v>
                </c:pt>
                <c:pt idx="189">
                  <c:v>61.45</c:v>
                </c:pt>
                <c:pt idx="190">
                  <c:v>53.25</c:v>
                </c:pt>
                <c:pt idx="191">
                  <c:v>50.29</c:v>
                </c:pt>
                <c:pt idx="192">
                  <c:v>82.5</c:v>
                </c:pt>
                <c:pt idx="193">
                  <c:v>82.5</c:v>
                </c:pt>
                <c:pt idx="194">
                  <c:v>82.5</c:v>
                </c:pt>
                <c:pt idx="195">
                  <c:v>82.5</c:v>
                </c:pt>
                <c:pt idx="196">
                  <c:v>82.5</c:v>
                </c:pt>
                <c:pt idx="197">
                  <c:v>82.5</c:v>
                </c:pt>
                <c:pt idx="198">
                  <c:v>82.5</c:v>
                </c:pt>
                <c:pt idx="199">
                  <c:v>78.23</c:v>
                </c:pt>
                <c:pt idx="200">
                  <c:v>21.69</c:v>
                </c:pt>
                <c:pt idx="201">
                  <c:v>55.73</c:v>
                </c:pt>
                <c:pt idx="202">
                  <c:v>82.5</c:v>
                </c:pt>
                <c:pt idx="203">
                  <c:v>82.5</c:v>
                </c:pt>
                <c:pt idx="204">
                  <c:v>82.5</c:v>
                </c:pt>
                <c:pt idx="205">
                  <c:v>54.28</c:v>
                </c:pt>
                <c:pt idx="206">
                  <c:v>82.5</c:v>
                </c:pt>
                <c:pt idx="207">
                  <c:v>82.5</c:v>
                </c:pt>
                <c:pt idx="208">
                  <c:v>29.45</c:v>
                </c:pt>
                <c:pt idx="209">
                  <c:v>82.5</c:v>
                </c:pt>
                <c:pt idx="210">
                  <c:v>82.5</c:v>
                </c:pt>
                <c:pt idx="211">
                  <c:v>61.53</c:v>
                </c:pt>
                <c:pt idx="212">
                  <c:v>82.5</c:v>
                </c:pt>
                <c:pt idx="213">
                  <c:v>49.99</c:v>
                </c:pt>
                <c:pt idx="214">
                  <c:v>44.98</c:v>
                </c:pt>
                <c:pt idx="215">
                  <c:v>71.81</c:v>
                </c:pt>
                <c:pt idx="216">
                  <c:v>82.5</c:v>
                </c:pt>
                <c:pt idx="217">
                  <c:v>65.430000000000007</c:v>
                </c:pt>
                <c:pt idx="218">
                  <c:v>82.5</c:v>
                </c:pt>
                <c:pt idx="219">
                  <c:v>82.5</c:v>
                </c:pt>
                <c:pt idx="220">
                  <c:v>82.5</c:v>
                </c:pt>
                <c:pt idx="221">
                  <c:v>61.38</c:v>
                </c:pt>
                <c:pt idx="222">
                  <c:v>27.57</c:v>
                </c:pt>
                <c:pt idx="223">
                  <c:v>82.5</c:v>
                </c:pt>
                <c:pt idx="224">
                  <c:v>82.5</c:v>
                </c:pt>
                <c:pt idx="225">
                  <c:v>47.63</c:v>
                </c:pt>
                <c:pt idx="226">
                  <c:v>41.01</c:v>
                </c:pt>
                <c:pt idx="227">
                  <c:v>61.1</c:v>
                </c:pt>
                <c:pt idx="228">
                  <c:v>71.23</c:v>
                </c:pt>
                <c:pt idx="229">
                  <c:v>82.5</c:v>
                </c:pt>
                <c:pt idx="230">
                  <c:v>62.94</c:v>
                </c:pt>
                <c:pt idx="231">
                  <c:v>56.21</c:v>
                </c:pt>
                <c:pt idx="232">
                  <c:v>43.82</c:v>
                </c:pt>
                <c:pt idx="233">
                  <c:v>79.61</c:v>
                </c:pt>
                <c:pt idx="234">
                  <c:v>48.31</c:v>
                </c:pt>
                <c:pt idx="235">
                  <c:v>40.74</c:v>
                </c:pt>
                <c:pt idx="236">
                  <c:v>70.849999999999994</c:v>
                </c:pt>
                <c:pt idx="237">
                  <c:v>70.89</c:v>
                </c:pt>
                <c:pt idx="238">
                  <c:v>70.38</c:v>
                </c:pt>
                <c:pt idx="239">
                  <c:v>71.290000000000006</c:v>
                </c:pt>
                <c:pt idx="240">
                  <c:v>82.5</c:v>
                </c:pt>
                <c:pt idx="241">
                  <c:v>82.5</c:v>
                </c:pt>
                <c:pt idx="242">
                  <c:v>77.44</c:v>
                </c:pt>
                <c:pt idx="243">
                  <c:v>55.96</c:v>
                </c:pt>
                <c:pt idx="244">
                  <c:v>60.47</c:v>
                </c:pt>
                <c:pt idx="245">
                  <c:v>82.5</c:v>
                </c:pt>
                <c:pt idx="246">
                  <c:v>75.510000000000005</c:v>
                </c:pt>
                <c:pt idx="247">
                  <c:v>36.61</c:v>
                </c:pt>
                <c:pt idx="248">
                  <c:v>82.5</c:v>
                </c:pt>
                <c:pt idx="249">
                  <c:v>62.21</c:v>
                </c:pt>
                <c:pt idx="250">
                  <c:v>49.18</c:v>
                </c:pt>
                <c:pt idx="251">
                  <c:v>82.5</c:v>
                </c:pt>
                <c:pt idx="252">
                  <c:v>82.5</c:v>
                </c:pt>
                <c:pt idx="253">
                  <c:v>82.5</c:v>
                </c:pt>
                <c:pt idx="254">
                  <c:v>55.28</c:v>
                </c:pt>
                <c:pt idx="255">
                  <c:v>38.380000000000003</c:v>
                </c:pt>
                <c:pt idx="256">
                  <c:v>44.78</c:v>
                </c:pt>
                <c:pt idx="257">
                  <c:v>61.21</c:v>
                </c:pt>
                <c:pt idx="258">
                  <c:v>82.5</c:v>
                </c:pt>
                <c:pt idx="259">
                  <c:v>82.5</c:v>
                </c:pt>
                <c:pt idx="260">
                  <c:v>82.5</c:v>
                </c:pt>
                <c:pt idx="261">
                  <c:v>82.5</c:v>
                </c:pt>
                <c:pt idx="262">
                  <c:v>49.54</c:v>
                </c:pt>
                <c:pt idx="263">
                  <c:v>82.5</c:v>
                </c:pt>
                <c:pt idx="264">
                  <c:v>75.56</c:v>
                </c:pt>
                <c:pt idx="265">
                  <c:v>82.5</c:v>
                </c:pt>
                <c:pt idx="266">
                  <c:v>82.5</c:v>
                </c:pt>
                <c:pt idx="267">
                  <c:v>76</c:v>
                </c:pt>
                <c:pt idx="268">
                  <c:v>82.5</c:v>
                </c:pt>
                <c:pt idx="269">
                  <c:v>56.98</c:v>
                </c:pt>
                <c:pt idx="270">
                  <c:v>79.89</c:v>
                </c:pt>
                <c:pt idx="271">
                  <c:v>58.56</c:v>
                </c:pt>
                <c:pt idx="272">
                  <c:v>55.26</c:v>
                </c:pt>
                <c:pt idx="273">
                  <c:v>82.5</c:v>
                </c:pt>
                <c:pt idx="274">
                  <c:v>64.239999999999995</c:v>
                </c:pt>
                <c:pt idx="275">
                  <c:v>82.5</c:v>
                </c:pt>
                <c:pt idx="276">
                  <c:v>25.37</c:v>
                </c:pt>
                <c:pt idx="277">
                  <c:v>65.25</c:v>
                </c:pt>
                <c:pt idx="278">
                  <c:v>64.81</c:v>
                </c:pt>
                <c:pt idx="279">
                  <c:v>45.22</c:v>
                </c:pt>
                <c:pt idx="280">
                  <c:v>15.71</c:v>
                </c:pt>
                <c:pt idx="281">
                  <c:v>75.44</c:v>
                </c:pt>
                <c:pt idx="282">
                  <c:v>82.5</c:v>
                </c:pt>
                <c:pt idx="283">
                  <c:v>82.5</c:v>
                </c:pt>
                <c:pt idx="284">
                  <c:v>61.65</c:v>
                </c:pt>
                <c:pt idx="285">
                  <c:v>82.5</c:v>
                </c:pt>
                <c:pt idx="286">
                  <c:v>57.27</c:v>
                </c:pt>
                <c:pt idx="287">
                  <c:v>82.5</c:v>
                </c:pt>
                <c:pt idx="288">
                  <c:v>75.510000000000005</c:v>
                </c:pt>
                <c:pt idx="289">
                  <c:v>71.78</c:v>
                </c:pt>
                <c:pt idx="290">
                  <c:v>82.5</c:v>
                </c:pt>
                <c:pt idx="291">
                  <c:v>63.73</c:v>
                </c:pt>
                <c:pt idx="292">
                  <c:v>35.880000000000003</c:v>
                </c:pt>
                <c:pt idx="293">
                  <c:v>38.200000000000003</c:v>
                </c:pt>
                <c:pt idx="294">
                  <c:v>79.319999999999993</c:v>
                </c:pt>
                <c:pt idx="295">
                  <c:v>82.5</c:v>
                </c:pt>
                <c:pt idx="296">
                  <c:v>82.5</c:v>
                </c:pt>
                <c:pt idx="297">
                  <c:v>82.5</c:v>
                </c:pt>
                <c:pt idx="298">
                  <c:v>53.14</c:v>
                </c:pt>
                <c:pt idx="299">
                  <c:v>82.5</c:v>
                </c:pt>
                <c:pt idx="300">
                  <c:v>69.290000000000006</c:v>
                </c:pt>
                <c:pt idx="301">
                  <c:v>82.5</c:v>
                </c:pt>
                <c:pt idx="302">
                  <c:v>70.81</c:v>
                </c:pt>
                <c:pt idx="303">
                  <c:v>59.68</c:v>
                </c:pt>
                <c:pt idx="304">
                  <c:v>82.5</c:v>
                </c:pt>
                <c:pt idx="305">
                  <c:v>37.130000000000003</c:v>
                </c:pt>
                <c:pt idx="306">
                  <c:v>82.5</c:v>
                </c:pt>
                <c:pt idx="307">
                  <c:v>82.5</c:v>
                </c:pt>
                <c:pt idx="308">
                  <c:v>34.770000000000003</c:v>
                </c:pt>
                <c:pt idx="309">
                  <c:v>56.05</c:v>
                </c:pt>
                <c:pt idx="310">
                  <c:v>26.92</c:v>
                </c:pt>
                <c:pt idx="311">
                  <c:v>54.34</c:v>
                </c:pt>
                <c:pt idx="312">
                  <c:v>82.5</c:v>
                </c:pt>
                <c:pt idx="313">
                  <c:v>82.5</c:v>
                </c:pt>
                <c:pt idx="314">
                  <c:v>82.5</c:v>
                </c:pt>
                <c:pt idx="315">
                  <c:v>45.09</c:v>
                </c:pt>
                <c:pt idx="316">
                  <c:v>82.5</c:v>
                </c:pt>
                <c:pt idx="317">
                  <c:v>82.5</c:v>
                </c:pt>
                <c:pt idx="318">
                  <c:v>49.61</c:v>
                </c:pt>
                <c:pt idx="319">
                  <c:v>82.5</c:v>
                </c:pt>
                <c:pt idx="320">
                  <c:v>78.5</c:v>
                </c:pt>
                <c:pt idx="321">
                  <c:v>75.56</c:v>
                </c:pt>
                <c:pt idx="322">
                  <c:v>65.459999999999994</c:v>
                </c:pt>
                <c:pt idx="323">
                  <c:v>49.89</c:v>
                </c:pt>
                <c:pt idx="324">
                  <c:v>43.26</c:v>
                </c:pt>
                <c:pt idx="325">
                  <c:v>75.69</c:v>
                </c:pt>
                <c:pt idx="326">
                  <c:v>70.12</c:v>
                </c:pt>
                <c:pt idx="327">
                  <c:v>59.76</c:v>
                </c:pt>
                <c:pt idx="328">
                  <c:v>82.5</c:v>
                </c:pt>
                <c:pt idx="329">
                  <c:v>82.5</c:v>
                </c:pt>
                <c:pt idx="330">
                  <c:v>82.5</c:v>
                </c:pt>
                <c:pt idx="331">
                  <c:v>43.83</c:v>
                </c:pt>
                <c:pt idx="332">
                  <c:v>82.5</c:v>
                </c:pt>
                <c:pt idx="333">
                  <c:v>82.5</c:v>
                </c:pt>
                <c:pt idx="334">
                  <c:v>82.5</c:v>
                </c:pt>
                <c:pt idx="335">
                  <c:v>72.48</c:v>
                </c:pt>
                <c:pt idx="336">
                  <c:v>82.5</c:v>
                </c:pt>
                <c:pt idx="337">
                  <c:v>45.28</c:v>
                </c:pt>
                <c:pt idx="338">
                  <c:v>68.12</c:v>
                </c:pt>
                <c:pt idx="339">
                  <c:v>73.53</c:v>
                </c:pt>
                <c:pt idx="340">
                  <c:v>82.5</c:v>
                </c:pt>
                <c:pt idx="341">
                  <c:v>74.33</c:v>
                </c:pt>
                <c:pt idx="342">
                  <c:v>32.369999999999997</c:v>
                </c:pt>
                <c:pt idx="343">
                  <c:v>82.5</c:v>
                </c:pt>
                <c:pt idx="344">
                  <c:v>82.5</c:v>
                </c:pt>
                <c:pt idx="345">
                  <c:v>70.27</c:v>
                </c:pt>
                <c:pt idx="346">
                  <c:v>82.5</c:v>
                </c:pt>
                <c:pt idx="347">
                  <c:v>28.3</c:v>
                </c:pt>
                <c:pt idx="348">
                  <c:v>82.5</c:v>
                </c:pt>
                <c:pt idx="349">
                  <c:v>82.5</c:v>
                </c:pt>
                <c:pt idx="350">
                  <c:v>82.5</c:v>
                </c:pt>
              </c:numCache>
            </c:numRef>
          </c:xVal>
          <c:yVal>
            <c:numRef>
              <c:f>'Townwide Contributions'!$W$10:$W$360</c:f>
              <c:numCache>
                <c:formatCode>#,##0.00</c:formatCode>
                <c:ptCount val="351"/>
                <c:pt idx="0">
                  <c:v>65.601342341365637</c:v>
                </c:pt>
                <c:pt idx="1">
                  <c:v>77.915253269373224</c:v>
                </c:pt>
                <c:pt idx="2">
                  <c:v>58.512053804682608</c:v>
                </c:pt>
                <c:pt idx="3">
                  <c:v>32.658593357470437</c:v>
                </c:pt>
                <c:pt idx="4">
                  <c:v>54.588284540679808</c:v>
                </c:pt>
                <c:pt idx="5">
                  <c:v>85.226739712529437</c:v>
                </c:pt>
                <c:pt idx="6">
                  <c:v>66.134096926279483</c:v>
                </c:pt>
                <c:pt idx="7">
                  <c:v>74.27423222693362</c:v>
                </c:pt>
                <c:pt idx="8">
                  <c:v>82.999164815265559</c:v>
                </c:pt>
                <c:pt idx="9">
                  <c:v>80.374162972814119</c:v>
                </c:pt>
                <c:pt idx="10">
                  <c:v>44.728715074779849</c:v>
                </c:pt>
                <c:pt idx="11">
                  <c:v>53.512072654595613</c:v>
                </c:pt>
                <c:pt idx="12">
                  <c:v>77.983028032436835</c:v>
                </c:pt>
                <c:pt idx="13">
                  <c:v>78.023867652080469</c:v>
                </c:pt>
                <c:pt idx="14">
                  <c:v>15.300129174140334</c:v>
                </c:pt>
                <c:pt idx="15">
                  <c:v>48.885398603836727</c:v>
                </c:pt>
                <c:pt idx="16">
                  <c:v>58.118745606982337</c:v>
                </c:pt>
                <c:pt idx="17">
                  <c:v>75.519071060295289</c:v>
                </c:pt>
                <c:pt idx="18">
                  <c:v>67.950169574140006</c:v>
                </c:pt>
                <c:pt idx="19">
                  <c:v>82.836851229686431</c:v>
                </c:pt>
                <c:pt idx="20">
                  <c:v>41.562350803438029</c:v>
                </c:pt>
                <c:pt idx="21">
                  <c:v>76.028447073882305</c:v>
                </c:pt>
                <c:pt idx="22">
                  <c:v>82.819054658337294</c:v>
                </c:pt>
                <c:pt idx="23">
                  <c:v>48.125435844845995</c:v>
                </c:pt>
                <c:pt idx="24">
                  <c:v>66.895957382187447</c:v>
                </c:pt>
                <c:pt idx="25">
                  <c:v>81.708280342317252</c:v>
                </c:pt>
                <c:pt idx="26">
                  <c:v>50.226956517098117</c:v>
                </c:pt>
                <c:pt idx="27">
                  <c:v>83.495615626121364</c:v>
                </c:pt>
                <c:pt idx="28">
                  <c:v>52.338346822266466</c:v>
                </c:pt>
                <c:pt idx="29">
                  <c:v>82.78714053752114</c:v>
                </c:pt>
                <c:pt idx="30">
                  <c:v>72.01369354584142</c:v>
                </c:pt>
                <c:pt idx="31">
                  <c:v>48.333300859574798</c:v>
                </c:pt>
                <c:pt idx="32">
                  <c:v>84.020583235623363</c:v>
                </c:pt>
                <c:pt idx="33">
                  <c:v>83.111041231164052</c:v>
                </c:pt>
                <c:pt idx="34">
                  <c:v>82.692269808172071</c:v>
                </c:pt>
                <c:pt idx="35">
                  <c:v>82.760113610256525</c:v>
                </c:pt>
                <c:pt idx="36">
                  <c:v>83.099655570798177</c:v>
                </c:pt>
                <c:pt idx="37">
                  <c:v>82.931407192024793</c:v>
                </c:pt>
                <c:pt idx="38">
                  <c:v>82.612053347016086</c:v>
                </c:pt>
                <c:pt idx="39">
                  <c:v>70.403665312483682</c:v>
                </c:pt>
                <c:pt idx="40">
                  <c:v>82.965599306761078</c:v>
                </c:pt>
                <c:pt idx="41">
                  <c:v>62.252780932681496</c:v>
                </c:pt>
                <c:pt idx="42">
                  <c:v>57.602312800956319</c:v>
                </c:pt>
                <c:pt idx="43">
                  <c:v>20.06622474898904</c:v>
                </c:pt>
                <c:pt idx="44">
                  <c:v>43.04487269608785</c:v>
                </c:pt>
                <c:pt idx="45">
                  <c:v>82.551059451197929</c:v>
                </c:pt>
                <c:pt idx="46">
                  <c:v>63.052943863131226</c:v>
                </c:pt>
                <c:pt idx="47">
                  <c:v>82.833071626761111</c:v>
                </c:pt>
                <c:pt idx="48">
                  <c:v>82.907138100977306</c:v>
                </c:pt>
                <c:pt idx="49">
                  <c:v>82.175690030216501</c:v>
                </c:pt>
                <c:pt idx="50">
                  <c:v>83.228012177364775</c:v>
                </c:pt>
                <c:pt idx="51">
                  <c:v>50.375156965268189</c:v>
                </c:pt>
                <c:pt idx="52">
                  <c:v>50.678379146811338</c:v>
                </c:pt>
                <c:pt idx="53">
                  <c:v>51.807918486340121</c:v>
                </c:pt>
                <c:pt idx="54">
                  <c:v>83.360491268718619</c:v>
                </c:pt>
                <c:pt idx="55">
                  <c:v>80.093791119490362</c:v>
                </c:pt>
                <c:pt idx="56">
                  <c:v>18.350625220268977</c:v>
                </c:pt>
                <c:pt idx="57">
                  <c:v>47.482020932531142</c:v>
                </c:pt>
                <c:pt idx="58">
                  <c:v>51.880655289803833</c:v>
                </c:pt>
                <c:pt idx="59">
                  <c:v>60.680480060651149</c:v>
                </c:pt>
                <c:pt idx="60">
                  <c:v>32.054280700843478</c:v>
                </c:pt>
                <c:pt idx="61">
                  <c:v>78.078245016175956</c:v>
                </c:pt>
                <c:pt idx="62">
                  <c:v>34.470074067848387</c:v>
                </c:pt>
                <c:pt idx="63">
                  <c:v>44.577155101064498</c:v>
                </c:pt>
                <c:pt idx="64">
                  <c:v>83.423422259221894</c:v>
                </c:pt>
                <c:pt idx="65">
                  <c:v>55.455032623112636</c:v>
                </c:pt>
                <c:pt idx="66">
                  <c:v>82.824841604288892</c:v>
                </c:pt>
                <c:pt idx="67">
                  <c:v>79.912451587174061</c:v>
                </c:pt>
                <c:pt idx="68">
                  <c:v>80.230847305343246</c:v>
                </c:pt>
                <c:pt idx="69">
                  <c:v>53.334239579523732</c:v>
                </c:pt>
                <c:pt idx="70">
                  <c:v>83.532534697428787</c:v>
                </c:pt>
                <c:pt idx="71">
                  <c:v>82.92338311593636</c:v>
                </c:pt>
                <c:pt idx="72">
                  <c:v>82.963850375793527</c:v>
                </c:pt>
                <c:pt idx="73">
                  <c:v>83.042986336936636</c:v>
                </c:pt>
                <c:pt idx="74">
                  <c:v>83.629333531323255</c:v>
                </c:pt>
                <c:pt idx="75">
                  <c:v>48.412476663027526</c:v>
                </c:pt>
                <c:pt idx="76">
                  <c:v>52.438877461871094</c:v>
                </c:pt>
                <c:pt idx="77">
                  <c:v>82.818106693107367</c:v>
                </c:pt>
                <c:pt idx="78">
                  <c:v>56.003439798408039</c:v>
                </c:pt>
                <c:pt idx="79">
                  <c:v>32.640285041067123</c:v>
                </c:pt>
                <c:pt idx="80">
                  <c:v>82.344880422655095</c:v>
                </c:pt>
                <c:pt idx="81">
                  <c:v>83.137873037605701</c:v>
                </c:pt>
                <c:pt idx="82">
                  <c:v>53.886950148126907</c:v>
                </c:pt>
                <c:pt idx="83">
                  <c:v>44.639124959039897</c:v>
                </c:pt>
                <c:pt idx="84">
                  <c:v>83.719178300474255</c:v>
                </c:pt>
                <c:pt idx="85">
                  <c:v>63.458322957171035</c:v>
                </c:pt>
                <c:pt idx="86">
                  <c:v>60.031778301278116</c:v>
                </c:pt>
                <c:pt idx="87">
                  <c:v>76.260546190661913</c:v>
                </c:pt>
                <c:pt idx="88">
                  <c:v>82.937798603001525</c:v>
                </c:pt>
                <c:pt idx="89">
                  <c:v>84.203984971474654</c:v>
                </c:pt>
                <c:pt idx="90">
                  <c:v>83.390478618411592</c:v>
                </c:pt>
                <c:pt idx="91">
                  <c:v>83.459338192363901</c:v>
                </c:pt>
                <c:pt idx="92">
                  <c:v>30.318176240532374</c:v>
                </c:pt>
                <c:pt idx="93">
                  <c:v>61.61209399596045</c:v>
                </c:pt>
                <c:pt idx="94">
                  <c:v>19.899486640449467</c:v>
                </c:pt>
                <c:pt idx="95">
                  <c:v>82.919754160029086</c:v>
                </c:pt>
                <c:pt idx="96">
                  <c:v>25.502783162358078</c:v>
                </c:pt>
                <c:pt idx="97">
                  <c:v>56.221715674964329</c:v>
                </c:pt>
                <c:pt idx="98">
                  <c:v>82.819751459245964</c:v>
                </c:pt>
                <c:pt idx="99">
                  <c:v>58.90780705324692</c:v>
                </c:pt>
                <c:pt idx="100">
                  <c:v>64.339730610845351</c:v>
                </c:pt>
                <c:pt idx="101">
                  <c:v>67.147335805330684</c:v>
                </c:pt>
                <c:pt idx="102">
                  <c:v>31.020417622130726</c:v>
                </c:pt>
                <c:pt idx="103">
                  <c:v>70.617821966353532</c:v>
                </c:pt>
                <c:pt idx="104">
                  <c:v>73.263272542669711</c:v>
                </c:pt>
                <c:pt idx="105">
                  <c:v>60.460758111850353</c:v>
                </c:pt>
                <c:pt idx="106">
                  <c:v>82.846359932828847</c:v>
                </c:pt>
                <c:pt idx="107">
                  <c:v>67.225945289483121</c:v>
                </c:pt>
                <c:pt idx="108">
                  <c:v>83.219240771659898</c:v>
                </c:pt>
                <c:pt idx="109">
                  <c:v>66.062944874325126</c:v>
                </c:pt>
                <c:pt idx="110">
                  <c:v>61.859263727940331</c:v>
                </c:pt>
                <c:pt idx="111">
                  <c:v>74.80505038615334</c:v>
                </c:pt>
                <c:pt idx="112">
                  <c:v>82.701514931709738</c:v>
                </c:pt>
                <c:pt idx="113">
                  <c:v>46.15922728486467</c:v>
                </c:pt>
                <c:pt idx="114">
                  <c:v>83.020643687191779</c:v>
                </c:pt>
                <c:pt idx="115">
                  <c:v>67.637242398873084</c:v>
                </c:pt>
                <c:pt idx="116">
                  <c:v>83.54536935358648</c:v>
                </c:pt>
                <c:pt idx="117">
                  <c:v>52.483515585764408</c:v>
                </c:pt>
                <c:pt idx="118">
                  <c:v>83.27592451880389</c:v>
                </c:pt>
                <c:pt idx="119">
                  <c:v>75.62238929515199</c:v>
                </c:pt>
                <c:pt idx="120">
                  <c:v>83.682505583100351</c:v>
                </c:pt>
                <c:pt idx="121">
                  <c:v>78.374013187923765</c:v>
                </c:pt>
                <c:pt idx="122">
                  <c:v>50.768366898927226</c:v>
                </c:pt>
                <c:pt idx="123">
                  <c:v>36.42317622069362</c:v>
                </c:pt>
                <c:pt idx="124">
                  <c:v>83.087209759374005</c:v>
                </c:pt>
                <c:pt idx="125">
                  <c:v>82.809884322372142</c:v>
                </c:pt>
                <c:pt idx="126">
                  <c:v>82.856007110024095</c:v>
                </c:pt>
                <c:pt idx="127">
                  <c:v>42.671862120181352</c:v>
                </c:pt>
                <c:pt idx="128">
                  <c:v>76.113590955971219</c:v>
                </c:pt>
                <c:pt idx="129">
                  <c:v>42.701064343697446</c:v>
                </c:pt>
                <c:pt idx="130">
                  <c:v>82.753289943004916</c:v>
                </c:pt>
                <c:pt idx="131">
                  <c:v>82.96621556925956</c:v>
                </c:pt>
                <c:pt idx="132">
                  <c:v>56.638736026454595</c:v>
                </c:pt>
                <c:pt idx="133">
                  <c:v>59.018637027809852</c:v>
                </c:pt>
                <c:pt idx="134">
                  <c:v>57.703084888585344</c:v>
                </c:pt>
                <c:pt idx="135">
                  <c:v>73.596165411273418</c:v>
                </c:pt>
                <c:pt idx="136">
                  <c:v>12.906198578631304</c:v>
                </c:pt>
                <c:pt idx="137">
                  <c:v>55.202386364596215</c:v>
                </c:pt>
                <c:pt idx="138">
                  <c:v>83.333060100032469</c:v>
                </c:pt>
                <c:pt idx="139">
                  <c:v>52.933340690324101</c:v>
                </c:pt>
                <c:pt idx="140">
                  <c:v>59.792904832538653</c:v>
                </c:pt>
                <c:pt idx="141">
                  <c:v>83.373275297101074</c:v>
                </c:pt>
                <c:pt idx="142">
                  <c:v>52.948105257961807</c:v>
                </c:pt>
                <c:pt idx="143">
                  <c:v>83.375160317965069</c:v>
                </c:pt>
                <c:pt idx="144">
                  <c:v>62.235886020099834</c:v>
                </c:pt>
                <c:pt idx="145">
                  <c:v>66.161856542920475</c:v>
                </c:pt>
                <c:pt idx="146">
                  <c:v>69.226977345553607</c:v>
                </c:pt>
                <c:pt idx="147">
                  <c:v>60.281596623780963</c:v>
                </c:pt>
                <c:pt idx="148">
                  <c:v>4.949430080217212</c:v>
                </c:pt>
                <c:pt idx="149">
                  <c:v>82.678126811803608</c:v>
                </c:pt>
                <c:pt idx="150">
                  <c:v>47.901587767017432</c:v>
                </c:pt>
                <c:pt idx="151">
                  <c:v>82.967765094247369</c:v>
                </c:pt>
                <c:pt idx="152">
                  <c:v>40.038208196889791</c:v>
                </c:pt>
                <c:pt idx="153">
                  <c:v>82.850470957488866</c:v>
                </c:pt>
                <c:pt idx="154">
                  <c:v>81.096598379984201</c:v>
                </c:pt>
                <c:pt idx="155">
                  <c:v>83.634965589492651</c:v>
                </c:pt>
                <c:pt idx="156">
                  <c:v>83.143153820617059</c:v>
                </c:pt>
                <c:pt idx="157">
                  <c:v>79.93684977717119</c:v>
                </c:pt>
                <c:pt idx="158">
                  <c:v>82.594329412369135</c:v>
                </c:pt>
                <c:pt idx="159">
                  <c:v>24.133873424590021</c:v>
                </c:pt>
                <c:pt idx="160">
                  <c:v>56.954186484068387</c:v>
                </c:pt>
                <c:pt idx="161">
                  <c:v>56.069391543599643</c:v>
                </c:pt>
                <c:pt idx="162">
                  <c:v>23.870574182941304</c:v>
                </c:pt>
                <c:pt idx="163">
                  <c:v>82.675378583308628</c:v>
                </c:pt>
                <c:pt idx="164">
                  <c:v>44.517077343778354</c:v>
                </c:pt>
                <c:pt idx="165">
                  <c:v>83.130811042300024</c:v>
                </c:pt>
                <c:pt idx="166">
                  <c:v>67.520976189657503</c:v>
                </c:pt>
                <c:pt idx="167">
                  <c:v>82.895699842648099</c:v>
                </c:pt>
                <c:pt idx="168">
                  <c:v>80.816114592249832</c:v>
                </c:pt>
                <c:pt idx="169">
                  <c:v>56.504594148950758</c:v>
                </c:pt>
                <c:pt idx="170">
                  <c:v>82.26880256345531</c:v>
                </c:pt>
                <c:pt idx="171">
                  <c:v>83.517237158208815</c:v>
                </c:pt>
                <c:pt idx="172">
                  <c:v>83.311372352002408</c:v>
                </c:pt>
                <c:pt idx="173">
                  <c:v>66.089662543912766</c:v>
                </c:pt>
                <c:pt idx="174">
                  <c:v>82.812048414362437</c:v>
                </c:pt>
                <c:pt idx="175">
                  <c:v>82.868134038780155</c:v>
                </c:pt>
                <c:pt idx="176">
                  <c:v>68.035400997125706</c:v>
                </c:pt>
                <c:pt idx="177">
                  <c:v>82.607584657073687</c:v>
                </c:pt>
                <c:pt idx="178">
                  <c:v>71.009192445463015</c:v>
                </c:pt>
                <c:pt idx="179">
                  <c:v>63.424017222729525</c:v>
                </c:pt>
                <c:pt idx="180">
                  <c:v>46.432998099146126</c:v>
                </c:pt>
                <c:pt idx="181">
                  <c:v>53.184908174808179</c:v>
                </c:pt>
                <c:pt idx="182">
                  <c:v>83.0797768142953</c:v>
                </c:pt>
                <c:pt idx="183">
                  <c:v>83.786863864139391</c:v>
                </c:pt>
                <c:pt idx="184">
                  <c:v>50.105157908555967</c:v>
                </c:pt>
                <c:pt idx="185">
                  <c:v>59.785233270298626</c:v>
                </c:pt>
                <c:pt idx="186">
                  <c:v>71.548491933905865</c:v>
                </c:pt>
                <c:pt idx="187">
                  <c:v>42.321648613307524</c:v>
                </c:pt>
                <c:pt idx="188">
                  <c:v>80.964433222774261</c:v>
                </c:pt>
                <c:pt idx="189">
                  <c:v>56.28856775480881</c:v>
                </c:pt>
                <c:pt idx="190">
                  <c:v>53.8793446628166</c:v>
                </c:pt>
                <c:pt idx="191">
                  <c:v>50.629984205627231</c:v>
                </c:pt>
                <c:pt idx="192">
                  <c:v>83.104039093721212</c:v>
                </c:pt>
                <c:pt idx="193">
                  <c:v>83.892032436852915</c:v>
                </c:pt>
                <c:pt idx="194">
                  <c:v>89.999999999999986</c:v>
                </c:pt>
                <c:pt idx="195">
                  <c:v>82.762743926624751</c:v>
                </c:pt>
                <c:pt idx="196">
                  <c:v>81.595566477870108</c:v>
                </c:pt>
                <c:pt idx="197">
                  <c:v>82.920719948713199</c:v>
                </c:pt>
                <c:pt idx="198">
                  <c:v>83.025315632109226</c:v>
                </c:pt>
                <c:pt idx="199">
                  <c:v>70.896838630687611</c:v>
                </c:pt>
                <c:pt idx="200">
                  <c:v>16.410703745846437</c:v>
                </c:pt>
                <c:pt idx="201">
                  <c:v>56.524758318871307</c:v>
                </c:pt>
                <c:pt idx="202">
                  <c:v>83.810139834200015</c:v>
                </c:pt>
                <c:pt idx="203">
                  <c:v>82.794342977925453</c:v>
                </c:pt>
                <c:pt idx="204">
                  <c:v>83.130997870396087</c:v>
                </c:pt>
                <c:pt idx="205">
                  <c:v>54.898787125272072</c:v>
                </c:pt>
                <c:pt idx="206">
                  <c:v>82.663021585875754</c:v>
                </c:pt>
                <c:pt idx="207">
                  <c:v>82.918879362584676</c:v>
                </c:pt>
                <c:pt idx="208">
                  <c:v>29.747506376830582</c:v>
                </c:pt>
                <c:pt idx="209">
                  <c:v>82.895571452446518</c:v>
                </c:pt>
                <c:pt idx="210">
                  <c:v>82.609414390806052</c:v>
                </c:pt>
                <c:pt idx="211">
                  <c:v>61.472886567316216</c:v>
                </c:pt>
                <c:pt idx="212">
                  <c:v>83.259945758173316</c:v>
                </c:pt>
                <c:pt idx="213">
                  <c:v>48.146785866636755</c:v>
                </c:pt>
                <c:pt idx="214">
                  <c:v>45.362299227741445</c:v>
                </c:pt>
                <c:pt idx="215">
                  <c:v>72.338346269769957</c:v>
                </c:pt>
                <c:pt idx="216">
                  <c:v>83.034348312553433</c:v>
                </c:pt>
                <c:pt idx="217">
                  <c:v>65.586286004599089</c:v>
                </c:pt>
                <c:pt idx="218">
                  <c:v>82.932536940596037</c:v>
                </c:pt>
                <c:pt idx="219">
                  <c:v>83.039271366587869</c:v>
                </c:pt>
                <c:pt idx="220">
                  <c:v>82.651444511397898</c:v>
                </c:pt>
                <c:pt idx="221">
                  <c:v>60.694504971502305</c:v>
                </c:pt>
                <c:pt idx="222">
                  <c:v>27.888247814751512</c:v>
                </c:pt>
                <c:pt idx="223">
                  <c:v>82.985080495553021</c:v>
                </c:pt>
                <c:pt idx="224">
                  <c:v>83.288083347927667</c:v>
                </c:pt>
                <c:pt idx="225">
                  <c:v>48.076182244917106</c:v>
                </c:pt>
                <c:pt idx="226">
                  <c:v>41.381935105572339</c:v>
                </c:pt>
                <c:pt idx="227">
                  <c:v>61.699365794621052</c:v>
                </c:pt>
                <c:pt idx="228">
                  <c:v>71.29321263115996</c:v>
                </c:pt>
                <c:pt idx="229">
                  <c:v>74.737077430850817</c:v>
                </c:pt>
                <c:pt idx="230">
                  <c:v>63.134322410597228</c:v>
                </c:pt>
                <c:pt idx="231">
                  <c:v>56.613476950920941</c:v>
                </c:pt>
                <c:pt idx="232">
                  <c:v>44.489054607650395</c:v>
                </c:pt>
                <c:pt idx="233">
                  <c:v>79.995620498367202</c:v>
                </c:pt>
                <c:pt idx="234">
                  <c:v>48.795992334067016</c:v>
                </c:pt>
                <c:pt idx="235">
                  <c:v>40.870533108876614</c:v>
                </c:pt>
                <c:pt idx="236">
                  <c:v>71.737014601845118</c:v>
                </c:pt>
                <c:pt idx="237">
                  <c:v>71.0404234047991</c:v>
                </c:pt>
                <c:pt idx="238">
                  <c:v>70.701699636765156</c:v>
                </c:pt>
                <c:pt idx="239">
                  <c:v>72.212129720603158</c:v>
                </c:pt>
                <c:pt idx="240">
                  <c:v>82.869580791795443</c:v>
                </c:pt>
                <c:pt idx="241">
                  <c:v>83.823539777243028</c:v>
                </c:pt>
                <c:pt idx="242">
                  <c:v>77.671205438961721</c:v>
                </c:pt>
                <c:pt idx="243">
                  <c:v>56.074857947580789</c:v>
                </c:pt>
                <c:pt idx="244">
                  <c:v>60.705164749463421</c:v>
                </c:pt>
                <c:pt idx="245">
                  <c:v>82.857538595388377</c:v>
                </c:pt>
                <c:pt idx="246">
                  <c:v>73.643745131092103</c:v>
                </c:pt>
                <c:pt idx="247">
                  <c:v>35.71054721533487</c:v>
                </c:pt>
                <c:pt idx="248">
                  <c:v>82.570637007969893</c:v>
                </c:pt>
                <c:pt idx="249">
                  <c:v>62.654006752107684</c:v>
                </c:pt>
                <c:pt idx="250">
                  <c:v>49.318994227892439</c:v>
                </c:pt>
                <c:pt idx="251">
                  <c:v>83.315621408739318</c:v>
                </c:pt>
                <c:pt idx="252">
                  <c:v>83.141119179655092</c:v>
                </c:pt>
                <c:pt idx="253">
                  <c:v>83.221118228665375</c:v>
                </c:pt>
                <c:pt idx="254">
                  <c:v>33.049382950435714</c:v>
                </c:pt>
                <c:pt idx="255">
                  <c:v>38.877934575508746</c:v>
                </c:pt>
                <c:pt idx="256">
                  <c:v>44.883036383903523</c:v>
                </c:pt>
                <c:pt idx="257">
                  <c:v>61.243754779837985</c:v>
                </c:pt>
                <c:pt idx="258">
                  <c:v>83.507005834940941</c:v>
                </c:pt>
                <c:pt idx="259">
                  <c:v>83.929205989495969</c:v>
                </c:pt>
                <c:pt idx="260">
                  <c:v>83.151218192045235</c:v>
                </c:pt>
                <c:pt idx="261">
                  <c:v>83.184387557592018</c:v>
                </c:pt>
                <c:pt idx="262">
                  <c:v>49.864389141063469</c:v>
                </c:pt>
                <c:pt idx="263">
                  <c:v>82.750814672531632</c:v>
                </c:pt>
                <c:pt idx="264">
                  <c:v>76.025393228825067</c:v>
                </c:pt>
                <c:pt idx="265">
                  <c:v>82.503575094177279</c:v>
                </c:pt>
                <c:pt idx="266">
                  <c:v>84.157358991013595</c:v>
                </c:pt>
                <c:pt idx="267">
                  <c:v>76.913070165710906</c:v>
                </c:pt>
                <c:pt idx="268">
                  <c:v>82.590401194177474</c:v>
                </c:pt>
                <c:pt idx="269">
                  <c:v>57.111819614633362</c:v>
                </c:pt>
                <c:pt idx="270">
                  <c:v>76.734741920044954</c:v>
                </c:pt>
                <c:pt idx="271">
                  <c:v>58.740336555303912</c:v>
                </c:pt>
                <c:pt idx="272">
                  <c:v>55.957879318769329</c:v>
                </c:pt>
                <c:pt idx="273">
                  <c:v>83.001244442605085</c:v>
                </c:pt>
                <c:pt idx="274">
                  <c:v>64.706391397705602</c:v>
                </c:pt>
                <c:pt idx="275">
                  <c:v>83.146828328125608</c:v>
                </c:pt>
                <c:pt idx="276">
                  <c:v>25.666748309119122</c:v>
                </c:pt>
                <c:pt idx="277">
                  <c:v>65.675552185582987</c:v>
                </c:pt>
                <c:pt idx="278">
                  <c:v>65.010868431675846</c:v>
                </c:pt>
                <c:pt idx="279">
                  <c:v>43.607433347968723</c:v>
                </c:pt>
                <c:pt idx="280">
                  <c:v>10.086394300289015</c:v>
                </c:pt>
                <c:pt idx="281">
                  <c:v>75.512807647973119</c:v>
                </c:pt>
                <c:pt idx="282">
                  <c:v>82.776129748618615</c:v>
                </c:pt>
                <c:pt idx="283">
                  <c:v>82.68749935716086</c:v>
                </c:pt>
                <c:pt idx="284">
                  <c:v>61.739643780004016</c:v>
                </c:pt>
                <c:pt idx="285">
                  <c:v>83.041506021063071</c:v>
                </c:pt>
                <c:pt idx="286">
                  <c:v>57.49972746936556</c:v>
                </c:pt>
                <c:pt idx="287">
                  <c:v>83.117276289634091</c:v>
                </c:pt>
                <c:pt idx="288">
                  <c:v>76.197860114103676</c:v>
                </c:pt>
                <c:pt idx="289">
                  <c:v>72.41128560777004</c:v>
                </c:pt>
                <c:pt idx="290">
                  <c:v>83.074473067884185</c:v>
                </c:pt>
                <c:pt idx="291">
                  <c:v>63.944263432394834</c:v>
                </c:pt>
                <c:pt idx="292">
                  <c:v>36.232524828987998</c:v>
                </c:pt>
                <c:pt idx="293">
                  <c:v>37.903287291842631</c:v>
                </c:pt>
                <c:pt idx="294">
                  <c:v>79.551780119226535</c:v>
                </c:pt>
                <c:pt idx="295">
                  <c:v>81.43262437981862</c:v>
                </c:pt>
                <c:pt idx="296">
                  <c:v>83.817382549391866</c:v>
                </c:pt>
                <c:pt idx="297">
                  <c:v>83.121841007759727</c:v>
                </c:pt>
                <c:pt idx="298">
                  <c:v>52.701390296185942</c:v>
                </c:pt>
                <c:pt idx="299">
                  <c:v>80.761542535379135</c:v>
                </c:pt>
                <c:pt idx="300">
                  <c:v>69.37891799289504</c:v>
                </c:pt>
                <c:pt idx="301">
                  <c:v>82.774044006989698</c:v>
                </c:pt>
                <c:pt idx="302">
                  <c:v>66.746308832524861</c:v>
                </c:pt>
                <c:pt idx="303">
                  <c:v>59.934518833124578</c:v>
                </c:pt>
                <c:pt idx="304">
                  <c:v>82.533529767423786</c:v>
                </c:pt>
                <c:pt idx="305">
                  <c:v>37.635133179445049</c:v>
                </c:pt>
                <c:pt idx="306">
                  <c:v>83.091388662522533</c:v>
                </c:pt>
                <c:pt idx="307">
                  <c:v>82.598755987592568</c:v>
                </c:pt>
                <c:pt idx="308">
                  <c:v>35.228853333201222</c:v>
                </c:pt>
                <c:pt idx="309">
                  <c:v>56.542144138102607</c:v>
                </c:pt>
                <c:pt idx="310">
                  <c:v>27.044859119426537</c:v>
                </c:pt>
                <c:pt idx="311">
                  <c:v>55.252442074269212</c:v>
                </c:pt>
                <c:pt idx="312">
                  <c:v>83.64147952823167</c:v>
                </c:pt>
                <c:pt idx="313">
                  <c:v>82.891028952140658</c:v>
                </c:pt>
                <c:pt idx="314">
                  <c:v>82.969282250910737</c:v>
                </c:pt>
                <c:pt idx="315">
                  <c:v>45.350743959081463</c:v>
                </c:pt>
                <c:pt idx="316">
                  <c:v>83.012150589161308</c:v>
                </c:pt>
                <c:pt idx="317">
                  <c:v>82.794813567111646</c:v>
                </c:pt>
                <c:pt idx="318">
                  <c:v>49.998273108054384</c:v>
                </c:pt>
                <c:pt idx="319">
                  <c:v>82.676446236455121</c:v>
                </c:pt>
                <c:pt idx="320">
                  <c:v>78.584327179875345</c:v>
                </c:pt>
                <c:pt idx="321">
                  <c:v>76.150168668294</c:v>
                </c:pt>
                <c:pt idx="322">
                  <c:v>65.673977884194954</c:v>
                </c:pt>
                <c:pt idx="323">
                  <c:v>50.147671045993761</c:v>
                </c:pt>
                <c:pt idx="324">
                  <c:v>43.659518285786717</c:v>
                </c:pt>
                <c:pt idx="325">
                  <c:v>75.690169168786284</c:v>
                </c:pt>
                <c:pt idx="326">
                  <c:v>70.814708118383422</c:v>
                </c:pt>
                <c:pt idx="327">
                  <c:v>59.813071270576692</c:v>
                </c:pt>
                <c:pt idx="328">
                  <c:v>82.770515620743282</c:v>
                </c:pt>
                <c:pt idx="329">
                  <c:v>83.158496285300174</c:v>
                </c:pt>
                <c:pt idx="330">
                  <c:v>82.998716631795219</c:v>
                </c:pt>
                <c:pt idx="331">
                  <c:v>43.676963737732727</c:v>
                </c:pt>
                <c:pt idx="332">
                  <c:v>83.666034637385806</c:v>
                </c:pt>
                <c:pt idx="333">
                  <c:v>80.39374965077424</c:v>
                </c:pt>
                <c:pt idx="334">
                  <c:v>82.971638793708593</c:v>
                </c:pt>
                <c:pt idx="335">
                  <c:v>70.86636159734087</c:v>
                </c:pt>
                <c:pt idx="336">
                  <c:v>82.950303905570891</c:v>
                </c:pt>
                <c:pt idx="337">
                  <c:v>42.923946546001233</c:v>
                </c:pt>
                <c:pt idx="338">
                  <c:v>68.397777768725973</c:v>
                </c:pt>
                <c:pt idx="339">
                  <c:v>74.615397236496236</c:v>
                </c:pt>
                <c:pt idx="340">
                  <c:v>82.885352801886341</c:v>
                </c:pt>
                <c:pt idx="341">
                  <c:v>74.510929117127702</c:v>
                </c:pt>
                <c:pt idx="342">
                  <c:v>32.590359170402309</c:v>
                </c:pt>
                <c:pt idx="343">
                  <c:v>82.599002951256608</c:v>
                </c:pt>
                <c:pt idx="344">
                  <c:v>83.06846921330559</c:v>
                </c:pt>
                <c:pt idx="345">
                  <c:v>70.037147390511748</c:v>
                </c:pt>
                <c:pt idx="346">
                  <c:v>83.136487970726137</c:v>
                </c:pt>
                <c:pt idx="347">
                  <c:v>28.487378467224531</c:v>
                </c:pt>
                <c:pt idx="348">
                  <c:v>83.350808075454466</c:v>
                </c:pt>
                <c:pt idx="349">
                  <c:v>82.665358671618918</c:v>
                </c:pt>
                <c:pt idx="350">
                  <c:v>82.782746989892857</c:v>
                </c:pt>
              </c:numCache>
            </c:numRef>
          </c:yVal>
          <c:smooth val="0"/>
        </c:ser>
        <c:ser>
          <c:idx val="1"/>
          <c:order val="1"/>
          <c:tx>
            <c:v>Target Contribution %</c:v>
          </c:tx>
          <c:spPr>
            <a:ln w="28575">
              <a:noFill/>
            </a:ln>
          </c:spPr>
          <c:marker>
            <c:symbol val="circle"/>
            <c:size val="6"/>
            <c:spPr>
              <a:noFill/>
              <a:ln w="12700">
                <a:solidFill>
                  <a:schemeClr val="accent5">
                    <a:lumMod val="40000"/>
                    <a:lumOff val="60000"/>
                  </a:schemeClr>
                </a:solidFill>
              </a:ln>
            </c:spPr>
          </c:marker>
          <c:xVal>
            <c:numRef>
              <c:f>'Townwide Contributions'!$K$10:$K$360</c:f>
              <c:numCache>
                <c:formatCode>#,##0.00</c:formatCode>
                <c:ptCount val="351"/>
                <c:pt idx="0">
                  <c:v>65.25</c:v>
                </c:pt>
                <c:pt idx="1">
                  <c:v>77.88</c:v>
                </c:pt>
                <c:pt idx="2">
                  <c:v>58.17</c:v>
                </c:pt>
                <c:pt idx="3">
                  <c:v>32.74</c:v>
                </c:pt>
                <c:pt idx="4">
                  <c:v>53.93</c:v>
                </c:pt>
                <c:pt idx="5">
                  <c:v>82.5</c:v>
                </c:pt>
                <c:pt idx="6">
                  <c:v>65.83</c:v>
                </c:pt>
                <c:pt idx="7">
                  <c:v>73.849999999999994</c:v>
                </c:pt>
                <c:pt idx="8">
                  <c:v>82.5</c:v>
                </c:pt>
                <c:pt idx="9">
                  <c:v>82.5</c:v>
                </c:pt>
                <c:pt idx="10">
                  <c:v>44.38</c:v>
                </c:pt>
                <c:pt idx="11">
                  <c:v>52.91</c:v>
                </c:pt>
                <c:pt idx="12">
                  <c:v>77.180000000000007</c:v>
                </c:pt>
                <c:pt idx="13">
                  <c:v>77.709999999999994</c:v>
                </c:pt>
                <c:pt idx="14">
                  <c:v>29.73</c:v>
                </c:pt>
                <c:pt idx="15">
                  <c:v>48.85</c:v>
                </c:pt>
                <c:pt idx="16">
                  <c:v>57.6</c:v>
                </c:pt>
                <c:pt idx="17">
                  <c:v>74.75</c:v>
                </c:pt>
                <c:pt idx="18">
                  <c:v>67.45</c:v>
                </c:pt>
                <c:pt idx="19">
                  <c:v>82.5</c:v>
                </c:pt>
                <c:pt idx="20">
                  <c:v>41.44</c:v>
                </c:pt>
                <c:pt idx="21">
                  <c:v>82.5</c:v>
                </c:pt>
                <c:pt idx="22">
                  <c:v>82.5</c:v>
                </c:pt>
                <c:pt idx="23">
                  <c:v>47.77</c:v>
                </c:pt>
                <c:pt idx="24">
                  <c:v>66.55</c:v>
                </c:pt>
                <c:pt idx="25">
                  <c:v>82.5</c:v>
                </c:pt>
                <c:pt idx="26">
                  <c:v>50.03</c:v>
                </c:pt>
                <c:pt idx="27">
                  <c:v>82.5</c:v>
                </c:pt>
                <c:pt idx="28">
                  <c:v>51.72</c:v>
                </c:pt>
                <c:pt idx="29">
                  <c:v>82.5</c:v>
                </c:pt>
                <c:pt idx="30">
                  <c:v>71.67</c:v>
                </c:pt>
                <c:pt idx="31">
                  <c:v>47.96</c:v>
                </c:pt>
                <c:pt idx="32">
                  <c:v>82.5</c:v>
                </c:pt>
                <c:pt idx="33">
                  <c:v>82.5</c:v>
                </c:pt>
                <c:pt idx="34">
                  <c:v>82.5</c:v>
                </c:pt>
                <c:pt idx="35">
                  <c:v>82.5</c:v>
                </c:pt>
                <c:pt idx="36">
                  <c:v>82.5</c:v>
                </c:pt>
                <c:pt idx="37">
                  <c:v>82.5</c:v>
                </c:pt>
                <c:pt idx="38">
                  <c:v>82.5</c:v>
                </c:pt>
                <c:pt idx="39">
                  <c:v>70.36</c:v>
                </c:pt>
                <c:pt idx="40">
                  <c:v>82.5</c:v>
                </c:pt>
                <c:pt idx="41">
                  <c:v>61.9</c:v>
                </c:pt>
                <c:pt idx="42">
                  <c:v>56.93</c:v>
                </c:pt>
                <c:pt idx="43">
                  <c:v>21.75</c:v>
                </c:pt>
                <c:pt idx="44">
                  <c:v>42.71</c:v>
                </c:pt>
                <c:pt idx="45">
                  <c:v>82.5</c:v>
                </c:pt>
                <c:pt idx="46">
                  <c:v>62.44</c:v>
                </c:pt>
                <c:pt idx="47">
                  <c:v>82.5</c:v>
                </c:pt>
                <c:pt idx="48">
                  <c:v>82.5</c:v>
                </c:pt>
                <c:pt idx="49">
                  <c:v>82.5</c:v>
                </c:pt>
                <c:pt idx="50">
                  <c:v>82.5</c:v>
                </c:pt>
                <c:pt idx="51">
                  <c:v>50.07</c:v>
                </c:pt>
                <c:pt idx="52">
                  <c:v>50.24</c:v>
                </c:pt>
                <c:pt idx="53">
                  <c:v>51.69</c:v>
                </c:pt>
                <c:pt idx="54">
                  <c:v>82.5</c:v>
                </c:pt>
                <c:pt idx="55">
                  <c:v>79.34</c:v>
                </c:pt>
                <c:pt idx="56">
                  <c:v>20.74</c:v>
                </c:pt>
                <c:pt idx="57">
                  <c:v>47.32</c:v>
                </c:pt>
                <c:pt idx="58">
                  <c:v>51.16</c:v>
                </c:pt>
                <c:pt idx="59">
                  <c:v>60.17</c:v>
                </c:pt>
                <c:pt idx="60">
                  <c:v>31.71</c:v>
                </c:pt>
                <c:pt idx="61">
                  <c:v>82.5</c:v>
                </c:pt>
                <c:pt idx="62">
                  <c:v>34.630000000000003</c:v>
                </c:pt>
                <c:pt idx="63">
                  <c:v>44.36</c:v>
                </c:pt>
                <c:pt idx="64">
                  <c:v>82.5</c:v>
                </c:pt>
                <c:pt idx="65">
                  <c:v>54.6</c:v>
                </c:pt>
                <c:pt idx="66">
                  <c:v>82.5</c:v>
                </c:pt>
                <c:pt idx="67">
                  <c:v>78.510000000000005</c:v>
                </c:pt>
                <c:pt idx="68">
                  <c:v>82.5</c:v>
                </c:pt>
                <c:pt idx="69">
                  <c:v>52.97</c:v>
                </c:pt>
                <c:pt idx="70">
                  <c:v>82.5</c:v>
                </c:pt>
                <c:pt idx="71">
                  <c:v>82.5</c:v>
                </c:pt>
                <c:pt idx="72">
                  <c:v>82.5</c:v>
                </c:pt>
                <c:pt idx="73">
                  <c:v>82.5</c:v>
                </c:pt>
                <c:pt idx="74">
                  <c:v>82.5</c:v>
                </c:pt>
                <c:pt idx="75">
                  <c:v>48.15</c:v>
                </c:pt>
                <c:pt idx="76">
                  <c:v>52.42</c:v>
                </c:pt>
                <c:pt idx="77">
                  <c:v>82.5</c:v>
                </c:pt>
                <c:pt idx="78">
                  <c:v>55.84</c:v>
                </c:pt>
                <c:pt idx="79">
                  <c:v>38.69</c:v>
                </c:pt>
                <c:pt idx="80">
                  <c:v>82.07</c:v>
                </c:pt>
                <c:pt idx="81">
                  <c:v>82.5</c:v>
                </c:pt>
                <c:pt idx="82">
                  <c:v>53.62</c:v>
                </c:pt>
                <c:pt idx="83">
                  <c:v>47.48</c:v>
                </c:pt>
                <c:pt idx="84">
                  <c:v>82.5</c:v>
                </c:pt>
                <c:pt idx="85">
                  <c:v>62.92</c:v>
                </c:pt>
                <c:pt idx="86">
                  <c:v>59.64</c:v>
                </c:pt>
                <c:pt idx="87">
                  <c:v>76.150000000000006</c:v>
                </c:pt>
                <c:pt idx="88">
                  <c:v>82.5</c:v>
                </c:pt>
                <c:pt idx="89">
                  <c:v>82.5</c:v>
                </c:pt>
                <c:pt idx="90">
                  <c:v>82.5</c:v>
                </c:pt>
                <c:pt idx="91">
                  <c:v>82.5</c:v>
                </c:pt>
                <c:pt idx="92">
                  <c:v>31.21</c:v>
                </c:pt>
                <c:pt idx="93">
                  <c:v>61.27</c:v>
                </c:pt>
                <c:pt idx="94">
                  <c:v>24.92</c:v>
                </c:pt>
                <c:pt idx="95">
                  <c:v>82.5</c:v>
                </c:pt>
                <c:pt idx="96">
                  <c:v>25.33</c:v>
                </c:pt>
                <c:pt idx="97">
                  <c:v>55.63</c:v>
                </c:pt>
                <c:pt idx="98">
                  <c:v>82.5</c:v>
                </c:pt>
                <c:pt idx="99">
                  <c:v>61.36</c:v>
                </c:pt>
                <c:pt idx="100">
                  <c:v>65.36</c:v>
                </c:pt>
                <c:pt idx="101">
                  <c:v>66.66</c:v>
                </c:pt>
                <c:pt idx="102">
                  <c:v>32.130000000000003</c:v>
                </c:pt>
                <c:pt idx="103">
                  <c:v>82.5</c:v>
                </c:pt>
                <c:pt idx="104">
                  <c:v>72.83</c:v>
                </c:pt>
                <c:pt idx="105">
                  <c:v>60.25</c:v>
                </c:pt>
                <c:pt idx="106">
                  <c:v>82.5</c:v>
                </c:pt>
                <c:pt idx="107">
                  <c:v>66.52</c:v>
                </c:pt>
                <c:pt idx="108">
                  <c:v>82.5</c:v>
                </c:pt>
                <c:pt idx="109">
                  <c:v>65.739999999999995</c:v>
                </c:pt>
                <c:pt idx="110">
                  <c:v>61.36</c:v>
                </c:pt>
                <c:pt idx="111">
                  <c:v>74.13</c:v>
                </c:pt>
                <c:pt idx="112">
                  <c:v>82.5</c:v>
                </c:pt>
                <c:pt idx="113">
                  <c:v>45.84</c:v>
                </c:pt>
                <c:pt idx="114">
                  <c:v>82.5</c:v>
                </c:pt>
                <c:pt idx="115">
                  <c:v>67.42</c:v>
                </c:pt>
                <c:pt idx="116">
                  <c:v>82.5</c:v>
                </c:pt>
                <c:pt idx="117">
                  <c:v>52.31</c:v>
                </c:pt>
                <c:pt idx="118">
                  <c:v>82.5</c:v>
                </c:pt>
                <c:pt idx="119">
                  <c:v>75.42</c:v>
                </c:pt>
                <c:pt idx="120">
                  <c:v>82.5</c:v>
                </c:pt>
                <c:pt idx="121">
                  <c:v>79.38</c:v>
                </c:pt>
                <c:pt idx="122">
                  <c:v>54.91</c:v>
                </c:pt>
                <c:pt idx="123">
                  <c:v>35.99</c:v>
                </c:pt>
                <c:pt idx="124">
                  <c:v>82.5</c:v>
                </c:pt>
                <c:pt idx="125">
                  <c:v>82.5</c:v>
                </c:pt>
                <c:pt idx="126">
                  <c:v>82.5</c:v>
                </c:pt>
                <c:pt idx="127">
                  <c:v>42.51</c:v>
                </c:pt>
                <c:pt idx="128">
                  <c:v>76.569999999999993</c:v>
                </c:pt>
                <c:pt idx="129">
                  <c:v>42.35</c:v>
                </c:pt>
                <c:pt idx="130">
                  <c:v>82.5</c:v>
                </c:pt>
                <c:pt idx="131">
                  <c:v>82.39</c:v>
                </c:pt>
                <c:pt idx="132">
                  <c:v>56.37</c:v>
                </c:pt>
                <c:pt idx="133">
                  <c:v>58.75</c:v>
                </c:pt>
                <c:pt idx="134">
                  <c:v>57.24</c:v>
                </c:pt>
                <c:pt idx="135">
                  <c:v>73.58</c:v>
                </c:pt>
                <c:pt idx="136">
                  <c:v>20.100000000000001</c:v>
                </c:pt>
                <c:pt idx="137">
                  <c:v>55.01</c:v>
                </c:pt>
                <c:pt idx="138">
                  <c:v>82.5</c:v>
                </c:pt>
                <c:pt idx="139">
                  <c:v>52.35</c:v>
                </c:pt>
                <c:pt idx="140">
                  <c:v>59.62</c:v>
                </c:pt>
                <c:pt idx="141">
                  <c:v>82.5</c:v>
                </c:pt>
                <c:pt idx="142">
                  <c:v>52.26</c:v>
                </c:pt>
                <c:pt idx="143">
                  <c:v>82.5</c:v>
                </c:pt>
                <c:pt idx="144">
                  <c:v>61.89</c:v>
                </c:pt>
                <c:pt idx="145">
                  <c:v>65.67</c:v>
                </c:pt>
                <c:pt idx="146">
                  <c:v>68.77</c:v>
                </c:pt>
                <c:pt idx="147">
                  <c:v>59.48</c:v>
                </c:pt>
                <c:pt idx="148">
                  <c:v>13.46</c:v>
                </c:pt>
                <c:pt idx="149">
                  <c:v>82.5</c:v>
                </c:pt>
                <c:pt idx="150">
                  <c:v>47.45</c:v>
                </c:pt>
                <c:pt idx="151">
                  <c:v>82.5</c:v>
                </c:pt>
                <c:pt idx="152">
                  <c:v>39.869999999999997</c:v>
                </c:pt>
                <c:pt idx="153">
                  <c:v>82.5</c:v>
                </c:pt>
                <c:pt idx="154">
                  <c:v>82.5</c:v>
                </c:pt>
                <c:pt idx="155">
                  <c:v>82.5</c:v>
                </c:pt>
                <c:pt idx="156">
                  <c:v>82.5</c:v>
                </c:pt>
                <c:pt idx="157">
                  <c:v>81.45</c:v>
                </c:pt>
                <c:pt idx="158">
                  <c:v>82.5</c:v>
                </c:pt>
                <c:pt idx="159">
                  <c:v>25.96</c:v>
                </c:pt>
                <c:pt idx="160">
                  <c:v>56.5</c:v>
                </c:pt>
                <c:pt idx="161">
                  <c:v>55.73</c:v>
                </c:pt>
                <c:pt idx="162">
                  <c:v>24.42</c:v>
                </c:pt>
                <c:pt idx="163">
                  <c:v>82.5</c:v>
                </c:pt>
                <c:pt idx="164">
                  <c:v>48.23</c:v>
                </c:pt>
                <c:pt idx="165">
                  <c:v>82.5</c:v>
                </c:pt>
                <c:pt idx="166">
                  <c:v>67.31</c:v>
                </c:pt>
                <c:pt idx="167">
                  <c:v>82.5</c:v>
                </c:pt>
                <c:pt idx="168">
                  <c:v>82.5</c:v>
                </c:pt>
                <c:pt idx="169">
                  <c:v>58.68</c:v>
                </c:pt>
                <c:pt idx="170">
                  <c:v>82.45</c:v>
                </c:pt>
                <c:pt idx="171">
                  <c:v>82.5</c:v>
                </c:pt>
                <c:pt idx="172">
                  <c:v>82.5</c:v>
                </c:pt>
                <c:pt idx="173">
                  <c:v>66.34</c:v>
                </c:pt>
                <c:pt idx="174">
                  <c:v>82.5</c:v>
                </c:pt>
                <c:pt idx="175">
                  <c:v>82.5</c:v>
                </c:pt>
                <c:pt idx="176">
                  <c:v>67.83</c:v>
                </c:pt>
                <c:pt idx="177">
                  <c:v>82.5</c:v>
                </c:pt>
                <c:pt idx="178">
                  <c:v>73.39</c:v>
                </c:pt>
                <c:pt idx="179">
                  <c:v>63.01</c:v>
                </c:pt>
                <c:pt idx="180">
                  <c:v>46.36</c:v>
                </c:pt>
                <c:pt idx="181">
                  <c:v>52.8</c:v>
                </c:pt>
                <c:pt idx="182">
                  <c:v>82.5</c:v>
                </c:pt>
                <c:pt idx="183">
                  <c:v>82.5</c:v>
                </c:pt>
                <c:pt idx="184">
                  <c:v>49.89</c:v>
                </c:pt>
                <c:pt idx="185">
                  <c:v>59.53</c:v>
                </c:pt>
                <c:pt idx="186">
                  <c:v>71.41</c:v>
                </c:pt>
                <c:pt idx="187">
                  <c:v>43.29</c:v>
                </c:pt>
                <c:pt idx="188">
                  <c:v>82.5</c:v>
                </c:pt>
                <c:pt idx="189">
                  <c:v>61.45</c:v>
                </c:pt>
                <c:pt idx="190">
                  <c:v>53.25</c:v>
                </c:pt>
                <c:pt idx="191">
                  <c:v>50.29</c:v>
                </c:pt>
                <c:pt idx="192">
                  <c:v>82.5</c:v>
                </c:pt>
                <c:pt idx="193">
                  <c:v>82.5</c:v>
                </c:pt>
                <c:pt idx="194">
                  <c:v>82.5</c:v>
                </c:pt>
                <c:pt idx="195">
                  <c:v>82.5</c:v>
                </c:pt>
                <c:pt idx="196">
                  <c:v>82.5</c:v>
                </c:pt>
                <c:pt idx="197">
                  <c:v>82.5</c:v>
                </c:pt>
                <c:pt idx="198">
                  <c:v>82.5</c:v>
                </c:pt>
                <c:pt idx="199">
                  <c:v>78.23</c:v>
                </c:pt>
                <c:pt idx="200">
                  <c:v>21.69</c:v>
                </c:pt>
                <c:pt idx="201">
                  <c:v>55.73</c:v>
                </c:pt>
                <c:pt idx="202">
                  <c:v>82.5</c:v>
                </c:pt>
                <c:pt idx="203">
                  <c:v>82.5</c:v>
                </c:pt>
                <c:pt idx="204">
                  <c:v>82.5</c:v>
                </c:pt>
                <c:pt idx="205">
                  <c:v>54.28</c:v>
                </c:pt>
                <c:pt idx="206">
                  <c:v>82.5</c:v>
                </c:pt>
                <c:pt idx="207">
                  <c:v>82.5</c:v>
                </c:pt>
                <c:pt idx="208">
                  <c:v>29.45</c:v>
                </c:pt>
                <c:pt idx="209">
                  <c:v>82.5</c:v>
                </c:pt>
                <c:pt idx="210">
                  <c:v>82.5</c:v>
                </c:pt>
                <c:pt idx="211">
                  <c:v>61.53</c:v>
                </c:pt>
                <c:pt idx="212">
                  <c:v>82.5</c:v>
                </c:pt>
                <c:pt idx="213">
                  <c:v>49.99</c:v>
                </c:pt>
                <c:pt idx="214">
                  <c:v>44.98</c:v>
                </c:pt>
                <c:pt idx="215">
                  <c:v>71.81</c:v>
                </c:pt>
                <c:pt idx="216">
                  <c:v>82.5</c:v>
                </c:pt>
                <c:pt idx="217">
                  <c:v>65.430000000000007</c:v>
                </c:pt>
                <c:pt idx="218">
                  <c:v>82.5</c:v>
                </c:pt>
                <c:pt idx="219">
                  <c:v>82.5</c:v>
                </c:pt>
                <c:pt idx="220">
                  <c:v>82.5</c:v>
                </c:pt>
                <c:pt idx="221">
                  <c:v>61.38</c:v>
                </c:pt>
                <c:pt idx="222">
                  <c:v>27.57</c:v>
                </c:pt>
                <c:pt idx="223">
                  <c:v>82.5</c:v>
                </c:pt>
                <c:pt idx="224">
                  <c:v>82.5</c:v>
                </c:pt>
                <c:pt idx="225">
                  <c:v>47.63</c:v>
                </c:pt>
                <c:pt idx="226">
                  <c:v>41.01</c:v>
                </c:pt>
                <c:pt idx="227">
                  <c:v>61.1</c:v>
                </c:pt>
                <c:pt idx="228">
                  <c:v>71.23</c:v>
                </c:pt>
                <c:pt idx="229">
                  <c:v>82.5</c:v>
                </c:pt>
                <c:pt idx="230">
                  <c:v>62.94</c:v>
                </c:pt>
                <c:pt idx="231">
                  <c:v>56.21</c:v>
                </c:pt>
                <c:pt idx="232">
                  <c:v>43.82</c:v>
                </c:pt>
                <c:pt idx="233">
                  <c:v>79.61</c:v>
                </c:pt>
                <c:pt idx="234">
                  <c:v>48.31</c:v>
                </c:pt>
                <c:pt idx="235">
                  <c:v>40.74</c:v>
                </c:pt>
                <c:pt idx="236">
                  <c:v>70.849999999999994</c:v>
                </c:pt>
                <c:pt idx="237">
                  <c:v>70.89</c:v>
                </c:pt>
                <c:pt idx="238">
                  <c:v>70.38</c:v>
                </c:pt>
                <c:pt idx="239">
                  <c:v>71.290000000000006</c:v>
                </c:pt>
                <c:pt idx="240">
                  <c:v>82.5</c:v>
                </c:pt>
                <c:pt idx="241">
                  <c:v>82.5</c:v>
                </c:pt>
                <c:pt idx="242">
                  <c:v>77.44</c:v>
                </c:pt>
                <c:pt idx="243">
                  <c:v>55.96</c:v>
                </c:pt>
                <c:pt idx="244">
                  <c:v>60.47</c:v>
                </c:pt>
                <c:pt idx="245">
                  <c:v>82.5</c:v>
                </c:pt>
                <c:pt idx="246">
                  <c:v>75.510000000000005</c:v>
                </c:pt>
                <c:pt idx="247">
                  <c:v>36.61</c:v>
                </c:pt>
                <c:pt idx="248">
                  <c:v>82.5</c:v>
                </c:pt>
                <c:pt idx="249">
                  <c:v>62.21</c:v>
                </c:pt>
                <c:pt idx="250">
                  <c:v>49.18</c:v>
                </c:pt>
                <c:pt idx="251">
                  <c:v>82.5</c:v>
                </c:pt>
                <c:pt idx="252">
                  <c:v>82.5</c:v>
                </c:pt>
                <c:pt idx="253">
                  <c:v>82.5</c:v>
                </c:pt>
                <c:pt idx="254">
                  <c:v>55.28</c:v>
                </c:pt>
                <c:pt idx="255">
                  <c:v>38.380000000000003</c:v>
                </c:pt>
                <c:pt idx="256">
                  <c:v>44.78</c:v>
                </c:pt>
                <c:pt idx="257">
                  <c:v>61.21</c:v>
                </c:pt>
                <c:pt idx="258">
                  <c:v>82.5</c:v>
                </c:pt>
                <c:pt idx="259">
                  <c:v>82.5</c:v>
                </c:pt>
                <c:pt idx="260">
                  <c:v>82.5</c:v>
                </c:pt>
                <c:pt idx="261">
                  <c:v>82.5</c:v>
                </c:pt>
                <c:pt idx="262">
                  <c:v>49.54</c:v>
                </c:pt>
                <c:pt idx="263">
                  <c:v>82.5</c:v>
                </c:pt>
                <c:pt idx="264">
                  <c:v>75.56</c:v>
                </c:pt>
                <c:pt idx="265">
                  <c:v>82.5</c:v>
                </c:pt>
                <c:pt idx="266">
                  <c:v>82.5</c:v>
                </c:pt>
                <c:pt idx="267">
                  <c:v>76</c:v>
                </c:pt>
                <c:pt idx="268">
                  <c:v>82.5</c:v>
                </c:pt>
                <c:pt idx="269">
                  <c:v>56.98</c:v>
                </c:pt>
                <c:pt idx="270">
                  <c:v>79.89</c:v>
                </c:pt>
                <c:pt idx="271">
                  <c:v>58.56</c:v>
                </c:pt>
                <c:pt idx="272">
                  <c:v>55.26</c:v>
                </c:pt>
                <c:pt idx="273">
                  <c:v>82.5</c:v>
                </c:pt>
                <c:pt idx="274">
                  <c:v>64.239999999999995</c:v>
                </c:pt>
                <c:pt idx="275">
                  <c:v>82.5</c:v>
                </c:pt>
                <c:pt idx="276">
                  <c:v>25.37</c:v>
                </c:pt>
                <c:pt idx="277">
                  <c:v>65.25</c:v>
                </c:pt>
                <c:pt idx="278">
                  <c:v>64.81</c:v>
                </c:pt>
                <c:pt idx="279">
                  <c:v>45.22</c:v>
                </c:pt>
                <c:pt idx="280">
                  <c:v>15.71</c:v>
                </c:pt>
                <c:pt idx="281">
                  <c:v>75.44</c:v>
                </c:pt>
                <c:pt idx="282">
                  <c:v>82.5</c:v>
                </c:pt>
                <c:pt idx="283">
                  <c:v>82.5</c:v>
                </c:pt>
                <c:pt idx="284">
                  <c:v>61.65</c:v>
                </c:pt>
                <c:pt idx="285">
                  <c:v>82.5</c:v>
                </c:pt>
                <c:pt idx="286">
                  <c:v>57.27</c:v>
                </c:pt>
                <c:pt idx="287">
                  <c:v>82.5</c:v>
                </c:pt>
                <c:pt idx="288">
                  <c:v>75.510000000000005</c:v>
                </c:pt>
                <c:pt idx="289">
                  <c:v>71.78</c:v>
                </c:pt>
                <c:pt idx="290">
                  <c:v>82.5</c:v>
                </c:pt>
                <c:pt idx="291">
                  <c:v>63.73</c:v>
                </c:pt>
                <c:pt idx="292">
                  <c:v>35.880000000000003</c:v>
                </c:pt>
                <c:pt idx="293">
                  <c:v>38.200000000000003</c:v>
                </c:pt>
                <c:pt idx="294">
                  <c:v>79.319999999999993</c:v>
                </c:pt>
                <c:pt idx="295">
                  <c:v>82.5</c:v>
                </c:pt>
                <c:pt idx="296">
                  <c:v>82.5</c:v>
                </c:pt>
                <c:pt idx="297">
                  <c:v>82.5</c:v>
                </c:pt>
                <c:pt idx="298">
                  <c:v>53.14</c:v>
                </c:pt>
                <c:pt idx="299">
                  <c:v>82.5</c:v>
                </c:pt>
                <c:pt idx="300">
                  <c:v>69.290000000000006</c:v>
                </c:pt>
                <c:pt idx="301">
                  <c:v>82.5</c:v>
                </c:pt>
                <c:pt idx="302">
                  <c:v>70.81</c:v>
                </c:pt>
                <c:pt idx="303">
                  <c:v>59.68</c:v>
                </c:pt>
                <c:pt idx="304">
                  <c:v>82.5</c:v>
                </c:pt>
                <c:pt idx="305">
                  <c:v>37.130000000000003</c:v>
                </c:pt>
                <c:pt idx="306">
                  <c:v>82.5</c:v>
                </c:pt>
                <c:pt idx="307">
                  <c:v>82.5</c:v>
                </c:pt>
                <c:pt idx="308">
                  <c:v>34.770000000000003</c:v>
                </c:pt>
                <c:pt idx="309">
                  <c:v>56.05</c:v>
                </c:pt>
                <c:pt idx="310">
                  <c:v>26.92</c:v>
                </c:pt>
                <c:pt idx="311">
                  <c:v>54.34</c:v>
                </c:pt>
                <c:pt idx="312">
                  <c:v>82.5</c:v>
                </c:pt>
                <c:pt idx="313">
                  <c:v>82.5</c:v>
                </c:pt>
                <c:pt idx="314">
                  <c:v>82.5</c:v>
                </c:pt>
                <c:pt idx="315">
                  <c:v>45.09</c:v>
                </c:pt>
                <c:pt idx="316">
                  <c:v>82.5</c:v>
                </c:pt>
                <c:pt idx="317">
                  <c:v>82.5</c:v>
                </c:pt>
                <c:pt idx="318">
                  <c:v>49.61</c:v>
                </c:pt>
                <c:pt idx="319">
                  <c:v>82.5</c:v>
                </c:pt>
                <c:pt idx="320">
                  <c:v>78.5</c:v>
                </c:pt>
                <c:pt idx="321">
                  <c:v>75.56</c:v>
                </c:pt>
                <c:pt idx="322">
                  <c:v>65.459999999999994</c:v>
                </c:pt>
                <c:pt idx="323">
                  <c:v>49.89</c:v>
                </c:pt>
                <c:pt idx="324">
                  <c:v>43.26</c:v>
                </c:pt>
                <c:pt idx="325">
                  <c:v>75.69</c:v>
                </c:pt>
                <c:pt idx="326">
                  <c:v>70.12</c:v>
                </c:pt>
                <c:pt idx="327">
                  <c:v>59.76</c:v>
                </c:pt>
                <c:pt idx="328">
                  <c:v>82.5</c:v>
                </c:pt>
                <c:pt idx="329">
                  <c:v>82.5</c:v>
                </c:pt>
                <c:pt idx="330">
                  <c:v>82.5</c:v>
                </c:pt>
                <c:pt idx="331">
                  <c:v>43.83</c:v>
                </c:pt>
                <c:pt idx="332">
                  <c:v>82.5</c:v>
                </c:pt>
                <c:pt idx="333">
                  <c:v>82.5</c:v>
                </c:pt>
                <c:pt idx="334">
                  <c:v>82.5</c:v>
                </c:pt>
                <c:pt idx="335">
                  <c:v>72.48</c:v>
                </c:pt>
                <c:pt idx="336">
                  <c:v>82.5</c:v>
                </c:pt>
                <c:pt idx="337">
                  <c:v>45.28</c:v>
                </c:pt>
                <c:pt idx="338">
                  <c:v>68.12</c:v>
                </c:pt>
                <c:pt idx="339">
                  <c:v>73.53</c:v>
                </c:pt>
                <c:pt idx="340">
                  <c:v>82.5</c:v>
                </c:pt>
                <c:pt idx="341">
                  <c:v>74.33</c:v>
                </c:pt>
                <c:pt idx="342">
                  <c:v>32.369999999999997</c:v>
                </c:pt>
                <c:pt idx="343">
                  <c:v>82.5</c:v>
                </c:pt>
                <c:pt idx="344">
                  <c:v>82.5</c:v>
                </c:pt>
                <c:pt idx="345">
                  <c:v>70.27</c:v>
                </c:pt>
                <c:pt idx="346">
                  <c:v>82.5</c:v>
                </c:pt>
                <c:pt idx="347">
                  <c:v>28.3</c:v>
                </c:pt>
                <c:pt idx="348">
                  <c:v>82.5</c:v>
                </c:pt>
                <c:pt idx="349">
                  <c:v>82.5</c:v>
                </c:pt>
                <c:pt idx="350">
                  <c:v>82.5</c:v>
                </c:pt>
              </c:numCache>
            </c:numRef>
          </c:xVal>
          <c:yVal>
            <c:numRef>
              <c:f>'Townwide Contributions'!$K$10:$K$360</c:f>
              <c:numCache>
                <c:formatCode>#,##0.00</c:formatCode>
                <c:ptCount val="351"/>
                <c:pt idx="0">
                  <c:v>65.25</c:v>
                </c:pt>
                <c:pt idx="1">
                  <c:v>77.88</c:v>
                </c:pt>
                <c:pt idx="2">
                  <c:v>58.17</c:v>
                </c:pt>
                <c:pt idx="3">
                  <c:v>32.74</c:v>
                </c:pt>
                <c:pt idx="4">
                  <c:v>53.93</c:v>
                </c:pt>
                <c:pt idx="5">
                  <c:v>82.5</c:v>
                </c:pt>
                <c:pt idx="6">
                  <c:v>65.83</c:v>
                </c:pt>
                <c:pt idx="7">
                  <c:v>73.849999999999994</c:v>
                </c:pt>
                <c:pt idx="8">
                  <c:v>82.5</c:v>
                </c:pt>
                <c:pt idx="9">
                  <c:v>82.5</c:v>
                </c:pt>
                <c:pt idx="10">
                  <c:v>44.38</c:v>
                </c:pt>
                <c:pt idx="11">
                  <c:v>52.91</c:v>
                </c:pt>
                <c:pt idx="12">
                  <c:v>77.180000000000007</c:v>
                </c:pt>
                <c:pt idx="13">
                  <c:v>77.709999999999994</c:v>
                </c:pt>
                <c:pt idx="14">
                  <c:v>29.73</c:v>
                </c:pt>
                <c:pt idx="15">
                  <c:v>48.85</c:v>
                </c:pt>
                <c:pt idx="16">
                  <c:v>57.6</c:v>
                </c:pt>
                <c:pt idx="17">
                  <c:v>74.75</c:v>
                </c:pt>
                <c:pt idx="18">
                  <c:v>67.45</c:v>
                </c:pt>
                <c:pt idx="19">
                  <c:v>82.5</c:v>
                </c:pt>
                <c:pt idx="20">
                  <c:v>41.44</c:v>
                </c:pt>
                <c:pt idx="21">
                  <c:v>82.5</c:v>
                </c:pt>
                <c:pt idx="22">
                  <c:v>82.5</c:v>
                </c:pt>
                <c:pt idx="23">
                  <c:v>47.77</c:v>
                </c:pt>
                <c:pt idx="24">
                  <c:v>66.55</c:v>
                </c:pt>
                <c:pt idx="25">
                  <c:v>82.5</c:v>
                </c:pt>
                <c:pt idx="26">
                  <c:v>50.03</c:v>
                </c:pt>
                <c:pt idx="27">
                  <c:v>82.5</c:v>
                </c:pt>
                <c:pt idx="28">
                  <c:v>51.72</c:v>
                </c:pt>
                <c:pt idx="29">
                  <c:v>82.5</c:v>
                </c:pt>
                <c:pt idx="30">
                  <c:v>71.67</c:v>
                </c:pt>
                <c:pt idx="31">
                  <c:v>47.96</c:v>
                </c:pt>
                <c:pt idx="32">
                  <c:v>82.5</c:v>
                </c:pt>
                <c:pt idx="33">
                  <c:v>82.5</c:v>
                </c:pt>
                <c:pt idx="34">
                  <c:v>82.5</c:v>
                </c:pt>
                <c:pt idx="35">
                  <c:v>82.5</c:v>
                </c:pt>
                <c:pt idx="36">
                  <c:v>82.5</c:v>
                </c:pt>
                <c:pt idx="37">
                  <c:v>82.5</c:v>
                </c:pt>
                <c:pt idx="38">
                  <c:v>82.5</c:v>
                </c:pt>
                <c:pt idx="39">
                  <c:v>70.36</c:v>
                </c:pt>
                <c:pt idx="40">
                  <c:v>82.5</c:v>
                </c:pt>
                <c:pt idx="41">
                  <c:v>61.9</c:v>
                </c:pt>
                <c:pt idx="42">
                  <c:v>56.93</c:v>
                </c:pt>
                <c:pt idx="43">
                  <c:v>21.75</c:v>
                </c:pt>
                <c:pt idx="44">
                  <c:v>42.71</c:v>
                </c:pt>
                <c:pt idx="45">
                  <c:v>82.5</c:v>
                </c:pt>
                <c:pt idx="46">
                  <c:v>62.44</c:v>
                </c:pt>
                <c:pt idx="47">
                  <c:v>82.5</c:v>
                </c:pt>
                <c:pt idx="48">
                  <c:v>82.5</c:v>
                </c:pt>
                <c:pt idx="49">
                  <c:v>82.5</c:v>
                </c:pt>
                <c:pt idx="50">
                  <c:v>82.5</c:v>
                </c:pt>
                <c:pt idx="51">
                  <c:v>50.07</c:v>
                </c:pt>
                <c:pt idx="52">
                  <c:v>50.24</c:v>
                </c:pt>
                <c:pt idx="53">
                  <c:v>51.69</c:v>
                </c:pt>
                <c:pt idx="54">
                  <c:v>82.5</c:v>
                </c:pt>
                <c:pt idx="55">
                  <c:v>79.34</c:v>
                </c:pt>
                <c:pt idx="56">
                  <c:v>20.74</c:v>
                </c:pt>
                <c:pt idx="57">
                  <c:v>47.32</c:v>
                </c:pt>
                <c:pt idx="58">
                  <c:v>51.16</c:v>
                </c:pt>
                <c:pt idx="59">
                  <c:v>60.17</c:v>
                </c:pt>
                <c:pt idx="60">
                  <c:v>31.71</c:v>
                </c:pt>
                <c:pt idx="61">
                  <c:v>82.5</c:v>
                </c:pt>
                <c:pt idx="62">
                  <c:v>34.630000000000003</c:v>
                </c:pt>
                <c:pt idx="63">
                  <c:v>44.36</c:v>
                </c:pt>
                <c:pt idx="64">
                  <c:v>82.5</c:v>
                </c:pt>
                <c:pt idx="65">
                  <c:v>54.6</c:v>
                </c:pt>
                <c:pt idx="66">
                  <c:v>82.5</c:v>
                </c:pt>
                <c:pt idx="67">
                  <c:v>78.510000000000005</c:v>
                </c:pt>
                <c:pt idx="68">
                  <c:v>82.5</c:v>
                </c:pt>
                <c:pt idx="69">
                  <c:v>52.97</c:v>
                </c:pt>
                <c:pt idx="70">
                  <c:v>82.5</c:v>
                </c:pt>
                <c:pt idx="71">
                  <c:v>82.5</c:v>
                </c:pt>
                <c:pt idx="72">
                  <c:v>82.5</c:v>
                </c:pt>
                <c:pt idx="73">
                  <c:v>82.5</c:v>
                </c:pt>
                <c:pt idx="74">
                  <c:v>82.5</c:v>
                </c:pt>
                <c:pt idx="75">
                  <c:v>48.15</c:v>
                </c:pt>
                <c:pt idx="76">
                  <c:v>52.42</c:v>
                </c:pt>
                <c:pt idx="77">
                  <c:v>82.5</c:v>
                </c:pt>
                <c:pt idx="78">
                  <c:v>55.84</c:v>
                </c:pt>
                <c:pt idx="79">
                  <c:v>38.69</c:v>
                </c:pt>
                <c:pt idx="80">
                  <c:v>82.07</c:v>
                </c:pt>
                <c:pt idx="81">
                  <c:v>82.5</c:v>
                </c:pt>
                <c:pt idx="82">
                  <c:v>53.62</c:v>
                </c:pt>
                <c:pt idx="83">
                  <c:v>47.48</c:v>
                </c:pt>
                <c:pt idx="84">
                  <c:v>82.5</c:v>
                </c:pt>
                <c:pt idx="85">
                  <c:v>62.92</c:v>
                </c:pt>
                <c:pt idx="86">
                  <c:v>59.64</c:v>
                </c:pt>
                <c:pt idx="87">
                  <c:v>76.150000000000006</c:v>
                </c:pt>
                <c:pt idx="88">
                  <c:v>82.5</c:v>
                </c:pt>
                <c:pt idx="89">
                  <c:v>82.5</c:v>
                </c:pt>
                <c:pt idx="90">
                  <c:v>82.5</c:v>
                </c:pt>
                <c:pt idx="91">
                  <c:v>82.5</c:v>
                </c:pt>
                <c:pt idx="92">
                  <c:v>31.21</c:v>
                </c:pt>
                <c:pt idx="93">
                  <c:v>61.27</c:v>
                </c:pt>
                <c:pt idx="94">
                  <c:v>24.92</c:v>
                </c:pt>
                <c:pt idx="95">
                  <c:v>82.5</c:v>
                </c:pt>
                <c:pt idx="96">
                  <c:v>25.33</c:v>
                </c:pt>
                <c:pt idx="97">
                  <c:v>55.63</c:v>
                </c:pt>
                <c:pt idx="98">
                  <c:v>82.5</c:v>
                </c:pt>
                <c:pt idx="99">
                  <c:v>61.36</c:v>
                </c:pt>
                <c:pt idx="100">
                  <c:v>65.36</c:v>
                </c:pt>
                <c:pt idx="101">
                  <c:v>66.66</c:v>
                </c:pt>
                <c:pt idx="102">
                  <c:v>32.130000000000003</c:v>
                </c:pt>
                <c:pt idx="103">
                  <c:v>82.5</c:v>
                </c:pt>
                <c:pt idx="104">
                  <c:v>72.83</c:v>
                </c:pt>
                <c:pt idx="105">
                  <c:v>60.25</c:v>
                </c:pt>
                <c:pt idx="106">
                  <c:v>82.5</c:v>
                </c:pt>
                <c:pt idx="107">
                  <c:v>66.52</c:v>
                </c:pt>
                <c:pt idx="108">
                  <c:v>82.5</c:v>
                </c:pt>
                <c:pt idx="109">
                  <c:v>65.739999999999995</c:v>
                </c:pt>
                <c:pt idx="110">
                  <c:v>61.36</c:v>
                </c:pt>
                <c:pt idx="111">
                  <c:v>74.13</c:v>
                </c:pt>
                <c:pt idx="112">
                  <c:v>82.5</c:v>
                </c:pt>
                <c:pt idx="113">
                  <c:v>45.84</c:v>
                </c:pt>
                <c:pt idx="114">
                  <c:v>82.5</c:v>
                </c:pt>
                <c:pt idx="115">
                  <c:v>67.42</c:v>
                </c:pt>
                <c:pt idx="116">
                  <c:v>82.5</c:v>
                </c:pt>
                <c:pt idx="117">
                  <c:v>52.31</c:v>
                </c:pt>
                <c:pt idx="118">
                  <c:v>82.5</c:v>
                </c:pt>
                <c:pt idx="119">
                  <c:v>75.42</c:v>
                </c:pt>
                <c:pt idx="120">
                  <c:v>82.5</c:v>
                </c:pt>
                <c:pt idx="121">
                  <c:v>79.38</c:v>
                </c:pt>
                <c:pt idx="122">
                  <c:v>54.91</c:v>
                </c:pt>
                <c:pt idx="123">
                  <c:v>35.99</c:v>
                </c:pt>
                <c:pt idx="124">
                  <c:v>82.5</c:v>
                </c:pt>
                <c:pt idx="125">
                  <c:v>82.5</c:v>
                </c:pt>
                <c:pt idx="126">
                  <c:v>82.5</c:v>
                </c:pt>
                <c:pt idx="127">
                  <c:v>42.51</c:v>
                </c:pt>
                <c:pt idx="128">
                  <c:v>76.569999999999993</c:v>
                </c:pt>
                <c:pt idx="129">
                  <c:v>42.35</c:v>
                </c:pt>
                <c:pt idx="130">
                  <c:v>82.5</c:v>
                </c:pt>
                <c:pt idx="131">
                  <c:v>82.39</c:v>
                </c:pt>
                <c:pt idx="132">
                  <c:v>56.37</c:v>
                </c:pt>
                <c:pt idx="133">
                  <c:v>58.75</c:v>
                </c:pt>
                <c:pt idx="134">
                  <c:v>57.24</c:v>
                </c:pt>
                <c:pt idx="135">
                  <c:v>73.58</c:v>
                </c:pt>
                <c:pt idx="136">
                  <c:v>20.100000000000001</c:v>
                </c:pt>
                <c:pt idx="137">
                  <c:v>55.01</c:v>
                </c:pt>
                <c:pt idx="138">
                  <c:v>82.5</c:v>
                </c:pt>
                <c:pt idx="139">
                  <c:v>52.35</c:v>
                </c:pt>
                <c:pt idx="140">
                  <c:v>59.62</c:v>
                </c:pt>
                <c:pt idx="141">
                  <c:v>82.5</c:v>
                </c:pt>
                <c:pt idx="142">
                  <c:v>52.26</c:v>
                </c:pt>
                <c:pt idx="143">
                  <c:v>82.5</c:v>
                </c:pt>
                <c:pt idx="144">
                  <c:v>61.89</c:v>
                </c:pt>
                <c:pt idx="145">
                  <c:v>65.67</c:v>
                </c:pt>
                <c:pt idx="146">
                  <c:v>68.77</c:v>
                </c:pt>
                <c:pt idx="147">
                  <c:v>59.48</c:v>
                </c:pt>
                <c:pt idx="148">
                  <c:v>13.46</c:v>
                </c:pt>
                <c:pt idx="149">
                  <c:v>82.5</c:v>
                </c:pt>
                <c:pt idx="150">
                  <c:v>47.45</c:v>
                </c:pt>
                <c:pt idx="151">
                  <c:v>82.5</c:v>
                </c:pt>
                <c:pt idx="152">
                  <c:v>39.869999999999997</c:v>
                </c:pt>
                <c:pt idx="153">
                  <c:v>82.5</c:v>
                </c:pt>
                <c:pt idx="154">
                  <c:v>82.5</c:v>
                </c:pt>
                <c:pt idx="155">
                  <c:v>82.5</c:v>
                </c:pt>
                <c:pt idx="156">
                  <c:v>82.5</c:v>
                </c:pt>
                <c:pt idx="157">
                  <c:v>81.45</c:v>
                </c:pt>
                <c:pt idx="158">
                  <c:v>82.5</c:v>
                </c:pt>
                <c:pt idx="159">
                  <c:v>25.96</c:v>
                </c:pt>
                <c:pt idx="160">
                  <c:v>56.5</c:v>
                </c:pt>
                <c:pt idx="161">
                  <c:v>55.73</c:v>
                </c:pt>
                <c:pt idx="162">
                  <c:v>24.42</c:v>
                </c:pt>
                <c:pt idx="163">
                  <c:v>82.5</c:v>
                </c:pt>
                <c:pt idx="164">
                  <c:v>48.23</c:v>
                </c:pt>
                <c:pt idx="165">
                  <c:v>82.5</c:v>
                </c:pt>
                <c:pt idx="166">
                  <c:v>67.31</c:v>
                </c:pt>
                <c:pt idx="167">
                  <c:v>82.5</c:v>
                </c:pt>
                <c:pt idx="168">
                  <c:v>82.5</c:v>
                </c:pt>
                <c:pt idx="169">
                  <c:v>58.68</c:v>
                </c:pt>
                <c:pt idx="170">
                  <c:v>82.45</c:v>
                </c:pt>
                <c:pt idx="171">
                  <c:v>82.5</c:v>
                </c:pt>
                <c:pt idx="172">
                  <c:v>82.5</c:v>
                </c:pt>
                <c:pt idx="173">
                  <c:v>66.34</c:v>
                </c:pt>
                <c:pt idx="174">
                  <c:v>82.5</c:v>
                </c:pt>
                <c:pt idx="175">
                  <c:v>82.5</c:v>
                </c:pt>
                <c:pt idx="176">
                  <c:v>67.83</c:v>
                </c:pt>
                <c:pt idx="177">
                  <c:v>82.5</c:v>
                </c:pt>
                <c:pt idx="178">
                  <c:v>73.39</c:v>
                </c:pt>
                <c:pt idx="179">
                  <c:v>63.01</c:v>
                </c:pt>
                <c:pt idx="180">
                  <c:v>46.36</c:v>
                </c:pt>
                <c:pt idx="181">
                  <c:v>52.8</c:v>
                </c:pt>
                <c:pt idx="182">
                  <c:v>82.5</c:v>
                </c:pt>
                <c:pt idx="183">
                  <c:v>82.5</c:v>
                </c:pt>
                <c:pt idx="184">
                  <c:v>49.89</c:v>
                </c:pt>
                <c:pt idx="185">
                  <c:v>59.53</c:v>
                </c:pt>
                <c:pt idx="186">
                  <c:v>71.41</c:v>
                </c:pt>
                <c:pt idx="187">
                  <c:v>43.29</c:v>
                </c:pt>
                <c:pt idx="188">
                  <c:v>82.5</c:v>
                </c:pt>
                <c:pt idx="189">
                  <c:v>61.45</c:v>
                </c:pt>
                <c:pt idx="190">
                  <c:v>53.25</c:v>
                </c:pt>
                <c:pt idx="191">
                  <c:v>50.29</c:v>
                </c:pt>
                <c:pt idx="192">
                  <c:v>82.5</c:v>
                </c:pt>
                <c:pt idx="193">
                  <c:v>82.5</c:v>
                </c:pt>
                <c:pt idx="194">
                  <c:v>82.5</c:v>
                </c:pt>
                <c:pt idx="195">
                  <c:v>82.5</c:v>
                </c:pt>
                <c:pt idx="196">
                  <c:v>82.5</c:v>
                </c:pt>
                <c:pt idx="197">
                  <c:v>82.5</c:v>
                </c:pt>
                <c:pt idx="198">
                  <c:v>82.5</c:v>
                </c:pt>
                <c:pt idx="199">
                  <c:v>78.23</c:v>
                </c:pt>
                <c:pt idx="200">
                  <c:v>21.69</c:v>
                </c:pt>
                <c:pt idx="201">
                  <c:v>55.73</c:v>
                </c:pt>
                <c:pt idx="202">
                  <c:v>82.5</c:v>
                </c:pt>
                <c:pt idx="203">
                  <c:v>82.5</c:v>
                </c:pt>
                <c:pt idx="204">
                  <c:v>82.5</c:v>
                </c:pt>
                <c:pt idx="205">
                  <c:v>54.28</c:v>
                </c:pt>
                <c:pt idx="206">
                  <c:v>82.5</c:v>
                </c:pt>
                <c:pt idx="207">
                  <c:v>82.5</c:v>
                </c:pt>
                <c:pt idx="208">
                  <c:v>29.45</c:v>
                </c:pt>
                <c:pt idx="209">
                  <c:v>82.5</c:v>
                </c:pt>
                <c:pt idx="210">
                  <c:v>82.5</c:v>
                </c:pt>
                <c:pt idx="211">
                  <c:v>61.53</c:v>
                </c:pt>
                <c:pt idx="212">
                  <c:v>82.5</c:v>
                </c:pt>
                <c:pt idx="213">
                  <c:v>49.99</c:v>
                </c:pt>
                <c:pt idx="214">
                  <c:v>44.98</c:v>
                </c:pt>
                <c:pt idx="215">
                  <c:v>71.81</c:v>
                </c:pt>
                <c:pt idx="216">
                  <c:v>82.5</c:v>
                </c:pt>
                <c:pt idx="217">
                  <c:v>65.430000000000007</c:v>
                </c:pt>
                <c:pt idx="218">
                  <c:v>82.5</c:v>
                </c:pt>
                <c:pt idx="219">
                  <c:v>82.5</c:v>
                </c:pt>
                <c:pt idx="220">
                  <c:v>82.5</c:v>
                </c:pt>
                <c:pt idx="221">
                  <c:v>61.38</c:v>
                </c:pt>
                <c:pt idx="222">
                  <c:v>27.57</c:v>
                </c:pt>
                <c:pt idx="223">
                  <c:v>82.5</c:v>
                </c:pt>
                <c:pt idx="224">
                  <c:v>82.5</c:v>
                </c:pt>
                <c:pt idx="225">
                  <c:v>47.63</c:v>
                </c:pt>
                <c:pt idx="226">
                  <c:v>41.01</c:v>
                </c:pt>
                <c:pt idx="227">
                  <c:v>61.1</c:v>
                </c:pt>
                <c:pt idx="228">
                  <c:v>71.23</c:v>
                </c:pt>
                <c:pt idx="229">
                  <c:v>82.5</c:v>
                </c:pt>
                <c:pt idx="230">
                  <c:v>62.94</c:v>
                </c:pt>
                <c:pt idx="231">
                  <c:v>56.21</c:v>
                </c:pt>
                <c:pt idx="232">
                  <c:v>43.82</c:v>
                </c:pt>
                <c:pt idx="233">
                  <c:v>79.61</c:v>
                </c:pt>
                <c:pt idx="234">
                  <c:v>48.31</c:v>
                </c:pt>
                <c:pt idx="235">
                  <c:v>40.74</c:v>
                </c:pt>
                <c:pt idx="236">
                  <c:v>70.849999999999994</c:v>
                </c:pt>
                <c:pt idx="237">
                  <c:v>70.89</c:v>
                </c:pt>
                <c:pt idx="238">
                  <c:v>70.38</c:v>
                </c:pt>
                <c:pt idx="239">
                  <c:v>71.290000000000006</c:v>
                </c:pt>
                <c:pt idx="240">
                  <c:v>82.5</c:v>
                </c:pt>
                <c:pt idx="241">
                  <c:v>82.5</c:v>
                </c:pt>
                <c:pt idx="242">
                  <c:v>77.44</c:v>
                </c:pt>
                <c:pt idx="243">
                  <c:v>55.96</c:v>
                </c:pt>
                <c:pt idx="244">
                  <c:v>60.47</c:v>
                </c:pt>
                <c:pt idx="245">
                  <c:v>82.5</c:v>
                </c:pt>
                <c:pt idx="246">
                  <c:v>75.510000000000005</c:v>
                </c:pt>
                <c:pt idx="247">
                  <c:v>36.61</c:v>
                </c:pt>
                <c:pt idx="248">
                  <c:v>82.5</c:v>
                </c:pt>
                <c:pt idx="249">
                  <c:v>62.21</c:v>
                </c:pt>
                <c:pt idx="250">
                  <c:v>49.18</c:v>
                </c:pt>
                <c:pt idx="251">
                  <c:v>82.5</c:v>
                </c:pt>
                <c:pt idx="252">
                  <c:v>82.5</c:v>
                </c:pt>
                <c:pt idx="253">
                  <c:v>82.5</c:v>
                </c:pt>
                <c:pt idx="254">
                  <c:v>55.28</c:v>
                </c:pt>
                <c:pt idx="255">
                  <c:v>38.380000000000003</c:v>
                </c:pt>
                <c:pt idx="256">
                  <c:v>44.78</c:v>
                </c:pt>
                <c:pt idx="257">
                  <c:v>61.21</c:v>
                </c:pt>
                <c:pt idx="258">
                  <c:v>82.5</c:v>
                </c:pt>
                <c:pt idx="259">
                  <c:v>82.5</c:v>
                </c:pt>
                <c:pt idx="260">
                  <c:v>82.5</c:v>
                </c:pt>
                <c:pt idx="261">
                  <c:v>82.5</c:v>
                </c:pt>
                <c:pt idx="262">
                  <c:v>49.54</c:v>
                </c:pt>
                <c:pt idx="263">
                  <c:v>82.5</c:v>
                </c:pt>
                <c:pt idx="264">
                  <c:v>75.56</c:v>
                </c:pt>
                <c:pt idx="265">
                  <c:v>82.5</c:v>
                </c:pt>
                <c:pt idx="266">
                  <c:v>82.5</c:v>
                </c:pt>
                <c:pt idx="267">
                  <c:v>76</c:v>
                </c:pt>
                <c:pt idx="268">
                  <c:v>82.5</c:v>
                </c:pt>
                <c:pt idx="269">
                  <c:v>56.98</c:v>
                </c:pt>
                <c:pt idx="270">
                  <c:v>79.89</c:v>
                </c:pt>
                <c:pt idx="271">
                  <c:v>58.56</c:v>
                </c:pt>
                <c:pt idx="272">
                  <c:v>55.26</c:v>
                </c:pt>
                <c:pt idx="273">
                  <c:v>82.5</c:v>
                </c:pt>
                <c:pt idx="274">
                  <c:v>64.239999999999995</c:v>
                </c:pt>
                <c:pt idx="275">
                  <c:v>82.5</c:v>
                </c:pt>
                <c:pt idx="276">
                  <c:v>25.37</c:v>
                </c:pt>
                <c:pt idx="277">
                  <c:v>65.25</c:v>
                </c:pt>
                <c:pt idx="278">
                  <c:v>64.81</c:v>
                </c:pt>
                <c:pt idx="279">
                  <c:v>45.22</c:v>
                </c:pt>
                <c:pt idx="280">
                  <c:v>15.71</c:v>
                </c:pt>
                <c:pt idx="281">
                  <c:v>75.44</c:v>
                </c:pt>
                <c:pt idx="282">
                  <c:v>82.5</c:v>
                </c:pt>
                <c:pt idx="283">
                  <c:v>82.5</c:v>
                </c:pt>
                <c:pt idx="284">
                  <c:v>61.65</c:v>
                </c:pt>
                <c:pt idx="285">
                  <c:v>82.5</c:v>
                </c:pt>
                <c:pt idx="286">
                  <c:v>57.27</c:v>
                </c:pt>
                <c:pt idx="287">
                  <c:v>82.5</c:v>
                </c:pt>
                <c:pt idx="288">
                  <c:v>75.510000000000005</c:v>
                </c:pt>
                <c:pt idx="289">
                  <c:v>71.78</c:v>
                </c:pt>
                <c:pt idx="290">
                  <c:v>82.5</c:v>
                </c:pt>
                <c:pt idx="291">
                  <c:v>63.73</c:v>
                </c:pt>
                <c:pt idx="292">
                  <c:v>35.880000000000003</c:v>
                </c:pt>
                <c:pt idx="293">
                  <c:v>38.200000000000003</c:v>
                </c:pt>
                <c:pt idx="294">
                  <c:v>79.319999999999993</c:v>
                </c:pt>
                <c:pt idx="295">
                  <c:v>82.5</c:v>
                </c:pt>
                <c:pt idx="296">
                  <c:v>82.5</c:v>
                </c:pt>
                <c:pt idx="297">
                  <c:v>82.5</c:v>
                </c:pt>
                <c:pt idx="298">
                  <c:v>53.14</c:v>
                </c:pt>
                <c:pt idx="299">
                  <c:v>82.5</c:v>
                </c:pt>
                <c:pt idx="300">
                  <c:v>69.290000000000006</c:v>
                </c:pt>
                <c:pt idx="301">
                  <c:v>82.5</c:v>
                </c:pt>
                <c:pt idx="302">
                  <c:v>70.81</c:v>
                </c:pt>
                <c:pt idx="303">
                  <c:v>59.68</c:v>
                </c:pt>
                <c:pt idx="304">
                  <c:v>82.5</c:v>
                </c:pt>
                <c:pt idx="305">
                  <c:v>37.130000000000003</c:v>
                </c:pt>
                <c:pt idx="306">
                  <c:v>82.5</c:v>
                </c:pt>
                <c:pt idx="307">
                  <c:v>82.5</c:v>
                </c:pt>
                <c:pt idx="308">
                  <c:v>34.770000000000003</c:v>
                </c:pt>
                <c:pt idx="309">
                  <c:v>56.05</c:v>
                </c:pt>
                <c:pt idx="310">
                  <c:v>26.92</c:v>
                </c:pt>
                <c:pt idx="311">
                  <c:v>54.34</c:v>
                </c:pt>
                <c:pt idx="312">
                  <c:v>82.5</c:v>
                </c:pt>
                <c:pt idx="313">
                  <c:v>82.5</c:v>
                </c:pt>
                <c:pt idx="314">
                  <c:v>82.5</c:v>
                </c:pt>
                <c:pt idx="315">
                  <c:v>45.09</c:v>
                </c:pt>
                <c:pt idx="316">
                  <c:v>82.5</c:v>
                </c:pt>
                <c:pt idx="317">
                  <c:v>82.5</c:v>
                </c:pt>
                <c:pt idx="318">
                  <c:v>49.61</c:v>
                </c:pt>
                <c:pt idx="319">
                  <c:v>82.5</c:v>
                </c:pt>
                <c:pt idx="320">
                  <c:v>78.5</c:v>
                </c:pt>
                <c:pt idx="321">
                  <c:v>75.56</c:v>
                </c:pt>
                <c:pt idx="322">
                  <c:v>65.459999999999994</c:v>
                </c:pt>
                <c:pt idx="323">
                  <c:v>49.89</c:v>
                </c:pt>
                <c:pt idx="324">
                  <c:v>43.26</c:v>
                </c:pt>
                <c:pt idx="325">
                  <c:v>75.69</c:v>
                </c:pt>
                <c:pt idx="326">
                  <c:v>70.12</c:v>
                </c:pt>
                <c:pt idx="327">
                  <c:v>59.76</c:v>
                </c:pt>
                <c:pt idx="328">
                  <c:v>82.5</c:v>
                </c:pt>
                <c:pt idx="329">
                  <c:v>82.5</c:v>
                </c:pt>
                <c:pt idx="330">
                  <c:v>82.5</c:v>
                </c:pt>
                <c:pt idx="331">
                  <c:v>43.83</c:v>
                </c:pt>
                <c:pt idx="332">
                  <c:v>82.5</c:v>
                </c:pt>
                <c:pt idx="333">
                  <c:v>82.5</c:v>
                </c:pt>
                <c:pt idx="334">
                  <c:v>82.5</c:v>
                </c:pt>
                <c:pt idx="335">
                  <c:v>72.48</c:v>
                </c:pt>
                <c:pt idx="336">
                  <c:v>82.5</c:v>
                </c:pt>
                <c:pt idx="337">
                  <c:v>45.28</c:v>
                </c:pt>
                <c:pt idx="338">
                  <c:v>68.12</c:v>
                </c:pt>
                <c:pt idx="339">
                  <c:v>73.53</c:v>
                </c:pt>
                <c:pt idx="340">
                  <c:v>82.5</c:v>
                </c:pt>
                <c:pt idx="341">
                  <c:v>74.33</c:v>
                </c:pt>
                <c:pt idx="342">
                  <c:v>32.369999999999997</c:v>
                </c:pt>
                <c:pt idx="343">
                  <c:v>82.5</c:v>
                </c:pt>
                <c:pt idx="344">
                  <c:v>82.5</c:v>
                </c:pt>
                <c:pt idx="345">
                  <c:v>70.27</c:v>
                </c:pt>
                <c:pt idx="346">
                  <c:v>82.5</c:v>
                </c:pt>
                <c:pt idx="347">
                  <c:v>28.3</c:v>
                </c:pt>
                <c:pt idx="348">
                  <c:v>82.5</c:v>
                </c:pt>
                <c:pt idx="349">
                  <c:v>82.5</c:v>
                </c:pt>
                <c:pt idx="350">
                  <c:v>82.5</c:v>
                </c:pt>
              </c:numCache>
            </c:numRef>
          </c:yVal>
          <c:smooth val="0"/>
        </c:ser>
        <c:dLbls>
          <c:showLegendKey val="0"/>
          <c:showVal val="0"/>
          <c:showCatName val="0"/>
          <c:showSerName val="0"/>
          <c:showPercent val="0"/>
          <c:showBubbleSize val="0"/>
        </c:dLbls>
        <c:axId val="206014880"/>
        <c:axId val="206015272"/>
      </c:scatterChart>
      <c:valAx>
        <c:axId val="206014880"/>
        <c:scaling>
          <c:orientation val="minMax"/>
        </c:scaling>
        <c:delete val="0"/>
        <c:axPos val="b"/>
        <c:title>
          <c:tx>
            <c:rich>
              <a:bodyPr/>
              <a:lstStyle/>
              <a:p>
                <a:pPr>
                  <a:defRPr/>
                </a:pPr>
                <a:r>
                  <a:rPr lang="en-US"/>
                  <a:t>Target Contribution</a:t>
                </a:r>
                <a:r>
                  <a:rPr lang="en-US" baseline="0"/>
                  <a:t> %</a:t>
                </a:r>
                <a:endParaRPr lang="en-US"/>
              </a:p>
            </c:rich>
          </c:tx>
          <c:overlay val="0"/>
        </c:title>
        <c:numFmt formatCode="#,##0" sourceLinked="0"/>
        <c:majorTickMark val="out"/>
        <c:minorTickMark val="none"/>
        <c:tickLblPos val="nextTo"/>
        <c:crossAx val="206015272"/>
        <c:crosses val="autoZero"/>
        <c:crossBetween val="midCat"/>
      </c:valAx>
      <c:valAx>
        <c:axId val="206015272"/>
        <c:scaling>
          <c:orientation val="minMax"/>
        </c:scaling>
        <c:delete val="0"/>
        <c:axPos val="l"/>
        <c:title>
          <c:tx>
            <c:rich>
              <a:bodyPr rot="-5400000" vert="horz"/>
              <a:lstStyle/>
              <a:p>
                <a:pPr>
                  <a:defRPr/>
                </a:pPr>
                <a:r>
                  <a:rPr lang="en-US"/>
                  <a:t>Required Contribution %</a:t>
                </a:r>
              </a:p>
            </c:rich>
          </c:tx>
          <c:overlay val="0"/>
        </c:title>
        <c:numFmt formatCode="#,##0" sourceLinked="0"/>
        <c:majorTickMark val="out"/>
        <c:minorTickMark val="none"/>
        <c:tickLblPos val="nextTo"/>
        <c:crossAx val="206014880"/>
        <c:crosses val="autoZero"/>
        <c:crossBetween val="midCat"/>
      </c:valAx>
    </c:plotArea>
    <c:legend>
      <c:legendPos val="b"/>
      <c:overlay val="0"/>
    </c:legend>
    <c:plotVisOnly val="1"/>
    <c:dispBlanksAs val="gap"/>
    <c:showDLblsOverMax val="0"/>
  </c:chart>
  <c:spPr>
    <a:ln>
      <a:noFill/>
    </a:ln>
  </c:spPr>
  <c:txPr>
    <a:bodyPr/>
    <a:lstStyle/>
    <a:p>
      <a:pPr>
        <a:defRPr sz="900"/>
      </a:pPr>
      <a:endParaRPr lang="en-US"/>
    </a:p>
  </c:txPr>
  <c:printSettings>
    <c:headerFooter/>
    <c:pageMargins b="0.75000000000001465" l="0.70000000000000062" r="0.70000000000000062" t="0.75000000000001465"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Target</a:t>
            </a:r>
            <a:r>
              <a:rPr lang="en-US" baseline="0"/>
              <a:t> v. Chapter 70 Aid %, FY2018</a:t>
            </a:r>
            <a:endParaRPr lang="en-US"/>
          </a:p>
        </c:rich>
      </c:tx>
      <c:overlay val="0"/>
    </c:title>
    <c:autoTitleDeleted val="0"/>
    <c:plotArea>
      <c:layout>
        <c:manualLayout>
          <c:layoutTarget val="inner"/>
          <c:xMode val="edge"/>
          <c:yMode val="edge"/>
          <c:x val="0.14482951271889238"/>
          <c:y val="7.5642909790385793E-2"/>
          <c:w val="0.79037454441417665"/>
          <c:h val="0.77757096501635936"/>
        </c:manualLayout>
      </c:layout>
      <c:scatterChart>
        <c:scatterStyle val="lineMarker"/>
        <c:varyColors val="0"/>
        <c:ser>
          <c:idx val="0"/>
          <c:order val="0"/>
          <c:tx>
            <c:v>Chapter 70 Aid</c:v>
          </c:tx>
          <c:spPr>
            <a:ln w="28575">
              <a:noFill/>
            </a:ln>
          </c:spPr>
          <c:marker>
            <c:symbol val="circle"/>
            <c:size val="6"/>
            <c:spPr>
              <a:noFill/>
              <a:ln w="12700">
                <a:solidFill>
                  <a:schemeClr val="accent6">
                    <a:lumMod val="50000"/>
                  </a:schemeClr>
                </a:solidFill>
              </a:ln>
            </c:spPr>
          </c:marker>
          <c:xVal>
            <c:numRef>
              <c:f>'Aid436'!$J$10:$J$447</c:f>
              <c:numCache>
                <c:formatCode>0.00</c:formatCode>
                <c:ptCount val="438"/>
                <c:pt idx="0">
                  <c:v>34.75</c:v>
                </c:pt>
                <c:pt idx="1">
                  <c:v>22.12</c:v>
                </c:pt>
                <c:pt idx="2">
                  <c:v>41.83</c:v>
                </c:pt>
                <c:pt idx="3">
                  <c:v>67.260000000000005</c:v>
                </c:pt>
                <c:pt idx="4">
                  <c:v>46.07</c:v>
                </c:pt>
                <c:pt idx="5">
                  <c:v>17.5</c:v>
                </c:pt>
                <c:pt idx="6">
                  <c:v>34.17</c:v>
                </c:pt>
                <c:pt idx="7">
                  <c:v>26.15</c:v>
                </c:pt>
                <c:pt idx="8">
                  <c:v>17.5</c:v>
                </c:pt>
                <c:pt idx="9">
                  <c:v>17.5</c:v>
                </c:pt>
                <c:pt idx="10">
                  <c:v>55.62</c:v>
                </c:pt>
                <c:pt idx="11">
                  <c:v>47.09</c:v>
                </c:pt>
                <c:pt idx="12">
                  <c:v>22.82</c:v>
                </c:pt>
                <c:pt idx="13">
                  <c:v>22.29</c:v>
                </c:pt>
                <c:pt idx="14">
                  <c:v>70.27</c:v>
                </c:pt>
                <c:pt idx="15">
                  <c:v>51.15</c:v>
                </c:pt>
                <c:pt idx="16">
                  <c:v>42.4</c:v>
                </c:pt>
                <c:pt idx="17">
                  <c:v>25.25</c:v>
                </c:pt>
                <c:pt idx="18">
                  <c:v>32.549999999999997</c:v>
                </c:pt>
                <c:pt idx="19">
                  <c:v>17.5</c:v>
                </c:pt>
                <c:pt idx="20">
                  <c:v>58.56</c:v>
                </c:pt>
                <c:pt idx="21">
                  <c:v>17.5</c:v>
                </c:pt>
                <c:pt idx="22">
                  <c:v>17.5</c:v>
                </c:pt>
                <c:pt idx="23">
                  <c:v>52.23</c:v>
                </c:pt>
                <c:pt idx="24">
                  <c:v>33.450000000000003</c:v>
                </c:pt>
                <c:pt idx="25">
                  <c:v>17.5</c:v>
                </c:pt>
                <c:pt idx="26">
                  <c:v>49.97</c:v>
                </c:pt>
                <c:pt idx="27">
                  <c:v>17.5</c:v>
                </c:pt>
                <c:pt idx="28">
                  <c:v>48.28</c:v>
                </c:pt>
                <c:pt idx="29">
                  <c:v>17.5</c:v>
                </c:pt>
                <c:pt idx="30">
                  <c:v>28.33</c:v>
                </c:pt>
                <c:pt idx="31">
                  <c:v>52.04</c:v>
                </c:pt>
                <c:pt idx="32">
                  <c:v>17.5</c:v>
                </c:pt>
                <c:pt idx="33">
                  <c:v>17.5</c:v>
                </c:pt>
                <c:pt idx="34">
                  <c:v>17.5</c:v>
                </c:pt>
                <c:pt idx="35">
                  <c:v>17.5</c:v>
                </c:pt>
                <c:pt idx="36">
                  <c:v>17.5</c:v>
                </c:pt>
                <c:pt idx="37">
                  <c:v>17.5</c:v>
                </c:pt>
                <c:pt idx="38">
                  <c:v>17.5</c:v>
                </c:pt>
                <c:pt idx="39">
                  <c:v>29.64</c:v>
                </c:pt>
                <c:pt idx="40">
                  <c:v>17.5</c:v>
                </c:pt>
                <c:pt idx="41">
                  <c:v>38.1</c:v>
                </c:pt>
                <c:pt idx="42">
                  <c:v>43.07</c:v>
                </c:pt>
                <c:pt idx="43">
                  <c:v>78.25</c:v>
                </c:pt>
                <c:pt idx="44">
                  <c:v>57.29</c:v>
                </c:pt>
                <c:pt idx="45">
                  <c:v>17.5</c:v>
                </c:pt>
                <c:pt idx="46">
                  <c:v>37.56</c:v>
                </c:pt>
                <c:pt idx="47">
                  <c:v>17.5</c:v>
                </c:pt>
                <c:pt idx="48">
                  <c:v>17.5</c:v>
                </c:pt>
                <c:pt idx="49">
                  <c:v>17.5</c:v>
                </c:pt>
                <c:pt idx="50">
                  <c:v>17.5</c:v>
                </c:pt>
                <c:pt idx="51">
                  <c:v>49.93</c:v>
                </c:pt>
                <c:pt idx="52">
                  <c:v>49.76</c:v>
                </c:pt>
                <c:pt idx="53">
                  <c:v>48.31</c:v>
                </c:pt>
                <c:pt idx="54">
                  <c:v>17.5</c:v>
                </c:pt>
                <c:pt idx="55">
                  <c:v>20.66</c:v>
                </c:pt>
                <c:pt idx="56">
                  <c:v>79.260000000000005</c:v>
                </c:pt>
                <c:pt idx="57">
                  <c:v>52.68</c:v>
                </c:pt>
                <c:pt idx="58">
                  <c:v>48.84</c:v>
                </c:pt>
                <c:pt idx="59">
                  <c:v>39.83</c:v>
                </c:pt>
                <c:pt idx="60">
                  <c:v>68.290000000000006</c:v>
                </c:pt>
                <c:pt idx="61">
                  <c:v>17.5</c:v>
                </c:pt>
                <c:pt idx="62">
                  <c:v>65.37</c:v>
                </c:pt>
                <c:pt idx="63">
                  <c:v>55.64</c:v>
                </c:pt>
                <c:pt idx="64">
                  <c:v>17.5</c:v>
                </c:pt>
                <c:pt idx="65">
                  <c:v>45.4</c:v>
                </c:pt>
                <c:pt idx="66">
                  <c:v>17.5</c:v>
                </c:pt>
                <c:pt idx="67">
                  <c:v>21.49</c:v>
                </c:pt>
                <c:pt idx="68">
                  <c:v>17.5</c:v>
                </c:pt>
                <c:pt idx="69">
                  <c:v>47.03</c:v>
                </c:pt>
                <c:pt idx="70">
                  <c:v>17.5</c:v>
                </c:pt>
                <c:pt idx="71">
                  <c:v>17.5</c:v>
                </c:pt>
                <c:pt idx="72">
                  <c:v>17.5</c:v>
                </c:pt>
                <c:pt idx="73">
                  <c:v>17.5</c:v>
                </c:pt>
                <c:pt idx="74">
                  <c:v>17.5</c:v>
                </c:pt>
                <c:pt idx="75">
                  <c:v>51.85</c:v>
                </c:pt>
                <c:pt idx="76">
                  <c:v>47.58</c:v>
                </c:pt>
                <c:pt idx="77">
                  <c:v>17.5</c:v>
                </c:pt>
                <c:pt idx="78">
                  <c:v>44.16</c:v>
                </c:pt>
                <c:pt idx="79">
                  <c:v>61.31</c:v>
                </c:pt>
                <c:pt idx="80">
                  <c:v>17.93</c:v>
                </c:pt>
                <c:pt idx="81">
                  <c:v>17.5</c:v>
                </c:pt>
                <c:pt idx="82">
                  <c:v>46.38</c:v>
                </c:pt>
                <c:pt idx="83">
                  <c:v>52.52</c:v>
                </c:pt>
                <c:pt idx="84">
                  <c:v>17.5</c:v>
                </c:pt>
                <c:pt idx="85">
                  <c:v>37.08</c:v>
                </c:pt>
                <c:pt idx="86">
                  <c:v>40.36</c:v>
                </c:pt>
                <c:pt idx="87">
                  <c:v>23.85</c:v>
                </c:pt>
                <c:pt idx="88">
                  <c:v>17.5</c:v>
                </c:pt>
                <c:pt idx="89">
                  <c:v>17.5</c:v>
                </c:pt>
                <c:pt idx="90">
                  <c:v>17.5</c:v>
                </c:pt>
                <c:pt idx="91">
                  <c:v>17.5</c:v>
                </c:pt>
                <c:pt idx="92">
                  <c:v>68.790000000000006</c:v>
                </c:pt>
                <c:pt idx="93">
                  <c:v>38.729999999999997</c:v>
                </c:pt>
                <c:pt idx="94">
                  <c:v>75.08</c:v>
                </c:pt>
                <c:pt idx="95">
                  <c:v>17.5</c:v>
                </c:pt>
                <c:pt idx="96">
                  <c:v>74.67</c:v>
                </c:pt>
                <c:pt idx="97">
                  <c:v>44.37</c:v>
                </c:pt>
                <c:pt idx="98">
                  <c:v>17.5</c:v>
                </c:pt>
                <c:pt idx="99">
                  <c:v>38.64</c:v>
                </c:pt>
                <c:pt idx="100">
                  <c:v>34.64</c:v>
                </c:pt>
                <c:pt idx="101">
                  <c:v>33.340000000000003</c:v>
                </c:pt>
                <c:pt idx="102">
                  <c:v>67.87</c:v>
                </c:pt>
                <c:pt idx="103">
                  <c:v>17.5</c:v>
                </c:pt>
                <c:pt idx="104">
                  <c:v>27.17</c:v>
                </c:pt>
                <c:pt idx="105">
                  <c:v>39.75</c:v>
                </c:pt>
                <c:pt idx="106">
                  <c:v>17.5</c:v>
                </c:pt>
                <c:pt idx="107">
                  <c:v>33.479999999999997</c:v>
                </c:pt>
                <c:pt idx="108">
                  <c:v>17.5</c:v>
                </c:pt>
                <c:pt idx="109">
                  <c:v>34.26</c:v>
                </c:pt>
                <c:pt idx="110">
                  <c:v>38.64</c:v>
                </c:pt>
                <c:pt idx="111">
                  <c:v>25.87</c:v>
                </c:pt>
                <c:pt idx="112">
                  <c:v>17.5</c:v>
                </c:pt>
                <c:pt idx="113">
                  <c:v>54.16</c:v>
                </c:pt>
                <c:pt idx="114">
                  <c:v>17.5</c:v>
                </c:pt>
                <c:pt idx="115">
                  <c:v>32.58</c:v>
                </c:pt>
                <c:pt idx="116">
                  <c:v>17.5</c:v>
                </c:pt>
                <c:pt idx="117">
                  <c:v>47.69</c:v>
                </c:pt>
                <c:pt idx="118">
                  <c:v>17.5</c:v>
                </c:pt>
                <c:pt idx="119">
                  <c:v>24.58</c:v>
                </c:pt>
                <c:pt idx="120">
                  <c:v>17.5</c:v>
                </c:pt>
                <c:pt idx="121">
                  <c:v>20.62</c:v>
                </c:pt>
                <c:pt idx="122">
                  <c:v>45.09</c:v>
                </c:pt>
                <c:pt idx="123">
                  <c:v>64.010000000000005</c:v>
                </c:pt>
                <c:pt idx="124">
                  <c:v>17.5</c:v>
                </c:pt>
                <c:pt idx="125">
                  <c:v>17.5</c:v>
                </c:pt>
                <c:pt idx="126">
                  <c:v>17.5</c:v>
                </c:pt>
                <c:pt idx="127">
                  <c:v>57.49</c:v>
                </c:pt>
                <c:pt idx="128">
                  <c:v>23.43</c:v>
                </c:pt>
                <c:pt idx="129">
                  <c:v>57.65</c:v>
                </c:pt>
                <c:pt idx="130">
                  <c:v>17.5</c:v>
                </c:pt>
                <c:pt idx="131">
                  <c:v>17.61</c:v>
                </c:pt>
                <c:pt idx="132">
                  <c:v>43.63</c:v>
                </c:pt>
                <c:pt idx="133">
                  <c:v>41.25</c:v>
                </c:pt>
                <c:pt idx="134">
                  <c:v>42.76</c:v>
                </c:pt>
                <c:pt idx="135">
                  <c:v>26.42</c:v>
                </c:pt>
                <c:pt idx="136">
                  <c:v>79.900000000000006</c:v>
                </c:pt>
                <c:pt idx="137">
                  <c:v>44.99</c:v>
                </c:pt>
                <c:pt idx="138">
                  <c:v>17.5</c:v>
                </c:pt>
                <c:pt idx="139">
                  <c:v>47.65</c:v>
                </c:pt>
                <c:pt idx="140">
                  <c:v>40.380000000000003</c:v>
                </c:pt>
                <c:pt idx="141">
                  <c:v>17.5</c:v>
                </c:pt>
                <c:pt idx="142">
                  <c:v>47.74</c:v>
                </c:pt>
                <c:pt idx="143">
                  <c:v>17.5</c:v>
                </c:pt>
                <c:pt idx="144">
                  <c:v>38.11</c:v>
                </c:pt>
                <c:pt idx="145">
                  <c:v>34.33</c:v>
                </c:pt>
                <c:pt idx="146">
                  <c:v>31.23</c:v>
                </c:pt>
                <c:pt idx="147">
                  <c:v>40.520000000000003</c:v>
                </c:pt>
                <c:pt idx="148">
                  <c:v>86.54</c:v>
                </c:pt>
                <c:pt idx="149">
                  <c:v>17.5</c:v>
                </c:pt>
                <c:pt idx="150">
                  <c:v>52.55</c:v>
                </c:pt>
                <c:pt idx="151">
                  <c:v>17.5</c:v>
                </c:pt>
                <c:pt idx="152">
                  <c:v>60.13</c:v>
                </c:pt>
                <c:pt idx="153">
                  <c:v>17.5</c:v>
                </c:pt>
                <c:pt idx="154">
                  <c:v>17.5</c:v>
                </c:pt>
                <c:pt idx="155">
                  <c:v>17.5</c:v>
                </c:pt>
                <c:pt idx="156">
                  <c:v>17.5</c:v>
                </c:pt>
                <c:pt idx="157">
                  <c:v>18.55</c:v>
                </c:pt>
                <c:pt idx="158">
                  <c:v>17.5</c:v>
                </c:pt>
                <c:pt idx="159">
                  <c:v>74.040000000000006</c:v>
                </c:pt>
                <c:pt idx="160">
                  <c:v>43.5</c:v>
                </c:pt>
                <c:pt idx="161">
                  <c:v>44.27</c:v>
                </c:pt>
                <c:pt idx="162">
                  <c:v>75.58</c:v>
                </c:pt>
                <c:pt idx="163">
                  <c:v>17.5</c:v>
                </c:pt>
                <c:pt idx="164">
                  <c:v>51.77</c:v>
                </c:pt>
                <c:pt idx="165">
                  <c:v>17.5</c:v>
                </c:pt>
                <c:pt idx="166">
                  <c:v>32.69</c:v>
                </c:pt>
                <c:pt idx="167">
                  <c:v>17.5</c:v>
                </c:pt>
                <c:pt idx="168">
                  <c:v>17.5</c:v>
                </c:pt>
                <c:pt idx="169">
                  <c:v>41.32</c:v>
                </c:pt>
                <c:pt idx="170">
                  <c:v>17.55</c:v>
                </c:pt>
                <c:pt idx="171">
                  <c:v>17.5</c:v>
                </c:pt>
                <c:pt idx="172">
                  <c:v>17.5</c:v>
                </c:pt>
                <c:pt idx="173">
                  <c:v>33.659999999999997</c:v>
                </c:pt>
                <c:pt idx="174">
                  <c:v>17.5</c:v>
                </c:pt>
                <c:pt idx="175">
                  <c:v>17.5</c:v>
                </c:pt>
                <c:pt idx="176">
                  <c:v>32.17</c:v>
                </c:pt>
                <c:pt idx="177">
                  <c:v>17.5</c:v>
                </c:pt>
                <c:pt idx="178">
                  <c:v>26.61</c:v>
                </c:pt>
                <c:pt idx="179">
                  <c:v>36.99</c:v>
                </c:pt>
                <c:pt idx="180">
                  <c:v>53.64</c:v>
                </c:pt>
                <c:pt idx="181">
                  <c:v>47.2</c:v>
                </c:pt>
                <c:pt idx="182">
                  <c:v>17.5</c:v>
                </c:pt>
                <c:pt idx="183">
                  <c:v>17.5</c:v>
                </c:pt>
                <c:pt idx="184">
                  <c:v>50.11</c:v>
                </c:pt>
                <c:pt idx="185">
                  <c:v>40.47</c:v>
                </c:pt>
                <c:pt idx="186">
                  <c:v>28.59</c:v>
                </c:pt>
                <c:pt idx="187">
                  <c:v>56.71</c:v>
                </c:pt>
                <c:pt idx="188">
                  <c:v>17.5</c:v>
                </c:pt>
                <c:pt idx="189">
                  <c:v>38.549999999999997</c:v>
                </c:pt>
                <c:pt idx="190">
                  <c:v>46.75</c:v>
                </c:pt>
                <c:pt idx="191">
                  <c:v>49.71</c:v>
                </c:pt>
                <c:pt idx="192">
                  <c:v>17.5</c:v>
                </c:pt>
                <c:pt idx="193">
                  <c:v>17.5</c:v>
                </c:pt>
                <c:pt idx="194">
                  <c:v>17.5</c:v>
                </c:pt>
                <c:pt idx="195">
                  <c:v>17.5</c:v>
                </c:pt>
                <c:pt idx="196">
                  <c:v>17.5</c:v>
                </c:pt>
                <c:pt idx="197">
                  <c:v>17.5</c:v>
                </c:pt>
                <c:pt idx="198">
                  <c:v>17.5</c:v>
                </c:pt>
                <c:pt idx="199">
                  <c:v>21.77</c:v>
                </c:pt>
                <c:pt idx="200">
                  <c:v>78.31</c:v>
                </c:pt>
                <c:pt idx="201">
                  <c:v>44.27</c:v>
                </c:pt>
                <c:pt idx="202">
                  <c:v>17.5</c:v>
                </c:pt>
                <c:pt idx="203">
                  <c:v>17.5</c:v>
                </c:pt>
                <c:pt idx="204">
                  <c:v>17.5</c:v>
                </c:pt>
                <c:pt idx="205">
                  <c:v>45.72</c:v>
                </c:pt>
                <c:pt idx="206">
                  <c:v>17.5</c:v>
                </c:pt>
                <c:pt idx="207">
                  <c:v>17.5</c:v>
                </c:pt>
                <c:pt idx="208">
                  <c:v>70.55</c:v>
                </c:pt>
                <c:pt idx="209">
                  <c:v>17.5</c:v>
                </c:pt>
                <c:pt idx="210">
                  <c:v>17.5</c:v>
                </c:pt>
                <c:pt idx="211">
                  <c:v>38.47</c:v>
                </c:pt>
                <c:pt idx="212">
                  <c:v>17.5</c:v>
                </c:pt>
                <c:pt idx="213">
                  <c:v>50.01</c:v>
                </c:pt>
                <c:pt idx="214">
                  <c:v>55.02</c:v>
                </c:pt>
                <c:pt idx="215">
                  <c:v>28.19</c:v>
                </c:pt>
                <c:pt idx="216">
                  <c:v>17.5</c:v>
                </c:pt>
                <c:pt idx="217">
                  <c:v>34.57</c:v>
                </c:pt>
                <c:pt idx="218">
                  <c:v>17.5</c:v>
                </c:pt>
                <c:pt idx="219">
                  <c:v>17.5</c:v>
                </c:pt>
                <c:pt idx="220">
                  <c:v>17.5</c:v>
                </c:pt>
                <c:pt idx="221">
                  <c:v>38.619999999999997</c:v>
                </c:pt>
                <c:pt idx="222">
                  <c:v>72.430000000000007</c:v>
                </c:pt>
                <c:pt idx="223">
                  <c:v>17.5</c:v>
                </c:pt>
                <c:pt idx="224">
                  <c:v>17.5</c:v>
                </c:pt>
                <c:pt idx="225">
                  <c:v>52.37</c:v>
                </c:pt>
                <c:pt idx="226">
                  <c:v>58.99</c:v>
                </c:pt>
                <c:pt idx="227">
                  <c:v>38.9</c:v>
                </c:pt>
                <c:pt idx="228">
                  <c:v>28.77</c:v>
                </c:pt>
                <c:pt idx="229">
                  <c:v>17.5</c:v>
                </c:pt>
                <c:pt idx="230">
                  <c:v>37.06</c:v>
                </c:pt>
                <c:pt idx="231">
                  <c:v>43.79</c:v>
                </c:pt>
                <c:pt idx="232">
                  <c:v>56.18</c:v>
                </c:pt>
                <c:pt idx="233">
                  <c:v>20.39</c:v>
                </c:pt>
                <c:pt idx="234">
                  <c:v>51.69</c:v>
                </c:pt>
                <c:pt idx="235">
                  <c:v>59.26</c:v>
                </c:pt>
                <c:pt idx="236">
                  <c:v>29.15</c:v>
                </c:pt>
                <c:pt idx="237">
                  <c:v>29.11</c:v>
                </c:pt>
                <c:pt idx="238">
                  <c:v>29.62</c:v>
                </c:pt>
                <c:pt idx="239">
                  <c:v>28.71</c:v>
                </c:pt>
                <c:pt idx="240">
                  <c:v>17.5</c:v>
                </c:pt>
                <c:pt idx="241">
                  <c:v>17.5</c:v>
                </c:pt>
                <c:pt idx="242">
                  <c:v>22.56</c:v>
                </c:pt>
                <c:pt idx="243">
                  <c:v>44.04</c:v>
                </c:pt>
                <c:pt idx="244">
                  <c:v>39.53</c:v>
                </c:pt>
                <c:pt idx="245">
                  <c:v>17.5</c:v>
                </c:pt>
                <c:pt idx="246">
                  <c:v>24.49</c:v>
                </c:pt>
                <c:pt idx="247">
                  <c:v>63.39</c:v>
                </c:pt>
                <c:pt idx="248">
                  <c:v>17.5</c:v>
                </c:pt>
                <c:pt idx="249">
                  <c:v>37.79</c:v>
                </c:pt>
                <c:pt idx="250">
                  <c:v>50.82</c:v>
                </c:pt>
                <c:pt idx="251">
                  <c:v>17.5</c:v>
                </c:pt>
                <c:pt idx="252">
                  <c:v>17.5</c:v>
                </c:pt>
                <c:pt idx="253">
                  <c:v>17.5</c:v>
                </c:pt>
                <c:pt idx="254">
                  <c:v>44.72</c:v>
                </c:pt>
                <c:pt idx="255">
                  <c:v>61.62</c:v>
                </c:pt>
                <c:pt idx="256">
                  <c:v>55.22</c:v>
                </c:pt>
                <c:pt idx="257">
                  <c:v>38.79</c:v>
                </c:pt>
                <c:pt idx="258">
                  <c:v>17.5</c:v>
                </c:pt>
                <c:pt idx="259">
                  <c:v>17.5</c:v>
                </c:pt>
                <c:pt idx="260">
                  <c:v>17.5</c:v>
                </c:pt>
                <c:pt idx="261">
                  <c:v>17.5</c:v>
                </c:pt>
                <c:pt idx="262">
                  <c:v>50.46</c:v>
                </c:pt>
                <c:pt idx="263">
                  <c:v>17.5</c:v>
                </c:pt>
                <c:pt idx="264">
                  <c:v>24.44</c:v>
                </c:pt>
                <c:pt idx="265">
                  <c:v>17.5</c:v>
                </c:pt>
                <c:pt idx="266">
                  <c:v>17.5</c:v>
                </c:pt>
                <c:pt idx="267">
                  <c:v>24</c:v>
                </c:pt>
                <c:pt idx="268">
                  <c:v>17.5</c:v>
                </c:pt>
                <c:pt idx="269">
                  <c:v>43.02</c:v>
                </c:pt>
                <c:pt idx="270">
                  <c:v>20.11</c:v>
                </c:pt>
                <c:pt idx="271">
                  <c:v>41.44</c:v>
                </c:pt>
                <c:pt idx="272">
                  <c:v>44.74</c:v>
                </c:pt>
                <c:pt idx="273">
                  <c:v>17.5</c:v>
                </c:pt>
                <c:pt idx="274">
                  <c:v>35.76</c:v>
                </c:pt>
                <c:pt idx="275">
                  <c:v>17.5</c:v>
                </c:pt>
                <c:pt idx="276">
                  <c:v>74.63</c:v>
                </c:pt>
                <c:pt idx="277">
                  <c:v>34.75</c:v>
                </c:pt>
                <c:pt idx="278">
                  <c:v>35.19</c:v>
                </c:pt>
                <c:pt idx="279">
                  <c:v>54.78</c:v>
                </c:pt>
                <c:pt idx="280">
                  <c:v>84.29</c:v>
                </c:pt>
                <c:pt idx="281">
                  <c:v>24.56</c:v>
                </c:pt>
                <c:pt idx="282">
                  <c:v>17.5</c:v>
                </c:pt>
                <c:pt idx="283">
                  <c:v>17.5</c:v>
                </c:pt>
                <c:pt idx="284">
                  <c:v>38.35</c:v>
                </c:pt>
                <c:pt idx="285">
                  <c:v>17.5</c:v>
                </c:pt>
                <c:pt idx="286">
                  <c:v>42.73</c:v>
                </c:pt>
                <c:pt idx="287">
                  <c:v>17.5</c:v>
                </c:pt>
                <c:pt idx="288">
                  <c:v>24.49</c:v>
                </c:pt>
                <c:pt idx="289">
                  <c:v>28.22</c:v>
                </c:pt>
                <c:pt idx="290">
                  <c:v>17.5</c:v>
                </c:pt>
                <c:pt idx="291">
                  <c:v>36.270000000000003</c:v>
                </c:pt>
                <c:pt idx="292">
                  <c:v>64.12</c:v>
                </c:pt>
                <c:pt idx="293">
                  <c:v>61.8</c:v>
                </c:pt>
                <c:pt idx="294">
                  <c:v>20.68</c:v>
                </c:pt>
                <c:pt idx="295">
                  <c:v>17.5</c:v>
                </c:pt>
                <c:pt idx="296">
                  <c:v>17.5</c:v>
                </c:pt>
                <c:pt idx="297">
                  <c:v>17.5</c:v>
                </c:pt>
                <c:pt idx="298">
                  <c:v>46.86</c:v>
                </c:pt>
                <c:pt idx="299">
                  <c:v>17.5</c:v>
                </c:pt>
                <c:pt idx="300">
                  <c:v>30.71</c:v>
                </c:pt>
                <c:pt idx="301">
                  <c:v>17.5</c:v>
                </c:pt>
                <c:pt idx="302">
                  <c:v>29.19</c:v>
                </c:pt>
                <c:pt idx="303">
                  <c:v>40.32</c:v>
                </c:pt>
                <c:pt idx="304">
                  <c:v>17.5</c:v>
                </c:pt>
                <c:pt idx="305">
                  <c:v>62.87</c:v>
                </c:pt>
                <c:pt idx="306">
                  <c:v>17.5</c:v>
                </c:pt>
                <c:pt idx="307">
                  <c:v>17.5</c:v>
                </c:pt>
                <c:pt idx="308">
                  <c:v>65.23</c:v>
                </c:pt>
                <c:pt idx="309">
                  <c:v>43.95</c:v>
                </c:pt>
                <c:pt idx="310">
                  <c:v>73.08</c:v>
                </c:pt>
                <c:pt idx="311">
                  <c:v>45.66</c:v>
                </c:pt>
                <c:pt idx="312">
                  <c:v>17.5</c:v>
                </c:pt>
                <c:pt idx="313">
                  <c:v>17.5</c:v>
                </c:pt>
                <c:pt idx="314">
                  <c:v>17.5</c:v>
                </c:pt>
                <c:pt idx="315">
                  <c:v>54.91</c:v>
                </c:pt>
                <c:pt idx="316">
                  <c:v>17.5</c:v>
                </c:pt>
                <c:pt idx="317">
                  <c:v>17.5</c:v>
                </c:pt>
                <c:pt idx="318">
                  <c:v>50.39</c:v>
                </c:pt>
                <c:pt idx="319">
                  <c:v>17.5</c:v>
                </c:pt>
                <c:pt idx="320">
                  <c:v>21.5</c:v>
                </c:pt>
                <c:pt idx="321">
                  <c:v>24.44</c:v>
                </c:pt>
                <c:pt idx="322">
                  <c:v>34.54</c:v>
                </c:pt>
                <c:pt idx="323">
                  <c:v>50.11</c:v>
                </c:pt>
                <c:pt idx="324">
                  <c:v>56.74</c:v>
                </c:pt>
                <c:pt idx="325">
                  <c:v>24.31</c:v>
                </c:pt>
                <c:pt idx="326">
                  <c:v>29.88</c:v>
                </c:pt>
                <c:pt idx="327">
                  <c:v>40.24</c:v>
                </c:pt>
                <c:pt idx="328">
                  <c:v>17.5</c:v>
                </c:pt>
                <c:pt idx="329">
                  <c:v>17.5</c:v>
                </c:pt>
                <c:pt idx="330">
                  <c:v>17.5</c:v>
                </c:pt>
                <c:pt idx="331">
                  <c:v>56.17</c:v>
                </c:pt>
                <c:pt idx="332">
                  <c:v>17.5</c:v>
                </c:pt>
                <c:pt idx="333">
                  <c:v>17.5</c:v>
                </c:pt>
                <c:pt idx="334">
                  <c:v>17.5</c:v>
                </c:pt>
                <c:pt idx="335">
                  <c:v>27.52</c:v>
                </c:pt>
                <c:pt idx="336">
                  <c:v>17.5</c:v>
                </c:pt>
                <c:pt idx="337">
                  <c:v>54.72</c:v>
                </c:pt>
                <c:pt idx="338">
                  <c:v>31.88</c:v>
                </c:pt>
                <c:pt idx="339">
                  <c:v>26.47</c:v>
                </c:pt>
                <c:pt idx="340">
                  <c:v>17.5</c:v>
                </c:pt>
                <c:pt idx="341">
                  <c:v>25.67</c:v>
                </c:pt>
                <c:pt idx="342">
                  <c:v>67.63</c:v>
                </c:pt>
                <c:pt idx="343">
                  <c:v>17.5</c:v>
                </c:pt>
                <c:pt idx="344">
                  <c:v>17.5</c:v>
                </c:pt>
                <c:pt idx="345">
                  <c:v>29.73</c:v>
                </c:pt>
                <c:pt idx="346">
                  <c:v>17.5</c:v>
                </c:pt>
                <c:pt idx="347">
                  <c:v>71.7</c:v>
                </c:pt>
                <c:pt idx="348">
                  <c:v>17.5</c:v>
                </c:pt>
                <c:pt idx="349">
                  <c:v>17.5</c:v>
                </c:pt>
                <c:pt idx="350">
                  <c:v>17.5</c:v>
                </c:pt>
                <c:pt idx="351">
                  <c:v>17.5</c:v>
                </c:pt>
                <c:pt idx="352">
                  <c:v>21.41</c:v>
                </c:pt>
                <c:pt idx="353">
                  <c:v>63.21</c:v>
                </c:pt>
                <c:pt idx="354">
                  <c:v>26.54</c:v>
                </c:pt>
                <c:pt idx="355">
                  <c:v>47.55</c:v>
                </c:pt>
                <c:pt idx="356">
                  <c:v>68.38</c:v>
                </c:pt>
                <c:pt idx="357">
                  <c:v>37.11</c:v>
                </c:pt>
                <c:pt idx="358">
                  <c:v>17.5</c:v>
                </c:pt>
                <c:pt idx="359">
                  <c:v>17.5</c:v>
                </c:pt>
                <c:pt idx="360">
                  <c:v>53.3</c:v>
                </c:pt>
                <c:pt idx="361">
                  <c:v>38.67</c:v>
                </c:pt>
                <c:pt idx="362">
                  <c:v>36.75</c:v>
                </c:pt>
                <c:pt idx="363">
                  <c:v>36.35</c:v>
                </c:pt>
                <c:pt idx="364">
                  <c:v>17.5</c:v>
                </c:pt>
                <c:pt idx="365">
                  <c:v>17.5</c:v>
                </c:pt>
                <c:pt idx="366">
                  <c:v>35.97</c:v>
                </c:pt>
                <c:pt idx="367">
                  <c:v>17.5</c:v>
                </c:pt>
                <c:pt idx="368">
                  <c:v>54.47</c:v>
                </c:pt>
                <c:pt idx="369">
                  <c:v>17.5</c:v>
                </c:pt>
                <c:pt idx="370">
                  <c:v>17.5</c:v>
                </c:pt>
                <c:pt idx="371">
                  <c:v>33.9</c:v>
                </c:pt>
                <c:pt idx="372">
                  <c:v>19.850000000000001</c:v>
                </c:pt>
                <c:pt idx="373">
                  <c:v>44.36</c:v>
                </c:pt>
                <c:pt idx="374">
                  <c:v>17.600000000000001</c:v>
                </c:pt>
                <c:pt idx="375">
                  <c:v>48.3</c:v>
                </c:pt>
                <c:pt idx="376">
                  <c:v>17.5</c:v>
                </c:pt>
                <c:pt idx="377">
                  <c:v>30.17</c:v>
                </c:pt>
                <c:pt idx="378">
                  <c:v>33.78</c:v>
                </c:pt>
                <c:pt idx="379">
                  <c:v>44.55</c:v>
                </c:pt>
                <c:pt idx="380">
                  <c:v>20.54</c:v>
                </c:pt>
                <c:pt idx="381">
                  <c:v>17.5</c:v>
                </c:pt>
                <c:pt idx="382">
                  <c:v>17.5</c:v>
                </c:pt>
                <c:pt idx="383">
                  <c:v>17.5</c:v>
                </c:pt>
                <c:pt idx="384">
                  <c:v>17.5</c:v>
                </c:pt>
                <c:pt idx="385">
                  <c:v>28.05</c:v>
                </c:pt>
                <c:pt idx="386">
                  <c:v>17.5</c:v>
                </c:pt>
                <c:pt idx="387">
                  <c:v>26.25</c:v>
                </c:pt>
                <c:pt idx="388">
                  <c:v>36.01</c:v>
                </c:pt>
                <c:pt idx="389">
                  <c:v>60.09</c:v>
                </c:pt>
                <c:pt idx="390">
                  <c:v>21.64</c:v>
                </c:pt>
                <c:pt idx="391">
                  <c:v>48.2</c:v>
                </c:pt>
                <c:pt idx="392">
                  <c:v>17.5</c:v>
                </c:pt>
                <c:pt idx="393">
                  <c:v>45.38</c:v>
                </c:pt>
                <c:pt idx="394">
                  <c:v>24.87</c:v>
                </c:pt>
                <c:pt idx="395">
                  <c:v>30.19</c:v>
                </c:pt>
                <c:pt idx="396">
                  <c:v>36.590000000000003</c:v>
                </c:pt>
                <c:pt idx="397">
                  <c:v>53.42</c:v>
                </c:pt>
                <c:pt idx="398">
                  <c:v>64.790000000000006</c:v>
                </c:pt>
                <c:pt idx="399">
                  <c:v>40</c:v>
                </c:pt>
                <c:pt idx="400">
                  <c:v>46.22</c:v>
                </c:pt>
                <c:pt idx="401">
                  <c:v>17.5</c:v>
                </c:pt>
                <c:pt idx="402">
                  <c:v>33.47</c:v>
                </c:pt>
                <c:pt idx="403">
                  <c:v>54.36</c:v>
                </c:pt>
                <c:pt idx="404">
                  <c:v>46.56</c:v>
                </c:pt>
                <c:pt idx="405">
                  <c:v>17.5</c:v>
                </c:pt>
                <c:pt idx="406">
                  <c:v>17.5</c:v>
                </c:pt>
                <c:pt idx="407">
                  <c:v>40.11</c:v>
                </c:pt>
                <c:pt idx="408">
                  <c:v>64.3</c:v>
                </c:pt>
                <c:pt idx="409">
                  <c:v>50.82</c:v>
                </c:pt>
                <c:pt idx="410">
                  <c:v>36.96</c:v>
                </c:pt>
                <c:pt idx="411">
                  <c:v>40.98</c:v>
                </c:pt>
                <c:pt idx="412">
                  <c:v>32.74</c:v>
                </c:pt>
                <c:pt idx="413">
                  <c:v>52.12</c:v>
                </c:pt>
                <c:pt idx="414">
                  <c:v>17.510000000000002</c:v>
                </c:pt>
                <c:pt idx="415">
                  <c:v>24.45</c:v>
                </c:pt>
                <c:pt idx="416">
                  <c:v>45.87</c:v>
                </c:pt>
                <c:pt idx="417">
                  <c:v>64.040000000000006</c:v>
                </c:pt>
                <c:pt idx="418">
                  <c:v>77.040000000000006</c:v>
                </c:pt>
                <c:pt idx="419">
                  <c:v>66.28</c:v>
                </c:pt>
                <c:pt idx="420">
                  <c:v>65.42</c:v>
                </c:pt>
                <c:pt idx="421">
                  <c:v>33.82</c:v>
                </c:pt>
                <c:pt idx="422">
                  <c:v>19.57</c:v>
                </c:pt>
                <c:pt idx="423">
                  <c:v>59.61</c:v>
                </c:pt>
                <c:pt idx="424">
                  <c:v>61.56</c:v>
                </c:pt>
                <c:pt idx="425">
                  <c:v>32.81</c:v>
                </c:pt>
                <c:pt idx="426">
                  <c:v>42.83</c:v>
                </c:pt>
                <c:pt idx="427">
                  <c:v>39.049999999999997</c:v>
                </c:pt>
                <c:pt idx="428">
                  <c:v>56.83</c:v>
                </c:pt>
                <c:pt idx="429">
                  <c:v>24.87</c:v>
                </c:pt>
                <c:pt idx="430">
                  <c:v>62.22</c:v>
                </c:pt>
                <c:pt idx="431">
                  <c:v>41.39</c:v>
                </c:pt>
                <c:pt idx="432">
                  <c:v>56.31</c:v>
                </c:pt>
                <c:pt idx="433">
                  <c:v>31.79</c:v>
                </c:pt>
                <c:pt idx="434">
                  <c:v>26.39</c:v>
                </c:pt>
                <c:pt idx="435">
                  <c:v>46.93</c:v>
                </c:pt>
                <c:pt idx="436">
                  <c:v>45.31</c:v>
                </c:pt>
                <c:pt idx="437">
                  <c:v>25.66</c:v>
                </c:pt>
              </c:numCache>
            </c:numRef>
          </c:xVal>
          <c:yVal>
            <c:numRef>
              <c:f>'Aid436'!$W$10:$W$447</c:f>
            </c:numRef>
          </c:yVal>
          <c:smooth val="0"/>
        </c:ser>
        <c:ser>
          <c:idx val="1"/>
          <c:order val="1"/>
          <c:tx>
            <c:v>Target Aid %</c:v>
          </c:tx>
          <c:spPr>
            <a:ln w="28575">
              <a:noFill/>
            </a:ln>
          </c:spPr>
          <c:marker>
            <c:symbol val="circle"/>
            <c:size val="6"/>
            <c:spPr>
              <a:noFill/>
              <a:ln w="12700">
                <a:solidFill>
                  <a:schemeClr val="accent6">
                    <a:lumMod val="60000"/>
                    <a:lumOff val="40000"/>
                  </a:schemeClr>
                </a:solidFill>
              </a:ln>
            </c:spPr>
          </c:marker>
          <c:xVal>
            <c:numRef>
              <c:f>'Aid436'!$J$10:$J$447</c:f>
              <c:numCache>
                <c:formatCode>0.00</c:formatCode>
                <c:ptCount val="438"/>
                <c:pt idx="0">
                  <c:v>34.75</c:v>
                </c:pt>
                <c:pt idx="1">
                  <c:v>22.12</c:v>
                </c:pt>
                <c:pt idx="2">
                  <c:v>41.83</c:v>
                </c:pt>
                <c:pt idx="3">
                  <c:v>67.260000000000005</c:v>
                </c:pt>
                <c:pt idx="4">
                  <c:v>46.07</c:v>
                </c:pt>
                <c:pt idx="5">
                  <c:v>17.5</c:v>
                </c:pt>
                <c:pt idx="6">
                  <c:v>34.17</c:v>
                </c:pt>
                <c:pt idx="7">
                  <c:v>26.15</c:v>
                </c:pt>
                <c:pt idx="8">
                  <c:v>17.5</c:v>
                </c:pt>
                <c:pt idx="9">
                  <c:v>17.5</c:v>
                </c:pt>
                <c:pt idx="10">
                  <c:v>55.62</c:v>
                </c:pt>
                <c:pt idx="11">
                  <c:v>47.09</c:v>
                </c:pt>
                <c:pt idx="12">
                  <c:v>22.82</c:v>
                </c:pt>
                <c:pt idx="13">
                  <c:v>22.29</c:v>
                </c:pt>
                <c:pt idx="14">
                  <c:v>70.27</c:v>
                </c:pt>
                <c:pt idx="15">
                  <c:v>51.15</c:v>
                </c:pt>
                <c:pt idx="16">
                  <c:v>42.4</c:v>
                </c:pt>
                <c:pt idx="17">
                  <c:v>25.25</c:v>
                </c:pt>
                <c:pt idx="18">
                  <c:v>32.549999999999997</c:v>
                </c:pt>
                <c:pt idx="19">
                  <c:v>17.5</c:v>
                </c:pt>
                <c:pt idx="20">
                  <c:v>58.56</c:v>
                </c:pt>
                <c:pt idx="21">
                  <c:v>17.5</c:v>
                </c:pt>
                <c:pt idx="22">
                  <c:v>17.5</c:v>
                </c:pt>
                <c:pt idx="23">
                  <c:v>52.23</c:v>
                </c:pt>
                <c:pt idx="24">
                  <c:v>33.450000000000003</c:v>
                </c:pt>
                <c:pt idx="25">
                  <c:v>17.5</c:v>
                </c:pt>
                <c:pt idx="26">
                  <c:v>49.97</c:v>
                </c:pt>
                <c:pt idx="27">
                  <c:v>17.5</c:v>
                </c:pt>
                <c:pt idx="28">
                  <c:v>48.28</c:v>
                </c:pt>
                <c:pt idx="29">
                  <c:v>17.5</c:v>
                </c:pt>
                <c:pt idx="30">
                  <c:v>28.33</c:v>
                </c:pt>
                <c:pt idx="31">
                  <c:v>52.04</c:v>
                </c:pt>
                <c:pt idx="32">
                  <c:v>17.5</c:v>
                </c:pt>
                <c:pt idx="33">
                  <c:v>17.5</c:v>
                </c:pt>
                <c:pt idx="34">
                  <c:v>17.5</c:v>
                </c:pt>
                <c:pt idx="35">
                  <c:v>17.5</c:v>
                </c:pt>
                <c:pt idx="36">
                  <c:v>17.5</c:v>
                </c:pt>
                <c:pt idx="37">
                  <c:v>17.5</c:v>
                </c:pt>
                <c:pt idx="38">
                  <c:v>17.5</c:v>
                </c:pt>
                <c:pt idx="39">
                  <c:v>29.64</c:v>
                </c:pt>
                <c:pt idx="40">
                  <c:v>17.5</c:v>
                </c:pt>
                <c:pt idx="41">
                  <c:v>38.1</c:v>
                </c:pt>
                <c:pt idx="42">
                  <c:v>43.07</c:v>
                </c:pt>
                <c:pt idx="43">
                  <c:v>78.25</c:v>
                </c:pt>
                <c:pt idx="44">
                  <c:v>57.29</c:v>
                </c:pt>
                <c:pt idx="45">
                  <c:v>17.5</c:v>
                </c:pt>
                <c:pt idx="46">
                  <c:v>37.56</c:v>
                </c:pt>
                <c:pt idx="47">
                  <c:v>17.5</c:v>
                </c:pt>
                <c:pt idx="48">
                  <c:v>17.5</c:v>
                </c:pt>
                <c:pt idx="49">
                  <c:v>17.5</c:v>
                </c:pt>
                <c:pt idx="50">
                  <c:v>17.5</c:v>
                </c:pt>
                <c:pt idx="51">
                  <c:v>49.93</c:v>
                </c:pt>
                <c:pt idx="52">
                  <c:v>49.76</c:v>
                </c:pt>
                <c:pt idx="53">
                  <c:v>48.31</c:v>
                </c:pt>
                <c:pt idx="54">
                  <c:v>17.5</c:v>
                </c:pt>
                <c:pt idx="55">
                  <c:v>20.66</c:v>
                </c:pt>
                <c:pt idx="56">
                  <c:v>79.260000000000005</c:v>
                </c:pt>
                <c:pt idx="57">
                  <c:v>52.68</c:v>
                </c:pt>
                <c:pt idx="58">
                  <c:v>48.84</c:v>
                </c:pt>
                <c:pt idx="59">
                  <c:v>39.83</c:v>
                </c:pt>
                <c:pt idx="60">
                  <c:v>68.290000000000006</c:v>
                </c:pt>
                <c:pt idx="61">
                  <c:v>17.5</c:v>
                </c:pt>
                <c:pt idx="62">
                  <c:v>65.37</c:v>
                </c:pt>
                <c:pt idx="63">
                  <c:v>55.64</c:v>
                </c:pt>
                <c:pt idx="64">
                  <c:v>17.5</c:v>
                </c:pt>
                <c:pt idx="65">
                  <c:v>45.4</c:v>
                </c:pt>
                <c:pt idx="66">
                  <c:v>17.5</c:v>
                </c:pt>
                <c:pt idx="67">
                  <c:v>21.49</c:v>
                </c:pt>
                <c:pt idx="68">
                  <c:v>17.5</c:v>
                </c:pt>
                <c:pt idx="69">
                  <c:v>47.03</c:v>
                </c:pt>
                <c:pt idx="70">
                  <c:v>17.5</c:v>
                </c:pt>
                <c:pt idx="71">
                  <c:v>17.5</c:v>
                </c:pt>
                <c:pt idx="72">
                  <c:v>17.5</c:v>
                </c:pt>
                <c:pt idx="73">
                  <c:v>17.5</c:v>
                </c:pt>
                <c:pt idx="74">
                  <c:v>17.5</c:v>
                </c:pt>
                <c:pt idx="75">
                  <c:v>51.85</c:v>
                </c:pt>
                <c:pt idx="76">
                  <c:v>47.58</c:v>
                </c:pt>
                <c:pt idx="77">
                  <c:v>17.5</c:v>
                </c:pt>
                <c:pt idx="78">
                  <c:v>44.16</c:v>
                </c:pt>
                <c:pt idx="79">
                  <c:v>61.31</c:v>
                </c:pt>
                <c:pt idx="80">
                  <c:v>17.93</c:v>
                </c:pt>
                <c:pt idx="81">
                  <c:v>17.5</c:v>
                </c:pt>
                <c:pt idx="82">
                  <c:v>46.38</c:v>
                </c:pt>
                <c:pt idx="83">
                  <c:v>52.52</c:v>
                </c:pt>
                <c:pt idx="84">
                  <c:v>17.5</c:v>
                </c:pt>
                <c:pt idx="85">
                  <c:v>37.08</c:v>
                </c:pt>
                <c:pt idx="86">
                  <c:v>40.36</c:v>
                </c:pt>
                <c:pt idx="87">
                  <c:v>23.85</c:v>
                </c:pt>
                <c:pt idx="88">
                  <c:v>17.5</c:v>
                </c:pt>
                <c:pt idx="89">
                  <c:v>17.5</c:v>
                </c:pt>
                <c:pt idx="90">
                  <c:v>17.5</c:v>
                </c:pt>
                <c:pt idx="91">
                  <c:v>17.5</c:v>
                </c:pt>
                <c:pt idx="92">
                  <c:v>68.790000000000006</c:v>
                </c:pt>
                <c:pt idx="93">
                  <c:v>38.729999999999997</c:v>
                </c:pt>
                <c:pt idx="94">
                  <c:v>75.08</c:v>
                </c:pt>
                <c:pt idx="95">
                  <c:v>17.5</c:v>
                </c:pt>
                <c:pt idx="96">
                  <c:v>74.67</c:v>
                </c:pt>
                <c:pt idx="97">
                  <c:v>44.37</c:v>
                </c:pt>
                <c:pt idx="98">
                  <c:v>17.5</c:v>
                </c:pt>
                <c:pt idx="99">
                  <c:v>38.64</c:v>
                </c:pt>
                <c:pt idx="100">
                  <c:v>34.64</c:v>
                </c:pt>
                <c:pt idx="101">
                  <c:v>33.340000000000003</c:v>
                </c:pt>
                <c:pt idx="102">
                  <c:v>67.87</c:v>
                </c:pt>
                <c:pt idx="103">
                  <c:v>17.5</c:v>
                </c:pt>
                <c:pt idx="104">
                  <c:v>27.17</c:v>
                </c:pt>
                <c:pt idx="105">
                  <c:v>39.75</c:v>
                </c:pt>
                <c:pt idx="106">
                  <c:v>17.5</c:v>
                </c:pt>
                <c:pt idx="107">
                  <c:v>33.479999999999997</c:v>
                </c:pt>
                <c:pt idx="108">
                  <c:v>17.5</c:v>
                </c:pt>
                <c:pt idx="109">
                  <c:v>34.26</c:v>
                </c:pt>
                <c:pt idx="110">
                  <c:v>38.64</c:v>
                </c:pt>
                <c:pt idx="111">
                  <c:v>25.87</c:v>
                </c:pt>
                <c:pt idx="112">
                  <c:v>17.5</c:v>
                </c:pt>
                <c:pt idx="113">
                  <c:v>54.16</c:v>
                </c:pt>
                <c:pt idx="114">
                  <c:v>17.5</c:v>
                </c:pt>
                <c:pt idx="115">
                  <c:v>32.58</c:v>
                </c:pt>
                <c:pt idx="116">
                  <c:v>17.5</c:v>
                </c:pt>
                <c:pt idx="117">
                  <c:v>47.69</c:v>
                </c:pt>
                <c:pt idx="118">
                  <c:v>17.5</c:v>
                </c:pt>
                <c:pt idx="119">
                  <c:v>24.58</c:v>
                </c:pt>
                <c:pt idx="120">
                  <c:v>17.5</c:v>
                </c:pt>
                <c:pt idx="121">
                  <c:v>20.62</c:v>
                </c:pt>
                <c:pt idx="122">
                  <c:v>45.09</c:v>
                </c:pt>
                <c:pt idx="123">
                  <c:v>64.010000000000005</c:v>
                </c:pt>
                <c:pt idx="124">
                  <c:v>17.5</c:v>
                </c:pt>
                <c:pt idx="125">
                  <c:v>17.5</c:v>
                </c:pt>
                <c:pt idx="126">
                  <c:v>17.5</c:v>
                </c:pt>
                <c:pt idx="127">
                  <c:v>57.49</c:v>
                </c:pt>
                <c:pt idx="128">
                  <c:v>23.43</c:v>
                </c:pt>
                <c:pt idx="129">
                  <c:v>57.65</c:v>
                </c:pt>
                <c:pt idx="130">
                  <c:v>17.5</c:v>
                </c:pt>
                <c:pt idx="131">
                  <c:v>17.61</c:v>
                </c:pt>
                <c:pt idx="132">
                  <c:v>43.63</c:v>
                </c:pt>
                <c:pt idx="133">
                  <c:v>41.25</c:v>
                </c:pt>
                <c:pt idx="134">
                  <c:v>42.76</c:v>
                </c:pt>
                <c:pt idx="135">
                  <c:v>26.42</c:v>
                </c:pt>
                <c:pt idx="136">
                  <c:v>79.900000000000006</c:v>
                </c:pt>
                <c:pt idx="137">
                  <c:v>44.99</c:v>
                </c:pt>
                <c:pt idx="138">
                  <c:v>17.5</c:v>
                </c:pt>
                <c:pt idx="139">
                  <c:v>47.65</c:v>
                </c:pt>
                <c:pt idx="140">
                  <c:v>40.380000000000003</c:v>
                </c:pt>
                <c:pt idx="141">
                  <c:v>17.5</c:v>
                </c:pt>
                <c:pt idx="142">
                  <c:v>47.74</c:v>
                </c:pt>
                <c:pt idx="143">
                  <c:v>17.5</c:v>
                </c:pt>
                <c:pt idx="144">
                  <c:v>38.11</c:v>
                </c:pt>
                <c:pt idx="145">
                  <c:v>34.33</c:v>
                </c:pt>
                <c:pt idx="146">
                  <c:v>31.23</c:v>
                </c:pt>
                <c:pt idx="147">
                  <c:v>40.520000000000003</c:v>
                </c:pt>
                <c:pt idx="148">
                  <c:v>86.54</c:v>
                </c:pt>
                <c:pt idx="149">
                  <c:v>17.5</c:v>
                </c:pt>
                <c:pt idx="150">
                  <c:v>52.55</c:v>
                </c:pt>
                <c:pt idx="151">
                  <c:v>17.5</c:v>
                </c:pt>
                <c:pt idx="152">
                  <c:v>60.13</c:v>
                </c:pt>
                <c:pt idx="153">
                  <c:v>17.5</c:v>
                </c:pt>
                <c:pt idx="154">
                  <c:v>17.5</c:v>
                </c:pt>
                <c:pt idx="155">
                  <c:v>17.5</c:v>
                </c:pt>
                <c:pt idx="156">
                  <c:v>17.5</c:v>
                </c:pt>
                <c:pt idx="157">
                  <c:v>18.55</c:v>
                </c:pt>
                <c:pt idx="158">
                  <c:v>17.5</c:v>
                </c:pt>
                <c:pt idx="159">
                  <c:v>74.040000000000006</c:v>
                </c:pt>
                <c:pt idx="160">
                  <c:v>43.5</c:v>
                </c:pt>
                <c:pt idx="161">
                  <c:v>44.27</c:v>
                </c:pt>
                <c:pt idx="162">
                  <c:v>75.58</c:v>
                </c:pt>
                <c:pt idx="163">
                  <c:v>17.5</c:v>
                </c:pt>
                <c:pt idx="164">
                  <c:v>51.77</c:v>
                </c:pt>
                <c:pt idx="165">
                  <c:v>17.5</c:v>
                </c:pt>
                <c:pt idx="166">
                  <c:v>32.69</c:v>
                </c:pt>
                <c:pt idx="167">
                  <c:v>17.5</c:v>
                </c:pt>
                <c:pt idx="168">
                  <c:v>17.5</c:v>
                </c:pt>
                <c:pt idx="169">
                  <c:v>41.32</c:v>
                </c:pt>
                <c:pt idx="170">
                  <c:v>17.55</c:v>
                </c:pt>
                <c:pt idx="171">
                  <c:v>17.5</c:v>
                </c:pt>
                <c:pt idx="172">
                  <c:v>17.5</c:v>
                </c:pt>
                <c:pt idx="173">
                  <c:v>33.659999999999997</c:v>
                </c:pt>
                <c:pt idx="174">
                  <c:v>17.5</c:v>
                </c:pt>
                <c:pt idx="175">
                  <c:v>17.5</c:v>
                </c:pt>
                <c:pt idx="176">
                  <c:v>32.17</c:v>
                </c:pt>
                <c:pt idx="177">
                  <c:v>17.5</c:v>
                </c:pt>
                <c:pt idx="178">
                  <c:v>26.61</c:v>
                </c:pt>
                <c:pt idx="179">
                  <c:v>36.99</c:v>
                </c:pt>
                <c:pt idx="180">
                  <c:v>53.64</c:v>
                </c:pt>
                <c:pt idx="181">
                  <c:v>47.2</c:v>
                </c:pt>
                <c:pt idx="182">
                  <c:v>17.5</c:v>
                </c:pt>
                <c:pt idx="183">
                  <c:v>17.5</c:v>
                </c:pt>
                <c:pt idx="184">
                  <c:v>50.11</c:v>
                </c:pt>
                <c:pt idx="185">
                  <c:v>40.47</c:v>
                </c:pt>
                <c:pt idx="186">
                  <c:v>28.59</c:v>
                </c:pt>
                <c:pt idx="187">
                  <c:v>56.71</c:v>
                </c:pt>
                <c:pt idx="188">
                  <c:v>17.5</c:v>
                </c:pt>
                <c:pt idx="189">
                  <c:v>38.549999999999997</c:v>
                </c:pt>
                <c:pt idx="190">
                  <c:v>46.75</c:v>
                </c:pt>
                <c:pt idx="191">
                  <c:v>49.71</c:v>
                </c:pt>
                <c:pt idx="192">
                  <c:v>17.5</c:v>
                </c:pt>
                <c:pt idx="193">
                  <c:v>17.5</c:v>
                </c:pt>
                <c:pt idx="194">
                  <c:v>17.5</c:v>
                </c:pt>
                <c:pt idx="195">
                  <c:v>17.5</c:v>
                </c:pt>
                <c:pt idx="196">
                  <c:v>17.5</c:v>
                </c:pt>
                <c:pt idx="197">
                  <c:v>17.5</c:v>
                </c:pt>
                <c:pt idx="198">
                  <c:v>17.5</c:v>
                </c:pt>
                <c:pt idx="199">
                  <c:v>21.77</c:v>
                </c:pt>
                <c:pt idx="200">
                  <c:v>78.31</c:v>
                </c:pt>
                <c:pt idx="201">
                  <c:v>44.27</c:v>
                </c:pt>
                <c:pt idx="202">
                  <c:v>17.5</c:v>
                </c:pt>
                <c:pt idx="203">
                  <c:v>17.5</c:v>
                </c:pt>
                <c:pt idx="204">
                  <c:v>17.5</c:v>
                </c:pt>
                <c:pt idx="205">
                  <c:v>45.72</c:v>
                </c:pt>
                <c:pt idx="206">
                  <c:v>17.5</c:v>
                </c:pt>
                <c:pt idx="207">
                  <c:v>17.5</c:v>
                </c:pt>
                <c:pt idx="208">
                  <c:v>70.55</c:v>
                </c:pt>
                <c:pt idx="209">
                  <c:v>17.5</c:v>
                </c:pt>
                <c:pt idx="210">
                  <c:v>17.5</c:v>
                </c:pt>
                <c:pt idx="211">
                  <c:v>38.47</c:v>
                </c:pt>
                <c:pt idx="212">
                  <c:v>17.5</c:v>
                </c:pt>
                <c:pt idx="213">
                  <c:v>50.01</c:v>
                </c:pt>
                <c:pt idx="214">
                  <c:v>55.02</c:v>
                </c:pt>
                <c:pt idx="215">
                  <c:v>28.19</c:v>
                </c:pt>
                <c:pt idx="216">
                  <c:v>17.5</c:v>
                </c:pt>
                <c:pt idx="217">
                  <c:v>34.57</c:v>
                </c:pt>
                <c:pt idx="218">
                  <c:v>17.5</c:v>
                </c:pt>
                <c:pt idx="219">
                  <c:v>17.5</c:v>
                </c:pt>
                <c:pt idx="220">
                  <c:v>17.5</c:v>
                </c:pt>
                <c:pt idx="221">
                  <c:v>38.619999999999997</c:v>
                </c:pt>
                <c:pt idx="222">
                  <c:v>72.430000000000007</c:v>
                </c:pt>
                <c:pt idx="223">
                  <c:v>17.5</c:v>
                </c:pt>
                <c:pt idx="224">
                  <c:v>17.5</c:v>
                </c:pt>
                <c:pt idx="225">
                  <c:v>52.37</c:v>
                </c:pt>
                <c:pt idx="226">
                  <c:v>58.99</c:v>
                </c:pt>
                <c:pt idx="227">
                  <c:v>38.9</c:v>
                </c:pt>
                <c:pt idx="228">
                  <c:v>28.77</c:v>
                </c:pt>
                <c:pt idx="229">
                  <c:v>17.5</c:v>
                </c:pt>
                <c:pt idx="230">
                  <c:v>37.06</c:v>
                </c:pt>
                <c:pt idx="231">
                  <c:v>43.79</c:v>
                </c:pt>
                <c:pt idx="232">
                  <c:v>56.18</c:v>
                </c:pt>
                <c:pt idx="233">
                  <c:v>20.39</c:v>
                </c:pt>
                <c:pt idx="234">
                  <c:v>51.69</c:v>
                </c:pt>
                <c:pt idx="235">
                  <c:v>59.26</c:v>
                </c:pt>
                <c:pt idx="236">
                  <c:v>29.15</c:v>
                </c:pt>
                <c:pt idx="237">
                  <c:v>29.11</c:v>
                </c:pt>
                <c:pt idx="238">
                  <c:v>29.62</c:v>
                </c:pt>
                <c:pt idx="239">
                  <c:v>28.71</c:v>
                </c:pt>
                <c:pt idx="240">
                  <c:v>17.5</c:v>
                </c:pt>
                <c:pt idx="241">
                  <c:v>17.5</c:v>
                </c:pt>
                <c:pt idx="242">
                  <c:v>22.56</c:v>
                </c:pt>
                <c:pt idx="243">
                  <c:v>44.04</c:v>
                </c:pt>
                <c:pt idx="244">
                  <c:v>39.53</c:v>
                </c:pt>
                <c:pt idx="245">
                  <c:v>17.5</c:v>
                </c:pt>
                <c:pt idx="246">
                  <c:v>24.49</c:v>
                </c:pt>
                <c:pt idx="247">
                  <c:v>63.39</c:v>
                </c:pt>
                <c:pt idx="248">
                  <c:v>17.5</c:v>
                </c:pt>
                <c:pt idx="249">
                  <c:v>37.79</c:v>
                </c:pt>
                <c:pt idx="250">
                  <c:v>50.82</c:v>
                </c:pt>
                <c:pt idx="251">
                  <c:v>17.5</c:v>
                </c:pt>
                <c:pt idx="252">
                  <c:v>17.5</c:v>
                </c:pt>
                <c:pt idx="253">
                  <c:v>17.5</c:v>
                </c:pt>
                <c:pt idx="254">
                  <c:v>44.72</c:v>
                </c:pt>
                <c:pt idx="255">
                  <c:v>61.62</c:v>
                </c:pt>
                <c:pt idx="256">
                  <c:v>55.22</c:v>
                </c:pt>
                <c:pt idx="257">
                  <c:v>38.79</c:v>
                </c:pt>
                <c:pt idx="258">
                  <c:v>17.5</c:v>
                </c:pt>
                <c:pt idx="259">
                  <c:v>17.5</c:v>
                </c:pt>
                <c:pt idx="260">
                  <c:v>17.5</c:v>
                </c:pt>
                <c:pt idx="261">
                  <c:v>17.5</c:v>
                </c:pt>
                <c:pt idx="262">
                  <c:v>50.46</c:v>
                </c:pt>
                <c:pt idx="263">
                  <c:v>17.5</c:v>
                </c:pt>
                <c:pt idx="264">
                  <c:v>24.44</c:v>
                </c:pt>
                <c:pt idx="265">
                  <c:v>17.5</c:v>
                </c:pt>
                <c:pt idx="266">
                  <c:v>17.5</c:v>
                </c:pt>
                <c:pt idx="267">
                  <c:v>24</c:v>
                </c:pt>
                <c:pt idx="268">
                  <c:v>17.5</c:v>
                </c:pt>
                <c:pt idx="269">
                  <c:v>43.02</c:v>
                </c:pt>
                <c:pt idx="270">
                  <c:v>20.11</c:v>
                </c:pt>
                <c:pt idx="271">
                  <c:v>41.44</c:v>
                </c:pt>
                <c:pt idx="272">
                  <c:v>44.74</c:v>
                </c:pt>
                <c:pt idx="273">
                  <c:v>17.5</c:v>
                </c:pt>
                <c:pt idx="274">
                  <c:v>35.76</c:v>
                </c:pt>
                <c:pt idx="275">
                  <c:v>17.5</c:v>
                </c:pt>
                <c:pt idx="276">
                  <c:v>74.63</c:v>
                </c:pt>
                <c:pt idx="277">
                  <c:v>34.75</c:v>
                </c:pt>
                <c:pt idx="278">
                  <c:v>35.19</c:v>
                </c:pt>
                <c:pt idx="279">
                  <c:v>54.78</c:v>
                </c:pt>
                <c:pt idx="280">
                  <c:v>84.29</c:v>
                </c:pt>
                <c:pt idx="281">
                  <c:v>24.56</c:v>
                </c:pt>
                <c:pt idx="282">
                  <c:v>17.5</c:v>
                </c:pt>
                <c:pt idx="283">
                  <c:v>17.5</c:v>
                </c:pt>
                <c:pt idx="284">
                  <c:v>38.35</c:v>
                </c:pt>
                <c:pt idx="285">
                  <c:v>17.5</c:v>
                </c:pt>
                <c:pt idx="286">
                  <c:v>42.73</c:v>
                </c:pt>
                <c:pt idx="287">
                  <c:v>17.5</c:v>
                </c:pt>
                <c:pt idx="288">
                  <c:v>24.49</c:v>
                </c:pt>
                <c:pt idx="289">
                  <c:v>28.22</c:v>
                </c:pt>
                <c:pt idx="290">
                  <c:v>17.5</c:v>
                </c:pt>
                <c:pt idx="291">
                  <c:v>36.270000000000003</c:v>
                </c:pt>
                <c:pt idx="292">
                  <c:v>64.12</c:v>
                </c:pt>
                <c:pt idx="293">
                  <c:v>61.8</c:v>
                </c:pt>
                <c:pt idx="294">
                  <c:v>20.68</c:v>
                </c:pt>
                <c:pt idx="295">
                  <c:v>17.5</c:v>
                </c:pt>
                <c:pt idx="296">
                  <c:v>17.5</c:v>
                </c:pt>
                <c:pt idx="297">
                  <c:v>17.5</c:v>
                </c:pt>
                <c:pt idx="298">
                  <c:v>46.86</c:v>
                </c:pt>
                <c:pt idx="299">
                  <c:v>17.5</c:v>
                </c:pt>
                <c:pt idx="300">
                  <c:v>30.71</c:v>
                </c:pt>
                <c:pt idx="301">
                  <c:v>17.5</c:v>
                </c:pt>
                <c:pt idx="302">
                  <c:v>29.19</c:v>
                </c:pt>
                <c:pt idx="303">
                  <c:v>40.32</c:v>
                </c:pt>
                <c:pt idx="304">
                  <c:v>17.5</c:v>
                </c:pt>
                <c:pt idx="305">
                  <c:v>62.87</c:v>
                </c:pt>
                <c:pt idx="306">
                  <c:v>17.5</c:v>
                </c:pt>
                <c:pt idx="307">
                  <c:v>17.5</c:v>
                </c:pt>
                <c:pt idx="308">
                  <c:v>65.23</c:v>
                </c:pt>
                <c:pt idx="309">
                  <c:v>43.95</c:v>
                </c:pt>
                <c:pt idx="310">
                  <c:v>73.08</c:v>
                </c:pt>
                <c:pt idx="311">
                  <c:v>45.66</c:v>
                </c:pt>
                <c:pt idx="312">
                  <c:v>17.5</c:v>
                </c:pt>
                <c:pt idx="313">
                  <c:v>17.5</c:v>
                </c:pt>
                <c:pt idx="314">
                  <c:v>17.5</c:v>
                </c:pt>
                <c:pt idx="315">
                  <c:v>54.91</c:v>
                </c:pt>
                <c:pt idx="316">
                  <c:v>17.5</c:v>
                </c:pt>
                <c:pt idx="317">
                  <c:v>17.5</c:v>
                </c:pt>
                <c:pt idx="318">
                  <c:v>50.39</c:v>
                </c:pt>
                <c:pt idx="319">
                  <c:v>17.5</c:v>
                </c:pt>
                <c:pt idx="320">
                  <c:v>21.5</c:v>
                </c:pt>
                <c:pt idx="321">
                  <c:v>24.44</c:v>
                </c:pt>
                <c:pt idx="322">
                  <c:v>34.54</c:v>
                </c:pt>
                <c:pt idx="323">
                  <c:v>50.11</c:v>
                </c:pt>
                <c:pt idx="324">
                  <c:v>56.74</c:v>
                </c:pt>
                <c:pt idx="325">
                  <c:v>24.31</c:v>
                </c:pt>
                <c:pt idx="326">
                  <c:v>29.88</c:v>
                </c:pt>
                <c:pt idx="327">
                  <c:v>40.24</c:v>
                </c:pt>
                <c:pt idx="328">
                  <c:v>17.5</c:v>
                </c:pt>
                <c:pt idx="329">
                  <c:v>17.5</c:v>
                </c:pt>
                <c:pt idx="330">
                  <c:v>17.5</c:v>
                </c:pt>
                <c:pt idx="331">
                  <c:v>56.17</c:v>
                </c:pt>
                <c:pt idx="332">
                  <c:v>17.5</c:v>
                </c:pt>
                <c:pt idx="333">
                  <c:v>17.5</c:v>
                </c:pt>
                <c:pt idx="334">
                  <c:v>17.5</c:v>
                </c:pt>
                <c:pt idx="335">
                  <c:v>27.52</c:v>
                </c:pt>
                <c:pt idx="336">
                  <c:v>17.5</c:v>
                </c:pt>
                <c:pt idx="337">
                  <c:v>54.72</c:v>
                </c:pt>
                <c:pt idx="338">
                  <c:v>31.88</c:v>
                </c:pt>
                <c:pt idx="339">
                  <c:v>26.47</c:v>
                </c:pt>
                <c:pt idx="340">
                  <c:v>17.5</c:v>
                </c:pt>
                <c:pt idx="341">
                  <c:v>25.67</c:v>
                </c:pt>
                <c:pt idx="342">
                  <c:v>67.63</c:v>
                </c:pt>
                <c:pt idx="343">
                  <c:v>17.5</c:v>
                </c:pt>
                <c:pt idx="344">
                  <c:v>17.5</c:v>
                </c:pt>
                <c:pt idx="345">
                  <c:v>29.73</c:v>
                </c:pt>
                <c:pt idx="346">
                  <c:v>17.5</c:v>
                </c:pt>
                <c:pt idx="347">
                  <c:v>71.7</c:v>
                </c:pt>
                <c:pt idx="348">
                  <c:v>17.5</c:v>
                </c:pt>
                <c:pt idx="349">
                  <c:v>17.5</c:v>
                </c:pt>
                <c:pt idx="350">
                  <c:v>17.5</c:v>
                </c:pt>
                <c:pt idx="351">
                  <c:v>17.5</c:v>
                </c:pt>
                <c:pt idx="352">
                  <c:v>21.41</c:v>
                </c:pt>
                <c:pt idx="353">
                  <c:v>63.21</c:v>
                </c:pt>
                <c:pt idx="354">
                  <c:v>26.54</c:v>
                </c:pt>
                <c:pt idx="355">
                  <c:v>47.55</c:v>
                </c:pt>
                <c:pt idx="356">
                  <c:v>68.38</c:v>
                </c:pt>
                <c:pt idx="357">
                  <c:v>37.11</c:v>
                </c:pt>
                <c:pt idx="358">
                  <c:v>17.5</c:v>
                </c:pt>
                <c:pt idx="359">
                  <c:v>17.5</c:v>
                </c:pt>
                <c:pt idx="360">
                  <c:v>53.3</c:v>
                </c:pt>
                <c:pt idx="361">
                  <c:v>38.67</c:v>
                </c:pt>
                <c:pt idx="362">
                  <c:v>36.75</c:v>
                </c:pt>
                <c:pt idx="363">
                  <c:v>36.35</c:v>
                </c:pt>
                <c:pt idx="364">
                  <c:v>17.5</c:v>
                </c:pt>
                <c:pt idx="365">
                  <c:v>17.5</c:v>
                </c:pt>
                <c:pt idx="366">
                  <c:v>35.97</c:v>
                </c:pt>
                <c:pt idx="367">
                  <c:v>17.5</c:v>
                </c:pt>
                <c:pt idx="368">
                  <c:v>54.47</c:v>
                </c:pt>
                <c:pt idx="369">
                  <c:v>17.5</c:v>
                </c:pt>
                <c:pt idx="370">
                  <c:v>17.5</c:v>
                </c:pt>
                <c:pt idx="371">
                  <c:v>33.9</c:v>
                </c:pt>
                <c:pt idx="372">
                  <c:v>19.850000000000001</c:v>
                </c:pt>
                <c:pt idx="373">
                  <c:v>44.36</c:v>
                </c:pt>
                <c:pt idx="374">
                  <c:v>17.600000000000001</c:v>
                </c:pt>
                <c:pt idx="375">
                  <c:v>48.3</c:v>
                </c:pt>
                <c:pt idx="376">
                  <c:v>17.5</c:v>
                </c:pt>
                <c:pt idx="377">
                  <c:v>30.17</c:v>
                </c:pt>
                <c:pt idx="378">
                  <c:v>33.78</c:v>
                </c:pt>
                <c:pt idx="379">
                  <c:v>44.55</c:v>
                </c:pt>
                <c:pt idx="380">
                  <c:v>20.54</c:v>
                </c:pt>
                <c:pt idx="381">
                  <c:v>17.5</c:v>
                </c:pt>
                <c:pt idx="382">
                  <c:v>17.5</c:v>
                </c:pt>
                <c:pt idx="383">
                  <c:v>17.5</c:v>
                </c:pt>
                <c:pt idx="384">
                  <c:v>17.5</c:v>
                </c:pt>
                <c:pt idx="385">
                  <c:v>28.05</c:v>
                </c:pt>
                <c:pt idx="386">
                  <c:v>17.5</c:v>
                </c:pt>
                <c:pt idx="387">
                  <c:v>26.25</c:v>
                </c:pt>
                <c:pt idx="388">
                  <c:v>36.01</c:v>
                </c:pt>
                <c:pt idx="389">
                  <c:v>60.09</c:v>
                </c:pt>
                <c:pt idx="390">
                  <c:v>21.64</c:v>
                </c:pt>
                <c:pt idx="391">
                  <c:v>48.2</c:v>
                </c:pt>
                <c:pt idx="392">
                  <c:v>17.5</c:v>
                </c:pt>
                <c:pt idx="393">
                  <c:v>45.38</c:v>
                </c:pt>
                <c:pt idx="394">
                  <c:v>24.87</c:v>
                </c:pt>
                <c:pt idx="395">
                  <c:v>30.19</c:v>
                </c:pt>
                <c:pt idx="396">
                  <c:v>36.590000000000003</c:v>
                </c:pt>
                <c:pt idx="397">
                  <c:v>53.42</c:v>
                </c:pt>
                <c:pt idx="398">
                  <c:v>64.790000000000006</c:v>
                </c:pt>
                <c:pt idx="399">
                  <c:v>40</c:v>
                </c:pt>
                <c:pt idx="400">
                  <c:v>46.22</c:v>
                </c:pt>
                <c:pt idx="401">
                  <c:v>17.5</c:v>
                </c:pt>
                <c:pt idx="402">
                  <c:v>33.47</c:v>
                </c:pt>
                <c:pt idx="403">
                  <c:v>54.36</c:v>
                </c:pt>
                <c:pt idx="404">
                  <c:v>46.56</c:v>
                </c:pt>
                <c:pt idx="405">
                  <c:v>17.5</c:v>
                </c:pt>
                <c:pt idx="406">
                  <c:v>17.5</c:v>
                </c:pt>
                <c:pt idx="407">
                  <c:v>40.11</c:v>
                </c:pt>
                <c:pt idx="408">
                  <c:v>64.3</c:v>
                </c:pt>
                <c:pt idx="409">
                  <c:v>50.82</c:v>
                </c:pt>
                <c:pt idx="410">
                  <c:v>36.96</c:v>
                </c:pt>
                <c:pt idx="411">
                  <c:v>40.98</c:v>
                </c:pt>
                <c:pt idx="412">
                  <c:v>32.74</c:v>
                </c:pt>
                <c:pt idx="413">
                  <c:v>52.12</c:v>
                </c:pt>
                <c:pt idx="414">
                  <c:v>17.510000000000002</c:v>
                </c:pt>
                <c:pt idx="415">
                  <c:v>24.45</c:v>
                </c:pt>
                <c:pt idx="416">
                  <c:v>45.87</c:v>
                </c:pt>
                <c:pt idx="417">
                  <c:v>64.040000000000006</c:v>
                </c:pt>
                <c:pt idx="418">
                  <c:v>77.040000000000006</c:v>
                </c:pt>
                <c:pt idx="419">
                  <c:v>66.28</c:v>
                </c:pt>
                <c:pt idx="420">
                  <c:v>65.42</c:v>
                </c:pt>
                <c:pt idx="421">
                  <c:v>33.82</c:v>
                </c:pt>
                <c:pt idx="422">
                  <c:v>19.57</c:v>
                </c:pt>
                <c:pt idx="423">
                  <c:v>59.61</c:v>
                </c:pt>
                <c:pt idx="424">
                  <c:v>61.56</c:v>
                </c:pt>
                <c:pt idx="425">
                  <c:v>32.81</c:v>
                </c:pt>
                <c:pt idx="426">
                  <c:v>42.83</c:v>
                </c:pt>
                <c:pt idx="427">
                  <c:v>39.049999999999997</c:v>
                </c:pt>
                <c:pt idx="428">
                  <c:v>56.83</c:v>
                </c:pt>
                <c:pt idx="429">
                  <c:v>24.87</c:v>
                </c:pt>
                <c:pt idx="430">
                  <c:v>62.22</c:v>
                </c:pt>
                <c:pt idx="431">
                  <c:v>41.39</c:v>
                </c:pt>
                <c:pt idx="432">
                  <c:v>56.31</c:v>
                </c:pt>
                <c:pt idx="433">
                  <c:v>31.79</c:v>
                </c:pt>
                <c:pt idx="434">
                  <c:v>26.39</c:v>
                </c:pt>
                <c:pt idx="435">
                  <c:v>46.93</c:v>
                </c:pt>
                <c:pt idx="436">
                  <c:v>45.31</c:v>
                </c:pt>
                <c:pt idx="437">
                  <c:v>25.66</c:v>
                </c:pt>
              </c:numCache>
            </c:numRef>
          </c:xVal>
          <c:yVal>
            <c:numRef>
              <c:f>'Aid436'!$J$10:$J$447</c:f>
              <c:numCache>
                <c:formatCode>0.00</c:formatCode>
                <c:ptCount val="438"/>
                <c:pt idx="0">
                  <c:v>34.75</c:v>
                </c:pt>
                <c:pt idx="1">
                  <c:v>22.12</c:v>
                </c:pt>
                <c:pt idx="2">
                  <c:v>41.83</c:v>
                </c:pt>
                <c:pt idx="3">
                  <c:v>67.260000000000005</c:v>
                </c:pt>
                <c:pt idx="4">
                  <c:v>46.07</c:v>
                </c:pt>
                <c:pt idx="5">
                  <c:v>17.5</c:v>
                </c:pt>
                <c:pt idx="6">
                  <c:v>34.17</c:v>
                </c:pt>
                <c:pt idx="7">
                  <c:v>26.15</c:v>
                </c:pt>
                <c:pt idx="8">
                  <c:v>17.5</c:v>
                </c:pt>
                <c:pt idx="9">
                  <c:v>17.5</c:v>
                </c:pt>
                <c:pt idx="10">
                  <c:v>55.62</c:v>
                </c:pt>
                <c:pt idx="11">
                  <c:v>47.09</c:v>
                </c:pt>
                <c:pt idx="12">
                  <c:v>22.82</c:v>
                </c:pt>
                <c:pt idx="13">
                  <c:v>22.29</c:v>
                </c:pt>
                <c:pt idx="14">
                  <c:v>70.27</c:v>
                </c:pt>
                <c:pt idx="15">
                  <c:v>51.15</c:v>
                </c:pt>
                <c:pt idx="16">
                  <c:v>42.4</c:v>
                </c:pt>
                <c:pt idx="17">
                  <c:v>25.25</c:v>
                </c:pt>
                <c:pt idx="18">
                  <c:v>32.549999999999997</c:v>
                </c:pt>
                <c:pt idx="19">
                  <c:v>17.5</c:v>
                </c:pt>
                <c:pt idx="20">
                  <c:v>58.56</c:v>
                </c:pt>
                <c:pt idx="21">
                  <c:v>17.5</c:v>
                </c:pt>
                <c:pt idx="22">
                  <c:v>17.5</c:v>
                </c:pt>
                <c:pt idx="23">
                  <c:v>52.23</c:v>
                </c:pt>
                <c:pt idx="24">
                  <c:v>33.450000000000003</c:v>
                </c:pt>
                <c:pt idx="25">
                  <c:v>17.5</c:v>
                </c:pt>
                <c:pt idx="26">
                  <c:v>49.97</c:v>
                </c:pt>
                <c:pt idx="27">
                  <c:v>17.5</c:v>
                </c:pt>
                <c:pt idx="28">
                  <c:v>48.28</c:v>
                </c:pt>
                <c:pt idx="29">
                  <c:v>17.5</c:v>
                </c:pt>
                <c:pt idx="30">
                  <c:v>28.33</c:v>
                </c:pt>
                <c:pt idx="31">
                  <c:v>52.04</c:v>
                </c:pt>
                <c:pt idx="32">
                  <c:v>17.5</c:v>
                </c:pt>
                <c:pt idx="33">
                  <c:v>17.5</c:v>
                </c:pt>
                <c:pt idx="34">
                  <c:v>17.5</c:v>
                </c:pt>
                <c:pt idx="35">
                  <c:v>17.5</c:v>
                </c:pt>
                <c:pt idx="36">
                  <c:v>17.5</c:v>
                </c:pt>
                <c:pt idx="37">
                  <c:v>17.5</c:v>
                </c:pt>
                <c:pt idx="38">
                  <c:v>17.5</c:v>
                </c:pt>
                <c:pt idx="39">
                  <c:v>29.64</c:v>
                </c:pt>
                <c:pt idx="40">
                  <c:v>17.5</c:v>
                </c:pt>
                <c:pt idx="41">
                  <c:v>38.1</c:v>
                </c:pt>
                <c:pt idx="42">
                  <c:v>43.07</c:v>
                </c:pt>
                <c:pt idx="43">
                  <c:v>78.25</c:v>
                </c:pt>
                <c:pt idx="44">
                  <c:v>57.29</c:v>
                </c:pt>
                <c:pt idx="45">
                  <c:v>17.5</c:v>
                </c:pt>
                <c:pt idx="46">
                  <c:v>37.56</c:v>
                </c:pt>
                <c:pt idx="47">
                  <c:v>17.5</c:v>
                </c:pt>
                <c:pt idx="48">
                  <c:v>17.5</c:v>
                </c:pt>
                <c:pt idx="49">
                  <c:v>17.5</c:v>
                </c:pt>
                <c:pt idx="50">
                  <c:v>17.5</c:v>
                </c:pt>
                <c:pt idx="51">
                  <c:v>49.93</c:v>
                </c:pt>
                <c:pt idx="52">
                  <c:v>49.76</c:v>
                </c:pt>
                <c:pt idx="53">
                  <c:v>48.31</c:v>
                </c:pt>
                <c:pt idx="54">
                  <c:v>17.5</c:v>
                </c:pt>
                <c:pt idx="55">
                  <c:v>20.66</c:v>
                </c:pt>
                <c:pt idx="56">
                  <c:v>79.260000000000005</c:v>
                </c:pt>
                <c:pt idx="57">
                  <c:v>52.68</c:v>
                </c:pt>
                <c:pt idx="58">
                  <c:v>48.84</c:v>
                </c:pt>
                <c:pt idx="59">
                  <c:v>39.83</c:v>
                </c:pt>
                <c:pt idx="60">
                  <c:v>68.290000000000006</c:v>
                </c:pt>
                <c:pt idx="61">
                  <c:v>17.5</c:v>
                </c:pt>
                <c:pt idx="62">
                  <c:v>65.37</c:v>
                </c:pt>
                <c:pt idx="63">
                  <c:v>55.64</c:v>
                </c:pt>
                <c:pt idx="64">
                  <c:v>17.5</c:v>
                </c:pt>
                <c:pt idx="65">
                  <c:v>45.4</c:v>
                </c:pt>
                <c:pt idx="66">
                  <c:v>17.5</c:v>
                </c:pt>
                <c:pt idx="67">
                  <c:v>21.49</c:v>
                </c:pt>
                <c:pt idx="68">
                  <c:v>17.5</c:v>
                </c:pt>
                <c:pt idx="69">
                  <c:v>47.03</c:v>
                </c:pt>
                <c:pt idx="70">
                  <c:v>17.5</c:v>
                </c:pt>
                <c:pt idx="71">
                  <c:v>17.5</c:v>
                </c:pt>
                <c:pt idx="72">
                  <c:v>17.5</c:v>
                </c:pt>
                <c:pt idx="73">
                  <c:v>17.5</c:v>
                </c:pt>
                <c:pt idx="74">
                  <c:v>17.5</c:v>
                </c:pt>
                <c:pt idx="75">
                  <c:v>51.85</c:v>
                </c:pt>
                <c:pt idx="76">
                  <c:v>47.58</c:v>
                </c:pt>
                <c:pt idx="77">
                  <c:v>17.5</c:v>
                </c:pt>
                <c:pt idx="78">
                  <c:v>44.16</c:v>
                </c:pt>
                <c:pt idx="79">
                  <c:v>61.31</c:v>
                </c:pt>
                <c:pt idx="80">
                  <c:v>17.93</c:v>
                </c:pt>
                <c:pt idx="81">
                  <c:v>17.5</c:v>
                </c:pt>
                <c:pt idx="82">
                  <c:v>46.38</c:v>
                </c:pt>
                <c:pt idx="83">
                  <c:v>52.52</c:v>
                </c:pt>
                <c:pt idx="84">
                  <c:v>17.5</c:v>
                </c:pt>
                <c:pt idx="85">
                  <c:v>37.08</c:v>
                </c:pt>
                <c:pt idx="86">
                  <c:v>40.36</c:v>
                </c:pt>
                <c:pt idx="87">
                  <c:v>23.85</c:v>
                </c:pt>
                <c:pt idx="88">
                  <c:v>17.5</c:v>
                </c:pt>
                <c:pt idx="89">
                  <c:v>17.5</c:v>
                </c:pt>
                <c:pt idx="90">
                  <c:v>17.5</c:v>
                </c:pt>
                <c:pt idx="91">
                  <c:v>17.5</c:v>
                </c:pt>
                <c:pt idx="92">
                  <c:v>68.790000000000006</c:v>
                </c:pt>
                <c:pt idx="93">
                  <c:v>38.729999999999997</c:v>
                </c:pt>
                <c:pt idx="94">
                  <c:v>75.08</c:v>
                </c:pt>
                <c:pt idx="95">
                  <c:v>17.5</c:v>
                </c:pt>
                <c:pt idx="96">
                  <c:v>74.67</c:v>
                </c:pt>
                <c:pt idx="97">
                  <c:v>44.37</c:v>
                </c:pt>
                <c:pt idx="98">
                  <c:v>17.5</c:v>
                </c:pt>
                <c:pt idx="99">
                  <c:v>38.64</c:v>
                </c:pt>
                <c:pt idx="100">
                  <c:v>34.64</c:v>
                </c:pt>
                <c:pt idx="101">
                  <c:v>33.340000000000003</c:v>
                </c:pt>
                <c:pt idx="102">
                  <c:v>67.87</c:v>
                </c:pt>
                <c:pt idx="103">
                  <c:v>17.5</c:v>
                </c:pt>
                <c:pt idx="104">
                  <c:v>27.17</c:v>
                </c:pt>
                <c:pt idx="105">
                  <c:v>39.75</c:v>
                </c:pt>
                <c:pt idx="106">
                  <c:v>17.5</c:v>
                </c:pt>
                <c:pt idx="107">
                  <c:v>33.479999999999997</c:v>
                </c:pt>
                <c:pt idx="108">
                  <c:v>17.5</c:v>
                </c:pt>
                <c:pt idx="109">
                  <c:v>34.26</c:v>
                </c:pt>
                <c:pt idx="110">
                  <c:v>38.64</c:v>
                </c:pt>
                <c:pt idx="111">
                  <c:v>25.87</c:v>
                </c:pt>
                <c:pt idx="112">
                  <c:v>17.5</c:v>
                </c:pt>
                <c:pt idx="113">
                  <c:v>54.16</c:v>
                </c:pt>
                <c:pt idx="114">
                  <c:v>17.5</c:v>
                </c:pt>
                <c:pt idx="115">
                  <c:v>32.58</c:v>
                </c:pt>
                <c:pt idx="116">
                  <c:v>17.5</c:v>
                </c:pt>
                <c:pt idx="117">
                  <c:v>47.69</c:v>
                </c:pt>
                <c:pt idx="118">
                  <c:v>17.5</c:v>
                </c:pt>
                <c:pt idx="119">
                  <c:v>24.58</c:v>
                </c:pt>
                <c:pt idx="120">
                  <c:v>17.5</c:v>
                </c:pt>
                <c:pt idx="121">
                  <c:v>20.62</c:v>
                </c:pt>
                <c:pt idx="122">
                  <c:v>45.09</c:v>
                </c:pt>
                <c:pt idx="123">
                  <c:v>64.010000000000005</c:v>
                </c:pt>
                <c:pt idx="124">
                  <c:v>17.5</c:v>
                </c:pt>
                <c:pt idx="125">
                  <c:v>17.5</c:v>
                </c:pt>
                <c:pt idx="126">
                  <c:v>17.5</c:v>
                </c:pt>
                <c:pt idx="127">
                  <c:v>57.49</c:v>
                </c:pt>
                <c:pt idx="128">
                  <c:v>23.43</c:v>
                </c:pt>
                <c:pt idx="129">
                  <c:v>57.65</c:v>
                </c:pt>
                <c:pt idx="130">
                  <c:v>17.5</c:v>
                </c:pt>
                <c:pt idx="131">
                  <c:v>17.61</c:v>
                </c:pt>
                <c:pt idx="132">
                  <c:v>43.63</c:v>
                </c:pt>
                <c:pt idx="133">
                  <c:v>41.25</c:v>
                </c:pt>
                <c:pt idx="134">
                  <c:v>42.76</c:v>
                </c:pt>
                <c:pt idx="135">
                  <c:v>26.42</c:v>
                </c:pt>
                <c:pt idx="136">
                  <c:v>79.900000000000006</c:v>
                </c:pt>
                <c:pt idx="137">
                  <c:v>44.99</c:v>
                </c:pt>
                <c:pt idx="138">
                  <c:v>17.5</c:v>
                </c:pt>
                <c:pt idx="139">
                  <c:v>47.65</c:v>
                </c:pt>
                <c:pt idx="140">
                  <c:v>40.380000000000003</c:v>
                </c:pt>
                <c:pt idx="141">
                  <c:v>17.5</c:v>
                </c:pt>
                <c:pt idx="142">
                  <c:v>47.74</c:v>
                </c:pt>
                <c:pt idx="143">
                  <c:v>17.5</c:v>
                </c:pt>
                <c:pt idx="144">
                  <c:v>38.11</c:v>
                </c:pt>
                <c:pt idx="145">
                  <c:v>34.33</c:v>
                </c:pt>
                <c:pt idx="146">
                  <c:v>31.23</c:v>
                </c:pt>
                <c:pt idx="147">
                  <c:v>40.520000000000003</c:v>
                </c:pt>
                <c:pt idx="148">
                  <c:v>86.54</c:v>
                </c:pt>
                <c:pt idx="149">
                  <c:v>17.5</c:v>
                </c:pt>
                <c:pt idx="150">
                  <c:v>52.55</c:v>
                </c:pt>
                <c:pt idx="151">
                  <c:v>17.5</c:v>
                </c:pt>
                <c:pt idx="152">
                  <c:v>60.13</c:v>
                </c:pt>
                <c:pt idx="153">
                  <c:v>17.5</c:v>
                </c:pt>
                <c:pt idx="154">
                  <c:v>17.5</c:v>
                </c:pt>
                <c:pt idx="155">
                  <c:v>17.5</c:v>
                </c:pt>
                <c:pt idx="156">
                  <c:v>17.5</c:v>
                </c:pt>
                <c:pt idx="157">
                  <c:v>18.55</c:v>
                </c:pt>
                <c:pt idx="158">
                  <c:v>17.5</c:v>
                </c:pt>
                <c:pt idx="159">
                  <c:v>74.040000000000006</c:v>
                </c:pt>
                <c:pt idx="160">
                  <c:v>43.5</c:v>
                </c:pt>
                <c:pt idx="161">
                  <c:v>44.27</c:v>
                </c:pt>
                <c:pt idx="162">
                  <c:v>75.58</c:v>
                </c:pt>
                <c:pt idx="163">
                  <c:v>17.5</c:v>
                </c:pt>
                <c:pt idx="164">
                  <c:v>51.77</c:v>
                </c:pt>
                <c:pt idx="165">
                  <c:v>17.5</c:v>
                </c:pt>
                <c:pt idx="166">
                  <c:v>32.69</c:v>
                </c:pt>
                <c:pt idx="167">
                  <c:v>17.5</c:v>
                </c:pt>
                <c:pt idx="168">
                  <c:v>17.5</c:v>
                </c:pt>
                <c:pt idx="169">
                  <c:v>41.32</c:v>
                </c:pt>
                <c:pt idx="170">
                  <c:v>17.55</c:v>
                </c:pt>
                <c:pt idx="171">
                  <c:v>17.5</c:v>
                </c:pt>
                <c:pt idx="172">
                  <c:v>17.5</c:v>
                </c:pt>
                <c:pt idx="173">
                  <c:v>33.659999999999997</c:v>
                </c:pt>
                <c:pt idx="174">
                  <c:v>17.5</c:v>
                </c:pt>
                <c:pt idx="175">
                  <c:v>17.5</c:v>
                </c:pt>
                <c:pt idx="176">
                  <c:v>32.17</c:v>
                </c:pt>
                <c:pt idx="177">
                  <c:v>17.5</c:v>
                </c:pt>
                <c:pt idx="178">
                  <c:v>26.61</c:v>
                </c:pt>
                <c:pt idx="179">
                  <c:v>36.99</c:v>
                </c:pt>
                <c:pt idx="180">
                  <c:v>53.64</c:v>
                </c:pt>
                <c:pt idx="181">
                  <c:v>47.2</c:v>
                </c:pt>
                <c:pt idx="182">
                  <c:v>17.5</c:v>
                </c:pt>
                <c:pt idx="183">
                  <c:v>17.5</c:v>
                </c:pt>
                <c:pt idx="184">
                  <c:v>50.11</c:v>
                </c:pt>
                <c:pt idx="185">
                  <c:v>40.47</c:v>
                </c:pt>
                <c:pt idx="186">
                  <c:v>28.59</c:v>
                </c:pt>
                <c:pt idx="187">
                  <c:v>56.71</c:v>
                </c:pt>
                <c:pt idx="188">
                  <c:v>17.5</c:v>
                </c:pt>
                <c:pt idx="189">
                  <c:v>38.549999999999997</c:v>
                </c:pt>
                <c:pt idx="190">
                  <c:v>46.75</c:v>
                </c:pt>
                <c:pt idx="191">
                  <c:v>49.71</c:v>
                </c:pt>
                <c:pt idx="192">
                  <c:v>17.5</c:v>
                </c:pt>
                <c:pt idx="193">
                  <c:v>17.5</c:v>
                </c:pt>
                <c:pt idx="194">
                  <c:v>17.5</c:v>
                </c:pt>
                <c:pt idx="195">
                  <c:v>17.5</c:v>
                </c:pt>
                <c:pt idx="196">
                  <c:v>17.5</c:v>
                </c:pt>
                <c:pt idx="197">
                  <c:v>17.5</c:v>
                </c:pt>
                <c:pt idx="198">
                  <c:v>17.5</c:v>
                </c:pt>
                <c:pt idx="199">
                  <c:v>21.77</c:v>
                </c:pt>
                <c:pt idx="200">
                  <c:v>78.31</c:v>
                </c:pt>
                <c:pt idx="201">
                  <c:v>44.27</c:v>
                </c:pt>
                <c:pt idx="202">
                  <c:v>17.5</c:v>
                </c:pt>
                <c:pt idx="203">
                  <c:v>17.5</c:v>
                </c:pt>
                <c:pt idx="204">
                  <c:v>17.5</c:v>
                </c:pt>
                <c:pt idx="205">
                  <c:v>45.72</c:v>
                </c:pt>
                <c:pt idx="206">
                  <c:v>17.5</c:v>
                </c:pt>
                <c:pt idx="207">
                  <c:v>17.5</c:v>
                </c:pt>
                <c:pt idx="208">
                  <c:v>70.55</c:v>
                </c:pt>
                <c:pt idx="209">
                  <c:v>17.5</c:v>
                </c:pt>
                <c:pt idx="210">
                  <c:v>17.5</c:v>
                </c:pt>
                <c:pt idx="211">
                  <c:v>38.47</c:v>
                </c:pt>
                <c:pt idx="212">
                  <c:v>17.5</c:v>
                </c:pt>
                <c:pt idx="213">
                  <c:v>50.01</c:v>
                </c:pt>
                <c:pt idx="214">
                  <c:v>55.02</c:v>
                </c:pt>
                <c:pt idx="215">
                  <c:v>28.19</c:v>
                </c:pt>
                <c:pt idx="216">
                  <c:v>17.5</c:v>
                </c:pt>
                <c:pt idx="217">
                  <c:v>34.57</c:v>
                </c:pt>
                <c:pt idx="218">
                  <c:v>17.5</c:v>
                </c:pt>
                <c:pt idx="219">
                  <c:v>17.5</c:v>
                </c:pt>
                <c:pt idx="220">
                  <c:v>17.5</c:v>
                </c:pt>
                <c:pt idx="221">
                  <c:v>38.619999999999997</c:v>
                </c:pt>
                <c:pt idx="222">
                  <c:v>72.430000000000007</c:v>
                </c:pt>
                <c:pt idx="223">
                  <c:v>17.5</c:v>
                </c:pt>
                <c:pt idx="224">
                  <c:v>17.5</c:v>
                </c:pt>
                <c:pt idx="225">
                  <c:v>52.37</c:v>
                </c:pt>
                <c:pt idx="226">
                  <c:v>58.99</c:v>
                </c:pt>
                <c:pt idx="227">
                  <c:v>38.9</c:v>
                </c:pt>
                <c:pt idx="228">
                  <c:v>28.77</c:v>
                </c:pt>
                <c:pt idx="229">
                  <c:v>17.5</c:v>
                </c:pt>
                <c:pt idx="230">
                  <c:v>37.06</c:v>
                </c:pt>
                <c:pt idx="231">
                  <c:v>43.79</c:v>
                </c:pt>
                <c:pt idx="232">
                  <c:v>56.18</c:v>
                </c:pt>
                <c:pt idx="233">
                  <c:v>20.39</c:v>
                </c:pt>
                <c:pt idx="234">
                  <c:v>51.69</c:v>
                </c:pt>
                <c:pt idx="235">
                  <c:v>59.26</c:v>
                </c:pt>
                <c:pt idx="236">
                  <c:v>29.15</c:v>
                </c:pt>
                <c:pt idx="237">
                  <c:v>29.11</c:v>
                </c:pt>
                <c:pt idx="238">
                  <c:v>29.62</c:v>
                </c:pt>
                <c:pt idx="239">
                  <c:v>28.71</c:v>
                </c:pt>
                <c:pt idx="240">
                  <c:v>17.5</c:v>
                </c:pt>
                <c:pt idx="241">
                  <c:v>17.5</c:v>
                </c:pt>
                <c:pt idx="242">
                  <c:v>22.56</c:v>
                </c:pt>
                <c:pt idx="243">
                  <c:v>44.04</c:v>
                </c:pt>
                <c:pt idx="244">
                  <c:v>39.53</c:v>
                </c:pt>
                <c:pt idx="245">
                  <c:v>17.5</c:v>
                </c:pt>
                <c:pt idx="246">
                  <c:v>24.49</c:v>
                </c:pt>
                <c:pt idx="247">
                  <c:v>63.39</c:v>
                </c:pt>
                <c:pt idx="248">
                  <c:v>17.5</c:v>
                </c:pt>
                <c:pt idx="249">
                  <c:v>37.79</c:v>
                </c:pt>
                <c:pt idx="250">
                  <c:v>50.82</c:v>
                </c:pt>
                <c:pt idx="251">
                  <c:v>17.5</c:v>
                </c:pt>
                <c:pt idx="252">
                  <c:v>17.5</c:v>
                </c:pt>
                <c:pt idx="253">
                  <c:v>17.5</c:v>
                </c:pt>
                <c:pt idx="254">
                  <c:v>44.72</c:v>
                </c:pt>
                <c:pt idx="255">
                  <c:v>61.62</c:v>
                </c:pt>
                <c:pt idx="256">
                  <c:v>55.22</c:v>
                </c:pt>
                <c:pt idx="257">
                  <c:v>38.79</c:v>
                </c:pt>
                <c:pt idx="258">
                  <c:v>17.5</c:v>
                </c:pt>
                <c:pt idx="259">
                  <c:v>17.5</c:v>
                </c:pt>
                <c:pt idx="260">
                  <c:v>17.5</c:v>
                </c:pt>
                <c:pt idx="261">
                  <c:v>17.5</c:v>
                </c:pt>
                <c:pt idx="262">
                  <c:v>50.46</c:v>
                </c:pt>
                <c:pt idx="263">
                  <c:v>17.5</c:v>
                </c:pt>
                <c:pt idx="264">
                  <c:v>24.44</c:v>
                </c:pt>
                <c:pt idx="265">
                  <c:v>17.5</c:v>
                </c:pt>
                <c:pt idx="266">
                  <c:v>17.5</c:v>
                </c:pt>
                <c:pt idx="267">
                  <c:v>24</c:v>
                </c:pt>
                <c:pt idx="268">
                  <c:v>17.5</c:v>
                </c:pt>
                <c:pt idx="269">
                  <c:v>43.02</c:v>
                </c:pt>
                <c:pt idx="270">
                  <c:v>20.11</c:v>
                </c:pt>
                <c:pt idx="271">
                  <c:v>41.44</c:v>
                </c:pt>
                <c:pt idx="272">
                  <c:v>44.74</c:v>
                </c:pt>
                <c:pt idx="273">
                  <c:v>17.5</c:v>
                </c:pt>
                <c:pt idx="274">
                  <c:v>35.76</c:v>
                </c:pt>
                <c:pt idx="275">
                  <c:v>17.5</c:v>
                </c:pt>
                <c:pt idx="276">
                  <c:v>74.63</c:v>
                </c:pt>
                <c:pt idx="277">
                  <c:v>34.75</c:v>
                </c:pt>
                <c:pt idx="278">
                  <c:v>35.19</c:v>
                </c:pt>
                <c:pt idx="279">
                  <c:v>54.78</c:v>
                </c:pt>
                <c:pt idx="280">
                  <c:v>84.29</c:v>
                </c:pt>
                <c:pt idx="281">
                  <c:v>24.56</c:v>
                </c:pt>
                <c:pt idx="282">
                  <c:v>17.5</c:v>
                </c:pt>
                <c:pt idx="283">
                  <c:v>17.5</c:v>
                </c:pt>
                <c:pt idx="284">
                  <c:v>38.35</c:v>
                </c:pt>
                <c:pt idx="285">
                  <c:v>17.5</c:v>
                </c:pt>
                <c:pt idx="286">
                  <c:v>42.73</c:v>
                </c:pt>
                <c:pt idx="287">
                  <c:v>17.5</c:v>
                </c:pt>
                <c:pt idx="288">
                  <c:v>24.49</c:v>
                </c:pt>
                <c:pt idx="289">
                  <c:v>28.22</c:v>
                </c:pt>
                <c:pt idx="290">
                  <c:v>17.5</c:v>
                </c:pt>
                <c:pt idx="291">
                  <c:v>36.270000000000003</c:v>
                </c:pt>
                <c:pt idx="292">
                  <c:v>64.12</c:v>
                </c:pt>
                <c:pt idx="293">
                  <c:v>61.8</c:v>
                </c:pt>
                <c:pt idx="294">
                  <c:v>20.68</c:v>
                </c:pt>
                <c:pt idx="295">
                  <c:v>17.5</c:v>
                </c:pt>
                <c:pt idx="296">
                  <c:v>17.5</c:v>
                </c:pt>
                <c:pt idx="297">
                  <c:v>17.5</c:v>
                </c:pt>
                <c:pt idx="298">
                  <c:v>46.86</c:v>
                </c:pt>
                <c:pt idx="299">
                  <c:v>17.5</c:v>
                </c:pt>
                <c:pt idx="300">
                  <c:v>30.71</c:v>
                </c:pt>
                <c:pt idx="301">
                  <c:v>17.5</c:v>
                </c:pt>
                <c:pt idx="302">
                  <c:v>29.19</c:v>
                </c:pt>
                <c:pt idx="303">
                  <c:v>40.32</c:v>
                </c:pt>
                <c:pt idx="304">
                  <c:v>17.5</c:v>
                </c:pt>
                <c:pt idx="305">
                  <c:v>62.87</c:v>
                </c:pt>
                <c:pt idx="306">
                  <c:v>17.5</c:v>
                </c:pt>
                <c:pt idx="307">
                  <c:v>17.5</c:v>
                </c:pt>
                <c:pt idx="308">
                  <c:v>65.23</c:v>
                </c:pt>
                <c:pt idx="309">
                  <c:v>43.95</c:v>
                </c:pt>
                <c:pt idx="310">
                  <c:v>73.08</c:v>
                </c:pt>
                <c:pt idx="311">
                  <c:v>45.66</c:v>
                </c:pt>
                <c:pt idx="312">
                  <c:v>17.5</c:v>
                </c:pt>
                <c:pt idx="313">
                  <c:v>17.5</c:v>
                </c:pt>
                <c:pt idx="314">
                  <c:v>17.5</c:v>
                </c:pt>
                <c:pt idx="315">
                  <c:v>54.91</c:v>
                </c:pt>
                <c:pt idx="316">
                  <c:v>17.5</c:v>
                </c:pt>
                <c:pt idx="317">
                  <c:v>17.5</c:v>
                </c:pt>
                <c:pt idx="318">
                  <c:v>50.39</c:v>
                </c:pt>
                <c:pt idx="319">
                  <c:v>17.5</c:v>
                </c:pt>
                <c:pt idx="320">
                  <c:v>21.5</c:v>
                </c:pt>
                <c:pt idx="321">
                  <c:v>24.44</c:v>
                </c:pt>
                <c:pt idx="322">
                  <c:v>34.54</c:v>
                </c:pt>
                <c:pt idx="323">
                  <c:v>50.11</c:v>
                </c:pt>
                <c:pt idx="324">
                  <c:v>56.74</c:v>
                </c:pt>
                <c:pt idx="325">
                  <c:v>24.31</c:v>
                </c:pt>
                <c:pt idx="326">
                  <c:v>29.88</c:v>
                </c:pt>
                <c:pt idx="327">
                  <c:v>40.24</c:v>
                </c:pt>
                <c:pt idx="328">
                  <c:v>17.5</c:v>
                </c:pt>
                <c:pt idx="329">
                  <c:v>17.5</c:v>
                </c:pt>
                <c:pt idx="330">
                  <c:v>17.5</c:v>
                </c:pt>
                <c:pt idx="331">
                  <c:v>56.17</c:v>
                </c:pt>
                <c:pt idx="332">
                  <c:v>17.5</c:v>
                </c:pt>
                <c:pt idx="333">
                  <c:v>17.5</c:v>
                </c:pt>
                <c:pt idx="334">
                  <c:v>17.5</c:v>
                </c:pt>
                <c:pt idx="335">
                  <c:v>27.52</c:v>
                </c:pt>
                <c:pt idx="336">
                  <c:v>17.5</c:v>
                </c:pt>
                <c:pt idx="337">
                  <c:v>54.72</c:v>
                </c:pt>
                <c:pt idx="338">
                  <c:v>31.88</c:v>
                </c:pt>
                <c:pt idx="339">
                  <c:v>26.47</c:v>
                </c:pt>
                <c:pt idx="340">
                  <c:v>17.5</c:v>
                </c:pt>
                <c:pt idx="341">
                  <c:v>25.67</c:v>
                </c:pt>
                <c:pt idx="342">
                  <c:v>67.63</c:v>
                </c:pt>
                <c:pt idx="343">
                  <c:v>17.5</c:v>
                </c:pt>
                <c:pt idx="344">
                  <c:v>17.5</c:v>
                </c:pt>
                <c:pt idx="345">
                  <c:v>29.73</c:v>
                </c:pt>
                <c:pt idx="346">
                  <c:v>17.5</c:v>
                </c:pt>
                <c:pt idx="347">
                  <c:v>71.7</c:v>
                </c:pt>
                <c:pt idx="348">
                  <c:v>17.5</c:v>
                </c:pt>
                <c:pt idx="349">
                  <c:v>17.5</c:v>
                </c:pt>
                <c:pt idx="350">
                  <c:v>17.5</c:v>
                </c:pt>
                <c:pt idx="351">
                  <c:v>17.5</c:v>
                </c:pt>
                <c:pt idx="352">
                  <c:v>21.41</c:v>
                </c:pt>
                <c:pt idx="353">
                  <c:v>63.21</c:v>
                </c:pt>
                <c:pt idx="354">
                  <c:v>26.54</c:v>
                </c:pt>
                <c:pt idx="355">
                  <c:v>47.55</c:v>
                </c:pt>
                <c:pt idx="356">
                  <c:v>68.38</c:v>
                </c:pt>
                <c:pt idx="357">
                  <c:v>37.11</c:v>
                </c:pt>
                <c:pt idx="358">
                  <c:v>17.5</c:v>
                </c:pt>
                <c:pt idx="359">
                  <c:v>17.5</c:v>
                </c:pt>
                <c:pt idx="360">
                  <c:v>53.3</c:v>
                </c:pt>
                <c:pt idx="361">
                  <c:v>38.67</c:v>
                </c:pt>
                <c:pt idx="362">
                  <c:v>36.75</c:v>
                </c:pt>
                <c:pt idx="363">
                  <c:v>36.35</c:v>
                </c:pt>
                <c:pt idx="364">
                  <c:v>17.5</c:v>
                </c:pt>
                <c:pt idx="365">
                  <c:v>17.5</c:v>
                </c:pt>
                <c:pt idx="366">
                  <c:v>35.97</c:v>
                </c:pt>
                <c:pt idx="367">
                  <c:v>17.5</c:v>
                </c:pt>
                <c:pt idx="368">
                  <c:v>54.47</c:v>
                </c:pt>
                <c:pt idx="369">
                  <c:v>17.5</c:v>
                </c:pt>
                <c:pt idx="370">
                  <c:v>17.5</c:v>
                </c:pt>
                <c:pt idx="371">
                  <c:v>33.9</c:v>
                </c:pt>
                <c:pt idx="372">
                  <c:v>19.850000000000001</c:v>
                </c:pt>
                <c:pt idx="373">
                  <c:v>44.36</c:v>
                </c:pt>
                <c:pt idx="374">
                  <c:v>17.600000000000001</c:v>
                </c:pt>
                <c:pt idx="375">
                  <c:v>48.3</c:v>
                </c:pt>
                <c:pt idx="376">
                  <c:v>17.5</c:v>
                </c:pt>
                <c:pt idx="377">
                  <c:v>30.17</c:v>
                </c:pt>
                <c:pt idx="378">
                  <c:v>33.78</c:v>
                </c:pt>
                <c:pt idx="379">
                  <c:v>44.55</c:v>
                </c:pt>
                <c:pt idx="380">
                  <c:v>20.54</c:v>
                </c:pt>
                <c:pt idx="381">
                  <c:v>17.5</c:v>
                </c:pt>
                <c:pt idx="382">
                  <c:v>17.5</c:v>
                </c:pt>
                <c:pt idx="383">
                  <c:v>17.5</c:v>
                </c:pt>
                <c:pt idx="384">
                  <c:v>17.5</c:v>
                </c:pt>
                <c:pt idx="385">
                  <c:v>28.05</c:v>
                </c:pt>
                <c:pt idx="386">
                  <c:v>17.5</c:v>
                </c:pt>
                <c:pt idx="387">
                  <c:v>26.25</c:v>
                </c:pt>
                <c:pt idx="388">
                  <c:v>36.01</c:v>
                </c:pt>
                <c:pt idx="389">
                  <c:v>60.09</c:v>
                </c:pt>
                <c:pt idx="390">
                  <c:v>21.64</c:v>
                </c:pt>
                <c:pt idx="391">
                  <c:v>48.2</c:v>
                </c:pt>
                <c:pt idx="392">
                  <c:v>17.5</c:v>
                </c:pt>
                <c:pt idx="393">
                  <c:v>45.38</c:v>
                </c:pt>
                <c:pt idx="394">
                  <c:v>24.87</c:v>
                </c:pt>
                <c:pt idx="395">
                  <c:v>30.19</c:v>
                </c:pt>
                <c:pt idx="396">
                  <c:v>36.590000000000003</c:v>
                </c:pt>
                <c:pt idx="397">
                  <c:v>53.42</c:v>
                </c:pt>
                <c:pt idx="398">
                  <c:v>64.790000000000006</c:v>
                </c:pt>
                <c:pt idx="399">
                  <c:v>40</c:v>
                </c:pt>
                <c:pt idx="400">
                  <c:v>46.22</c:v>
                </c:pt>
                <c:pt idx="401">
                  <c:v>17.5</c:v>
                </c:pt>
                <c:pt idx="402">
                  <c:v>33.47</c:v>
                </c:pt>
                <c:pt idx="403">
                  <c:v>54.36</c:v>
                </c:pt>
                <c:pt idx="404">
                  <c:v>46.56</c:v>
                </c:pt>
                <c:pt idx="405">
                  <c:v>17.5</c:v>
                </c:pt>
                <c:pt idx="406">
                  <c:v>17.5</c:v>
                </c:pt>
                <c:pt idx="407">
                  <c:v>40.11</c:v>
                </c:pt>
                <c:pt idx="408">
                  <c:v>64.3</c:v>
                </c:pt>
                <c:pt idx="409">
                  <c:v>50.82</c:v>
                </c:pt>
                <c:pt idx="410">
                  <c:v>36.96</c:v>
                </c:pt>
                <c:pt idx="411">
                  <c:v>40.98</c:v>
                </c:pt>
                <c:pt idx="412">
                  <c:v>32.74</c:v>
                </c:pt>
                <c:pt idx="413">
                  <c:v>52.12</c:v>
                </c:pt>
                <c:pt idx="414">
                  <c:v>17.510000000000002</c:v>
                </c:pt>
                <c:pt idx="415">
                  <c:v>24.45</c:v>
                </c:pt>
                <c:pt idx="416">
                  <c:v>45.87</c:v>
                </c:pt>
                <c:pt idx="417">
                  <c:v>64.040000000000006</c:v>
                </c:pt>
                <c:pt idx="418">
                  <c:v>77.040000000000006</c:v>
                </c:pt>
                <c:pt idx="419">
                  <c:v>66.28</c:v>
                </c:pt>
                <c:pt idx="420">
                  <c:v>65.42</c:v>
                </c:pt>
                <c:pt idx="421">
                  <c:v>33.82</c:v>
                </c:pt>
                <c:pt idx="422">
                  <c:v>19.57</c:v>
                </c:pt>
                <c:pt idx="423">
                  <c:v>59.61</c:v>
                </c:pt>
                <c:pt idx="424">
                  <c:v>61.56</c:v>
                </c:pt>
                <c:pt idx="425">
                  <c:v>32.81</c:v>
                </c:pt>
                <c:pt idx="426">
                  <c:v>42.83</c:v>
                </c:pt>
                <c:pt idx="427">
                  <c:v>39.049999999999997</c:v>
                </c:pt>
                <c:pt idx="428">
                  <c:v>56.83</c:v>
                </c:pt>
                <c:pt idx="429">
                  <c:v>24.87</c:v>
                </c:pt>
                <c:pt idx="430">
                  <c:v>62.22</c:v>
                </c:pt>
                <c:pt idx="431">
                  <c:v>41.39</c:v>
                </c:pt>
                <c:pt idx="432">
                  <c:v>56.31</c:v>
                </c:pt>
                <c:pt idx="433">
                  <c:v>31.79</c:v>
                </c:pt>
                <c:pt idx="434">
                  <c:v>26.39</c:v>
                </c:pt>
                <c:pt idx="435">
                  <c:v>46.93</c:v>
                </c:pt>
                <c:pt idx="436">
                  <c:v>45.31</c:v>
                </c:pt>
                <c:pt idx="437">
                  <c:v>25.66</c:v>
                </c:pt>
              </c:numCache>
            </c:numRef>
          </c:yVal>
          <c:smooth val="0"/>
        </c:ser>
        <c:ser>
          <c:idx val="2"/>
          <c:order val="2"/>
          <c:tx>
            <c:v>Ch 70 Aid %</c:v>
          </c:tx>
          <c:spPr>
            <a:ln w="28575">
              <a:noFill/>
            </a:ln>
          </c:spPr>
          <c:marker>
            <c:symbol val="circle"/>
            <c:size val="6"/>
            <c:spPr>
              <a:noFill/>
              <a:ln w="15875">
                <a:solidFill>
                  <a:schemeClr val="accent6">
                    <a:lumMod val="50000"/>
                  </a:schemeClr>
                </a:solidFill>
              </a:ln>
            </c:spPr>
          </c:marker>
          <c:xVal>
            <c:numRef>
              <c:f>'Aid436'!$J$10:$J$447</c:f>
              <c:numCache>
                <c:formatCode>0.00</c:formatCode>
                <c:ptCount val="438"/>
                <c:pt idx="0">
                  <c:v>34.75</c:v>
                </c:pt>
                <c:pt idx="1">
                  <c:v>22.12</c:v>
                </c:pt>
                <c:pt idx="2">
                  <c:v>41.83</c:v>
                </c:pt>
                <c:pt idx="3">
                  <c:v>67.260000000000005</c:v>
                </c:pt>
                <c:pt idx="4">
                  <c:v>46.07</c:v>
                </c:pt>
                <c:pt idx="5">
                  <c:v>17.5</c:v>
                </c:pt>
                <c:pt idx="6">
                  <c:v>34.17</c:v>
                </c:pt>
                <c:pt idx="7">
                  <c:v>26.15</c:v>
                </c:pt>
                <c:pt idx="8">
                  <c:v>17.5</c:v>
                </c:pt>
                <c:pt idx="9">
                  <c:v>17.5</c:v>
                </c:pt>
                <c:pt idx="10">
                  <c:v>55.62</c:v>
                </c:pt>
                <c:pt idx="11">
                  <c:v>47.09</c:v>
                </c:pt>
                <c:pt idx="12">
                  <c:v>22.82</c:v>
                </c:pt>
                <c:pt idx="13">
                  <c:v>22.29</c:v>
                </c:pt>
                <c:pt idx="14">
                  <c:v>70.27</c:v>
                </c:pt>
                <c:pt idx="15">
                  <c:v>51.15</c:v>
                </c:pt>
                <c:pt idx="16">
                  <c:v>42.4</c:v>
                </c:pt>
                <c:pt idx="17">
                  <c:v>25.25</c:v>
                </c:pt>
                <c:pt idx="18">
                  <c:v>32.549999999999997</c:v>
                </c:pt>
                <c:pt idx="19">
                  <c:v>17.5</c:v>
                </c:pt>
                <c:pt idx="20">
                  <c:v>58.56</c:v>
                </c:pt>
                <c:pt idx="21">
                  <c:v>17.5</c:v>
                </c:pt>
                <c:pt idx="22">
                  <c:v>17.5</c:v>
                </c:pt>
                <c:pt idx="23">
                  <c:v>52.23</c:v>
                </c:pt>
                <c:pt idx="24">
                  <c:v>33.450000000000003</c:v>
                </c:pt>
                <c:pt idx="25">
                  <c:v>17.5</c:v>
                </c:pt>
                <c:pt idx="26">
                  <c:v>49.97</c:v>
                </c:pt>
                <c:pt idx="27">
                  <c:v>17.5</c:v>
                </c:pt>
                <c:pt idx="28">
                  <c:v>48.28</c:v>
                </c:pt>
                <c:pt idx="29">
                  <c:v>17.5</c:v>
                </c:pt>
                <c:pt idx="30">
                  <c:v>28.33</c:v>
                </c:pt>
                <c:pt idx="31">
                  <c:v>52.04</c:v>
                </c:pt>
                <c:pt idx="32">
                  <c:v>17.5</c:v>
                </c:pt>
                <c:pt idx="33">
                  <c:v>17.5</c:v>
                </c:pt>
                <c:pt idx="34">
                  <c:v>17.5</c:v>
                </c:pt>
                <c:pt idx="35">
                  <c:v>17.5</c:v>
                </c:pt>
                <c:pt idx="36">
                  <c:v>17.5</c:v>
                </c:pt>
                <c:pt idx="37">
                  <c:v>17.5</c:v>
                </c:pt>
                <c:pt idx="38">
                  <c:v>17.5</c:v>
                </c:pt>
                <c:pt idx="39">
                  <c:v>29.64</c:v>
                </c:pt>
                <c:pt idx="40">
                  <c:v>17.5</c:v>
                </c:pt>
                <c:pt idx="41">
                  <c:v>38.1</c:v>
                </c:pt>
                <c:pt idx="42">
                  <c:v>43.07</c:v>
                </c:pt>
                <c:pt idx="43">
                  <c:v>78.25</c:v>
                </c:pt>
                <c:pt idx="44">
                  <c:v>57.29</c:v>
                </c:pt>
                <c:pt idx="45">
                  <c:v>17.5</c:v>
                </c:pt>
                <c:pt idx="46">
                  <c:v>37.56</c:v>
                </c:pt>
                <c:pt idx="47">
                  <c:v>17.5</c:v>
                </c:pt>
                <c:pt idx="48">
                  <c:v>17.5</c:v>
                </c:pt>
                <c:pt idx="49">
                  <c:v>17.5</c:v>
                </c:pt>
                <c:pt idx="50">
                  <c:v>17.5</c:v>
                </c:pt>
                <c:pt idx="51">
                  <c:v>49.93</c:v>
                </c:pt>
                <c:pt idx="52">
                  <c:v>49.76</c:v>
                </c:pt>
                <c:pt idx="53">
                  <c:v>48.31</c:v>
                </c:pt>
                <c:pt idx="54">
                  <c:v>17.5</c:v>
                </c:pt>
                <c:pt idx="55">
                  <c:v>20.66</c:v>
                </c:pt>
                <c:pt idx="56">
                  <c:v>79.260000000000005</c:v>
                </c:pt>
                <c:pt idx="57">
                  <c:v>52.68</c:v>
                </c:pt>
                <c:pt idx="58">
                  <c:v>48.84</c:v>
                </c:pt>
                <c:pt idx="59">
                  <c:v>39.83</c:v>
                </c:pt>
                <c:pt idx="60">
                  <c:v>68.290000000000006</c:v>
                </c:pt>
                <c:pt idx="61">
                  <c:v>17.5</c:v>
                </c:pt>
                <c:pt idx="62">
                  <c:v>65.37</c:v>
                </c:pt>
                <c:pt idx="63">
                  <c:v>55.64</c:v>
                </c:pt>
                <c:pt idx="64">
                  <c:v>17.5</c:v>
                </c:pt>
                <c:pt idx="65">
                  <c:v>45.4</c:v>
                </c:pt>
                <c:pt idx="66">
                  <c:v>17.5</c:v>
                </c:pt>
                <c:pt idx="67">
                  <c:v>21.49</c:v>
                </c:pt>
                <c:pt idx="68">
                  <c:v>17.5</c:v>
                </c:pt>
                <c:pt idx="69">
                  <c:v>47.03</c:v>
                </c:pt>
                <c:pt idx="70">
                  <c:v>17.5</c:v>
                </c:pt>
                <c:pt idx="71">
                  <c:v>17.5</c:v>
                </c:pt>
                <c:pt idx="72">
                  <c:v>17.5</c:v>
                </c:pt>
                <c:pt idx="73">
                  <c:v>17.5</c:v>
                </c:pt>
                <c:pt idx="74">
                  <c:v>17.5</c:v>
                </c:pt>
                <c:pt idx="75">
                  <c:v>51.85</c:v>
                </c:pt>
                <c:pt idx="76">
                  <c:v>47.58</c:v>
                </c:pt>
                <c:pt idx="77">
                  <c:v>17.5</c:v>
                </c:pt>
                <c:pt idx="78">
                  <c:v>44.16</c:v>
                </c:pt>
                <c:pt idx="79">
                  <c:v>61.31</c:v>
                </c:pt>
                <c:pt idx="80">
                  <c:v>17.93</c:v>
                </c:pt>
                <c:pt idx="81">
                  <c:v>17.5</c:v>
                </c:pt>
                <c:pt idx="82">
                  <c:v>46.38</c:v>
                </c:pt>
                <c:pt idx="83">
                  <c:v>52.52</c:v>
                </c:pt>
                <c:pt idx="84">
                  <c:v>17.5</c:v>
                </c:pt>
                <c:pt idx="85">
                  <c:v>37.08</c:v>
                </c:pt>
                <c:pt idx="86">
                  <c:v>40.36</c:v>
                </c:pt>
                <c:pt idx="87">
                  <c:v>23.85</c:v>
                </c:pt>
                <c:pt idx="88">
                  <c:v>17.5</c:v>
                </c:pt>
                <c:pt idx="89">
                  <c:v>17.5</c:v>
                </c:pt>
                <c:pt idx="90">
                  <c:v>17.5</c:v>
                </c:pt>
                <c:pt idx="91">
                  <c:v>17.5</c:v>
                </c:pt>
                <c:pt idx="92">
                  <c:v>68.790000000000006</c:v>
                </c:pt>
                <c:pt idx="93">
                  <c:v>38.729999999999997</c:v>
                </c:pt>
                <c:pt idx="94">
                  <c:v>75.08</c:v>
                </c:pt>
                <c:pt idx="95">
                  <c:v>17.5</c:v>
                </c:pt>
                <c:pt idx="96">
                  <c:v>74.67</c:v>
                </c:pt>
                <c:pt idx="97">
                  <c:v>44.37</c:v>
                </c:pt>
                <c:pt idx="98">
                  <c:v>17.5</c:v>
                </c:pt>
                <c:pt idx="99">
                  <c:v>38.64</c:v>
                </c:pt>
                <c:pt idx="100">
                  <c:v>34.64</c:v>
                </c:pt>
                <c:pt idx="101">
                  <c:v>33.340000000000003</c:v>
                </c:pt>
                <c:pt idx="102">
                  <c:v>67.87</c:v>
                </c:pt>
                <c:pt idx="103">
                  <c:v>17.5</c:v>
                </c:pt>
                <c:pt idx="104">
                  <c:v>27.17</c:v>
                </c:pt>
                <c:pt idx="105">
                  <c:v>39.75</c:v>
                </c:pt>
                <c:pt idx="106">
                  <c:v>17.5</c:v>
                </c:pt>
                <c:pt idx="107">
                  <c:v>33.479999999999997</c:v>
                </c:pt>
                <c:pt idx="108">
                  <c:v>17.5</c:v>
                </c:pt>
                <c:pt idx="109">
                  <c:v>34.26</c:v>
                </c:pt>
                <c:pt idx="110">
                  <c:v>38.64</c:v>
                </c:pt>
                <c:pt idx="111">
                  <c:v>25.87</c:v>
                </c:pt>
                <c:pt idx="112">
                  <c:v>17.5</c:v>
                </c:pt>
                <c:pt idx="113">
                  <c:v>54.16</c:v>
                </c:pt>
                <c:pt idx="114">
                  <c:v>17.5</c:v>
                </c:pt>
                <c:pt idx="115">
                  <c:v>32.58</c:v>
                </c:pt>
                <c:pt idx="116">
                  <c:v>17.5</c:v>
                </c:pt>
                <c:pt idx="117">
                  <c:v>47.69</c:v>
                </c:pt>
                <c:pt idx="118">
                  <c:v>17.5</c:v>
                </c:pt>
                <c:pt idx="119">
                  <c:v>24.58</c:v>
                </c:pt>
                <c:pt idx="120">
                  <c:v>17.5</c:v>
                </c:pt>
                <c:pt idx="121">
                  <c:v>20.62</c:v>
                </c:pt>
                <c:pt idx="122">
                  <c:v>45.09</c:v>
                </c:pt>
                <c:pt idx="123">
                  <c:v>64.010000000000005</c:v>
                </c:pt>
                <c:pt idx="124">
                  <c:v>17.5</c:v>
                </c:pt>
                <c:pt idx="125">
                  <c:v>17.5</c:v>
                </c:pt>
                <c:pt idx="126">
                  <c:v>17.5</c:v>
                </c:pt>
                <c:pt idx="127">
                  <c:v>57.49</c:v>
                </c:pt>
                <c:pt idx="128">
                  <c:v>23.43</c:v>
                </c:pt>
                <c:pt idx="129">
                  <c:v>57.65</c:v>
                </c:pt>
                <c:pt idx="130">
                  <c:v>17.5</c:v>
                </c:pt>
                <c:pt idx="131">
                  <c:v>17.61</c:v>
                </c:pt>
                <c:pt idx="132">
                  <c:v>43.63</c:v>
                </c:pt>
                <c:pt idx="133">
                  <c:v>41.25</c:v>
                </c:pt>
                <c:pt idx="134">
                  <c:v>42.76</c:v>
                </c:pt>
                <c:pt idx="135">
                  <c:v>26.42</c:v>
                </c:pt>
                <c:pt idx="136">
                  <c:v>79.900000000000006</c:v>
                </c:pt>
                <c:pt idx="137">
                  <c:v>44.99</c:v>
                </c:pt>
                <c:pt idx="138">
                  <c:v>17.5</c:v>
                </c:pt>
                <c:pt idx="139">
                  <c:v>47.65</c:v>
                </c:pt>
                <c:pt idx="140">
                  <c:v>40.380000000000003</c:v>
                </c:pt>
                <c:pt idx="141">
                  <c:v>17.5</c:v>
                </c:pt>
                <c:pt idx="142">
                  <c:v>47.74</c:v>
                </c:pt>
                <c:pt idx="143">
                  <c:v>17.5</c:v>
                </c:pt>
                <c:pt idx="144">
                  <c:v>38.11</c:v>
                </c:pt>
                <c:pt idx="145">
                  <c:v>34.33</c:v>
                </c:pt>
                <c:pt idx="146">
                  <c:v>31.23</c:v>
                </c:pt>
                <c:pt idx="147">
                  <c:v>40.520000000000003</c:v>
                </c:pt>
                <c:pt idx="148">
                  <c:v>86.54</c:v>
                </c:pt>
                <c:pt idx="149">
                  <c:v>17.5</c:v>
                </c:pt>
                <c:pt idx="150">
                  <c:v>52.55</c:v>
                </c:pt>
                <c:pt idx="151">
                  <c:v>17.5</c:v>
                </c:pt>
                <c:pt idx="152">
                  <c:v>60.13</c:v>
                </c:pt>
                <c:pt idx="153">
                  <c:v>17.5</c:v>
                </c:pt>
                <c:pt idx="154">
                  <c:v>17.5</c:v>
                </c:pt>
                <c:pt idx="155">
                  <c:v>17.5</c:v>
                </c:pt>
                <c:pt idx="156">
                  <c:v>17.5</c:v>
                </c:pt>
                <c:pt idx="157">
                  <c:v>18.55</c:v>
                </c:pt>
                <c:pt idx="158">
                  <c:v>17.5</c:v>
                </c:pt>
                <c:pt idx="159">
                  <c:v>74.040000000000006</c:v>
                </c:pt>
                <c:pt idx="160">
                  <c:v>43.5</c:v>
                </c:pt>
                <c:pt idx="161">
                  <c:v>44.27</c:v>
                </c:pt>
                <c:pt idx="162">
                  <c:v>75.58</c:v>
                </c:pt>
                <c:pt idx="163">
                  <c:v>17.5</c:v>
                </c:pt>
                <c:pt idx="164">
                  <c:v>51.77</c:v>
                </c:pt>
                <c:pt idx="165">
                  <c:v>17.5</c:v>
                </c:pt>
                <c:pt idx="166">
                  <c:v>32.69</c:v>
                </c:pt>
                <c:pt idx="167">
                  <c:v>17.5</c:v>
                </c:pt>
                <c:pt idx="168">
                  <c:v>17.5</c:v>
                </c:pt>
                <c:pt idx="169">
                  <c:v>41.32</c:v>
                </c:pt>
                <c:pt idx="170">
                  <c:v>17.55</c:v>
                </c:pt>
                <c:pt idx="171">
                  <c:v>17.5</c:v>
                </c:pt>
                <c:pt idx="172">
                  <c:v>17.5</c:v>
                </c:pt>
                <c:pt idx="173">
                  <c:v>33.659999999999997</c:v>
                </c:pt>
                <c:pt idx="174">
                  <c:v>17.5</c:v>
                </c:pt>
                <c:pt idx="175">
                  <c:v>17.5</c:v>
                </c:pt>
                <c:pt idx="176">
                  <c:v>32.17</c:v>
                </c:pt>
                <c:pt idx="177">
                  <c:v>17.5</c:v>
                </c:pt>
                <c:pt idx="178">
                  <c:v>26.61</c:v>
                </c:pt>
                <c:pt idx="179">
                  <c:v>36.99</c:v>
                </c:pt>
                <c:pt idx="180">
                  <c:v>53.64</c:v>
                </c:pt>
                <c:pt idx="181">
                  <c:v>47.2</c:v>
                </c:pt>
                <c:pt idx="182">
                  <c:v>17.5</c:v>
                </c:pt>
                <c:pt idx="183">
                  <c:v>17.5</c:v>
                </c:pt>
                <c:pt idx="184">
                  <c:v>50.11</c:v>
                </c:pt>
                <c:pt idx="185">
                  <c:v>40.47</c:v>
                </c:pt>
                <c:pt idx="186">
                  <c:v>28.59</c:v>
                </c:pt>
                <c:pt idx="187">
                  <c:v>56.71</c:v>
                </c:pt>
                <c:pt idx="188">
                  <c:v>17.5</c:v>
                </c:pt>
                <c:pt idx="189">
                  <c:v>38.549999999999997</c:v>
                </c:pt>
                <c:pt idx="190">
                  <c:v>46.75</c:v>
                </c:pt>
                <c:pt idx="191">
                  <c:v>49.71</c:v>
                </c:pt>
                <c:pt idx="192">
                  <c:v>17.5</c:v>
                </c:pt>
                <c:pt idx="193">
                  <c:v>17.5</c:v>
                </c:pt>
                <c:pt idx="194">
                  <c:v>17.5</c:v>
                </c:pt>
                <c:pt idx="195">
                  <c:v>17.5</c:v>
                </c:pt>
                <c:pt idx="196">
                  <c:v>17.5</c:v>
                </c:pt>
                <c:pt idx="197">
                  <c:v>17.5</c:v>
                </c:pt>
                <c:pt idx="198">
                  <c:v>17.5</c:v>
                </c:pt>
                <c:pt idx="199">
                  <c:v>21.77</c:v>
                </c:pt>
                <c:pt idx="200">
                  <c:v>78.31</c:v>
                </c:pt>
                <c:pt idx="201">
                  <c:v>44.27</c:v>
                </c:pt>
                <c:pt idx="202">
                  <c:v>17.5</c:v>
                </c:pt>
                <c:pt idx="203">
                  <c:v>17.5</c:v>
                </c:pt>
                <c:pt idx="204">
                  <c:v>17.5</c:v>
                </c:pt>
                <c:pt idx="205">
                  <c:v>45.72</c:v>
                </c:pt>
                <c:pt idx="206">
                  <c:v>17.5</c:v>
                </c:pt>
                <c:pt idx="207">
                  <c:v>17.5</c:v>
                </c:pt>
                <c:pt idx="208">
                  <c:v>70.55</c:v>
                </c:pt>
                <c:pt idx="209">
                  <c:v>17.5</c:v>
                </c:pt>
                <c:pt idx="210">
                  <c:v>17.5</c:v>
                </c:pt>
                <c:pt idx="211">
                  <c:v>38.47</c:v>
                </c:pt>
                <c:pt idx="212">
                  <c:v>17.5</c:v>
                </c:pt>
                <c:pt idx="213">
                  <c:v>50.01</c:v>
                </c:pt>
                <c:pt idx="214">
                  <c:v>55.02</c:v>
                </c:pt>
                <c:pt idx="215">
                  <c:v>28.19</c:v>
                </c:pt>
                <c:pt idx="216">
                  <c:v>17.5</c:v>
                </c:pt>
                <c:pt idx="217">
                  <c:v>34.57</c:v>
                </c:pt>
                <c:pt idx="218">
                  <c:v>17.5</c:v>
                </c:pt>
                <c:pt idx="219">
                  <c:v>17.5</c:v>
                </c:pt>
                <c:pt idx="220">
                  <c:v>17.5</c:v>
                </c:pt>
                <c:pt idx="221">
                  <c:v>38.619999999999997</c:v>
                </c:pt>
                <c:pt idx="222">
                  <c:v>72.430000000000007</c:v>
                </c:pt>
                <c:pt idx="223">
                  <c:v>17.5</c:v>
                </c:pt>
                <c:pt idx="224">
                  <c:v>17.5</c:v>
                </c:pt>
                <c:pt idx="225">
                  <c:v>52.37</c:v>
                </c:pt>
                <c:pt idx="226">
                  <c:v>58.99</c:v>
                </c:pt>
                <c:pt idx="227">
                  <c:v>38.9</c:v>
                </c:pt>
                <c:pt idx="228">
                  <c:v>28.77</c:v>
                </c:pt>
                <c:pt idx="229">
                  <c:v>17.5</c:v>
                </c:pt>
                <c:pt idx="230">
                  <c:v>37.06</c:v>
                </c:pt>
                <c:pt idx="231">
                  <c:v>43.79</c:v>
                </c:pt>
                <c:pt idx="232">
                  <c:v>56.18</c:v>
                </c:pt>
                <c:pt idx="233">
                  <c:v>20.39</c:v>
                </c:pt>
                <c:pt idx="234">
                  <c:v>51.69</c:v>
                </c:pt>
                <c:pt idx="235">
                  <c:v>59.26</c:v>
                </c:pt>
                <c:pt idx="236">
                  <c:v>29.15</c:v>
                </c:pt>
                <c:pt idx="237">
                  <c:v>29.11</c:v>
                </c:pt>
                <c:pt idx="238">
                  <c:v>29.62</c:v>
                </c:pt>
                <c:pt idx="239">
                  <c:v>28.71</c:v>
                </c:pt>
                <c:pt idx="240">
                  <c:v>17.5</c:v>
                </c:pt>
                <c:pt idx="241">
                  <c:v>17.5</c:v>
                </c:pt>
                <c:pt idx="242">
                  <c:v>22.56</c:v>
                </c:pt>
                <c:pt idx="243">
                  <c:v>44.04</c:v>
                </c:pt>
                <c:pt idx="244">
                  <c:v>39.53</c:v>
                </c:pt>
                <c:pt idx="245">
                  <c:v>17.5</c:v>
                </c:pt>
                <c:pt idx="246">
                  <c:v>24.49</c:v>
                </c:pt>
                <c:pt idx="247">
                  <c:v>63.39</c:v>
                </c:pt>
                <c:pt idx="248">
                  <c:v>17.5</c:v>
                </c:pt>
                <c:pt idx="249">
                  <c:v>37.79</c:v>
                </c:pt>
                <c:pt idx="250">
                  <c:v>50.82</c:v>
                </c:pt>
                <c:pt idx="251">
                  <c:v>17.5</c:v>
                </c:pt>
                <c:pt idx="252">
                  <c:v>17.5</c:v>
                </c:pt>
                <c:pt idx="253">
                  <c:v>17.5</c:v>
                </c:pt>
                <c:pt idx="254">
                  <c:v>44.72</c:v>
                </c:pt>
                <c:pt idx="255">
                  <c:v>61.62</c:v>
                </c:pt>
                <c:pt idx="256">
                  <c:v>55.22</c:v>
                </c:pt>
                <c:pt idx="257">
                  <c:v>38.79</c:v>
                </c:pt>
                <c:pt idx="258">
                  <c:v>17.5</c:v>
                </c:pt>
                <c:pt idx="259">
                  <c:v>17.5</c:v>
                </c:pt>
                <c:pt idx="260">
                  <c:v>17.5</c:v>
                </c:pt>
                <c:pt idx="261">
                  <c:v>17.5</c:v>
                </c:pt>
                <c:pt idx="262">
                  <c:v>50.46</c:v>
                </c:pt>
                <c:pt idx="263">
                  <c:v>17.5</c:v>
                </c:pt>
                <c:pt idx="264">
                  <c:v>24.44</c:v>
                </c:pt>
                <c:pt idx="265">
                  <c:v>17.5</c:v>
                </c:pt>
                <c:pt idx="266">
                  <c:v>17.5</c:v>
                </c:pt>
                <c:pt idx="267">
                  <c:v>24</c:v>
                </c:pt>
                <c:pt idx="268">
                  <c:v>17.5</c:v>
                </c:pt>
                <c:pt idx="269">
                  <c:v>43.02</c:v>
                </c:pt>
                <c:pt idx="270">
                  <c:v>20.11</c:v>
                </c:pt>
                <c:pt idx="271">
                  <c:v>41.44</c:v>
                </c:pt>
                <c:pt idx="272">
                  <c:v>44.74</c:v>
                </c:pt>
                <c:pt idx="273">
                  <c:v>17.5</c:v>
                </c:pt>
                <c:pt idx="274">
                  <c:v>35.76</c:v>
                </c:pt>
                <c:pt idx="275">
                  <c:v>17.5</c:v>
                </c:pt>
                <c:pt idx="276">
                  <c:v>74.63</c:v>
                </c:pt>
                <c:pt idx="277">
                  <c:v>34.75</c:v>
                </c:pt>
                <c:pt idx="278">
                  <c:v>35.19</c:v>
                </c:pt>
                <c:pt idx="279">
                  <c:v>54.78</c:v>
                </c:pt>
                <c:pt idx="280">
                  <c:v>84.29</c:v>
                </c:pt>
                <c:pt idx="281">
                  <c:v>24.56</c:v>
                </c:pt>
                <c:pt idx="282">
                  <c:v>17.5</c:v>
                </c:pt>
                <c:pt idx="283">
                  <c:v>17.5</c:v>
                </c:pt>
                <c:pt idx="284">
                  <c:v>38.35</c:v>
                </c:pt>
                <c:pt idx="285">
                  <c:v>17.5</c:v>
                </c:pt>
                <c:pt idx="286">
                  <c:v>42.73</c:v>
                </c:pt>
                <c:pt idx="287">
                  <c:v>17.5</c:v>
                </c:pt>
                <c:pt idx="288">
                  <c:v>24.49</c:v>
                </c:pt>
                <c:pt idx="289">
                  <c:v>28.22</c:v>
                </c:pt>
                <c:pt idx="290">
                  <c:v>17.5</c:v>
                </c:pt>
                <c:pt idx="291">
                  <c:v>36.270000000000003</c:v>
                </c:pt>
                <c:pt idx="292">
                  <c:v>64.12</c:v>
                </c:pt>
                <c:pt idx="293">
                  <c:v>61.8</c:v>
                </c:pt>
                <c:pt idx="294">
                  <c:v>20.68</c:v>
                </c:pt>
                <c:pt idx="295">
                  <c:v>17.5</c:v>
                </c:pt>
                <c:pt idx="296">
                  <c:v>17.5</c:v>
                </c:pt>
                <c:pt idx="297">
                  <c:v>17.5</c:v>
                </c:pt>
                <c:pt idx="298">
                  <c:v>46.86</c:v>
                </c:pt>
                <c:pt idx="299">
                  <c:v>17.5</c:v>
                </c:pt>
                <c:pt idx="300">
                  <c:v>30.71</c:v>
                </c:pt>
                <c:pt idx="301">
                  <c:v>17.5</c:v>
                </c:pt>
                <c:pt idx="302">
                  <c:v>29.19</c:v>
                </c:pt>
                <c:pt idx="303">
                  <c:v>40.32</c:v>
                </c:pt>
                <c:pt idx="304">
                  <c:v>17.5</c:v>
                </c:pt>
                <c:pt idx="305">
                  <c:v>62.87</c:v>
                </c:pt>
                <c:pt idx="306">
                  <c:v>17.5</c:v>
                </c:pt>
                <c:pt idx="307">
                  <c:v>17.5</c:v>
                </c:pt>
                <c:pt idx="308">
                  <c:v>65.23</c:v>
                </c:pt>
                <c:pt idx="309">
                  <c:v>43.95</c:v>
                </c:pt>
                <c:pt idx="310">
                  <c:v>73.08</c:v>
                </c:pt>
                <c:pt idx="311">
                  <c:v>45.66</c:v>
                </c:pt>
                <c:pt idx="312">
                  <c:v>17.5</c:v>
                </c:pt>
                <c:pt idx="313">
                  <c:v>17.5</c:v>
                </c:pt>
                <c:pt idx="314">
                  <c:v>17.5</c:v>
                </c:pt>
                <c:pt idx="315">
                  <c:v>54.91</c:v>
                </c:pt>
                <c:pt idx="316">
                  <c:v>17.5</c:v>
                </c:pt>
                <c:pt idx="317">
                  <c:v>17.5</c:v>
                </c:pt>
                <c:pt idx="318">
                  <c:v>50.39</c:v>
                </c:pt>
                <c:pt idx="319">
                  <c:v>17.5</c:v>
                </c:pt>
                <c:pt idx="320">
                  <c:v>21.5</c:v>
                </c:pt>
                <c:pt idx="321">
                  <c:v>24.44</c:v>
                </c:pt>
                <c:pt idx="322">
                  <c:v>34.54</c:v>
                </c:pt>
                <c:pt idx="323">
                  <c:v>50.11</c:v>
                </c:pt>
                <c:pt idx="324">
                  <c:v>56.74</c:v>
                </c:pt>
                <c:pt idx="325">
                  <c:v>24.31</c:v>
                </c:pt>
                <c:pt idx="326">
                  <c:v>29.88</c:v>
                </c:pt>
                <c:pt idx="327">
                  <c:v>40.24</c:v>
                </c:pt>
                <c:pt idx="328">
                  <c:v>17.5</c:v>
                </c:pt>
                <c:pt idx="329">
                  <c:v>17.5</c:v>
                </c:pt>
                <c:pt idx="330">
                  <c:v>17.5</c:v>
                </c:pt>
                <c:pt idx="331">
                  <c:v>56.17</c:v>
                </c:pt>
                <c:pt idx="332">
                  <c:v>17.5</c:v>
                </c:pt>
                <c:pt idx="333">
                  <c:v>17.5</c:v>
                </c:pt>
                <c:pt idx="334">
                  <c:v>17.5</c:v>
                </c:pt>
                <c:pt idx="335">
                  <c:v>27.52</c:v>
                </c:pt>
                <c:pt idx="336">
                  <c:v>17.5</c:v>
                </c:pt>
                <c:pt idx="337">
                  <c:v>54.72</c:v>
                </c:pt>
                <c:pt idx="338">
                  <c:v>31.88</c:v>
                </c:pt>
                <c:pt idx="339">
                  <c:v>26.47</c:v>
                </c:pt>
                <c:pt idx="340">
                  <c:v>17.5</c:v>
                </c:pt>
                <c:pt idx="341">
                  <c:v>25.67</c:v>
                </c:pt>
                <c:pt idx="342">
                  <c:v>67.63</c:v>
                </c:pt>
                <c:pt idx="343">
                  <c:v>17.5</c:v>
                </c:pt>
                <c:pt idx="344">
                  <c:v>17.5</c:v>
                </c:pt>
                <c:pt idx="345">
                  <c:v>29.73</c:v>
                </c:pt>
                <c:pt idx="346">
                  <c:v>17.5</c:v>
                </c:pt>
                <c:pt idx="347">
                  <c:v>71.7</c:v>
                </c:pt>
                <c:pt idx="348">
                  <c:v>17.5</c:v>
                </c:pt>
                <c:pt idx="349">
                  <c:v>17.5</c:v>
                </c:pt>
                <c:pt idx="350">
                  <c:v>17.5</c:v>
                </c:pt>
                <c:pt idx="351">
                  <c:v>17.5</c:v>
                </c:pt>
                <c:pt idx="352">
                  <c:v>21.41</c:v>
                </c:pt>
                <c:pt idx="353">
                  <c:v>63.21</c:v>
                </c:pt>
                <c:pt idx="354">
                  <c:v>26.54</c:v>
                </c:pt>
                <c:pt idx="355">
                  <c:v>47.55</c:v>
                </c:pt>
                <c:pt idx="356">
                  <c:v>68.38</c:v>
                </c:pt>
                <c:pt idx="357">
                  <c:v>37.11</c:v>
                </c:pt>
                <c:pt idx="358">
                  <c:v>17.5</c:v>
                </c:pt>
                <c:pt idx="359">
                  <c:v>17.5</c:v>
                </c:pt>
                <c:pt idx="360">
                  <c:v>53.3</c:v>
                </c:pt>
                <c:pt idx="361">
                  <c:v>38.67</c:v>
                </c:pt>
                <c:pt idx="362">
                  <c:v>36.75</c:v>
                </c:pt>
                <c:pt idx="363">
                  <c:v>36.35</c:v>
                </c:pt>
                <c:pt idx="364">
                  <c:v>17.5</c:v>
                </c:pt>
                <c:pt idx="365">
                  <c:v>17.5</c:v>
                </c:pt>
                <c:pt idx="366">
                  <c:v>35.97</c:v>
                </c:pt>
                <c:pt idx="367">
                  <c:v>17.5</c:v>
                </c:pt>
                <c:pt idx="368">
                  <c:v>54.47</c:v>
                </c:pt>
                <c:pt idx="369">
                  <c:v>17.5</c:v>
                </c:pt>
                <c:pt idx="370">
                  <c:v>17.5</c:v>
                </c:pt>
                <c:pt idx="371">
                  <c:v>33.9</c:v>
                </c:pt>
                <c:pt idx="372">
                  <c:v>19.850000000000001</c:v>
                </c:pt>
                <c:pt idx="373">
                  <c:v>44.36</c:v>
                </c:pt>
                <c:pt idx="374">
                  <c:v>17.600000000000001</c:v>
                </c:pt>
                <c:pt idx="375">
                  <c:v>48.3</c:v>
                </c:pt>
                <c:pt idx="376">
                  <c:v>17.5</c:v>
                </c:pt>
                <c:pt idx="377">
                  <c:v>30.17</c:v>
                </c:pt>
                <c:pt idx="378">
                  <c:v>33.78</c:v>
                </c:pt>
                <c:pt idx="379">
                  <c:v>44.55</c:v>
                </c:pt>
                <c:pt idx="380">
                  <c:v>20.54</c:v>
                </c:pt>
                <c:pt idx="381">
                  <c:v>17.5</c:v>
                </c:pt>
                <c:pt idx="382">
                  <c:v>17.5</c:v>
                </c:pt>
                <c:pt idx="383">
                  <c:v>17.5</c:v>
                </c:pt>
                <c:pt idx="384">
                  <c:v>17.5</c:v>
                </c:pt>
                <c:pt idx="385">
                  <c:v>28.05</c:v>
                </c:pt>
                <c:pt idx="386">
                  <c:v>17.5</c:v>
                </c:pt>
                <c:pt idx="387">
                  <c:v>26.25</c:v>
                </c:pt>
                <c:pt idx="388">
                  <c:v>36.01</c:v>
                </c:pt>
                <c:pt idx="389">
                  <c:v>60.09</c:v>
                </c:pt>
                <c:pt idx="390">
                  <c:v>21.64</c:v>
                </c:pt>
                <c:pt idx="391">
                  <c:v>48.2</c:v>
                </c:pt>
                <c:pt idx="392">
                  <c:v>17.5</c:v>
                </c:pt>
                <c:pt idx="393">
                  <c:v>45.38</c:v>
                </c:pt>
                <c:pt idx="394">
                  <c:v>24.87</c:v>
                </c:pt>
                <c:pt idx="395">
                  <c:v>30.19</c:v>
                </c:pt>
                <c:pt idx="396">
                  <c:v>36.590000000000003</c:v>
                </c:pt>
                <c:pt idx="397">
                  <c:v>53.42</c:v>
                </c:pt>
                <c:pt idx="398">
                  <c:v>64.790000000000006</c:v>
                </c:pt>
                <c:pt idx="399">
                  <c:v>40</c:v>
                </c:pt>
                <c:pt idx="400">
                  <c:v>46.22</c:v>
                </c:pt>
                <c:pt idx="401">
                  <c:v>17.5</c:v>
                </c:pt>
                <c:pt idx="402">
                  <c:v>33.47</c:v>
                </c:pt>
                <c:pt idx="403">
                  <c:v>54.36</c:v>
                </c:pt>
                <c:pt idx="404">
                  <c:v>46.56</c:v>
                </c:pt>
                <c:pt idx="405">
                  <c:v>17.5</c:v>
                </c:pt>
                <c:pt idx="406">
                  <c:v>17.5</c:v>
                </c:pt>
                <c:pt idx="407">
                  <c:v>40.11</c:v>
                </c:pt>
                <c:pt idx="408">
                  <c:v>64.3</c:v>
                </c:pt>
                <c:pt idx="409">
                  <c:v>50.82</c:v>
                </c:pt>
                <c:pt idx="410">
                  <c:v>36.96</c:v>
                </c:pt>
                <c:pt idx="411">
                  <c:v>40.98</c:v>
                </c:pt>
                <c:pt idx="412">
                  <c:v>32.74</c:v>
                </c:pt>
                <c:pt idx="413">
                  <c:v>52.12</c:v>
                </c:pt>
                <c:pt idx="414">
                  <c:v>17.510000000000002</c:v>
                </c:pt>
                <c:pt idx="415">
                  <c:v>24.45</c:v>
                </c:pt>
                <c:pt idx="416">
                  <c:v>45.87</c:v>
                </c:pt>
                <c:pt idx="417">
                  <c:v>64.040000000000006</c:v>
                </c:pt>
                <c:pt idx="418">
                  <c:v>77.040000000000006</c:v>
                </c:pt>
                <c:pt idx="419">
                  <c:v>66.28</c:v>
                </c:pt>
                <c:pt idx="420">
                  <c:v>65.42</c:v>
                </c:pt>
                <c:pt idx="421">
                  <c:v>33.82</c:v>
                </c:pt>
                <c:pt idx="422">
                  <c:v>19.57</c:v>
                </c:pt>
                <c:pt idx="423">
                  <c:v>59.61</c:v>
                </c:pt>
                <c:pt idx="424">
                  <c:v>61.56</c:v>
                </c:pt>
                <c:pt idx="425">
                  <c:v>32.81</c:v>
                </c:pt>
                <c:pt idx="426">
                  <c:v>42.83</c:v>
                </c:pt>
                <c:pt idx="427">
                  <c:v>39.049999999999997</c:v>
                </c:pt>
                <c:pt idx="428">
                  <c:v>56.83</c:v>
                </c:pt>
                <c:pt idx="429">
                  <c:v>24.87</c:v>
                </c:pt>
                <c:pt idx="430">
                  <c:v>62.22</c:v>
                </c:pt>
                <c:pt idx="431">
                  <c:v>41.39</c:v>
                </c:pt>
                <c:pt idx="432">
                  <c:v>56.31</c:v>
                </c:pt>
                <c:pt idx="433">
                  <c:v>31.79</c:v>
                </c:pt>
                <c:pt idx="434">
                  <c:v>26.39</c:v>
                </c:pt>
                <c:pt idx="435">
                  <c:v>46.93</c:v>
                </c:pt>
                <c:pt idx="436">
                  <c:v>45.31</c:v>
                </c:pt>
                <c:pt idx="437">
                  <c:v>25.66</c:v>
                </c:pt>
              </c:numCache>
            </c:numRef>
          </c:xVal>
          <c:yVal>
            <c:numRef>
              <c:f>'Aid436'!$AK$10:$AK$447</c:f>
              <c:numCache>
                <c:formatCode>_(* #,##0.00_);_(* \(#,##0.00\);_(* "-"??_);_(@_)</c:formatCode>
                <c:ptCount val="438"/>
                <c:pt idx="0">
                  <c:v>38.771983351904268</c:v>
                </c:pt>
                <c:pt idx="1">
                  <c:v>0</c:v>
                </c:pt>
                <c:pt idx="2">
                  <c:v>53.563644829970372</c:v>
                </c:pt>
                <c:pt idx="3">
                  <c:v>0</c:v>
                </c:pt>
                <c:pt idx="4">
                  <c:v>47.48245331633121</c:v>
                </c:pt>
                <c:pt idx="5">
                  <c:v>0</c:v>
                </c:pt>
                <c:pt idx="6">
                  <c:v>40.933755799093497</c:v>
                </c:pt>
                <c:pt idx="7">
                  <c:v>51.005781567568299</c:v>
                </c:pt>
                <c:pt idx="8">
                  <c:v>17.000836241528607</c:v>
                </c:pt>
                <c:pt idx="9">
                  <c:v>20.514812107425492</c:v>
                </c:pt>
                <c:pt idx="10">
                  <c:v>0</c:v>
                </c:pt>
                <c:pt idx="11">
                  <c:v>0</c:v>
                </c:pt>
                <c:pt idx="12">
                  <c:v>0</c:v>
                </c:pt>
                <c:pt idx="13">
                  <c:v>24.098644079113289</c:v>
                </c:pt>
                <c:pt idx="14">
                  <c:v>0</c:v>
                </c:pt>
                <c:pt idx="15">
                  <c:v>51.581466458560691</c:v>
                </c:pt>
                <c:pt idx="16">
                  <c:v>41.881251354683549</c:v>
                </c:pt>
                <c:pt idx="17">
                  <c:v>25.391529622286434</c:v>
                </c:pt>
                <c:pt idx="18">
                  <c:v>0</c:v>
                </c:pt>
                <c:pt idx="19">
                  <c:v>17.260904754516915</c:v>
                </c:pt>
                <c:pt idx="20">
                  <c:v>0</c:v>
                </c:pt>
                <c:pt idx="21">
                  <c:v>0</c:v>
                </c:pt>
                <c:pt idx="22">
                  <c:v>17.180946688084529</c:v>
                </c:pt>
                <c:pt idx="23">
                  <c:v>58.891321588231847</c:v>
                </c:pt>
                <c:pt idx="24">
                  <c:v>37.064798245413648</c:v>
                </c:pt>
                <c:pt idx="25">
                  <c:v>18.291721667829343</c:v>
                </c:pt>
                <c:pt idx="26">
                  <c:v>53.77879166735228</c:v>
                </c:pt>
                <c:pt idx="27">
                  <c:v>28.325176817912102</c:v>
                </c:pt>
                <c:pt idx="28">
                  <c:v>0</c:v>
                </c:pt>
                <c:pt idx="29">
                  <c:v>17.294367634735195</c:v>
                </c:pt>
                <c:pt idx="30">
                  <c:v>38.594017545359961</c:v>
                </c:pt>
                <c:pt idx="31">
                  <c:v>0</c:v>
                </c:pt>
                <c:pt idx="32">
                  <c:v>0</c:v>
                </c:pt>
                <c:pt idx="33">
                  <c:v>0</c:v>
                </c:pt>
                <c:pt idx="34">
                  <c:v>26.276333417737231</c:v>
                </c:pt>
                <c:pt idx="35">
                  <c:v>25.383961523647852</c:v>
                </c:pt>
                <c:pt idx="36">
                  <c:v>0</c:v>
                </c:pt>
                <c:pt idx="37">
                  <c:v>25.350061642201148</c:v>
                </c:pt>
                <c:pt idx="38">
                  <c:v>18.015030043575184</c:v>
                </c:pt>
                <c:pt idx="39">
                  <c:v>29.596334950153835</c:v>
                </c:pt>
                <c:pt idx="40">
                  <c:v>20.223051716476242</c:v>
                </c:pt>
                <c:pt idx="41">
                  <c:v>0</c:v>
                </c:pt>
                <c:pt idx="42">
                  <c:v>48.593322486564801</c:v>
                </c:pt>
                <c:pt idx="43">
                  <c:v>81.435131405171944</c:v>
                </c:pt>
                <c:pt idx="44">
                  <c:v>59.604053391695174</c:v>
                </c:pt>
                <c:pt idx="45">
                  <c:v>17.44894005536748</c:v>
                </c:pt>
                <c:pt idx="46">
                  <c:v>0</c:v>
                </c:pt>
                <c:pt idx="47">
                  <c:v>17.166927868491435</c:v>
                </c:pt>
                <c:pt idx="48">
                  <c:v>17.220291804996236</c:v>
                </c:pt>
                <c:pt idx="49">
                  <c:v>17.824309930832875</c:v>
                </c:pt>
                <c:pt idx="50">
                  <c:v>18.087376756951826</c:v>
                </c:pt>
                <c:pt idx="51">
                  <c:v>59.069192800939497</c:v>
                </c:pt>
                <c:pt idx="52">
                  <c:v>0</c:v>
                </c:pt>
                <c:pt idx="53">
                  <c:v>0</c:v>
                </c:pt>
                <c:pt idx="54">
                  <c:v>0</c:v>
                </c:pt>
                <c:pt idx="55">
                  <c:v>22.981102106163892</c:v>
                </c:pt>
                <c:pt idx="56">
                  <c:v>83.482835547079716</c:v>
                </c:pt>
                <c:pt idx="57">
                  <c:v>0</c:v>
                </c:pt>
                <c:pt idx="58">
                  <c:v>0</c:v>
                </c:pt>
                <c:pt idx="59">
                  <c:v>0</c:v>
                </c:pt>
                <c:pt idx="60">
                  <c:v>67.945719274878357</c:v>
                </c:pt>
                <c:pt idx="61">
                  <c:v>0</c:v>
                </c:pt>
                <c:pt idx="62">
                  <c:v>96.056129666916519</c:v>
                </c:pt>
                <c:pt idx="63">
                  <c:v>55.705765061134962</c:v>
                </c:pt>
                <c:pt idx="64">
                  <c:v>17.707801431742588</c:v>
                </c:pt>
                <c:pt idx="65">
                  <c:v>0</c:v>
                </c:pt>
                <c:pt idx="66">
                  <c:v>17.175160592885291</c:v>
                </c:pt>
                <c:pt idx="67">
                  <c:v>54.569221992603055</c:v>
                </c:pt>
                <c:pt idx="68">
                  <c:v>0</c:v>
                </c:pt>
                <c:pt idx="69">
                  <c:v>0</c:v>
                </c:pt>
                <c:pt idx="70">
                  <c:v>19.900010374896077</c:v>
                </c:pt>
                <c:pt idx="71">
                  <c:v>26.889045947285062</c:v>
                </c:pt>
                <c:pt idx="72">
                  <c:v>17.036150204561945</c:v>
                </c:pt>
                <c:pt idx="73">
                  <c:v>34.793073317329487</c:v>
                </c:pt>
                <c:pt idx="74">
                  <c:v>0</c:v>
                </c:pt>
                <c:pt idx="75">
                  <c:v>0</c:v>
                </c:pt>
                <c:pt idx="76">
                  <c:v>67.133132119708705</c:v>
                </c:pt>
                <c:pt idx="77">
                  <c:v>17.181882815665446</c:v>
                </c:pt>
                <c:pt idx="78">
                  <c:v>51.426398400245645</c:v>
                </c:pt>
                <c:pt idx="79">
                  <c:v>0</c:v>
                </c:pt>
                <c:pt idx="80">
                  <c:v>0</c:v>
                </c:pt>
                <c:pt idx="81">
                  <c:v>17.483743000807312</c:v>
                </c:pt>
                <c:pt idx="82">
                  <c:v>49.957580492876829</c:v>
                </c:pt>
                <c:pt idx="83">
                  <c:v>0</c:v>
                </c:pt>
                <c:pt idx="84">
                  <c:v>19.049101056545798</c:v>
                </c:pt>
                <c:pt idx="85">
                  <c:v>42.764074292225388</c:v>
                </c:pt>
                <c:pt idx="86">
                  <c:v>39.968221971699613</c:v>
                </c:pt>
                <c:pt idx="87">
                  <c:v>28.423716976490599</c:v>
                </c:pt>
                <c:pt idx="88">
                  <c:v>17.062186231933229</c:v>
                </c:pt>
                <c:pt idx="89">
                  <c:v>0</c:v>
                </c:pt>
                <c:pt idx="90">
                  <c:v>21.065188851871479</c:v>
                </c:pt>
                <c:pt idx="91">
                  <c:v>0</c:v>
                </c:pt>
                <c:pt idx="92">
                  <c:v>72.495346491431704</c:v>
                </c:pt>
                <c:pt idx="93">
                  <c:v>40.413519151921236</c:v>
                </c:pt>
                <c:pt idx="94">
                  <c:v>80.100513450805721</c:v>
                </c:pt>
                <c:pt idx="95">
                  <c:v>17.080245620811102</c:v>
                </c:pt>
                <c:pt idx="96">
                  <c:v>74.497217363906955</c:v>
                </c:pt>
                <c:pt idx="97">
                  <c:v>65.265045600907996</c:v>
                </c:pt>
                <c:pt idx="98">
                  <c:v>33.755460603590436</c:v>
                </c:pt>
                <c:pt idx="99">
                  <c:v>42.060419233557425</c:v>
                </c:pt>
                <c:pt idx="100">
                  <c:v>49.132058861190174</c:v>
                </c:pt>
                <c:pt idx="101">
                  <c:v>0</c:v>
                </c:pt>
                <c:pt idx="102">
                  <c:v>68.979581155345599</c:v>
                </c:pt>
                <c:pt idx="103">
                  <c:v>0</c:v>
                </c:pt>
                <c:pt idx="104">
                  <c:v>42.659626257953256</c:v>
                </c:pt>
                <c:pt idx="105">
                  <c:v>0</c:v>
                </c:pt>
                <c:pt idx="106">
                  <c:v>18.37576952176833</c:v>
                </c:pt>
                <c:pt idx="107">
                  <c:v>0</c:v>
                </c:pt>
                <c:pt idx="108">
                  <c:v>0</c:v>
                </c:pt>
                <c:pt idx="109">
                  <c:v>36.399648804843402</c:v>
                </c:pt>
                <c:pt idx="110">
                  <c:v>61.500927425733764</c:v>
                </c:pt>
                <c:pt idx="111">
                  <c:v>0</c:v>
                </c:pt>
                <c:pt idx="112">
                  <c:v>0</c:v>
                </c:pt>
                <c:pt idx="113">
                  <c:v>58.619060607777229</c:v>
                </c:pt>
                <c:pt idx="114">
                  <c:v>0</c:v>
                </c:pt>
                <c:pt idx="115">
                  <c:v>0</c:v>
                </c:pt>
                <c:pt idx="116">
                  <c:v>17.732514263815602</c:v>
                </c:pt>
                <c:pt idx="117">
                  <c:v>47.594136910508141</c:v>
                </c:pt>
                <c:pt idx="118">
                  <c:v>0</c:v>
                </c:pt>
                <c:pt idx="119">
                  <c:v>0</c:v>
                </c:pt>
                <c:pt idx="120">
                  <c:v>30.79958187486465</c:v>
                </c:pt>
                <c:pt idx="121">
                  <c:v>28.336239664594213</c:v>
                </c:pt>
                <c:pt idx="122">
                  <c:v>0</c:v>
                </c:pt>
                <c:pt idx="123">
                  <c:v>0</c:v>
                </c:pt>
                <c:pt idx="124">
                  <c:v>20.769710716065635</c:v>
                </c:pt>
                <c:pt idx="125">
                  <c:v>0</c:v>
                </c:pt>
                <c:pt idx="126">
                  <c:v>23.883793617749525</c:v>
                </c:pt>
                <c:pt idx="127">
                  <c:v>57.328138167717938</c:v>
                </c:pt>
                <c:pt idx="128">
                  <c:v>0</c:v>
                </c:pt>
                <c:pt idx="129">
                  <c:v>0</c:v>
                </c:pt>
                <c:pt idx="130">
                  <c:v>17.246710053974045</c:v>
                </c:pt>
                <c:pt idx="131">
                  <c:v>0</c:v>
                </c:pt>
                <c:pt idx="132">
                  <c:v>44.761860894910207</c:v>
                </c:pt>
                <c:pt idx="133">
                  <c:v>0</c:v>
                </c:pt>
                <c:pt idx="134">
                  <c:v>57.293477494382905</c:v>
                </c:pt>
                <c:pt idx="135">
                  <c:v>29.366003669448563</c:v>
                </c:pt>
                <c:pt idx="136">
                  <c:v>87.093801581728897</c:v>
                </c:pt>
                <c:pt idx="137">
                  <c:v>61.056566479571238</c:v>
                </c:pt>
                <c:pt idx="138">
                  <c:v>18.374899412096305</c:v>
                </c:pt>
                <c:pt idx="139">
                  <c:v>0</c:v>
                </c:pt>
                <c:pt idx="140">
                  <c:v>41.184539467940127</c:v>
                </c:pt>
                <c:pt idx="141">
                  <c:v>37.407659823565567</c:v>
                </c:pt>
                <c:pt idx="142">
                  <c:v>0</c:v>
                </c:pt>
                <c:pt idx="143">
                  <c:v>18.373632715595335</c:v>
                </c:pt>
                <c:pt idx="144">
                  <c:v>42.726101017893143</c:v>
                </c:pt>
                <c:pt idx="145">
                  <c:v>0</c:v>
                </c:pt>
                <c:pt idx="146">
                  <c:v>0</c:v>
                </c:pt>
                <c:pt idx="147">
                  <c:v>40.504051451836759</c:v>
                </c:pt>
                <c:pt idx="148">
                  <c:v>95.192882533775304</c:v>
                </c:pt>
                <c:pt idx="149">
                  <c:v>30.305728630214873</c:v>
                </c:pt>
                <c:pt idx="150">
                  <c:v>59.628854292878131</c:v>
                </c:pt>
                <c:pt idx="151">
                  <c:v>23.272112124677538</c:v>
                </c:pt>
                <c:pt idx="152">
                  <c:v>63.293331009174317</c:v>
                </c:pt>
                <c:pt idx="153">
                  <c:v>24.187828499981844</c:v>
                </c:pt>
                <c:pt idx="154">
                  <c:v>18.903402056464387</c:v>
                </c:pt>
                <c:pt idx="155">
                  <c:v>0</c:v>
                </c:pt>
                <c:pt idx="156">
                  <c:v>16.959177656259421</c:v>
                </c:pt>
                <c:pt idx="157">
                  <c:v>25.753847497833661</c:v>
                </c:pt>
                <c:pt idx="158">
                  <c:v>17.523798848412593</c:v>
                </c:pt>
                <c:pt idx="159">
                  <c:v>75.866126767167813</c:v>
                </c:pt>
                <c:pt idx="160">
                  <c:v>50.327525167930823</c:v>
                </c:pt>
                <c:pt idx="161">
                  <c:v>43.930608142341256</c:v>
                </c:pt>
                <c:pt idx="162">
                  <c:v>77.908782274842622</c:v>
                </c:pt>
                <c:pt idx="163">
                  <c:v>20.272246735263767</c:v>
                </c:pt>
                <c:pt idx="164">
                  <c:v>56.197739642727981</c:v>
                </c:pt>
                <c:pt idx="165">
                  <c:v>0</c:v>
                </c:pt>
                <c:pt idx="166">
                  <c:v>46.295160785352451</c:v>
                </c:pt>
                <c:pt idx="167">
                  <c:v>18.626456474348917</c:v>
                </c:pt>
                <c:pt idx="168">
                  <c:v>19.183898502528116</c:v>
                </c:pt>
                <c:pt idx="169">
                  <c:v>43.994383194286897</c:v>
                </c:pt>
                <c:pt idx="170">
                  <c:v>35.142054255438751</c:v>
                </c:pt>
                <c:pt idx="171">
                  <c:v>27.637983690851158</c:v>
                </c:pt>
                <c:pt idx="172">
                  <c:v>19.25301209335041</c:v>
                </c:pt>
                <c:pt idx="173">
                  <c:v>33.910336926844955</c:v>
                </c:pt>
                <c:pt idx="174">
                  <c:v>25.717709597840514</c:v>
                </c:pt>
                <c:pt idx="175">
                  <c:v>21.686438926617214</c:v>
                </c:pt>
                <c:pt idx="176">
                  <c:v>47.106476786984217</c:v>
                </c:pt>
                <c:pt idx="177">
                  <c:v>22.054182674428429</c:v>
                </c:pt>
                <c:pt idx="178">
                  <c:v>0</c:v>
                </c:pt>
                <c:pt idx="179">
                  <c:v>0</c:v>
                </c:pt>
                <c:pt idx="180">
                  <c:v>55.154785845087552</c:v>
                </c:pt>
                <c:pt idx="181">
                  <c:v>60.75936136056972</c:v>
                </c:pt>
                <c:pt idx="182">
                  <c:v>0</c:v>
                </c:pt>
                <c:pt idx="183">
                  <c:v>26.350712254980991</c:v>
                </c:pt>
                <c:pt idx="184">
                  <c:v>49.89484281168113</c:v>
                </c:pt>
                <c:pt idx="185">
                  <c:v>40.214764186950234</c:v>
                </c:pt>
                <c:pt idx="186">
                  <c:v>40.569308175013099</c:v>
                </c:pt>
                <c:pt idx="187">
                  <c:v>0</c:v>
                </c:pt>
                <c:pt idx="188">
                  <c:v>19.035565138540555</c:v>
                </c:pt>
                <c:pt idx="189">
                  <c:v>0</c:v>
                </c:pt>
                <c:pt idx="190">
                  <c:v>76.648607502696237</c:v>
                </c:pt>
                <c:pt idx="191">
                  <c:v>0</c:v>
                </c:pt>
                <c:pt idx="192">
                  <c:v>0</c:v>
                </c:pt>
                <c:pt idx="193">
                  <c:v>0</c:v>
                </c:pt>
                <c:pt idx="194">
                  <c:v>0</c:v>
                </c:pt>
                <c:pt idx="195">
                  <c:v>19.715750266775331</c:v>
                </c:pt>
                <c:pt idx="196">
                  <c:v>19.047002657566701</c:v>
                </c:pt>
                <c:pt idx="197">
                  <c:v>17.496852037959375</c:v>
                </c:pt>
                <c:pt idx="198">
                  <c:v>16.974685240505227</c:v>
                </c:pt>
                <c:pt idx="199">
                  <c:v>0</c:v>
                </c:pt>
                <c:pt idx="200">
                  <c:v>83.589296096235699</c:v>
                </c:pt>
                <c:pt idx="201">
                  <c:v>0</c:v>
                </c:pt>
                <c:pt idx="202">
                  <c:v>0</c:v>
                </c:pt>
                <c:pt idx="203">
                  <c:v>17.380419197160023</c:v>
                </c:pt>
                <c:pt idx="204">
                  <c:v>0</c:v>
                </c:pt>
                <c:pt idx="205">
                  <c:v>0</c:v>
                </c:pt>
                <c:pt idx="206">
                  <c:v>17.336978075225616</c:v>
                </c:pt>
                <c:pt idx="207">
                  <c:v>41.270374540874002</c:v>
                </c:pt>
                <c:pt idx="208">
                  <c:v>80.032576234934808</c:v>
                </c:pt>
                <c:pt idx="209">
                  <c:v>26.490269344768169</c:v>
                </c:pt>
                <c:pt idx="210">
                  <c:v>17.977847116274056</c:v>
                </c:pt>
                <c:pt idx="211">
                  <c:v>48.40045434678143</c:v>
                </c:pt>
                <c:pt idx="212">
                  <c:v>25.966873266902201</c:v>
                </c:pt>
                <c:pt idx="213">
                  <c:v>65.521478978116747</c:v>
                </c:pt>
                <c:pt idx="214">
                  <c:v>68.621578274402012</c:v>
                </c:pt>
                <c:pt idx="215">
                  <c:v>0</c:v>
                </c:pt>
                <c:pt idx="216">
                  <c:v>29.259836273380269</c:v>
                </c:pt>
                <c:pt idx="217">
                  <c:v>51.527080997525509</c:v>
                </c:pt>
                <c:pt idx="218">
                  <c:v>17.391848463696068</c:v>
                </c:pt>
                <c:pt idx="219">
                  <c:v>16.960729435871873</c:v>
                </c:pt>
                <c:pt idx="220">
                  <c:v>20.023916941717825</c:v>
                </c:pt>
                <c:pt idx="221">
                  <c:v>0</c:v>
                </c:pt>
                <c:pt idx="222">
                  <c:v>77.050148518977764</c:v>
                </c:pt>
                <c:pt idx="223">
                  <c:v>17.014936570906556</c:v>
                </c:pt>
                <c:pt idx="224">
                  <c:v>0</c:v>
                </c:pt>
                <c:pt idx="225">
                  <c:v>56.070076782507641</c:v>
                </c:pt>
                <c:pt idx="226">
                  <c:v>67.947160722879502</c:v>
                </c:pt>
                <c:pt idx="227">
                  <c:v>0</c:v>
                </c:pt>
                <c:pt idx="228">
                  <c:v>30.191958116504541</c:v>
                </c:pt>
                <c:pt idx="229">
                  <c:v>27.780154500409015</c:v>
                </c:pt>
                <c:pt idx="230">
                  <c:v>44.667855335699493</c:v>
                </c:pt>
                <c:pt idx="231">
                  <c:v>0</c:v>
                </c:pt>
                <c:pt idx="232">
                  <c:v>0</c:v>
                </c:pt>
                <c:pt idx="233">
                  <c:v>60.187752384660953</c:v>
                </c:pt>
                <c:pt idx="234">
                  <c:v>0</c:v>
                </c:pt>
                <c:pt idx="235">
                  <c:v>59.129467221053211</c:v>
                </c:pt>
                <c:pt idx="236">
                  <c:v>0</c:v>
                </c:pt>
                <c:pt idx="237">
                  <c:v>43.501605851145214</c:v>
                </c:pt>
                <c:pt idx="238">
                  <c:v>29.298300895954917</c:v>
                </c:pt>
                <c:pt idx="239">
                  <c:v>32.946877812716941</c:v>
                </c:pt>
                <c:pt idx="240">
                  <c:v>0</c:v>
                </c:pt>
                <c:pt idx="241">
                  <c:v>21.825721754997762</c:v>
                </c:pt>
                <c:pt idx="242">
                  <c:v>24.045949849845297</c:v>
                </c:pt>
                <c:pt idx="243">
                  <c:v>43.925142049165544</c:v>
                </c:pt>
                <c:pt idx="244">
                  <c:v>0</c:v>
                </c:pt>
                <c:pt idx="245">
                  <c:v>26.301618415707679</c:v>
                </c:pt>
                <c:pt idx="246">
                  <c:v>0</c:v>
                </c:pt>
                <c:pt idx="247">
                  <c:v>68.96518696432183</c:v>
                </c:pt>
                <c:pt idx="248">
                  <c:v>28.179449387309546</c:v>
                </c:pt>
                <c:pt idx="249">
                  <c:v>41.730087039147193</c:v>
                </c:pt>
                <c:pt idx="250">
                  <c:v>52.786204163922633</c:v>
                </c:pt>
                <c:pt idx="251">
                  <c:v>19.355131018422664</c:v>
                </c:pt>
                <c:pt idx="252">
                  <c:v>21.433343909200104</c:v>
                </c:pt>
                <c:pt idx="253">
                  <c:v>0</c:v>
                </c:pt>
                <c:pt idx="254">
                  <c:v>0</c:v>
                </c:pt>
                <c:pt idx="255">
                  <c:v>0</c:v>
                </c:pt>
                <c:pt idx="256">
                  <c:v>0</c:v>
                </c:pt>
                <c:pt idx="257">
                  <c:v>41.192591274841021</c:v>
                </c:pt>
                <c:pt idx="258">
                  <c:v>0</c:v>
                </c:pt>
                <c:pt idx="259">
                  <c:v>0</c:v>
                </c:pt>
                <c:pt idx="260">
                  <c:v>24.83644303837686</c:v>
                </c:pt>
                <c:pt idx="261">
                  <c:v>20.099329016582416</c:v>
                </c:pt>
                <c:pt idx="262">
                  <c:v>80.75917021789337</c:v>
                </c:pt>
                <c:pt idx="263">
                  <c:v>19.043173392035985</c:v>
                </c:pt>
                <c:pt idx="264">
                  <c:v>27.590802871131409</c:v>
                </c:pt>
                <c:pt idx="265">
                  <c:v>21.867851346420046</c:v>
                </c:pt>
                <c:pt idx="266">
                  <c:v>0</c:v>
                </c:pt>
                <c:pt idx="267">
                  <c:v>0</c:v>
                </c:pt>
                <c:pt idx="268">
                  <c:v>17.40961014162361</c:v>
                </c:pt>
                <c:pt idx="269">
                  <c:v>0</c:v>
                </c:pt>
                <c:pt idx="270">
                  <c:v>33.862641366932678</c:v>
                </c:pt>
                <c:pt idx="271">
                  <c:v>53.835710763733047</c:v>
                </c:pt>
                <c:pt idx="272">
                  <c:v>44.042120979258655</c:v>
                </c:pt>
                <c:pt idx="273">
                  <c:v>31.452493612035333</c:v>
                </c:pt>
                <c:pt idx="274">
                  <c:v>51.874160478737771</c:v>
                </c:pt>
                <c:pt idx="275">
                  <c:v>25.543891122342583</c:v>
                </c:pt>
                <c:pt idx="276">
                  <c:v>74.333249663513641</c:v>
                </c:pt>
                <c:pt idx="277">
                  <c:v>40.402067366326534</c:v>
                </c:pt>
                <c:pt idx="278">
                  <c:v>0</c:v>
                </c:pt>
                <c:pt idx="279">
                  <c:v>0</c:v>
                </c:pt>
                <c:pt idx="280">
                  <c:v>89.913605803977404</c:v>
                </c:pt>
                <c:pt idx="281">
                  <c:v>0</c:v>
                </c:pt>
                <c:pt idx="282">
                  <c:v>0</c:v>
                </c:pt>
                <c:pt idx="283">
                  <c:v>17.400493409083538</c:v>
                </c:pt>
                <c:pt idx="284">
                  <c:v>39.761517338033109</c:v>
                </c:pt>
                <c:pt idx="285">
                  <c:v>0</c:v>
                </c:pt>
                <c:pt idx="286">
                  <c:v>46.45068274375533</c:v>
                </c:pt>
                <c:pt idx="287">
                  <c:v>18.956987460759024</c:v>
                </c:pt>
                <c:pt idx="288">
                  <c:v>42.430146475928069</c:v>
                </c:pt>
                <c:pt idx="289">
                  <c:v>40.243247242597661</c:v>
                </c:pt>
                <c:pt idx="290">
                  <c:v>16.925528294446327</c:v>
                </c:pt>
                <c:pt idx="291">
                  <c:v>38.161650823928802</c:v>
                </c:pt>
                <c:pt idx="292">
                  <c:v>63.767475797062353</c:v>
                </c:pt>
                <c:pt idx="293">
                  <c:v>0</c:v>
                </c:pt>
                <c:pt idx="294">
                  <c:v>37.592186340073269</c:v>
                </c:pt>
                <c:pt idx="295">
                  <c:v>18.567366059524794</c:v>
                </c:pt>
                <c:pt idx="296">
                  <c:v>0</c:v>
                </c:pt>
                <c:pt idx="297">
                  <c:v>21.805343389275905</c:v>
                </c:pt>
                <c:pt idx="298">
                  <c:v>0</c:v>
                </c:pt>
                <c:pt idx="299">
                  <c:v>19.696709611100975</c:v>
                </c:pt>
                <c:pt idx="300">
                  <c:v>44.517547905396341</c:v>
                </c:pt>
                <c:pt idx="301">
                  <c:v>0</c:v>
                </c:pt>
                <c:pt idx="302">
                  <c:v>0</c:v>
                </c:pt>
                <c:pt idx="303">
                  <c:v>50.565378290374383</c:v>
                </c:pt>
                <c:pt idx="304">
                  <c:v>17.466472129983469</c:v>
                </c:pt>
                <c:pt idx="305">
                  <c:v>62.364862686608056</c:v>
                </c:pt>
                <c:pt idx="306">
                  <c:v>21.534139905967059</c:v>
                </c:pt>
                <c:pt idx="307">
                  <c:v>18.306936531962414</c:v>
                </c:pt>
                <c:pt idx="308">
                  <c:v>64.771147416105151</c:v>
                </c:pt>
                <c:pt idx="309">
                  <c:v>43.457853646227228</c:v>
                </c:pt>
                <c:pt idx="310">
                  <c:v>0</c:v>
                </c:pt>
                <c:pt idx="311">
                  <c:v>0</c:v>
                </c:pt>
                <c:pt idx="312">
                  <c:v>0</c:v>
                </c:pt>
                <c:pt idx="313">
                  <c:v>17.108972444608479</c:v>
                </c:pt>
                <c:pt idx="314">
                  <c:v>17.030717580711674</c:v>
                </c:pt>
                <c:pt idx="315">
                  <c:v>54.649254444136552</c:v>
                </c:pt>
                <c:pt idx="316">
                  <c:v>16.987849416937557</c:v>
                </c:pt>
                <c:pt idx="317">
                  <c:v>17.205191124372284</c:v>
                </c:pt>
                <c:pt idx="318">
                  <c:v>0</c:v>
                </c:pt>
                <c:pt idx="319">
                  <c:v>0</c:v>
                </c:pt>
                <c:pt idx="320">
                  <c:v>21.52134089670497</c:v>
                </c:pt>
                <c:pt idx="321">
                  <c:v>33.601183987521502</c:v>
                </c:pt>
                <c:pt idx="322">
                  <c:v>35.40535382549271</c:v>
                </c:pt>
                <c:pt idx="323">
                  <c:v>0</c:v>
                </c:pt>
                <c:pt idx="324">
                  <c:v>56.34048213507883</c:v>
                </c:pt>
                <c:pt idx="325">
                  <c:v>36.384542620730628</c:v>
                </c:pt>
                <c:pt idx="326">
                  <c:v>36.17523162586582</c:v>
                </c:pt>
                <c:pt idx="327">
                  <c:v>0</c:v>
                </c:pt>
                <c:pt idx="328">
                  <c:v>0</c:v>
                </c:pt>
                <c:pt idx="329">
                  <c:v>16.84150233002573</c:v>
                </c:pt>
                <c:pt idx="330">
                  <c:v>30.031068332000171</c:v>
                </c:pt>
                <c:pt idx="331">
                  <c:v>56.323035513499498</c:v>
                </c:pt>
                <c:pt idx="332">
                  <c:v>0</c:v>
                </c:pt>
                <c:pt idx="333">
                  <c:v>0</c:v>
                </c:pt>
                <c:pt idx="334">
                  <c:v>17.028363683869195</c:v>
                </c:pt>
                <c:pt idx="335">
                  <c:v>40.581820967478933</c:v>
                </c:pt>
                <c:pt idx="336">
                  <c:v>29.837186586260088</c:v>
                </c:pt>
                <c:pt idx="337">
                  <c:v>0</c:v>
                </c:pt>
                <c:pt idx="338">
                  <c:v>0</c:v>
                </c:pt>
                <c:pt idx="339">
                  <c:v>32.548165881975855</c:v>
                </c:pt>
                <c:pt idx="340">
                  <c:v>25.823943657961131</c:v>
                </c:pt>
                <c:pt idx="341">
                  <c:v>32.915726730901831</c:v>
                </c:pt>
                <c:pt idx="342">
                  <c:v>78.250738004037444</c:v>
                </c:pt>
                <c:pt idx="343">
                  <c:v>18.665389739737083</c:v>
                </c:pt>
                <c:pt idx="344">
                  <c:v>0</c:v>
                </c:pt>
                <c:pt idx="345">
                  <c:v>31.186745268679967</c:v>
                </c:pt>
                <c:pt idx="346">
                  <c:v>17.316528918388261</c:v>
                </c:pt>
                <c:pt idx="347">
                  <c:v>71.5126215765886</c:v>
                </c:pt>
                <c:pt idx="348">
                  <c:v>20.714592217429118</c:v>
                </c:pt>
                <c:pt idx="349">
                  <c:v>43.480006045144258</c:v>
                </c:pt>
                <c:pt idx="350">
                  <c:v>0</c:v>
                </c:pt>
                <c:pt idx="351">
                  <c:v>40.326125625811926</c:v>
                </c:pt>
                <c:pt idx="352">
                  <c:v>27.815284017393843</c:v>
                </c:pt>
                <c:pt idx="353">
                  <c:v>68.250828652543049</c:v>
                </c:pt>
                <c:pt idx="354">
                  <c:v>59.798370280899448</c:v>
                </c:pt>
                <c:pt idx="355">
                  <c:v>49.738988992298076</c:v>
                </c:pt>
                <c:pt idx="356">
                  <c:v>93.096315344557297</c:v>
                </c:pt>
                <c:pt idx="357">
                  <c:v>45.897474696019323</c:v>
                </c:pt>
                <c:pt idx="358">
                  <c:v>24.771350337025407</c:v>
                </c:pt>
                <c:pt idx="359">
                  <c:v>21.11221531491249</c:v>
                </c:pt>
                <c:pt idx="360">
                  <c:v>61.372864885031184</c:v>
                </c:pt>
                <c:pt idx="361">
                  <c:v>39.97213999897145</c:v>
                </c:pt>
                <c:pt idx="362">
                  <c:v>62.315721732006516</c:v>
                </c:pt>
                <c:pt idx="363">
                  <c:v>51.745148388071506</c:v>
                </c:pt>
                <c:pt idx="364">
                  <c:v>17.068739602870629</c:v>
                </c:pt>
                <c:pt idx="365">
                  <c:v>19.264269415437152</c:v>
                </c:pt>
                <c:pt idx="366">
                  <c:v>44.414729285165045</c:v>
                </c:pt>
                <c:pt idx="367">
                  <c:v>17.282363594975767</c:v>
                </c:pt>
                <c:pt idx="368">
                  <c:v>64.328726334485651</c:v>
                </c:pt>
                <c:pt idx="369">
                  <c:v>27.67514835577381</c:v>
                </c:pt>
                <c:pt idx="370">
                  <c:v>18.328865006411458</c:v>
                </c:pt>
                <c:pt idx="371">
                  <c:v>40.569720137777082</c:v>
                </c:pt>
                <c:pt idx="372">
                  <c:v>49.217283836753715</c:v>
                </c:pt>
                <c:pt idx="373">
                  <c:v>61.034232808620125</c:v>
                </c:pt>
                <c:pt idx="374">
                  <c:v>48.171394583478047</c:v>
                </c:pt>
                <c:pt idx="375">
                  <c:v>53.295267296160667</c:v>
                </c:pt>
                <c:pt idx="376">
                  <c:v>21.601687009768042</c:v>
                </c:pt>
                <c:pt idx="377">
                  <c:v>39.558832547252699</c:v>
                </c:pt>
                <c:pt idx="378">
                  <c:v>45.287288435638182</c:v>
                </c:pt>
                <c:pt idx="379">
                  <c:v>65.557163156416593</c:v>
                </c:pt>
                <c:pt idx="380">
                  <c:v>34.42189910037947</c:v>
                </c:pt>
                <c:pt idx="381">
                  <c:v>17.341200451061276</c:v>
                </c:pt>
                <c:pt idx="382">
                  <c:v>22.747999931469927</c:v>
                </c:pt>
                <c:pt idx="383">
                  <c:v>32.30734602842135</c:v>
                </c:pt>
                <c:pt idx="384">
                  <c:v>26.811445810843633</c:v>
                </c:pt>
                <c:pt idx="385">
                  <c:v>60.955320998600946</c:v>
                </c:pt>
                <c:pt idx="386">
                  <c:v>17.115301406975888</c:v>
                </c:pt>
                <c:pt idx="387">
                  <c:v>33.774638994997453</c:v>
                </c:pt>
                <c:pt idx="388">
                  <c:v>61.002466707301863</c:v>
                </c:pt>
                <c:pt idx="389">
                  <c:v>73.115663013805602</c:v>
                </c:pt>
                <c:pt idx="390">
                  <c:v>22.044512706044721</c:v>
                </c:pt>
                <c:pt idx="391">
                  <c:v>48.771548152864405</c:v>
                </c:pt>
                <c:pt idx="392">
                  <c:v>20.184352918062494</c:v>
                </c:pt>
                <c:pt idx="393">
                  <c:v>64.270174947137605</c:v>
                </c:pt>
                <c:pt idx="394">
                  <c:v>24.922007452837999</c:v>
                </c:pt>
                <c:pt idx="395">
                  <c:v>57.342690494123381</c:v>
                </c:pt>
                <c:pt idx="396">
                  <c:v>55.745469928859151</c:v>
                </c:pt>
                <c:pt idx="397">
                  <c:v>77.932880829170372</c:v>
                </c:pt>
                <c:pt idx="398">
                  <c:v>73.772317287566679</c:v>
                </c:pt>
                <c:pt idx="399">
                  <c:v>39.898343499045573</c:v>
                </c:pt>
                <c:pt idx="400">
                  <c:v>45.665297826359783</c:v>
                </c:pt>
                <c:pt idx="401">
                  <c:v>27.66252603941351</c:v>
                </c:pt>
                <c:pt idx="402">
                  <c:v>62.38977537422069</c:v>
                </c:pt>
                <c:pt idx="403">
                  <c:v>76.195051094351356</c:v>
                </c:pt>
                <c:pt idx="404">
                  <c:v>46.188629159713123</c:v>
                </c:pt>
                <c:pt idx="405">
                  <c:v>35.42940153181285</c:v>
                </c:pt>
                <c:pt idx="406">
                  <c:v>22.23379716396207</c:v>
                </c:pt>
                <c:pt idx="407">
                  <c:v>39.873436964298165</c:v>
                </c:pt>
                <c:pt idx="408">
                  <c:v>64.124813541099769</c:v>
                </c:pt>
                <c:pt idx="409">
                  <c:v>64.215840323891697</c:v>
                </c:pt>
                <c:pt idx="410">
                  <c:v>37.971967823951026</c:v>
                </c:pt>
                <c:pt idx="411">
                  <c:v>44.204819739677411</c:v>
                </c:pt>
                <c:pt idx="412">
                  <c:v>32.627351936936876</c:v>
                </c:pt>
                <c:pt idx="413">
                  <c:v>51.863430780202293</c:v>
                </c:pt>
                <c:pt idx="414">
                  <c:v>21.03607901638166</c:v>
                </c:pt>
                <c:pt idx="415">
                  <c:v>24.098930883000445</c:v>
                </c:pt>
                <c:pt idx="416">
                  <c:v>48.165813662429443</c:v>
                </c:pt>
                <c:pt idx="417">
                  <c:v>68.021105679380454</c:v>
                </c:pt>
                <c:pt idx="418">
                  <c:v>83.418937445153247</c:v>
                </c:pt>
                <c:pt idx="419">
                  <c:v>70.392569693459166</c:v>
                </c:pt>
                <c:pt idx="420">
                  <c:v>66.723094515917566</c:v>
                </c:pt>
                <c:pt idx="421">
                  <c:v>36.215635625906408</c:v>
                </c:pt>
                <c:pt idx="422">
                  <c:v>32.768009828027644</c:v>
                </c:pt>
                <c:pt idx="423">
                  <c:v>60.604155895766908</c:v>
                </c:pt>
                <c:pt idx="424">
                  <c:v>63.811780926847817</c:v>
                </c:pt>
                <c:pt idx="425">
                  <c:v>34.169421458003164</c:v>
                </c:pt>
                <c:pt idx="426">
                  <c:v>43.751668899393138</c:v>
                </c:pt>
                <c:pt idx="427">
                  <c:v>45.634904973469865</c:v>
                </c:pt>
                <c:pt idx="428">
                  <c:v>57.103561296956883</c:v>
                </c:pt>
                <c:pt idx="429">
                  <c:v>30.756778900436295</c:v>
                </c:pt>
                <c:pt idx="430">
                  <c:v>63.224312171801877</c:v>
                </c:pt>
                <c:pt idx="431">
                  <c:v>42.708888538817909</c:v>
                </c:pt>
                <c:pt idx="432">
                  <c:v>56.929449849085543</c:v>
                </c:pt>
                <c:pt idx="433">
                  <c:v>35.791344086052625</c:v>
                </c:pt>
                <c:pt idx="434">
                  <c:v>26.009571681544891</c:v>
                </c:pt>
                <c:pt idx="435">
                  <c:v>46.645497435461749</c:v>
                </c:pt>
                <c:pt idx="436">
                  <c:v>47.058446441682776</c:v>
                </c:pt>
                <c:pt idx="437">
                  <c:v>26.661685503714374</c:v>
                </c:pt>
              </c:numCache>
            </c:numRef>
          </c:yVal>
          <c:smooth val="0"/>
        </c:ser>
        <c:dLbls>
          <c:showLegendKey val="0"/>
          <c:showVal val="0"/>
          <c:showCatName val="0"/>
          <c:showSerName val="0"/>
          <c:showPercent val="0"/>
          <c:showBubbleSize val="0"/>
        </c:dLbls>
        <c:axId val="206017232"/>
        <c:axId val="206018408"/>
      </c:scatterChart>
      <c:valAx>
        <c:axId val="206017232"/>
        <c:scaling>
          <c:orientation val="minMax"/>
        </c:scaling>
        <c:delete val="0"/>
        <c:axPos val="b"/>
        <c:title>
          <c:tx>
            <c:rich>
              <a:bodyPr/>
              <a:lstStyle/>
              <a:p>
                <a:pPr>
                  <a:defRPr/>
                </a:pPr>
                <a:r>
                  <a:rPr lang="en-US"/>
                  <a:t>Target Aid %</a:t>
                </a:r>
              </a:p>
            </c:rich>
          </c:tx>
          <c:overlay val="0"/>
        </c:title>
        <c:numFmt formatCode="#,##0" sourceLinked="0"/>
        <c:majorTickMark val="out"/>
        <c:minorTickMark val="none"/>
        <c:tickLblPos val="nextTo"/>
        <c:crossAx val="206018408"/>
        <c:crosses val="autoZero"/>
        <c:crossBetween val="midCat"/>
      </c:valAx>
      <c:valAx>
        <c:axId val="206018408"/>
        <c:scaling>
          <c:orientation val="minMax"/>
          <c:max val="100.0001"/>
          <c:min val="1.0000000000000221E-4"/>
        </c:scaling>
        <c:delete val="0"/>
        <c:axPos val="l"/>
        <c:title>
          <c:tx>
            <c:rich>
              <a:bodyPr rot="-5400000" vert="horz"/>
              <a:lstStyle/>
              <a:p>
                <a:pPr>
                  <a:defRPr/>
                </a:pPr>
                <a:r>
                  <a:rPr lang="en-US"/>
                  <a:t>Chapter 70 Aid %</a:t>
                </a:r>
              </a:p>
            </c:rich>
          </c:tx>
          <c:layout>
            <c:manualLayout>
              <c:xMode val="edge"/>
              <c:yMode val="edge"/>
              <c:x val="3.6954915003696654E-3"/>
              <c:y val="0.27175776685632419"/>
            </c:manualLayout>
          </c:layout>
          <c:overlay val="0"/>
        </c:title>
        <c:numFmt formatCode="#,##0" sourceLinked="0"/>
        <c:majorTickMark val="out"/>
        <c:minorTickMark val="none"/>
        <c:tickLblPos val="nextTo"/>
        <c:crossAx val="206017232"/>
        <c:crosses val="autoZero"/>
        <c:crossBetween val="midCat"/>
      </c:valAx>
    </c:plotArea>
    <c:legend>
      <c:legendPos val="b"/>
      <c:overlay val="0"/>
    </c:legend>
    <c:plotVisOnly val="1"/>
    <c:dispBlanksAs val="gap"/>
    <c:showDLblsOverMax val="0"/>
  </c:chart>
  <c:spPr>
    <a:ln>
      <a:noFill/>
    </a:ln>
  </c:spPr>
  <c:txPr>
    <a:bodyPr/>
    <a:lstStyle/>
    <a:p>
      <a:pPr>
        <a:defRPr sz="900"/>
      </a:pPr>
      <a:endParaRPr lang="en-US"/>
    </a:p>
  </c:txPr>
  <c:printSettings>
    <c:headerFooter/>
    <c:pageMargins b="0.75000000000001465" l="0.70000000000000062" r="0.70000000000000062" t="0.75000000000001465"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ser>
          <c:idx val="0"/>
          <c:order val="0"/>
          <c:tx>
            <c:strRef>
              <c:f>Summary!$F$10</c:f>
              <c:strCache>
                <c:ptCount val="1"/>
                <c:pt idx="0">
                  <c:v>FY17</c:v>
                </c:pt>
              </c:strCache>
            </c:strRef>
          </c:tx>
          <c:spPr>
            <a:solidFill>
              <a:srgbClr val="003300"/>
            </a:soli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Summary!$F$11:$F$13</c:f>
              <c:numCache>
                <c:formatCode>#,##0</c:formatCode>
                <c:ptCount val="3"/>
                <c:pt idx="0">
                  <c:v>2004</c:v>
                </c:pt>
                <c:pt idx="1">
                  <c:v>22136766.249999996</c:v>
                </c:pt>
                <c:pt idx="2">
                  <c:v>10147763</c:v>
                </c:pt>
              </c:numCache>
            </c:numRef>
          </c:val>
        </c:ser>
        <c:ser>
          <c:idx val="1"/>
          <c:order val="1"/>
          <c:tx>
            <c:strRef>
              <c:f>Summary!$G$10</c:f>
              <c:strCache>
                <c:ptCount val="1"/>
                <c:pt idx="0">
                  <c:v>FY18</c:v>
                </c:pt>
              </c:strCache>
            </c:strRef>
          </c:tx>
          <c:spPr>
            <a:gradFill rotWithShape="0">
              <a:gsLst>
                <a:gs pos="0">
                  <a:srgbClr val="339933"/>
                </a:gs>
                <a:gs pos="100000">
                  <a:srgbClr val="C0C0C0"/>
                </a:gs>
              </a:gsLst>
              <a:lin ang="5400000" scaled="1"/>
            </a:gra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Summary!$G$11:$G$13</c:f>
              <c:numCache>
                <c:formatCode>#,##0</c:formatCode>
                <c:ptCount val="3"/>
                <c:pt idx="0">
                  <c:v>1989</c:v>
                </c:pt>
                <c:pt idx="1">
                  <c:v>22425991.213709842</c:v>
                </c:pt>
                <c:pt idx="2">
                  <c:v>10170354</c:v>
                </c:pt>
              </c:numCache>
            </c:numRef>
          </c:val>
        </c:ser>
        <c:ser>
          <c:idx val="2"/>
          <c:order val="2"/>
          <c:tx>
            <c:strRef>
              <c:f>Summary!$H$10</c:f>
              <c:strCache>
                <c:ptCount val="1"/>
                <c:pt idx="0">
                  <c:v>Change</c:v>
                </c:pt>
              </c:strCache>
            </c:strRef>
          </c:tx>
          <c:spPr>
            <a:gradFill rotWithShape="0">
              <a:gsLst>
                <a:gs pos="0">
                  <a:srgbClr val="C0C0C0"/>
                </a:gs>
                <a:gs pos="100000">
                  <a:srgbClr val="969696"/>
                </a:gs>
              </a:gsLst>
              <a:lin ang="5400000" scaled="1"/>
            </a:gra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Summary!$H$11:$H$13</c:f>
              <c:numCache>
                <c:formatCode>#,##0</c:formatCode>
                <c:ptCount val="3"/>
                <c:pt idx="0">
                  <c:v>-15</c:v>
                </c:pt>
                <c:pt idx="1">
                  <c:v>289224.96370984614</c:v>
                </c:pt>
                <c:pt idx="2">
                  <c:v>22591</c:v>
                </c:pt>
              </c:numCache>
            </c:numRef>
          </c:val>
        </c:ser>
        <c:ser>
          <c:idx val="3"/>
          <c:order val="3"/>
          <c:tx>
            <c:strRef>
              <c:f>Summary!$I$10</c:f>
              <c:strCache>
                <c:ptCount val="1"/>
                <c:pt idx="0">
                  <c:v>Pct Chg</c:v>
                </c:pt>
              </c:strCache>
            </c:strRef>
          </c:tx>
          <c:spPr>
            <a:solidFill>
              <a:srgbClr val="663300"/>
            </a:solidFill>
            <a:ln w="12700">
              <a:solidFill>
                <a:srgbClr val="000000"/>
              </a:solidFill>
              <a:prstDash val="solid"/>
            </a:ln>
          </c:spPr>
          <c:invertIfNegative val="0"/>
          <c:cat>
            <c:strRef>
              <c:f>Summary!$E$11:$E$13</c:f>
              <c:strCache>
                <c:ptCount val="3"/>
                <c:pt idx="0">
                  <c:v>Enrollment</c:v>
                </c:pt>
                <c:pt idx="1">
                  <c:v>Foundation budget</c:v>
                </c:pt>
                <c:pt idx="2">
                  <c:v>Required district contribution</c:v>
                </c:pt>
              </c:strCache>
            </c:strRef>
          </c:cat>
          <c:val>
            <c:numRef>
              <c:f>Summary!$I$11:$I$13</c:f>
              <c:numCache>
                <c:formatCode>0.00%</c:formatCode>
                <c:ptCount val="3"/>
                <c:pt idx="0">
                  <c:v>-7.4850299401197605E-3</c:v>
                </c:pt>
                <c:pt idx="1">
                  <c:v>1.3065366478712589E-2</c:v>
                </c:pt>
                <c:pt idx="2">
                  <c:v>2.2262049281206115E-3</c:v>
                </c:pt>
              </c:numCache>
            </c:numRef>
          </c:val>
        </c:ser>
        <c:ser>
          <c:idx val="4"/>
          <c:order val="4"/>
          <c:tx>
            <c:v>FY10</c:v>
          </c:tx>
          <c:spPr>
            <a:solidFill>
              <a:srgbClr val="FF8080"/>
            </a:solidFill>
            <a:ln w="12700">
              <a:solidFill>
                <a:srgbClr val="000000"/>
              </a:solidFill>
              <a:prstDash val="solid"/>
            </a:ln>
          </c:spPr>
          <c:invertIfNegative val="0"/>
          <c:val>
            <c:numRef>
              <c:f>Summary!$J$11:$J$13</c:f>
              <c:numCache>
                <c:formatCode>#,##0</c:formatCode>
                <c:ptCount val="3"/>
              </c:numCache>
            </c:numRef>
          </c:val>
        </c:ser>
        <c:dLbls>
          <c:showLegendKey val="0"/>
          <c:showVal val="0"/>
          <c:showCatName val="0"/>
          <c:showSerName val="0"/>
          <c:showPercent val="0"/>
          <c:showBubbleSize val="0"/>
        </c:dLbls>
        <c:gapWidth val="150"/>
        <c:axId val="245354144"/>
        <c:axId val="245351400"/>
      </c:barChart>
      <c:catAx>
        <c:axId val="245354144"/>
        <c:scaling>
          <c:orientation val="minMax"/>
        </c:scaling>
        <c:delete val="0"/>
        <c:axPos val="b"/>
        <c:numFmt formatCode="General" sourceLinked="1"/>
        <c:majorTickMark val="out"/>
        <c:minorTickMark val="none"/>
        <c:tickLblPos val="nextTo"/>
        <c:spPr>
          <a:ln w="3175">
            <a:solidFill>
              <a:srgbClr val="000000"/>
            </a:solidFill>
            <a:prstDash val="solid"/>
          </a:ln>
        </c:spPr>
        <c:txPr>
          <a:bodyPr rot="-5400000" vert="horz"/>
          <a:lstStyle/>
          <a:p>
            <a:pPr>
              <a:defRPr sz="100" b="0" i="0" u="none" strike="noStrike" baseline="0">
                <a:solidFill>
                  <a:srgbClr val="000000"/>
                </a:solidFill>
                <a:latin typeface="Arial"/>
                <a:ea typeface="Arial"/>
                <a:cs typeface="Arial"/>
              </a:defRPr>
            </a:pPr>
            <a:endParaRPr lang="en-US"/>
          </a:p>
        </c:txPr>
        <c:crossAx val="245351400"/>
        <c:crosses val="autoZero"/>
        <c:auto val="1"/>
        <c:lblAlgn val="ctr"/>
        <c:lblOffset val="100"/>
        <c:tickLblSkip val="2"/>
        <c:tickMarkSkip val="1"/>
        <c:noMultiLvlLbl val="0"/>
      </c:catAx>
      <c:valAx>
        <c:axId val="245351400"/>
        <c:scaling>
          <c:orientation val="minMax"/>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00" b="0" i="0" u="none" strike="noStrike" baseline="0">
                <a:solidFill>
                  <a:srgbClr val="000000"/>
                </a:solidFill>
                <a:latin typeface="Arial"/>
                <a:ea typeface="Arial"/>
                <a:cs typeface="Arial"/>
              </a:defRPr>
            </a:pPr>
            <a:endParaRPr lang="en-US"/>
          </a:p>
        </c:txPr>
        <c:crossAx val="245354144"/>
        <c:crosses val="autoZero"/>
        <c:crossBetween val="between"/>
      </c:valAx>
      <c:spPr>
        <a:noFill/>
        <a:ln w="12700">
          <a:solidFill>
            <a:srgbClr val="808080"/>
          </a:solidFill>
          <a:prstDash val="solid"/>
        </a:ln>
      </c:spPr>
    </c:plotArea>
    <c:legend>
      <c:legendPos val="r"/>
      <c:layout>
        <c:manualLayout>
          <c:xMode val="edge"/>
          <c:yMode val="edge"/>
          <c:x val="0"/>
          <c:y val="0.36458333333333331"/>
          <c:w val="0"/>
          <c:h val="0.265625"/>
        </c:manualLayout>
      </c:layout>
      <c:overlay val="0"/>
      <c:spPr>
        <a:noFill/>
        <a:ln w="25400">
          <a:noFill/>
        </a:ln>
      </c:spPr>
      <c:txPr>
        <a:bodyPr/>
        <a:lstStyle/>
        <a:p>
          <a:pPr>
            <a:defRPr sz="150" b="0" i="0" u="none" strike="noStrike" baseline="0">
              <a:solidFill>
                <a:srgbClr val="000000"/>
              </a:solidFill>
              <a:latin typeface="Arial"/>
              <a:ea typeface="Arial"/>
              <a:cs typeface="Arial"/>
            </a:defRPr>
          </a:pPr>
          <a:endParaRPr lang="en-US"/>
        </a:p>
      </c:txPr>
    </c:legend>
    <c:plotVisOnly val="1"/>
    <c:dispBlanksAs val="gap"/>
    <c:showDLblsOverMax val="0"/>
  </c:chart>
  <c:spPr>
    <a:noFill/>
    <a:ln w="9525">
      <a:noFill/>
    </a:ln>
  </c:spPr>
  <c:txPr>
    <a:bodyPr/>
    <a:lstStyle/>
    <a:p>
      <a:pPr>
        <a:defRPr sz="100" b="0" i="0" u="none" strike="noStrike" baseline="0">
          <a:solidFill>
            <a:srgbClr val="000000"/>
          </a:solidFill>
          <a:latin typeface="Arial"/>
          <a:ea typeface="Arial"/>
          <a:cs typeface="Arial"/>
        </a:defRPr>
      </a:pPr>
      <a:endParaRPr lang="en-US"/>
    </a:p>
  </c:txPr>
  <c:printSettings>
    <c:headerFooter alignWithMargins="0"/>
    <c:pageMargins b="1" l="0.75000000000001465" r="0.75000000000001465" t="1" header="0.5" footer="0.5"/>
    <c:pageSetup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sz="1200"/>
            </a:pPr>
            <a:r>
              <a:rPr lang="en-US" sz="1200"/>
              <a:t>Five Year Trend</a:t>
            </a:r>
          </a:p>
        </c:rich>
      </c:tx>
      <c:layout>
        <c:manualLayout>
          <c:xMode val="edge"/>
          <c:yMode val="edge"/>
          <c:x val="0.40806377079483153"/>
          <c:y val="1.9157088122605363E-2"/>
        </c:manualLayout>
      </c:layout>
      <c:overlay val="0"/>
    </c:title>
    <c:autoTitleDeleted val="0"/>
    <c:plotArea>
      <c:layout>
        <c:manualLayout>
          <c:layoutTarget val="inner"/>
          <c:xMode val="edge"/>
          <c:yMode val="edge"/>
          <c:x val="0.12279462063545421"/>
          <c:y val="0.1492582739551444"/>
          <c:w val="0.84990339412286953"/>
          <c:h val="0.63807601299415806"/>
        </c:manualLayout>
      </c:layout>
      <c:barChart>
        <c:barDir val="col"/>
        <c:grouping val="clustered"/>
        <c:varyColors val="0"/>
        <c:ser>
          <c:idx val="1"/>
          <c:order val="0"/>
          <c:tx>
            <c:strRef>
              <c:f>Summary!$Z$10</c:f>
              <c:strCache>
                <c:ptCount val="1"/>
                <c:pt idx="0">
                  <c:v>FY13</c:v>
                </c:pt>
              </c:strCache>
            </c:strRef>
          </c:tx>
          <c:invertIfNegative val="0"/>
          <c:cat>
            <c:strRef>
              <c:f>Summary!$R$11:$R$13</c:f>
              <c:strCache>
                <c:ptCount val="3"/>
                <c:pt idx="0">
                  <c:v>Foundation Budget</c:v>
                </c:pt>
                <c:pt idx="1">
                  <c:v>Required District Contribution</c:v>
                </c:pt>
                <c:pt idx="2">
                  <c:v>C70 Aid</c:v>
                </c:pt>
              </c:strCache>
            </c:strRef>
          </c:cat>
          <c:val>
            <c:numRef>
              <c:f>Summary!$Z$11:$Z$13</c:f>
              <c:numCache>
                <c:formatCode>#,##0</c:formatCode>
                <c:ptCount val="3"/>
                <c:pt idx="0">
                  <c:v>19780303.73</c:v>
                </c:pt>
                <c:pt idx="1">
                  <c:v>9875242</c:v>
                </c:pt>
                <c:pt idx="2">
                  <c:v>9905062</c:v>
                </c:pt>
              </c:numCache>
            </c:numRef>
          </c:val>
        </c:ser>
        <c:ser>
          <c:idx val="2"/>
          <c:order val="1"/>
          <c:tx>
            <c:strRef>
              <c:f>Summary!$AA$10</c:f>
              <c:strCache>
                <c:ptCount val="1"/>
                <c:pt idx="0">
                  <c:v>FY14</c:v>
                </c:pt>
              </c:strCache>
            </c:strRef>
          </c:tx>
          <c:invertIfNegative val="0"/>
          <c:cat>
            <c:strRef>
              <c:f>Summary!$R$11:$R$13</c:f>
              <c:strCache>
                <c:ptCount val="3"/>
                <c:pt idx="0">
                  <c:v>Foundation Budget</c:v>
                </c:pt>
                <c:pt idx="1">
                  <c:v>Required District Contribution</c:v>
                </c:pt>
                <c:pt idx="2">
                  <c:v>C70 Aid</c:v>
                </c:pt>
              </c:strCache>
            </c:strRef>
          </c:cat>
          <c:val>
            <c:numRef>
              <c:f>Summary!$AA$11:$AA$13</c:f>
              <c:numCache>
                <c:formatCode>#,##0</c:formatCode>
                <c:ptCount val="3"/>
                <c:pt idx="0">
                  <c:v>20497532.719999999</c:v>
                </c:pt>
                <c:pt idx="1">
                  <c:v>10176657</c:v>
                </c:pt>
                <c:pt idx="2">
                  <c:v>10320876</c:v>
                </c:pt>
              </c:numCache>
            </c:numRef>
          </c:val>
        </c:ser>
        <c:ser>
          <c:idx val="3"/>
          <c:order val="2"/>
          <c:tx>
            <c:strRef>
              <c:f>Summary!$AB$10</c:f>
              <c:strCache>
                <c:ptCount val="1"/>
                <c:pt idx="0">
                  <c:v>FY15</c:v>
                </c:pt>
              </c:strCache>
            </c:strRef>
          </c:tx>
          <c:invertIfNegative val="0"/>
          <c:cat>
            <c:strRef>
              <c:f>Summary!$R$11:$R$13</c:f>
              <c:strCache>
                <c:ptCount val="3"/>
                <c:pt idx="0">
                  <c:v>Foundation Budget</c:v>
                </c:pt>
                <c:pt idx="1">
                  <c:v>Required District Contribution</c:v>
                </c:pt>
                <c:pt idx="2">
                  <c:v>C70 Aid</c:v>
                </c:pt>
              </c:strCache>
            </c:strRef>
          </c:cat>
          <c:val>
            <c:numRef>
              <c:f>Summary!$AB$11:$AB$13</c:f>
              <c:numCache>
                <c:formatCode>#,##0</c:formatCode>
                <c:ptCount val="3"/>
                <c:pt idx="0">
                  <c:v>20776506.130000003</c:v>
                </c:pt>
                <c:pt idx="1">
                  <c:v>10261282</c:v>
                </c:pt>
                <c:pt idx="2">
                  <c:v>10515224</c:v>
                </c:pt>
              </c:numCache>
            </c:numRef>
          </c:val>
        </c:ser>
        <c:ser>
          <c:idx val="4"/>
          <c:order val="3"/>
          <c:tx>
            <c:strRef>
              <c:f>Summary!$AC$10</c:f>
              <c:strCache>
                <c:ptCount val="1"/>
                <c:pt idx="0">
                  <c:v>FY16</c:v>
                </c:pt>
              </c:strCache>
            </c:strRef>
          </c:tx>
          <c:invertIfNegative val="0"/>
          <c:cat>
            <c:strRef>
              <c:f>Summary!$R$11:$R$13</c:f>
              <c:strCache>
                <c:ptCount val="3"/>
                <c:pt idx="0">
                  <c:v>Foundation Budget</c:v>
                </c:pt>
                <c:pt idx="1">
                  <c:v>Required District Contribution</c:v>
                </c:pt>
                <c:pt idx="2">
                  <c:v>C70 Aid</c:v>
                </c:pt>
              </c:strCache>
            </c:strRef>
          </c:cat>
          <c:val>
            <c:numRef>
              <c:f>Summary!$AC$11:$AC$13</c:f>
              <c:numCache>
                <c:formatCode>#,##0</c:formatCode>
                <c:ptCount val="3"/>
                <c:pt idx="0">
                  <c:v>21401884.859999996</c:v>
                </c:pt>
                <c:pt idx="1">
                  <c:v>10346397</c:v>
                </c:pt>
                <c:pt idx="2">
                  <c:v>11055488</c:v>
                </c:pt>
              </c:numCache>
            </c:numRef>
          </c:val>
        </c:ser>
        <c:ser>
          <c:idx val="5"/>
          <c:order val="4"/>
          <c:tx>
            <c:strRef>
              <c:f>Summary!$AD$10</c:f>
              <c:strCache>
                <c:ptCount val="1"/>
                <c:pt idx="0">
                  <c:v>FY17</c:v>
                </c:pt>
              </c:strCache>
            </c:strRef>
          </c:tx>
          <c:invertIfNegative val="0"/>
          <c:cat>
            <c:strRef>
              <c:f>Summary!$R$11:$R$13</c:f>
              <c:strCache>
                <c:ptCount val="3"/>
                <c:pt idx="0">
                  <c:v>Foundation Budget</c:v>
                </c:pt>
                <c:pt idx="1">
                  <c:v>Required District Contribution</c:v>
                </c:pt>
                <c:pt idx="2">
                  <c:v>C70 Aid</c:v>
                </c:pt>
              </c:strCache>
            </c:strRef>
          </c:cat>
          <c:val>
            <c:numRef>
              <c:f>Summary!$AD$11:$AD$13</c:f>
              <c:numCache>
                <c:formatCode>#,##0</c:formatCode>
                <c:ptCount val="3"/>
                <c:pt idx="0">
                  <c:v>22425991.213709842</c:v>
                </c:pt>
                <c:pt idx="1">
                  <c:v>10170354</c:v>
                </c:pt>
                <c:pt idx="2">
                  <c:v>0</c:v>
                </c:pt>
              </c:numCache>
            </c:numRef>
          </c:val>
        </c:ser>
        <c:dLbls>
          <c:showLegendKey val="0"/>
          <c:showVal val="0"/>
          <c:showCatName val="0"/>
          <c:showSerName val="0"/>
          <c:showPercent val="0"/>
          <c:showBubbleSize val="0"/>
        </c:dLbls>
        <c:gapWidth val="150"/>
        <c:axId val="245354928"/>
        <c:axId val="245357280"/>
      </c:barChart>
      <c:catAx>
        <c:axId val="245354928"/>
        <c:scaling>
          <c:orientation val="minMax"/>
        </c:scaling>
        <c:delete val="0"/>
        <c:axPos val="b"/>
        <c:numFmt formatCode="General" sourceLinked="1"/>
        <c:majorTickMark val="out"/>
        <c:minorTickMark val="none"/>
        <c:tickLblPos val="nextTo"/>
        <c:txPr>
          <a:bodyPr rot="0" vert="horz"/>
          <a:lstStyle/>
          <a:p>
            <a:pPr>
              <a:defRPr/>
            </a:pPr>
            <a:endParaRPr lang="en-US"/>
          </a:p>
        </c:txPr>
        <c:crossAx val="245357280"/>
        <c:crosses val="autoZero"/>
        <c:auto val="1"/>
        <c:lblAlgn val="ctr"/>
        <c:lblOffset val="100"/>
        <c:tickLblSkip val="1"/>
        <c:tickMarkSkip val="1"/>
        <c:noMultiLvlLbl val="0"/>
      </c:catAx>
      <c:valAx>
        <c:axId val="245357280"/>
        <c:scaling>
          <c:orientation val="minMax"/>
        </c:scaling>
        <c:delete val="0"/>
        <c:axPos val="l"/>
        <c:majorGridlines>
          <c:spPr>
            <a:ln>
              <a:prstDash val="sysDash"/>
            </a:ln>
          </c:spPr>
        </c:majorGridlines>
        <c:numFmt formatCode="#,##0" sourceLinked="1"/>
        <c:majorTickMark val="out"/>
        <c:minorTickMark val="none"/>
        <c:tickLblPos val="nextTo"/>
        <c:txPr>
          <a:bodyPr rot="0" vert="horz"/>
          <a:lstStyle/>
          <a:p>
            <a:pPr>
              <a:defRPr/>
            </a:pPr>
            <a:endParaRPr lang="en-US"/>
          </a:p>
        </c:txPr>
        <c:crossAx val="245354928"/>
        <c:crosses val="autoZero"/>
        <c:crossBetween val="between"/>
        <c:dispUnits>
          <c:builtInUnit val="millions"/>
          <c:dispUnitsLbl>
            <c:layout/>
            <c:txPr>
              <a:bodyPr rot="-5400000" vert="horz"/>
              <a:lstStyle/>
              <a:p>
                <a:pPr>
                  <a:defRPr/>
                </a:pPr>
                <a:endParaRPr lang="en-US"/>
              </a:p>
            </c:txPr>
          </c:dispUnitsLbl>
        </c:dispUnits>
      </c:valAx>
    </c:plotArea>
    <c:legend>
      <c:legendPos val="b"/>
      <c:layout>
        <c:manualLayout>
          <c:xMode val="edge"/>
          <c:yMode val="edge"/>
          <c:x val="6.5102796034793534E-2"/>
          <c:y val="0.89884958410049565"/>
          <c:w val="0.93489713601976265"/>
          <c:h val="7.4015302416569742E-2"/>
        </c:manualLayout>
      </c:layout>
      <c:overlay val="0"/>
    </c:legend>
    <c:plotVisOnly val="1"/>
    <c:dispBlanksAs val="gap"/>
    <c:showDLblsOverMax val="0"/>
  </c:chart>
  <c:printSettings>
    <c:headerFooter alignWithMargins="0"/>
    <c:pageMargins b="1" l="0.75000000000001465" r="0.75000000000001465" t="1" header="0.5" footer="0.5"/>
    <c:pageSetup orientation="landscape"/>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bar"/>
        <c:grouping val="clustered"/>
        <c:varyColors val="0"/>
        <c:ser>
          <c:idx val="0"/>
          <c:order val="0"/>
          <c:invertIfNegative val="0"/>
          <c:cat>
            <c:strRef>
              <c:f>Rates!$B$10:$B$31</c:f>
              <c:strCache>
                <c:ptCount val="22"/>
                <c:pt idx="0">
                  <c:v>Pre-School</c:v>
                </c:pt>
                <c:pt idx="1">
                  <c:v>Kindergarten-Half</c:v>
                </c:pt>
                <c:pt idx="2">
                  <c:v>Kindergarten-Full</c:v>
                </c:pt>
                <c:pt idx="3">
                  <c:v>Elementary</c:v>
                </c:pt>
                <c:pt idx="4">
                  <c:v>Junior/Middle</c:v>
                </c:pt>
                <c:pt idx="5">
                  <c:v>High School</c:v>
                </c:pt>
                <c:pt idx="6">
                  <c:v>Special Ed-In School</c:v>
                </c:pt>
                <c:pt idx="7">
                  <c:v>Special Ed-Tuitioned Out</c:v>
                </c:pt>
                <c:pt idx="8">
                  <c:v>ELL PK </c:v>
                </c:pt>
                <c:pt idx="9">
                  <c:v>ELL K Half Time</c:v>
                </c:pt>
                <c:pt idx="10">
                  <c:v>ELL Full Time</c:v>
                </c:pt>
                <c:pt idx="11">
                  <c:v>Vocational</c:v>
                </c:pt>
                <c:pt idx="12">
                  <c:v>Economically Disadvantaged Decile 1</c:v>
                </c:pt>
                <c:pt idx="13">
                  <c:v>Economically Disadvantaged Decile 2</c:v>
                </c:pt>
                <c:pt idx="14">
                  <c:v>Economically Disadvantaged Decile 3</c:v>
                </c:pt>
                <c:pt idx="15">
                  <c:v>Economically Disadvantaged Decile 4</c:v>
                </c:pt>
                <c:pt idx="16">
                  <c:v>Economically Disadvantaged Decile 5</c:v>
                </c:pt>
                <c:pt idx="17">
                  <c:v>Economically Disadvantaged Decile 6</c:v>
                </c:pt>
                <c:pt idx="18">
                  <c:v>Economically Disadvantaged Decile 7</c:v>
                </c:pt>
                <c:pt idx="19">
                  <c:v>Economically Disadvantaged Decile 8</c:v>
                </c:pt>
                <c:pt idx="20">
                  <c:v>Economically Disadvantaged Decile 9</c:v>
                </c:pt>
                <c:pt idx="21">
                  <c:v>Economically Disadvantaged Decile 10</c:v>
                </c:pt>
              </c:strCache>
            </c:strRef>
          </c:cat>
          <c:val>
            <c:numRef>
              <c:f>Rates!$N$10:$N$31</c:f>
              <c:numCache>
                <c:formatCode>#,##0.00</c:formatCode>
                <c:ptCount val="22"/>
                <c:pt idx="0">
                  <c:v>3722.5197471789206</c:v>
                </c:pt>
                <c:pt idx="1">
                  <c:v>3722.5197471789206</c:v>
                </c:pt>
                <c:pt idx="2">
                  <c:v>7445.0839943578412</c:v>
                </c:pt>
                <c:pt idx="3">
                  <c:v>7489.2164943578418</c:v>
                </c:pt>
                <c:pt idx="4">
                  <c:v>7133.2847930118587</c:v>
                </c:pt>
                <c:pt idx="5">
                  <c:v>8832.4630689444675</c:v>
                </c:pt>
                <c:pt idx="6">
                  <c:v>25631.682544399293</c:v>
                </c:pt>
                <c:pt idx="7">
                  <c:v>26696.34</c:v>
                </c:pt>
                <c:pt idx="8">
                  <c:v>4733.1088376955076</c:v>
                </c:pt>
                <c:pt idx="9">
                  <c:v>4733.1088376955076</c:v>
                </c:pt>
                <c:pt idx="10">
                  <c:v>9451.7683655128785</c:v>
                </c:pt>
                <c:pt idx="11">
                  <c:v>13416.833343589547</c:v>
                </c:pt>
                <c:pt idx="12">
                  <c:v>3816.89</c:v>
                </c:pt>
                <c:pt idx="13">
                  <c:v>3857.35</c:v>
                </c:pt>
                <c:pt idx="14">
                  <c:v>3897.78</c:v>
                </c:pt>
                <c:pt idx="15">
                  <c:v>3938.2200000000003</c:v>
                </c:pt>
                <c:pt idx="16">
                  <c:v>3978.6800000000003</c:v>
                </c:pt>
                <c:pt idx="17">
                  <c:v>4019.1099999999997</c:v>
                </c:pt>
                <c:pt idx="18">
                  <c:v>4059.56</c:v>
                </c:pt>
                <c:pt idx="19">
                  <c:v>4100.01</c:v>
                </c:pt>
                <c:pt idx="20">
                  <c:v>4140.45</c:v>
                </c:pt>
                <c:pt idx="21">
                  <c:v>4180.91</c:v>
                </c:pt>
              </c:numCache>
            </c:numRef>
          </c:val>
        </c:ser>
        <c:dLbls>
          <c:showLegendKey val="0"/>
          <c:showVal val="0"/>
          <c:showCatName val="0"/>
          <c:showSerName val="0"/>
          <c:showPercent val="0"/>
          <c:showBubbleSize val="0"/>
        </c:dLbls>
        <c:gapWidth val="150"/>
        <c:axId val="245355320"/>
        <c:axId val="245355712"/>
      </c:barChart>
      <c:catAx>
        <c:axId val="245355320"/>
        <c:scaling>
          <c:orientation val="maxMin"/>
        </c:scaling>
        <c:delete val="0"/>
        <c:axPos val="l"/>
        <c:numFmt formatCode="General" sourceLinked="0"/>
        <c:majorTickMark val="out"/>
        <c:minorTickMark val="none"/>
        <c:tickLblPos val="nextTo"/>
        <c:crossAx val="245355712"/>
        <c:crosses val="autoZero"/>
        <c:auto val="1"/>
        <c:lblAlgn val="ctr"/>
        <c:lblOffset val="100"/>
        <c:noMultiLvlLbl val="0"/>
      </c:catAx>
      <c:valAx>
        <c:axId val="245355712"/>
        <c:scaling>
          <c:orientation val="minMax"/>
        </c:scaling>
        <c:delete val="0"/>
        <c:axPos val="b"/>
        <c:numFmt formatCode="#,##0_);\(#,##0\)" sourceLinked="0"/>
        <c:majorTickMark val="out"/>
        <c:minorTickMark val="none"/>
        <c:tickLblPos val="nextTo"/>
        <c:crossAx val="245355320"/>
        <c:crosses val="max"/>
        <c:crossBetween val="between"/>
      </c:valAx>
    </c:plotArea>
    <c:plotVisOnly val="1"/>
    <c:dispBlanksAs val="gap"/>
    <c:showDLblsOverMax val="0"/>
  </c:chart>
  <c:printSettings>
    <c:headerFooter/>
    <c:pageMargins b="0.75000000000001044" l="0.70000000000000062" r="0.70000000000000062" t="0.75000000000001044" header="0.30000000000000032" footer="0.30000000000000032"/>
    <c:pageSetup/>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Style="combo" dx="16" fmlaLink="leas!$A$3" fmlaRange="leas!$C$5:$C$445" noThreeD="1" sel="316" val="310"/>
</file>

<file path=xl/ctrlProps/ctrlProp3.xml><?xml version="1.0" encoding="utf-8"?>
<formControlPr xmlns="http://schemas.microsoft.com/office/spreadsheetml/2009/9/main" objectType="Drop" dropStyle="combo" dx="16" fmlaLink="leas!$B$3" fmlaRange="leas!$C$358:$C$444" noThreeD="1" sel="81" val="79"/>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_rels/drawing3.xml.rels><?xml version="1.0" encoding="UTF-8" standalone="yes"?>
<Relationships xmlns="http://schemas.openxmlformats.org/package/2006/relationships"><Relationship Id="rId1" Type="http://schemas.openxmlformats.org/officeDocument/2006/relationships/image" Target="../media/image2.gif"/></Relationships>
</file>

<file path=xl/drawings/_rels/drawing4.xml.rels><?xml version="1.0" encoding="UTF-8" standalone="yes"?>
<Relationships xmlns="http://schemas.openxmlformats.org/package/2006/relationships"><Relationship Id="rId1" Type="http://schemas.openxmlformats.org/officeDocument/2006/relationships/image" Target="../media/image2.gif"/></Relationships>
</file>

<file path=xl/drawings/_rels/drawing5.xml.rels><?xml version="1.0" encoding="UTF-8" standalone="yes"?>
<Relationships xmlns="http://schemas.openxmlformats.org/package/2006/relationships"><Relationship Id="rId1" Type="http://schemas.openxmlformats.org/officeDocument/2006/relationships/image" Target="../media/image2.gif"/></Relationships>
</file>

<file path=xl/drawings/_rels/drawing6.xml.rels><?xml version="1.0" encoding="UTF-8" standalone="yes"?>
<Relationships xmlns="http://schemas.openxmlformats.org/package/2006/relationships"><Relationship Id="rId1" Type="http://schemas.openxmlformats.org/officeDocument/2006/relationships/image" Target="../media/image2.gif"/></Relationships>
</file>

<file path=xl/drawings/_rels/drawing7.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chart" Target="../charts/chart6.xml"/><Relationship Id="rId1" Type="http://schemas.openxmlformats.org/officeDocument/2006/relationships/chart" Target="../charts/chart5.xml"/></Relationships>
</file>

<file path=xl/drawings/_rels/drawing8.xml.rels><?xml version="1.0" encoding="UTF-8" standalone="yes"?>
<Relationships xmlns="http://schemas.openxmlformats.org/package/2006/relationships"><Relationship Id="rId1" Type="http://schemas.openxmlformats.org/officeDocument/2006/relationships/image" Target="../media/image2.gif"/></Relationships>
</file>

<file path=xl/drawings/_rels/drawing9.xml.rels><?xml version="1.0" encoding="UTF-8" standalone="yes"?>
<Relationships xmlns="http://schemas.openxmlformats.org/package/2006/relationships"><Relationship Id="rId1" Type="http://schemas.openxmlformats.org/officeDocument/2006/relationships/image" Target="../media/image2.gif"/></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0</xdr:col>
      <xdr:colOff>83820</xdr:colOff>
      <xdr:row>31</xdr:row>
      <xdr:rowOff>15241</xdr:rowOff>
    </xdr:from>
    <xdr:to>
      <xdr:col>2</xdr:col>
      <xdr:colOff>1181100</xdr:colOff>
      <xdr:row>45</xdr:row>
      <xdr:rowOff>106817</xdr:rowOff>
    </xdr:to>
    <xdr:pic>
      <xdr:nvPicPr>
        <xdr:cNvPr id="2"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83820" y="11231881"/>
          <a:ext cx="7193280" cy="2545216"/>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758190</xdr:colOff>
      <xdr:row>17</xdr:row>
      <xdr:rowOff>57150</xdr:rowOff>
    </xdr:from>
    <xdr:to>
      <xdr:col>25</xdr:col>
      <xdr:colOff>38100</xdr:colOff>
      <xdr:row>40</xdr:row>
      <xdr:rowOff>104775</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1904</xdr:colOff>
      <xdr:row>46</xdr:row>
      <xdr:rowOff>38100</xdr:rowOff>
    </xdr:from>
    <xdr:to>
      <xdr:col>25</xdr:col>
      <xdr:colOff>49069</xdr:colOff>
      <xdr:row>63</xdr:row>
      <xdr:rowOff>28575</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449580</xdr:colOff>
      <xdr:row>11</xdr:row>
      <xdr:rowOff>30480</xdr:rowOff>
    </xdr:from>
    <xdr:to>
      <xdr:col>31</xdr:col>
      <xdr:colOff>30480</xdr:colOff>
      <xdr:row>37</xdr:row>
      <xdr:rowOff>38100</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449580</xdr:colOff>
      <xdr:row>43</xdr:row>
      <xdr:rowOff>15240</xdr:rowOff>
    </xdr:from>
    <xdr:to>
      <xdr:col>30</xdr:col>
      <xdr:colOff>579120</xdr:colOff>
      <xdr:row>68</xdr:row>
      <xdr:rowOff>83820</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mc:AlternateContent xmlns:mc="http://schemas.openxmlformats.org/markup-compatibility/2006">
    <mc:Choice xmlns:a14="http://schemas.microsoft.com/office/drawing/2010/main" Requires="a14">
      <xdr:twoCellAnchor>
        <xdr:from>
          <xdr:col>4</xdr:col>
          <xdr:colOff>114300</xdr:colOff>
          <xdr:row>24</xdr:row>
          <xdr:rowOff>142875</xdr:rowOff>
        </xdr:from>
        <xdr:to>
          <xdr:col>7</xdr:col>
          <xdr:colOff>200025</xdr:colOff>
          <xdr:row>30</xdr:row>
          <xdr:rowOff>104775</xdr:rowOff>
        </xdr:to>
        <xdr:sp macro="" textlink="">
          <xdr:nvSpPr>
            <xdr:cNvPr id="14350" name="Button 14" descr="Recalibrate eqv and income percentages, if foundation or statewide target changes." hidden="1">
              <a:extLst>
                <a:ext uri="{63B3BB69-23CF-44E3-9099-C40C66FF867C}">
                  <a14:compatExt spid="_x0000_s143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1" i="0" u="none" strike="noStrike" baseline="0">
                  <a:solidFill>
                    <a:srgbClr val="000000"/>
                  </a:solidFill>
                  <a:latin typeface="Calibri"/>
                  <a:cs typeface="Calibri"/>
                </a:rPr>
                <a:t>Recalibrate eqv and income percentages, if foundation or statewide target changes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11</xdr:col>
      <xdr:colOff>464821</xdr:colOff>
      <xdr:row>0</xdr:row>
      <xdr:rowOff>22860</xdr:rowOff>
    </xdr:from>
    <xdr:to>
      <xdr:col>14</xdr:col>
      <xdr:colOff>228601</xdr:colOff>
      <xdr:row>2</xdr:row>
      <xdr:rowOff>62906</xdr:rowOff>
    </xdr:to>
    <xdr:pic>
      <xdr:nvPicPr>
        <xdr:cNvPr id="2"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7223761" y="22860"/>
          <a:ext cx="1615440" cy="786806"/>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0</xdr:col>
          <xdr:colOff>28575</xdr:colOff>
          <xdr:row>3</xdr:row>
          <xdr:rowOff>28575</xdr:rowOff>
        </xdr:from>
        <xdr:to>
          <xdr:col>2</xdr:col>
          <xdr:colOff>657225</xdr:colOff>
          <xdr:row>4</xdr:row>
          <xdr:rowOff>47625</xdr:rowOff>
        </xdr:to>
        <xdr:sp macro="" textlink="">
          <xdr:nvSpPr>
            <xdr:cNvPr id="29702" name="Drop Down 6" hidden="1">
              <a:extLst>
                <a:ext uri="{63B3BB69-23CF-44E3-9099-C40C66FF867C}">
                  <a14:compatExt spid="_x0000_s29702"/>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15</xdr:col>
      <xdr:colOff>180974</xdr:colOff>
      <xdr:row>1</xdr:row>
      <xdr:rowOff>106363</xdr:rowOff>
    </xdr:from>
    <xdr:to>
      <xdr:col>17</xdr:col>
      <xdr:colOff>866775</xdr:colOff>
      <xdr:row>4</xdr:row>
      <xdr:rowOff>36542</xdr:rowOff>
    </xdr:to>
    <xdr:pic>
      <xdr:nvPicPr>
        <xdr:cNvPr id="34818"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11639549" y="306388"/>
          <a:ext cx="1714501" cy="835054"/>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3228975</xdr:colOff>
      <xdr:row>2</xdr:row>
      <xdr:rowOff>0</xdr:rowOff>
    </xdr:from>
    <xdr:to>
      <xdr:col>6</xdr:col>
      <xdr:colOff>657226</xdr:colOff>
      <xdr:row>4</xdr:row>
      <xdr:rowOff>225454</xdr:rowOff>
    </xdr:to>
    <xdr:pic>
      <xdr:nvPicPr>
        <xdr:cNvPr id="3"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9039225" y="161925"/>
          <a:ext cx="1714501" cy="835054"/>
        </a:xfrm>
        <a:prstGeom prst="rect">
          <a:avLst/>
        </a:prstGeom>
        <a:noFill/>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8</xdr:col>
      <xdr:colOff>386080</xdr:colOff>
      <xdr:row>1</xdr:row>
      <xdr:rowOff>182880</xdr:rowOff>
    </xdr:from>
    <xdr:to>
      <xdr:col>9</xdr:col>
      <xdr:colOff>1074421</xdr:colOff>
      <xdr:row>5</xdr:row>
      <xdr:rowOff>12094</xdr:rowOff>
    </xdr:to>
    <xdr:pic>
      <xdr:nvPicPr>
        <xdr:cNvPr id="2"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8168640" y="386080"/>
          <a:ext cx="1714501" cy="835054"/>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25</xdr:row>
      <xdr:rowOff>0</xdr:rowOff>
    </xdr:from>
    <xdr:to>
      <xdr:col>1</xdr:col>
      <xdr:colOff>0</xdr:colOff>
      <xdr:row>34</xdr:row>
      <xdr:rowOff>28575</xdr:rowOff>
    </xdr:to>
    <xdr:graphicFrame macro="">
      <xdr:nvGraphicFramePr>
        <xdr:cNvPr id="160109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68581</xdr:colOff>
      <xdr:row>20</xdr:row>
      <xdr:rowOff>53340</xdr:rowOff>
    </xdr:from>
    <xdr:to>
      <xdr:col>9</xdr:col>
      <xdr:colOff>63501</xdr:colOff>
      <xdr:row>31</xdr:row>
      <xdr:rowOff>0</xdr:rowOff>
    </xdr:to>
    <xdr:graphicFrame macro="">
      <xdr:nvGraphicFramePr>
        <xdr:cNvPr id="1601096" name="Chart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6</xdr:col>
      <xdr:colOff>880533</xdr:colOff>
      <xdr:row>2</xdr:row>
      <xdr:rowOff>60960</xdr:rowOff>
    </xdr:from>
    <xdr:to>
      <xdr:col>9</xdr:col>
      <xdr:colOff>65194</xdr:colOff>
      <xdr:row>5</xdr:row>
      <xdr:rowOff>205134</xdr:rowOff>
    </xdr:to>
    <xdr:pic>
      <xdr:nvPicPr>
        <xdr:cNvPr id="4" name="irc_mi" descr="ESE Star Logo"/>
        <xdr:cNvPicPr>
          <a:picLocks noChangeAspect="1" noChangeArrowheads="1"/>
        </xdr:cNvPicPr>
      </xdr:nvPicPr>
      <xdr:blipFill>
        <a:blip xmlns:r="http://schemas.openxmlformats.org/officeDocument/2006/relationships" r:embed="rId3" cstate="print"/>
        <a:srcRect/>
        <a:stretch>
          <a:fillRect/>
        </a:stretch>
      </xdr:blipFill>
      <xdr:spPr bwMode="auto">
        <a:xfrm>
          <a:off x="8111066" y="357293"/>
          <a:ext cx="1716195" cy="838441"/>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19</xdr:col>
      <xdr:colOff>490010</xdr:colOff>
      <xdr:row>5</xdr:row>
      <xdr:rowOff>45507</xdr:rowOff>
    </xdr:from>
    <xdr:to>
      <xdr:col>21</xdr:col>
      <xdr:colOff>661467</xdr:colOff>
      <xdr:row>7</xdr:row>
      <xdr:rowOff>248709</xdr:rowOff>
    </xdr:to>
    <xdr:pic>
      <xdr:nvPicPr>
        <xdr:cNvPr id="2"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13377335" y="1140882"/>
          <a:ext cx="1657357" cy="793752"/>
        </a:xfrm>
        <a:prstGeom prst="rect">
          <a:avLst/>
        </a:prstGeom>
        <a:noFill/>
      </xdr:spPr>
    </xdr:pic>
    <xdr:clientData/>
  </xdr:twoCellAnchor>
  <mc:AlternateContent xmlns:mc="http://schemas.openxmlformats.org/markup-compatibility/2006">
    <mc:Choice xmlns:a14="http://schemas.microsoft.com/office/drawing/2010/main" Requires="a14">
      <xdr:twoCellAnchor editAs="oneCell">
        <xdr:from>
          <xdr:col>4</xdr:col>
          <xdr:colOff>76200</xdr:colOff>
          <xdr:row>3</xdr:row>
          <xdr:rowOff>47625</xdr:rowOff>
        </xdr:from>
        <xdr:to>
          <xdr:col>6</xdr:col>
          <xdr:colOff>381000</xdr:colOff>
          <xdr:row>4</xdr:row>
          <xdr:rowOff>85725</xdr:rowOff>
        </xdr:to>
        <xdr:sp macro="" textlink="">
          <xdr:nvSpPr>
            <xdr:cNvPr id="28674" name="Drop Down 2" hidden="1">
              <a:extLst>
                <a:ext uri="{63B3BB69-23CF-44E3-9099-C40C66FF867C}">
                  <a14:compatExt spid="_x0000_s28674"/>
                </a:ext>
              </a:extLst>
            </xdr:cNvPr>
            <xdr:cNvSpPr/>
          </xdr:nvSpPr>
          <xdr:spPr bwMode="auto">
            <a:xfrm>
              <a:off x="0" y="0"/>
              <a:ext cx="0" cy="0"/>
            </a:xfrm>
            <a:prstGeom prst="rect">
              <a:avLst/>
            </a:prstGeom>
            <a:noFill/>
            <a:ln>
              <a:noFill/>
            </a:ln>
            <a:effectLst/>
            <a:extLst>
              <a:ext uri="{91240B29-F687-4F45-9708-019B960494DF}">
                <a14:hiddenLine w="9525">
                  <a:noFill/>
                  <a:miter lim="800000"/>
                  <a:headEnd/>
                  <a:tailEnd/>
                </a14:hiddenLine>
              </a:ext>
              <a:ext uri="{53640926-AAD7-44D8-BBD7-CCE9431645EC}">
                <a14:shadowObscured val="1"/>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15</xdr:col>
      <xdr:colOff>53341</xdr:colOff>
      <xdr:row>0</xdr:row>
      <xdr:rowOff>68580</xdr:rowOff>
    </xdr:from>
    <xdr:to>
      <xdr:col>16</xdr:col>
      <xdr:colOff>716280</xdr:colOff>
      <xdr:row>6</xdr:row>
      <xdr:rowOff>111585</xdr:rowOff>
    </xdr:to>
    <xdr:pic>
      <xdr:nvPicPr>
        <xdr:cNvPr id="2"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11986261" y="68580"/>
          <a:ext cx="1386839" cy="675465"/>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10887</xdr:colOff>
      <xdr:row>33</xdr:row>
      <xdr:rowOff>43542</xdr:rowOff>
    </xdr:from>
    <xdr:to>
      <xdr:col>14</xdr:col>
      <xdr:colOff>10885</xdr:colOff>
      <xdr:row>58</xdr:row>
      <xdr:rowOff>97971</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0</xdr:col>
      <xdr:colOff>1203960</xdr:colOff>
      <xdr:row>1</xdr:row>
      <xdr:rowOff>299263</xdr:rowOff>
    </xdr:to>
    <xdr:pic>
      <xdr:nvPicPr>
        <xdr:cNvPr id="2" name="irc_mi" descr="ESE Star Logo"/>
        <xdr:cNvPicPr>
          <a:picLocks noChangeAspect="1" noChangeArrowheads="1"/>
        </xdr:cNvPicPr>
      </xdr:nvPicPr>
      <xdr:blipFill>
        <a:blip xmlns:r="http://schemas.openxmlformats.org/officeDocument/2006/relationships" r:embed="rId1" cstate="print"/>
        <a:srcRect/>
        <a:stretch>
          <a:fillRect/>
        </a:stretch>
      </xdr:blipFill>
      <xdr:spPr bwMode="auto">
        <a:xfrm>
          <a:off x="38100" y="0"/>
          <a:ext cx="1165860" cy="565963"/>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www.doe.mass.edu/enro/District%20Specific/18MinutemanWithdrawal_manualfoundenroadj_2016-12-7.xlsx"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hyperlink" Target="mailto:mking@doe.mass.edu" TargetMode="External"/><Relationship Id="rId5" Type="http://schemas.openxmlformats.org/officeDocument/2006/relationships/ctrlProp" Target="../ctrlProps/ctrlProp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8.xml"/><Relationship Id="rId1" Type="http://schemas.openxmlformats.org/officeDocument/2006/relationships/printerSettings" Target="../printerSettings/printerSettings7.bin"/><Relationship Id="rId4" Type="http://schemas.openxmlformats.org/officeDocument/2006/relationships/ctrlProp" Target="../ctrlProps/ctrlProp3.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4.v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5.v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6.v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5.bin"/><Relationship Id="rId1" Type="http://schemas.openxmlformats.org/officeDocument/2006/relationships/hyperlink" Target="http://www.doe.mass.edu/finance/chapter70/chapter-cal.doc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E63"/>
  <sheetViews>
    <sheetView zoomScaleNormal="100" workbookViewId="0">
      <selection activeCell="A16" sqref="A16"/>
    </sheetView>
  </sheetViews>
  <sheetFormatPr defaultColWidth="8.875" defaultRowHeight="12.75"/>
  <cols>
    <col min="1" max="1" width="26" style="409" bestFit="1" customWidth="1"/>
    <col min="2" max="2" width="62.875" style="409" customWidth="1"/>
    <col min="3" max="3" width="55.25" style="409" customWidth="1"/>
    <col min="4" max="4" width="34.75" style="409" customWidth="1"/>
    <col min="5" max="16384" width="8.875" style="410"/>
  </cols>
  <sheetData>
    <row r="1" spans="1:5">
      <c r="A1" s="409" t="s">
        <v>2835</v>
      </c>
    </row>
    <row r="2" spans="1:5" s="409" customFormat="1">
      <c r="A2" s="419"/>
      <c r="B2" s="419"/>
    </row>
    <row r="3" spans="1:5">
      <c r="A3" s="411" t="s">
        <v>2253</v>
      </c>
      <c r="B3" s="411" t="s">
        <v>2254</v>
      </c>
      <c r="C3" s="411" t="s">
        <v>2255</v>
      </c>
      <c r="D3" s="411" t="s">
        <v>2256</v>
      </c>
    </row>
    <row r="4" spans="1:5" ht="51">
      <c r="A4" s="412" t="s">
        <v>1264</v>
      </c>
      <c r="B4" s="412" t="s">
        <v>2257</v>
      </c>
      <c r="C4" s="412"/>
      <c r="D4" s="413" t="s">
        <v>2258</v>
      </c>
    </row>
    <row r="5" spans="1:5">
      <c r="A5" s="412" t="s">
        <v>2259</v>
      </c>
      <c r="B5" s="412" t="s">
        <v>2260</v>
      </c>
      <c r="C5" s="412" t="s">
        <v>2261</v>
      </c>
      <c r="D5" s="413"/>
    </row>
    <row r="6" spans="1:5" ht="25.5">
      <c r="A6" s="412" t="s">
        <v>2262</v>
      </c>
      <c r="B6" s="412" t="s">
        <v>2263</v>
      </c>
      <c r="C6" s="412" t="s">
        <v>2264</v>
      </c>
      <c r="D6" s="412" t="s">
        <v>2265</v>
      </c>
    </row>
    <row r="7" spans="1:5">
      <c r="A7" s="412" t="s">
        <v>92</v>
      </c>
      <c r="B7" s="412" t="s">
        <v>2266</v>
      </c>
      <c r="C7" s="412" t="s">
        <v>2267</v>
      </c>
      <c r="D7" s="413" t="s">
        <v>2268</v>
      </c>
    </row>
    <row r="8" spans="1:5">
      <c r="A8" s="412" t="s">
        <v>2269</v>
      </c>
      <c r="B8" s="412" t="s">
        <v>2270</v>
      </c>
      <c r="C8" s="412" t="s">
        <v>2271</v>
      </c>
      <c r="D8" s="413" t="s">
        <v>2268</v>
      </c>
    </row>
    <row r="9" spans="1:5" ht="25.5">
      <c r="A9" s="412" t="s">
        <v>93</v>
      </c>
      <c r="B9" s="412" t="s">
        <v>2272</v>
      </c>
      <c r="C9" s="412" t="s">
        <v>2273</v>
      </c>
      <c r="D9" s="413" t="s">
        <v>2268</v>
      </c>
    </row>
    <row r="10" spans="1:5">
      <c r="A10" s="412" t="s">
        <v>91</v>
      </c>
      <c r="B10" s="412" t="s">
        <v>2274</v>
      </c>
      <c r="C10" s="412" t="s">
        <v>2275</v>
      </c>
      <c r="D10" s="413" t="s">
        <v>2268</v>
      </c>
    </row>
    <row r="11" spans="1:5" ht="38.25">
      <c r="A11" s="412" t="s">
        <v>2276</v>
      </c>
      <c r="B11" s="412" t="s">
        <v>2785</v>
      </c>
      <c r="C11" s="412" t="s">
        <v>2784</v>
      </c>
      <c r="D11" s="413" t="s">
        <v>2268</v>
      </c>
    </row>
    <row r="12" spans="1:5" ht="63.75">
      <c r="A12" s="412" t="s">
        <v>2277</v>
      </c>
      <c r="B12" s="412" t="s">
        <v>2278</v>
      </c>
      <c r="C12" s="412" t="s">
        <v>2279</v>
      </c>
      <c r="D12" s="413" t="s">
        <v>2280</v>
      </c>
    </row>
    <row r="13" spans="1:5" ht="38.25">
      <c r="A13" s="427" t="s">
        <v>2281</v>
      </c>
      <c r="B13" s="427" t="s">
        <v>2282</v>
      </c>
      <c r="C13" s="427" t="s">
        <v>2283</v>
      </c>
      <c r="D13" s="428" t="s">
        <v>2284</v>
      </c>
      <c r="E13" s="410" t="s">
        <v>2783</v>
      </c>
    </row>
    <row r="14" spans="1:5">
      <c r="A14" s="412" t="s">
        <v>2285</v>
      </c>
      <c r="B14" s="412" t="s">
        <v>2286</v>
      </c>
      <c r="C14" s="412" t="s">
        <v>2287</v>
      </c>
      <c r="D14" s="413"/>
    </row>
    <row r="15" spans="1:5">
      <c r="A15" s="412" t="s">
        <v>2288</v>
      </c>
      <c r="B15" s="412" t="s">
        <v>2289</v>
      </c>
      <c r="C15" s="412" t="s">
        <v>2290</v>
      </c>
      <c r="D15" s="413" t="s">
        <v>2291</v>
      </c>
    </row>
    <row r="16" spans="1:5" ht="89.25">
      <c r="A16" s="412" t="s">
        <v>2292</v>
      </c>
      <c r="B16" s="412" t="s">
        <v>2293</v>
      </c>
      <c r="C16" s="412" t="s">
        <v>2786</v>
      </c>
      <c r="D16" s="413" t="s">
        <v>2294</v>
      </c>
    </row>
    <row r="17" spans="1:4">
      <c r="A17" s="412" t="s">
        <v>2295</v>
      </c>
      <c r="B17" s="412" t="s">
        <v>2296</v>
      </c>
      <c r="C17" s="412"/>
      <c r="D17" s="413" t="s">
        <v>2297</v>
      </c>
    </row>
    <row r="18" spans="1:4" ht="25.5">
      <c r="A18" s="412" t="s">
        <v>2298</v>
      </c>
      <c r="B18" s="412" t="s">
        <v>2299</v>
      </c>
      <c r="C18" s="412"/>
      <c r="D18" s="413" t="s">
        <v>2300</v>
      </c>
    </row>
    <row r="19" spans="1:4" ht="25.5">
      <c r="A19" s="412" t="s">
        <v>2301</v>
      </c>
      <c r="B19" s="412" t="s">
        <v>2302</v>
      </c>
      <c r="C19" s="412" t="s">
        <v>2823</v>
      </c>
      <c r="D19" s="412"/>
    </row>
    <row r="21" spans="1:4">
      <c r="A21" s="411" t="s">
        <v>2303</v>
      </c>
      <c r="B21" s="411" t="s">
        <v>2304</v>
      </c>
      <c r="C21" s="411" t="s">
        <v>2305</v>
      </c>
      <c r="D21" s="411" t="s">
        <v>2256</v>
      </c>
    </row>
    <row r="22" spans="1:4">
      <c r="A22" s="409" t="s">
        <v>2306</v>
      </c>
      <c r="B22" s="409" t="s">
        <v>2307</v>
      </c>
      <c r="C22" s="409" t="s">
        <v>2308</v>
      </c>
      <c r="D22" s="414" t="s">
        <v>2309</v>
      </c>
    </row>
    <row r="23" spans="1:4">
      <c r="A23" s="409" t="s">
        <v>2310</v>
      </c>
      <c r="B23" s="409" t="s">
        <v>2311</v>
      </c>
      <c r="C23" s="409" t="s">
        <v>2312</v>
      </c>
      <c r="D23" s="409" t="s">
        <v>2313</v>
      </c>
    </row>
    <row r="24" spans="1:4">
      <c r="A24" s="409" t="s">
        <v>2314</v>
      </c>
      <c r="B24" s="409" t="s">
        <v>2315</v>
      </c>
      <c r="C24" s="409" t="s">
        <v>2316</v>
      </c>
      <c r="D24" s="409" t="s">
        <v>2317</v>
      </c>
    </row>
    <row r="25" spans="1:4">
      <c r="A25" s="409" t="s">
        <v>2318</v>
      </c>
      <c r="B25" s="409" t="s">
        <v>2315</v>
      </c>
      <c r="C25" s="409" t="s">
        <v>2319</v>
      </c>
      <c r="D25" s="409" t="s">
        <v>2320</v>
      </c>
    </row>
    <row r="26" spans="1:4">
      <c r="A26" s="409" t="s">
        <v>1158</v>
      </c>
      <c r="B26" s="409" t="s">
        <v>2321</v>
      </c>
      <c r="C26" s="409" t="s">
        <v>2322</v>
      </c>
      <c r="D26" s="409" t="s">
        <v>2824</v>
      </c>
    </row>
    <row r="27" spans="1:4">
      <c r="A27" s="409" t="s">
        <v>2323</v>
      </c>
      <c r="B27" s="409" t="s">
        <v>2324</v>
      </c>
      <c r="C27" s="409" t="s">
        <v>2200</v>
      </c>
      <c r="D27" s="409" t="s">
        <v>2200</v>
      </c>
    </row>
    <row r="28" spans="1:4">
      <c r="A28" s="409" t="s">
        <v>2325</v>
      </c>
      <c r="B28" s="409" t="s">
        <v>2326</v>
      </c>
      <c r="C28" s="409" t="s">
        <v>2327</v>
      </c>
      <c r="D28" s="409" t="s">
        <v>2328</v>
      </c>
    </row>
    <row r="30" spans="1:4">
      <c r="A30" s="415" t="s">
        <v>2329</v>
      </c>
    </row>
    <row r="31" spans="1:4">
      <c r="A31" s="416" t="s">
        <v>2330</v>
      </c>
      <c r="B31" s="417" t="s">
        <v>2331</v>
      </c>
    </row>
    <row r="48" spans="2:2" s="409" customFormat="1">
      <c r="B48" s="418"/>
    </row>
    <row r="50" spans="1:2" s="409" customFormat="1">
      <c r="A50" s="416" t="s">
        <v>2332</v>
      </c>
    </row>
    <row r="51" spans="1:2" s="409" customFormat="1">
      <c r="A51" s="416"/>
    </row>
    <row r="52" spans="1:2" s="409" customFormat="1">
      <c r="A52" s="416" t="s">
        <v>2333</v>
      </c>
    </row>
    <row r="54" spans="1:2">
      <c r="A54" s="588" t="s">
        <v>2833</v>
      </c>
    </row>
    <row r="55" spans="1:2">
      <c r="A55" s="594" t="s">
        <v>2834</v>
      </c>
      <c r="B55" s="594"/>
    </row>
    <row r="56" spans="1:2">
      <c r="A56" s="594"/>
      <c r="B56" s="594"/>
    </row>
    <row r="57" spans="1:2">
      <c r="A57" s="594"/>
      <c r="B57" s="594"/>
    </row>
    <row r="58" spans="1:2">
      <c r="A58" s="594"/>
      <c r="B58" s="594"/>
    </row>
    <row r="59" spans="1:2">
      <c r="A59" s="594"/>
      <c r="B59" s="594"/>
    </row>
    <row r="60" spans="1:2">
      <c r="A60" s="594"/>
      <c r="B60" s="594"/>
    </row>
    <row r="61" spans="1:2">
      <c r="A61" s="594"/>
      <c r="B61" s="594"/>
    </row>
    <row r="62" spans="1:2">
      <c r="A62" s="594"/>
      <c r="B62" s="594"/>
    </row>
    <row r="63" spans="1:2" ht="42.6" customHeight="1">
      <c r="A63" s="594"/>
      <c r="B63" s="594"/>
    </row>
  </sheetData>
  <mergeCells count="1">
    <mergeCell ref="A55:B63"/>
  </mergeCells>
  <hyperlinks>
    <hyperlink ref="B31"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9" tint="0.39997558519241921"/>
  </sheetPr>
  <dimension ref="A1:AD165"/>
  <sheetViews>
    <sheetView showGridLines="0" zoomScaleNormal="100" workbookViewId="0">
      <selection activeCell="B4" sqref="B4"/>
    </sheetView>
  </sheetViews>
  <sheetFormatPr defaultColWidth="9" defaultRowHeight="12.75"/>
  <cols>
    <col min="1" max="1" width="5.25" style="7" customWidth="1"/>
    <col min="2" max="2" width="43.375" style="7" customWidth="1"/>
    <col min="3" max="3" width="15.875" style="7" bestFit="1" customWidth="1"/>
    <col min="4" max="4" width="6.125" style="7" customWidth="1"/>
    <col min="5" max="5" width="1.75" style="7" customWidth="1"/>
    <col min="6" max="6" width="1.625" style="7" customWidth="1"/>
    <col min="7" max="7" width="30.625" style="7" customWidth="1"/>
    <col min="8" max="8" width="15.875" style="7" customWidth="1"/>
    <col min="9" max="9" width="1.625" style="7" customWidth="1"/>
    <col min="10" max="10" width="11.125" style="7" bestFit="1" customWidth="1"/>
    <col min="11" max="11" width="21.625" style="7" customWidth="1"/>
    <col min="12" max="17" width="4.625" style="7" customWidth="1"/>
    <col min="18" max="21" width="4.625" style="7" bestFit="1" customWidth="1"/>
    <col min="22" max="22" width="4.625" style="7" customWidth="1"/>
    <col min="23" max="23" width="5" style="7" customWidth="1"/>
    <col min="24" max="16384" width="9" style="7"/>
  </cols>
  <sheetData>
    <row r="1" spans="1:30">
      <c r="A1" s="7" t="s">
        <v>1260</v>
      </c>
      <c r="B1" s="19" t="s">
        <v>2200</v>
      </c>
    </row>
    <row r="2" spans="1:30">
      <c r="A2" s="7" t="s">
        <v>1259</v>
      </c>
      <c r="B2" s="7" t="s">
        <v>1258</v>
      </c>
    </row>
    <row r="3" spans="1:30">
      <c r="A3" s="7" t="s">
        <v>2198</v>
      </c>
      <c r="B3" s="309">
        <v>42933</v>
      </c>
    </row>
    <row r="5" spans="1:30">
      <c r="A5" s="12" t="s">
        <v>1264</v>
      </c>
      <c r="D5" s="20" t="s">
        <v>1239</v>
      </c>
      <c r="K5" s="595" t="s">
        <v>2206</v>
      </c>
      <c r="L5" s="595"/>
      <c r="M5" s="595"/>
      <c r="N5" s="595"/>
      <c r="O5" s="595"/>
      <c r="P5" s="595"/>
      <c r="Q5" s="595"/>
      <c r="R5" s="595"/>
      <c r="S5" s="595"/>
      <c r="T5" s="595"/>
      <c r="U5" s="595"/>
      <c r="V5" s="595"/>
      <c r="W5" s="595"/>
      <c r="X5" s="595"/>
      <c r="Y5" s="595"/>
      <c r="Z5" s="595"/>
      <c r="AA5" s="595"/>
      <c r="AB5" s="595"/>
      <c r="AC5" s="595"/>
      <c r="AD5" s="595"/>
    </row>
    <row r="6" spans="1:30">
      <c r="B6" s="7" t="s">
        <v>2140</v>
      </c>
      <c r="C6" s="21">
        <v>1</v>
      </c>
      <c r="D6" s="20">
        <v>1</v>
      </c>
      <c r="G6" s="7" t="s">
        <v>2202</v>
      </c>
      <c r="H6" s="31">
        <v>4628013619.1446953</v>
      </c>
      <c r="K6" s="22"/>
    </row>
    <row r="7" spans="1:30">
      <c r="B7" s="7" t="s">
        <v>2141</v>
      </c>
      <c r="C7" s="23">
        <v>0.85</v>
      </c>
      <c r="D7" s="24">
        <v>0</v>
      </c>
      <c r="H7" s="31"/>
      <c r="K7" s="25" t="s">
        <v>1220</v>
      </c>
      <c r="L7" s="26"/>
      <c r="M7" s="26"/>
      <c r="N7" s="26"/>
      <c r="O7" s="26"/>
      <c r="P7" s="26"/>
      <c r="Q7" s="26"/>
      <c r="R7" s="26"/>
      <c r="S7" s="26"/>
      <c r="T7" s="26"/>
      <c r="U7" s="26"/>
      <c r="V7" s="26"/>
      <c r="W7" s="26"/>
    </row>
    <row r="8" spans="1:30">
      <c r="B8" s="7" t="s">
        <v>2224</v>
      </c>
      <c r="C8" s="23">
        <v>0</v>
      </c>
      <c r="D8" s="24">
        <v>0</v>
      </c>
      <c r="G8" s="7" t="s">
        <v>2203</v>
      </c>
      <c r="H8" s="31">
        <f>'Aid436'!I448</f>
        <v>90192516.279435724</v>
      </c>
      <c r="K8" s="26"/>
      <c r="L8" s="26"/>
      <c r="M8" s="26"/>
      <c r="N8" s="26"/>
      <c r="O8" s="26"/>
      <c r="P8" s="26"/>
      <c r="Q8" s="26"/>
      <c r="R8" s="26"/>
      <c r="S8" s="26"/>
      <c r="T8" s="26"/>
      <c r="U8" s="26"/>
      <c r="V8" s="26"/>
      <c r="W8" s="26"/>
    </row>
    <row r="9" spans="1:30">
      <c r="A9"/>
      <c r="B9"/>
      <c r="C9"/>
      <c r="D9" s="24">
        <v>0</v>
      </c>
      <c r="F9" s="12"/>
      <c r="G9" s="7" t="s">
        <v>2204</v>
      </c>
      <c r="H9" s="31">
        <v>0</v>
      </c>
      <c r="K9" s="28"/>
      <c r="L9" s="29" t="s">
        <v>864</v>
      </c>
      <c r="M9" s="29" t="s">
        <v>194</v>
      </c>
      <c r="N9" s="30" t="s">
        <v>970</v>
      </c>
      <c r="O9" s="29" t="s">
        <v>966</v>
      </c>
      <c r="P9" s="29" t="s">
        <v>373</v>
      </c>
      <c r="Q9" s="29" t="s">
        <v>867</v>
      </c>
      <c r="R9" s="29" t="s">
        <v>97</v>
      </c>
      <c r="S9" s="29" t="s">
        <v>1183</v>
      </c>
      <c r="T9" s="29" t="s">
        <v>1212</v>
      </c>
      <c r="U9" s="29" t="s">
        <v>1243</v>
      </c>
      <c r="V9" s="29" t="s">
        <v>1258</v>
      </c>
      <c r="W9" s="29" t="s">
        <v>2200</v>
      </c>
    </row>
    <row r="10" spans="1:30">
      <c r="B10" s="49"/>
      <c r="C10" s="295"/>
      <c r="D10" s="296"/>
      <c r="G10" s="7" t="s">
        <v>2160</v>
      </c>
      <c r="H10" s="31">
        <f ca="1">'Aid436'!AF448</f>
        <v>16260206.666089678</v>
      </c>
      <c r="I10" s="32"/>
      <c r="K10" s="33" t="s">
        <v>1221</v>
      </c>
      <c r="L10" s="34">
        <v>621.084157</v>
      </c>
      <c r="M10" s="34">
        <v>494.05891200000002</v>
      </c>
      <c r="N10" s="35">
        <v>372.382091</v>
      </c>
      <c r="O10" s="34">
        <v>228.110232</v>
      </c>
      <c r="P10" s="34">
        <v>366</v>
      </c>
      <c r="Q10" s="34">
        <v>293.3</v>
      </c>
      <c r="R10" s="34">
        <v>229.8</v>
      </c>
      <c r="S10" s="34">
        <v>234.5</v>
      </c>
      <c r="T10" s="34">
        <v>307.90301399999998</v>
      </c>
      <c r="U10" s="34">
        <v>235.358789</v>
      </c>
      <c r="V10" s="34">
        <v>299.86437000000001</v>
      </c>
      <c r="W10" s="36">
        <f>'Townwide Contributions'!T361/1000000</f>
        <v>151.670894</v>
      </c>
    </row>
    <row r="11" spans="1:30">
      <c r="B11" s="49"/>
      <c r="C11" s="295"/>
      <c r="D11" s="297"/>
      <c r="G11" s="7" t="s">
        <v>2161</v>
      </c>
      <c r="H11" s="31">
        <f ca="1">'Aid436'!AH448</f>
        <v>60790.140781089467</v>
      </c>
      <c r="I11" s="37"/>
      <c r="J11" s="10"/>
      <c r="K11" s="33" t="s">
        <v>760</v>
      </c>
      <c r="L11" s="34">
        <v>124.21683139999998</v>
      </c>
      <c r="M11" s="34">
        <v>123.51472800000001</v>
      </c>
      <c r="N11" s="35">
        <v>122.88609003000001</v>
      </c>
      <c r="O11" s="34">
        <v>34.216535</v>
      </c>
      <c r="P11" s="34">
        <v>109.8</v>
      </c>
      <c r="Q11" s="34">
        <v>58.7</v>
      </c>
      <c r="R11" s="34">
        <v>34.5</v>
      </c>
      <c r="S11" s="34">
        <v>35.200000000000003</v>
      </c>
      <c r="T11" s="34">
        <v>153.95150699999999</v>
      </c>
      <c r="U11" s="34">
        <v>117.6793945</v>
      </c>
      <c r="V11" s="34">
        <v>254.88471449999989</v>
      </c>
      <c r="W11" s="36">
        <f>'Townwide Contributions'!U361/1000000</f>
        <v>128.92025990000005</v>
      </c>
    </row>
    <row r="12" spans="1:30">
      <c r="B12" s="49"/>
      <c r="C12" s="295"/>
      <c r="D12" s="298"/>
      <c r="G12" s="7" t="s">
        <v>2205</v>
      </c>
      <c r="H12" s="31">
        <f ca="1">'Aid436'!AJ448</f>
        <v>4745645155.949439</v>
      </c>
      <c r="I12" s="37"/>
      <c r="J12" s="10"/>
      <c r="K12" s="33" t="s">
        <v>1222</v>
      </c>
      <c r="L12" s="34">
        <v>496.86732560000002</v>
      </c>
      <c r="M12" s="34">
        <v>370.54418399999997</v>
      </c>
      <c r="N12" s="35">
        <v>249.49600097000001</v>
      </c>
      <c r="O12" s="34">
        <v>193.893697</v>
      </c>
      <c r="P12" s="34">
        <v>256.2</v>
      </c>
      <c r="Q12" s="34">
        <f>Q10-Q11</f>
        <v>234.60000000000002</v>
      </c>
      <c r="R12" s="34">
        <f>R10-R11</f>
        <v>195.3</v>
      </c>
      <c r="S12" s="34">
        <v>199.3</v>
      </c>
      <c r="T12" s="34">
        <v>152.08069825743701</v>
      </c>
      <c r="U12" s="34">
        <v>117.482913201</v>
      </c>
      <c r="V12" s="34">
        <v>44.978793475999993</v>
      </c>
      <c r="W12" s="36">
        <f>'Townwide Contributions'!AA361/1000000</f>
        <v>22.749214023213945</v>
      </c>
    </row>
    <row r="13" spans="1:30">
      <c r="B13" s="49"/>
      <c r="C13" s="293"/>
      <c r="D13" s="294"/>
      <c r="G13" s="7" t="s">
        <v>1618</v>
      </c>
      <c r="H13" s="31">
        <f>308558</f>
        <v>308558</v>
      </c>
      <c r="I13" s="37"/>
      <c r="J13" s="10"/>
      <c r="K13" s="33" t="s">
        <v>1223</v>
      </c>
      <c r="L13" s="34">
        <v>-321.45232199999998</v>
      </c>
      <c r="M13" s="34">
        <v>-352.17487499999999</v>
      </c>
      <c r="N13" s="35">
        <v>-359.19356299999998</v>
      </c>
      <c r="O13" s="34">
        <v>-427.2</v>
      </c>
      <c r="P13" s="34">
        <v>-228</v>
      </c>
      <c r="Q13" s="34">
        <v>-211</v>
      </c>
      <c r="R13" s="34">
        <v>-200</v>
      </c>
      <c r="S13" s="34">
        <v>-180.2</v>
      </c>
      <c r="T13" s="34">
        <v>-162.97221500000001</v>
      </c>
      <c r="U13" s="34">
        <v>-132.627218</v>
      </c>
      <c r="V13" s="34">
        <v>-96.928090999999995</v>
      </c>
      <c r="W13" s="36">
        <f>'Townwide Contributions'!Y361/1000000</f>
        <v>-103.17317</v>
      </c>
    </row>
    <row r="14" spans="1:30">
      <c r="B14" s="7" t="s">
        <v>2143</v>
      </c>
      <c r="C14" s="21">
        <v>30</v>
      </c>
      <c r="D14" s="27">
        <v>0</v>
      </c>
      <c r="I14" s="10"/>
      <c r="J14" s="10"/>
      <c r="K14" s="33" t="s">
        <v>1224</v>
      </c>
      <c r="L14" s="34">
        <v>0</v>
      </c>
      <c r="M14" s="34">
        <v>-19.739149000000001</v>
      </c>
      <c r="N14" s="35">
        <v>-21.387588000000001</v>
      </c>
      <c r="O14" s="34">
        <v>-121.2</v>
      </c>
      <c r="P14" s="34">
        <v>-10.6</v>
      </c>
      <c r="Q14" s="34">
        <v>-10</v>
      </c>
      <c r="R14" s="34">
        <v>-4.2</v>
      </c>
      <c r="S14" s="34">
        <v>-3.9</v>
      </c>
      <c r="T14" s="34">
        <v>-7.5630930000000003</v>
      </c>
      <c r="U14" s="34">
        <v>-5.8487390000000001</v>
      </c>
      <c r="V14" s="34">
        <v>-2.4742150000000001</v>
      </c>
      <c r="W14" s="36">
        <f>'Townwide Contributions'!S361/1000000*-1</f>
        <v>-3.6281780000000001</v>
      </c>
    </row>
    <row r="15" spans="1:30">
      <c r="B15" s="7" t="s">
        <v>2336</v>
      </c>
      <c r="C15" s="21">
        <v>1</v>
      </c>
      <c r="D15" s="27">
        <v>1</v>
      </c>
      <c r="G15" s="11" t="s">
        <v>2162</v>
      </c>
      <c r="H15" s="63">
        <f ca="1">H12+H13-H6</f>
        <v>117940094.80474377</v>
      </c>
      <c r="I15" s="37"/>
      <c r="J15" s="10"/>
      <c r="K15" s="33" t="s">
        <v>1225</v>
      </c>
      <c r="L15" s="34">
        <v>-321.45232199999998</v>
      </c>
      <c r="M15" s="34">
        <v>-332.43572599999999</v>
      </c>
      <c r="N15" s="35">
        <v>-337.80597499999999</v>
      </c>
      <c r="O15" s="34">
        <v>-306</v>
      </c>
      <c r="P15" s="34">
        <v>-217.4</v>
      </c>
      <c r="Q15" s="34">
        <v>-200.9</v>
      </c>
      <c r="R15" s="34">
        <v>-195.7</v>
      </c>
      <c r="S15" s="34">
        <v>-176.3</v>
      </c>
      <c r="T15" s="34">
        <v>-155.409122</v>
      </c>
      <c r="U15" s="34">
        <v>-126.778479</v>
      </c>
      <c r="V15" s="34">
        <v>-94.453875999999994</v>
      </c>
      <c r="W15" s="36">
        <f>'Townwide Contributions'!Z361/1000000</f>
        <v>-99.544991999999993</v>
      </c>
    </row>
    <row r="16" spans="1:30">
      <c r="B16" s="7" t="s">
        <v>2144</v>
      </c>
      <c r="C16" s="21">
        <v>2.5</v>
      </c>
      <c r="D16" s="42">
        <v>2.5</v>
      </c>
      <c r="G16" s="11" t="s">
        <v>2163</v>
      </c>
      <c r="H16" s="146">
        <f ca="1">H15/H6</f>
        <v>2.5483955863237134E-2</v>
      </c>
      <c r="I16" s="10"/>
      <c r="J16" s="10"/>
      <c r="K16" s="57" t="s">
        <v>1226</v>
      </c>
      <c r="L16" s="397">
        <v>232</v>
      </c>
      <c r="M16" s="397">
        <v>218</v>
      </c>
      <c r="N16" s="161">
        <v>214</v>
      </c>
      <c r="O16" s="161">
        <v>193</v>
      </c>
      <c r="P16" s="161">
        <v>282</v>
      </c>
      <c r="Q16" s="161">
        <v>257</v>
      </c>
      <c r="R16" s="161">
        <v>249</v>
      </c>
      <c r="S16" s="161">
        <v>255</v>
      </c>
      <c r="T16" s="161">
        <v>279</v>
      </c>
      <c r="U16" s="161">
        <v>278</v>
      </c>
      <c r="V16" s="161">
        <v>303</v>
      </c>
      <c r="W16" s="161">
        <f>'Townwide Contributions'!AA364</f>
        <v>291</v>
      </c>
    </row>
    <row r="17" spans="1:11">
      <c r="B17" s="7" t="s">
        <v>2145</v>
      </c>
      <c r="C17" s="21">
        <v>7.5</v>
      </c>
      <c r="D17" s="42">
        <v>7.5</v>
      </c>
      <c r="I17" s="10"/>
      <c r="J17" s="10"/>
    </row>
    <row r="18" spans="1:11">
      <c r="B18" s="7" t="s">
        <v>2146</v>
      </c>
      <c r="C18" s="47">
        <v>0.01</v>
      </c>
      <c r="D18" s="43">
        <v>0.01</v>
      </c>
      <c r="F18" s="12"/>
      <c r="G18" s="7" t="s">
        <v>2164</v>
      </c>
      <c r="H18" s="10">
        <f>'Aid436'!X448</f>
        <v>97</v>
      </c>
      <c r="I18" s="10"/>
      <c r="J18" s="10"/>
    </row>
    <row r="19" spans="1:11">
      <c r="B19" s="7" t="s">
        <v>2147</v>
      </c>
      <c r="C19" s="47">
        <v>0.02</v>
      </c>
      <c r="D19" s="43">
        <v>0.02</v>
      </c>
      <c r="G19" s="7" t="s">
        <v>2165</v>
      </c>
      <c r="H19" s="7">
        <f ca="1">'Comparison to FY17'!O335</f>
        <v>322</v>
      </c>
      <c r="J19" s="10"/>
    </row>
    <row r="20" spans="1:11">
      <c r="B20" s="7" t="s">
        <v>2148</v>
      </c>
      <c r="C20" s="47">
        <v>0.82499999999999996</v>
      </c>
      <c r="D20" s="38">
        <v>0.82499999999999996</v>
      </c>
      <c r="G20" s="15" t="s">
        <v>2166</v>
      </c>
      <c r="H20" s="50">
        <f ca="1">H12+H13</f>
        <v>4745953713.949439</v>
      </c>
      <c r="I20" s="10"/>
      <c r="J20" s="10"/>
    </row>
    <row r="21" spans="1:11">
      <c r="B21" s="7" t="s">
        <v>2149</v>
      </c>
      <c r="C21" s="47">
        <v>0.59</v>
      </c>
      <c r="D21" s="44">
        <v>0.59</v>
      </c>
      <c r="G21" s="589" t="s">
        <v>2829</v>
      </c>
      <c r="H21" s="590">
        <f ca="1">H20+1000000</f>
        <v>4746953713.949439</v>
      </c>
      <c r="I21" s="46"/>
      <c r="J21" s="10"/>
      <c r="K21" s="10"/>
    </row>
    <row r="22" spans="1:11">
      <c r="B22" s="7" t="s">
        <v>2150</v>
      </c>
      <c r="C22" s="47">
        <v>0.9</v>
      </c>
      <c r="D22" s="38">
        <v>0.9</v>
      </c>
      <c r="G22" s="15"/>
      <c r="H22" s="305"/>
      <c r="J22" s="10"/>
    </row>
    <row r="23" spans="1:11">
      <c r="B23" s="7" t="s">
        <v>2151</v>
      </c>
      <c r="C23" s="47">
        <v>0</v>
      </c>
      <c r="D23" s="48">
        <v>0</v>
      </c>
      <c r="H23" s="10"/>
      <c r="I23" s="10"/>
      <c r="J23" s="10"/>
    </row>
    <row r="24" spans="1:11">
      <c r="A24" s="12" t="s">
        <v>2142</v>
      </c>
      <c r="B24" s="10"/>
    </row>
    <row r="25" spans="1:11">
      <c r="E25" s="49"/>
    </row>
    <row r="26" spans="1:11">
      <c r="B26" s="7" t="s">
        <v>2152</v>
      </c>
      <c r="C26" s="51">
        <f>C21*localcont!K1765</f>
        <v>6123712567.4689245</v>
      </c>
      <c r="E26" s="49"/>
      <c r="H26" s="31"/>
    </row>
    <row r="27" spans="1:11">
      <c r="B27" s="7" t="s">
        <v>2153</v>
      </c>
      <c r="C27" s="52">
        <f>'Townwide Contributions'!J361</f>
        <v>6123712565</v>
      </c>
      <c r="D27" s="49"/>
      <c r="E27" s="49"/>
      <c r="H27" s="31"/>
    </row>
    <row r="28" spans="1:11">
      <c r="B28" s="7" t="s">
        <v>2154</v>
      </c>
      <c r="C28" s="53">
        <f>IF(ABS(C27-C26)&lt;10,0,C27-C26)</f>
        <v>0</v>
      </c>
      <c r="D28" s="49"/>
    </row>
    <row r="29" spans="1:11">
      <c r="B29" s="7" t="s">
        <v>2155</v>
      </c>
      <c r="C29" s="54">
        <v>3.5495896839999297E-3</v>
      </c>
      <c r="D29" s="49"/>
    </row>
    <row r="30" spans="1:11">
      <c r="B30" s="7" t="s">
        <v>2156</v>
      </c>
      <c r="C30" s="54">
        <f>C29*1/C34</f>
        <v>1.4247902676067894E-2</v>
      </c>
    </row>
    <row r="32" spans="1:11">
      <c r="B32" s="7" t="s">
        <v>2158</v>
      </c>
      <c r="C32" s="52">
        <f>'Townwide Contributions'!C361</f>
        <v>1106803717800</v>
      </c>
    </row>
    <row r="33" spans="1:23">
      <c r="B33" s="7" t="s">
        <v>2159</v>
      </c>
      <c r="C33" s="52">
        <f>'Townwide Contributions'!E361</f>
        <v>275738762977</v>
      </c>
      <c r="H33" s="31"/>
    </row>
    <row r="34" spans="1:23">
      <c r="B34" s="7" t="s">
        <v>2157</v>
      </c>
      <c r="C34" s="55">
        <f>C33/C32</f>
        <v>0.24913068012193482</v>
      </c>
    </row>
    <row r="37" spans="1:23">
      <c r="A37" s="147" t="s">
        <v>1241</v>
      </c>
    </row>
    <row r="42" spans="1:23">
      <c r="K42" s="25" t="s">
        <v>1227</v>
      </c>
    </row>
    <row r="44" spans="1:23">
      <c r="K44" s="56"/>
      <c r="L44" s="25" t="s">
        <v>864</v>
      </c>
      <c r="M44" s="25" t="s">
        <v>194</v>
      </c>
      <c r="N44" s="25" t="s">
        <v>970</v>
      </c>
      <c r="O44" s="25" t="s">
        <v>966</v>
      </c>
      <c r="P44" s="25" t="s">
        <v>373</v>
      </c>
      <c r="Q44" s="25" t="s">
        <v>867</v>
      </c>
      <c r="R44" s="25" t="s">
        <v>97</v>
      </c>
      <c r="S44" s="25" t="s">
        <v>1183</v>
      </c>
      <c r="T44" s="25" t="s">
        <v>1212</v>
      </c>
      <c r="U44" s="25" t="s">
        <v>1243</v>
      </c>
      <c r="V44" s="25" t="s">
        <v>1258</v>
      </c>
      <c r="W44" s="25" t="s">
        <v>2200</v>
      </c>
    </row>
    <row r="45" spans="1:23">
      <c r="K45" s="57" t="s">
        <v>1228</v>
      </c>
      <c r="L45" s="58">
        <v>394.9</v>
      </c>
      <c r="M45" s="58">
        <v>421</v>
      </c>
      <c r="N45" s="58">
        <v>440.4</v>
      </c>
      <c r="O45" s="58">
        <v>413.59914561056684</v>
      </c>
      <c r="P45" s="58">
        <v>489.29058672761249</v>
      </c>
      <c r="Q45" s="58">
        <v>360.5802896250691</v>
      </c>
      <c r="R45" s="58">
        <v>372.91397258755205</v>
      </c>
      <c r="S45" s="58">
        <v>385.3</v>
      </c>
      <c r="T45" s="59">
        <v>404.65393358144092</v>
      </c>
      <c r="U45" s="59">
        <v>419.07307786449184</v>
      </c>
      <c r="V45" s="59">
        <v>488.13621374028867</v>
      </c>
      <c r="W45" s="60">
        <f ca="1">'Aid436'!AQ449/1000000</f>
        <v>497.40384494550671</v>
      </c>
    </row>
    <row r="46" spans="1:23">
      <c r="K46" s="39" t="s">
        <v>1229</v>
      </c>
      <c r="L46" s="40">
        <v>-176.3</v>
      </c>
      <c r="M46" s="40">
        <v>-143</v>
      </c>
      <c r="N46" s="40">
        <v>-105.5</v>
      </c>
      <c r="O46" s="40">
        <v>-97.823632622684812</v>
      </c>
      <c r="P46" s="40">
        <v>-75.730739773442338</v>
      </c>
      <c r="Q46" s="40">
        <v>-110.4290612110001</v>
      </c>
      <c r="R46" s="40">
        <v>-84.706296922117531</v>
      </c>
      <c r="S46" s="40">
        <v>-66.900000000000006</v>
      </c>
      <c r="T46" s="41">
        <v>-49.399214270156875</v>
      </c>
      <c r="U46" s="41">
        <v>-44.487988876901781</v>
      </c>
      <c r="V46" s="41">
        <v>-13.013026762936654</v>
      </c>
      <c r="W46" s="61">
        <f ca="1">'Aid436'!AQ450/1000000</f>
        <v>-7.2026888360463408</v>
      </c>
    </row>
    <row r="57" spans="7:7">
      <c r="G57" s="10"/>
    </row>
    <row r="58" spans="7:7">
      <c r="G58" s="62"/>
    </row>
    <row r="59" spans="7:7">
      <c r="G59" s="62"/>
    </row>
    <row r="60" spans="7:7">
      <c r="G60" s="62"/>
    </row>
    <row r="61" spans="7:7">
      <c r="G61" s="62"/>
    </row>
    <row r="62" spans="7:7">
      <c r="G62" s="62"/>
    </row>
    <row r="63" spans="7:7">
      <c r="G63" s="62"/>
    </row>
    <row r="64" spans="7:7">
      <c r="G64" s="62"/>
    </row>
    <row r="65" spans="7:7">
      <c r="G65" s="62"/>
    </row>
    <row r="66" spans="7:7">
      <c r="G66" s="62"/>
    </row>
    <row r="67" spans="7:7">
      <c r="G67" s="62"/>
    </row>
    <row r="68" spans="7:7">
      <c r="G68" s="62"/>
    </row>
    <row r="69" spans="7:7">
      <c r="G69" s="62"/>
    </row>
    <row r="70" spans="7:7">
      <c r="G70" s="62"/>
    </row>
    <row r="71" spans="7:7">
      <c r="G71" s="62"/>
    </row>
    <row r="72" spans="7:7">
      <c r="G72" s="62"/>
    </row>
    <row r="73" spans="7:7">
      <c r="G73" s="62"/>
    </row>
    <row r="74" spans="7:7">
      <c r="G74" s="62"/>
    </row>
    <row r="75" spans="7:7">
      <c r="G75" s="62"/>
    </row>
    <row r="76" spans="7:7">
      <c r="G76" s="62"/>
    </row>
    <row r="77" spans="7:7">
      <c r="G77" s="62"/>
    </row>
    <row r="78" spans="7:7">
      <c r="G78" s="62"/>
    </row>
    <row r="79" spans="7:7">
      <c r="G79" s="62"/>
    </row>
    <row r="80" spans="7:7">
      <c r="G80" s="62"/>
    </row>
    <row r="81" spans="7:7">
      <c r="G81" s="62"/>
    </row>
    <row r="82" spans="7:7">
      <c r="G82" s="62"/>
    </row>
    <row r="83" spans="7:7">
      <c r="G83" s="62"/>
    </row>
    <row r="84" spans="7:7">
      <c r="G84" s="62"/>
    </row>
    <row r="85" spans="7:7">
      <c r="G85" s="62"/>
    </row>
    <row r="86" spans="7:7">
      <c r="G86" s="62"/>
    </row>
    <row r="87" spans="7:7">
      <c r="G87" s="62"/>
    </row>
    <row r="88" spans="7:7">
      <c r="G88" s="62"/>
    </row>
    <row r="89" spans="7:7">
      <c r="G89" s="62"/>
    </row>
    <row r="90" spans="7:7">
      <c r="G90" s="62"/>
    </row>
    <row r="91" spans="7:7">
      <c r="G91" s="62"/>
    </row>
    <row r="92" spans="7:7">
      <c r="G92" s="62"/>
    </row>
    <row r="93" spans="7:7">
      <c r="G93" s="62"/>
    </row>
    <row r="94" spans="7:7">
      <c r="G94" s="62"/>
    </row>
    <row r="95" spans="7:7">
      <c r="G95" s="62"/>
    </row>
    <row r="96" spans="7:7">
      <c r="G96" s="62"/>
    </row>
    <row r="97" spans="7:7">
      <c r="G97" s="62"/>
    </row>
    <row r="98" spans="7:7">
      <c r="G98" s="62"/>
    </row>
    <row r="99" spans="7:7">
      <c r="G99" s="62"/>
    </row>
    <row r="100" spans="7:7">
      <c r="G100" s="62"/>
    </row>
    <row r="101" spans="7:7">
      <c r="G101" s="62"/>
    </row>
    <row r="102" spans="7:7">
      <c r="G102" s="62"/>
    </row>
    <row r="103" spans="7:7">
      <c r="G103" s="62"/>
    </row>
    <row r="104" spans="7:7">
      <c r="G104" s="62"/>
    </row>
    <row r="105" spans="7:7">
      <c r="G105" s="62"/>
    </row>
    <row r="106" spans="7:7">
      <c r="G106" s="62"/>
    </row>
    <row r="107" spans="7:7">
      <c r="G107" s="62"/>
    </row>
    <row r="108" spans="7:7">
      <c r="G108" s="62"/>
    </row>
    <row r="109" spans="7:7">
      <c r="G109" s="62"/>
    </row>
    <row r="110" spans="7:7">
      <c r="G110" s="62"/>
    </row>
    <row r="111" spans="7:7">
      <c r="G111" s="62"/>
    </row>
    <row r="112" spans="7:7">
      <c r="G112" s="62"/>
    </row>
    <row r="113" spans="7:7">
      <c r="G113" s="62"/>
    </row>
    <row r="114" spans="7:7">
      <c r="G114" s="62"/>
    </row>
    <row r="115" spans="7:7">
      <c r="G115" s="62"/>
    </row>
    <row r="116" spans="7:7">
      <c r="G116" s="62"/>
    </row>
    <row r="117" spans="7:7">
      <c r="G117" s="62"/>
    </row>
    <row r="118" spans="7:7">
      <c r="G118" s="62"/>
    </row>
    <row r="119" spans="7:7">
      <c r="G119" s="62"/>
    </row>
    <row r="120" spans="7:7">
      <c r="G120" s="62"/>
    </row>
    <row r="121" spans="7:7">
      <c r="G121" s="62"/>
    </row>
    <row r="122" spans="7:7">
      <c r="G122" s="62"/>
    </row>
    <row r="123" spans="7:7">
      <c r="G123" s="62"/>
    </row>
    <row r="124" spans="7:7">
      <c r="G124" s="62"/>
    </row>
    <row r="125" spans="7:7">
      <c r="G125" s="62"/>
    </row>
    <row r="126" spans="7:7">
      <c r="G126" s="62"/>
    </row>
    <row r="127" spans="7:7">
      <c r="G127" s="62"/>
    </row>
    <row r="128" spans="7:7">
      <c r="G128" s="62"/>
    </row>
    <row r="129" spans="7:7">
      <c r="G129" s="62"/>
    </row>
    <row r="130" spans="7:7">
      <c r="G130" s="62"/>
    </row>
    <row r="131" spans="7:7">
      <c r="G131" s="62"/>
    </row>
    <row r="132" spans="7:7">
      <c r="G132" s="62"/>
    </row>
    <row r="133" spans="7:7">
      <c r="G133" s="62"/>
    </row>
    <row r="134" spans="7:7">
      <c r="G134" s="62"/>
    </row>
    <row r="135" spans="7:7">
      <c r="G135" s="62"/>
    </row>
    <row r="136" spans="7:7">
      <c r="G136" s="62"/>
    </row>
    <row r="137" spans="7:7">
      <c r="G137" s="62"/>
    </row>
    <row r="138" spans="7:7">
      <c r="G138" s="62"/>
    </row>
    <row r="139" spans="7:7">
      <c r="G139" s="62"/>
    </row>
    <row r="140" spans="7:7">
      <c r="G140" s="62"/>
    </row>
    <row r="141" spans="7:7">
      <c r="G141" s="62"/>
    </row>
    <row r="142" spans="7:7">
      <c r="G142" s="62"/>
    </row>
    <row r="143" spans="7:7">
      <c r="G143" s="62"/>
    </row>
    <row r="144" spans="7:7">
      <c r="G144" s="62"/>
    </row>
    <row r="145" spans="7:7">
      <c r="G145" s="62"/>
    </row>
    <row r="146" spans="7:7">
      <c r="G146" s="62"/>
    </row>
    <row r="147" spans="7:7">
      <c r="G147" s="62"/>
    </row>
    <row r="148" spans="7:7">
      <c r="G148" s="62"/>
    </row>
    <row r="149" spans="7:7">
      <c r="G149" s="62"/>
    </row>
    <row r="150" spans="7:7">
      <c r="G150" s="62"/>
    </row>
    <row r="151" spans="7:7">
      <c r="G151" s="62"/>
    </row>
    <row r="152" spans="7:7">
      <c r="G152" s="62"/>
    </row>
    <row r="153" spans="7:7">
      <c r="G153" s="62"/>
    </row>
    <row r="154" spans="7:7">
      <c r="G154" s="62"/>
    </row>
    <row r="155" spans="7:7">
      <c r="G155" s="62"/>
    </row>
    <row r="156" spans="7:7">
      <c r="G156" s="62"/>
    </row>
    <row r="157" spans="7:7">
      <c r="G157" s="62"/>
    </row>
    <row r="158" spans="7:7">
      <c r="G158" s="62"/>
    </row>
    <row r="159" spans="7:7">
      <c r="G159" s="62"/>
    </row>
    <row r="160" spans="7:7">
      <c r="G160" s="62"/>
    </row>
    <row r="161" spans="7:7">
      <c r="G161" s="62"/>
    </row>
    <row r="162" spans="7:7">
      <c r="G162" s="62"/>
    </row>
    <row r="163" spans="7:7">
      <c r="G163" s="62"/>
    </row>
    <row r="164" spans="7:7">
      <c r="G164" s="62"/>
    </row>
    <row r="165" spans="7:7">
      <c r="G165" s="62"/>
    </row>
  </sheetData>
  <mergeCells count="1">
    <mergeCell ref="K5:AD5"/>
  </mergeCells>
  <phoneticPr fontId="0" type="noConversion"/>
  <conditionalFormatting sqref="C6">
    <cfRule type="cellIs" dxfId="4" priority="3" operator="notEqual">
      <formula>D6</formula>
    </cfRule>
  </conditionalFormatting>
  <conditionalFormatting sqref="C7:C8 C10:C23">
    <cfRule type="cellIs" dxfId="3" priority="2" operator="notEqual">
      <formula>D7</formula>
    </cfRule>
  </conditionalFormatting>
  <hyperlinks>
    <hyperlink ref="A37" location="parameters!K1" display="See Progress Towards Targets"/>
  </hyperlinks>
  <pageMargins left="0.17" right="0.75" top="1" bottom="1" header="0.5" footer="0.5"/>
  <pageSetup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4350" r:id="rId4" name="Button 14">
              <controlPr defaultSize="0" print="0" autoFill="0" autoPict="0" macro="[0]!runassump" altText="Recalibrate eqv and income percentages, if foundation or statewide target changes.">
                <anchor moveWithCells="1" sizeWithCells="1">
                  <from>
                    <xdr:col>4</xdr:col>
                    <xdr:colOff>114300</xdr:colOff>
                    <xdr:row>24</xdr:row>
                    <xdr:rowOff>142875</xdr:rowOff>
                  </from>
                  <to>
                    <xdr:col>7</xdr:col>
                    <xdr:colOff>200025</xdr:colOff>
                    <xdr:row>30</xdr:row>
                    <xdr:rowOff>104775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J463"/>
  <sheetViews>
    <sheetView topLeftCell="A10" zoomScaleNormal="100" workbookViewId="0"/>
  </sheetViews>
  <sheetFormatPr defaultColWidth="9" defaultRowHeight="12.75" customHeight="1"/>
  <cols>
    <col min="1" max="1" width="4.375" style="316" customWidth="1"/>
    <col min="2" max="2" width="9" style="316"/>
    <col min="3" max="3" width="10.25" style="316" customWidth="1"/>
    <col min="4" max="9" width="9" style="316"/>
    <col min="10" max="10" width="12" style="316" customWidth="1"/>
    <col min="11" max="16384" width="9" style="316"/>
  </cols>
  <sheetData>
    <row r="1" spans="1:10" ht="29.45" customHeight="1">
      <c r="A1" s="314" t="s">
        <v>1049</v>
      </c>
      <c r="B1" s="315"/>
      <c r="D1" s="315"/>
      <c r="E1" s="315"/>
      <c r="F1" s="315"/>
      <c r="G1" s="315"/>
      <c r="J1" s="317">
        <f>parameters!B3</f>
        <v>42933</v>
      </c>
    </row>
    <row r="2" spans="1:10" s="473" customFormat="1" ht="29.45" customHeight="1">
      <c r="A2" s="472" t="str">
        <f>parameters!B1&amp; " Chapter 70 and Net School Spending Formula Spreadsheet"</f>
        <v>FY18 Chapter 70 and Net School Spending Formula Spreadsheet</v>
      </c>
      <c r="J2" s="474"/>
    </row>
    <row r="3" spans="1:10" ht="15.75" customHeight="1">
      <c r="A3" s="318"/>
      <c r="B3" s="315"/>
      <c r="C3" s="315"/>
      <c r="D3" s="315"/>
      <c r="E3" s="315"/>
      <c r="F3" s="315"/>
      <c r="G3" s="315"/>
    </row>
    <row r="4" spans="1:10" ht="20.100000000000001" customHeight="1">
      <c r="A4" s="315">
        <f>VLOOKUP(lea_order, leas,4)</f>
        <v>316</v>
      </c>
      <c r="B4" s="315"/>
      <c r="C4" s="315"/>
      <c r="D4" s="315"/>
      <c r="E4" s="315"/>
      <c r="F4" s="315"/>
      <c r="G4" s="315"/>
    </row>
    <row r="5" spans="1:10" ht="7.5" customHeight="1">
      <c r="A5" s="314"/>
      <c r="B5" s="315"/>
      <c r="C5" s="315"/>
      <c r="D5" s="315"/>
      <c r="E5" s="315"/>
      <c r="F5" s="315"/>
      <c r="G5" s="315"/>
    </row>
    <row r="6" spans="1:10" ht="18.75" customHeight="1">
      <c r="B6" s="315" t="s">
        <v>1208</v>
      </c>
    </row>
    <row r="7" spans="1:10" ht="12.75" customHeight="1">
      <c r="B7" s="315" t="s">
        <v>882</v>
      </c>
    </row>
    <row r="8" spans="1:10" ht="12.75" customHeight="1">
      <c r="B8" s="315" t="s">
        <v>1207</v>
      </c>
    </row>
    <row r="9" spans="1:10" ht="8.25" customHeight="1">
      <c r="B9" s="315"/>
    </row>
    <row r="10" spans="1:10" ht="12.75" customHeight="1">
      <c r="B10" s="316" t="s">
        <v>1263</v>
      </c>
      <c r="C10" s="319"/>
      <c r="D10" s="319"/>
    </row>
    <row r="11" spans="1:10" ht="12.75" customHeight="1">
      <c r="B11" s="320"/>
    </row>
    <row r="12" spans="1:10" ht="12.75" customHeight="1">
      <c r="B12" s="321" t="s">
        <v>91</v>
      </c>
    </row>
    <row r="13" spans="1:10" ht="12.75" customHeight="1">
      <c r="B13" s="321" t="s">
        <v>92</v>
      </c>
    </row>
    <row r="14" spans="1:10" ht="12.75" customHeight="1">
      <c r="B14" s="321" t="s">
        <v>519</v>
      </c>
    </row>
    <row r="15" spans="1:10" ht="12.75" customHeight="1">
      <c r="B15" s="321" t="s">
        <v>93</v>
      </c>
    </row>
    <row r="16" spans="1:10" ht="12.75" customHeight="1">
      <c r="B16" s="321"/>
    </row>
    <row r="17" spans="1:7" ht="12.75" customHeight="1">
      <c r="B17" s="321" t="s">
        <v>94</v>
      </c>
      <c r="D17" s="316" t="s">
        <v>730</v>
      </c>
    </row>
    <row r="18" spans="1:7" ht="12.75" customHeight="1">
      <c r="B18" s="321"/>
    </row>
    <row r="19" spans="1:7" ht="12.75" customHeight="1">
      <c r="B19" s="316" t="s">
        <v>883</v>
      </c>
    </row>
    <row r="20" spans="1:7" ht="12.75" customHeight="1">
      <c r="B20" s="316" t="s">
        <v>2214</v>
      </c>
    </row>
    <row r="22" spans="1:7" ht="12.75" customHeight="1">
      <c r="B22" s="316" t="s">
        <v>95</v>
      </c>
    </row>
    <row r="23" spans="1:7" ht="12.75" customHeight="1">
      <c r="B23" s="316" t="s">
        <v>1178</v>
      </c>
      <c r="D23" s="321" t="s">
        <v>1179</v>
      </c>
      <c r="G23" s="316" t="s">
        <v>1180</v>
      </c>
    </row>
    <row r="24" spans="1:7" ht="12.75" customHeight="1">
      <c r="D24" s="321"/>
    </row>
    <row r="25" spans="1:7" ht="12.75" customHeight="1">
      <c r="A25" s="319" t="s">
        <v>58</v>
      </c>
      <c r="B25" s="319" t="s">
        <v>1133</v>
      </c>
    </row>
    <row r="26" spans="1:7" ht="12.75" customHeight="1">
      <c r="A26" s="316">
        <v>1</v>
      </c>
      <c r="B26" s="316" t="s">
        <v>1707</v>
      </c>
    </row>
    <row r="27" spans="1:7" ht="12.75" customHeight="1">
      <c r="A27" s="316">
        <v>2</v>
      </c>
      <c r="B27" s="316" t="s">
        <v>1708</v>
      </c>
    </row>
    <row r="28" spans="1:7" ht="12.75" customHeight="1">
      <c r="A28" s="316">
        <v>3</v>
      </c>
      <c r="B28" s="316" t="s">
        <v>1709</v>
      </c>
    </row>
    <row r="29" spans="1:7" ht="12.75" customHeight="1">
      <c r="A29" s="316">
        <v>4</v>
      </c>
      <c r="B29" s="316" t="s">
        <v>1710</v>
      </c>
    </row>
    <row r="30" spans="1:7" ht="12.75" customHeight="1">
      <c r="A30" s="316">
        <v>5</v>
      </c>
      <c r="B30" s="316" t="s">
        <v>1711</v>
      </c>
    </row>
    <row r="31" spans="1:7" ht="12.75" customHeight="1">
      <c r="A31" s="316">
        <v>6</v>
      </c>
      <c r="B31" s="316" t="s">
        <v>1712</v>
      </c>
    </row>
    <row r="32" spans="1:7" ht="12.75" customHeight="1">
      <c r="A32" s="316">
        <v>7</v>
      </c>
      <c r="B32" s="316" t="s">
        <v>1713</v>
      </c>
    </row>
    <row r="33" spans="1:2" ht="12.75" customHeight="1">
      <c r="A33" s="316">
        <v>8</v>
      </c>
      <c r="B33" s="316" t="s">
        <v>1714</v>
      </c>
    </row>
    <row r="34" spans="1:2" ht="12.75" customHeight="1">
      <c r="A34" s="316">
        <v>9</v>
      </c>
      <c r="B34" s="316" t="s">
        <v>1715</v>
      </c>
    </row>
    <row r="35" spans="1:2" ht="12.75" customHeight="1">
      <c r="A35" s="316">
        <v>10</v>
      </c>
      <c r="B35" s="316" t="s">
        <v>1716</v>
      </c>
    </row>
    <row r="36" spans="1:2" ht="12.75" customHeight="1">
      <c r="A36" s="316">
        <v>11</v>
      </c>
      <c r="B36" s="316" t="s">
        <v>1717</v>
      </c>
    </row>
    <row r="37" spans="1:2" ht="12.75" customHeight="1">
      <c r="A37" s="316">
        <v>12</v>
      </c>
      <c r="B37" s="316" t="s">
        <v>1718</v>
      </c>
    </row>
    <row r="38" spans="1:2" ht="12.75" customHeight="1">
      <c r="A38" s="316">
        <v>13</v>
      </c>
      <c r="B38" s="316" t="s">
        <v>1719</v>
      </c>
    </row>
    <row r="39" spans="1:2" ht="12.75" customHeight="1">
      <c r="A39" s="316">
        <v>14</v>
      </c>
      <c r="B39" s="316" t="s">
        <v>1720</v>
      </c>
    </row>
    <row r="40" spans="1:2" ht="12.75" customHeight="1">
      <c r="A40" s="316">
        <v>15</v>
      </c>
      <c r="B40" s="316" t="s">
        <v>1721</v>
      </c>
    </row>
    <row r="41" spans="1:2" ht="12.75" customHeight="1">
      <c r="A41" s="316">
        <v>16</v>
      </c>
      <c r="B41" s="316" t="s">
        <v>1722</v>
      </c>
    </row>
    <row r="42" spans="1:2" ht="12.75" customHeight="1">
      <c r="A42" s="316">
        <v>17</v>
      </c>
      <c r="B42" s="316" t="s">
        <v>1723</v>
      </c>
    </row>
    <row r="43" spans="1:2" ht="12.75" customHeight="1">
      <c r="A43" s="316">
        <v>18</v>
      </c>
      <c r="B43" s="316" t="s">
        <v>1724</v>
      </c>
    </row>
    <row r="44" spans="1:2" ht="12.75" customHeight="1">
      <c r="A44" s="316">
        <v>19</v>
      </c>
      <c r="B44" s="316" t="s">
        <v>1725</v>
      </c>
    </row>
    <row r="45" spans="1:2" ht="12.75" customHeight="1">
      <c r="A45" s="316">
        <v>20</v>
      </c>
      <c r="B45" s="316" t="s">
        <v>1726</v>
      </c>
    </row>
    <row r="46" spans="1:2" ht="12.75" customHeight="1">
      <c r="A46" s="316">
        <v>21</v>
      </c>
      <c r="B46" s="316" t="s">
        <v>1727</v>
      </c>
    </row>
    <row r="47" spans="1:2" ht="12.75" customHeight="1">
      <c r="A47" s="316">
        <v>22</v>
      </c>
      <c r="B47" s="316" t="s">
        <v>1728</v>
      </c>
    </row>
    <row r="48" spans="1:2" ht="12.75" customHeight="1">
      <c r="A48" s="316">
        <v>23</v>
      </c>
      <c r="B48" s="316" t="s">
        <v>1729</v>
      </c>
    </row>
    <row r="49" spans="1:2" ht="12.75" customHeight="1">
      <c r="A49" s="316">
        <v>24</v>
      </c>
      <c r="B49" s="316" t="s">
        <v>1730</v>
      </c>
    </row>
    <row r="50" spans="1:2" ht="12.75" customHeight="1">
      <c r="A50" s="316">
        <v>25</v>
      </c>
      <c r="B50" s="316" t="s">
        <v>1731</v>
      </c>
    </row>
    <row r="51" spans="1:2" ht="12.75" customHeight="1">
      <c r="A51" s="316">
        <v>26</v>
      </c>
      <c r="B51" s="316" t="s">
        <v>1732</v>
      </c>
    </row>
    <row r="52" spans="1:2" ht="12.75" customHeight="1">
      <c r="A52" s="316">
        <v>27</v>
      </c>
      <c r="B52" s="316" t="s">
        <v>1733</v>
      </c>
    </row>
    <row r="53" spans="1:2" ht="12.75" customHeight="1">
      <c r="A53" s="316">
        <v>28</v>
      </c>
      <c r="B53" s="316" t="s">
        <v>1734</v>
      </c>
    </row>
    <row r="54" spans="1:2" ht="12.75" customHeight="1">
      <c r="A54" s="316">
        <v>29</v>
      </c>
      <c r="B54" s="316" t="s">
        <v>1735</v>
      </c>
    </row>
    <row r="55" spans="1:2" ht="12.75" customHeight="1">
      <c r="A55" s="316">
        <v>30</v>
      </c>
      <c r="B55" s="316" t="s">
        <v>1736</v>
      </c>
    </row>
    <row r="56" spans="1:2" ht="12.75" customHeight="1">
      <c r="A56" s="316">
        <v>31</v>
      </c>
      <c r="B56" s="316" t="s">
        <v>1737</v>
      </c>
    </row>
    <row r="57" spans="1:2" ht="12.75" customHeight="1">
      <c r="A57" s="316">
        <v>32</v>
      </c>
      <c r="B57" s="316" t="s">
        <v>1738</v>
      </c>
    </row>
    <row r="58" spans="1:2" ht="12.75" customHeight="1">
      <c r="A58" s="316">
        <v>33</v>
      </c>
      <c r="B58" s="316" t="s">
        <v>1739</v>
      </c>
    </row>
    <row r="59" spans="1:2" ht="12.75" customHeight="1">
      <c r="A59" s="316">
        <v>34</v>
      </c>
      <c r="B59" s="316" t="s">
        <v>1740</v>
      </c>
    </row>
    <row r="60" spans="1:2" ht="12.75" customHeight="1">
      <c r="A60" s="316">
        <v>35</v>
      </c>
      <c r="B60" s="316" t="s">
        <v>1741</v>
      </c>
    </row>
    <row r="61" spans="1:2" ht="12.75" customHeight="1">
      <c r="A61" s="316">
        <v>36</v>
      </c>
      <c r="B61" s="316" t="s">
        <v>1742</v>
      </c>
    </row>
    <row r="62" spans="1:2" ht="12.75" customHeight="1">
      <c r="A62" s="316">
        <v>37</v>
      </c>
      <c r="B62" s="316" t="s">
        <v>1743</v>
      </c>
    </row>
    <row r="63" spans="1:2" ht="12.75" customHeight="1">
      <c r="A63" s="316">
        <v>38</v>
      </c>
      <c r="B63" s="316" t="s">
        <v>1744</v>
      </c>
    </row>
    <row r="64" spans="1:2" ht="12.75" customHeight="1">
      <c r="A64" s="316">
        <v>39</v>
      </c>
      <c r="B64" s="316" t="s">
        <v>1745</v>
      </c>
    </row>
    <row r="65" spans="1:2" ht="12.75" customHeight="1">
      <c r="A65" s="316">
        <v>40</v>
      </c>
      <c r="B65" s="316" t="s">
        <v>1746</v>
      </c>
    </row>
    <row r="66" spans="1:2" ht="12.75" customHeight="1">
      <c r="A66" s="316">
        <v>41</v>
      </c>
      <c r="B66" s="316" t="s">
        <v>1747</v>
      </c>
    </row>
    <row r="67" spans="1:2" ht="12.75" customHeight="1">
      <c r="A67" s="316">
        <v>42</v>
      </c>
      <c r="B67" s="316" t="s">
        <v>1748</v>
      </c>
    </row>
    <row r="68" spans="1:2" ht="12.75" customHeight="1">
      <c r="A68" s="316">
        <v>43</v>
      </c>
      <c r="B68" s="316" t="s">
        <v>1749</v>
      </c>
    </row>
    <row r="69" spans="1:2" ht="12.75" customHeight="1">
      <c r="A69" s="316">
        <v>44</v>
      </c>
      <c r="B69" s="316" t="s">
        <v>1750</v>
      </c>
    </row>
    <row r="70" spans="1:2" ht="12.75" customHeight="1">
      <c r="A70" s="316">
        <v>45</v>
      </c>
      <c r="B70" s="316" t="s">
        <v>1751</v>
      </c>
    </row>
    <row r="71" spans="1:2" ht="12.75" customHeight="1">
      <c r="A71" s="316">
        <v>46</v>
      </c>
      <c r="B71" s="316" t="s">
        <v>1752</v>
      </c>
    </row>
    <row r="72" spans="1:2" ht="12.75" customHeight="1">
      <c r="A72" s="316">
        <v>47</v>
      </c>
      <c r="B72" s="316" t="s">
        <v>1753</v>
      </c>
    </row>
    <row r="73" spans="1:2" ht="12.75" customHeight="1">
      <c r="A73" s="316">
        <v>48</v>
      </c>
      <c r="B73" s="316" t="s">
        <v>1754</v>
      </c>
    </row>
    <row r="74" spans="1:2" ht="12.75" customHeight="1">
      <c r="A74" s="316">
        <v>49</v>
      </c>
      <c r="B74" s="316" t="s">
        <v>1755</v>
      </c>
    </row>
    <row r="75" spans="1:2" ht="12.75" customHeight="1">
      <c r="A75" s="316">
        <v>50</v>
      </c>
      <c r="B75" s="316" t="s">
        <v>1756</v>
      </c>
    </row>
    <row r="76" spans="1:2" ht="12.75" customHeight="1">
      <c r="A76" s="316">
        <v>51</v>
      </c>
      <c r="B76" s="316" t="s">
        <v>1757</v>
      </c>
    </row>
    <row r="77" spans="1:2" ht="12.75" customHeight="1">
      <c r="A77" s="316">
        <v>52</v>
      </c>
      <c r="B77" s="316" t="s">
        <v>1758</v>
      </c>
    </row>
    <row r="78" spans="1:2" ht="12.75" customHeight="1">
      <c r="A78" s="316">
        <v>53</v>
      </c>
      <c r="B78" s="316" t="s">
        <v>1759</v>
      </c>
    </row>
    <row r="79" spans="1:2" ht="12.75" customHeight="1">
      <c r="A79" s="316">
        <v>54</v>
      </c>
      <c r="B79" s="316" t="s">
        <v>1760</v>
      </c>
    </row>
    <row r="80" spans="1:2" ht="12.75" customHeight="1">
      <c r="A80" s="316">
        <v>55</v>
      </c>
      <c r="B80" s="316" t="s">
        <v>1761</v>
      </c>
    </row>
    <row r="81" spans="1:2" ht="12.75" customHeight="1">
      <c r="A81" s="316">
        <v>56</v>
      </c>
      <c r="B81" s="316" t="s">
        <v>1762</v>
      </c>
    </row>
    <row r="82" spans="1:2" ht="12.75" customHeight="1">
      <c r="A82" s="316">
        <v>57</v>
      </c>
      <c r="B82" s="316" t="s">
        <v>1763</v>
      </c>
    </row>
    <row r="83" spans="1:2" ht="12.75" customHeight="1">
      <c r="A83" s="316">
        <v>58</v>
      </c>
      <c r="B83" s="316" t="s">
        <v>1764</v>
      </c>
    </row>
    <row r="84" spans="1:2" ht="12.75" customHeight="1">
      <c r="A84" s="316">
        <v>59</v>
      </c>
      <c r="B84" s="316" t="s">
        <v>1765</v>
      </c>
    </row>
    <row r="85" spans="1:2" ht="12.75" customHeight="1">
      <c r="A85" s="316">
        <v>60</v>
      </c>
      <c r="B85" s="316" t="s">
        <v>1766</v>
      </c>
    </row>
    <row r="86" spans="1:2" ht="12.75" customHeight="1">
      <c r="A86" s="316">
        <v>61</v>
      </c>
      <c r="B86" s="316" t="s">
        <v>1767</v>
      </c>
    </row>
    <row r="87" spans="1:2" ht="12.75" customHeight="1">
      <c r="A87" s="316">
        <v>62</v>
      </c>
      <c r="B87" s="316" t="s">
        <v>1768</v>
      </c>
    </row>
    <row r="88" spans="1:2" ht="12.75" customHeight="1">
      <c r="A88" s="316">
        <v>63</v>
      </c>
      <c r="B88" s="316" t="s">
        <v>1769</v>
      </c>
    </row>
    <row r="89" spans="1:2" ht="12.75" customHeight="1">
      <c r="A89" s="316">
        <v>64</v>
      </c>
      <c r="B89" s="316" t="s">
        <v>1770</v>
      </c>
    </row>
    <row r="90" spans="1:2" ht="12.75" customHeight="1">
      <c r="A90" s="316">
        <v>65</v>
      </c>
      <c r="B90" s="316" t="s">
        <v>1771</v>
      </c>
    </row>
    <row r="91" spans="1:2" ht="12.75" customHeight="1">
      <c r="A91" s="316">
        <v>66</v>
      </c>
      <c r="B91" s="316" t="s">
        <v>1772</v>
      </c>
    </row>
    <row r="92" spans="1:2" ht="12.75" customHeight="1">
      <c r="A92" s="316">
        <v>67</v>
      </c>
      <c r="B92" s="316" t="s">
        <v>1773</v>
      </c>
    </row>
    <row r="93" spans="1:2" ht="12.75" customHeight="1">
      <c r="A93" s="316">
        <v>68</v>
      </c>
      <c r="B93" s="316" t="s">
        <v>1774</v>
      </c>
    </row>
    <row r="94" spans="1:2" ht="12.75" customHeight="1">
      <c r="A94" s="316">
        <v>69</v>
      </c>
      <c r="B94" s="316" t="s">
        <v>1775</v>
      </c>
    </row>
    <row r="95" spans="1:2" ht="12.75" customHeight="1">
      <c r="A95" s="316">
        <v>70</v>
      </c>
      <c r="B95" s="316" t="s">
        <v>1776</v>
      </c>
    </row>
    <row r="96" spans="1:2" ht="12.75" customHeight="1">
      <c r="A96" s="316">
        <v>71</v>
      </c>
      <c r="B96" s="316" t="s">
        <v>1777</v>
      </c>
    </row>
    <row r="97" spans="1:2" ht="12.75" customHeight="1">
      <c r="A97" s="316">
        <v>72</v>
      </c>
      <c r="B97" s="316" t="s">
        <v>1778</v>
      </c>
    </row>
    <row r="98" spans="1:2" ht="12.75" customHeight="1">
      <c r="A98" s="316">
        <v>73</v>
      </c>
      <c r="B98" s="316" t="s">
        <v>1779</v>
      </c>
    </row>
    <row r="99" spans="1:2" ht="12.75" customHeight="1">
      <c r="A99" s="316">
        <v>74</v>
      </c>
      <c r="B99" s="316" t="s">
        <v>1780</v>
      </c>
    </row>
    <row r="100" spans="1:2" ht="12.75" customHeight="1">
      <c r="A100" s="316">
        <v>75</v>
      </c>
      <c r="B100" s="316" t="s">
        <v>1781</v>
      </c>
    </row>
    <row r="101" spans="1:2" ht="12.75" customHeight="1">
      <c r="A101" s="316">
        <v>76</v>
      </c>
      <c r="B101" s="316" t="s">
        <v>1782</v>
      </c>
    </row>
    <row r="102" spans="1:2" ht="12.75" customHeight="1">
      <c r="A102" s="316">
        <v>77</v>
      </c>
      <c r="B102" s="316" t="s">
        <v>1783</v>
      </c>
    </row>
    <row r="103" spans="1:2" ht="12.75" customHeight="1">
      <c r="A103" s="316">
        <v>78</v>
      </c>
      <c r="B103" s="316" t="s">
        <v>1784</v>
      </c>
    </row>
    <row r="104" spans="1:2" ht="12.75" customHeight="1">
      <c r="A104" s="316">
        <v>79</v>
      </c>
      <c r="B104" s="316" t="s">
        <v>1785</v>
      </c>
    </row>
    <row r="105" spans="1:2" ht="12.75" customHeight="1">
      <c r="A105" s="316">
        <v>80</v>
      </c>
      <c r="B105" s="316" t="s">
        <v>1786</v>
      </c>
    </row>
    <row r="106" spans="1:2" ht="12.75" customHeight="1">
      <c r="A106" s="316">
        <v>81</v>
      </c>
      <c r="B106" s="316" t="s">
        <v>1787</v>
      </c>
    </row>
    <row r="107" spans="1:2" ht="12.75" customHeight="1">
      <c r="A107" s="316">
        <v>82</v>
      </c>
      <c r="B107" s="316" t="s">
        <v>1788</v>
      </c>
    </row>
    <row r="108" spans="1:2" ht="12.75" customHeight="1">
      <c r="A108" s="316">
        <v>83</v>
      </c>
      <c r="B108" s="316" t="s">
        <v>1789</v>
      </c>
    </row>
    <row r="109" spans="1:2" ht="12.75" customHeight="1">
      <c r="A109" s="316">
        <v>84</v>
      </c>
      <c r="B109" s="316" t="s">
        <v>1790</v>
      </c>
    </row>
    <row r="110" spans="1:2" ht="12.75" customHeight="1">
      <c r="A110" s="316">
        <v>85</v>
      </c>
      <c r="B110" s="316" t="s">
        <v>1791</v>
      </c>
    </row>
    <row r="111" spans="1:2" ht="12.75" customHeight="1">
      <c r="A111" s="316">
        <v>86</v>
      </c>
      <c r="B111" s="316" t="s">
        <v>1792</v>
      </c>
    </row>
    <row r="112" spans="1:2" ht="12.75" customHeight="1">
      <c r="A112" s="316">
        <v>87</v>
      </c>
      <c r="B112" s="316" t="s">
        <v>1793</v>
      </c>
    </row>
    <row r="113" spans="1:2" ht="12.75" customHeight="1">
      <c r="A113" s="316">
        <v>88</v>
      </c>
      <c r="B113" s="316" t="s">
        <v>1794</v>
      </c>
    </row>
    <row r="114" spans="1:2" ht="12.75" customHeight="1">
      <c r="A114" s="316">
        <v>89</v>
      </c>
      <c r="B114" s="316" t="s">
        <v>1795</v>
      </c>
    </row>
    <row r="115" spans="1:2" ht="12.75" customHeight="1">
      <c r="A115" s="316">
        <v>90</v>
      </c>
      <c r="B115" s="316" t="s">
        <v>1796</v>
      </c>
    </row>
    <row r="116" spans="1:2" ht="12.75" customHeight="1">
      <c r="A116" s="316">
        <v>91</v>
      </c>
      <c r="B116" s="316" t="s">
        <v>1797</v>
      </c>
    </row>
    <row r="117" spans="1:2" ht="12.75" customHeight="1">
      <c r="A117" s="316">
        <v>92</v>
      </c>
      <c r="B117" s="316" t="s">
        <v>1798</v>
      </c>
    </row>
    <row r="118" spans="1:2" ht="12.75" customHeight="1">
      <c r="A118" s="316">
        <v>93</v>
      </c>
      <c r="B118" s="316" t="s">
        <v>1799</v>
      </c>
    </row>
    <row r="119" spans="1:2" ht="12.75" customHeight="1">
      <c r="A119" s="316">
        <v>94</v>
      </c>
      <c r="B119" s="316" t="s">
        <v>1800</v>
      </c>
    </row>
    <row r="120" spans="1:2" ht="12.75" customHeight="1">
      <c r="A120" s="316">
        <v>95</v>
      </c>
      <c r="B120" s="316" t="s">
        <v>1801</v>
      </c>
    </row>
    <row r="121" spans="1:2" ht="12.75" customHeight="1">
      <c r="A121" s="316">
        <v>96</v>
      </c>
      <c r="B121" s="316" t="s">
        <v>1802</v>
      </c>
    </row>
    <row r="122" spans="1:2" ht="12.75" customHeight="1">
      <c r="A122" s="316">
        <v>97</v>
      </c>
      <c r="B122" s="316" t="s">
        <v>1803</v>
      </c>
    </row>
    <row r="123" spans="1:2" ht="12.75" customHeight="1">
      <c r="A123" s="316">
        <v>98</v>
      </c>
      <c r="B123" s="316" t="s">
        <v>1804</v>
      </c>
    </row>
    <row r="124" spans="1:2" ht="12.75" customHeight="1">
      <c r="A124" s="316">
        <v>99</v>
      </c>
      <c r="B124" s="316" t="s">
        <v>1805</v>
      </c>
    </row>
    <row r="125" spans="1:2" ht="12.75" customHeight="1">
      <c r="A125" s="316">
        <v>100</v>
      </c>
      <c r="B125" s="316" t="s">
        <v>1806</v>
      </c>
    </row>
    <row r="126" spans="1:2" ht="12.75" customHeight="1">
      <c r="A126" s="316">
        <v>101</v>
      </c>
      <c r="B126" s="316" t="s">
        <v>1807</v>
      </c>
    </row>
    <row r="127" spans="1:2" ht="12.75" customHeight="1">
      <c r="A127" s="316">
        <v>102</v>
      </c>
      <c r="B127" s="316" t="s">
        <v>1808</v>
      </c>
    </row>
    <row r="128" spans="1:2" ht="12.75" customHeight="1">
      <c r="A128" s="316">
        <v>103</v>
      </c>
      <c r="B128" s="316" t="s">
        <v>1809</v>
      </c>
    </row>
    <row r="129" spans="1:2" ht="12.75" customHeight="1">
      <c r="A129" s="316">
        <v>104</v>
      </c>
      <c r="B129" s="316" t="s">
        <v>2134</v>
      </c>
    </row>
    <row r="130" spans="1:2" ht="12.75" customHeight="1">
      <c r="A130" s="316">
        <v>105</v>
      </c>
      <c r="B130" s="316" t="s">
        <v>1810</v>
      </c>
    </row>
    <row r="131" spans="1:2" ht="12.75" customHeight="1">
      <c r="A131" s="316">
        <v>106</v>
      </c>
      <c r="B131" s="316" t="s">
        <v>1811</v>
      </c>
    </row>
    <row r="132" spans="1:2" ht="12.75" customHeight="1">
      <c r="A132" s="316">
        <v>107</v>
      </c>
      <c r="B132" s="316" t="s">
        <v>1812</v>
      </c>
    </row>
    <row r="133" spans="1:2" ht="12.75" customHeight="1">
      <c r="A133" s="316">
        <v>108</v>
      </c>
      <c r="B133" s="316" t="s">
        <v>1813</v>
      </c>
    </row>
    <row r="134" spans="1:2" ht="12.75" customHeight="1">
      <c r="A134" s="316">
        <v>109</v>
      </c>
      <c r="B134" s="316" t="s">
        <v>1814</v>
      </c>
    </row>
    <row r="135" spans="1:2" ht="12.75" customHeight="1">
      <c r="A135" s="316">
        <v>110</v>
      </c>
      <c r="B135" s="316" t="s">
        <v>1815</v>
      </c>
    </row>
    <row r="136" spans="1:2" ht="12.75" customHeight="1">
      <c r="A136" s="316">
        <v>111</v>
      </c>
      <c r="B136" s="316" t="s">
        <v>1816</v>
      </c>
    </row>
    <row r="137" spans="1:2" ht="12.75" customHeight="1">
      <c r="A137" s="316">
        <v>112</v>
      </c>
      <c r="B137" s="316" t="s">
        <v>1817</v>
      </c>
    </row>
    <row r="138" spans="1:2" ht="12.75" customHeight="1">
      <c r="A138" s="316">
        <v>113</v>
      </c>
      <c r="B138" s="316" t="s">
        <v>1818</v>
      </c>
    </row>
    <row r="139" spans="1:2" ht="12.75" customHeight="1">
      <c r="A139" s="316">
        <v>114</v>
      </c>
      <c r="B139" s="316" t="s">
        <v>1819</v>
      </c>
    </row>
    <row r="140" spans="1:2" ht="12.75" customHeight="1">
      <c r="A140" s="316">
        <v>115</v>
      </c>
      <c r="B140" s="316" t="s">
        <v>1820</v>
      </c>
    </row>
    <row r="141" spans="1:2" ht="12.75" customHeight="1">
      <c r="A141" s="316">
        <v>116</v>
      </c>
      <c r="B141" s="316" t="s">
        <v>1821</v>
      </c>
    </row>
    <row r="142" spans="1:2" ht="12.75" customHeight="1">
      <c r="A142" s="316">
        <v>117</v>
      </c>
      <c r="B142" s="316" t="s">
        <v>1822</v>
      </c>
    </row>
    <row r="143" spans="1:2" ht="12.75" customHeight="1">
      <c r="A143" s="316">
        <v>118</v>
      </c>
      <c r="B143" s="316" t="s">
        <v>1823</v>
      </c>
    </row>
    <row r="144" spans="1:2" ht="12.75" customHeight="1">
      <c r="A144" s="316">
        <v>119</v>
      </c>
      <c r="B144" s="316" t="s">
        <v>1824</v>
      </c>
    </row>
    <row r="145" spans="1:2" ht="12.75" customHeight="1">
      <c r="A145" s="316">
        <v>120</v>
      </c>
      <c r="B145" s="316" t="s">
        <v>1825</v>
      </c>
    </row>
    <row r="146" spans="1:2" ht="12.75" customHeight="1">
      <c r="A146" s="316">
        <v>121</v>
      </c>
      <c r="B146" s="316" t="s">
        <v>1826</v>
      </c>
    </row>
    <row r="147" spans="1:2" ht="12.75" customHeight="1">
      <c r="A147" s="316">
        <v>122</v>
      </c>
      <c r="B147" s="316" t="s">
        <v>1827</v>
      </c>
    </row>
    <row r="148" spans="1:2" ht="12.75" customHeight="1">
      <c r="A148" s="316">
        <v>123</v>
      </c>
      <c r="B148" s="316" t="s">
        <v>1828</v>
      </c>
    </row>
    <row r="149" spans="1:2" ht="12.75" customHeight="1">
      <c r="A149" s="316">
        <v>124</v>
      </c>
      <c r="B149" s="316" t="s">
        <v>1829</v>
      </c>
    </row>
    <row r="150" spans="1:2" ht="12.75" customHeight="1">
      <c r="A150" s="316">
        <v>125</v>
      </c>
      <c r="B150" s="316" t="s">
        <v>1830</v>
      </c>
    </row>
    <row r="151" spans="1:2" ht="12.75" customHeight="1">
      <c r="A151" s="316">
        <v>126</v>
      </c>
      <c r="B151" s="316" t="s">
        <v>1831</v>
      </c>
    </row>
    <row r="152" spans="1:2" ht="12.75" customHeight="1">
      <c r="A152" s="316">
        <v>127</v>
      </c>
      <c r="B152" s="316" t="s">
        <v>1832</v>
      </c>
    </row>
    <row r="153" spans="1:2" ht="12.75" customHeight="1">
      <c r="A153" s="316">
        <v>128</v>
      </c>
      <c r="B153" s="316" t="s">
        <v>1833</v>
      </c>
    </row>
    <row r="154" spans="1:2" ht="12.75" customHeight="1">
      <c r="A154" s="316">
        <v>129</v>
      </c>
      <c r="B154" s="316" t="s">
        <v>1834</v>
      </c>
    </row>
    <row r="155" spans="1:2" ht="12.75" customHeight="1">
      <c r="A155" s="316">
        <v>130</v>
      </c>
      <c r="B155" s="316" t="s">
        <v>1835</v>
      </c>
    </row>
    <row r="156" spans="1:2" ht="12.75" customHeight="1">
      <c r="A156" s="316">
        <v>131</v>
      </c>
      <c r="B156" s="316" t="s">
        <v>1836</v>
      </c>
    </row>
    <row r="157" spans="1:2" ht="12.75" customHeight="1">
      <c r="A157" s="316">
        <v>132</v>
      </c>
      <c r="B157" s="316" t="s">
        <v>1837</v>
      </c>
    </row>
    <row r="158" spans="1:2" ht="12.75" customHeight="1">
      <c r="A158" s="316">
        <v>133</v>
      </c>
      <c r="B158" s="316" t="s">
        <v>1838</v>
      </c>
    </row>
    <row r="159" spans="1:2" ht="12.75" customHeight="1">
      <c r="A159" s="316">
        <v>134</v>
      </c>
      <c r="B159" s="316" t="s">
        <v>1839</v>
      </c>
    </row>
    <row r="160" spans="1:2" ht="12.75" customHeight="1">
      <c r="A160" s="316">
        <v>135</v>
      </c>
      <c r="B160" s="316" t="s">
        <v>1840</v>
      </c>
    </row>
    <row r="161" spans="1:2" ht="12.75" customHeight="1">
      <c r="A161" s="316">
        <v>136</v>
      </c>
      <c r="B161" s="316" t="s">
        <v>1841</v>
      </c>
    </row>
    <row r="162" spans="1:2" ht="12.75" customHeight="1">
      <c r="A162" s="316">
        <v>137</v>
      </c>
      <c r="B162" s="316" t="s">
        <v>1842</v>
      </c>
    </row>
    <row r="163" spans="1:2" ht="12.75" customHeight="1">
      <c r="A163" s="316">
        <v>138</v>
      </c>
      <c r="B163" s="316" t="s">
        <v>1843</v>
      </c>
    </row>
    <row r="164" spans="1:2" ht="12.75" customHeight="1">
      <c r="A164" s="316">
        <v>139</v>
      </c>
      <c r="B164" s="316" t="s">
        <v>1844</v>
      </c>
    </row>
    <row r="165" spans="1:2" ht="12.75" customHeight="1">
      <c r="A165" s="316">
        <v>140</v>
      </c>
      <c r="B165" s="316" t="s">
        <v>1845</v>
      </c>
    </row>
    <row r="166" spans="1:2" ht="12.75" customHeight="1">
      <c r="A166" s="316">
        <v>141</v>
      </c>
      <c r="B166" s="316" t="s">
        <v>1846</v>
      </c>
    </row>
    <row r="167" spans="1:2" ht="12.75" customHeight="1">
      <c r="A167" s="316">
        <v>142</v>
      </c>
      <c r="B167" s="316" t="s">
        <v>1847</v>
      </c>
    </row>
    <row r="168" spans="1:2" ht="12.75" customHeight="1">
      <c r="A168" s="316">
        <v>143</v>
      </c>
      <c r="B168" s="316" t="s">
        <v>1848</v>
      </c>
    </row>
    <row r="169" spans="1:2" ht="12.75" customHeight="1">
      <c r="A169" s="316">
        <v>144</v>
      </c>
      <c r="B169" s="316" t="s">
        <v>1849</v>
      </c>
    </row>
    <row r="170" spans="1:2" ht="12.75" customHeight="1">
      <c r="A170" s="316">
        <v>145</v>
      </c>
      <c r="B170" s="316" t="s">
        <v>1850</v>
      </c>
    </row>
    <row r="171" spans="1:2" ht="12.75" customHeight="1">
      <c r="A171" s="316">
        <v>146</v>
      </c>
      <c r="B171" s="316" t="s">
        <v>1851</v>
      </c>
    </row>
    <row r="172" spans="1:2" ht="12.75" customHeight="1">
      <c r="A172" s="316">
        <v>147</v>
      </c>
      <c r="B172" s="316" t="s">
        <v>1852</v>
      </c>
    </row>
    <row r="173" spans="1:2" ht="12.75" customHeight="1">
      <c r="A173" s="316">
        <v>148</v>
      </c>
      <c r="B173" s="316" t="s">
        <v>1853</v>
      </c>
    </row>
    <row r="174" spans="1:2" ht="12.75" customHeight="1">
      <c r="A174" s="316">
        <v>149</v>
      </c>
      <c r="B174" s="316" t="s">
        <v>1854</v>
      </c>
    </row>
    <row r="175" spans="1:2" ht="12.75" customHeight="1">
      <c r="A175" s="316">
        <v>150</v>
      </c>
      <c r="B175" s="316" t="s">
        <v>1855</v>
      </c>
    </row>
    <row r="176" spans="1:2" ht="12.75" customHeight="1">
      <c r="A176" s="316">
        <v>151</v>
      </c>
      <c r="B176" s="316" t="s">
        <v>1856</v>
      </c>
    </row>
    <row r="177" spans="1:2" ht="12.75" customHeight="1">
      <c r="A177" s="316">
        <v>152</v>
      </c>
      <c r="B177" s="316" t="s">
        <v>1857</v>
      </c>
    </row>
    <row r="178" spans="1:2" ht="12.75" customHeight="1">
      <c r="A178" s="316">
        <v>153</v>
      </c>
      <c r="B178" s="316" t="s">
        <v>1858</v>
      </c>
    </row>
    <row r="179" spans="1:2" ht="12.75" customHeight="1">
      <c r="A179" s="316">
        <v>154</v>
      </c>
      <c r="B179" s="316" t="s">
        <v>1859</v>
      </c>
    </row>
    <row r="180" spans="1:2" ht="12.75" customHeight="1">
      <c r="A180" s="316">
        <v>155</v>
      </c>
      <c r="B180" s="316" t="s">
        <v>1860</v>
      </c>
    </row>
    <row r="181" spans="1:2" ht="12.75" customHeight="1">
      <c r="A181" s="316">
        <v>156</v>
      </c>
      <c r="B181" s="316" t="s">
        <v>1861</v>
      </c>
    </row>
    <row r="182" spans="1:2" ht="12.75" customHeight="1">
      <c r="A182" s="316">
        <v>157</v>
      </c>
      <c r="B182" s="316" t="s">
        <v>1862</v>
      </c>
    </row>
    <row r="183" spans="1:2" ht="12.75" customHeight="1">
      <c r="A183" s="316">
        <v>158</v>
      </c>
      <c r="B183" s="316" t="s">
        <v>1863</v>
      </c>
    </row>
    <row r="184" spans="1:2" ht="12.75" customHeight="1">
      <c r="A184" s="316">
        <v>159</v>
      </c>
      <c r="B184" s="316" t="s">
        <v>1864</v>
      </c>
    </row>
    <row r="185" spans="1:2" ht="12.75" customHeight="1">
      <c r="A185" s="316">
        <v>160</v>
      </c>
      <c r="B185" s="316" t="s">
        <v>1865</v>
      </c>
    </row>
    <row r="186" spans="1:2" ht="12.75" customHeight="1">
      <c r="A186" s="316">
        <v>161</v>
      </c>
      <c r="B186" s="316" t="s">
        <v>1866</v>
      </c>
    </row>
    <row r="187" spans="1:2" ht="12.75" customHeight="1">
      <c r="A187" s="316">
        <v>162</v>
      </c>
      <c r="B187" s="316" t="s">
        <v>1867</v>
      </c>
    </row>
    <row r="188" spans="1:2" ht="12.75" customHeight="1">
      <c r="A188" s="316">
        <v>163</v>
      </c>
      <c r="B188" s="316" t="s">
        <v>1868</v>
      </c>
    </row>
    <row r="189" spans="1:2" ht="12.75" customHeight="1">
      <c r="A189" s="316">
        <v>164</v>
      </c>
      <c r="B189" s="316" t="s">
        <v>1869</v>
      </c>
    </row>
    <row r="190" spans="1:2" ht="12.75" customHeight="1">
      <c r="A190" s="316">
        <v>165</v>
      </c>
      <c r="B190" s="316" t="s">
        <v>1870</v>
      </c>
    </row>
    <row r="191" spans="1:2" ht="12.75" customHeight="1">
      <c r="A191" s="316">
        <v>166</v>
      </c>
      <c r="B191" s="316" t="s">
        <v>1871</v>
      </c>
    </row>
    <row r="192" spans="1:2" ht="12.75" customHeight="1">
      <c r="A192" s="316">
        <v>167</v>
      </c>
      <c r="B192" s="316" t="s">
        <v>1872</v>
      </c>
    </row>
    <row r="193" spans="1:2" ht="12.75" customHeight="1">
      <c r="A193" s="316">
        <v>168</v>
      </c>
      <c r="B193" s="316" t="s">
        <v>1873</v>
      </c>
    </row>
    <row r="194" spans="1:2" ht="12.75" customHeight="1">
      <c r="A194" s="316">
        <v>169</v>
      </c>
      <c r="B194" s="316" t="s">
        <v>1874</v>
      </c>
    </row>
    <row r="195" spans="1:2" ht="12.75" customHeight="1">
      <c r="A195" s="316">
        <v>170</v>
      </c>
      <c r="B195" s="316" t="s">
        <v>1875</v>
      </c>
    </row>
    <row r="196" spans="1:2" ht="12.75" customHeight="1">
      <c r="A196" s="316">
        <v>171</v>
      </c>
      <c r="B196" s="316" t="s">
        <v>1876</v>
      </c>
    </row>
    <row r="197" spans="1:2" ht="12.75" customHeight="1">
      <c r="A197" s="316">
        <v>172</v>
      </c>
      <c r="B197" s="316" t="s">
        <v>1877</v>
      </c>
    </row>
    <row r="198" spans="1:2" ht="12.75" customHeight="1">
      <c r="A198" s="316">
        <v>173</v>
      </c>
      <c r="B198" s="316" t="s">
        <v>1878</v>
      </c>
    </row>
    <row r="199" spans="1:2" ht="12.75" customHeight="1">
      <c r="A199" s="316">
        <v>174</v>
      </c>
      <c r="B199" s="316" t="s">
        <v>1879</v>
      </c>
    </row>
    <row r="200" spans="1:2" ht="12.75" customHeight="1">
      <c r="A200" s="316">
        <v>175</v>
      </c>
      <c r="B200" s="316" t="s">
        <v>1880</v>
      </c>
    </row>
    <row r="201" spans="1:2" ht="12.75" customHeight="1">
      <c r="A201" s="316">
        <v>176</v>
      </c>
      <c r="B201" s="316" t="s">
        <v>1881</v>
      </c>
    </row>
    <row r="202" spans="1:2" ht="12.75" customHeight="1">
      <c r="A202" s="316">
        <v>177</v>
      </c>
      <c r="B202" s="316" t="s">
        <v>1882</v>
      </c>
    </row>
    <row r="203" spans="1:2" ht="12.75" customHeight="1">
      <c r="A203" s="316">
        <v>178</v>
      </c>
      <c r="B203" s="316" t="s">
        <v>1883</v>
      </c>
    </row>
    <row r="204" spans="1:2" ht="12.75" customHeight="1">
      <c r="A204" s="316">
        <v>179</v>
      </c>
      <c r="B204" s="316" t="s">
        <v>1884</v>
      </c>
    </row>
    <row r="205" spans="1:2" ht="12.75" customHeight="1">
      <c r="A205" s="316">
        <v>180</v>
      </c>
      <c r="B205" s="316" t="s">
        <v>1885</v>
      </c>
    </row>
    <row r="206" spans="1:2" ht="12.75" customHeight="1">
      <c r="A206" s="316">
        <v>181</v>
      </c>
      <c r="B206" s="316" t="s">
        <v>1886</v>
      </c>
    </row>
    <row r="207" spans="1:2" ht="12.75" customHeight="1">
      <c r="A207" s="316">
        <v>182</v>
      </c>
      <c r="B207" s="316" t="s">
        <v>1887</v>
      </c>
    </row>
    <row r="208" spans="1:2" ht="12.75" customHeight="1">
      <c r="A208" s="316">
        <v>183</v>
      </c>
      <c r="B208" s="316" t="s">
        <v>1888</v>
      </c>
    </row>
    <row r="209" spans="1:2" ht="12.75" customHeight="1">
      <c r="A209" s="316">
        <v>184</v>
      </c>
      <c r="B209" s="316" t="s">
        <v>1889</v>
      </c>
    </row>
    <row r="210" spans="1:2" ht="12.75" customHeight="1">
      <c r="A210" s="316">
        <v>185</v>
      </c>
      <c r="B210" s="316" t="s">
        <v>1890</v>
      </c>
    </row>
    <row r="211" spans="1:2" ht="12.75" customHeight="1">
      <c r="A211" s="316">
        <v>186</v>
      </c>
      <c r="B211" s="316" t="s">
        <v>1891</v>
      </c>
    </row>
    <row r="212" spans="1:2" ht="12.75" customHeight="1">
      <c r="A212" s="316">
        <v>187</v>
      </c>
      <c r="B212" s="316" t="s">
        <v>1892</v>
      </c>
    </row>
    <row r="213" spans="1:2" ht="12.75" customHeight="1">
      <c r="A213" s="316">
        <v>188</v>
      </c>
      <c r="B213" s="316" t="s">
        <v>1893</v>
      </c>
    </row>
    <row r="214" spans="1:2" ht="12.75" customHeight="1">
      <c r="A214" s="316">
        <v>189</v>
      </c>
      <c r="B214" s="316" t="s">
        <v>1894</v>
      </c>
    </row>
    <row r="215" spans="1:2" ht="12.75" customHeight="1">
      <c r="A215" s="316">
        <v>190</v>
      </c>
      <c r="B215" s="316" t="s">
        <v>1895</v>
      </c>
    </row>
    <row r="216" spans="1:2" ht="12.75" customHeight="1">
      <c r="A216" s="316">
        <v>191</v>
      </c>
      <c r="B216" s="316" t="s">
        <v>1896</v>
      </c>
    </row>
    <row r="217" spans="1:2" ht="12.75" customHeight="1">
      <c r="A217" s="316">
        <v>192</v>
      </c>
      <c r="B217" s="316" t="s">
        <v>1897</v>
      </c>
    </row>
    <row r="218" spans="1:2" ht="12.75" customHeight="1">
      <c r="A218" s="316">
        <v>193</v>
      </c>
      <c r="B218" s="316" t="s">
        <v>1898</v>
      </c>
    </row>
    <row r="219" spans="1:2" ht="12.75" customHeight="1">
      <c r="A219" s="316">
        <v>194</v>
      </c>
      <c r="B219" s="316" t="s">
        <v>1899</v>
      </c>
    </row>
    <row r="220" spans="1:2" ht="12.75" customHeight="1">
      <c r="A220" s="316">
        <v>195</v>
      </c>
      <c r="B220" s="316" t="s">
        <v>1900</v>
      </c>
    </row>
    <row r="221" spans="1:2" ht="12.75" customHeight="1">
      <c r="A221" s="316">
        <v>196</v>
      </c>
      <c r="B221" s="316" t="s">
        <v>1901</v>
      </c>
    </row>
    <row r="222" spans="1:2" ht="12.75" customHeight="1">
      <c r="A222" s="316">
        <v>197</v>
      </c>
      <c r="B222" s="316" t="s">
        <v>1902</v>
      </c>
    </row>
    <row r="223" spans="1:2" ht="12.75" customHeight="1">
      <c r="A223" s="316">
        <v>198</v>
      </c>
      <c r="B223" s="316" t="s">
        <v>1903</v>
      </c>
    </row>
    <row r="224" spans="1:2" ht="12.75" customHeight="1">
      <c r="A224" s="316">
        <v>199</v>
      </c>
      <c r="B224" s="316" t="s">
        <v>1904</v>
      </c>
    </row>
    <row r="225" spans="1:2" ht="12.75" customHeight="1">
      <c r="A225" s="316">
        <v>200</v>
      </c>
      <c r="B225" s="316" t="s">
        <v>1905</v>
      </c>
    </row>
    <row r="226" spans="1:2" ht="12.75" customHeight="1">
      <c r="A226" s="316">
        <v>201</v>
      </c>
      <c r="B226" s="316" t="s">
        <v>1906</v>
      </c>
    </row>
    <row r="227" spans="1:2" ht="12.75" customHeight="1">
      <c r="A227" s="316">
        <v>202</v>
      </c>
      <c r="B227" s="316" t="s">
        <v>1907</v>
      </c>
    </row>
    <row r="228" spans="1:2" ht="12.75" customHeight="1">
      <c r="A228" s="316">
        <v>203</v>
      </c>
      <c r="B228" s="316" t="s">
        <v>1908</v>
      </c>
    </row>
    <row r="229" spans="1:2" ht="12.75" customHeight="1">
      <c r="A229" s="316">
        <v>204</v>
      </c>
      <c r="B229" s="316" t="s">
        <v>1909</v>
      </c>
    </row>
    <row r="230" spans="1:2" ht="12.75" customHeight="1">
      <c r="A230" s="316">
        <v>205</v>
      </c>
      <c r="B230" s="316" t="s">
        <v>1910</v>
      </c>
    </row>
    <row r="231" spans="1:2" ht="12.75" customHeight="1">
      <c r="A231" s="316">
        <v>206</v>
      </c>
      <c r="B231" s="316" t="s">
        <v>1911</v>
      </c>
    </row>
    <row r="232" spans="1:2" ht="12.75" customHeight="1">
      <c r="A232" s="316">
        <v>207</v>
      </c>
      <c r="B232" s="316" t="s">
        <v>1912</v>
      </c>
    </row>
    <row r="233" spans="1:2" ht="12.75" customHeight="1">
      <c r="A233" s="316">
        <v>208</v>
      </c>
      <c r="B233" s="316" t="s">
        <v>1913</v>
      </c>
    </row>
    <row r="234" spans="1:2" ht="12.75" customHeight="1">
      <c r="A234" s="316">
        <v>209</v>
      </c>
      <c r="B234" s="316" t="s">
        <v>1914</v>
      </c>
    </row>
    <row r="235" spans="1:2" ht="12.75" customHeight="1">
      <c r="A235" s="316">
        <v>210</v>
      </c>
      <c r="B235" s="316" t="s">
        <v>1915</v>
      </c>
    </row>
    <row r="236" spans="1:2" ht="12.75" customHeight="1">
      <c r="A236" s="316">
        <v>211</v>
      </c>
      <c r="B236" s="316" t="s">
        <v>1916</v>
      </c>
    </row>
    <row r="237" spans="1:2" ht="12.75" customHeight="1">
      <c r="A237" s="316">
        <v>212</v>
      </c>
      <c r="B237" s="316" t="s">
        <v>1917</v>
      </c>
    </row>
    <row r="238" spans="1:2" ht="12.75" customHeight="1">
      <c r="A238" s="316">
        <v>213</v>
      </c>
      <c r="B238" s="316" t="s">
        <v>1918</v>
      </c>
    </row>
    <row r="239" spans="1:2" ht="12.75" customHeight="1">
      <c r="A239" s="316">
        <v>214</v>
      </c>
      <c r="B239" s="316" t="s">
        <v>1919</v>
      </c>
    </row>
    <row r="240" spans="1:2" ht="12.75" customHeight="1">
      <c r="A240" s="316">
        <v>215</v>
      </c>
      <c r="B240" s="316" t="s">
        <v>1920</v>
      </c>
    </row>
    <row r="241" spans="1:2" ht="12.75" customHeight="1">
      <c r="A241" s="316">
        <v>216</v>
      </c>
      <c r="B241" s="316" t="s">
        <v>1921</v>
      </c>
    </row>
    <row r="242" spans="1:2" ht="12.75" customHeight="1">
      <c r="A242" s="316">
        <v>217</v>
      </c>
      <c r="B242" s="316" t="s">
        <v>1922</v>
      </c>
    </row>
    <row r="243" spans="1:2" ht="12.75" customHeight="1">
      <c r="A243" s="316">
        <v>218</v>
      </c>
      <c r="B243" s="316" t="s">
        <v>1923</v>
      </c>
    </row>
    <row r="244" spans="1:2" ht="12.75" customHeight="1">
      <c r="A244" s="316">
        <v>219</v>
      </c>
      <c r="B244" s="316" t="s">
        <v>1924</v>
      </c>
    </row>
    <row r="245" spans="1:2" ht="12.75" customHeight="1">
      <c r="A245" s="316">
        <v>220</v>
      </c>
      <c r="B245" s="316" t="s">
        <v>1925</v>
      </c>
    </row>
    <row r="246" spans="1:2" ht="12.75" customHeight="1">
      <c r="A246" s="316">
        <v>221</v>
      </c>
      <c r="B246" s="316" t="s">
        <v>1926</v>
      </c>
    </row>
    <row r="247" spans="1:2" ht="12.75" customHeight="1">
      <c r="A247" s="316">
        <v>222</v>
      </c>
      <c r="B247" s="316" t="s">
        <v>1927</v>
      </c>
    </row>
    <row r="248" spans="1:2" ht="12.75" customHeight="1">
      <c r="A248" s="316">
        <v>223</v>
      </c>
      <c r="B248" s="316" t="s">
        <v>1928</v>
      </c>
    </row>
    <row r="249" spans="1:2" ht="12.75" customHeight="1">
      <c r="A249" s="316">
        <v>224</v>
      </c>
      <c r="B249" s="316" t="s">
        <v>1929</v>
      </c>
    </row>
    <row r="250" spans="1:2" ht="12.75" customHeight="1">
      <c r="A250" s="316">
        <v>225</v>
      </c>
      <c r="B250" s="316" t="s">
        <v>1930</v>
      </c>
    </row>
    <row r="251" spans="1:2" ht="12.75" customHeight="1">
      <c r="A251" s="316">
        <v>226</v>
      </c>
      <c r="B251" s="316" t="s">
        <v>1931</v>
      </c>
    </row>
    <row r="252" spans="1:2" ht="12.75" customHeight="1">
      <c r="A252" s="316">
        <v>227</v>
      </c>
      <c r="B252" s="316" t="s">
        <v>1932</v>
      </c>
    </row>
    <row r="253" spans="1:2" ht="12.75" customHeight="1">
      <c r="A253" s="316">
        <v>228</v>
      </c>
      <c r="B253" s="316" t="s">
        <v>1933</v>
      </c>
    </row>
    <row r="254" spans="1:2" ht="12.75" customHeight="1">
      <c r="A254" s="316">
        <v>229</v>
      </c>
      <c r="B254" s="316" t="s">
        <v>1934</v>
      </c>
    </row>
    <row r="255" spans="1:2" ht="12.75" customHeight="1">
      <c r="A255" s="316">
        <v>230</v>
      </c>
      <c r="B255" s="316" t="s">
        <v>1935</v>
      </c>
    </row>
    <row r="256" spans="1:2" ht="12.75" customHeight="1">
      <c r="A256" s="316">
        <v>231</v>
      </c>
      <c r="B256" s="316" t="s">
        <v>1936</v>
      </c>
    </row>
    <row r="257" spans="1:2" ht="12.75" customHeight="1">
      <c r="A257" s="316">
        <v>232</v>
      </c>
      <c r="B257" s="316" t="s">
        <v>1937</v>
      </c>
    </row>
    <row r="258" spans="1:2" ht="12.75" customHeight="1">
      <c r="A258" s="316">
        <v>233</v>
      </c>
      <c r="B258" s="316" t="s">
        <v>1938</v>
      </c>
    </row>
    <row r="259" spans="1:2" ht="12.75" customHeight="1">
      <c r="A259" s="316">
        <v>234</v>
      </c>
      <c r="B259" s="316" t="s">
        <v>1939</v>
      </c>
    </row>
    <row r="260" spans="1:2" ht="12.75" customHeight="1">
      <c r="A260" s="316">
        <v>235</v>
      </c>
      <c r="B260" s="316" t="s">
        <v>1940</v>
      </c>
    </row>
    <row r="261" spans="1:2" ht="12.75" customHeight="1">
      <c r="A261" s="316">
        <v>236</v>
      </c>
      <c r="B261" s="316" t="s">
        <v>1941</v>
      </c>
    </row>
    <row r="262" spans="1:2" ht="12.75" customHeight="1">
      <c r="A262" s="316">
        <v>237</v>
      </c>
      <c r="B262" s="316" t="s">
        <v>1942</v>
      </c>
    </row>
    <row r="263" spans="1:2" ht="12.75" customHeight="1">
      <c r="A263" s="316">
        <v>238</v>
      </c>
      <c r="B263" s="316" t="s">
        <v>1943</v>
      </c>
    </row>
    <row r="264" spans="1:2" ht="12.75" customHeight="1">
      <c r="A264" s="316">
        <v>239</v>
      </c>
      <c r="B264" s="316" t="s">
        <v>1944</v>
      </c>
    </row>
    <row r="265" spans="1:2" ht="12.75" customHeight="1">
      <c r="A265" s="316">
        <v>240</v>
      </c>
      <c r="B265" s="316" t="s">
        <v>1945</v>
      </c>
    </row>
    <row r="266" spans="1:2" ht="12.75" customHeight="1">
      <c r="A266" s="316">
        <v>241</v>
      </c>
      <c r="B266" s="316" t="s">
        <v>1946</v>
      </c>
    </row>
    <row r="267" spans="1:2" ht="12.75" customHeight="1">
      <c r="A267" s="316">
        <v>242</v>
      </c>
      <c r="B267" s="316" t="s">
        <v>1947</v>
      </c>
    </row>
    <row r="268" spans="1:2" ht="12.75" customHeight="1">
      <c r="A268" s="316">
        <v>243</v>
      </c>
      <c r="B268" s="316" t="s">
        <v>1948</v>
      </c>
    </row>
    <row r="269" spans="1:2" ht="12.75" customHeight="1">
      <c r="A269" s="316">
        <v>244</v>
      </c>
      <c r="B269" s="316" t="s">
        <v>1949</v>
      </c>
    </row>
    <row r="270" spans="1:2" ht="12.75" customHeight="1">
      <c r="A270" s="316">
        <v>245</v>
      </c>
      <c r="B270" s="316" t="s">
        <v>1950</v>
      </c>
    </row>
    <row r="271" spans="1:2" ht="12.75" customHeight="1">
      <c r="A271" s="316">
        <v>246</v>
      </c>
      <c r="B271" s="316" t="s">
        <v>1951</v>
      </c>
    </row>
    <row r="272" spans="1:2" ht="12.75" customHeight="1">
      <c r="A272" s="316">
        <v>247</v>
      </c>
      <c r="B272" s="316" t="s">
        <v>1952</v>
      </c>
    </row>
    <row r="273" spans="1:2" ht="12.75" customHeight="1">
      <c r="A273" s="316">
        <v>248</v>
      </c>
      <c r="B273" s="316" t="s">
        <v>1953</v>
      </c>
    </row>
    <row r="274" spans="1:2" ht="12.75" customHeight="1">
      <c r="A274" s="316">
        <v>249</v>
      </c>
      <c r="B274" s="316" t="s">
        <v>1954</v>
      </c>
    </row>
    <row r="275" spans="1:2" ht="12.75" customHeight="1">
      <c r="A275" s="316">
        <v>250</v>
      </c>
      <c r="B275" s="316" t="s">
        <v>1955</v>
      </c>
    </row>
    <row r="276" spans="1:2" ht="12.75" customHeight="1">
      <c r="A276" s="316">
        <v>251</v>
      </c>
      <c r="B276" s="316" t="s">
        <v>1956</v>
      </c>
    </row>
    <row r="277" spans="1:2" ht="12.75" customHeight="1">
      <c r="A277" s="316">
        <v>252</v>
      </c>
      <c r="B277" s="316" t="s">
        <v>1957</v>
      </c>
    </row>
    <row r="278" spans="1:2" ht="12.75" customHeight="1">
      <c r="A278" s="316">
        <v>253</v>
      </c>
      <c r="B278" s="316" t="s">
        <v>1958</v>
      </c>
    </row>
    <row r="279" spans="1:2" ht="12.75" customHeight="1">
      <c r="A279" s="316">
        <v>254</v>
      </c>
      <c r="B279" s="316" t="s">
        <v>1959</v>
      </c>
    </row>
    <row r="280" spans="1:2" ht="12.75" customHeight="1">
      <c r="A280" s="316">
        <v>255</v>
      </c>
      <c r="B280" s="316" t="s">
        <v>1960</v>
      </c>
    </row>
    <row r="281" spans="1:2" ht="12.75" customHeight="1">
      <c r="A281" s="316">
        <v>256</v>
      </c>
      <c r="B281" s="316" t="s">
        <v>1961</v>
      </c>
    </row>
    <row r="282" spans="1:2" ht="12.75" customHeight="1">
      <c r="A282" s="316">
        <v>257</v>
      </c>
      <c r="B282" s="316" t="s">
        <v>1962</v>
      </c>
    </row>
    <row r="283" spans="1:2" ht="12.75" customHeight="1">
      <c r="A283" s="316">
        <v>258</v>
      </c>
      <c r="B283" s="316" t="s">
        <v>1963</v>
      </c>
    </row>
    <row r="284" spans="1:2" ht="12.75" customHeight="1">
      <c r="A284" s="316">
        <v>259</v>
      </c>
      <c r="B284" s="316" t="s">
        <v>1964</v>
      </c>
    </row>
    <row r="285" spans="1:2" ht="12.75" customHeight="1">
      <c r="A285" s="316">
        <v>260</v>
      </c>
      <c r="B285" s="316" t="s">
        <v>1965</v>
      </c>
    </row>
    <row r="286" spans="1:2" ht="12.75" customHeight="1">
      <c r="A286" s="316">
        <v>261</v>
      </c>
      <c r="B286" s="316" t="s">
        <v>1966</v>
      </c>
    </row>
    <row r="287" spans="1:2" ht="12.75" customHeight="1">
      <c r="A287" s="316">
        <v>262</v>
      </c>
      <c r="B287" s="316" t="s">
        <v>1967</v>
      </c>
    </row>
    <row r="288" spans="1:2" ht="12.75" customHeight="1">
      <c r="A288" s="316">
        <v>263</v>
      </c>
      <c r="B288" s="316" t="s">
        <v>1968</v>
      </c>
    </row>
    <row r="289" spans="1:2" ht="12.75" customHeight="1">
      <c r="A289" s="316">
        <v>264</v>
      </c>
      <c r="B289" s="316" t="s">
        <v>1969</v>
      </c>
    </row>
    <row r="290" spans="1:2" ht="12.75" customHeight="1">
      <c r="A290" s="316">
        <v>265</v>
      </c>
      <c r="B290" s="316" t="s">
        <v>1970</v>
      </c>
    </row>
    <row r="291" spans="1:2" ht="12.75" customHeight="1">
      <c r="A291" s="316">
        <v>266</v>
      </c>
      <c r="B291" s="316" t="s">
        <v>1971</v>
      </c>
    </row>
    <row r="292" spans="1:2" ht="12.75" customHeight="1">
      <c r="A292" s="316">
        <v>267</v>
      </c>
      <c r="B292" s="316" t="s">
        <v>1972</v>
      </c>
    </row>
    <row r="293" spans="1:2" ht="12.75" customHeight="1">
      <c r="A293" s="316">
        <v>268</v>
      </c>
      <c r="B293" s="316" t="s">
        <v>1973</v>
      </c>
    </row>
    <row r="294" spans="1:2" ht="12.75" customHeight="1">
      <c r="A294" s="316">
        <v>269</v>
      </c>
      <c r="B294" s="316" t="s">
        <v>1974</v>
      </c>
    </row>
    <row r="295" spans="1:2" ht="12.75" customHeight="1">
      <c r="A295" s="316">
        <v>270</v>
      </c>
      <c r="B295" s="316" t="s">
        <v>1975</v>
      </c>
    </row>
    <row r="296" spans="1:2" ht="12.75" customHeight="1">
      <c r="A296" s="316">
        <v>271</v>
      </c>
      <c r="B296" s="316" t="s">
        <v>1976</v>
      </c>
    </row>
    <row r="297" spans="1:2" ht="12.75" customHeight="1">
      <c r="A297" s="316">
        <v>272</v>
      </c>
      <c r="B297" s="316" t="s">
        <v>1977</v>
      </c>
    </row>
    <row r="298" spans="1:2" ht="12.75" customHeight="1">
      <c r="A298" s="316">
        <v>273</v>
      </c>
      <c r="B298" s="316" t="s">
        <v>1978</v>
      </c>
    </row>
    <row r="299" spans="1:2" ht="12.75" customHeight="1">
      <c r="A299" s="316">
        <v>274</v>
      </c>
      <c r="B299" s="316" t="s">
        <v>1979</v>
      </c>
    </row>
    <row r="300" spans="1:2" ht="12.75" customHeight="1">
      <c r="A300" s="316">
        <v>275</v>
      </c>
      <c r="B300" s="316" t="s">
        <v>1980</v>
      </c>
    </row>
    <row r="301" spans="1:2" ht="12.75" customHeight="1">
      <c r="A301" s="316">
        <v>276</v>
      </c>
      <c r="B301" s="316" t="s">
        <v>1981</v>
      </c>
    </row>
    <row r="302" spans="1:2" ht="12.75" customHeight="1">
      <c r="A302" s="316">
        <v>277</v>
      </c>
      <c r="B302" s="316" t="s">
        <v>1982</v>
      </c>
    </row>
    <row r="303" spans="1:2" ht="12.75" customHeight="1">
      <c r="A303" s="316">
        <v>278</v>
      </c>
      <c r="B303" s="316" t="s">
        <v>1983</v>
      </c>
    </row>
    <row r="304" spans="1:2" ht="12.75" customHeight="1">
      <c r="A304" s="316">
        <v>279</v>
      </c>
      <c r="B304" s="316" t="s">
        <v>1984</v>
      </c>
    </row>
    <row r="305" spans="1:2" ht="12.75" customHeight="1">
      <c r="A305" s="316">
        <v>280</v>
      </c>
      <c r="B305" s="316" t="s">
        <v>1985</v>
      </c>
    </row>
    <row r="306" spans="1:2" ht="12.75" customHeight="1">
      <c r="A306" s="316">
        <v>281</v>
      </c>
      <c r="B306" s="316" t="s">
        <v>1986</v>
      </c>
    </row>
    <row r="307" spans="1:2" ht="12.75" customHeight="1">
      <c r="A307" s="316">
        <v>282</v>
      </c>
      <c r="B307" s="316" t="s">
        <v>1987</v>
      </c>
    </row>
    <row r="308" spans="1:2" ht="12.75" customHeight="1">
      <c r="A308" s="316">
        <v>283</v>
      </c>
      <c r="B308" s="316" t="s">
        <v>1988</v>
      </c>
    </row>
    <row r="309" spans="1:2" ht="12.75" customHeight="1">
      <c r="A309" s="316">
        <v>284</v>
      </c>
      <c r="B309" s="316" t="s">
        <v>1989</v>
      </c>
    </row>
    <row r="310" spans="1:2" ht="12.75" customHeight="1">
      <c r="A310" s="316">
        <v>285</v>
      </c>
      <c r="B310" s="316" t="s">
        <v>1990</v>
      </c>
    </row>
    <row r="311" spans="1:2" ht="12.75" customHeight="1">
      <c r="A311" s="316">
        <v>286</v>
      </c>
      <c r="B311" s="316" t="s">
        <v>1991</v>
      </c>
    </row>
    <row r="312" spans="1:2" ht="12.75" customHeight="1">
      <c r="A312" s="316">
        <v>287</v>
      </c>
      <c r="B312" s="316" t="s">
        <v>1992</v>
      </c>
    </row>
    <row r="313" spans="1:2" ht="12.75" customHeight="1">
      <c r="A313" s="316">
        <v>288</v>
      </c>
      <c r="B313" s="316" t="s">
        <v>1993</v>
      </c>
    </row>
    <row r="314" spans="1:2" ht="12.75" customHeight="1">
      <c r="A314" s="316">
        <v>289</v>
      </c>
      <c r="B314" s="316" t="s">
        <v>1994</v>
      </c>
    </row>
    <row r="315" spans="1:2" ht="12.75" customHeight="1">
      <c r="A315" s="316">
        <v>290</v>
      </c>
      <c r="B315" s="316" t="s">
        <v>1995</v>
      </c>
    </row>
    <row r="316" spans="1:2" ht="12.75" customHeight="1">
      <c r="A316" s="316">
        <v>291</v>
      </c>
      <c r="B316" s="316" t="s">
        <v>1996</v>
      </c>
    </row>
    <row r="317" spans="1:2" ht="12.75" customHeight="1">
      <c r="A317" s="316">
        <v>292</v>
      </c>
      <c r="B317" s="316" t="s">
        <v>1997</v>
      </c>
    </row>
    <row r="318" spans="1:2" ht="12.75" customHeight="1">
      <c r="A318" s="316">
        <v>293</v>
      </c>
      <c r="B318" s="316" t="s">
        <v>1998</v>
      </c>
    </row>
    <row r="319" spans="1:2" ht="12.75" customHeight="1">
      <c r="A319" s="316">
        <v>294</v>
      </c>
      <c r="B319" s="316" t="s">
        <v>1999</v>
      </c>
    </row>
    <row r="320" spans="1:2" ht="12.75" customHeight="1">
      <c r="A320" s="316">
        <v>295</v>
      </c>
      <c r="B320" s="316" t="s">
        <v>2000</v>
      </c>
    </row>
    <row r="321" spans="1:2" ht="12.75" customHeight="1">
      <c r="A321" s="316">
        <v>296</v>
      </c>
      <c r="B321" s="316" t="s">
        <v>2001</v>
      </c>
    </row>
    <row r="322" spans="1:2" ht="12.75" customHeight="1">
      <c r="A322" s="316">
        <v>297</v>
      </c>
      <c r="B322" s="316" t="s">
        <v>2002</v>
      </c>
    </row>
    <row r="323" spans="1:2" ht="12.75" customHeight="1">
      <c r="A323" s="316">
        <v>298</v>
      </c>
      <c r="B323" s="316" t="s">
        <v>2003</v>
      </c>
    </row>
    <row r="324" spans="1:2" ht="12.75" customHeight="1">
      <c r="A324" s="316">
        <v>299</v>
      </c>
      <c r="B324" s="316" t="s">
        <v>2004</v>
      </c>
    </row>
    <row r="325" spans="1:2" ht="12.75" customHeight="1">
      <c r="A325" s="316">
        <v>300</v>
      </c>
      <c r="B325" s="316" t="s">
        <v>2005</v>
      </c>
    </row>
    <row r="326" spans="1:2" ht="12.75" customHeight="1">
      <c r="A326" s="316">
        <v>301</v>
      </c>
      <c r="B326" s="316" t="s">
        <v>2006</v>
      </c>
    </row>
    <row r="327" spans="1:2" ht="12.75" customHeight="1">
      <c r="A327" s="316">
        <v>302</v>
      </c>
      <c r="B327" s="316" t="s">
        <v>2007</v>
      </c>
    </row>
    <row r="328" spans="1:2" ht="12.75" customHeight="1">
      <c r="A328" s="316">
        <v>303</v>
      </c>
      <c r="B328" s="316" t="s">
        <v>2008</v>
      </c>
    </row>
    <row r="329" spans="1:2" ht="12.75" customHeight="1">
      <c r="A329" s="316">
        <v>304</v>
      </c>
      <c r="B329" s="316" t="s">
        <v>2009</v>
      </c>
    </row>
    <row r="330" spans="1:2" ht="12.75" customHeight="1">
      <c r="A330" s="316">
        <v>305</v>
      </c>
      <c r="B330" s="316" t="s">
        <v>2010</v>
      </c>
    </row>
    <row r="331" spans="1:2" ht="12.75" customHeight="1">
      <c r="A331" s="316">
        <v>306</v>
      </c>
      <c r="B331" s="316" t="s">
        <v>2011</v>
      </c>
    </row>
    <row r="332" spans="1:2" ht="12.75" customHeight="1">
      <c r="A332" s="316">
        <v>307</v>
      </c>
      <c r="B332" s="316" t="s">
        <v>2012</v>
      </c>
    </row>
    <row r="333" spans="1:2" ht="12.75" customHeight="1">
      <c r="A333" s="316">
        <v>308</v>
      </c>
      <c r="B333" s="316" t="s">
        <v>2013</v>
      </c>
    </row>
    <row r="334" spans="1:2" ht="12.75" customHeight="1">
      <c r="A334" s="316">
        <v>309</v>
      </c>
      <c r="B334" s="316" t="s">
        <v>2014</v>
      </c>
    </row>
    <row r="335" spans="1:2" ht="12.75" customHeight="1">
      <c r="A335" s="316">
        <v>310</v>
      </c>
      <c r="B335" s="316" t="s">
        <v>2015</v>
      </c>
    </row>
    <row r="336" spans="1:2" ht="12.75" customHeight="1">
      <c r="A336" s="316">
        <v>311</v>
      </c>
      <c r="B336" s="316" t="s">
        <v>2016</v>
      </c>
    </row>
    <row r="337" spans="1:2" ht="12.75" customHeight="1">
      <c r="A337" s="316">
        <v>312</v>
      </c>
      <c r="B337" s="316" t="s">
        <v>2017</v>
      </c>
    </row>
    <row r="338" spans="1:2" ht="12.75" customHeight="1">
      <c r="A338" s="316">
        <v>313</v>
      </c>
      <c r="B338" s="316" t="s">
        <v>2018</v>
      </c>
    </row>
    <row r="339" spans="1:2" ht="12.75" customHeight="1">
      <c r="A339" s="316">
        <v>314</v>
      </c>
      <c r="B339" s="316" t="s">
        <v>2019</v>
      </c>
    </row>
    <row r="340" spans="1:2" ht="12.75" customHeight="1">
      <c r="A340" s="316">
        <v>315</v>
      </c>
      <c r="B340" s="316" t="s">
        <v>2020</v>
      </c>
    </row>
    <row r="341" spans="1:2" ht="12.75" customHeight="1">
      <c r="A341" s="316">
        <v>316</v>
      </c>
      <c r="B341" s="316" t="s">
        <v>2021</v>
      </c>
    </row>
    <row r="342" spans="1:2" ht="12.75" customHeight="1">
      <c r="A342" s="316">
        <v>317</v>
      </c>
      <c r="B342" s="316" t="s">
        <v>2022</v>
      </c>
    </row>
    <row r="343" spans="1:2" ht="12.75" customHeight="1">
      <c r="A343" s="316">
        <v>318</v>
      </c>
      <c r="B343" s="316" t="s">
        <v>2023</v>
      </c>
    </row>
    <row r="344" spans="1:2" ht="12.75" customHeight="1">
      <c r="A344" s="316">
        <v>319</v>
      </c>
      <c r="B344" s="316" t="s">
        <v>2024</v>
      </c>
    </row>
    <row r="345" spans="1:2" ht="12.75" customHeight="1">
      <c r="A345" s="316">
        <v>320</v>
      </c>
      <c r="B345" s="316" t="s">
        <v>2025</v>
      </c>
    </row>
    <row r="346" spans="1:2" ht="12.75" customHeight="1">
      <c r="A346" s="316">
        <v>321</v>
      </c>
      <c r="B346" s="316" t="s">
        <v>2026</v>
      </c>
    </row>
    <row r="347" spans="1:2" ht="12.75" customHeight="1">
      <c r="A347" s="316">
        <v>322</v>
      </c>
      <c r="B347" s="316" t="s">
        <v>2027</v>
      </c>
    </row>
    <row r="348" spans="1:2" ht="12.75" customHeight="1">
      <c r="A348" s="316">
        <v>323</v>
      </c>
      <c r="B348" s="316" t="s">
        <v>2028</v>
      </c>
    </row>
    <row r="349" spans="1:2" ht="12.75" customHeight="1">
      <c r="A349" s="316">
        <v>324</v>
      </c>
      <c r="B349" s="316" t="s">
        <v>2029</v>
      </c>
    </row>
    <row r="350" spans="1:2" ht="12.75" customHeight="1">
      <c r="A350" s="316">
        <v>325</v>
      </c>
      <c r="B350" s="316" t="s">
        <v>2030</v>
      </c>
    </row>
    <row r="351" spans="1:2" ht="12.75" customHeight="1">
      <c r="A351" s="316">
        <v>326</v>
      </c>
      <c r="B351" s="316" t="s">
        <v>2031</v>
      </c>
    </row>
    <row r="352" spans="1:2" ht="12.75" customHeight="1">
      <c r="A352" s="316">
        <v>327</v>
      </c>
      <c r="B352" s="316" t="s">
        <v>2032</v>
      </c>
    </row>
    <row r="353" spans="1:2" ht="12.75" customHeight="1">
      <c r="A353" s="316">
        <v>328</v>
      </c>
      <c r="B353" s="316" t="s">
        <v>2033</v>
      </c>
    </row>
    <row r="354" spans="1:2" ht="12.75" customHeight="1">
      <c r="A354" s="316">
        <v>329</v>
      </c>
      <c r="B354" s="316" t="s">
        <v>2034</v>
      </c>
    </row>
    <row r="355" spans="1:2" ht="12.75" customHeight="1">
      <c r="A355" s="316">
        <v>330</v>
      </c>
      <c r="B355" s="316" t="s">
        <v>2035</v>
      </c>
    </row>
    <row r="356" spans="1:2" ht="12.75" customHeight="1">
      <c r="A356" s="316">
        <v>331</v>
      </c>
      <c r="B356" s="316" t="s">
        <v>2036</v>
      </c>
    </row>
    <row r="357" spans="1:2" ht="12.75" customHeight="1">
      <c r="A357" s="316">
        <v>332</v>
      </c>
      <c r="B357" s="316" t="s">
        <v>2037</v>
      </c>
    </row>
    <row r="358" spans="1:2" ht="12.75" customHeight="1">
      <c r="A358" s="316">
        <v>333</v>
      </c>
      <c r="B358" s="316" t="s">
        <v>2038</v>
      </c>
    </row>
    <row r="359" spans="1:2" ht="12.75" customHeight="1">
      <c r="A359" s="316">
        <v>334</v>
      </c>
      <c r="B359" s="316" t="s">
        <v>2039</v>
      </c>
    </row>
    <row r="360" spans="1:2" ht="12.75" customHeight="1">
      <c r="A360" s="316">
        <v>335</v>
      </c>
      <c r="B360" s="316" t="s">
        <v>2040</v>
      </c>
    </row>
    <row r="361" spans="1:2" ht="12.75" customHeight="1">
      <c r="A361" s="316">
        <v>336</v>
      </c>
      <c r="B361" s="316" t="s">
        <v>2041</v>
      </c>
    </row>
    <row r="362" spans="1:2" ht="12.75" customHeight="1">
      <c r="A362" s="316">
        <v>337</v>
      </c>
      <c r="B362" s="316" t="s">
        <v>2042</v>
      </c>
    </row>
    <row r="363" spans="1:2" ht="12.75" customHeight="1">
      <c r="A363" s="316">
        <v>338</v>
      </c>
      <c r="B363" s="316" t="s">
        <v>2043</v>
      </c>
    </row>
    <row r="364" spans="1:2" ht="12.75" customHeight="1">
      <c r="A364" s="316">
        <v>339</v>
      </c>
      <c r="B364" s="316" t="s">
        <v>2044</v>
      </c>
    </row>
    <row r="365" spans="1:2" ht="12.75" customHeight="1">
      <c r="A365" s="316">
        <v>340</v>
      </c>
      <c r="B365" s="316" t="s">
        <v>2045</v>
      </c>
    </row>
    <row r="366" spans="1:2" ht="12.75" customHeight="1">
      <c r="A366" s="316">
        <v>341</v>
      </c>
      <c r="B366" s="316" t="s">
        <v>2046</v>
      </c>
    </row>
    <row r="367" spans="1:2" ht="12.75" customHeight="1">
      <c r="A367" s="316">
        <v>342</v>
      </c>
      <c r="B367" s="316" t="s">
        <v>2047</v>
      </c>
    </row>
    <row r="368" spans="1:2" ht="12.75" customHeight="1">
      <c r="A368" s="316">
        <v>343</v>
      </c>
      <c r="B368" s="316" t="s">
        <v>2048</v>
      </c>
    </row>
    <row r="369" spans="1:2" ht="12.75" customHeight="1">
      <c r="A369" s="316">
        <v>344</v>
      </c>
      <c r="B369" s="316" t="s">
        <v>2049</v>
      </c>
    </row>
    <row r="370" spans="1:2" ht="12.75" customHeight="1">
      <c r="A370" s="316">
        <v>345</v>
      </c>
      <c r="B370" s="316" t="s">
        <v>2050</v>
      </c>
    </row>
    <row r="371" spans="1:2" ht="12.75" customHeight="1">
      <c r="A371" s="316">
        <v>346</v>
      </c>
      <c r="B371" s="316" t="s">
        <v>2051</v>
      </c>
    </row>
    <row r="372" spans="1:2" ht="12.75" customHeight="1">
      <c r="A372" s="316">
        <v>347</v>
      </c>
      <c r="B372" s="316" t="s">
        <v>1613</v>
      </c>
    </row>
    <row r="373" spans="1:2" ht="12.75" customHeight="1">
      <c r="A373" s="316">
        <v>348</v>
      </c>
      <c r="B373" s="316" t="s">
        <v>2052</v>
      </c>
    </row>
    <row r="374" spans="1:2" ht="12.75" customHeight="1">
      <c r="A374" s="316">
        <v>349</v>
      </c>
      <c r="B374" s="316" t="s">
        <v>2053</v>
      </c>
    </row>
    <row r="375" spans="1:2" ht="12.75" customHeight="1">
      <c r="A375" s="316">
        <v>350</v>
      </c>
      <c r="B375" s="316" t="s">
        <v>2054</v>
      </c>
    </row>
    <row r="376" spans="1:2" ht="12.75" customHeight="1">
      <c r="A376" s="316">
        <v>351</v>
      </c>
      <c r="B376" s="316" t="s">
        <v>2055</v>
      </c>
    </row>
    <row r="377" spans="1:2" ht="12.75" customHeight="1">
      <c r="A377" s="316">
        <v>406</v>
      </c>
      <c r="B377" s="316" t="s">
        <v>2056</v>
      </c>
    </row>
    <row r="378" spans="1:2" ht="12.75" customHeight="1">
      <c r="A378" s="316">
        <v>600</v>
      </c>
      <c r="B378" s="316" t="s">
        <v>2057</v>
      </c>
    </row>
    <row r="379" spans="1:2" ht="12.75" customHeight="1">
      <c r="A379" s="316">
        <v>603</v>
      </c>
      <c r="B379" s="316" t="s">
        <v>2058</v>
      </c>
    </row>
    <row r="380" spans="1:2" ht="12.75" customHeight="1">
      <c r="A380" s="316">
        <v>605</v>
      </c>
      <c r="B380" s="316" t="s">
        <v>2059</v>
      </c>
    </row>
    <row r="381" spans="1:2" ht="12.75" customHeight="1">
      <c r="A381" s="316">
        <v>610</v>
      </c>
      <c r="B381" s="316" t="s">
        <v>2060</v>
      </c>
    </row>
    <row r="382" spans="1:2" ht="12.75" customHeight="1">
      <c r="A382" s="316">
        <v>615</v>
      </c>
      <c r="B382" s="316" t="s">
        <v>2061</v>
      </c>
    </row>
    <row r="383" spans="1:2" ht="12.75" customHeight="1">
      <c r="A383" s="316">
        <v>616</v>
      </c>
      <c r="B383" s="316" t="s">
        <v>1626</v>
      </c>
    </row>
    <row r="384" spans="1:2" ht="12.75" customHeight="1">
      <c r="A384" s="316">
        <v>618</v>
      </c>
      <c r="B384" s="316" t="s">
        <v>2062</v>
      </c>
    </row>
    <row r="385" spans="1:2" ht="12.75" customHeight="1">
      <c r="A385" s="316">
        <v>620</v>
      </c>
      <c r="B385" s="316" t="s">
        <v>2063</v>
      </c>
    </row>
    <row r="386" spans="1:2" ht="12.75" customHeight="1">
      <c r="A386" s="316">
        <v>622</v>
      </c>
      <c r="B386" s="316" t="s">
        <v>2064</v>
      </c>
    </row>
    <row r="387" spans="1:2" ht="12.75" customHeight="1">
      <c r="A387" s="316">
        <v>625</v>
      </c>
      <c r="B387" s="316" t="s">
        <v>2065</v>
      </c>
    </row>
    <row r="388" spans="1:2" ht="12.75" customHeight="1">
      <c r="A388" s="316">
        <v>632</v>
      </c>
      <c r="B388" s="316" t="s">
        <v>1631</v>
      </c>
    </row>
    <row r="389" spans="1:2" ht="12.75" customHeight="1">
      <c r="A389" s="316">
        <v>635</v>
      </c>
      <c r="B389" s="316" t="s">
        <v>2066</v>
      </c>
    </row>
    <row r="390" spans="1:2" ht="12.75" customHeight="1">
      <c r="A390" s="316">
        <v>640</v>
      </c>
      <c r="B390" s="316" t="s">
        <v>2067</v>
      </c>
    </row>
    <row r="391" spans="1:2" ht="12.75" customHeight="1">
      <c r="A391" s="316">
        <v>645</v>
      </c>
      <c r="B391" s="316" t="s">
        <v>2068</v>
      </c>
    </row>
    <row r="392" spans="1:2" ht="12.75" customHeight="1">
      <c r="A392" s="316">
        <v>650</v>
      </c>
      <c r="B392" s="316" t="s">
        <v>2069</v>
      </c>
    </row>
    <row r="393" spans="1:2" ht="12.75" customHeight="1">
      <c r="A393" s="316">
        <v>655</v>
      </c>
      <c r="B393" s="316" t="s">
        <v>2070</v>
      </c>
    </row>
    <row r="394" spans="1:2" ht="12.75" customHeight="1">
      <c r="A394" s="316">
        <v>658</v>
      </c>
      <c r="B394" s="316" t="s">
        <v>2071</v>
      </c>
    </row>
    <row r="395" spans="1:2" ht="12.75" customHeight="1">
      <c r="A395" s="316">
        <v>660</v>
      </c>
      <c r="B395" s="316" t="s">
        <v>2072</v>
      </c>
    </row>
    <row r="396" spans="1:2" ht="12.75" customHeight="1">
      <c r="A396" s="316">
        <v>662</v>
      </c>
      <c r="B396" s="316" t="s">
        <v>1639</v>
      </c>
    </row>
    <row r="397" spans="1:2" ht="12.75" customHeight="1">
      <c r="A397" s="316">
        <v>665</v>
      </c>
      <c r="B397" s="316" t="s">
        <v>2073</v>
      </c>
    </row>
    <row r="398" spans="1:2" ht="12.75" customHeight="1">
      <c r="A398" s="316">
        <v>670</v>
      </c>
      <c r="B398" s="316" t="s">
        <v>2074</v>
      </c>
    </row>
    <row r="399" spans="1:2" ht="12.75" customHeight="1">
      <c r="A399" s="316">
        <v>672</v>
      </c>
      <c r="B399" s="316" t="s">
        <v>2075</v>
      </c>
    </row>
    <row r="400" spans="1:2" ht="12.75" customHeight="1">
      <c r="A400" s="316">
        <v>673</v>
      </c>
      <c r="B400" s="316" t="s">
        <v>2076</v>
      </c>
    </row>
    <row r="401" spans="1:2" ht="12.75" customHeight="1">
      <c r="A401" s="316">
        <v>674</v>
      </c>
      <c r="B401" s="316" t="s">
        <v>2077</v>
      </c>
    </row>
    <row r="402" spans="1:2" ht="12.75" customHeight="1">
      <c r="A402" s="316">
        <v>675</v>
      </c>
      <c r="B402" s="316" t="s">
        <v>2078</v>
      </c>
    </row>
    <row r="403" spans="1:2" ht="12.75" customHeight="1">
      <c r="A403" s="316">
        <v>680</v>
      </c>
      <c r="B403" s="316" t="s">
        <v>2079</v>
      </c>
    </row>
    <row r="404" spans="1:2" ht="12.75" customHeight="1">
      <c r="A404" s="316">
        <v>683</v>
      </c>
      <c r="B404" s="316" t="s">
        <v>2080</v>
      </c>
    </row>
    <row r="405" spans="1:2" ht="12.75" customHeight="1">
      <c r="A405" s="316">
        <v>685</v>
      </c>
      <c r="B405" s="316" t="s">
        <v>2081</v>
      </c>
    </row>
    <row r="406" spans="1:2" ht="12.75" customHeight="1">
      <c r="A406" s="316">
        <v>690</v>
      </c>
      <c r="B406" s="316" t="s">
        <v>2082</v>
      </c>
    </row>
    <row r="407" spans="1:2" ht="12.75" customHeight="1">
      <c r="A407" s="316">
        <v>695</v>
      </c>
      <c r="B407" s="316" t="s">
        <v>2083</v>
      </c>
    </row>
    <row r="408" spans="1:2" ht="12.75" customHeight="1">
      <c r="A408" s="316">
        <v>698</v>
      </c>
      <c r="B408" s="316" t="s">
        <v>1651</v>
      </c>
    </row>
    <row r="409" spans="1:2" ht="12.75" customHeight="1">
      <c r="A409" s="316">
        <v>700</v>
      </c>
      <c r="B409" s="316" t="s">
        <v>2084</v>
      </c>
    </row>
    <row r="410" spans="1:2" ht="12.75" customHeight="1">
      <c r="A410" s="316">
        <v>705</v>
      </c>
      <c r="B410" s="316" t="s">
        <v>2085</v>
      </c>
    </row>
    <row r="411" spans="1:2" ht="12.75" customHeight="1">
      <c r="A411" s="316">
        <v>710</v>
      </c>
      <c r="B411" s="316" t="s">
        <v>2086</v>
      </c>
    </row>
    <row r="412" spans="1:2" ht="12.75" customHeight="1">
      <c r="A412" s="316">
        <v>712</v>
      </c>
      <c r="B412" s="316" t="s">
        <v>1655</v>
      </c>
    </row>
    <row r="413" spans="1:2" ht="12.75" customHeight="1">
      <c r="A413" s="316">
        <v>715</v>
      </c>
      <c r="B413" s="316" t="s">
        <v>2087</v>
      </c>
    </row>
    <row r="414" spans="1:2" ht="12.75" customHeight="1">
      <c r="A414" s="316">
        <v>717</v>
      </c>
      <c r="B414" s="316" t="s">
        <v>2088</v>
      </c>
    </row>
    <row r="415" spans="1:2" ht="12.75" customHeight="1">
      <c r="A415" s="316">
        <v>720</v>
      </c>
      <c r="B415" s="316" t="s">
        <v>2089</v>
      </c>
    </row>
    <row r="416" spans="1:2" ht="12.75" customHeight="1">
      <c r="A416" s="316">
        <v>725</v>
      </c>
      <c r="B416" s="316" t="s">
        <v>2090</v>
      </c>
    </row>
    <row r="417" spans="1:2" ht="12.75" customHeight="1">
      <c r="A417" s="316">
        <v>728</v>
      </c>
      <c r="B417" s="316" t="s">
        <v>2091</v>
      </c>
    </row>
    <row r="418" spans="1:2" ht="12.75" customHeight="1">
      <c r="A418" s="316">
        <v>730</v>
      </c>
      <c r="B418" s="316" t="s">
        <v>2092</v>
      </c>
    </row>
    <row r="419" spans="1:2" ht="12.75" customHeight="1">
      <c r="A419" s="316">
        <v>735</v>
      </c>
      <c r="B419" s="316" t="s">
        <v>2093</v>
      </c>
    </row>
    <row r="420" spans="1:2" ht="12.75" customHeight="1">
      <c r="A420" s="316">
        <v>740</v>
      </c>
      <c r="B420" s="316" t="s">
        <v>2094</v>
      </c>
    </row>
    <row r="421" spans="1:2" ht="12.75" customHeight="1">
      <c r="A421" s="316">
        <v>745</v>
      </c>
      <c r="B421" s="316" t="s">
        <v>2095</v>
      </c>
    </row>
    <row r="422" spans="1:2" ht="12.75" customHeight="1">
      <c r="A422" s="316">
        <v>750</v>
      </c>
      <c r="B422" s="316" t="s">
        <v>2096</v>
      </c>
    </row>
    <row r="423" spans="1:2" ht="12.75" customHeight="1">
      <c r="A423" s="316">
        <v>753</v>
      </c>
      <c r="B423" s="316" t="s">
        <v>2097</v>
      </c>
    </row>
    <row r="424" spans="1:2" ht="12.75" customHeight="1">
      <c r="A424" s="316">
        <v>755</v>
      </c>
      <c r="B424" s="316" t="s">
        <v>2098</v>
      </c>
    </row>
    <row r="425" spans="1:2" ht="12.75" customHeight="1">
      <c r="A425" s="316">
        <v>760</v>
      </c>
      <c r="B425" s="316" t="s">
        <v>2099</v>
      </c>
    </row>
    <row r="426" spans="1:2" ht="12.75" customHeight="1">
      <c r="A426" s="316">
        <v>763</v>
      </c>
      <c r="B426" s="316" t="s">
        <v>1669</v>
      </c>
    </row>
    <row r="427" spans="1:2" ht="12.75" customHeight="1">
      <c r="A427" s="316">
        <v>765</v>
      </c>
      <c r="B427" s="316" t="s">
        <v>2100</v>
      </c>
    </row>
    <row r="428" spans="1:2" ht="12.75" customHeight="1">
      <c r="A428" s="316">
        <v>766</v>
      </c>
      <c r="B428" s="316" t="s">
        <v>1671</v>
      </c>
    </row>
    <row r="429" spans="1:2" ht="12.75" customHeight="1">
      <c r="A429" s="316">
        <v>767</v>
      </c>
      <c r="B429" s="316" t="s">
        <v>2101</v>
      </c>
    </row>
    <row r="430" spans="1:2" ht="12.75" customHeight="1">
      <c r="A430" s="316">
        <v>770</v>
      </c>
      <c r="B430" s="316" t="s">
        <v>2102</v>
      </c>
    </row>
    <row r="431" spans="1:2" ht="12.75" customHeight="1">
      <c r="A431" s="316">
        <v>773</v>
      </c>
      <c r="B431" s="316" t="s">
        <v>2103</v>
      </c>
    </row>
    <row r="432" spans="1:2" ht="12.75" customHeight="1">
      <c r="A432" s="316">
        <v>774</v>
      </c>
      <c r="B432" s="316" t="s">
        <v>1675</v>
      </c>
    </row>
    <row r="433" spans="1:2" ht="12.75" customHeight="1">
      <c r="A433" s="316">
        <v>775</v>
      </c>
      <c r="B433" s="316" t="s">
        <v>2104</v>
      </c>
    </row>
    <row r="434" spans="1:2" ht="12.75" customHeight="1">
      <c r="A434" s="316">
        <v>778</v>
      </c>
      <c r="B434" s="316" t="s">
        <v>1677</v>
      </c>
    </row>
    <row r="435" spans="1:2" ht="12.75" customHeight="1">
      <c r="A435" s="316">
        <v>780</v>
      </c>
      <c r="B435" s="316" t="s">
        <v>2105</v>
      </c>
    </row>
    <row r="436" spans="1:2" ht="12.75" customHeight="1">
      <c r="A436" s="316">
        <v>801</v>
      </c>
      <c r="B436" s="316" t="s">
        <v>2106</v>
      </c>
    </row>
    <row r="437" spans="1:2" ht="12.75" customHeight="1">
      <c r="A437" s="316">
        <v>805</v>
      </c>
      <c r="B437" s="316" t="s">
        <v>2107</v>
      </c>
    </row>
    <row r="438" spans="1:2" ht="12.75" customHeight="1">
      <c r="A438" s="316">
        <v>806</v>
      </c>
      <c r="B438" s="316" t="s">
        <v>2108</v>
      </c>
    </row>
    <row r="439" spans="1:2" ht="12.75" customHeight="1">
      <c r="A439" s="316">
        <v>810</v>
      </c>
      <c r="B439" s="316" t="s">
        <v>2109</v>
      </c>
    </row>
    <row r="440" spans="1:2" ht="12.75" customHeight="1">
      <c r="A440" s="316">
        <v>815</v>
      </c>
      <c r="B440" s="316" t="s">
        <v>2110</v>
      </c>
    </row>
    <row r="441" spans="1:2" ht="12.75" customHeight="1">
      <c r="A441" s="316">
        <v>817</v>
      </c>
      <c r="B441" s="316" t="s">
        <v>1684</v>
      </c>
    </row>
    <row r="442" spans="1:2" ht="12.75" customHeight="1">
      <c r="A442" s="316">
        <v>818</v>
      </c>
      <c r="B442" s="316" t="s">
        <v>2111</v>
      </c>
    </row>
    <row r="443" spans="1:2" ht="12.75" customHeight="1">
      <c r="A443" s="316">
        <v>821</v>
      </c>
      <c r="B443" s="316" t="s">
        <v>2112</v>
      </c>
    </row>
    <row r="444" spans="1:2" ht="12.75" customHeight="1">
      <c r="A444" s="316">
        <v>823</v>
      </c>
      <c r="B444" s="316" t="s">
        <v>2113</v>
      </c>
    </row>
    <row r="445" spans="1:2" ht="12.75" customHeight="1">
      <c r="A445" s="316">
        <v>825</v>
      </c>
      <c r="B445" s="316" t="s">
        <v>2114</v>
      </c>
    </row>
    <row r="446" spans="1:2" ht="12.75" customHeight="1">
      <c r="A446" s="316">
        <v>828</v>
      </c>
      <c r="B446" s="316" t="s">
        <v>2115</v>
      </c>
    </row>
    <row r="447" spans="1:2" ht="12.75" customHeight="1">
      <c r="A447" s="316">
        <v>829</v>
      </c>
      <c r="B447" s="316" t="s">
        <v>2116</v>
      </c>
    </row>
    <row r="448" spans="1:2" ht="12.75" customHeight="1">
      <c r="A448" s="316">
        <v>830</v>
      </c>
      <c r="B448" s="316" t="s">
        <v>2117</v>
      </c>
    </row>
    <row r="449" spans="1:2" ht="12.75" customHeight="1">
      <c r="A449" s="316">
        <v>832</v>
      </c>
      <c r="B449" s="316" t="s">
        <v>2118</v>
      </c>
    </row>
    <row r="450" spans="1:2" ht="12.75" customHeight="1">
      <c r="A450" s="316">
        <v>851</v>
      </c>
      <c r="B450" s="316" t="s">
        <v>2119</v>
      </c>
    </row>
    <row r="451" spans="1:2" ht="12.75" customHeight="1">
      <c r="A451" s="316">
        <v>852</v>
      </c>
      <c r="B451" s="316" t="s">
        <v>2120</v>
      </c>
    </row>
    <row r="452" spans="1:2" ht="12.75" customHeight="1">
      <c r="A452" s="316">
        <v>853</v>
      </c>
      <c r="B452" s="316" t="s">
        <v>2121</v>
      </c>
    </row>
    <row r="453" spans="1:2" ht="12.75" customHeight="1">
      <c r="A453" s="316">
        <v>855</v>
      </c>
      <c r="B453" s="316" t="s">
        <v>2122</v>
      </c>
    </row>
    <row r="454" spans="1:2" ht="12.75" customHeight="1">
      <c r="A454" s="316">
        <v>860</v>
      </c>
      <c r="B454" s="316" t="s">
        <v>2123</v>
      </c>
    </row>
    <row r="455" spans="1:2" ht="12.75" customHeight="1">
      <c r="A455" s="316">
        <v>871</v>
      </c>
      <c r="B455" s="316" t="s">
        <v>2124</v>
      </c>
    </row>
    <row r="456" spans="1:2" ht="12.75" customHeight="1">
      <c r="A456" s="316">
        <v>872</v>
      </c>
      <c r="B456" s="316" t="s">
        <v>2125</v>
      </c>
    </row>
    <row r="457" spans="1:2" ht="12.75" customHeight="1">
      <c r="A457" s="316">
        <v>873</v>
      </c>
      <c r="B457" s="316" t="s">
        <v>2126</v>
      </c>
    </row>
    <row r="458" spans="1:2" ht="12.75" customHeight="1">
      <c r="A458" s="316">
        <v>876</v>
      </c>
      <c r="B458" s="316" t="s">
        <v>2127</v>
      </c>
    </row>
    <row r="459" spans="1:2" ht="12.75" customHeight="1">
      <c r="A459" s="316">
        <v>878</v>
      </c>
      <c r="B459" s="316" t="s">
        <v>2128</v>
      </c>
    </row>
    <row r="460" spans="1:2" ht="12.75" customHeight="1">
      <c r="A460" s="316">
        <v>879</v>
      </c>
      <c r="B460" s="316" t="s">
        <v>2129</v>
      </c>
    </row>
    <row r="461" spans="1:2" ht="12.75" customHeight="1">
      <c r="A461" s="316">
        <v>885</v>
      </c>
      <c r="B461" s="316" t="s">
        <v>2130</v>
      </c>
    </row>
    <row r="462" spans="1:2" ht="12.75" customHeight="1">
      <c r="A462" s="316">
        <v>910</v>
      </c>
      <c r="B462" s="316" t="s">
        <v>2131</v>
      </c>
    </row>
    <row r="463" spans="1:2" ht="12.75" customHeight="1">
      <c r="A463" s="316">
        <v>915</v>
      </c>
      <c r="B463" s="316" t="s">
        <v>2132</v>
      </c>
    </row>
  </sheetData>
  <sortState ref="A31:B468">
    <sortCondition ref="A31:A468"/>
  </sortState>
  <phoneticPr fontId="0" type="noConversion"/>
  <hyperlinks>
    <hyperlink ref="B12" location="Summary!A1" display="Summary"/>
    <hyperlink ref="B13" location="'Foundation Budget'!A1" display="Foundation Budget"/>
    <hyperlink ref="B15" location="'regional allocation'!A1" display="Regional Allocation"/>
    <hyperlink ref="B17" location="'regional dist members'!A1" display="Regional District Detail"/>
    <hyperlink ref="B14" location="'municipal contribution'!A1" display="Municipal Contribution Requirement"/>
    <hyperlink ref="D23" r:id="rId1"/>
  </hyperlinks>
  <pageMargins left="0.75" right="0.75" top="1" bottom="1" header="0.5" footer="0.5"/>
  <pageSetup orientation="portrait" r:id="rId2"/>
  <headerFooter alignWithMargins="0"/>
  <drawing r:id="rId3"/>
  <legacyDrawing r:id="rId4"/>
  <mc:AlternateContent xmlns:mc="http://schemas.openxmlformats.org/markup-compatibility/2006">
    <mc:Choice Requires="x14">
      <controls>
        <mc:AlternateContent xmlns:mc="http://schemas.openxmlformats.org/markup-compatibility/2006">
          <mc:Choice Requires="x14">
            <control shapeId="29702" r:id="rId5" name="Drop Down 6">
              <controlPr defaultSize="0" autoLine="0" autoPict="0">
                <anchor moveWithCells="1">
                  <from>
                    <xdr:col>0</xdr:col>
                    <xdr:colOff>28575</xdr:colOff>
                    <xdr:row>3</xdr:row>
                    <xdr:rowOff>28575</xdr:rowOff>
                  </from>
                  <to>
                    <xdr:col>2</xdr:col>
                    <xdr:colOff>657225</xdr:colOff>
                    <xdr:row>4</xdr:row>
                    <xdr:rowOff>47625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D38"/>
  <sheetViews>
    <sheetView showGridLines="0" zoomScale="80" zoomScaleNormal="80" workbookViewId="0"/>
  </sheetViews>
  <sheetFormatPr defaultColWidth="10" defaultRowHeight="15.75"/>
  <cols>
    <col min="1" max="1" width="5.875" style="143" bestFit="1" customWidth="1"/>
    <col min="2" max="2" width="30.5" style="143" customWidth="1"/>
    <col min="3" max="3" width="10.625" style="143" customWidth="1"/>
    <col min="4" max="4" width="9.375" style="143" customWidth="1"/>
    <col min="5" max="5" width="10.875" style="143" customWidth="1"/>
    <col min="6" max="6" width="11.625" style="143" customWidth="1"/>
    <col min="7" max="7" width="11.125" style="143" customWidth="1"/>
    <col min="8" max="8" width="11.625" style="143" customWidth="1"/>
    <col min="9" max="9" width="9.375" style="143" customWidth="1"/>
    <col min="10" max="10" width="8" style="143" customWidth="1"/>
    <col min="11" max="11" width="11.375" style="143" customWidth="1"/>
    <col min="12" max="12" width="12.625" style="143" bestFit="1" customWidth="1"/>
    <col min="13" max="13" width="0.625" style="323" customWidth="1"/>
    <col min="14" max="14" width="13.875" style="143" customWidth="1"/>
    <col min="15" max="15" width="10.125" style="143" bestFit="1" customWidth="1"/>
    <col min="16" max="16" width="13.875" style="143" customWidth="1"/>
    <col min="17" max="17" width="1.125" style="143" customWidth="1"/>
    <col min="18" max="18" width="12.875" style="143" customWidth="1"/>
    <col min="19" max="19" width="11.375" style="143" customWidth="1"/>
    <col min="20" max="20" width="3.375" style="143" customWidth="1"/>
    <col min="21" max="21" width="21.375" style="143" customWidth="1"/>
    <col min="22" max="16384" width="10" style="143"/>
  </cols>
  <sheetData>
    <row r="1" spans="1:30">
      <c r="A1" s="434" t="s">
        <v>107</v>
      </c>
      <c r="R1" s="564" t="s">
        <v>2802</v>
      </c>
    </row>
    <row r="2" spans="1:30" s="443" customFormat="1" ht="21">
      <c r="A2" s="436" t="s">
        <v>1049</v>
      </c>
      <c r="E2" s="436"/>
      <c r="F2" s="436"/>
      <c r="G2" s="436"/>
      <c r="H2" s="436"/>
      <c r="I2" s="436"/>
      <c r="J2" s="436"/>
      <c r="K2" s="436"/>
      <c r="L2" s="436"/>
      <c r="M2" s="436"/>
      <c r="N2" s="436"/>
      <c r="O2" s="436"/>
      <c r="P2" s="436"/>
      <c r="Q2" s="436"/>
      <c r="R2" s="436"/>
    </row>
    <row r="3" spans="1:30" s="443" customFormat="1" ht="21.75" customHeight="1">
      <c r="A3" s="465" t="s">
        <v>559</v>
      </c>
      <c r="E3" s="437"/>
      <c r="F3" s="437"/>
      <c r="G3" s="437"/>
      <c r="H3" s="437"/>
      <c r="I3" s="437"/>
      <c r="J3" s="437"/>
      <c r="K3" s="437"/>
      <c r="L3" s="437"/>
      <c r="M3" s="437"/>
      <c r="N3" s="437"/>
      <c r="O3" s="437"/>
      <c r="P3" s="437"/>
      <c r="Q3" s="437"/>
      <c r="R3" s="437"/>
    </row>
    <row r="4" spans="1:30" s="443" customFormat="1" ht="29.25" customHeight="1">
      <c r="A4" s="439" t="str">
        <f>parameters!B1&amp;" Chapter 70 Foundation Budget"</f>
        <v>FY18 Chapter 70 Foundation Budget</v>
      </c>
      <c r="E4" s="439"/>
      <c r="F4" s="439"/>
      <c r="G4" s="439"/>
      <c r="H4" s="439"/>
      <c r="I4" s="439"/>
      <c r="J4" s="439"/>
      <c r="K4" s="439"/>
      <c r="L4" s="439"/>
      <c r="M4" s="439"/>
      <c r="N4" s="439"/>
      <c r="O4" s="439"/>
      <c r="P4" s="439"/>
      <c r="Q4" s="439"/>
      <c r="R4" s="439"/>
    </row>
    <row r="5" spans="1:30" ht="23.45" customHeight="1">
      <c r="A5" s="514">
        <f>lea</f>
        <v>316</v>
      </c>
      <c r="B5" s="444" t="str">
        <f>IF(lea=999,"State total cannot be computed on this page; Please enter an lea code on the index sheet",VLOOKUP(A5,dist915,2))</f>
        <v xml:space="preserve">Webster                      </v>
      </c>
      <c r="E5" s="445"/>
      <c r="F5" s="445"/>
      <c r="G5" s="445"/>
      <c r="H5" s="445"/>
      <c r="I5" s="445"/>
      <c r="M5" s="143"/>
    </row>
    <row r="6" spans="1:30" s="447" customFormat="1" ht="16.5" customHeight="1">
      <c r="A6" s="324"/>
      <c r="B6" s="324"/>
      <c r="C6" s="596" t="s">
        <v>2787</v>
      </c>
      <c r="D6" s="596"/>
      <c r="E6" s="596"/>
      <c r="F6" s="596"/>
      <c r="G6" s="596"/>
      <c r="H6" s="596"/>
      <c r="I6" s="596"/>
      <c r="J6" s="596"/>
      <c r="K6" s="596"/>
      <c r="L6" s="596"/>
      <c r="M6" s="446"/>
      <c r="N6" s="596" t="s">
        <v>2788</v>
      </c>
      <c r="O6" s="596"/>
      <c r="P6" s="596"/>
      <c r="Q6" s="512"/>
      <c r="R6" s="512"/>
      <c r="S6" s="512"/>
    </row>
    <row r="7" spans="1:30" s="449" customFormat="1" ht="18.600000000000001" customHeight="1">
      <c r="A7" s="432"/>
      <c r="B7" s="432"/>
      <c r="C7" s="430" t="s">
        <v>161</v>
      </c>
      <c r="D7" s="430" t="s">
        <v>162</v>
      </c>
      <c r="E7" s="430" t="s">
        <v>163</v>
      </c>
      <c r="F7" s="430" t="s">
        <v>164</v>
      </c>
      <c r="G7" s="430" t="s">
        <v>165</v>
      </c>
      <c r="H7" s="430" t="s">
        <v>166</v>
      </c>
      <c r="I7" s="430" t="s">
        <v>167</v>
      </c>
      <c r="J7" s="430" t="s">
        <v>168</v>
      </c>
      <c r="K7" s="448" t="s">
        <v>169</v>
      </c>
      <c r="L7" s="430" t="s">
        <v>170</v>
      </c>
      <c r="M7" s="430"/>
      <c r="N7" s="430" t="s">
        <v>171</v>
      </c>
      <c r="O7" s="430" t="s">
        <v>172</v>
      </c>
      <c r="P7" s="430" t="s">
        <v>173</v>
      </c>
      <c r="Q7" s="431"/>
      <c r="R7" s="431"/>
    </row>
    <row r="8" spans="1:30" s="445" customFormat="1">
      <c r="A8" s="325"/>
      <c r="B8" s="325"/>
      <c r="C8" s="511" t="s">
        <v>174</v>
      </c>
      <c r="D8" s="599" t="s">
        <v>175</v>
      </c>
      <c r="E8" s="599"/>
      <c r="F8" s="511"/>
      <c r="G8" s="511" t="s">
        <v>176</v>
      </c>
      <c r="H8" s="511" t="s">
        <v>177</v>
      </c>
      <c r="I8" s="423" t="s">
        <v>178</v>
      </c>
      <c r="J8" s="423" t="s">
        <v>178</v>
      </c>
      <c r="K8" s="423" t="s">
        <v>178</v>
      </c>
      <c r="L8" s="511" t="s">
        <v>182</v>
      </c>
      <c r="M8" s="423"/>
      <c r="N8" s="423" t="s">
        <v>560</v>
      </c>
      <c r="O8" s="423" t="s">
        <v>560</v>
      </c>
      <c r="P8" s="423" t="s">
        <v>2172</v>
      </c>
      <c r="Q8" s="423"/>
      <c r="R8" s="423"/>
    </row>
    <row r="9" spans="1:30" s="445" customFormat="1">
      <c r="A9" s="326"/>
      <c r="B9" s="326"/>
      <c r="C9" s="327" t="s">
        <v>561</v>
      </c>
      <c r="D9" s="327" t="s">
        <v>183</v>
      </c>
      <c r="E9" s="327" t="s">
        <v>184</v>
      </c>
      <c r="F9" s="327" t="s">
        <v>562</v>
      </c>
      <c r="G9" s="327" t="s">
        <v>563</v>
      </c>
      <c r="H9" s="327" t="s">
        <v>561</v>
      </c>
      <c r="I9" s="327" t="s">
        <v>564</v>
      </c>
      <c r="J9" s="327" t="s">
        <v>565</v>
      </c>
      <c r="K9" s="327" t="s">
        <v>185</v>
      </c>
      <c r="L9" s="327" t="s">
        <v>186</v>
      </c>
      <c r="M9" s="327"/>
      <c r="N9" s="327" t="s">
        <v>187</v>
      </c>
      <c r="O9" s="327" t="s">
        <v>188</v>
      </c>
      <c r="P9" s="327" t="s">
        <v>2173</v>
      </c>
      <c r="Q9" s="327"/>
      <c r="R9" s="327" t="s">
        <v>189</v>
      </c>
    </row>
    <row r="10" spans="1:30" ht="23.25" customHeight="1">
      <c r="A10" s="328"/>
      <c r="B10" s="335" t="s">
        <v>208</v>
      </c>
      <c r="C10" s="329">
        <f>IF($A$5&lt;&gt;999,VLOOKUP(lea,dist915,3),0)</f>
        <v>53</v>
      </c>
      <c r="D10" s="329">
        <f>IF(A5&lt;&gt;999,VLOOKUP(lea,dist915,4),0)</f>
        <v>0</v>
      </c>
      <c r="E10" s="329">
        <f>IF(A5&lt;&gt;999,VLOOKUP(lea,dist915,5),0)</f>
        <v>142</v>
      </c>
      <c r="F10" s="329">
        <f>IF(A5&lt;&gt;999,VLOOKUP(lea,dist915,6),0)</f>
        <v>742</v>
      </c>
      <c r="G10" s="329">
        <f>IF(A5&lt;&gt;999,VLOOKUP(lea,dist915,7),0)</f>
        <v>463</v>
      </c>
      <c r="H10" s="329">
        <f>IF(A5&lt;&gt;999,VLOOKUP(lea,dist915,8),0)</f>
        <v>474</v>
      </c>
      <c r="I10" s="329">
        <f>IF(A5&lt;&gt;999,VLOOKUP(lea,dist915,11),0)</f>
        <v>0</v>
      </c>
      <c r="J10" s="329">
        <f>IF(A5&lt;&gt;999,VLOOKUP(lea,dist915,12),0)</f>
        <v>0</v>
      </c>
      <c r="K10" s="329">
        <f>IF(A5&lt;&gt;999,VLOOKUP(lea,dist915,13),0)</f>
        <v>115</v>
      </c>
      <c r="L10" s="329">
        <f>IF(A5&lt;&gt;999,VLOOKUP(lea,dist915,14),0)</f>
        <v>26</v>
      </c>
      <c r="M10" s="466"/>
      <c r="N10" s="329">
        <f>IF(A5&lt;&gt;999,VLOOKUP(lea,dist915,9),0)</f>
        <v>74</v>
      </c>
      <c r="O10" s="329">
        <f>IF(A5&lt;&gt;999,VLOOKUP(lea,dist915,10),0)</f>
        <v>19</v>
      </c>
      <c r="P10" s="329">
        <f>IF(A5&lt;&gt;999,VLOOKUP(lea,dist915,15),0)</f>
        <v>1025</v>
      </c>
      <c r="Q10" s="466"/>
      <c r="R10" s="329">
        <f>IF(A5&lt;&gt;999,VLOOKUP(lea,dist915,17),0)</f>
        <v>1989</v>
      </c>
    </row>
    <row r="11" spans="1:30" ht="12.75" customHeight="1">
      <c r="A11" s="328"/>
      <c r="B11" s="328"/>
      <c r="C11" s="450"/>
      <c r="D11" s="450"/>
      <c r="E11" s="450"/>
      <c r="F11" s="450"/>
      <c r="G11" s="450"/>
      <c r="H11" s="450"/>
      <c r="I11" s="450"/>
      <c r="J11" s="450"/>
      <c r="K11" s="450"/>
      <c r="L11" s="450"/>
      <c r="M11" s="467"/>
      <c r="N11" s="330"/>
      <c r="O11" s="330"/>
      <c r="P11" s="330"/>
      <c r="Q11" s="467"/>
      <c r="R11" s="330"/>
    </row>
    <row r="12" spans="1:30" ht="18" customHeight="1">
      <c r="A12" s="328">
        <v>1</v>
      </c>
      <c r="B12" s="328" t="s">
        <v>648</v>
      </c>
      <c r="C12" s="331">
        <f t="shared" ref="C12:H16" si="0">(VLOOKUP(VALUE(C$7)/-1,newrates,$A12+2)*C$10*waf)</f>
        <v>9753.59</v>
      </c>
      <c r="D12" s="331">
        <f t="shared" si="0"/>
        <v>0</v>
      </c>
      <c r="E12" s="331">
        <f t="shared" si="0"/>
        <v>52261.68</v>
      </c>
      <c r="F12" s="331">
        <f t="shared" si="0"/>
        <v>273085.68</v>
      </c>
      <c r="G12" s="331">
        <f t="shared" si="0"/>
        <v>170402.52000000002</v>
      </c>
      <c r="H12" s="331">
        <f t="shared" si="0"/>
        <v>174450.96000000002</v>
      </c>
      <c r="I12" s="331">
        <f>(VLOOKUP(9,newrates,$A12+2)*I$10*waf)</f>
        <v>0</v>
      </c>
      <c r="J12" s="331">
        <f>(VLOOKUP(10,newrates,$A12+2)*J$10*waf)</f>
        <v>0</v>
      </c>
      <c r="K12" s="331">
        <f>(VLOOKUP(11,newrates,$A12+2)*K$10*waf)</f>
        <v>42324.600000000006</v>
      </c>
      <c r="L12" s="331">
        <f>(VLOOKUP(12,newrates,$A12+2)*L$10*waf)</f>
        <v>9569.0400000000009</v>
      </c>
      <c r="M12" s="467"/>
      <c r="N12" s="331">
        <f>(VLOOKUP(7,newrates,$A12+2)*N$10*waf)</f>
        <v>187971.1</v>
      </c>
      <c r="O12" s="331">
        <f>(VLOOKUP(8,newrates,$A12+2)*O$10*waf)</f>
        <v>48262.85</v>
      </c>
      <c r="P12" s="331">
        <f>(VLOOKUP((VALUE(P$7)*-1)+$C$27-1, newrates, A12+2, FALSE))*P$10*waf</f>
        <v>0</v>
      </c>
      <c r="Q12" s="467"/>
      <c r="R12" s="331">
        <f t="shared" ref="R12:R22" si="1">SUM(C12:P12)</f>
        <v>968082.02</v>
      </c>
      <c r="S12" s="451"/>
      <c r="T12" s="451"/>
      <c r="U12" s="451"/>
      <c r="V12" s="451"/>
      <c r="W12" s="451"/>
      <c r="X12" s="451"/>
      <c r="Y12" s="451"/>
      <c r="Z12" s="451"/>
      <c r="AA12" s="451"/>
      <c r="AB12" s="451"/>
      <c r="AC12" s="451"/>
      <c r="AD12" s="451"/>
    </row>
    <row r="13" spans="1:30" ht="18" customHeight="1">
      <c r="A13" s="328">
        <v>2</v>
      </c>
      <c r="B13" s="328" t="s">
        <v>190</v>
      </c>
      <c r="C13" s="331">
        <f t="shared" si="0"/>
        <v>17615.61</v>
      </c>
      <c r="D13" s="331">
        <f t="shared" si="0"/>
        <v>0</v>
      </c>
      <c r="E13" s="331">
        <f t="shared" si="0"/>
        <v>94390.24</v>
      </c>
      <c r="F13" s="331">
        <f t="shared" si="0"/>
        <v>493222.24000000005</v>
      </c>
      <c r="G13" s="331">
        <f t="shared" si="0"/>
        <v>307765.36</v>
      </c>
      <c r="H13" s="331">
        <f t="shared" si="0"/>
        <v>315077.28000000003</v>
      </c>
      <c r="I13" s="331">
        <f>(VLOOKUP(9,newrates,$A13+2)*I$10*waf)</f>
        <v>0</v>
      </c>
      <c r="J13" s="331">
        <f>(VLOOKUP(10,newrates,$A13+2)*J$10*waf)</f>
        <v>0</v>
      </c>
      <c r="K13" s="331">
        <f>(VLOOKUP(11,newrates,$A13+2)*K$10*waf)</f>
        <v>76442.8</v>
      </c>
      <c r="L13" s="331">
        <f>(VLOOKUP(12,newrates,$A13+2)*L$10*waf)</f>
        <v>17282.72</v>
      </c>
      <c r="M13" s="467"/>
      <c r="N13" s="331">
        <f>(VLOOKUP(7,newrates,$A13+2)*N$10*waf)</f>
        <v>0</v>
      </c>
      <c r="O13" s="331">
        <f>(VLOOKUP(8,newrates,$A13+2)*O$10*waf)</f>
        <v>0</v>
      </c>
      <c r="P13" s="331">
        <f>(VLOOKUP((VALUE(P$7)*-1)+$C$27-1, newrates, A13+2, FALSE))*P$10*waf</f>
        <v>0</v>
      </c>
      <c r="Q13" s="467"/>
      <c r="R13" s="331">
        <f t="shared" si="1"/>
        <v>1321796.25</v>
      </c>
      <c r="S13" s="451"/>
      <c r="T13" s="451"/>
      <c r="U13" s="451"/>
      <c r="V13" s="451"/>
      <c r="W13" s="451"/>
      <c r="X13" s="451"/>
      <c r="Y13" s="451"/>
      <c r="Z13" s="451"/>
      <c r="AA13" s="451"/>
      <c r="AB13" s="451"/>
      <c r="AC13" s="451"/>
      <c r="AD13" s="451"/>
    </row>
    <row r="14" spans="1:30" ht="18" customHeight="1">
      <c r="A14" s="328">
        <v>3</v>
      </c>
      <c r="B14" s="328" t="s">
        <v>191</v>
      </c>
      <c r="C14" s="331">
        <f t="shared" si="0"/>
        <v>80771.47</v>
      </c>
      <c r="D14" s="331">
        <f t="shared" si="0"/>
        <v>0</v>
      </c>
      <c r="E14" s="331">
        <f t="shared" si="0"/>
        <v>432811.74</v>
      </c>
      <c r="F14" s="331">
        <f t="shared" si="0"/>
        <v>2261564.06</v>
      </c>
      <c r="G14" s="331">
        <f t="shared" si="0"/>
        <v>1241858.5999999999</v>
      </c>
      <c r="H14" s="331">
        <f t="shared" si="0"/>
        <v>1869640.8599999999</v>
      </c>
      <c r="I14" s="331">
        <f>(VLOOKUP(9,newrates,$A14+2)*I$10*waf)</f>
        <v>0</v>
      </c>
      <c r="J14" s="331">
        <f>(VLOOKUP(10,newrates,$A14+2)*J$10*waf)</f>
        <v>0</v>
      </c>
      <c r="K14" s="331">
        <f>(VLOOKUP(11,newrates,$A14+2)*K$10*waf)</f>
        <v>527887.94999999995</v>
      </c>
      <c r="L14" s="331">
        <f>(VLOOKUP(12,newrates,$A14+2)*L$10*waf)</f>
        <v>174343</v>
      </c>
      <c r="M14" s="467"/>
      <c r="N14" s="331">
        <f>(VLOOKUP(7,newrates,$A14+2)*N$10*waf)</f>
        <v>620256.9</v>
      </c>
      <c r="O14" s="331">
        <f>(VLOOKUP(8,newrates,$A14+2)*O$10*waf)</f>
        <v>0</v>
      </c>
      <c r="P14" s="331">
        <f>(VLOOKUP((VALUE(P$7)*-1)+$C$27-1, newrates, A14+2, FALSE))*P$10*waf</f>
        <v>3353328.5</v>
      </c>
      <c r="Q14" s="467"/>
      <c r="R14" s="331">
        <f t="shared" si="1"/>
        <v>10562463.080000002</v>
      </c>
      <c r="S14" s="451"/>
      <c r="T14" s="451"/>
      <c r="U14" s="451"/>
      <c r="V14" s="451"/>
      <c r="W14" s="451"/>
      <c r="X14" s="451"/>
      <c r="Y14" s="451"/>
      <c r="Z14" s="451"/>
      <c r="AA14" s="451"/>
      <c r="AB14" s="451"/>
      <c r="AC14" s="451"/>
      <c r="AD14" s="451"/>
    </row>
    <row r="15" spans="1:30" ht="18" customHeight="1">
      <c r="A15" s="328">
        <v>4</v>
      </c>
      <c r="B15" s="328" t="s">
        <v>192</v>
      </c>
      <c r="C15" s="331">
        <f t="shared" si="0"/>
        <v>20715.580000000002</v>
      </c>
      <c r="D15" s="331">
        <f t="shared" si="0"/>
        <v>0</v>
      </c>
      <c r="E15" s="331">
        <f t="shared" si="0"/>
        <v>111007.08</v>
      </c>
      <c r="F15" s="331">
        <f t="shared" si="0"/>
        <v>580051.07999999996</v>
      </c>
      <c r="G15" s="331">
        <f t="shared" si="0"/>
        <v>260543.99000000002</v>
      </c>
      <c r="H15" s="331">
        <f t="shared" si="0"/>
        <v>222059.52000000002</v>
      </c>
      <c r="I15" s="331">
        <f>(VLOOKUP(9,newrates,$A15+2)*I$10*waf)</f>
        <v>0</v>
      </c>
      <c r="J15" s="331">
        <f>(VLOOKUP(10,newrates,$A15+2)*J$10*waf)</f>
        <v>0</v>
      </c>
      <c r="K15" s="331">
        <f>(VLOOKUP(11,newrates,$A15+2)*K$10*waf)</f>
        <v>71884.200000000012</v>
      </c>
      <c r="L15" s="331">
        <f>(VLOOKUP(12,newrates,$A15+2)*L$10*waf)</f>
        <v>12180.48</v>
      </c>
      <c r="M15" s="467"/>
      <c r="N15" s="331">
        <f>(VLOOKUP(7,newrates,$A15+2)*N$10*waf)</f>
        <v>579125.48</v>
      </c>
      <c r="O15" s="331">
        <f>(VLOOKUP(8,newrates,$A15+2)*O$10*waf)</f>
        <v>737.3900000000001</v>
      </c>
      <c r="P15" s="331">
        <f>(VLOOKUP((VALUE(P$7)*-1)+$C$27-1, newrates, A15+2, FALSE))*P$10*waf</f>
        <v>0</v>
      </c>
      <c r="Q15" s="467"/>
      <c r="R15" s="331">
        <f t="shared" si="1"/>
        <v>1858304.7999999998</v>
      </c>
      <c r="S15" s="451"/>
      <c r="T15" s="451"/>
      <c r="U15" s="451"/>
      <c r="V15" s="451"/>
      <c r="W15" s="451"/>
      <c r="X15" s="451"/>
      <c r="Y15" s="451"/>
      <c r="Z15" s="451"/>
      <c r="AA15" s="451"/>
      <c r="AB15" s="451"/>
      <c r="AC15" s="451"/>
      <c r="AD15" s="451"/>
    </row>
    <row r="16" spans="1:30" ht="18" customHeight="1">
      <c r="A16" s="328">
        <v>5</v>
      </c>
      <c r="B16" s="328" t="s">
        <v>193</v>
      </c>
      <c r="C16" s="331">
        <f t="shared" si="0"/>
        <v>3194.31</v>
      </c>
      <c r="D16" s="331">
        <f t="shared" si="0"/>
        <v>0</v>
      </c>
      <c r="E16" s="331">
        <f t="shared" si="0"/>
        <v>17125.2</v>
      </c>
      <c r="F16" s="331">
        <f t="shared" si="0"/>
        <v>89500.040000000008</v>
      </c>
      <c r="G16" s="331">
        <f t="shared" si="0"/>
        <v>60541.88</v>
      </c>
      <c r="H16" s="331">
        <f t="shared" si="0"/>
        <v>60093.72</v>
      </c>
      <c r="I16" s="331">
        <f>(VLOOKUP(9,newrates,$A16+2)*I$10*waf)</f>
        <v>0</v>
      </c>
      <c r="J16" s="331">
        <f>(VLOOKUP(10,newrates,$A16+2)*J$10*waf)</f>
        <v>0</v>
      </c>
      <c r="K16" s="331">
        <f>(VLOOKUP(11,newrates,$A16+2)*K$10*waf)</f>
        <v>18774.899999999998</v>
      </c>
      <c r="L16" s="331">
        <f>(VLOOKUP(12,newrates,$A16+2)*L$10*waf)</f>
        <v>5449.8600000000006</v>
      </c>
      <c r="M16" s="467"/>
      <c r="N16" s="331">
        <f>(VLOOKUP(7,newrates,$A16+2)*N$10*waf)</f>
        <v>29921.16</v>
      </c>
      <c r="O16" s="331">
        <f>(VLOOKUP(8,newrates,$A16+2)*O$10*waf)</f>
        <v>0</v>
      </c>
      <c r="P16" s="331">
        <f>(VLOOKUP((VALUE(P$7)*-1)+$C$27-1, newrates, A16+2, FALSE))*P$10*waf</f>
        <v>73800</v>
      </c>
      <c r="Q16" s="467"/>
      <c r="R16" s="331">
        <f t="shared" si="1"/>
        <v>358401.07</v>
      </c>
      <c r="S16" s="451"/>
      <c r="T16" s="451"/>
      <c r="U16" s="451"/>
      <c r="V16" s="451"/>
      <c r="W16" s="451"/>
      <c r="X16" s="451"/>
      <c r="Y16" s="451"/>
      <c r="Z16" s="451"/>
      <c r="AA16" s="451"/>
      <c r="AB16" s="451"/>
      <c r="AC16" s="451"/>
      <c r="AD16" s="451"/>
    </row>
    <row r="17" spans="1:30" ht="18" customHeight="1">
      <c r="A17" s="328">
        <v>6</v>
      </c>
      <c r="B17" s="328" t="s">
        <v>196</v>
      </c>
      <c r="C17" s="331">
        <f t="shared" ref="C17:H17" si="2">(VLOOKUP(VALUE(C$7)/-1,newrates,$A17+2)*C$10)</f>
        <v>11690.74</v>
      </c>
      <c r="D17" s="331">
        <f t="shared" si="2"/>
        <v>0</v>
      </c>
      <c r="E17" s="331">
        <f t="shared" si="2"/>
        <v>62643.299999999996</v>
      </c>
      <c r="F17" s="331">
        <f t="shared" si="2"/>
        <v>327333.3</v>
      </c>
      <c r="G17" s="331">
        <f t="shared" si="2"/>
        <v>204252.44999999998</v>
      </c>
      <c r="H17" s="331">
        <f t="shared" si="2"/>
        <v>334572.90000000002</v>
      </c>
      <c r="I17" s="331">
        <f>(VLOOKUP(9,newrates,$A17+2)*I$10)</f>
        <v>0</v>
      </c>
      <c r="J17" s="331">
        <f>(VLOOKUP(10,newrates,$A17+2)*J$10)</f>
        <v>0</v>
      </c>
      <c r="K17" s="331">
        <f>(VLOOKUP(11,newrates,$A17+2)*K$10)</f>
        <v>50732.25</v>
      </c>
      <c r="L17" s="331">
        <f>(VLOOKUP(12,newrates,$A17+2)*L$10)</f>
        <v>32115.72</v>
      </c>
      <c r="M17" s="467"/>
      <c r="N17" s="331">
        <f>(VLOOKUP(7,newrates,$A17+2)*N$10)</f>
        <v>26116.080000000002</v>
      </c>
      <c r="O17" s="331">
        <f>(VLOOKUP(8,newrates,$A17+2))</f>
        <v>0</v>
      </c>
      <c r="P17" s="331">
        <f>(VLOOKUP((VALUE(P$7)*-1)+$C$27-1, newrates, A17+2, FALSE))*P$10</f>
        <v>0</v>
      </c>
      <c r="Q17" s="467"/>
      <c r="R17" s="331">
        <f t="shared" si="1"/>
        <v>1049456.74</v>
      </c>
      <c r="S17" s="451"/>
      <c r="T17" s="452"/>
      <c r="U17" s="451"/>
      <c r="V17" s="451"/>
      <c r="W17" s="451"/>
      <c r="X17" s="451"/>
      <c r="Y17" s="451"/>
      <c r="Z17" s="451"/>
      <c r="AA17" s="451"/>
      <c r="AB17" s="451"/>
      <c r="AC17" s="451"/>
      <c r="AD17" s="451"/>
    </row>
    <row r="18" spans="1:30" ht="18" customHeight="1">
      <c r="A18" s="328">
        <v>7</v>
      </c>
      <c r="B18" s="328" t="s">
        <v>879</v>
      </c>
      <c r="C18" s="331">
        <f t="shared" ref="C18:H20" si="3">(VLOOKUP(VALUE(C$7)/-1,newrates,$A18+2)*C$10*waf)</f>
        <v>5876.6399999999994</v>
      </c>
      <c r="D18" s="331">
        <f t="shared" si="3"/>
        <v>0</v>
      </c>
      <c r="E18" s="331">
        <f t="shared" si="3"/>
        <v>31494.18</v>
      </c>
      <c r="F18" s="331">
        <f t="shared" si="3"/>
        <v>164568.18</v>
      </c>
      <c r="G18" s="331">
        <f t="shared" si="3"/>
        <v>136691.49000000002</v>
      </c>
      <c r="H18" s="331">
        <f t="shared" si="3"/>
        <v>175417.91999999998</v>
      </c>
      <c r="I18" s="331">
        <f>(VLOOKUP(9,newrates,$A18+2)*I$10*waf)</f>
        <v>0</v>
      </c>
      <c r="J18" s="331">
        <f>(VLOOKUP(10,newrates,$A18+2)*J$10*waf)</f>
        <v>0</v>
      </c>
      <c r="K18" s="331">
        <f>(VLOOKUP(11,newrates,$A18+2)*K$10*waf)</f>
        <v>33951.450000000004</v>
      </c>
      <c r="L18" s="331">
        <f>(VLOOKUP(12,newrates,$A18+2)*L$10*waf)</f>
        <v>9622.08</v>
      </c>
      <c r="M18" s="467"/>
      <c r="N18" s="331">
        <f>(VLOOKUP(7,newrates,$A18+2)*N$10*waf)</f>
        <v>0</v>
      </c>
      <c r="O18" s="331">
        <f>(VLOOKUP(8,newrates,$A18+2)*O$10*waf)</f>
        <v>0</v>
      </c>
      <c r="P18" s="331">
        <f>(VLOOKUP((VALUE(P$7)*-1)+$C$27-1, newrates, A18+2, FALSE))*P$10*waf</f>
        <v>0</v>
      </c>
      <c r="Q18" s="467"/>
      <c r="R18" s="331">
        <f t="shared" si="1"/>
        <v>557621.93999999994</v>
      </c>
      <c r="S18" s="451"/>
      <c r="T18" s="451"/>
      <c r="U18" s="451"/>
      <c r="V18" s="453"/>
      <c r="W18" s="451"/>
      <c r="X18" s="451"/>
      <c r="Y18" s="451"/>
      <c r="Z18" s="451"/>
      <c r="AA18" s="451"/>
      <c r="AB18" s="451"/>
      <c r="AC18" s="451"/>
      <c r="AD18" s="451"/>
    </row>
    <row r="19" spans="1:30" ht="18" customHeight="1">
      <c r="A19" s="328">
        <v>8</v>
      </c>
      <c r="B19" s="328" t="s">
        <v>197</v>
      </c>
      <c r="C19" s="331">
        <f t="shared" si="3"/>
        <v>2337.3000000000002</v>
      </c>
      <c r="D19" s="331">
        <f t="shared" si="3"/>
        <v>0</v>
      </c>
      <c r="E19" s="331">
        <f t="shared" si="3"/>
        <v>12530.08</v>
      </c>
      <c r="F19" s="331">
        <f t="shared" si="3"/>
        <v>98203.7</v>
      </c>
      <c r="G19" s="331">
        <f t="shared" si="3"/>
        <v>100091.34</v>
      </c>
      <c r="H19" s="331">
        <f t="shared" si="3"/>
        <v>236289</v>
      </c>
      <c r="I19" s="331">
        <f>(VLOOKUP(9,newrates,$A19+2)*I$10*waf)</f>
        <v>0</v>
      </c>
      <c r="J19" s="331">
        <f>(VLOOKUP(10,newrates,$A19+2)*J$10*waf)</f>
        <v>0</v>
      </c>
      <c r="K19" s="331">
        <f>(VLOOKUP(11,newrates,$A19+2)*K$10*waf)</f>
        <v>15220.25</v>
      </c>
      <c r="L19" s="331">
        <f>(VLOOKUP(12,newrates,$A19+2)*L$10*waf)</f>
        <v>12961</v>
      </c>
      <c r="M19" s="467"/>
      <c r="N19" s="331">
        <f>(VLOOKUP(7,newrates,$A19+2)*N$10*waf)</f>
        <v>0</v>
      </c>
      <c r="O19" s="331">
        <f>(VLOOKUP(8,newrates,$A19+2)*O$10*waf)</f>
        <v>0</v>
      </c>
      <c r="P19" s="331">
        <f>(VLOOKUP((VALUE(P$7)*-1)+$C$27-1, newrates, A19+2, FALSE))*P$10*waf</f>
        <v>0</v>
      </c>
      <c r="Q19" s="467"/>
      <c r="R19" s="331">
        <f t="shared" si="1"/>
        <v>477632.67</v>
      </c>
      <c r="S19" s="451"/>
      <c r="T19" s="451"/>
      <c r="U19" s="451"/>
      <c r="V19" s="453"/>
      <c r="W19" s="451"/>
      <c r="X19" s="451"/>
      <c r="Y19" s="451"/>
      <c r="Z19" s="451"/>
      <c r="AA19" s="451"/>
      <c r="AB19" s="451"/>
      <c r="AC19" s="451"/>
      <c r="AD19" s="451"/>
    </row>
    <row r="20" spans="1:30" ht="18" customHeight="1">
      <c r="A20" s="328">
        <v>9</v>
      </c>
      <c r="B20" s="328" t="s">
        <v>198</v>
      </c>
      <c r="C20" s="331">
        <f t="shared" si="3"/>
        <v>22429.599999999999</v>
      </c>
      <c r="D20" s="331">
        <f t="shared" si="3"/>
        <v>0</v>
      </c>
      <c r="E20" s="331">
        <f t="shared" si="3"/>
        <v>120185.96</v>
      </c>
      <c r="F20" s="331">
        <f t="shared" si="3"/>
        <v>628013.96</v>
      </c>
      <c r="G20" s="331">
        <f t="shared" si="3"/>
        <v>424844.17000000004</v>
      </c>
      <c r="H20" s="331">
        <f t="shared" si="3"/>
        <v>421717.80000000005</v>
      </c>
      <c r="I20" s="331">
        <f>(VLOOKUP(9,newrates,$A20+2)*I$10*waf)</f>
        <v>0</v>
      </c>
      <c r="J20" s="331">
        <f>(VLOOKUP(10,newrates,$A20+2)*J$10*waf)</f>
        <v>0</v>
      </c>
      <c r="K20" s="331">
        <f>(VLOOKUP(11,newrates,$A20+2)*K$10*waf)</f>
        <v>131768.15</v>
      </c>
      <c r="L20" s="331">
        <f>(VLOOKUP(12,newrates,$A20+2)*L$10*waf)</f>
        <v>43292.6</v>
      </c>
      <c r="M20" s="467"/>
      <c r="N20" s="331">
        <f>(VLOOKUP(7,newrates,$A20+2)*N$10*waf)</f>
        <v>209972.78</v>
      </c>
      <c r="O20" s="331">
        <f>(VLOOKUP(8,newrates,$A20+2)*O$10*waf)</f>
        <v>0</v>
      </c>
      <c r="P20" s="331">
        <f>(VLOOKUP((VALUE(P$7)*-1)+$C$27-1, newrates, A20+2, FALSE))*P$10*waf</f>
        <v>517901.75</v>
      </c>
      <c r="Q20" s="467"/>
      <c r="R20" s="331">
        <f t="shared" si="1"/>
        <v>2520126.77</v>
      </c>
      <c r="S20" s="451"/>
      <c r="T20" s="452"/>
      <c r="U20" s="451"/>
      <c r="V20" s="453"/>
      <c r="W20" s="451"/>
      <c r="X20" s="451"/>
      <c r="Y20" s="451"/>
      <c r="Z20" s="451"/>
      <c r="AA20" s="451"/>
      <c r="AB20" s="451"/>
      <c r="AC20" s="451"/>
      <c r="AD20" s="451"/>
    </row>
    <row r="21" spans="1:30" ht="18" customHeight="1">
      <c r="A21" s="328">
        <v>10</v>
      </c>
      <c r="B21" s="328" t="s">
        <v>199</v>
      </c>
      <c r="C21" s="331">
        <f t="shared" ref="C21:H22" si="4">(VLOOKUP(VALUE(C$7)/-1,newrates,$A21+2)*C$10)</f>
        <v>22908.706600482819</v>
      </c>
      <c r="D21" s="331">
        <f t="shared" si="4"/>
        <v>0</v>
      </c>
      <c r="E21" s="331">
        <f t="shared" si="4"/>
        <v>122752.4671988136</v>
      </c>
      <c r="F21" s="331">
        <f t="shared" si="4"/>
        <v>641456.39881351893</v>
      </c>
      <c r="G21" s="331">
        <f t="shared" si="4"/>
        <v>395719.05916449049</v>
      </c>
      <c r="H21" s="331">
        <f t="shared" si="4"/>
        <v>377267.53467967786</v>
      </c>
      <c r="I21" s="331">
        <f>(VLOOKUP(9,newrates,$A21+2)*I$10)</f>
        <v>0</v>
      </c>
      <c r="J21" s="331">
        <f>(VLOOKUP(10,newrates,$A21+2)*J$10)</f>
        <v>0</v>
      </c>
      <c r="K21" s="331">
        <f>(VLOOKUP(11,newrates,$A21+2)*K$10)</f>
        <v>117966.81203398116</v>
      </c>
      <c r="L21" s="331">
        <f>(VLOOKUP(12,newrates,$A21+2)*L$10)</f>
        <v>32021.166933328233</v>
      </c>
      <c r="M21" s="467"/>
      <c r="N21" s="331">
        <f>(VLOOKUP(7,newrates,$A21+2)*N$10)</f>
        <v>243381.00828554781</v>
      </c>
      <c r="O21" s="331">
        <f>(VLOOKUP(8,newrates,$A21+2)*O$10)</f>
        <v>0</v>
      </c>
      <c r="P21" s="331">
        <f>(VLOOKUP((VALUE(P$7)*-1)+$C$27-1, newrates, A21+2, FALSE))*P$10</f>
        <v>340402.5</v>
      </c>
      <c r="Q21" s="467"/>
      <c r="R21" s="331">
        <f t="shared" si="1"/>
        <v>2293875.653709841</v>
      </c>
      <c r="S21" s="451"/>
      <c r="T21" s="452"/>
      <c r="U21" s="451"/>
      <c r="V21" s="453"/>
      <c r="W21" s="451"/>
      <c r="X21" s="451"/>
      <c r="Y21" s="451"/>
      <c r="Z21" s="451"/>
      <c r="AA21" s="451"/>
      <c r="AB21" s="451"/>
      <c r="AC21" s="451"/>
      <c r="AD21" s="451"/>
    </row>
    <row r="22" spans="1:30" ht="18" customHeight="1">
      <c r="A22" s="328">
        <v>11</v>
      </c>
      <c r="B22" s="328" t="s">
        <v>200</v>
      </c>
      <c r="C22" s="331">
        <f t="shared" si="4"/>
        <v>0</v>
      </c>
      <c r="D22" s="331">
        <f t="shared" si="4"/>
        <v>0</v>
      </c>
      <c r="E22" s="331">
        <f t="shared" si="4"/>
        <v>0</v>
      </c>
      <c r="F22" s="331">
        <f t="shared" si="4"/>
        <v>0</v>
      </c>
      <c r="G22" s="331">
        <f t="shared" si="4"/>
        <v>0</v>
      </c>
      <c r="H22" s="331">
        <f t="shared" si="4"/>
        <v>0</v>
      </c>
      <c r="I22" s="331">
        <f>(VLOOKUP(9,newrates,$A22+2)*I$10)</f>
        <v>0</v>
      </c>
      <c r="J22" s="331">
        <f>(VLOOKUP(10,newrates,$A22+2)*J$10)</f>
        <v>0</v>
      </c>
      <c r="K22" s="331">
        <f>(VLOOKUP(11,newrates,$A22+2)*K$10)</f>
        <v>0</v>
      </c>
      <c r="L22" s="331">
        <f>(VLOOKUP(12,newrates,$A22+2)*L$10)</f>
        <v>0</v>
      </c>
      <c r="M22" s="467"/>
      <c r="N22" s="331">
        <f>(VLOOKUP(7,newrates,$A22+2)*N$10)</f>
        <v>0</v>
      </c>
      <c r="O22" s="331">
        <f>(VLOOKUP(8,newrates,$A22+2)*O$10)</f>
        <v>458230.22000000003</v>
      </c>
      <c r="P22" s="331">
        <f>(VLOOKUP((VALUE(P$7)*-1)+$C$27-1, newrates, A22+2, FALSE))*P$10</f>
        <v>0</v>
      </c>
      <c r="Q22" s="467"/>
      <c r="R22" s="331">
        <f t="shared" si="1"/>
        <v>458230.22000000003</v>
      </c>
      <c r="S22" s="451"/>
      <c r="T22" s="452"/>
      <c r="U22" s="451"/>
      <c r="V22" s="453"/>
      <c r="W22" s="451"/>
      <c r="X22" s="451"/>
      <c r="Y22" s="451"/>
      <c r="Z22" s="451"/>
      <c r="AA22" s="451"/>
      <c r="AB22" s="451"/>
      <c r="AC22" s="451"/>
      <c r="AD22" s="451"/>
    </row>
    <row r="23" spans="1:30" ht="13.5" customHeight="1">
      <c r="A23" s="332"/>
      <c r="B23" s="332"/>
      <c r="C23" s="333"/>
      <c r="D23" s="333"/>
      <c r="E23" s="333"/>
      <c r="F23" s="333"/>
      <c r="G23" s="333"/>
      <c r="H23" s="333"/>
      <c r="I23" s="333"/>
      <c r="J23" s="333"/>
      <c r="K23" s="333"/>
      <c r="L23" s="333"/>
      <c r="M23" s="468"/>
      <c r="N23" s="333"/>
      <c r="O23" s="333"/>
      <c r="P23" s="333"/>
      <c r="Q23" s="468"/>
      <c r="R23" s="334"/>
      <c r="S23" s="454"/>
      <c r="T23" s="454"/>
      <c r="U23" s="454"/>
      <c r="V23" s="453"/>
      <c r="W23" s="454"/>
      <c r="X23" s="454"/>
      <c r="Y23" s="454"/>
      <c r="Z23" s="454"/>
      <c r="AA23" s="454"/>
      <c r="AB23" s="454"/>
      <c r="AC23" s="454"/>
      <c r="AD23" s="454"/>
    </row>
    <row r="24" spans="1:30">
      <c r="A24" s="335">
        <v>12</v>
      </c>
      <c r="B24" s="335" t="s">
        <v>1132</v>
      </c>
      <c r="C24" s="336">
        <f t="shared" ref="C24:L24" si="5">SUM(C12:C22)</f>
        <v>197293.5466004828</v>
      </c>
      <c r="D24" s="336">
        <f t="shared" si="5"/>
        <v>0</v>
      </c>
      <c r="E24" s="336">
        <f t="shared" si="5"/>
        <v>1057201.9271988135</v>
      </c>
      <c r="F24" s="336">
        <f t="shared" si="5"/>
        <v>5556998.6388135189</v>
      </c>
      <c r="G24" s="336">
        <f t="shared" si="5"/>
        <v>3302710.8591644904</v>
      </c>
      <c r="H24" s="336">
        <f t="shared" si="5"/>
        <v>4186587.4946796778</v>
      </c>
      <c r="I24" s="336">
        <f>SUM(I12:I22)</f>
        <v>0</v>
      </c>
      <c r="J24" s="336">
        <f>SUM(J12:J22)</f>
        <v>0</v>
      </c>
      <c r="K24" s="336">
        <f>SUM(K12:K22)</f>
        <v>1086953.3620339811</v>
      </c>
      <c r="L24" s="336">
        <f t="shared" si="5"/>
        <v>348837.66693332826</v>
      </c>
      <c r="M24" s="469"/>
      <c r="N24" s="336">
        <f t="shared" ref="N24:P24" si="6">SUM(N12:N22)</f>
        <v>1896744.5082855478</v>
      </c>
      <c r="O24" s="336">
        <f t="shared" si="6"/>
        <v>507230.46</v>
      </c>
      <c r="P24" s="336">
        <f t="shared" si="6"/>
        <v>4285432.75</v>
      </c>
      <c r="Q24" s="469"/>
      <c r="R24" s="336">
        <f>IF(A5=293, 90885420, SUM(R12:R23))</f>
        <v>22425991.213709842</v>
      </c>
      <c r="S24" s="454"/>
      <c r="V24" s="453"/>
    </row>
    <row r="25" spans="1:30" ht="6" customHeight="1">
      <c r="A25" s="328"/>
      <c r="B25" s="328"/>
      <c r="C25" s="336"/>
      <c r="D25" s="336"/>
      <c r="E25" s="336"/>
      <c r="F25" s="336"/>
      <c r="G25" s="336"/>
      <c r="H25" s="336"/>
      <c r="I25" s="336"/>
      <c r="J25" s="336"/>
      <c r="K25" s="336"/>
      <c r="L25" s="336"/>
      <c r="M25" s="336"/>
      <c r="N25" s="336"/>
      <c r="O25" s="336"/>
      <c r="P25" s="336"/>
      <c r="Q25" s="450"/>
      <c r="R25" s="337"/>
      <c r="V25" s="453"/>
    </row>
    <row r="26" spans="1:30" ht="16.149999999999999" customHeight="1">
      <c r="A26" s="328">
        <v>13</v>
      </c>
      <c r="B26" s="328" t="s">
        <v>201</v>
      </c>
      <c r="C26" s="455">
        <f>VLOOKUP(lea,dist915,18)</f>
        <v>1</v>
      </c>
      <c r="D26" s="338"/>
      <c r="E26" s="339"/>
      <c r="F26" s="339"/>
      <c r="G26" s="339"/>
      <c r="H26" s="339"/>
      <c r="I26" s="339"/>
      <c r="J26" s="339"/>
      <c r="K26" s="339"/>
      <c r="L26" s="339"/>
      <c r="M26" s="339"/>
      <c r="N26" s="597" t="s">
        <v>2138</v>
      </c>
      <c r="O26" s="598"/>
      <c r="P26" s="598"/>
      <c r="Q26" s="461"/>
      <c r="R26" s="462">
        <f>IF(A5&lt;&gt;999,R24/R10," ")</f>
        <v>11275.008151689211</v>
      </c>
      <c r="V26" s="453"/>
    </row>
    <row r="27" spans="1:30" ht="16.149999999999999" customHeight="1">
      <c r="A27" s="328">
        <v>14</v>
      </c>
      <c r="B27" s="328" t="s">
        <v>2185</v>
      </c>
      <c r="C27" s="456">
        <f>VLOOKUP(lea,dist915,19)</f>
        <v>10</v>
      </c>
      <c r="V27" s="453"/>
    </row>
    <row r="28" spans="1:30" s="457" customFormat="1" ht="15">
      <c r="A28" s="330" t="s">
        <v>202</v>
      </c>
      <c r="B28" s="450" t="s">
        <v>2184</v>
      </c>
      <c r="V28" s="453"/>
    </row>
    <row r="29" spans="1:30" s="457" customFormat="1" ht="15">
      <c r="A29" s="458"/>
      <c r="B29" s="450" t="s">
        <v>203</v>
      </c>
      <c r="V29" s="453"/>
    </row>
    <row r="30" spans="1:30" s="457" customFormat="1" ht="15">
      <c r="A30" s="459"/>
      <c r="B30" s="450" t="s">
        <v>204</v>
      </c>
      <c r="V30" s="453"/>
    </row>
    <row r="31" spans="1:30" s="457" customFormat="1" ht="15">
      <c r="A31" s="459"/>
      <c r="B31" s="450" t="s">
        <v>205</v>
      </c>
      <c r="V31" s="453"/>
    </row>
    <row r="32" spans="1:30" s="457" customFormat="1" ht="15">
      <c r="A32" s="459"/>
      <c r="B32" s="460" t="s">
        <v>2191</v>
      </c>
      <c r="V32" s="453"/>
    </row>
    <row r="33" spans="1:16" s="457" customFormat="1" ht="15">
      <c r="A33" s="459"/>
      <c r="B33" s="450" t="s">
        <v>2169</v>
      </c>
    </row>
    <row r="34" spans="1:16" s="457" customFormat="1" ht="15">
      <c r="A34" s="459"/>
      <c r="B34" s="450" t="s">
        <v>206</v>
      </c>
    </row>
    <row r="35" spans="1:16">
      <c r="A35" s="459"/>
      <c r="B35" s="450" t="s">
        <v>207</v>
      </c>
      <c r="C35" s="457"/>
      <c r="D35" s="457"/>
      <c r="E35" s="457"/>
      <c r="F35" s="457"/>
      <c r="G35" s="457"/>
      <c r="H35" s="457"/>
      <c r="I35" s="457"/>
      <c r="J35" s="457"/>
      <c r="K35" s="457"/>
      <c r="L35" s="457"/>
      <c r="M35" s="457"/>
      <c r="N35" s="457"/>
      <c r="O35" s="457"/>
      <c r="P35" s="457"/>
    </row>
    <row r="36" spans="1:16">
      <c r="B36" s="450" t="s">
        <v>181</v>
      </c>
    </row>
    <row r="38" spans="1:16">
      <c r="B38" s="346" t="s">
        <v>107</v>
      </c>
    </row>
  </sheetData>
  <mergeCells count="4">
    <mergeCell ref="C6:L6"/>
    <mergeCell ref="N26:P26"/>
    <mergeCell ref="N6:P6"/>
    <mergeCell ref="D8:E8"/>
  </mergeCells>
  <phoneticPr fontId="10" type="noConversion"/>
  <hyperlinks>
    <hyperlink ref="B38" location="Index!A5" display="Return to Index"/>
    <hyperlink ref="A1" location="Index!A5" display="Return to Index"/>
    <hyperlink ref="R1" location="MoreAboutData!A4" display="More about the data"/>
  </hyperlinks>
  <pageMargins left="0.17" right="0.17" top="0.47" bottom="0.24" header="0.35" footer="0.16"/>
  <pageSetup scale="61" orientation="landscape" r:id="rId1"/>
  <headerFooter alignWithMargins="0"/>
  <ignoredErrors>
    <ignoredError sqref="N17:P17 P21 C17:H17 L17:M17" formula="1"/>
    <ignoredError sqref="C7:H7"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M35"/>
  <sheetViews>
    <sheetView showGridLines="0" topLeftCell="A2" zoomScale="80" zoomScaleNormal="80" workbookViewId="0">
      <selection activeCell="A2" sqref="A2"/>
    </sheetView>
  </sheetViews>
  <sheetFormatPr defaultColWidth="9" defaultRowHeight="12.75" customHeight="1"/>
  <cols>
    <col min="1" max="1" width="10.75" style="433" customWidth="1"/>
    <col min="2" max="2" width="44.5" style="433" bestFit="1" customWidth="1"/>
    <col min="3" max="3" width="14.5" style="433" customWidth="1"/>
    <col min="4" max="4" width="2.875" style="433" customWidth="1"/>
    <col min="5" max="5" width="12.5" style="433" customWidth="1"/>
    <col min="6" max="6" width="62.5" style="433" bestFit="1" customWidth="1"/>
    <col min="7" max="7" width="11" style="433" bestFit="1" customWidth="1"/>
    <col min="8" max="8" width="62.5" style="433" bestFit="1" customWidth="1"/>
    <col min="9" max="9" width="9.875" style="433" bestFit="1" customWidth="1"/>
    <col min="10" max="16384" width="9" style="433"/>
  </cols>
  <sheetData>
    <row r="1" spans="1:13" ht="12.75" hidden="1" customHeight="1">
      <c r="H1" s="340"/>
      <c r="M1" s="433" t="str">
        <f>IF(VLOOKUP(A6,town351,17)&gt;0,"lo","hi")</f>
        <v>hi</v>
      </c>
    </row>
    <row r="2" spans="1:13" ht="12.75" customHeight="1">
      <c r="A2" s="434" t="s">
        <v>107</v>
      </c>
      <c r="G2" s="564" t="s">
        <v>2802</v>
      </c>
    </row>
    <row r="3" spans="1:13" ht="24" customHeight="1">
      <c r="A3" s="436" t="s">
        <v>1049</v>
      </c>
      <c r="E3" s="435"/>
      <c r="F3" s="435"/>
      <c r="G3" s="435"/>
      <c r="H3" s="435"/>
    </row>
    <row r="4" spans="1:13" ht="24" customHeight="1">
      <c r="A4" s="465" t="s">
        <v>559</v>
      </c>
      <c r="E4" s="435"/>
      <c r="F4" s="435"/>
      <c r="G4" s="435"/>
      <c r="H4" s="435"/>
    </row>
    <row r="5" spans="1:13" ht="20.100000000000001" customHeight="1">
      <c r="A5" s="439" t="str">
        <f>parameters!B1&amp;" Chapter 70 Determination of City and Town Total Required Contribution"</f>
        <v>FY18 Chapter 70 Determination of City and Town Total Required Contribution</v>
      </c>
      <c r="E5" s="438"/>
      <c r="F5" s="438"/>
      <c r="G5" s="438"/>
      <c r="H5" s="438"/>
    </row>
    <row r="6" spans="1:13" ht="28.15" customHeight="1">
      <c r="A6" s="514">
        <f>lea</f>
        <v>316</v>
      </c>
      <c r="B6" s="444" t="str">
        <f>IF(lea&gt;351, "This lea code does not refer to a city or a town - this table shows municipal data only.",VLOOKUP(A6,aidcalc,2))</f>
        <v xml:space="preserve">Webster                      </v>
      </c>
    </row>
    <row r="7" spans="1:13" ht="12.75" customHeight="1">
      <c r="A7" s="463"/>
      <c r="B7" s="463"/>
      <c r="C7" s="463"/>
      <c r="D7" s="463"/>
      <c r="E7" s="463"/>
      <c r="F7" s="463"/>
      <c r="G7" s="463"/>
      <c r="H7" s="463"/>
    </row>
    <row r="8" spans="1:13" ht="18.600000000000001" customHeight="1">
      <c r="A8" s="476" t="s">
        <v>520</v>
      </c>
      <c r="B8" s="477"/>
      <c r="C8" s="477"/>
      <c r="D8" s="477"/>
      <c r="E8" s="478" t="str">
        <f>parameters!B1&amp;" Increments Toward Goal"</f>
        <v>FY18 Increments Toward Goal</v>
      </c>
      <c r="F8" s="477"/>
      <c r="G8" s="477"/>
    </row>
    <row r="9" spans="1:13" ht="12.75" customHeight="1">
      <c r="A9" s="479"/>
      <c r="B9" s="477"/>
      <c r="C9" s="477"/>
      <c r="D9" s="477"/>
      <c r="E9" s="477"/>
      <c r="F9" s="477"/>
      <c r="G9" s="477"/>
    </row>
    <row r="10" spans="1:13" s="520" customFormat="1" ht="19.149999999999999" customHeight="1">
      <c r="A10" s="569" t="s">
        <v>523</v>
      </c>
      <c r="B10" s="573" t="s">
        <v>2207</v>
      </c>
      <c r="C10" s="571">
        <f>IF(A6&lt;352,VLOOKUP($A$6,town351,3)," ")</f>
        <v>1489002500</v>
      </c>
      <c r="D10" s="571"/>
      <c r="E10" s="569" t="s">
        <v>535</v>
      </c>
      <c r="F10" s="570" t="s">
        <v>2210</v>
      </c>
      <c r="G10" s="571">
        <f>IF(A6&lt;352,VLOOKUP($A$6,town351,13)," ")</f>
        <v>11291358</v>
      </c>
    </row>
    <row r="11" spans="1:13" s="520" customFormat="1" ht="19.149999999999999" customHeight="1">
      <c r="A11" s="569" t="s">
        <v>524</v>
      </c>
      <c r="B11" s="573" t="s">
        <v>214</v>
      </c>
      <c r="C11" s="574">
        <f>IF(A6&lt;352,'Townwide Contributions'!D5," ")</f>
        <v>3.5495896839999297E-3</v>
      </c>
      <c r="D11" s="574"/>
      <c r="E11" s="569" t="s">
        <v>536</v>
      </c>
      <c r="F11" s="570" t="s">
        <v>895</v>
      </c>
      <c r="G11" s="568">
        <f>IF(A$6&lt;352,VLOOKUP($A$6,town351,14)," ")</f>
        <v>3.1399999999999997E-2</v>
      </c>
    </row>
    <row r="12" spans="1:13" s="520" customFormat="1" ht="19.149999999999999" customHeight="1">
      <c r="A12" s="569" t="s">
        <v>525</v>
      </c>
      <c r="B12" s="567" t="s">
        <v>521</v>
      </c>
      <c r="C12" s="571">
        <f>IF(A6&lt;352,VLOOKUP($A$6,town351,4)," ")</f>
        <v>5285347.9134501051</v>
      </c>
      <c r="D12" s="571"/>
      <c r="E12" s="569" t="s">
        <v>537</v>
      </c>
      <c r="F12" s="570" t="str">
        <f>parameters!B1&amp;" preliminary contribution (13 x 14)"</f>
        <v>FY18 preliminary contribution (13 x 14)</v>
      </c>
      <c r="G12" s="571">
        <f>IF(A$6&lt;352,VLOOKUP($A$6,town351,15)," ")</f>
        <v>11645907</v>
      </c>
    </row>
    <row r="13" spans="1:13" s="520" customFormat="1" ht="19.149999999999999" customHeight="1">
      <c r="A13" s="569"/>
      <c r="B13" s="567"/>
      <c r="C13" s="571"/>
      <c r="D13" s="571"/>
      <c r="E13" s="569" t="s">
        <v>538</v>
      </c>
      <c r="F13" s="570" t="s">
        <v>860</v>
      </c>
      <c r="G13" s="568">
        <f>IF(A$6&lt;352,VLOOKUP($A$6,town351,16)/100," ")</f>
        <v>0.46836401989755727</v>
      </c>
    </row>
    <row r="14" spans="1:13" s="520" customFormat="1" ht="19.149999999999999" customHeight="1">
      <c r="A14" s="569" t="s">
        <v>526</v>
      </c>
      <c r="B14" s="567" t="s">
        <v>2208</v>
      </c>
      <c r="C14" s="571">
        <f>IF(A6&lt;352,VLOOKUP($A$6,town351,5)," ")</f>
        <v>415918000</v>
      </c>
      <c r="D14" s="571"/>
      <c r="E14" s="575"/>
      <c r="F14" s="575"/>
      <c r="G14" s="575"/>
    </row>
    <row r="15" spans="1:13" s="520" customFormat="1" ht="19.149999999999999" customHeight="1">
      <c r="A15" s="569" t="s">
        <v>527</v>
      </c>
      <c r="B15" s="567" t="s">
        <v>213</v>
      </c>
      <c r="C15" s="576">
        <f>IF(A6&lt;352,'Townwide Contributions'!F5," ")</f>
        <v>1.4247902676067894E-2</v>
      </c>
      <c r="D15" s="576"/>
      <c r="E15" s="577" t="s">
        <v>875</v>
      </c>
      <c r="F15" s="575"/>
      <c r="G15" s="575"/>
    </row>
    <row r="16" spans="1:13" s="520" customFormat="1" ht="19.149999999999999" customHeight="1">
      <c r="A16" s="569" t="s">
        <v>528</v>
      </c>
      <c r="B16" s="567" t="s">
        <v>522</v>
      </c>
      <c r="C16" s="571">
        <f>IF(A6&lt;352,VLOOKUP($A$6,town351,6)," ")</f>
        <v>5925959.185224806</v>
      </c>
      <c r="D16" s="571"/>
      <c r="E16" s="569" t="s">
        <v>539</v>
      </c>
      <c r="F16" s="570" t="s">
        <v>876</v>
      </c>
      <c r="G16" s="571">
        <f>IF(AND(A$6&lt;352,M$1="hi"),VLOOKUP($A$6,town351,20)," ")</f>
        <v>434600</v>
      </c>
    </row>
    <row r="17" spans="1:8" s="520" customFormat="1" ht="19.149999999999999" customHeight="1">
      <c r="A17" s="569"/>
      <c r="B17" s="567"/>
      <c r="C17" s="571"/>
      <c r="D17" s="571"/>
      <c r="E17" s="569" t="s">
        <v>546</v>
      </c>
      <c r="F17" s="570" t="s">
        <v>2251</v>
      </c>
      <c r="G17" s="571">
        <f>IF(AND(A$6&lt;352,M$1="hi"),VLOOKUP($A$6,town351,21)," ")</f>
        <v>369410</v>
      </c>
    </row>
    <row r="18" spans="1:8" s="520" customFormat="1" ht="19.149999999999999" customHeight="1">
      <c r="A18" s="566" t="s">
        <v>529</v>
      </c>
      <c r="B18" s="567" t="s">
        <v>223</v>
      </c>
      <c r="C18" s="571">
        <f>IF(A6&lt;352,VLOOKUP($A$6,town351,7)," ")</f>
        <v>11211307</v>
      </c>
      <c r="D18" s="571"/>
      <c r="E18" s="569" t="s">
        <v>106</v>
      </c>
      <c r="F18" s="570" t="str">
        <f>parameters!B1&amp;" required local contribution (15 - 18), capped at 90% of foundation"</f>
        <v>FY18 required local contribution (15 - 18), capped at 90% of foundation</v>
      </c>
      <c r="G18" s="571">
        <f>IF(AND(A$6&lt;352,M$1="hi"),VLOOKUP($A$6,town351,22)," ")</f>
        <v>11276497</v>
      </c>
    </row>
    <row r="19" spans="1:8" s="520" customFormat="1" ht="19.149999999999999" customHeight="1">
      <c r="A19" s="567"/>
      <c r="B19" s="567"/>
      <c r="C19" s="571"/>
      <c r="D19" s="571"/>
      <c r="E19" s="569" t="s">
        <v>873</v>
      </c>
      <c r="F19" s="570" t="s">
        <v>874</v>
      </c>
      <c r="G19" s="578">
        <f>IF(AND(A$6&lt;352,M$1="hi"),VLOOKUP($A$6,town351,23)," ")</f>
        <v>45.350743959081463</v>
      </c>
    </row>
    <row r="20" spans="1:8" s="520" customFormat="1" ht="19.149999999999999" customHeight="1">
      <c r="A20" s="566" t="s">
        <v>530</v>
      </c>
      <c r="B20" s="567" t="s">
        <v>2209</v>
      </c>
      <c r="C20" s="571">
        <f>IF(A6&lt;352,VLOOKUP($A$6,town351,8)," ")</f>
        <v>24865076.105861519</v>
      </c>
      <c r="D20" s="571"/>
      <c r="E20" s="575"/>
      <c r="F20" s="575"/>
      <c r="G20" s="575"/>
    </row>
    <row r="21" spans="1:8" s="520" customFormat="1" ht="19.149999999999999" customHeight="1">
      <c r="A21" s="566" t="s">
        <v>531</v>
      </c>
      <c r="B21" s="567" t="s">
        <v>731</v>
      </c>
      <c r="C21" s="571">
        <f>IF(A6&lt;352,VLOOKUP($A$6,town351,9)," ")</f>
        <v>20513688</v>
      </c>
      <c r="D21" s="571"/>
      <c r="E21" s="577" t="s">
        <v>861</v>
      </c>
      <c r="F21" s="575"/>
      <c r="G21" s="575"/>
    </row>
    <row r="22" spans="1:8" s="520" customFormat="1" ht="19.149999999999999" customHeight="1">
      <c r="A22" s="566"/>
      <c r="B22" s="567"/>
      <c r="C22" s="571"/>
      <c r="D22" s="571"/>
      <c r="E22" s="569" t="s">
        <v>877</v>
      </c>
      <c r="F22" s="570" t="s">
        <v>862</v>
      </c>
      <c r="G22" s="568" t="str">
        <f>IF(AND(A$6&lt;352,M1="lo"),VLOOKUP($A$6,town351,17)/100," ")</f>
        <v xml:space="preserve"> </v>
      </c>
    </row>
    <row r="23" spans="1:8" s="520" customFormat="1" ht="19.149999999999999" customHeight="1">
      <c r="A23" s="566" t="s">
        <v>532</v>
      </c>
      <c r="B23" s="567" t="s">
        <v>224</v>
      </c>
      <c r="C23" s="571">
        <f>IF(A6&lt;352,VLOOKUP($A$6,town351,10)," ")</f>
        <v>11211307</v>
      </c>
      <c r="D23" s="571"/>
      <c r="E23" s="569" t="s">
        <v>878</v>
      </c>
      <c r="F23" s="570" t="s">
        <v>1204</v>
      </c>
      <c r="G23" s="571" t="str">
        <f>IF(AND(A$6&lt;352,M1="lo"),VLOOKUP($A$6,town351,19)," ")</f>
        <v xml:space="preserve"> </v>
      </c>
    </row>
    <row r="24" spans="1:8" s="520" customFormat="1" ht="19.149999999999999" customHeight="1">
      <c r="A24" s="575"/>
      <c r="B24" s="575"/>
      <c r="C24" s="575"/>
      <c r="D24" s="575"/>
      <c r="E24" s="566"/>
      <c r="F24" s="579" t="s">
        <v>1240</v>
      </c>
      <c r="G24" s="575"/>
    </row>
    <row r="25" spans="1:8" s="520" customFormat="1" ht="19.149999999999999" customHeight="1">
      <c r="A25" s="566" t="s">
        <v>533</v>
      </c>
      <c r="B25" s="567" t="s">
        <v>2789</v>
      </c>
      <c r="C25" s="568">
        <f>IF(A6&lt;352,VLOOKUP(lea,town351,11)/100," ")</f>
        <v>0.45090000000000002</v>
      </c>
      <c r="D25" s="568"/>
      <c r="E25" s="569" t="s">
        <v>554</v>
      </c>
      <c r="F25" s="570" t="s">
        <v>598</v>
      </c>
      <c r="G25" s="571" t="str">
        <f>IF(AND(A$6&lt;352,M1="lo"),VLOOKUP($A$6,town351,26)," ")</f>
        <v xml:space="preserve"> </v>
      </c>
    </row>
    <row r="26" spans="1:8" s="520" customFormat="1" ht="19.149999999999999" customHeight="1">
      <c r="A26" s="566" t="s">
        <v>534</v>
      </c>
      <c r="B26" s="567" t="s">
        <v>2790</v>
      </c>
      <c r="C26" s="568">
        <f>IF(A6&lt;352,VLOOKUP(lea,aidcalc,10)/100," ")</f>
        <v>0.54909999999999992</v>
      </c>
      <c r="D26" s="568"/>
      <c r="E26" s="569" t="s">
        <v>894</v>
      </c>
      <c r="F26" s="570" t="str">
        <f>parameters!B1&amp;" required local contribution (15 + 22)"</f>
        <v>FY18 required local contribution (15 + 22)</v>
      </c>
      <c r="G26" s="572" t="str">
        <f>IF(AND(A$6&lt;352,M1="lo"),VLOOKUP($A$6,town351,22)," ")</f>
        <v xml:space="preserve"> </v>
      </c>
    </row>
    <row r="27" spans="1:8" s="520" customFormat="1" ht="19.149999999999999" customHeight="1">
      <c r="A27" s="575"/>
      <c r="B27" s="575"/>
      <c r="C27" s="571"/>
      <c r="D27" s="571"/>
      <c r="E27" s="569" t="s">
        <v>558</v>
      </c>
      <c r="F27" s="570" t="s">
        <v>717</v>
      </c>
      <c r="G27" s="568" t="str">
        <f>IF(AND(A$6&lt;352,M1="lo"),VLOOKUP($A$6,town351,23)/100," ")</f>
        <v xml:space="preserve"> </v>
      </c>
    </row>
    <row r="28" spans="1:8" ht="14.25" customHeight="1">
      <c r="A28" s="481"/>
      <c r="B28" s="481"/>
      <c r="C28" s="480"/>
      <c r="D28" s="480"/>
      <c r="E28" s="480"/>
      <c r="F28" s="481"/>
      <c r="G28" s="481"/>
    </row>
    <row r="29" spans="1:8" ht="20.25" customHeight="1">
      <c r="A29" s="341"/>
      <c r="B29" s="440" t="s">
        <v>540</v>
      </c>
      <c r="C29" s="383"/>
      <c r="D29" s="383"/>
      <c r="E29" s="441"/>
    </row>
    <row r="30" spans="1:8" ht="14.25" customHeight="1">
      <c r="A30" s="341"/>
      <c r="B30" s="440"/>
      <c r="C30" s="383"/>
      <c r="D30" s="383"/>
      <c r="E30" s="441"/>
      <c r="H30" s="383"/>
    </row>
    <row r="31" spans="1:8" ht="12.75" customHeight="1">
      <c r="A31" s="341"/>
      <c r="B31" s="345"/>
      <c r="C31" s="383"/>
      <c r="D31" s="383"/>
      <c r="E31" s="442"/>
    </row>
    <row r="32" spans="1:8" ht="12.75" customHeight="1">
      <c r="A32" s="341"/>
      <c r="B32" s="341"/>
      <c r="C32" s="442"/>
      <c r="D32" s="442"/>
      <c r="E32" s="442"/>
    </row>
    <row r="34" spans="2:2" ht="12.75" customHeight="1">
      <c r="B34" s="345"/>
    </row>
    <row r="35" spans="2:2" ht="12.75" customHeight="1">
      <c r="B35" s="345"/>
    </row>
  </sheetData>
  <phoneticPr fontId="0" type="noConversion"/>
  <hyperlinks>
    <hyperlink ref="A2" location="Index!A5" display="Return to Index"/>
    <hyperlink ref="B29" location="'townwide contributions'!A1" display="See a listing of all 351 communities"/>
    <hyperlink ref="G2" location="MoreAboutData!A4" display="More about the data"/>
  </hyperlinks>
  <printOptions horizontalCentered="1"/>
  <pageMargins left="0.5" right="0.5" top="1" bottom="1" header="0.5" footer="0.5"/>
  <pageSetup scale="82"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1"/>
  <sheetViews>
    <sheetView showGridLines="0" topLeftCell="D1" zoomScale="75" zoomScaleNormal="75" workbookViewId="0">
      <selection activeCell="D1" sqref="D1"/>
    </sheetView>
  </sheetViews>
  <sheetFormatPr defaultColWidth="9" defaultRowHeight="15.75" customHeight="1"/>
  <cols>
    <col min="1" max="1" width="9.375" style="49" hidden="1" customWidth="1"/>
    <col min="2" max="3" width="7.375" style="49" hidden="1" customWidth="1"/>
    <col min="4" max="4" width="6.125" style="49" customWidth="1"/>
    <col min="5" max="5" width="60" style="49" customWidth="1"/>
    <col min="6" max="7" width="16.625" style="49" customWidth="1"/>
    <col min="8" max="8" width="13.875" style="49" customWidth="1"/>
    <col min="9" max="9" width="15" style="49" customWidth="1"/>
    <col min="10" max="10" width="17.25" style="49" customWidth="1"/>
    <col min="11" max="11" width="9" style="49"/>
    <col min="12" max="12" width="10.25" style="49" bestFit="1" customWidth="1"/>
    <col min="13" max="16384" width="9" style="49"/>
  </cols>
  <sheetData>
    <row r="1" spans="1:11" ht="15.75" customHeight="1">
      <c r="E1" s="346"/>
      <c r="J1" s="564" t="s">
        <v>2802</v>
      </c>
    </row>
    <row r="2" spans="1:11" ht="15.75" customHeight="1">
      <c r="D2" s="346" t="s">
        <v>107</v>
      </c>
    </row>
    <row r="3" spans="1:11" ht="20.100000000000001" customHeight="1">
      <c r="D3" s="436" t="s">
        <v>1049</v>
      </c>
      <c r="F3" s="470"/>
      <c r="G3" s="470"/>
      <c r="H3" s="470"/>
      <c r="I3" s="470"/>
      <c r="J3" s="470"/>
      <c r="K3" s="347"/>
    </row>
    <row r="4" spans="1:11" ht="20.100000000000001" customHeight="1">
      <c r="D4" s="465" t="s">
        <v>559</v>
      </c>
      <c r="F4" s="470"/>
      <c r="G4" s="470"/>
      <c r="H4" s="470"/>
      <c r="I4" s="470"/>
      <c r="J4" s="470"/>
      <c r="K4" s="347"/>
    </row>
    <row r="5" spans="1:11" ht="23.25">
      <c r="D5" s="439" t="s">
        <v>2791</v>
      </c>
      <c r="F5" s="106"/>
      <c r="G5" s="106"/>
      <c r="H5" s="106"/>
      <c r="I5" s="106"/>
      <c r="J5" s="66"/>
    </row>
    <row r="6" spans="1:11" ht="20.100000000000001" customHeight="1">
      <c r="D6" s="471"/>
      <c r="F6" s="471"/>
      <c r="G6" s="471"/>
      <c r="H6" s="471"/>
      <c r="I6" s="471"/>
      <c r="J6" s="471"/>
      <c r="K6" s="348"/>
    </row>
    <row r="7" spans="1:11" ht="18" hidden="1" customHeight="1">
      <c r="D7" s="424"/>
      <c r="E7" s="347">
        <v>4</v>
      </c>
      <c r="F7" s="347">
        <v>4</v>
      </c>
      <c r="G7" s="347">
        <v>3</v>
      </c>
      <c r="H7" s="347">
        <v>2</v>
      </c>
      <c r="I7" s="347">
        <v>1</v>
      </c>
      <c r="J7" s="424"/>
    </row>
    <row r="8" spans="1:11" ht="15.75" customHeight="1">
      <c r="F8" s="425"/>
      <c r="G8" s="66"/>
      <c r="H8" s="66" t="s">
        <v>87</v>
      </c>
      <c r="I8" s="66" t="s">
        <v>87</v>
      </c>
      <c r="J8" s="66"/>
    </row>
    <row r="9" spans="1:11" ht="42" customHeight="1">
      <c r="A9" s="49">
        <v>5</v>
      </c>
      <c r="D9" s="559">
        <f>lea</f>
        <v>316</v>
      </c>
      <c r="E9" s="350" t="str">
        <f>IF($D$9&gt;351, "", IF(AND($D$9&gt;0, VLOOKUP($D$9*5-E$7, order1755, $A9)&lt;&gt;0), VLOOKUP($D$9*5-E$7, order1755, $A9), ""))</f>
        <v>Webster</v>
      </c>
      <c r="F9" s="351" t="str">
        <f>IF(OR($D$9="", $D$9&gt;351), "", IF(AND($D$9&gt;0, VLOOKUP($D$9*5-F$7, order1755, $A9)&lt;&gt;0), VLOOKUP($D$9*5-F$7, order1755, $A9), ""))</f>
        <v>Webster</v>
      </c>
      <c r="G9" s="351" t="str">
        <f>IF(OR($D$9="", $D$9&gt;351), "", IF(AND($D$9&gt;0, VLOOKUP($D$9*5-G$7, order1755, $A9)&lt;&gt;0), VLOOKUP($D$9*5-G$7, order1755, $A9), ""))</f>
        <v>Southern Worcester</v>
      </c>
      <c r="H9" s="351" t="str">
        <f>IF(OR($D$9="", $D$9&gt;351), "", IF(AND($D$9&gt;0, VLOOKUP($D$9*5-H$7, order1755, $A9)&lt;&gt;0), VLOOKUP($D$9*5-H$7, order1755, $A9), ""))</f>
        <v/>
      </c>
      <c r="I9" s="351" t="str">
        <f>IF(OR($D$9="", $D$9&gt;351), "", IF(AND($D$9&gt;0, VLOOKUP($D$9*5-I$7, order1755, $A9)&lt;&gt;0), VLOOKUP($D$9*5-I$7, order1755, $A9), ""))</f>
        <v/>
      </c>
      <c r="J9" s="352" t="s">
        <v>2137</v>
      </c>
    </row>
    <row r="10" spans="1:11" ht="15.75" customHeight="1">
      <c r="A10" s="49">
        <v>6</v>
      </c>
      <c r="F10" s="353"/>
      <c r="G10" s="353"/>
      <c r="H10" s="353"/>
      <c r="I10" s="353"/>
      <c r="J10" s="354"/>
    </row>
    <row r="11" spans="1:11" ht="19.899999999999999" customHeight="1">
      <c r="E11" s="355" t="s">
        <v>597</v>
      </c>
      <c r="F11" s="353"/>
      <c r="G11" s="353"/>
      <c r="H11" s="353"/>
      <c r="I11" s="353"/>
      <c r="J11" s="354"/>
    </row>
    <row r="12" spans="1:11" ht="15.75" customHeight="1">
      <c r="E12" s="355"/>
      <c r="F12" s="353"/>
      <c r="G12" s="353"/>
      <c r="H12" s="353"/>
      <c r="I12" s="353"/>
      <c r="J12" s="354"/>
    </row>
    <row r="13" spans="1:11" ht="20.45" customHeight="1">
      <c r="A13" s="49">
        <v>15</v>
      </c>
      <c r="D13" s="356">
        <v>1</v>
      </c>
      <c r="E13" s="356" t="str">
        <f>parameters!B2&amp;" foundation enrollment"</f>
        <v>FY17 foundation enrollment</v>
      </c>
      <c r="F13" s="357">
        <f t="shared" ref="F13:I16" si="0">IF(OR($D$9="", $D$9&gt;351), "", IF(AND($D$9&gt;0, VLOOKUP($D$9*5-F$7, order1755, $A13)&lt;&gt;0), VLOOKUP($D$9*5-F$7, order1755, $A13), ""))</f>
        <v>2004</v>
      </c>
      <c r="G13" s="357">
        <f t="shared" si="0"/>
        <v>160</v>
      </c>
      <c r="H13" s="357" t="str">
        <f t="shared" si="0"/>
        <v/>
      </c>
      <c r="I13" s="357" t="str">
        <f t="shared" si="0"/>
        <v/>
      </c>
      <c r="J13" s="358">
        <f>IF(OR($D$9="", $D$9&gt;351), "", VLOOKUP($D$9*5, order1755, $A13))</f>
        <v>2164</v>
      </c>
    </row>
    <row r="14" spans="1:11" ht="20.45" customHeight="1">
      <c r="A14" s="49">
        <v>6</v>
      </c>
      <c r="D14" s="356">
        <v>2</v>
      </c>
      <c r="E14" s="356" t="str">
        <f>parameters!B2&amp;" foundation budget"</f>
        <v>FY17 foundation budget</v>
      </c>
      <c r="F14" s="357">
        <f t="shared" si="0"/>
        <v>22136766.249999996</v>
      </c>
      <c r="G14" s="357">
        <f t="shared" si="0"/>
        <v>2494687</v>
      </c>
      <c r="H14" s="357" t="str">
        <f t="shared" si="0"/>
        <v/>
      </c>
      <c r="I14" s="357" t="str">
        <f t="shared" si="0"/>
        <v/>
      </c>
      <c r="J14" s="358">
        <f>IF(OR($D$9="", $D$9&gt;351), "", VLOOKUP($D$9*5, order1755, $A14))</f>
        <v>24631453.249999996</v>
      </c>
    </row>
    <row r="15" spans="1:11" ht="20.45" customHeight="1">
      <c r="A15" s="359">
        <v>7</v>
      </c>
      <c r="B15" s="360"/>
      <c r="C15" s="360"/>
      <c r="D15" s="361">
        <v>3</v>
      </c>
      <c r="E15" s="362" t="str">
        <f>"Each district's share of municipality's combined "&amp; parameters!B2&amp;" foundation"</f>
        <v>Each district's share of municipality's combined FY17 foundation</v>
      </c>
      <c r="F15" s="363">
        <f t="shared" si="0"/>
        <v>0.89871945537764808</v>
      </c>
      <c r="G15" s="363">
        <f t="shared" si="0"/>
        <v>0.10128054462235192</v>
      </c>
      <c r="H15" s="363" t="str">
        <f t="shared" si="0"/>
        <v/>
      </c>
      <c r="I15" s="363" t="str">
        <f t="shared" si="0"/>
        <v/>
      </c>
      <c r="J15" s="364">
        <f>IF(OR($D$9="", $D$9&gt;351), "", VLOOKUP($D$9*5, order1755, $A15))</f>
        <v>1</v>
      </c>
    </row>
    <row r="16" spans="1:11" ht="20.45" customHeight="1">
      <c r="A16" s="49">
        <v>12</v>
      </c>
      <c r="D16" s="356">
        <v>4</v>
      </c>
      <c r="E16" s="356" t="str">
        <f>parameters!B2&amp;" required contribution"</f>
        <v>FY17 required contribution</v>
      </c>
      <c r="F16" s="357">
        <f t="shared" si="0"/>
        <v>10147763</v>
      </c>
      <c r="G16" s="357">
        <f t="shared" si="0"/>
        <v>1143595</v>
      </c>
      <c r="H16" s="357" t="str">
        <f t="shared" si="0"/>
        <v/>
      </c>
      <c r="I16" s="357" t="str">
        <f t="shared" si="0"/>
        <v/>
      </c>
      <c r="J16" s="358">
        <f>IF(OR($D$9="", $D$9&gt;351), "", VLOOKUP($D$9*5, order1755, $A16))</f>
        <v>11291358</v>
      </c>
    </row>
    <row r="17" spans="1:16" ht="36.75" customHeight="1">
      <c r="D17" s="365"/>
      <c r="E17" s="355" t="str">
        <f>parameters!B1&amp; " apportionment of contribution among community's districts"</f>
        <v>FY18 apportionment of contribution among community's districts</v>
      </c>
      <c r="F17" s="354"/>
      <c r="G17" s="354"/>
      <c r="H17" s="354"/>
      <c r="I17" s="354"/>
      <c r="J17" s="358"/>
    </row>
    <row r="18" spans="1:16" ht="21" customHeight="1">
      <c r="D18" s="361">
        <v>5</v>
      </c>
      <c r="E18" s="356" t="str">
        <f>parameters!B1&amp;" total unapportioned required contribution ('municipal contribution' sheet row 19 or 24)"</f>
        <v>FY18 total unapportioned required contribution ('municipal contribution' sheet row 19 or 24)</v>
      </c>
      <c r="F18" s="354"/>
      <c r="G18" s="354"/>
      <c r="H18" s="354"/>
      <c r="I18" s="354"/>
      <c r="J18" s="358">
        <f>IF(OR($D$9="", $D$9&gt;351), "", VLOOKUP($D$9,town351,22))</f>
        <v>11276497</v>
      </c>
      <c r="L18" s="62"/>
    </row>
    <row r="19" spans="1:16" ht="21" customHeight="1">
      <c r="A19" s="359">
        <v>20</v>
      </c>
      <c r="B19" s="359"/>
      <c r="C19" s="359"/>
      <c r="D19" s="356">
        <v>6</v>
      </c>
      <c r="E19" s="361" t="str">
        <f>parameters!B1&amp;" foundation enrollment"</f>
        <v>FY18 foundation enrollment</v>
      </c>
      <c r="F19" s="366">
        <f t="shared" ref="F19:I22" si="1">IF(OR($D$9="", $D$9&gt;351), "", IF(AND($D$9&gt;0, VLOOKUP($D$9*5-F$7, order1755, $A19)&lt;&gt;0), VLOOKUP($D$9*5-F$7, order1755, $A19), ""))</f>
        <v>1989</v>
      </c>
      <c r="G19" s="366">
        <f t="shared" si="1"/>
        <v>153.99999999555001</v>
      </c>
      <c r="H19" s="366" t="str">
        <f t="shared" si="1"/>
        <v/>
      </c>
      <c r="I19" s="366" t="str">
        <f t="shared" si="1"/>
        <v/>
      </c>
      <c r="J19" s="366">
        <f>IF(OR($D$9="", $D$9&gt;351), "", VLOOKUP($D$9*5, order1755, $A19))</f>
        <v>2142.9999999955498</v>
      </c>
      <c r="K19" s="359"/>
      <c r="L19" s="359"/>
      <c r="M19" s="359"/>
      <c r="N19" s="359"/>
      <c r="O19" s="359"/>
      <c r="P19" s="359"/>
    </row>
    <row r="20" spans="1:16" ht="21" customHeight="1">
      <c r="A20" s="49">
        <v>8</v>
      </c>
      <c r="D20" s="356">
        <v>7</v>
      </c>
      <c r="E20" s="356" t="str">
        <f>parameters!B1&amp;" foundation budget"</f>
        <v>FY18 foundation budget</v>
      </c>
      <c r="F20" s="357">
        <f t="shared" si="1"/>
        <v>22425991.213709842</v>
      </c>
      <c r="G20" s="357">
        <f t="shared" si="1"/>
        <v>2439084.892151677</v>
      </c>
      <c r="H20" s="357" t="str">
        <f t="shared" si="1"/>
        <v/>
      </c>
      <c r="I20" s="357" t="str">
        <f t="shared" si="1"/>
        <v/>
      </c>
      <c r="J20" s="358">
        <f>IF(OR($D$9="", $D$9&gt;351), "", VLOOKUP($D$9*5, order1755, $A20))</f>
        <v>24865076.105861519</v>
      </c>
    </row>
    <row r="21" spans="1:16" ht="21" customHeight="1">
      <c r="A21" s="49">
        <v>9</v>
      </c>
      <c r="D21" s="356">
        <v>8</v>
      </c>
      <c r="E21" s="356" t="str">
        <f>"Each district's share of municipality's total "&amp; parameters!B1&amp;" foundation "</f>
        <v xml:space="preserve">Each district's share of municipality's total FY18 foundation </v>
      </c>
      <c r="F21" s="367">
        <f t="shared" si="1"/>
        <v>0.90190720182124429</v>
      </c>
      <c r="G21" s="367">
        <f t="shared" si="1"/>
        <v>9.8092798178755797E-2</v>
      </c>
      <c r="H21" s="367" t="str">
        <f t="shared" si="1"/>
        <v/>
      </c>
      <c r="I21" s="367" t="str">
        <f t="shared" si="1"/>
        <v/>
      </c>
      <c r="J21" s="367">
        <f>IF(OR($D$9="", $D$9&gt;351), "", VLOOKUP($D$9*5, order1755, $A21))</f>
        <v>1</v>
      </c>
    </row>
    <row r="22" spans="1:16" ht="21" customHeight="1">
      <c r="A22" s="49">
        <v>11</v>
      </c>
      <c r="D22" s="356">
        <v>9</v>
      </c>
      <c r="E22" s="368" t="str">
        <f>parameters!B1&amp;" Required Contribution"</f>
        <v>FY18 Required Contribution</v>
      </c>
      <c r="F22" s="369">
        <f t="shared" si="1"/>
        <v>10170354</v>
      </c>
      <c r="G22" s="369">
        <f t="shared" si="1"/>
        <v>1106143</v>
      </c>
      <c r="H22" s="369" t="str">
        <f t="shared" si="1"/>
        <v/>
      </c>
      <c r="I22" s="369" t="str">
        <f t="shared" si="1"/>
        <v/>
      </c>
      <c r="J22" s="369">
        <f>VLOOKUP($D$9*5, order1755, $A22)</f>
        <v>11276497</v>
      </c>
    </row>
    <row r="23" spans="1:16" ht="21" customHeight="1">
      <c r="D23" s="356"/>
      <c r="E23" s="368"/>
      <c r="F23" s="366"/>
      <c r="G23" s="366"/>
      <c r="H23" s="366"/>
      <c r="I23" s="366"/>
      <c r="J23" s="366"/>
    </row>
    <row r="24" spans="1:16" ht="18" customHeight="1">
      <c r="A24" s="49">
        <v>13</v>
      </c>
      <c r="D24" s="356">
        <v>10</v>
      </c>
      <c r="E24" s="370" t="str">
        <f>"Change "&amp;parameters!B1&amp;" to "&amp;parameters!B2&amp; " (9 - 4)"</f>
        <v>Change FY18 to FY17 (9 - 4)</v>
      </c>
      <c r="F24" s="357">
        <f>IF(OR($D$9="", $D$9&gt;351), "", IF(AND($D$9&gt;0, VLOOKUP($D$9*5-F$7, order1755, $A24)&lt;&gt;0), VLOOKUP($D$9*5-F$7, order1755, $A24), ""))</f>
        <v>22591</v>
      </c>
      <c r="G24" s="357">
        <f>IF(OR($D$9="", $D$9&gt;351), "", IF(AND($D$9&gt;0, VLOOKUP($D$9*5-G$7, order1755, $A24)&lt;&gt;0), VLOOKUP($D$9*5-G$7, order1755, $A24), ""))</f>
        <v>-37452</v>
      </c>
      <c r="H24" s="357" t="str">
        <f>IF(OR($D$9="", $D$9&gt;351), "", IF(AND($D$9&gt;0, VLOOKUP($D$9*5-H$7, order1755, $A24)&lt;&gt;0), VLOOKUP($D$9*5-H$7, order1755, $A24), ""))</f>
        <v/>
      </c>
      <c r="I24" s="357" t="str">
        <f>IF(OR($D$9="", $D$9&gt;351), "", IF(AND($D$9&gt;0, VLOOKUP($D$9*5-I$7, order1755, $A24)&lt;&gt;0), VLOOKUP($D$9*5-I$7, order1755, $A24), ""))</f>
        <v/>
      </c>
      <c r="J24" s="358">
        <f>IF(OR($D$9="", $D$9&gt;351), "", VLOOKUP($D$9*5, order1755, $A24))</f>
        <v>-14861</v>
      </c>
    </row>
    <row r="25" spans="1:16" ht="18" customHeight="1"/>
    <row r="27" spans="1:16" ht="15.75" customHeight="1">
      <c r="D27" s="365"/>
      <c r="E27" s="356"/>
      <c r="F27" s="357"/>
      <c r="G27" s="357"/>
      <c r="H27" s="357"/>
      <c r="I27" s="357"/>
      <c r="J27" s="358"/>
    </row>
    <row r="28" spans="1:16" ht="15.75" customHeight="1">
      <c r="D28" s="365"/>
      <c r="E28" s="356"/>
      <c r="F28" s="357"/>
      <c r="G28" s="357"/>
      <c r="H28" s="357"/>
      <c r="I28" s="357"/>
      <c r="J28" s="358"/>
    </row>
    <row r="29" spans="1:16" ht="15.75" customHeight="1">
      <c r="D29" s="365"/>
      <c r="E29" s="356"/>
      <c r="F29" s="357"/>
      <c r="G29" s="357"/>
      <c r="H29" s="357"/>
      <c r="I29" s="357"/>
      <c r="J29" s="358"/>
      <c r="L29" s="357"/>
    </row>
    <row r="30" spans="1:16" ht="15.75" customHeight="1">
      <c r="D30" s="365"/>
      <c r="E30" s="370"/>
      <c r="F30" s="357"/>
      <c r="G30" s="357"/>
      <c r="H30" s="357"/>
      <c r="I30" s="357"/>
      <c r="J30" s="357"/>
    </row>
    <row r="31" spans="1:16" ht="15.75" customHeight="1">
      <c r="E31" s="370"/>
      <c r="F31" s="357"/>
      <c r="G31" s="357"/>
      <c r="H31" s="357"/>
      <c r="I31" s="357"/>
      <c r="J31" s="357"/>
    </row>
  </sheetData>
  <phoneticPr fontId="0" type="noConversion"/>
  <conditionalFormatting sqref="F30:J31">
    <cfRule type="cellIs" dxfId="2" priority="1" stopIfTrue="1" operator="greaterThan">
      <formula>10000</formula>
    </cfRule>
  </conditionalFormatting>
  <hyperlinks>
    <hyperlink ref="D2" location="Index!A5" display="Return to Index"/>
    <hyperlink ref="J1" location="MoreAboutData!A4" display="More about the data"/>
  </hyperlinks>
  <pageMargins left="0.17" right="0.17" top="0.4" bottom="0.75" header="0.22" footer="0.5"/>
  <pageSetup scale="94" orientation="landscape" r:id="rId1"/>
  <headerFooter alignWithMargins="0"/>
  <ignoredErrors>
    <ignoredError sqref="J22" formula="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autoPageBreaks="0" fitToPage="1"/>
  </sheetPr>
  <dimension ref="A1:AD52"/>
  <sheetViews>
    <sheetView showGridLines="0" tabSelected="1" zoomScale="80" zoomScaleNormal="80" workbookViewId="0"/>
  </sheetViews>
  <sheetFormatPr defaultColWidth="9" defaultRowHeight="12.75" customHeight="1"/>
  <cols>
    <col min="1" max="1" width="5.5" style="371" customWidth="1"/>
    <col min="2" max="2" width="31.5" style="371" customWidth="1"/>
    <col min="3" max="3" width="20.25" style="371" customWidth="1"/>
    <col min="4" max="4" width="3.625" style="371" customWidth="1"/>
    <col min="5" max="5" width="30.25" style="371" customWidth="1"/>
    <col min="6" max="7" width="14.625" style="371" customWidth="1"/>
    <col min="8" max="8" width="13.25" style="371" customWidth="1"/>
    <col min="9" max="9" width="9" style="371" customWidth="1"/>
    <col min="10" max="10" width="3.5" style="322" customWidth="1"/>
    <col min="11" max="11" width="18.625" customWidth="1"/>
    <col min="12" max="12" width="11.25" customWidth="1"/>
    <col min="13" max="13" width="11.5" style="322" bestFit="1" customWidth="1"/>
    <col min="14" max="17" width="9" style="322"/>
    <col min="18" max="18" width="17.75" style="322" customWidth="1"/>
    <col min="19" max="19" width="13.125" style="322" customWidth="1"/>
    <col min="20" max="20" width="13.375" style="322" customWidth="1"/>
    <col min="21" max="21" width="14" style="322" customWidth="1"/>
    <col min="22" max="22" width="12.375" style="322" customWidth="1"/>
    <col min="23" max="23" width="11.625" style="322" customWidth="1"/>
    <col min="24" max="24" width="12.125" style="322" customWidth="1"/>
    <col min="25" max="25" width="12.625" style="322" customWidth="1"/>
    <col min="26" max="26" width="11" style="322" customWidth="1"/>
    <col min="27" max="27" width="12" style="322" customWidth="1"/>
    <col min="28" max="30" width="11.125" style="322" bestFit="1" customWidth="1"/>
    <col min="31" max="16384" width="9" style="322"/>
  </cols>
  <sheetData>
    <row r="1" spans="1:30" ht="10.5" customHeight="1">
      <c r="A1" s="372" t="s">
        <v>107</v>
      </c>
      <c r="C1" s="373"/>
      <c r="I1" s="564" t="s">
        <v>2802</v>
      </c>
    </row>
    <row r="2" spans="1:30" ht="13.5" customHeight="1">
      <c r="B2" s="372"/>
      <c r="C2" s="373"/>
      <c r="I2" s="374">
        <f>parameters!B3</f>
        <v>42933</v>
      </c>
    </row>
    <row r="3" spans="1:30" ht="27.6" customHeight="1">
      <c r="A3" s="510" t="s">
        <v>1049</v>
      </c>
      <c r="B3" s="475"/>
      <c r="C3" s="475"/>
      <c r="D3" s="475"/>
      <c r="E3" s="475"/>
      <c r="F3" s="475"/>
      <c r="G3" s="475"/>
      <c r="H3" s="475"/>
      <c r="I3" s="475"/>
    </row>
    <row r="4" spans="1:30" ht="27.6" customHeight="1">
      <c r="A4" s="509" t="str">
        <f>parameters!B1&amp;" Chapter 70 Summary"</f>
        <v>FY18 Chapter 70 Summary</v>
      </c>
      <c r="B4" s="475"/>
      <c r="C4" s="475"/>
      <c r="D4" s="475"/>
      <c r="E4" s="475"/>
      <c r="F4" s="475"/>
      <c r="G4" s="475"/>
      <c r="H4" s="475"/>
      <c r="I4" s="475"/>
    </row>
    <row r="5" spans="1:30" ht="6.75" hidden="1" customHeight="1">
      <c r="A5" s="375"/>
      <c r="B5" s="375"/>
      <c r="C5" s="375"/>
      <c r="D5" s="375"/>
      <c r="E5" s="375"/>
      <c r="F5" s="375"/>
    </row>
    <row r="6" spans="1:30" ht="18.75">
      <c r="A6" s="545">
        <f>lea</f>
        <v>316</v>
      </c>
      <c r="B6" s="483" t="str">
        <f>PROPER(VLOOKUP(A6,dist915,2))</f>
        <v xml:space="preserve">Webster                      </v>
      </c>
    </row>
    <row r="7" spans="1:30" ht="8.25" customHeight="1">
      <c r="A7" s="376"/>
      <c r="B7" s="376"/>
    </row>
    <row r="8" spans="1:30" s="485" customFormat="1" ht="15.75" customHeight="1">
      <c r="A8" s="482" t="str">
        <f>"Aid Calculation " &amp; parameters!B1</f>
        <v>Aid Calculation FY18</v>
      </c>
      <c r="B8" s="483"/>
      <c r="C8" s="484"/>
      <c r="D8" s="484"/>
      <c r="E8" s="482" t="str">
        <f>"Comparison to "&amp; PYr</f>
        <v>Comparison to FY17</v>
      </c>
      <c r="F8" s="484"/>
      <c r="G8" s="484"/>
      <c r="H8" s="484"/>
      <c r="I8" s="484"/>
      <c r="K8" s="486"/>
      <c r="L8" s="486"/>
    </row>
    <row r="9" spans="1:30" ht="3" customHeight="1"/>
    <row r="10" spans="1:30" ht="15" customHeight="1">
      <c r="A10" s="487"/>
      <c r="B10" s="487"/>
      <c r="C10" s="487"/>
      <c r="D10" s="488"/>
      <c r="E10" s="489"/>
      <c r="F10" s="489" t="str">
        <f>PYr</f>
        <v>FY17</v>
      </c>
      <c r="G10" s="489" t="str">
        <f>CYr</f>
        <v>FY18</v>
      </c>
      <c r="H10" s="489" t="s">
        <v>1152</v>
      </c>
      <c r="I10" s="489" t="s">
        <v>85</v>
      </c>
      <c r="K10" s="489"/>
      <c r="S10" s="378" t="s">
        <v>863</v>
      </c>
      <c r="T10" s="378" t="s">
        <v>864</v>
      </c>
      <c r="U10" s="378" t="s">
        <v>194</v>
      </c>
      <c r="V10" s="378" t="s">
        <v>970</v>
      </c>
      <c r="W10" s="378" t="s">
        <v>966</v>
      </c>
      <c r="X10" s="378" t="s">
        <v>373</v>
      </c>
      <c r="Y10" s="378" t="s">
        <v>867</v>
      </c>
      <c r="Z10" s="378" t="s">
        <v>97</v>
      </c>
      <c r="AA10" s="378" t="s">
        <v>1183</v>
      </c>
      <c r="AB10" s="378" t="s">
        <v>1212</v>
      </c>
      <c r="AC10" s="378" t="s">
        <v>1243</v>
      </c>
      <c r="AD10" s="378" t="s">
        <v>1258</v>
      </c>
    </row>
    <row r="11" spans="1:30" ht="15" customHeight="1">
      <c r="A11" s="490" t="s">
        <v>599</v>
      </c>
      <c r="B11" s="488"/>
      <c r="C11" s="491"/>
      <c r="D11" s="488"/>
      <c r="E11" s="492" t="s">
        <v>1158</v>
      </c>
      <c r="F11" s="493">
        <f>VLOOKUP(A6,aidcalc,17)</f>
        <v>2004</v>
      </c>
      <c r="G11" s="493">
        <f>VLOOKUP(A6,aidcalc,18)</f>
        <v>1989</v>
      </c>
      <c r="H11" s="494">
        <f>G11-F11</f>
        <v>-15</v>
      </c>
      <c r="I11" s="495">
        <f>IF(F11&gt;0, H11/F11, 0)</f>
        <v>-7.4850299401197605E-3</v>
      </c>
      <c r="K11" s="541"/>
      <c r="R11" s="322" t="s">
        <v>92</v>
      </c>
      <c r="S11" s="342">
        <f>VLOOKUP($A$6,disthist,4)</f>
        <v>15041385</v>
      </c>
      <c r="T11" s="342">
        <f>VLOOKUP($A$6,disthist,7)</f>
        <v>16432266.58</v>
      </c>
      <c r="U11" s="342">
        <f>VLOOKUP($A$6,disthist,10)</f>
        <v>17755144.59782863</v>
      </c>
      <c r="V11" s="342">
        <f>VLOOKUP($A$6,disthist,13)</f>
        <v>18280915.910000004</v>
      </c>
      <c r="W11" s="342">
        <f>VLOOKUP($A$6,disthist,17)</f>
        <v>19369599.058311965</v>
      </c>
      <c r="X11" s="342">
        <f>VLOOKUP($A$6,disthist,21)</f>
        <v>19122110.4267</v>
      </c>
      <c r="Y11" s="342">
        <f>VLOOKUP($A$6,disthist,26)</f>
        <v>19221499.239999998</v>
      </c>
      <c r="Z11" s="342">
        <f>VLOOKUP($A$6,disthist,29)</f>
        <v>19780303.73</v>
      </c>
      <c r="AA11" s="342">
        <f>VLOOKUP($A$6,disthist, 32)</f>
        <v>20497532.719999999</v>
      </c>
      <c r="AB11" s="342">
        <f>VLOOKUP($A$6,disthist, 35)</f>
        <v>20776506.130000003</v>
      </c>
      <c r="AC11" s="342">
        <f>VLOOKUP($A$6,disthist, 38)</f>
        <v>21401884.859999996</v>
      </c>
      <c r="AD11" s="342">
        <f>VLOOKUP($A$6, aidcalc, 6)</f>
        <v>22425991.213709842</v>
      </c>
    </row>
    <row r="12" spans="1:30" ht="15" customHeight="1">
      <c r="A12" s="488">
        <v>1</v>
      </c>
      <c r="B12" s="488" t="str">
        <f>"Chapter 70 "&amp;PYr</f>
        <v>Chapter 70 FY17</v>
      </c>
      <c r="C12" s="496">
        <f>VLOOKUP(A6,aidcalc,5)</f>
        <v>11989003</v>
      </c>
      <c r="D12" s="492"/>
      <c r="E12" s="492" t="s">
        <v>86</v>
      </c>
      <c r="F12" s="497">
        <f>VLOOKUP(A6,aidcalc,4)</f>
        <v>22136766.249999996</v>
      </c>
      <c r="G12" s="497">
        <f>VLOOKUP(A6,aidcalc,6)</f>
        <v>22425991.213709842</v>
      </c>
      <c r="H12" s="494">
        <f>G12-F12</f>
        <v>289224.96370984614</v>
      </c>
      <c r="I12" s="495">
        <f>IF(F12&gt;0, H12/F12, 0)</f>
        <v>1.3065366478712589E-2</v>
      </c>
      <c r="J12" s="382"/>
      <c r="K12" s="541"/>
      <c r="L12" s="541"/>
      <c r="R12" s="322" t="s">
        <v>2186</v>
      </c>
      <c r="S12" s="342">
        <f>VLOOKUP($A$6,disthist,5)</f>
        <v>7642041</v>
      </c>
      <c r="T12" s="342">
        <f>VLOOKUP($A$6,disthist,8)</f>
        <v>8269809</v>
      </c>
      <c r="U12" s="342">
        <f>VLOOKUP($A$6,disthist,11)</f>
        <v>8781928</v>
      </c>
      <c r="V12" s="342">
        <f>VLOOKUP($A$6,disthist,14)</f>
        <v>9216413</v>
      </c>
      <c r="W12" s="342">
        <f>VLOOKUP($A$6,disthist,18)</f>
        <v>9323234</v>
      </c>
      <c r="X12" s="342">
        <f>VLOOKUP($A$6,disthist,22)</f>
        <v>9432847</v>
      </c>
      <c r="Y12" s="342">
        <f>VLOOKUP($A$6,disthist,27)</f>
        <v>9741513</v>
      </c>
      <c r="Z12" s="342">
        <f>VLOOKUP($A$6,disthist,30)</f>
        <v>9875242</v>
      </c>
      <c r="AA12" s="342">
        <f>VLOOKUP($A$6,disthist, 33)</f>
        <v>10176657</v>
      </c>
      <c r="AB12" s="342">
        <f>VLOOKUP($A$6,disthist, 36)</f>
        <v>10261282</v>
      </c>
      <c r="AC12" s="342">
        <f>VLOOKUP($A$6,disthist, 39)</f>
        <v>10346397</v>
      </c>
      <c r="AD12" s="342">
        <f>VLOOKUP($A$6, aidcalc, 7)</f>
        <v>10170354</v>
      </c>
    </row>
    <row r="13" spans="1:30" ht="15" customHeight="1">
      <c r="A13" s="487"/>
      <c r="B13" s="487"/>
      <c r="C13" s="487"/>
      <c r="D13" s="492"/>
      <c r="E13" s="492" t="s">
        <v>212</v>
      </c>
      <c r="F13" s="497">
        <f>VLOOKUP(A6,disthist,42)</f>
        <v>10147763</v>
      </c>
      <c r="G13" s="493">
        <f>VLOOKUP($A$6, aidcalc, 7)</f>
        <v>10170354</v>
      </c>
      <c r="H13" s="494">
        <f>G13-F13</f>
        <v>22591</v>
      </c>
      <c r="I13" s="495">
        <f>IF(F13&gt;0, H13/F13, 0)</f>
        <v>2.2262049281206115E-3</v>
      </c>
      <c r="J13" s="382"/>
      <c r="K13" s="541"/>
      <c r="L13" s="541"/>
      <c r="R13" s="343" t="s">
        <v>2187</v>
      </c>
      <c r="S13" s="342">
        <f>VLOOKUP($A$6,disthist,6)</f>
        <v>7399344</v>
      </c>
      <c r="T13" s="342">
        <f>VLOOKUP($A$6,disthist,9)</f>
        <v>8162458</v>
      </c>
      <c r="U13" s="342">
        <f>VLOOKUP($A$6,disthist,12)</f>
        <v>8973217</v>
      </c>
      <c r="V13" s="342">
        <f>VLOOKUP($A$6,disthist,15)+VLOOKUP($A$6,disthist,16)</f>
        <v>9199351</v>
      </c>
      <c r="W13" s="342">
        <f>VLOOKUP($A$6,disthist,19)+VLOOKUP($A$6,disthist,20)</f>
        <v>10046365</v>
      </c>
      <c r="X13" s="342">
        <f>VLOOKUP($A$6,disthist,23)+VLOOKUP($A$6,disthist,24)+VLOOKUP($A$6,disthist,25)</f>
        <v>10096065</v>
      </c>
      <c r="Y13" s="383">
        <f>VLOOKUP($A$6,disthist,28)</f>
        <v>9554369</v>
      </c>
      <c r="Z13" s="383">
        <f>VLOOKUP($A$6,disthist,31)</f>
        <v>9905062</v>
      </c>
      <c r="AA13" s="383">
        <f>VLOOKUP($A$6,disthist,34)</f>
        <v>10320876</v>
      </c>
      <c r="AB13" s="383">
        <f>VLOOKUP($A$6,disthist,37)</f>
        <v>10515224</v>
      </c>
      <c r="AC13" s="383">
        <f>VLOOKUP($A$6,disthist,40)</f>
        <v>11055488</v>
      </c>
      <c r="AD13" s="342">
        <f>VLOOKUP($A$6, aidcalc, 35)</f>
        <v>0</v>
      </c>
    </row>
    <row r="14" spans="1:30" ht="15" customHeight="1">
      <c r="A14" s="490" t="s">
        <v>53</v>
      </c>
      <c r="B14" s="488"/>
      <c r="C14" s="488"/>
      <c r="D14" s="492"/>
      <c r="E14" s="488" t="s">
        <v>602</v>
      </c>
      <c r="F14" s="496">
        <f>IF(A6=999, parameters!H6, VLOOKUP($A$6, disthist,43))</f>
        <v>11989003</v>
      </c>
      <c r="G14" s="496">
        <f>IF(A6=999, parameters!H20, VLOOKUP($A$6, aidcalc, 36))</f>
        <v>12255637</v>
      </c>
      <c r="H14" s="494">
        <f>G14-F14</f>
        <v>266634</v>
      </c>
      <c r="I14" s="495">
        <f>IF(F14&gt;0, H14/F14, 0)</f>
        <v>2.2239880997610893E-2</v>
      </c>
      <c r="K14" s="541"/>
      <c r="L14" s="541"/>
      <c r="M14" s="542"/>
      <c r="N14" s="542"/>
    </row>
    <row r="15" spans="1:30" ht="15" customHeight="1">
      <c r="A15" s="488">
        <v>2</v>
      </c>
      <c r="B15" s="488" t="str">
        <f>"Foundation budget "&amp;parameters!B1</f>
        <v>Foundation budget FY18</v>
      </c>
      <c r="C15" s="497">
        <f>VLOOKUP($A$6, aidcalc, 6)</f>
        <v>22425991.213709842</v>
      </c>
      <c r="D15" s="492"/>
      <c r="E15" s="488" t="s">
        <v>938</v>
      </c>
      <c r="F15" s="497">
        <f>F13+F14</f>
        <v>22136766</v>
      </c>
      <c r="G15" s="497">
        <f>G13+G14</f>
        <v>22425991</v>
      </c>
      <c r="H15" s="494">
        <f>G15-F15</f>
        <v>289225</v>
      </c>
      <c r="I15" s="495">
        <f>IF(F15&gt;0, H15/F15, 0)</f>
        <v>1.3065368265626515E-2</v>
      </c>
      <c r="K15" s="541"/>
      <c r="L15" s="541"/>
    </row>
    <row r="16" spans="1:30" ht="15" customHeight="1">
      <c r="A16" s="488">
        <v>3</v>
      </c>
      <c r="B16" s="488" t="str">
        <f>"Required district contribution "&amp; CYr</f>
        <v>Required district contribution FY18</v>
      </c>
      <c r="C16" s="493">
        <f>VLOOKUP($A$6, aidcalc, 7)</f>
        <v>10170354</v>
      </c>
      <c r="D16" s="492"/>
      <c r="E16" s="488"/>
      <c r="F16" s="494"/>
      <c r="G16" s="494"/>
      <c r="H16" s="494"/>
      <c r="I16" s="498"/>
    </row>
    <row r="17" spans="1:24" ht="15" customHeight="1">
      <c r="A17" s="488">
        <v>4</v>
      </c>
      <c r="B17" s="488" t="s">
        <v>872</v>
      </c>
      <c r="C17" s="493">
        <f>VLOOKUP($A$6, aidcalc, 8)</f>
        <v>12255637</v>
      </c>
      <c r="D17" s="492"/>
      <c r="E17" s="488" t="s">
        <v>105</v>
      </c>
      <c r="F17" s="495">
        <f>VLOOKUP(A$6,disthist,3)/100</f>
        <v>0.54559999999999997</v>
      </c>
      <c r="G17" s="495">
        <f>VLOOKUP(A6,aidcalc,10)/100</f>
        <v>0.54909999999999992</v>
      </c>
      <c r="H17" s="487"/>
      <c r="I17" s="487"/>
    </row>
    <row r="18" spans="1:24" ht="15" customHeight="1">
      <c r="A18" s="488">
        <v>5</v>
      </c>
      <c r="B18" s="488" t="str">
        <f>"Increase over " &amp; PYr&amp;" (4 - 1)"</f>
        <v>Increase over FY17 (4 - 1)</v>
      </c>
      <c r="C18" s="496">
        <f>VLOOKUP($A$6, aidcalc, 9)</f>
        <v>266634</v>
      </c>
      <c r="D18" s="492"/>
      <c r="E18" s="488" t="s">
        <v>99</v>
      </c>
      <c r="F18" s="499">
        <f>IF(F12&gt;0,F14/F12,IF(F14&gt;0,1,0))</f>
        <v>0.5415878211208921</v>
      </c>
      <c r="G18" s="495">
        <f>IF(G12&gt;0,G14/G12,IF(G14&gt;0,1,0))</f>
        <v>0.54649254444136552</v>
      </c>
      <c r="H18" s="487"/>
      <c r="I18" s="487"/>
      <c r="J18" s="342"/>
    </row>
    <row r="19" spans="1:24" ht="15" customHeight="1">
      <c r="A19" s="500"/>
      <c r="B19" s="500"/>
      <c r="C19" s="501"/>
      <c r="D19" s="492"/>
      <c r="E19" s="488"/>
      <c r="F19" s="499"/>
      <c r="G19" s="495"/>
      <c r="H19" s="487"/>
      <c r="I19" s="487"/>
      <c r="J19" s="342"/>
    </row>
    <row r="20" spans="1:24" ht="15" customHeight="1">
      <c r="A20" s="490" t="s">
        <v>2167</v>
      </c>
      <c r="B20" s="500"/>
      <c r="C20" s="501"/>
      <c r="D20" s="492"/>
      <c r="E20" s="488" t="s">
        <v>1249</v>
      </c>
      <c r="F20" s="499">
        <f>IF(F12&gt;0,F15/F12,IF(F15&gt;0,1,0))</f>
        <v>0.99999998870657103</v>
      </c>
      <c r="G20" s="499">
        <f>IF(G12&gt;0,G15/G12,IF(G15&gt;0,1,0))</f>
        <v>0.99999999047043941</v>
      </c>
      <c r="H20" s="487"/>
      <c r="I20" s="487"/>
      <c r="J20" s="342"/>
    </row>
    <row r="21" spans="1:24" ht="15" customHeight="1">
      <c r="A21" s="488">
        <v>6</v>
      </c>
      <c r="B21" s="488" t="s">
        <v>2821</v>
      </c>
      <c r="C21" s="496">
        <f>VLOOKUP($A$6, aidcalc, 32, FALSE)</f>
        <v>0</v>
      </c>
      <c r="D21" s="492"/>
      <c r="E21" s="487"/>
      <c r="F21" s="487"/>
      <c r="G21" s="487"/>
      <c r="H21" s="487"/>
      <c r="I21" s="487"/>
      <c r="J21" s="342"/>
    </row>
    <row r="22" spans="1:24" ht="15" customHeight="1">
      <c r="A22" s="487"/>
      <c r="B22" s="487"/>
      <c r="C22" s="487"/>
      <c r="D22" s="492"/>
      <c r="E22" s="488"/>
      <c r="F22" s="499"/>
      <c r="G22" s="495"/>
      <c r="H22" s="487"/>
      <c r="I22" s="487"/>
      <c r="J22" s="342"/>
    </row>
    <row r="23" spans="1:24" ht="15" customHeight="1">
      <c r="A23" s="490" t="s">
        <v>54</v>
      </c>
      <c r="B23" s="492"/>
      <c r="C23" s="487"/>
      <c r="D23" s="492"/>
      <c r="E23" s="488"/>
      <c r="F23" s="499"/>
      <c r="G23" s="495"/>
      <c r="H23" s="487"/>
      <c r="I23" s="487"/>
      <c r="J23" s="342"/>
    </row>
    <row r="24" spans="1:24" ht="15" customHeight="1">
      <c r="A24" s="488">
        <v>7</v>
      </c>
      <c r="B24" s="492" t="s">
        <v>104</v>
      </c>
      <c r="C24" s="502">
        <f>VLOOKUP($A$6, aidcalc, 34)</f>
        <v>0</v>
      </c>
      <c r="D24" s="492"/>
      <c r="E24" s="488"/>
      <c r="F24" s="499"/>
      <c r="G24" s="495"/>
      <c r="H24" s="487"/>
      <c r="I24" s="487"/>
      <c r="J24" s="342"/>
    </row>
    <row r="25" spans="1:24" ht="15">
      <c r="A25" s="500"/>
      <c r="B25" s="503"/>
      <c r="C25" s="504"/>
      <c r="D25" s="492"/>
      <c r="E25" s="488"/>
      <c r="F25" s="499"/>
      <c r="G25" s="495"/>
      <c r="H25" s="487"/>
      <c r="I25" s="487"/>
      <c r="J25" s="342"/>
    </row>
    <row r="26" spans="1:24" ht="15" customHeight="1">
      <c r="A26" s="490" t="s">
        <v>2826</v>
      </c>
      <c r="D26" s="492"/>
      <c r="E26" s="506"/>
      <c r="F26" s="506"/>
      <c r="G26" s="506"/>
      <c r="H26" s="506"/>
      <c r="I26" s="506"/>
      <c r="J26" s="342"/>
      <c r="R26" s="343"/>
      <c r="S26" s="342"/>
      <c r="T26" s="342"/>
      <c r="U26" s="342"/>
      <c r="V26" s="342"/>
      <c r="W26" s="342"/>
      <c r="X26" s="342"/>
    </row>
    <row r="27" spans="1:24" ht="15" customHeight="1">
      <c r="A27" s="490" t="s">
        <v>2827</v>
      </c>
      <c r="D27" s="487"/>
      <c r="E27" s="487"/>
      <c r="F27" s="487"/>
      <c r="G27" s="487"/>
      <c r="H27" s="487"/>
      <c r="I27" s="487"/>
    </row>
    <row r="28" spans="1:24" ht="15.75" customHeight="1">
      <c r="A28" s="488">
        <v>8</v>
      </c>
      <c r="B28" s="492" t="s">
        <v>2828</v>
      </c>
      <c r="C28" s="502">
        <f>VLOOKUP($A$6, aidcalc, 35)</f>
        <v>0</v>
      </c>
      <c r="D28" s="384"/>
      <c r="J28" s="342"/>
    </row>
    <row r="30" spans="1:24" ht="15" customHeight="1">
      <c r="A30" s="490" t="str">
        <f>CYr&amp;" Chapter 70 Aid"</f>
        <v>FY18 Chapter 70 Aid</v>
      </c>
      <c r="B30" s="490"/>
      <c r="C30" s="505"/>
    </row>
    <row r="31" spans="1:24" ht="15" customHeight="1">
      <c r="A31" s="490">
        <v>9</v>
      </c>
      <c r="B31" s="507" t="s">
        <v>2170</v>
      </c>
      <c r="C31" s="508">
        <f>VLOOKUP($A$6, aidcalc, 36)</f>
        <v>12255637</v>
      </c>
    </row>
    <row r="32" spans="1:24" ht="15" customHeight="1">
      <c r="A32" s="377"/>
      <c r="B32" s="380"/>
      <c r="C32" s="381"/>
    </row>
    <row r="33" spans="2:10" ht="15" customHeight="1"/>
    <row r="34" spans="2:10" ht="15" customHeight="1"/>
    <row r="35" spans="2:10" ht="15" customHeight="1">
      <c r="E35" s="379"/>
    </row>
    <row r="36" spans="2:10" ht="15" customHeight="1">
      <c r="D36" s="380"/>
      <c r="E36" s="379"/>
    </row>
    <row r="37" spans="2:10" ht="15" customHeight="1">
      <c r="B37" s="262"/>
      <c r="C37" s="262"/>
      <c r="D37" s="380"/>
      <c r="E37" s="379"/>
      <c r="J37" s="344"/>
    </row>
    <row r="38" spans="2:10" ht="15" customHeight="1">
      <c r="D38" s="380"/>
      <c r="E38" s="379"/>
    </row>
    <row r="39" spans="2:10" ht="17.25" customHeight="1">
      <c r="D39" s="380"/>
      <c r="E39" s="379"/>
    </row>
    <row r="40" spans="2:10" ht="15" customHeight="1">
      <c r="B40" s="380"/>
      <c r="D40" s="380"/>
      <c r="E40" s="379"/>
    </row>
    <row r="41" spans="2:10" ht="15" customHeight="1">
      <c r="B41" s="380"/>
      <c r="D41" s="380"/>
      <c r="E41" s="379"/>
    </row>
    <row r="42" spans="2:10" ht="24" customHeight="1">
      <c r="E42" s="379"/>
    </row>
    <row r="43" spans="2:10" ht="16.5" customHeight="1"/>
    <row r="44" spans="2:10" ht="15" customHeight="1"/>
    <row r="45" spans="2:10" ht="15" customHeight="1"/>
    <row r="46" spans="2:10" ht="15" customHeight="1"/>
    <row r="47" spans="2:10" ht="15" customHeight="1"/>
    <row r="48" spans="2:10" ht="18" customHeight="1">
      <c r="D48" s="262"/>
    </row>
    <row r="49" spans="4:4" ht="40.5" customHeight="1">
      <c r="D49" s="262"/>
    </row>
    <row r="50" spans="4:4" ht="15" customHeight="1">
      <c r="D50" s="262"/>
    </row>
    <row r="51" spans="4:4" ht="15" customHeight="1"/>
    <row r="52" spans="4:4" ht="15" customHeight="1"/>
  </sheetData>
  <protectedRanges>
    <protectedRange sqref="A6" name="lea"/>
  </protectedRanges>
  <phoneticPr fontId="0" type="noConversion"/>
  <conditionalFormatting sqref="C17:C21 C32">
    <cfRule type="expression" dxfId="1" priority="5" stopIfTrue="1">
      <formula>"o2=""f"""</formula>
    </cfRule>
  </conditionalFormatting>
  <hyperlinks>
    <hyperlink ref="A1" location="Index!A5" display="Return to Index"/>
    <hyperlink ref="I1" location="MoreAboutData!A4" display="More about the data"/>
  </hyperlinks>
  <printOptions horizontalCentered="1" verticalCentered="1"/>
  <pageMargins left="0.5" right="0.5" top="0.5" bottom="0.5" header="0.17" footer="0.4"/>
  <pageSetup scale="8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dimension ref="A1:V67"/>
  <sheetViews>
    <sheetView showGridLines="0" topLeftCell="D1" zoomScale="70" zoomScaleNormal="70" workbookViewId="0">
      <selection activeCell="D1" sqref="D1"/>
    </sheetView>
  </sheetViews>
  <sheetFormatPr defaultColWidth="9" defaultRowHeight="15.75" customHeight="1"/>
  <cols>
    <col min="1" max="1" width="9" style="433" hidden="1" customWidth="1"/>
    <col min="2" max="2" width="6.625" style="433" hidden="1" customWidth="1"/>
    <col min="3" max="3" width="4.375" style="433" hidden="1" customWidth="1"/>
    <col min="4" max="4" width="4.875" style="433" customWidth="1"/>
    <col min="5" max="5" width="6.125" style="481" customWidth="1"/>
    <col min="6" max="6" width="26.875" style="481" customWidth="1"/>
    <col min="7" max="9" width="10.625" style="481" customWidth="1"/>
    <col min="10" max="11" width="13.125" style="481" customWidth="1"/>
    <col min="12" max="12" width="14.375" style="481" customWidth="1"/>
    <col min="13" max="13" width="13.25" style="481" customWidth="1"/>
    <col min="14" max="15" width="9.875" style="481" customWidth="1"/>
    <col min="16" max="16" width="9" style="481"/>
    <col min="17" max="18" width="13.75" style="481" bestFit="1" customWidth="1"/>
    <col min="19" max="19" width="11.875" style="481" customWidth="1"/>
    <col min="20" max="21" width="10.75" style="549" customWidth="1"/>
    <col min="22" max="22" width="13.5" style="481" bestFit="1" customWidth="1"/>
    <col min="23" max="16384" width="9" style="433"/>
  </cols>
  <sheetData>
    <row r="1" spans="2:22" ht="15.75" customHeight="1">
      <c r="E1" s="433"/>
      <c r="F1" s="434"/>
      <c r="G1" s="433"/>
      <c r="H1" s="433"/>
      <c r="I1" s="433"/>
      <c r="J1" s="433"/>
      <c r="K1" s="433"/>
      <c r="L1" s="433"/>
      <c r="M1" s="433"/>
      <c r="N1" s="433"/>
      <c r="O1" s="433"/>
      <c r="P1" s="433"/>
      <c r="Q1" s="433"/>
      <c r="R1" s="433"/>
      <c r="S1" s="433"/>
      <c r="T1" s="548"/>
      <c r="U1" s="548"/>
      <c r="V1" s="433"/>
    </row>
    <row r="2" spans="2:22" ht="15.75" customHeight="1">
      <c r="E2" s="346" t="s">
        <v>107</v>
      </c>
      <c r="F2" s="433"/>
      <c r="G2" s="433"/>
      <c r="H2" s="433"/>
      <c r="I2" s="433"/>
      <c r="J2" s="433"/>
      <c r="K2" s="433"/>
      <c r="L2" s="433"/>
      <c r="M2" s="433"/>
      <c r="N2" s="433"/>
      <c r="O2" s="433"/>
      <c r="P2" s="433"/>
      <c r="Q2" s="433"/>
      <c r="R2" s="433"/>
      <c r="S2" s="433"/>
      <c r="T2" s="548"/>
      <c r="U2" s="548"/>
      <c r="V2" s="564" t="s">
        <v>2802</v>
      </c>
    </row>
    <row r="3" spans="2:22" ht="15.75" customHeight="1">
      <c r="E3" s="346"/>
      <c r="F3" s="433"/>
      <c r="G3" s="433"/>
      <c r="H3" s="433"/>
      <c r="I3" s="433"/>
      <c r="J3" s="433"/>
      <c r="K3" s="433"/>
      <c r="L3" s="433"/>
      <c r="M3" s="433"/>
      <c r="N3" s="433"/>
      <c r="O3" s="433"/>
      <c r="P3" s="433"/>
      <c r="Q3" s="433"/>
      <c r="R3" s="433"/>
      <c r="S3" s="433"/>
      <c r="T3" s="548"/>
      <c r="U3" s="548"/>
      <c r="V3" s="433"/>
    </row>
    <row r="4" spans="2:22" ht="20.100000000000001" customHeight="1">
      <c r="E4" s="481">
        <f>VLOOKUP(reg_order, regdistricts, 3, FALSE)</f>
        <v>873</v>
      </c>
      <c r="F4" s="433"/>
      <c r="G4" s="433"/>
      <c r="H4" s="433"/>
      <c r="I4" s="433"/>
      <c r="J4" s="433"/>
      <c r="K4" s="433"/>
      <c r="L4" s="433"/>
      <c r="M4" s="513"/>
      <c r="N4" s="433"/>
      <c r="O4" s="433"/>
      <c r="P4" s="433"/>
      <c r="Q4" s="433"/>
      <c r="R4" s="433"/>
      <c r="S4" s="433"/>
      <c r="T4" s="548"/>
      <c r="U4" s="548"/>
      <c r="V4" s="433"/>
    </row>
    <row r="5" spans="2:22" ht="20.100000000000001" customHeight="1">
      <c r="E5" s="346"/>
      <c r="F5" s="433"/>
      <c r="G5" s="433"/>
      <c r="H5" s="433"/>
      <c r="I5" s="433"/>
      <c r="J5" s="433"/>
      <c r="K5" s="433"/>
      <c r="L5" s="433"/>
      <c r="M5" s="433"/>
      <c r="N5" s="433"/>
      <c r="O5" s="433"/>
      <c r="P5" s="433"/>
      <c r="Q5" s="433"/>
      <c r="R5" s="433"/>
      <c r="S5" s="433"/>
      <c r="T5" s="548"/>
      <c r="U5" s="548"/>
      <c r="V5" s="433"/>
    </row>
    <row r="6" spans="2:22" ht="26.25">
      <c r="C6" s="514"/>
      <c r="D6" s="514"/>
      <c r="E6" s="538" t="s">
        <v>1049</v>
      </c>
      <c r="F6" s="515"/>
      <c r="G6" s="515"/>
      <c r="H6" s="515"/>
      <c r="I6" s="515"/>
      <c r="J6" s="515"/>
      <c r="K6" s="515"/>
      <c r="L6" s="515"/>
      <c r="M6" s="515"/>
      <c r="N6" s="433"/>
      <c r="O6" s="433"/>
      <c r="P6" s="433"/>
      <c r="Q6" s="433"/>
      <c r="R6" s="433"/>
      <c r="S6" s="433"/>
      <c r="T6" s="548"/>
      <c r="U6" s="548"/>
      <c r="V6" s="433"/>
    </row>
    <row r="7" spans="2:22" ht="21">
      <c r="C7" s="514"/>
      <c r="D7" s="514"/>
      <c r="E7" s="539" t="s">
        <v>559</v>
      </c>
      <c r="F7" s="515"/>
      <c r="G7" s="515"/>
      <c r="H7" s="515"/>
      <c r="I7" s="515"/>
      <c r="J7" s="515"/>
      <c r="K7" s="515"/>
      <c r="L7" s="515"/>
      <c r="M7" s="515"/>
      <c r="N7" s="433"/>
      <c r="O7" s="433"/>
      <c r="P7" s="433"/>
      <c r="Q7" s="433"/>
      <c r="R7" s="433"/>
      <c r="S7" s="433"/>
      <c r="T7" s="548"/>
      <c r="U7" s="548"/>
      <c r="V7" s="433"/>
    </row>
    <row r="8" spans="2:22" ht="26.25">
      <c r="E8" s="540" t="str">
        <f>CYr&amp;" Chapter 70"</f>
        <v>FY18 Chapter 70</v>
      </c>
      <c r="F8" s="515"/>
      <c r="G8" s="515"/>
      <c r="H8" s="515"/>
      <c r="I8" s="515"/>
      <c r="J8" s="515"/>
      <c r="K8" s="515"/>
      <c r="L8" s="515"/>
      <c r="M8" s="515"/>
      <c r="N8" s="433"/>
      <c r="O8" s="433"/>
      <c r="P8" s="433"/>
      <c r="Q8" s="433"/>
      <c r="R8" s="433"/>
      <c r="S8" s="433"/>
      <c r="T8" s="548"/>
      <c r="U8" s="548"/>
      <c r="V8" s="433"/>
    </row>
    <row r="9" spans="2:22" ht="21">
      <c r="E9" s="515" t="s">
        <v>209</v>
      </c>
      <c r="F9" s="438"/>
      <c r="G9" s="438"/>
      <c r="H9" s="438"/>
      <c r="I9" s="438"/>
      <c r="J9" s="438"/>
      <c r="K9" s="438"/>
      <c r="L9" s="438"/>
      <c r="M9" s="438"/>
      <c r="N9" s="433"/>
      <c r="O9" s="433"/>
      <c r="P9" s="433"/>
      <c r="Q9" s="433"/>
      <c r="R9" s="433"/>
      <c r="S9" s="433"/>
      <c r="T9" s="548"/>
      <c r="U9" s="548"/>
      <c r="V9" s="433"/>
    </row>
    <row r="10" spans="2:22" ht="15.75" customHeight="1">
      <c r="E10" s="516"/>
      <c r="F10" s="516"/>
      <c r="G10" s="516"/>
      <c r="H10" s="516"/>
      <c r="I10" s="516"/>
      <c r="J10" s="516"/>
      <c r="K10" s="516"/>
      <c r="L10" s="516"/>
      <c r="M10" s="433"/>
      <c r="N10" s="433"/>
      <c r="O10" s="433"/>
      <c r="P10" s="433"/>
      <c r="Q10" s="433"/>
      <c r="R10" s="433"/>
      <c r="S10" s="433"/>
      <c r="T10" s="548"/>
      <c r="U10" s="548"/>
      <c r="V10" s="433"/>
    </row>
    <row r="11" spans="2:22" s="481" customFormat="1" ht="20.100000000000001" customHeight="1">
      <c r="B11" s="516" t="str">
        <f>VLOOKUP(E4, leas!D5:F445, 3, FALSE)</f>
        <v>0873</v>
      </c>
      <c r="D11" s="517">
        <v>2</v>
      </c>
      <c r="E11" s="464" t="str">
        <f>VLOOKUP(reg_order, regdistricts, 2, FALSE)</f>
        <v>873 South Shore</v>
      </c>
      <c r="F11" s="349"/>
      <c r="G11" s="341"/>
      <c r="H11" s="341"/>
      <c r="I11" s="341"/>
      <c r="J11" s="341"/>
      <c r="K11" s="341"/>
      <c r="L11" s="341"/>
      <c r="T11" s="549"/>
      <c r="U11" s="549"/>
    </row>
    <row r="12" spans="2:22" s="481" customFormat="1" ht="15.75" customHeight="1">
      <c r="E12" s="518"/>
      <c r="F12" s="518"/>
      <c r="G12" s="341"/>
      <c r="H12" s="341"/>
      <c r="I12" s="341"/>
      <c r="J12" s="341"/>
      <c r="K12" s="341"/>
      <c r="L12" s="341"/>
      <c r="T12" s="549"/>
      <c r="U12" s="549"/>
    </row>
    <row r="13" spans="2:22" s="546" customFormat="1" ht="42" customHeight="1">
      <c r="E13" s="547"/>
      <c r="F13" s="547"/>
      <c r="G13" s="602" t="s">
        <v>2798</v>
      </c>
      <c r="H13" s="602"/>
      <c r="I13" s="602"/>
      <c r="J13" s="602"/>
      <c r="K13" s="602" t="s">
        <v>2799</v>
      </c>
      <c r="L13" s="602"/>
      <c r="M13" s="602"/>
      <c r="N13" s="600" t="s">
        <v>2792</v>
      </c>
      <c r="O13" s="600"/>
      <c r="P13" s="600"/>
      <c r="Q13" s="600" t="s">
        <v>2793</v>
      </c>
      <c r="R13" s="600"/>
      <c r="S13" s="600"/>
      <c r="T13" s="600" t="s">
        <v>2815</v>
      </c>
      <c r="U13" s="600"/>
      <c r="V13" s="600"/>
    </row>
    <row r="14" spans="2:22" ht="15.75" customHeight="1">
      <c r="E14" s="525"/>
      <c r="F14" s="525"/>
      <c r="G14" s="601"/>
      <c r="H14" s="601"/>
      <c r="I14" s="526"/>
      <c r="J14" s="526"/>
      <c r="K14" s="601"/>
      <c r="L14" s="601"/>
      <c r="M14" s="527"/>
      <c r="N14" s="527"/>
      <c r="O14" s="527"/>
      <c r="P14" s="527"/>
      <c r="Q14" s="527"/>
      <c r="R14" s="527"/>
      <c r="S14" s="527"/>
      <c r="T14" s="526"/>
      <c r="U14" s="526"/>
      <c r="V14" s="527"/>
    </row>
    <row r="15" spans="2:22" s="520" customFormat="1" ht="31.5">
      <c r="B15" s="520">
        <f>VLOOKUP($E$4, regcount, 2, FALSE)</f>
        <v>8</v>
      </c>
      <c r="E15" s="528" t="s">
        <v>58</v>
      </c>
      <c r="F15" s="528" t="s">
        <v>210</v>
      </c>
      <c r="G15" s="524" t="str">
        <f>PYr</f>
        <v>FY17</v>
      </c>
      <c r="H15" s="524" t="str">
        <f>CYr</f>
        <v>FY18</v>
      </c>
      <c r="I15" s="524" t="s">
        <v>1152</v>
      </c>
      <c r="J15" s="544" t="s">
        <v>2795</v>
      </c>
      <c r="K15" s="524" t="str">
        <f>PYr</f>
        <v>FY17</v>
      </c>
      <c r="L15" s="524" t="str">
        <f>CYr</f>
        <v>FY18</v>
      </c>
      <c r="M15" s="524" t="s">
        <v>1152</v>
      </c>
      <c r="N15" s="529" t="str">
        <f>PYr</f>
        <v>FY17</v>
      </c>
      <c r="O15" s="529" t="str">
        <f>CYr</f>
        <v>FY18</v>
      </c>
      <c r="P15" s="529" t="s">
        <v>1152</v>
      </c>
      <c r="Q15" s="529" t="str">
        <f>PYr</f>
        <v>FY17</v>
      </c>
      <c r="R15" s="529" t="str">
        <f>CYr</f>
        <v>FY18</v>
      </c>
      <c r="S15" s="529" t="s">
        <v>1152</v>
      </c>
      <c r="T15" s="529" t="s">
        <v>2796</v>
      </c>
      <c r="U15" s="529" t="s">
        <v>2797</v>
      </c>
      <c r="V15" s="543" t="s">
        <v>2794</v>
      </c>
    </row>
    <row r="16" spans="2:22" ht="15.75" customHeight="1">
      <c r="E16" s="435"/>
      <c r="F16" s="435"/>
      <c r="G16" s="525"/>
      <c r="H16" s="525"/>
      <c r="I16" s="525"/>
      <c r="J16" s="525"/>
      <c r="K16" s="525"/>
      <c r="L16" s="525"/>
      <c r="M16" s="527"/>
      <c r="N16" s="527"/>
      <c r="O16" s="527"/>
      <c r="P16" s="527"/>
      <c r="Q16" s="527"/>
      <c r="R16" s="527"/>
      <c r="S16" s="527"/>
      <c r="T16" s="526"/>
      <c r="U16" s="526"/>
      <c r="V16" s="527"/>
    </row>
    <row r="17" spans="1:22" ht="15.75" customHeight="1">
      <c r="E17" s="530"/>
      <c r="F17" s="530" t="s">
        <v>211</v>
      </c>
      <c r="G17" s="531">
        <f>SUM(G19:G66)</f>
        <v>622</v>
      </c>
      <c r="H17" s="532">
        <f>SUM(H19:H66)</f>
        <v>619.99999999379997</v>
      </c>
      <c r="I17" s="532">
        <f>SUM(I19:I61)</f>
        <v>-2.0000000061999721</v>
      </c>
      <c r="J17" s="532"/>
      <c r="K17" s="531">
        <f>SUM(K19:K66)</f>
        <v>5547660</v>
      </c>
      <c r="L17" s="531">
        <f>SUM(L19:L66)</f>
        <v>5811066</v>
      </c>
      <c r="M17" s="532">
        <f>SUM(M19:M61)</f>
        <v>263406</v>
      </c>
      <c r="N17" s="527"/>
      <c r="O17" s="527"/>
      <c r="P17" s="527"/>
      <c r="Q17" s="527"/>
      <c r="R17" s="527"/>
      <c r="S17" s="527"/>
      <c r="T17" s="526"/>
      <c r="U17" s="526"/>
      <c r="V17" s="527"/>
    </row>
    <row r="18" spans="1:22" ht="15.75" customHeight="1">
      <c r="E18" s="530"/>
      <c r="F18" s="530"/>
      <c r="G18" s="531"/>
      <c r="H18" s="532"/>
      <c r="I18" s="532"/>
      <c r="J18" s="532"/>
      <c r="K18" s="531"/>
      <c r="L18" s="531"/>
      <c r="M18" s="532"/>
      <c r="N18" s="527"/>
      <c r="O18" s="527"/>
      <c r="P18" s="527"/>
      <c r="Q18" s="527"/>
      <c r="R18" s="527"/>
      <c r="S18" s="527"/>
      <c r="T18" s="526"/>
      <c r="U18" s="526"/>
      <c r="V18" s="527"/>
    </row>
    <row r="19" spans="1:22" ht="19.149999999999999" customHeight="1">
      <c r="A19" s="433" t="str">
        <f>IF($C19&lt;=$B$15,VLOOKUP(E19,leas!D5:F445,3,FALSE),"")</f>
        <v>0001</v>
      </c>
      <c r="B19" s="433">
        <f>$E$4*100+C19</f>
        <v>87301</v>
      </c>
      <c r="C19" s="433">
        <v>1</v>
      </c>
      <c r="E19" s="527">
        <f t="shared" ref="E19:E67" si="0">IF($C19&lt;=$B$15, VLOOKUP($B19, regdetail, 5), " ")</f>
        <v>1</v>
      </c>
      <c r="F19" s="527" t="str">
        <f t="shared" ref="F19:F50" si="1">IF($C19&lt;=$B$15, VLOOKUP($B19, regdetail, 6), " ")</f>
        <v xml:space="preserve">ABINGTON                     </v>
      </c>
      <c r="G19" s="533">
        <f>IF($C19&lt;=$B$15,VLOOKUP(A19&amp;$B$11, localcont!A10:X1764, 18, FALSE), "")</f>
        <v>148</v>
      </c>
      <c r="H19" s="534">
        <f>IF($C19&lt;=$B$15,VLOOKUP(A19&amp;$B$11, localcont!$A$10:$X$1764, 23, FALSE), "")</f>
        <v>144.00000000240001</v>
      </c>
      <c r="I19" s="534">
        <f>IF($C19&lt;=$B$15, H19-G19, " ")</f>
        <v>-3.9999999975999856</v>
      </c>
      <c r="J19" s="536">
        <f>IF($C19&lt;=$B$15,H19/VLOOKUP(A19&amp;"0999", localcont!$A$10:$X$1764, 23, FALSE), "")</f>
        <v>6.9431051110045022E-2</v>
      </c>
      <c r="K19" s="533">
        <f>IF($C19&lt;=$B$15,VLOOKUP(A19&amp;$B$11, localcont!$A$10:$X$1764, 15, FALSE), "")</f>
        <v>1543004</v>
      </c>
      <c r="L19" s="533">
        <f>IF($C19&lt;=$B$15,VLOOKUP(A19&amp;$B$11, localcont!$A$10:$X$1764, 14, FALSE),"")</f>
        <v>1536609</v>
      </c>
      <c r="M19" s="534">
        <f>IF($C19&lt;=$B$15, L19-K19, " ")</f>
        <v>-6395</v>
      </c>
      <c r="N19" s="535">
        <f>IF($C19&lt;=$B$15,VLOOKUP(A19&amp;$B$11, localcont!$A$10:$X$1764, 10, FALSE), "")</f>
        <v>0.10725450703868591</v>
      </c>
      <c r="O19" s="535">
        <f>IF($C19&lt;=$B$15,VLOOKUP(A19&amp;$B$11, localcont!$A$10:$X$1764, 12, FALSE), "")</f>
        <v>0.10626975669987537</v>
      </c>
      <c r="P19" s="536">
        <f>IF($C19&lt;=$B$15, O19-N19, " ")</f>
        <v>-9.8475033881054164E-4</v>
      </c>
      <c r="Q19" s="533">
        <f t="shared" ref="Q19:Q50" si="2">IF($C19&lt;=$B$15,VLOOKUP(E19, town351, 13, FALSE), "")</f>
        <v>14386381</v>
      </c>
      <c r="R19" s="533">
        <f t="shared" ref="R19:R50" si="3">IF($C19&lt;=$B$15,VLOOKUP(E19, town351, 22, FALSE), "")</f>
        <v>14459512</v>
      </c>
      <c r="S19" s="534">
        <f>IF($C19&lt;=$B$15, R19-Q19, " ")</f>
        <v>73131</v>
      </c>
      <c r="T19" s="550">
        <f t="shared" ref="T19:T50" si="4">IF($C19&lt;=$B$15,VLOOKUP(E19, town351, 11, FALSE), "")</f>
        <v>65.25</v>
      </c>
      <c r="U19" s="550">
        <f t="shared" ref="U19:U50" si="5">IF($C19&lt;=$B$15,VLOOKUP(E19, town351, 23, FALSE), "")</f>
        <v>65.601342341365637</v>
      </c>
      <c r="V19" s="537" t="str">
        <f>IF(U19&lt;T19, "Below", IF(U19&gt;T19, "Above", ""))</f>
        <v>Above</v>
      </c>
    </row>
    <row r="20" spans="1:22" ht="19.149999999999999" customHeight="1">
      <c r="A20" s="433" t="str">
        <f>IF($C20&lt;=$B$15,VLOOKUP(E20,leas!D7:F447,3,FALSE),"")</f>
        <v>0065</v>
      </c>
      <c r="B20" s="433">
        <f t="shared" ref="B20:B67" si="6">$E$4*100+C20</f>
        <v>87302</v>
      </c>
      <c r="C20" s="433">
        <v>2</v>
      </c>
      <c r="E20" s="527">
        <f t="shared" si="0"/>
        <v>65</v>
      </c>
      <c r="F20" s="527" t="str">
        <f t="shared" si="1"/>
        <v xml:space="preserve">COHASSET                     </v>
      </c>
      <c r="G20" s="533">
        <f>IF($C20&lt;=$B$15,VLOOKUP(A20&amp;$B$11, localcont!A11:X1765, 18, FALSE), "")</f>
        <v>6</v>
      </c>
      <c r="H20" s="534">
        <f>IF($C20&lt;=$B$15,VLOOKUP(A20&amp;$B$11, localcont!$A$10:$X$1764, 23, FALSE), "")</f>
        <v>3.9999999979999998</v>
      </c>
      <c r="I20" s="534">
        <f t="shared" ref="I20:I67" si="7">IF($C20&lt;=$B$15, H20-G20, " ")</f>
        <v>-2.0000000020000002</v>
      </c>
      <c r="J20" s="536">
        <f>IF($C20&lt;=$B$15,H20/VLOOKUP(A20&amp;"0999", localcont!$A$10:$X$1764, 23, FALSE), "")</f>
        <v>2.6143790836638727E-3</v>
      </c>
      <c r="K20" s="533">
        <f>IF($C20&lt;=$B$15,VLOOKUP(A20&amp;$B$11, localcont!$A$10:$X$1764, 15, FALSE), "")</f>
        <v>78663</v>
      </c>
      <c r="L20" s="533">
        <f>IF($C20&lt;=$B$15,VLOOKUP(A20&amp;$B$11, localcont!$A$10:$X$1764, 14, FALSE),"")</f>
        <v>54280</v>
      </c>
      <c r="M20" s="534">
        <f t="shared" ref="M20:M67" si="8">IF($C20&lt;=$B$15, L20-K20, " ")</f>
        <v>-24383</v>
      </c>
      <c r="N20" s="535">
        <f>IF($C20&lt;=$B$15,VLOOKUP(A20&amp;$B$11, localcont!$A$10:$X$1764, 10, FALSE), "")</f>
        <v>6.4398680956515237E-3</v>
      </c>
      <c r="O20" s="535">
        <f>IF($C20&lt;=$B$15,VLOOKUP(A20&amp;$B$11, localcont!$A$10:$X$1764, 12, FALSE), "")</f>
        <v>4.5005321688879486E-3</v>
      </c>
      <c r="P20" s="536">
        <f t="shared" ref="P20:P67" si="9">IF($C20&lt;=$B$15, O20-N20, " ")</f>
        <v>-1.9393359267635751E-3</v>
      </c>
      <c r="Q20" s="533">
        <f t="shared" si="2"/>
        <v>12214998</v>
      </c>
      <c r="R20" s="533">
        <f t="shared" si="3"/>
        <v>12060692</v>
      </c>
      <c r="S20" s="534">
        <f t="shared" ref="S20:S67" si="10">IF($C20&lt;=$B$15, R20-Q20, " ")</f>
        <v>-154306</v>
      </c>
      <c r="T20" s="550">
        <f t="shared" si="4"/>
        <v>82.5</v>
      </c>
      <c r="U20" s="550">
        <f t="shared" si="5"/>
        <v>83.423422259221894</v>
      </c>
      <c r="V20" s="537" t="str">
        <f t="shared" ref="V20:V67" si="11">IF(U20&lt;T20, "Below", IF(U20&gt;T20, "Above", ""))</f>
        <v>Above</v>
      </c>
    </row>
    <row r="21" spans="1:22" ht="19.149999999999999" customHeight="1">
      <c r="A21" s="433" t="str">
        <f>IF($C21&lt;=$B$15,VLOOKUP(E21,leas!D8:F448,3,FALSE),"")</f>
        <v>0122</v>
      </c>
      <c r="B21" s="433">
        <f t="shared" si="6"/>
        <v>87303</v>
      </c>
      <c r="C21" s="433">
        <v>3</v>
      </c>
      <c r="E21" s="527">
        <f t="shared" si="0"/>
        <v>122</v>
      </c>
      <c r="F21" s="527" t="str">
        <f t="shared" si="1"/>
        <v xml:space="preserve">HANOVER                      </v>
      </c>
      <c r="G21" s="533">
        <f>IF($C21&lt;=$B$15,VLOOKUP(A21&amp;$B$11, localcont!A12:X1766, 18, FALSE), "")</f>
        <v>46</v>
      </c>
      <c r="H21" s="534">
        <f>IF($C21&lt;=$B$15,VLOOKUP(A21&amp;$B$11, localcont!$A$10:$X$1764, 23, FALSE), "")</f>
        <v>48.9999999972</v>
      </c>
      <c r="I21" s="534">
        <f t="shared" si="7"/>
        <v>2.9999999971999998</v>
      </c>
      <c r="J21" s="536">
        <f>IF($C21&lt;=$B$15,H21/VLOOKUP(A21&amp;"0999", localcont!$A$10:$X$1764, 23, FALSE), "")</f>
        <v>1.8999612251746102E-2</v>
      </c>
      <c r="K21" s="533">
        <f>IF($C21&lt;=$B$15,VLOOKUP(A21&amp;$B$11, localcont!$A$10:$X$1764, 15, FALSE), "")</f>
        <v>554529</v>
      </c>
      <c r="L21" s="533">
        <f>IF($C21&lt;=$B$15,VLOOKUP(A21&amp;$B$11, localcont!$A$10:$X$1764, 14, FALSE),"")</f>
        <v>624678</v>
      </c>
      <c r="M21" s="534">
        <f t="shared" si="8"/>
        <v>70149</v>
      </c>
      <c r="N21" s="535">
        <f>IF($C21&lt;=$B$15,VLOOKUP(A21&amp;$B$11, localcont!$A$10:$X$1764, 10, FALSE), "")</f>
        <v>2.9463560688624924E-2</v>
      </c>
      <c r="O21" s="535">
        <f>IF($C21&lt;=$B$15,VLOOKUP(A21&amp;$B$11, localcont!$A$10:$X$1764, 12, FALSE), "")</f>
        <v>3.1822413614298814E-2</v>
      </c>
      <c r="P21" s="536">
        <f t="shared" si="9"/>
        <v>2.3588529256738898E-3</v>
      </c>
      <c r="Q21" s="533">
        <f t="shared" si="2"/>
        <v>18820833</v>
      </c>
      <c r="R21" s="533">
        <f t="shared" si="3"/>
        <v>19630129</v>
      </c>
      <c r="S21" s="534">
        <f t="shared" si="10"/>
        <v>809296</v>
      </c>
      <c r="T21" s="550">
        <f t="shared" si="4"/>
        <v>79.38</v>
      </c>
      <c r="U21" s="550">
        <f t="shared" si="5"/>
        <v>78.374013187923765</v>
      </c>
      <c r="V21" s="537" t="str">
        <f t="shared" si="11"/>
        <v>Below</v>
      </c>
    </row>
    <row r="22" spans="1:22" ht="19.149999999999999" customHeight="1">
      <c r="A22" s="433" t="str">
        <f>IF($C22&lt;=$B$15,VLOOKUP(E22,leas!D9:F449,3,FALSE),"")</f>
        <v>0123</v>
      </c>
      <c r="B22" s="433">
        <f t="shared" si="6"/>
        <v>87304</v>
      </c>
      <c r="C22" s="433">
        <v>4</v>
      </c>
      <c r="E22" s="527">
        <f t="shared" si="0"/>
        <v>123</v>
      </c>
      <c r="F22" s="527" t="str">
        <f t="shared" si="1"/>
        <v xml:space="preserve">HANSON                       </v>
      </c>
      <c r="G22" s="533">
        <f>IF($C22&lt;=$B$15,VLOOKUP(A22&amp;$B$11, localcont!A13:X1767, 18, FALSE), "")</f>
        <v>75</v>
      </c>
      <c r="H22" s="534">
        <f>IF($C22&lt;=$B$15,VLOOKUP(A22&amp;$B$11, localcont!$A$10:$X$1764, 23, FALSE), "")</f>
        <v>79.999999997199993</v>
      </c>
      <c r="I22" s="534">
        <f t="shared" si="7"/>
        <v>4.9999999971999927</v>
      </c>
      <c r="J22" s="536">
        <f>IF($C22&lt;=$B$15,H22/VLOOKUP(A22&amp;"0999", localcont!$A$10:$X$1764, 23, FALSE), "")</f>
        <v>4.8367014652660738E-2</v>
      </c>
      <c r="K22" s="533">
        <f>IF($C22&lt;=$B$15,VLOOKUP(A22&amp;$B$11, localcont!$A$10:$X$1764, 15, FALSE), "")</f>
        <v>561348</v>
      </c>
      <c r="L22" s="533">
        <f>IF($C22&lt;=$B$15,VLOOKUP(A22&amp;$B$11, localcont!$A$10:$X$1764, 14, FALSE),"")</f>
        <v>660650</v>
      </c>
      <c r="M22" s="534">
        <f t="shared" si="8"/>
        <v>99302</v>
      </c>
      <c r="N22" s="535">
        <f>IF($C22&lt;=$B$15,VLOOKUP(A22&amp;$B$11, localcont!$A$10:$X$1764, 10, FALSE), "")</f>
        <v>6.8986844413140028E-2</v>
      </c>
      <c r="O22" s="535">
        <f>IF($C22&lt;=$B$15,VLOOKUP(A22&amp;$B$11, localcont!$A$10:$X$1764, 12, FALSE), "")</f>
        <v>7.6892295986123904E-2</v>
      </c>
      <c r="P22" s="536">
        <f t="shared" si="9"/>
        <v>7.9054515729838765E-3</v>
      </c>
      <c r="Q22" s="533">
        <f t="shared" si="2"/>
        <v>8137026</v>
      </c>
      <c r="R22" s="533">
        <f t="shared" si="3"/>
        <v>8591885</v>
      </c>
      <c r="S22" s="534">
        <f t="shared" si="10"/>
        <v>454859</v>
      </c>
      <c r="T22" s="550">
        <f t="shared" si="4"/>
        <v>54.91</v>
      </c>
      <c r="U22" s="550">
        <f t="shared" si="5"/>
        <v>50.768366898927226</v>
      </c>
      <c r="V22" s="537" t="str">
        <f t="shared" si="11"/>
        <v>Below</v>
      </c>
    </row>
    <row r="23" spans="1:22" ht="19.149999999999999" customHeight="1">
      <c r="A23" s="433" t="str">
        <f>IF($C23&lt;=$B$15,VLOOKUP(E23,leas!D10:F450,3,FALSE),"")</f>
        <v>0219</v>
      </c>
      <c r="B23" s="433">
        <f t="shared" si="6"/>
        <v>87305</v>
      </c>
      <c r="C23" s="433">
        <v>5</v>
      </c>
      <c r="E23" s="527">
        <f t="shared" si="0"/>
        <v>219</v>
      </c>
      <c r="F23" s="527" t="str">
        <f t="shared" si="1"/>
        <v xml:space="preserve">NORWELL                      </v>
      </c>
      <c r="G23" s="533">
        <f>IF($C23&lt;=$B$15,VLOOKUP(A23&amp;$B$11, localcont!A14:X1768, 18, FALSE), "")</f>
        <v>15</v>
      </c>
      <c r="H23" s="534">
        <f>IF($C23&lt;=$B$15,VLOOKUP(A23&amp;$B$11, localcont!$A$10:$X$1764, 23, FALSE), "")</f>
        <v>15.0000000018</v>
      </c>
      <c r="I23" s="534">
        <f t="shared" si="7"/>
        <v>1.8000001489326678E-9</v>
      </c>
      <c r="J23" s="536">
        <f>IF($C23&lt;=$B$15,H23/VLOOKUP(A23&amp;"0999", localcont!$A$10:$X$1764, 23, FALSE), "")</f>
        <v>6.9444444452719913E-3</v>
      </c>
      <c r="K23" s="533">
        <f>IF($C23&lt;=$B$15,VLOOKUP(A23&amp;$B$11, localcont!$A$10:$X$1764, 15, FALSE), "")</f>
        <v>198139</v>
      </c>
      <c r="L23" s="533">
        <f>IF($C23&lt;=$B$15,VLOOKUP(A23&amp;$B$11, localcont!$A$10:$X$1764, 14, FALSE),"")</f>
        <v>202351</v>
      </c>
      <c r="M23" s="534">
        <f t="shared" si="8"/>
        <v>4212</v>
      </c>
      <c r="N23" s="535">
        <f>IF($C23&lt;=$B$15,VLOOKUP(A23&amp;$B$11, localcont!$A$10:$X$1764, 10, FALSE), "")</f>
        <v>1.1573467537205758E-2</v>
      </c>
      <c r="O23" s="535">
        <f>IF($C23&lt;=$B$15,VLOOKUP(A23&amp;$B$11, localcont!$A$10:$X$1764, 12, FALSE), "")</f>
        <v>1.1649212563243378E-2</v>
      </c>
      <c r="P23" s="536">
        <f t="shared" si="9"/>
        <v>7.5745026037620303E-5</v>
      </c>
      <c r="Q23" s="533">
        <f t="shared" si="2"/>
        <v>17120129</v>
      </c>
      <c r="R23" s="533">
        <f t="shared" si="3"/>
        <v>17370317</v>
      </c>
      <c r="S23" s="534">
        <f t="shared" si="10"/>
        <v>250188</v>
      </c>
      <c r="T23" s="550">
        <f t="shared" si="4"/>
        <v>82.5</v>
      </c>
      <c r="U23" s="550">
        <f t="shared" si="5"/>
        <v>82.932536940596037</v>
      </c>
      <c r="V23" s="537" t="str">
        <f t="shared" si="11"/>
        <v>Above</v>
      </c>
    </row>
    <row r="24" spans="1:22" ht="19.149999999999999" customHeight="1">
      <c r="A24" s="433" t="str">
        <f>IF($C24&lt;=$B$15,VLOOKUP(E24,leas!D11:F451,3,FALSE),"")</f>
        <v>0251</v>
      </c>
      <c r="B24" s="433">
        <f t="shared" si="6"/>
        <v>87306</v>
      </c>
      <c r="C24" s="433">
        <v>6</v>
      </c>
      <c r="E24" s="527">
        <f t="shared" si="0"/>
        <v>251</v>
      </c>
      <c r="F24" s="527" t="str">
        <f t="shared" si="1"/>
        <v xml:space="preserve">ROCKLAND                     </v>
      </c>
      <c r="G24" s="533">
        <f>IF($C24&lt;=$B$15,VLOOKUP(A24&amp;$B$11, localcont!A15:X1769, 18, FALSE), "")</f>
        <v>152</v>
      </c>
      <c r="H24" s="534">
        <f>IF($C24&lt;=$B$15,VLOOKUP(A24&amp;$B$11, localcont!$A$10:$X$1764, 23, FALSE), "")</f>
        <v>144.99999999880001</v>
      </c>
      <c r="I24" s="534">
        <f t="shared" si="7"/>
        <v>-7.000000001199993</v>
      </c>
      <c r="J24" s="536">
        <f>IF($C24&lt;=$B$15,H24/VLOOKUP(A24&amp;"0999", localcont!$A$10:$X$1764, 23, FALSE), "")</f>
        <v>5.7861133279676555E-2</v>
      </c>
      <c r="K24" s="533">
        <f>IF($C24&lt;=$B$15,VLOOKUP(A24&amp;$B$11, localcont!$A$10:$X$1764, 15, FALSE), "")</f>
        <v>1157378</v>
      </c>
      <c r="L24" s="533">
        <f>IF($C24&lt;=$B$15,VLOOKUP(A24&amp;$B$11, localcont!$A$10:$X$1764, 14, FALSE),"")</f>
        <v>1163243</v>
      </c>
      <c r="M24" s="534">
        <f t="shared" si="8"/>
        <v>5865</v>
      </c>
      <c r="N24" s="535">
        <f>IF($C24&lt;=$B$15,VLOOKUP(A24&amp;$B$11, localcont!$A$10:$X$1764, 10, FALSE), "")</f>
        <v>8.5184396803532195E-2</v>
      </c>
      <c r="O24" s="535">
        <f>IF($C24&lt;=$B$15,VLOOKUP(A24&amp;$B$11, localcont!$A$10:$X$1764, 12, FALSE), "")</f>
        <v>8.3270528505291291E-2</v>
      </c>
      <c r="P24" s="536">
        <f t="shared" si="9"/>
        <v>-1.9138682982409033E-3</v>
      </c>
      <c r="Q24" s="533">
        <f t="shared" si="2"/>
        <v>13586740</v>
      </c>
      <c r="R24" s="533">
        <f t="shared" si="3"/>
        <v>13969440</v>
      </c>
      <c r="S24" s="534">
        <f t="shared" si="10"/>
        <v>382700</v>
      </c>
      <c r="T24" s="550">
        <f t="shared" si="4"/>
        <v>49.18</v>
      </c>
      <c r="U24" s="550">
        <f t="shared" si="5"/>
        <v>49.318994227892439</v>
      </c>
      <c r="V24" s="537" t="str">
        <f t="shared" si="11"/>
        <v>Above</v>
      </c>
    </row>
    <row r="25" spans="1:22" ht="19.149999999999999" customHeight="1">
      <c r="A25" s="433" t="str">
        <f>IF($C25&lt;=$B$15,VLOOKUP(E25,leas!D12:F452,3,FALSE),"")</f>
        <v>0264</v>
      </c>
      <c r="B25" s="433">
        <f t="shared" si="6"/>
        <v>87307</v>
      </c>
      <c r="C25" s="433">
        <v>7</v>
      </c>
      <c r="E25" s="527">
        <f t="shared" si="0"/>
        <v>264</v>
      </c>
      <c r="F25" s="527" t="str">
        <f t="shared" si="1"/>
        <v xml:space="preserve">SCITUATE                     </v>
      </c>
      <c r="G25" s="533">
        <f>IF($C25&lt;=$B$15,VLOOKUP(A25&amp;$B$11, localcont!A16:X1770, 18, FALSE), "")</f>
        <v>42</v>
      </c>
      <c r="H25" s="534">
        <f>IF($C25&lt;=$B$15,VLOOKUP(A25&amp;$B$11, localcont!$A$10:$X$1764, 23, FALSE), "")</f>
        <v>44.9999999992</v>
      </c>
      <c r="I25" s="534">
        <f t="shared" si="7"/>
        <v>2.9999999991999999</v>
      </c>
      <c r="J25" s="536">
        <f>IF($C25&lt;=$B$15,H25/VLOOKUP(A25&amp;"0999", localcont!$A$10:$X$1764, 23, FALSE), "")</f>
        <v>1.5115888478069228E-2</v>
      </c>
      <c r="K25" s="533">
        <f>IF($C25&lt;=$B$15,VLOOKUP(A25&amp;$B$11, localcont!$A$10:$X$1764, 15, FALSE), "")</f>
        <v>554818</v>
      </c>
      <c r="L25" s="533">
        <f>IF($C25&lt;=$B$15,VLOOKUP(A25&amp;$B$11, localcont!$A$10:$X$1764, 14, FALSE),"")</f>
        <v>605721</v>
      </c>
      <c r="M25" s="534">
        <f t="shared" si="8"/>
        <v>50903</v>
      </c>
      <c r="N25" s="535">
        <f>IF($C25&lt;=$B$15,VLOOKUP(A25&amp;$B$11, localcont!$A$10:$X$1764, 10, FALSE), "")</f>
        <v>2.3382849486835749E-2</v>
      </c>
      <c r="O25" s="535">
        <f>IF($C25&lt;=$B$15,VLOOKUP(A25&amp;$B$11, localcont!$A$10:$X$1764, 12, FALSE), "")</f>
        <v>2.500880541619473E-2</v>
      </c>
      <c r="P25" s="536">
        <f t="shared" si="9"/>
        <v>1.6259559293589805E-3</v>
      </c>
      <c r="Q25" s="533">
        <f t="shared" si="2"/>
        <v>23727553</v>
      </c>
      <c r="R25" s="533">
        <f t="shared" si="3"/>
        <v>24220324</v>
      </c>
      <c r="S25" s="534">
        <f t="shared" si="10"/>
        <v>492771</v>
      </c>
      <c r="T25" s="550">
        <f t="shared" si="4"/>
        <v>82.5</v>
      </c>
      <c r="U25" s="550">
        <f t="shared" si="5"/>
        <v>82.750814672531632</v>
      </c>
      <c r="V25" s="537" t="str">
        <f t="shared" si="11"/>
        <v>Above</v>
      </c>
    </row>
    <row r="26" spans="1:22" ht="19.149999999999999" customHeight="1">
      <c r="A26" s="433" t="str">
        <f>IF($C26&lt;=$B$15,VLOOKUP(E26,leas!D13:F453,3,FALSE),"")</f>
        <v>0338</v>
      </c>
      <c r="B26" s="433">
        <f t="shared" si="6"/>
        <v>87308</v>
      </c>
      <c r="C26" s="433">
        <v>8</v>
      </c>
      <c r="E26" s="527">
        <f t="shared" si="0"/>
        <v>338</v>
      </c>
      <c r="F26" s="527" t="str">
        <f t="shared" si="1"/>
        <v xml:space="preserve">WHITMAN                      </v>
      </c>
      <c r="G26" s="533">
        <f>IF($C26&lt;=$B$15,VLOOKUP(A26&amp;$B$11, localcont!A17:X1771, 18, FALSE), "")</f>
        <v>138</v>
      </c>
      <c r="H26" s="534">
        <f>IF($C26&lt;=$B$15,VLOOKUP(A26&amp;$B$11, localcont!$A$10:$X$1764, 23, FALSE), "")</f>
        <v>137.99999999920001</v>
      </c>
      <c r="I26" s="534">
        <f t="shared" si="7"/>
        <v>-7.999858553375816E-10</v>
      </c>
      <c r="J26" s="536">
        <f>IF($C26&lt;=$B$15,H26/VLOOKUP(A26&amp;"0999", localcont!$A$10:$X$1764, 23, FALSE), "")</f>
        <v>5.6511514757645182E-2</v>
      </c>
      <c r="K26" s="533">
        <f>IF($C26&lt;=$B$15,VLOOKUP(A26&amp;$B$11, localcont!$A$10:$X$1764, 15, FALSE), "")</f>
        <v>899781</v>
      </c>
      <c r="L26" s="533">
        <f>IF($C26&lt;=$B$15,VLOOKUP(A26&amp;$B$11, localcont!$A$10:$X$1764, 14, FALSE),"")</f>
        <v>963534</v>
      </c>
      <c r="M26" s="534">
        <f t="shared" si="8"/>
        <v>63753</v>
      </c>
      <c r="N26" s="535">
        <f>IF($C26&lt;=$B$15,VLOOKUP(A26&amp;$B$11, localcont!$A$10:$X$1764, 10, FALSE), "")</f>
        <v>8.8233996944153389E-2</v>
      </c>
      <c r="O26" s="535">
        <f>IF($C26&lt;=$B$15,VLOOKUP(A26&amp;$B$11, localcont!$A$10:$X$1764, 12, FALSE), "")</f>
        <v>8.9441170235985315E-2</v>
      </c>
      <c r="P26" s="536">
        <f t="shared" si="9"/>
        <v>1.2071732918319256E-3</v>
      </c>
      <c r="Q26" s="533">
        <f t="shared" si="2"/>
        <v>10197670</v>
      </c>
      <c r="R26" s="533">
        <f t="shared" si="3"/>
        <v>10772819</v>
      </c>
      <c r="S26" s="534">
        <f t="shared" si="10"/>
        <v>575149</v>
      </c>
      <c r="T26" s="550">
        <f t="shared" si="4"/>
        <v>45.28</v>
      </c>
      <c r="U26" s="550">
        <f t="shared" si="5"/>
        <v>42.923946546001233</v>
      </c>
      <c r="V26" s="537" t="str">
        <f t="shared" si="11"/>
        <v>Below</v>
      </c>
    </row>
    <row r="27" spans="1:22" ht="19.149999999999999" customHeight="1">
      <c r="A27" s="433" t="str">
        <f>IF($C27&lt;=$B$15,VLOOKUP(E27,leas!D14:F454,3,FALSE),"")</f>
        <v/>
      </c>
      <c r="B27" s="433">
        <f t="shared" si="6"/>
        <v>87309</v>
      </c>
      <c r="C27" s="433">
        <v>9</v>
      </c>
      <c r="E27" s="527" t="str">
        <f t="shared" si="0"/>
        <v xml:space="preserve"> </v>
      </c>
      <c r="F27" s="527" t="str">
        <f t="shared" si="1"/>
        <v xml:space="preserve"> </v>
      </c>
      <c r="G27" s="533" t="str">
        <f>IF($C27&lt;=$B$15,VLOOKUP(A27&amp;$B$11, localcont!A18:X1772, 18, FALSE), "")</f>
        <v/>
      </c>
      <c r="H27" s="534" t="str">
        <f>IF($C27&lt;=$B$15,VLOOKUP(A27&amp;$B$11, localcont!$A$10:$X$1764, 23, FALSE), "")</f>
        <v/>
      </c>
      <c r="I27" s="534" t="str">
        <f t="shared" si="7"/>
        <v xml:space="preserve"> </v>
      </c>
      <c r="J27" s="536" t="str">
        <f>IF($C27&lt;=$B$15,H27/VLOOKUP(A27&amp;"0999", localcont!$A$10:$X$1764, 23, FALSE), "")</f>
        <v/>
      </c>
      <c r="K27" s="533" t="str">
        <f>IF($C27&lt;=$B$15,VLOOKUP(A27&amp;$B$11, localcont!$A$10:$X$1764, 15, FALSE), "")</f>
        <v/>
      </c>
      <c r="L27" s="533" t="str">
        <f>IF($C27&lt;=$B$15,VLOOKUP(A27&amp;$B$11, localcont!$A$10:$X$1764, 14, FALSE),"")</f>
        <v/>
      </c>
      <c r="M27" s="534" t="str">
        <f t="shared" si="8"/>
        <v xml:space="preserve"> </v>
      </c>
      <c r="N27" s="535" t="str">
        <f>IF($C27&lt;=$B$15,VLOOKUP(A27&amp;$B$11, localcont!$A$10:$X$1764, 10, FALSE), "")</f>
        <v/>
      </c>
      <c r="O27" s="535" t="str">
        <f>IF($C27&lt;=$B$15,VLOOKUP(A27&amp;$B$11, localcont!$A$10:$X$1764, 12, FALSE), "")</f>
        <v/>
      </c>
      <c r="P27" s="536" t="str">
        <f t="shared" si="9"/>
        <v xml:space="preserve"> </v>
      </c>
      <c r="Q27" s="533" t="str">
        <f t="shared" si="2"/>
        <v/>
      </c>
      <c r="R27" s="533" t="str">
        <f t="shared" si="3"/>
        <v/>
      </c>
      <c r="S27" s="534" t="str">
        <f t="shared" si="10"/>
        <v xml:space="preserve"> </v>
      </c>
      <c r="T27" s="550" t="str">
        <f t="shared" si="4"/>
        <v/>
      </c>
      <c r="U27" s="550" t="str">
        <f t="shared" si="5"/>
        <v/>
      </c>
      <c r="V27" s="537" t="str">
        <f t="shared" si="11"/>
        <v/>
      </c>
    </row>
    <row r="28" spans="1:22" ht="19.149999999999999" customHeight="1">
      <c r="A28" s="433" t="str">
        <f>IF($C28&lt;=$B$15,VLOOKUP(E28,leas!D15:F455,3,FALSE),"")</f>
        <v/>
      </c>
      <c r="B28" s="433">
        <f t="shared" si="6"/>
        <v>87310</v>
      </c>
      <c r="C28" s="433">
        <v>10</v>
      </c>
      <c r="E28" s="527" t="str">
        <f t="shared" si="0"/>
        <v xml:space="preserve"> </v>
      </c>
      <c r="F28" s="527" t="str">
        <f t="shared" si="1"/>
        <v xml:space="preserve"> </v>
      </c>
      <c r="G28" s="533" t="str">
        <f>IF($C28&lt;=$B$15,VLOOKUP(A28&amp;$B$11, localcont!A19:X1773, 18, FALSE), "")</f>
        <v/>
      </c>
      <c r="H28" s="534" t="str">
        <f>IF($C28&lt;=$B$15,VLOOKUP(A28&amp;$B$11, localcont!$A$10:$X$1764, 23, FALSE), "")</f>
        <v/>
      </c>
      <c r="I28" s="534" t="str">
        <f t="shared" si="7"/>
        <v xml:space="preserve"> </v>
      </c>
      <c r="J28" s="536" t="str">
        <f>IF($C28&lt;=$B$15,H28/VLOOKUP(A28&amp;"0999", localcont!$A$10:$X$1764, 23, FALSE), "")</f>
        <v/>
      </c>
      <c r="K28" s="533" t="str">
        <f>IF($C28&lt;=$B$15,VLOOKUP(A28&amp;$B$11, localcont!$A$10:$X$1764, 15, FALSE), "")</f>
        <v/>
      </c>
      <c r="L28" s="533" t="str">
        <f>IF($C28&lt;=$B$15,VLOOKUP(A28&amp;$B$11, localcont!$A$10:$X$1764, 14, FALSE),"")</f>
        <v/>
      </c>
      <c r="M28" s="534" t="str">
        <f t="shared" si="8"/>
        <v xml:space="preserve"> </v>
      </c>
      <c r="N28" s="535" t="str">
        <f>IF($C28&lt;=$B$15,VLOOKUP(A28&amp;$B$11, localcont!$A$10:$X$1764, 10, FALSE), "")</f>
        <v/>
      </c>
      <c r="O28" s="535" t="str">
        <f>IF($C28&lt;=$B$15,VLOOKUP(A28&amp;$B$11, localcont!$A$10:$X$1764, 12, FALSE), "")</f>
        <v/>
      </c>
      <c r="P28" s="536" t="str">
        <f t="shared" si="9"/>
        <v xml:space="preserve"> </v>
      </c>
      <c r="Q28" s="533" t="str">
        <f t="shared" si="2"/>
        <v/>
      </c>
      <c r="R28" s="533" t="str">
        <f t="shared" si="3"/>
        <v/>
      </c>
      <c r="S28" s="534" t="str">
        <f t="shared" si="10"/>
        <v xml:space="preserve"> </v>
      </c>
      <c r="T28" s="550" t="str">
        <f t="shared" si="4"/>
        <v/>
      </c>
      <c r="U28" s="550" t="str">
        <f t="shared" si="5"/>
        <v/>
      </c>
      <c r="V28" s="537" t="str">
        <f t="shared" si="11"/>
        <v/>
      </c>
    </row>
    <row r="29" spans="1:22" ht="19.149999999999999" customHeight="1">
      <c r="A29" s="433" t="str">
        <f>IF($C29&lt;=$B$15,VLOOKUP(E29,leas!D16:F456,3,FALSE),"")</f>
        <v/>
      </c>
      <c r="B29" s="433">
        <f t="shared" si="6"/>
        <v>87311</v>
      </c>
      <c r="C29" s="433">
        <v>11</v>
      </c>
      <c r="E29" s="527" t="str">
        <f t="shared" si="0"/>
        <v xml:space="preserve"> </v>
      </c>
      <c r="F29" s="527" t="str">
        <f t="shared" si="1"/>
        <v xml:space="preserve"> </v>
      </c>
      <c r="G29" s="533" t="str">
        <f>IF($C29&lt;=$B$15,VLOOKUP(A29&amp;$B$11, localcont!A20:X1774, 18, FALSE), "")</f>
        <v/>
      </c>
      <c r="H29" s="534" t="str">
        <f>IF($C29&lt;=$B$15,VLOOKUP(A29&amp;$B$11, localcont!$A$10:$X$1764, 23, FALSE), "")</f>
        <v/>
      </c>
      <c r="I29" s="534" t="str">
        <f t="shared" si="7"/>
        <v xml:space="preserve"> </v>
      </c>
      <c r="J29" s="536" t="str">
        <f>IF($C29&lt;=$B$15,H29/VLOOKUP(A29&amp;"0999", localcont!$A$10:$X$1764, 23, FALSE), "")</f>
        <v/>
      </c>
      <c r="K29" s="533" t="str">
        <f>IF($C29&lt;=$B$15,VLOOKUP(A29&amp;$B$11, localcont!$A$10:$X$1764, 15, FALSE), "")</f>
        <v/>
      </c>
      <c r="L29" s="533" t="str">
        <f>IF($C29&lt;=$B$15,VLOOKUP(A29&amp;$B$11, localcont!$A$10:$X$1764, 14, FALSE),"")</f>
        <v/>
      </c>
      <c r="M29" s="534" t="str">
        <f t="shared" si="8"/>
        <v xml:space="preserve"> </v>
      </c>
      <c r="N29" s="535" t="str">
        <f>IF($C29&lt;=$B$15,VLOOKUP(A29&amp;$B$11, localcont!$A$10:$X$1764, 10, FALSE), "")</f>
        <v/>
      </c>
      <c r="O29" s="535" t="str">
        <f>IF($C29&lt;=$B$15,VLOOKUP(A29&amp;$B$11, localcont!$A$10:$X$1764, 12, FALSE), "")</f>
        <v/>
      </c>
      <c r="P29" s="536" t="str">
        <f t="shared" si="9"/>
        <v xml:space="preserve"> </v>
      </c>
      <c r="Q29" s="533" t="str">
        <f t="shared" si="2"/>
        <v/>
      </c>
      <c r="R29" s="533" t="str">
        <f t="shared" si="3"/>
        <v/>
      </c>
      <c r="S29" s="534" t="str">
        <f t="shared" si="10"/>
        <v xml:space="preserve"> </v>
      </c>
      <c r="T29" s="550" t="str">
        <f t="shared" si="4"/>
        <v/>
      </c>
      <c r="U29" s="550" t="str">
        <f t="shared" si="5"/>
        <v/>
      </c>
      <c r="V29" s="537" t="str">
        <f t="shared" si="11"/>
        <v/>
      </c>
    </row>
    <row r="30" spans="1:22" ht="19.149999999999999" customHeight="1">
      <c r="A30" s="433" t="str">
        <f>IF($C30&lt;=$B$15,VLOOKUP(E30,leas!D17:F457,3,FALSE),"")</f>
        <v/>
      </c>
      <c r="B30" s="433">
        <f t="shared" si="6"/>
        <v>87312</v>
      </c>
      <c r="C30" s="433">
        <v>12</v>
      </c>
      <c r="E30" s="527" t="str">
        <f t="shared" si="0"/>
        <v xml:space="preserve"> </v>
      </c>
      <c r="F30" s="527" t="str">
        <f t="shared" si="1"/>
        <v xml:space="preserve"> </v>
      </c>
      <c r="G30" s="533" t="str">
        <f>IF($C30&lt;=$B$15,VLOOKUP(A30&amp;$B$11, localcont!A21:X1775, 18, FALSE), "")</f>
        <v/>
      </c>
      <c r="H30" s="534" t="str">
        <f>IF($C30&lt;=$B$15,VLOOKUP(A30&amp;$B$11, localcont!$A$10:$X$1764, 23, FALSE), "")</f>
        <v/>
      </c>
      <c r="I30" s="534" t="str">
        <f t="shared" si="7"/>
        <v xml:space="preserve"> </v>
      </c>
      <c r="J30" s="536" t="str">
        <f>IF($C30&lt;=$B$15,H30/VLOOKUP(A30&amp;"0999", localcont!$A$10:$X$1764, 23, FALSE), "")</f>
        <v/>
      </c>
      <c r="K30" s="533" t="str">
        <f>IF($C30&lt;=$B$15,VLOOKUP(A30&amp;$B$11, localcont!$A$10:$X$1764, 15, FALSE), "")</f>
        <v/>
      </c>
      <c r="L30" s="533" t="str">
        <f>IF($C30&lt;=$B$15,VLOOKUP(A30&amp;$B$11, localcont!$A$10:$X$1764, 14, FALSE),"")</f>
        <v/>
      </c>
      <c r="M30" s="534" t="str">
        <f t="shared" si="8"/>
        <v xml:space="preserve"> </v>
      </c>
      <c r="N30" s="535" t="str">
        <f>IF($C30&lt;=$B$15,VLOOKUP(A30&amp;$B$11, localcont!$A$10:$X$1764, 10, FALSE), "")</f>
        <v/>
      </c>
      <c r="O30" s="535" t="str">
        <f>IF($C30&lt;=$B$15,VLOOKUP(A30&amp;$B$11, localcont!$A$10:$X$1764, 12, FALSE), "")</f>
        <v/>
      </c>
      <c r="P30" s="536" t="str">
        <f t="shared" si="9"/>
        <v xml:space="preserve"> </v>
      </c>
      <c r="Q30" s="533" t="str">
        <f t="shared" si="2"/>
        <v/>
      </c>
      <c r="R30" s="533" t="str">
        <f t="shared" si="3"/>
        <v/>
      </c>
      <c r="S30" s="534" t="str">
        <f t="shared" si="10"/>
        <v xml:space="preserve"> </v>
      </c>
      <c r="T30" s="550" t="str">
        <f t="shared" si="4"/>
        <v/>
      </c>
      <c r="U30" s="550" t="str">
        <f t="shared" si="5"/>
        <v/>
      </c>
      <c r="V30" s="537" t="str">
        <f t="shared" si="11"/>
        <v/>
      </c>
    </row>
    <row r="31" spans="1:22" ht="19.149999999999999" customHeight="1">
      <c r="A31" s="433" t="str">
        <f>IF($C31&lt;=$B$15,VLOOKUP(E31,leas!D18:F458,3,FALSE),"")</f>
        <v/>
      </c>
      <c r="B31" s="433">
        <f t="shared" si="6"/>
        <v>87313</v>
      </c>
      <c r="C31" s="433">
        <v>13</v>
      </c>
      <c r="E31" s="527" t="str">
        <f t="shared" si="0"/>
        <v xml:space="preserve"> </v>
      </c>
      <c r="F31" s="527" t="str">
        <f t="shared" si="1"/>
        <v xml:space="preserve"> </v>
      </c>
      <c r="G31" s="533" t="str">
        <f>IF($C31&lt;=$B$15,VLOOKUP(A31&amp;$B$11, localcont!A22:X1776, 18, FALSE), "")</f>
        <v/>
      </c>
      <c r="H31" s="534" t="str">
        <f>IF($C31&lt;=$B$15,VLOOKUP(A31&amp;$B$11, localcont!$A$10:$X$1764, 23, FALSE), "")</f>
        <v/>
      </c>
      <c r="I31" s="534" t="str">
        <f t="shared" si="7"/>
        <v xml:space="preserve"> </v>
      </c>
      <c r="J31" s="536" t="str">
        <f>IF($C31&lt;=$B$15,H31/VLOOKUP(A31&amp;"0999", localcont!$A$10:$X$1764, 23, FALSE), "")</f>
        <v/>
      </c>
      <c r="K31" s="533" t="str">
        <f>IF($C31&lt;=$B$15,VLOOKUP(A31&amp;$B$11, localcont!$A$10:$X$1764, 15, FALSE), "")</f>
        <v/>
      </c>
      <c r="L31" s="533" t="str">
        <f>IF($C31&lt;=$B$15,VLOOKUP(A31&amp;$B$11, localcont!$A$10:$X$1764, 14, FALSE),"")</f>
        <v/>
      </c>
      <c r="M31" s="534" t="str">
        <f t="shared" si="8"/>
        <v xml:space="preserve"> </v>
      </c>
      <c r="N31" s="535" t="str">
        <f>IF($C31&lt;=$B$15,VLOOKUP(A31&amp;$B$11, localcont!$A$10:$X$1764, 10, FALSE), "")</f>
        <v/>
      </c>
      <c r="O31" s="535" t="str">
        <f>IF($C31&lt;=$B$15,VLOOKUP(A31&amp;$B$11, localcont!$A$10:$X$1764, 12, FALSE), "")</f>
        <v/>
      </c>
      <c r="P31" s="536" t="str">
        <f t="shared" si="9"/>
        <v xml:space="preserve"> </v>
      </c>
      <c r="Q31" s="533" t="str">
        <f t="shared" si="2"/>
        <v/>
      </c>
      <c r="R31" s="533" t="str">
        <f t="shared" si="3"/>
        <v/>
      </c>
      <c r="S31" s="534" t="str">
        <f t="shared" si="10"/>
        <v xml:space="preserve"> </v>
      </c>
      <c r="T31" s="550" t="str">
        <f t="shared" si="4"/>
        <v/>
      </c>
      <c r="U31" s="550" t="str">
        <f t="shared" si="5"/>
        <v/>
      </c>
      <c r="V31" s="537" t="str">
        <f t="shared" si="11"/>
        <v/>
      </c>
    </row>
    <row r="32" spans="1:22" ht="19.149999999999999" customHeight="1">
      <c r="A32" s="433" t="str">
        <f>IF($C32&lt;=$B$15,VLOOKUP(E32,leas!D19:F459,3,FALSE),"")</f>
        <v/>
      </c>
      <c r="B32" s="433">
        <f t="shared" si="6"/>
        <v>87314</v>
      </c>
      <c r="C32" s="433">
        <v>14</v>
      </c>
      <c r="E32" s="527" t="str">
        <f t="shared" si="0"/>
        <v xml:space="preserve"> </v>
      </c>
      <c r="F32" s="527" t="str">
        <f t="shared" si="1"/>
        <v xml:space="preserve"> </v>
      </c>
      <c r="G32" s="533" t="str">
        <f>IF($C32&lt;=$B$15,VLOOKUP(A32&amp;$B$11, localcont!A23:X1777, 18, FALSE), "")</f>
        <v/>
      </c>
      <c r="H32" s="534" t="str">
        <f>IF($C32&lt;=$B$15,VLOOKUP(A32&amp;$B$11, localcont!$A$10:$X$1764, 23, FALSE), "")</f>
        <v/>
      </c>
      <c r="I32" s="534" t="str">
        <f t="shared" si="7"/>
        <v xml:space="preserve"> </v>
      </c>
      <c r="J32" s="536" t="str">
        <f>IF($C32&lt;=$B$15,H32/VLOOKUP(A32&amp;"0999", localcont!$A$10:$X$1764, 23, FALSE), "")</f>
        <v/>
      </c>
      <c r="K32" s="533" t="str">
        <f>IF($C32&lt;=$B$15,VLOOKUP(A32&amp;$B$11, localcont!$A$10:$X$1764, 15, FALSE), "")</f>
        <v/>
      </c>
      <c r="L32" s="533" t="str">
        <f>IF($C32&lt;=$B$15,VLOOKUP(A32&amp;$B$11, localcont!$A$10:$X$1764, 14, FALSE),"")</f>
        <v/>
      </c>
      <c r="M32" s="534" t="str">
        <f t="shared" si="8"/>
        <v xml:space="preserve"> </v>
      </c>
      <c r="N32" s="535" t="str">
        <f>IF($C32&lt;=$B$15,VLOOKUP(A32&amp;$B$11, localcont!$A$10:$X$1764, 10, FALSE), "")</f>
        <v/>
      </c>
      <c r="O32" s="535" t="str">
        <f>IF($C32&lt;=$B$15,VLOOKUP(A32&amp;$B$11, localcont!$A$10:$X$1764, 12, FALSE), "")</f>
        <v/>
      </c>
      <c r="P32" s="536" t="str">
        <f t="shared" si="9"/>
        <v xml:space="preserve"> </v>
      </c>
      <c r="Q32" s="533" t="str">
        <f t="shared" si="2"/>
        <v/>
      </c>
      <c r="R32" s="533" t="str">
        <f t="shared" si="3"/>
        <v/>
      </c>
      <c r="S32" s="534" t="str">
        <f t="shared" si="10"/>
        <v xml:space="preserve"> </v>
      </c>
      <c r="T32" s="550" t="str">
        <f t="shared" si="4"/>
        <v/>
      </c>
      <c r="U32" s="550" t="str">
        <f t="shared" si="5"/>
        <v/>
      </c>
      <c r="V32" s="537" t="str">
        <f t="shared" si="11"/>
        <v/>
      </c>
    </row>
    <row r="33" spans="1:22" ht="19.149999999999999" customHeight="1">
      <c r="A33" s="433" t="str">
        <f>IF($C33&lt;=$B$15,VLOOKUP(E33,leas!D20:F460,3,FALSE),"")</f>
        <v/>
      </c>
      <c r="B33" s="433">
        <f t="shared" si="6"/>
        <v>87315</v>
      </c>
      <c r="C33" s="433">
        <v>15</v>
      </c>
      <c r="E33" s="527" t="str">
        <f t="shared" si="0"/>
        <v xml:space="preserve"> </v>
      </c>
      <c r="F33" s="527" t="str">
        <f t="shared" si="1"/>
        <v xml:space="preserve"> </v>
      </c>
      <c r="G33" s="533" t="str">
        <f>IF($C33&lt;=$B$15,VLOOKUP(A33&amp;$B$11, localcont!A24:X1778, 18, FALSE), "")</f>
        <v/>
      </c>
      <c r="H33" s="534" t="str">
        <f>IF($C33&lt;=$B$15,VLOOKUP(A33&amp;$B$11, localcont!$A$10:$X$1764, 23, FALSE), "")</f>
        <v/>
      </c>
      <c r="I33" s="534" t="str">
        <f t="shared" si="7"/>
        <v xml:space="preserve"> </v>
      </c>
      <c r="J33" s="536" t="str">
        <f>IF($C33&lt;=$B$15,H33/VLOOKUP(A33&amp;"0999", localcont!$A$10:$X$1764, 23, FALSE), "")</f>
        <v/>
      </c>
      <c r="K33" s="533" t="str">
        <f>IF($C33&lt;=$B$15,VLOOKUP(A33&amp;$B$11, localcont!$A$10:$X$1764, 15, FALSE), "")</f>
        <v/>
      </c>
      <c r="L33" s="533" t="str">
        <f>IF($C33&lt;=$B$15,VLOOKUP(A33&amp;$B$11, localcont!$A$10:$X$1764, 14, FALSE),"")</f>
        <v/>
      </c>
      <c r="M33" s="534" t="str">
        <f t="shared" si="8"/>
        <v xml:space="preserve"> </v>
      </c>
      <c r="N33" s="535" t="str">
        <f>IF($C33&lt;=$B$15,VLOOKUP(A33&amp;$B$11, localcont!$A$10:$X$1764, 10, FALSE), "")</f>
        <v/>
      </c>
      <c r="O33" s="535" t="str">
        <f>IF($C33&lt;=$B$15,VLOOKUP(A33&amp;$B$11, localcont!$A$10:$X$1764, 12, FALSE), "")</f>
        <v/>
      </c>
      <c r="P33" s="536" t="str">
        <f t="shared" si="9"/>
        <v xml:space="preserve"> </v>
      </c>
      <c r="Q33" s="533" t="str">
        <f t="shared" si="2"/>
        <v/>
      </c>
      <c r="R33" s="533" t="str">
        <f t="shared" si="3"/>
        <v/>
      </c>
      <c r="S33" s="534" t="str">
        <f t="shared" si="10"/>
        <v xml:space="preserve"> </v>
      </c>
      <c r="T33" s="550" t="str">
        <f t="shared" si="4"/>
        <v/>
      </c>
      <c r="U33" s="550" t="str">
        <f t="shared" si="5"/>
        <v/>
      </c>
      <c r="V33" s="537" t="str">
        <f t="shared" si="11"/>
        <v/>
      </c>
    </row>
    <row r="34" spans="1:22" ht="19.149999999999999" customHeight="1">
      <c r="A34" s="433" t="str">
        <f>IF($C34&lt;=$B$15,VLOOKUP(E34,leas!D21:F461,3,FALSE),"")</f>
        <v/>
      </c>
      <c r="B34" s="433">
        <f t="shared" si="6"/>
        <v>87316</v>
      </c>
      <c r="C34" s="433">
        <v>16</v>
      </c>
      <c r="E34" s="527" t="str">
        <f t="shared" si="0"/>
        <v xml:space="preserve"> </v>
      </c>
      <c r="F34" s="527" t="str">
        <f t="shared" si="1"/>
        <v xml:space="preserve"> </v>
      </c>
      <c r="G34" s="533" t="str">
        <f>IF($C34&lt;=$B$15,VLOOKUP(A34&amp;$B$11, localcont!A25:X1779, 18, FALSE), "")</f>
        <v/>
      </c>
      <c r="H34" s="534" t="str">
        <f>IF($C34&lt;=$B$15,VLOOKUP(A34&amp;$B$11, localcont!$A$10:$X$1764, 23, FALSE), "")</f>
        <v/>
      </c>
      <c r="I34" s="534" t="str">
        <f t="shared" si="7"/>
        <v xml:space="preserve"> </v>
      </c>
      <c r="J34" s="536" t="str">
        <f>IF($C34&lt;=$B$15,H34/VLOOKUP(A34&amp;"0999", localcont!$A$10:$X$1764, 23, FALSE), "")</f>
        <v/>
      </c>
      <c r="K34" s="533" t="str">
        <f>IF($C34&lt;=$B$15,VLOOKUP(A34&amp;$B$11, localcont!$A$10:$X$1764, 15, FALSE), "")</f>
        <v/>
      </c>
      <c r="L34" s="533" t="str">
        <f>IF($C34&lt;=$B$15,VLOOKUP(A34&amp;$B$11, localcont!$A$10:$X$1764, 14, FALSE),"")</f>
        <v/>
      </c>
      <c r="M34" s="534" t="str">
        <f t="shared" si="8"/>
        <v xml:space="preserve"> </v>
      </c>
      <c r="N34" s="535" t="str">
        <f>IF($C34&lt;=$B$15,VLOOKUP(A34&amp;$B$11, localcont!$A$10:$X$1764, 10, FALSE), "")</f>
        <v/>
      </c>
      <c r="O34" s="535" t="str">
        <f>IF($C34&lt;=$B$15,VLOOKUP(A34&amp;$B$11, localcont!$A$10:$X$1764, 12, FALSE), "")</f>
        <v/>
      </c>
      <c r="P34" s="536" t="str">
        <f t="shared" si="9"/>
        <v xml:space="preserve"> </v>
      </c>
      <c r="Q34" s="533" t="str">
        <f t="shared" si="2"/>
        <v/>
      </c>
      <c r="R34" s="533" t="str">
        <f t="shared" si="3"/>
        <v/>
      </c>
      <c r="S34" s="534" t="str">
        <f t="shared" si="10"/>
        <v xml:space="preserve"> </v>
      </c>
      <c r="T34" s="550" t="str">
        <f t="shared" si="4"/>
        <v/>
      </c>
      <c r="U34" s="550" t="str">
        <f t="shared" si="5"/>
        <v/>
      </c>
      <c r="V34" s="537" t="str">
        <f t="shared" si="11"/>
        <v/>
      </c>
    </row>
    <row r="35" spans="1:22" ht="19.149999999999999" customHeight="1">
      <c r="A35" s="433" t="str">
        <f>IF($C35&lt;=$B$15,VLOOKUP(E35,leas!D22:F462,3,FALSE),"")</f>
        <v/>
      </c>
      <c r="B35" s="433">
        <f t="shared" si="6"/>
        <v>87317</v>
      </c>
      <c r="C35" s="433">
        <v>17</v>
      </c>
      <c r="E35" s="527" t="str">
        <f t="shared" si="0"/>
        <v xml:space="preserve"> </v>
      </c>
      <c r="F35" s="527" t="str">
        <f t="shared" si="1"/>
        <v xml:space="preserve"> </v>
      </c>
      <c r="G35" s="533" t="str">
        <f>IF($C35&lt;=$B$15,VLOOKUP(A35&amp;$B$11, localcont!A26:X1780, 18, FALSE), "")</f>
        <v/>
      </c>
      <c r="H35" s="534" t="str">
        <f>IF($C35&lt;=$B$15,VLOOKUP(A35&amp;$B$11, localcont!$A$10:$X$1764, 23, FALSE), "")</f>
        <v/>
      </c>
      <c r="I35" s="534" t="str">
        <f t="shared" si="7"/>
        <v xml:space="preserve"> </v>
      </c>
      <c r="J35" s="536" t="str">
        <f>IF($C35&lt;=$B$15,H35/VLOOKUP(A35&amp;"0999", localcont!$A$10:$X$1764, 23, FALSE), "")</f>
        <v/>
      </c>
      <c r="K35" s="533" t="str">
        <f>IF($C35&lt;=$B$15,VLOOKUP(A35&amp;$B$11, localcont!$A$10:$X$1764, 15, FALSE), "")</f>
        <v/>
      </c>
      <c r="L35" s="533" t="str">
        <f>IF($C35&lt;=$B$15,VLOOKUP(A35&amp;$B$11, localcont!$A$10:$X$1764, 14, FALSE),"")</f>
        <v/>
      </c>
      <c r="M35" s="534" t="str">
        <f t="shared" si="8"/>
        <v xml:space="preserve"> </v>
      </c>
      <c r="N35" s="535" t="str">
        <f>IF($C35&lt;=$B$15,VLOOKUP(A35&amp;$B$11, localcont!$A$10:$X$1764, 10, FALSE), "")</f>
        <v/>
      </c>
      <c r="O35" s="535" t="str">
        <f>IF($C35&lt;=$B$15,VLOOKUP(A35&amp;$B$11, localcont!$A$10:$X$1764, 12, FALSE), "")</f>
        <v/>
      </c>
      <c r="P35" s="536" t="str">
        <f t="shared" si="9"/>
        <v xml:space="preserve"> </v>
      </c>
      <c r="Q35" s="533" t="str">
        <f t="shared" si="2"/>
        <v/>
      </c>
      <c r="R35" s="533" t="str">
        <f t="shared" si="3"/>
        <v/>
      </c>
      <c r="S35" s="534" t="str">
        <f t="shared" si="10"/>
        <v xml:space="preserve"> </v>
      </c>
      <c r="T35" s="550" t="str">
        <f t="shared" si="4"/>
        <v/>
      </c>
      <c r="U35" s="550" t="str">
        <f t="shared" si="5"/>
        <v/>
      </c>
      <c r="V35" s="537" t="str">
        <f t="shared" si="11"/>
        <v/>
      </c>
    </row>
    <row r="36" spans="1:22" ht="19.149999999999999" customHeight="1">
      <c r="A36" s="433" t="str">
        <f>IF($C36&lt;=$B$15,VLOOKUP(E36,leas!D23:F463,3,FALSE),"")</f>
        <v/>
      </c>
      <c r="B36" s="433">
        <f t="shared" si="6"/>
        <v>87318</v>
      </c>
      <c r="C36" s="433">
        <v>18</v>
      </c>
      <c r="E36" s="527" t="str">
        <f t="shared" si="0"/>
        <v xml:space="preserve"> </v>
      </c>
      <c r="F36" s="527" t="str">
        <f t="shared" si="1"/>
        <v xml:space="preserve"> </v>
      </c>
      <c r="G36" s="533" t="str">
        <f>IF($C36&lt;=$B$15,VLOOKUP(A36&amp;$B$11, localcont!A27:X1781, 18, FALSE), "")</f>
        <v/>
      </c>
      <c r="H36" s="534" t="str">
        <f>IF($C36&lt;=$B$15,VLOOKUP(A36&amp;$B$11, localcont!$A$10:$X$1764, 23, FALSE), "")</f>
        <v/>
      </c>
      <c r="I36" s="534" t="str">
        <f t="shared" si="7"/>
        <v xml:space="preserve"> </v>
      </c>
      <c r="J36" s="536" t="str">
        <f>IF($C36&lt;=$B$15,H36/VLOOKUP(A36&amp;"0999", localcont!$A$10:$X$1764, 23, FALSE), "")</f>
        <v/>
      </c>
      <c r="K36" s="533" t="str">
        <f>IF($C36&lt;=$B$15,VLOOKUP(A36&amp;$B$11, localcont!$A$10:$X$1764, 15, FALSE), "")</f>
        <v/>
      </c>
      <c r="L36" s="533" t="str">
        <f>IF($C36&lt;=$B$15,VLOOKUP(A36&amp;$B$11, localcont!$A$10:$X$1764, 14, FALSE),"")</f>
        <v/>
      </c>
      <c r="M36" s="534" t="str">
        <f t="shared" si="8"/>
        <v xml:space="preserve"> </v>
      </c>
      <c r="N36" s="535" t="str">
        <f>IF($C36&lt;=$B$15,VLOOKUP(A36&amp;$B$11, localcont!$A$10:$X$1764, 10, FALSE), "")</f>
        <v/>
      </c>
      <c r="O36" s="535" t="str">
        <f>IF($C36&lt;=$B$15,VLOOKUP(A36&amp;$B$11, localcont!$A$10:$X$1764, 12, FALSE), "")</f>
        <v/>
      </c>
      <c r="P36" s="536" t="str">
        <f t="shared" si="9"/>
        <v xml:space="preserve"> </v>
      </c>
      <c r="Q36" s="533" t="str">
        <f t="shared" si="2"/>
        <v/>
      </c>
      <c r="R36" s="533" t="str">
        <f t="shared" si="3"/>
        <v/>
      </c>
      <c r="S36" s="534" t="str">
        <f t="shared" si="10"/>
        <v xml:space="preserve"> </v>
      </c>
      <c r="T36" s="550" t="str">
        <f t="shared" si="4"/>
        <v/>
      </c>
      <c r="U36" s="550" t="str">
        <f t="shared" si="5"/>
        <v/>
      </c>
      <c r="V36" s="537" t="str">
        <f t="shared" si="11"/>
        <v/>
      </c>
    </row>
    <row r="37" spans="1:22" ht="19.149999999999999" customHeight="1">
      <c r="A37" s="433" t="str">
        <f>IF($C37&lt;=$B$15,VLOOKUP(E37,leas!D24:F464,3,FALSE),"")</f>
        <v/>
      </c>
      <c r="B37" s="433">
        <f t="shared" si="6"/>
        <v>87319</v>
      </c>
      <c r="C37" s="433">
        <v>19</v>
      </c>
      <c r="E37" s="527" t="str">
        <f t="shared" si="0"/>
        <v xml:space="preserve"> </v>
      </c>
      <c r="F37" s="527" t="str">
        <f t="shared" si="1"/>
        <v xml:space="preserve"> </v>
      </c>
      <c r="G37" s="533" t="str">
        <f>IF($C37&lt;=$B$15,VLOOKUP(A37&amp;$B$11, localcont!A28:X1782, 18, FALSE), "")</f>
        <v/>
      </c>
      <c r="H37" s="534" t="str">
        <f>IF($C37&lt;=$B$15,VLOOKUP(A37&amp;$B$11, localcont!$A$10:$X$1764, 23, FALSE), "")</f>
        <v/>
      </c>
      <c r="I37" s="534" t="str">
        <f t="shared" si="7"/>
        <v xml:space="preserve"> </v>
      </c>
      <c r="J37" s="536" t="str">
        <f>IF($C37&lt;=$B$15,H37/VLOOKUP(A37&amp;"0999", localcont!$A$10:$X$1764, 23, FALSE), "")</f>
        <v/>
      </c>
      <c r="K37" s="533" t="str">
        <f>IF($C37&lt;=$B$15,VLOOKUP(A37&amp;$B$11, localcont!$A$10:$X$1764, 15, FALSE), "")</f>
        <v/>
      </c>
      <c r="L37" s="533" t="str">
        <f>IF($C37&lt;=$B$15,VLOOKUP(A37&amp;$B$11, localcont!$A$10:$X$1764, 14, FALSE),"")</f>
        <v/>
      </c>
      <c r="M37" s="534" t="str">
        <f t="shared" si="8"/>
        <v xml:space="preserve"> </v>
      </c>
      <c r="N37" s="535" t="str">
        <f>IF($C37&lt;=$B$15,VLOOKUP(A37&amp;$B$11, localcont!$A$10:$X$1764, 10, FALSE), "")</f>
        <v/>
      </c>
      <c r="O37" s="535" t="str">
        <f>IF($C37&lt;=$B$15,VLOOKUP(A37&amp;$B$11, localcont!$A$10:$X$1764, 12, FALSE), "")</f>
        <v/>
      </c>
      <c r="P37" s="536" t="str">
        <f t="shared" si="9"/>
        <v xml:space="preserve"> </v>
      </c>
      <c r="Q37" s="533" t="str">
        <f t="shared" si="2"/>
        <v/>
      </c>
      <c r="R37" s="533" t="str">
        <f t="shared" si="3"/>
        <v/>
      </c>
      <c r="S37" s="534" t="str">
        <f t="shared" si="10"/>
        <v xml:space="preserve"> </v>
      </c>
      <c r="T37" s="550" t="str">
        <f t="shared" si="4"/>
        <v/>
      </c>
      <c r="U37" s="550" t="str">
        <f t="shared" si="5"/>
        <v/>
      </c>
      <c r="V37" s="537" t="str">
        <f t="shared" si="11"/>
        <v/>
      </c>
    </row>
    <row r="38" spans="1:22" ht="19.149999999999999" customHeight="1">
      <c r="A38" s="433" t="str">
        <f>IF($C38&lt;=$B$15,VLOOKUP(E38,leas!D25:F465,3,FALSE),"")</f>
        <v/>
      </c>
      <c r="B38" s="433">
        <f t="shared" si="6"/>
        <v>87320</v>
      </c>
      <c r="C38" s="433">
        <v>20</v>
      </c>
      <c r="E38" s="527" t="str">
        <f t="shared" si="0"/>
        <v xml:space="preserve"> </v>
      </c>
      <c r="F38" s="527" t="str">
        <f t="shared" si="1"/>
        <v xml:space="preserve"> </v>
      </c>
      <c r="G38" s="533" t="str">
        <f>IF($C38&lt;=$B$15,VLOOKUP(A38&amp;$B$11, localcont!A29:X1783, 18, FALSE), "")</f>
        <v/>
      </c>
      <c r="H38" s="534" t="str">
        <f>IF($C38&lt;=$B$15,VLOOKUP(A38&amp;$B$11, localcont!$A$10:$X$1764, 23, FALSE), "")</f>
        <v/>
      </c>
      <c r="I38" s="534" t="str">
        <f t="shared" si="7"/>
        <v xml:space="preserve"> </v>
      </c>
      <c r="J38" s="536" t="str">
        <f>IF($C38&lt;=$B$15,H38/VLOOKUP(A38&amp;"0999", localcont!$A$10:$X$1764, 23, FALSE), "")</f>
        <v/>
      </c>
      <c r="K38" s="533" t="str">
        <f>IF($C38&lt;=$B$15,VLOOKUP(A38&amp;$B$11, localcont!$A$10:$X$1764, 15, FALSE), "")</f>
        <v/>
      </c>
      <c r="L38" s="533" t="str">
        <f>IF($C38&lt;=$B$15,VLOOKUP(A38&amp;$B$11, localcont!$A$10:$X$1764, 14, FALSE),"")</f>
        <v/>
      </c>
      <c r="M38" s="534" t="str">
        <f t="shared" si="8"/>
        <v xml:space="preserve"> </v>
      </c>
      <c r="N38" s="535" t="str">
        <f>IF($C38&lt;=$B$15,VLOOKUP(A38&amp;$B$11, localcont!$A$10:$X$1764, 10, FALSE), "")</f>
        <v/>
      </c>
      <c r="O38" s="535" t="str">
        <f>IF($C38&lt;=$B$15,VLOOKUP(A38&amp;$B$11, localcont!$A$10:$X$1764, 12, FALSE), "")</f>
        <v/>
      </c>
      <c r="P38" s="536" t="str">
        <f t="shared" si="9"/>
        <v xml:space="preserve"> </v>
      </c>
      <c r="Q38" s="533" t="str">
        <f t="shared" si="2"/>
        <v/>
      </c>
      <c r="R38" s="533" t="str">
        <f t="shared" si="3"/>
        <v/>
      </c>
      <c r="S38" s="534" t="str">
        <f t="shared" si="10"/>
        <v xml:space="preserve"> </v>
      </c>
      <c r="T38" s="550" t="str">
        <f t="shared" si="4"/>
        <v/>
      </c>
      <c r="U38" s="550" t="str">
        <f t="shared" si="5"/>
        <v/>
      </c>
      <c r="V38" s="537" t="str">
        <f t="shared" si="11"/>
        <v/>
      </c>
    </row>
    <row r="39" spans="1:22" ht="19.149999999999999" customHeight="1">
      <c r="A39" s="433" t="str">
        <f>IF($C39&lt;=$B$15,VLOOKUP(E39,leas!D26:F466,3,FALSE),"")</f>
        <v/>
      </c>
      <c r="B39" s="433">
        <f t="shared" si="6"/>
        <v>87321</v>
      </c>
      <c r="C39" s="433">
        <v>21</v>
      </c>
      <c r="E39" s="527" t="str">
        <f t="shared" si="0"/>
        <v xml:space="preserve"> </v>
      </c>
      <c r="F39" s="527" t="str">
        <f t="shared" si="1"/>
        <v xml:space="preserve"> </v>
      </c>
      <c r="G39" s="533" t="str">
        <f>IF($C39&lt;=$B$15,VLOOKUP(A39&amp;$B$11, localcont!A30:X1784, 18, FALSE), "")</f>
        <v/>
      </c>
      <c r="H39" s="534" t="str">
        <f>IF($C39&lt;=$B$15,VLOOKUP(A39&amp;$B$11, localcont!$A$10:$X$1764, 23, FALSE), "")</f>
        <v/>
      </c>
      <c r="I39" s="534" t="str">
        <f t="shared" si="7"/>
        <v xml:space="preserve"> </v>
      </c>
      <c r="J39" s="536" t="str">
        <f>IF($C39&lt;=$B$15,H39/VLOOKUP(A39&amp;"0999", localcont!$A$10:$X$1764, 23, FALSE), "")</f>
        <v/>
      </c>
      <c r="K39" s="533" t="str">
        <f>IF($C39&lt;=$B$15,VLOOKUP(A39&amp;$B$11, localcont!$A$10:$X$1764, 15, FALSE), "")</f>
        <v/>
      </c>
      <c r="L39" s="533" t="str">
        <f>IF($C39&lt;=$B$15,VLOOKUP(A39&amp;$B$11, localcont!$A$10:$X$1764, 14, FALSE),"")</f>
        <v/>
      </c>
      <c r="M39" s="534" t="str">
        <f t="shared" si="8"/>
        <v xml:space="preserve"> </v>
      </c>
      <c r="N39" s="535" t="str">
        <f>IF($C39&lt;=$B$15,VLOOKUP(A39&amp;$B$11, localcont!$A$10:$X$1764, 10, FALSE), "")</f>
        <v/>
      </c>
      <c r="O39" s="535" t="str">
        <f>IF($C39&lt;=$B$15,VLOOKUP(A39&amp;$B$11, localcont!$A$10:$X$1764, 12, FALSE), "")</f>
        <v/>
      </c>
      <c r="P39" s="536" t="str">
        <f t="shared" si="9"/>
        <v xml:space="preserve"> </v>
      </c>
      <c r="Q39" s="533" t="str">
        <f t="shared" si="2"/>
        <v/>
      </c>
      <c r="R39" s="533" t="str">
        <f t="shared" si="3"/>
        <v/>
      </c>
      <c r="S39" s="534" t="str">
        <f t="shared" si="10"/>
        <v xml:space="preserve"> </v>
      </c>
      <c r="T39" s="550" t="str">
        <f t="shared" si="4"/>
        <v/>
      </c>
      <c r="U39" s="550" t="str">
        <f t="shared" si="5"/>
        <v/>
      </c>
      <c r="V39" s="537" t="str">
        <f t="shared" si="11"/>
        <v/>
      </c>
    </row>
    <row r="40" spans="1:22" ht="19.149999999999999" customHeight="1">
      <c r="A40" s="433" t="str">
        <f>IF($C40&lt;=$B$15,VLOOKUP(E40,leas!D27:F467,3,FALSE),"")</f>
        <v/>
      </c>
      <c r="B40" s="433">
        <f t="shared" si="6"/>
        <v>87322</v>
      </c>
      <c r="C40" s="433">
        <v>22</v>
      </c>
      <c r="E40" s="527" t="str">
        <f t="shared" si="0"/>
        <v xml:space="preserve"> </v>
      </c>
      <c r="F40" s="527" t="str">
        <f t="shared" si="1"/>
        <v xml:space="preserve"> </v>
      </c>
      <c r="G40" s="533" t="str">
        <f>IF($C40&lt;=$B$15,VLOOKUP(A40&amp;$B$11, localcont!A31:X1785, 18, FALSE), "")</f>
        <v/>
      </c>
      <c r="H40" s="534" t="str">
        <f>IF($C40&lt;=$B$15,VLOOKUP(A40&amp;$B$11, localcont!$A$10:$X$1764, 23, FALSE), "")</f>
        <v/>
      </c>
      <c r="I40" s="534" t="str">
        <f t="shared" si="7"/>
        <v xml:space="preserve"> </v>
      </c>
      <c r="J40" s="536" t="str">
        <f>IF($C40&lt;=$B$15,H40/VLOOKUP(A40&amp;"0999", localcont!$A$10:$X$1764, 23, FALSE), "")</f>
        <v/>
      </c>
      <c r="K40" s="533" t="str">
        <f>IF($C40&lt;=$B$15,VLOOKUP(A40&amp;$B$11, localcont!$A$10:$X$1764, 15, FALSE), "")</f>
        <v/>
      </c>
      <c r="L40" s="533" t="str">
        <f>IF($C40&lt;=$B$15,VLOOKUP(A40&amp;$B$11, localcont!$A$10:$X$1764, 14, FALSE),"")</f>
        <v/>
      </c>
      <c r="M40" s="534" t="str">
        <f t="shared" si="8"/>
        <v xml:space="preserve"> </v>
      </c>
      <c r="N40" s="535" t="str">
        <f>IF($C40&lt;=$B$15,VLOOKUP(A40&amp;$B$11, localcont!$A$10:$X$1764, 10, FALSE), "")</f>
        <v/>
      </c>
      <c r="O40" s="535" t="str">
        <f>IF($C40&lt;=$B$15,VLOOKUP(A40&amp;$B$11, localcont!$A$10:$X$1764, 12, FALSE), "")</f>
        <v/>
      </c>
      <c r="P40" s="536" t="str">
        <f t="shared" si="9"/>
        <v xml:space="preserve"> </v>
      </c>
      <c r="Q40" s="533" t="str">
        <f t="shared" si="2"/>
        <v/>
      </c>
      <c r="R40" s="533" t="str">
        <f t="shared" si="3"/>
        <v/>
      </c>
      <c r="S40" s="534" t="str">
        <f t="shared" si="10"/>
        <v xml:space="preserve"> </v>
      </c>
      <c r="T40" s="550" t="str">
        <f t="shared" si="4"/>
        <v/>
      </c>
      <c r="U40" s="550" t="str">
        <f t="shared" si="5"/>
        <v/>
      </c>
      <c r="V40" s="537" t="str">
        <f t="shared" si="11"/>
        <v/>
      </c>
    </row>
    <row r="41" spans="1:22" ht="19.149999999999999" customHeight="1">
      <c r="A41" s="433" t="str">
        <f>IF($C41&lt;=$B$15,VLOOKUP(E41,leas!D28:F468,3,FALSE),"")</f>
        <v/>
      </c>
      <c r="B41" s="433">
        <f t="shared" si="6"/>
        <v>87323</v>
      </c>
      <c r="C41" s="433">
        <v>23</v>
      </c>
      <c r="E41" s="527" t="str">
        <f t="shared" si="0"/>
        <v xml:space="preserve"> </v>
      </c>
      <c r="F41" s="527" t="str">
        <f t="shared" si="1"/>
        <v xml:space="preserve"> </v>
      </c>
      <c r="G41" s="533" t="str">
        <f>IF($C41&lt;=$B$15,VLOOKUP(A41&amp;$B$11, localcont!A32:X1786, 18, FALSE), "")</f>
        <v/>
      </c>
      <c r="H41" s="534" t="str">
        <f>IF($C41&lt;=$B$15,VLOOKUP(A41&amp;$B$11, localcont!$A$10:$X$1764, 23, FALSE), "")</f>
        <v/>
      </c>
      <c r="I41" s="534" t="str">
        <f t="shared" si="7"/>
        <v xml:space="preserve"> </v>
      </c>
      <c r="J41" s="536" t="str">
        <f>IF($C41&lt;=$B$15,H41/VLOOKUP(A41&amp;"0999", localcont!$A$10:$X$1764, 23, FALSE), "")</f>
        <v/>
      </c>
      <c r="K41" s="533" t="str">
        <f>IF($C41&lt;=$B$15,VLOOKUP(A41&amp;$B$11, localcont!$A$10:$X$1764, 15, FALSE), "")</f>
        <v/>
      </c>
      <c r="L41" s="533" t="str">
        <f>IF($C41&lt;=$B$15,VLOOKUP(A41&amp;$B$11, localcont!$A$10:$X$1764, 14, FALSE),"")</f>
        <v/>
      </c>
      <c r="M41" s="534" t="str">
        <f t="shared" si="8"/>
        <v xml:space="preserve"> </v>
      </c>
      <c r="N41" s="535" t="str">
        <f>IF($C41&lt;=$B$15,VLOOKUP(A41&amp;$B$11, localcont!$A$10:$X$1764, 10, FALSE), "")</f>
        <v/>
      </c>
      <c r="O41" s="535" t="str">
        <f>IF($C41&lt;=$B$15,VLOOKUP(A41&amp;$B$11, localcont!$A$10:$X$1764, 12, FALSE), "")</f>
        <v/>
      </c>
      <c r="P41" s="536" t="str">
        <f t="shared" si="9"/>
        <v xml:space="preserve"> </v>
      </c>
      <c r="Q41" s="533" t="str">
        <f t="shared" si="2"/>
        <v/>
      </c>
      <c r="R41" s="533" t="str">
        <f t="shared" si="3"/>
        <v/>
      </c>
      <c r="S41" s="534" t="str">
        <f t="shared" si="10"/>
        <v xml:space="preserve"> </v>
      </c>
      <c r="T41" s="550" t="str">
        <f t="shared" si="4"/>
        <v/>
      </c>
      <c r="U41" s="550" t="str">
        <f t="shared" si="5"/>
        <v/>
      </c>
      <c r="V41" s="537" t="str">
        <f t="shared" si="11"/>
        <v/>
      </c>
    </row>
    <row r="42" spans="1:22" ht="19.149999999999999" customHeight="1">
      <c r="A42" s="433" t="str">
        <f>IF($C42&lt;=$B$15,VLOOKUP(E42,leas!D29:F469,3,FALSE),"")</f>
        <v/>
      </c>
      <c r="B42" s="433">
        <f t="shared" si="6"/>
        <v>87324</v>
      </c>
      <c r="C42" s="433">
        <v>24</v>
      </c>
      <c r="E42" s="527" t="str">
        <f t="shared" si="0"/>
        <v xml:space="preserve"> </v>
      </c>
      <c r="F42" s="527" t="str">
        <f t="shared" si="1"/>
        <v xml:space="preserve"> </v>
      </c>
      <c r="G42" s="533" t="str">
        <f>IF($C42&lt;=$B$15,VLOOKUP(A42&amp;$B$11, localcont!A33:X1787, 18, FALSE), "")</f>
        <v/>
      </c>
      <c r="H42" s="534" t="str">
        <f>IF($C42&lt;=$B$15,VLOOKUP(A42&amp;$B$11, localcont!$A$10:$X$1764, 23, FALSE), "")</f>
        <v/>
      </c>
      <c r="I42" s="534" t="str">
        <f t="shared" si="7"/>
        <v xml:space="preserve"> </v>
      </c>
      <c r="J42" s="536" t="str">
        <f>IF($C42&lt;=$B$15,H42/VLOOKUP(A42&amp;"0999", localcont!$A$10:$X$1764, 23, FALSE), "")</f>
        <v/>
      </c>
      <c r="K42" s="533" t="str">
        <f>IF($C42&lt;=$B$15,VLOOKUP(A42&amp;$B$11, localcont!$A$10:$X$1764, 15, FALSE), "")</f>
        <v/>
      </c>
      <c r="L42" s="533" t="str">
        <f>IF($C42&lt;=$B$15,VLOOKUP(A42&amp;$B$11, localcont!$A$10:$X$1764, 14, FALSE),"")</f>
        <v/>
      </c>
      <c r="M42" s="534" t="str">
        <f t="shared" si="8"/>
        <v xml:space="preserve"> </v>
      </c>
      <c r="N42" s="535" t="str">
        <f>IF($C42&lt;=$B$15,VLOOKUP(A42&amp;$B$11, localcont!$A$10:$X$1764, 10, FALSE), "")</f>
        <v/>
      </c>
      <c r="O42" s="535" t="str">
        <f>IF($C42&lt;=$B$15,VLOOKUP(A42&amp;$B$11, localcont!$A$10:$X$1764, 12, FALSE), "")</f>
        <v/>
      </c>
      <c r="P42" s="536" t="str">
        <f t="shared" si="9"/>
        <v xml:space="preserve"> </v>
      </c>
      <c r="Q42" s="533" t="str">
        <f t="shared" si="2"/>
        <v/>
      </c>
      <c r="R42" s="533" t="str">
        <f t="shared" si="3"/>
        <v/>
      </c>
      <c r="S42" s="534" t="str">
        <f t="shared" si="10"/>
        <v xml:space="preserve"> </v>
      </c>
      <c r="T42" s="550" t="str">
        <f t="shared" si="4"/>
        <v/>
      </c>
      <c r="U42" s="550" t="str">
        <f t="shared" si="5"/>
        <v/>
      </c>
      <c r="V42" s="537" t="str">
        <f t="shared" si="11"/>
        <v/>
      </c>
    </row>
    <row r="43" spans="1:22" ht="19.149999999999999" customHeight="1">
      <c r="A43" s="433" t="str">
        <f>IF($C43&lt;=$B$15,VLOOKUP(E43,leas!D30:F470,3,FALSE),"")</f>
        <v/>
      </c>
      <c r="B43" s="433">
        <f t="shared" si="6"/>
        <v>87325</v>
      </c>
      <c r="C43" s="433">
        <v>25</v>
      </c>
      <c r="E43" s="527" t="str">
        <f t="shared" si="0"/>
        <v xml:space="preserve"> </v>
      </c>
      <c r="F43" s="527" t="str">
        <f t="shared" si="1"/>
        <v xml:space="preserve"> </v>
      </c>
      <c r="G43" s="533" t="str">
        <f>IF($C43&lt;=$B$15,VLOOKUP(A43&amp;$B$11, localcont!A34:X1788, 18, FALSE), "")</f>
        <v/>
      </c>
      <c r="H43" s="534" t="str">
        <f>IF($C43&lt;=$B$15,VLOOKUP(A43&amp;$B$11, localcont!$A$10:$X$1764, 23, FALSE), "")</f>
        <v/>
      </c>
      <c r="I43" s="534" t="str">
        <f t="shared" si="7"/>
        <v xml:space="preserve"> </v>
      </c>
      <c r="J43" s="536" t="str">
        <f>IF($C43&lt;=$B$15,H43/VLOOKUP(A43&amp;"0999", localcont!$A$10:$X$1764, 23, FALSE), "")</f>
        <v/>
      </c>
      <c r="K43" s="533" t="str">
        <f>IF($C43&lt;=$B$15,VLOOKUP(A43&amp;$B$11, localcont!$A$10:$X$1764, 15, FALSE), "")</f>
        <v/>
      </c>
      <c r="L43" s="533" t="str">
        <f>IF($C43&lt;=$B$15,VLOOKUP(A43&amp;$B$11, localcont!$A$10:$X$1764, 14, FALSE),"")</f>
        <v/>
      </c>
      <c r="M43" s="534" t="str">
        <f t="shared" si="8"/>
        <v xml:space="preserve"> </v>
      </c>
      <c r="N43" s="535" t="str">
        <f>IF($C43&lt;=$B$15,VLOOKUP(A43&amp;$B$11, localcont!$A$10:$X$1764, 10, FALSE), "")</f>
        <v/>
      </c>
      <c r="O43" s="535" t="str">
        <f>IF($C43&lt;=$B$15,VLOOKUP(A43&amp;$B$11, localcont!$A$10:$X$1764, 12, FALSE), "")</f>
        <v/>
      </c>
      <c r="P43" s="536" t="str">
        <f t="shared" si="9"/>
        <v xml:space="preserve"> </v>
      </c>
      <c r="Q43" s="533" t="str">
        <f t="shared" si="2"/>
        <v/>
      </c>
      <c r="R43" s="533" t="str">
        <f t="shared" si="3"/>
        <v/>
      </c>
      <c r="S43" s="534" t="str">
        <f t="shared" si="10"/>
        <v xml:space="preserve"> </v>
      </c>
      <c r="T43" s="550" t="str">
        <f t="shared" si="4"/>
        <v/>
      </c>
      <c r="U43" s="550" t="str">
        <f t="shared" si="5"/>
        <v/>
      </c>
      <c r="V43" s="537" t="str">
        <f t="shared" si="11"/>
        <v/>
      </c>
    </row>
    <row r="44" spans="1:22" ht="19.149999999999999" customHeight="1">
      <c r="A44" s="433" t="str">
        <f>IF($C44&lt;=$B$15,VLOOKUP(E44,leas!D31:F471,3,FALSE),"")</f>
        <v/>
      </c>
      <c r="B44" s="433">
        <f t="shared" si="6"/>
        <v>87326</v>
      </c>
      <c r="C44" s="433">
        <v>26</v>
      </c>
      <c r="E44" s="527" t="str">
        <f t="shared" si="0"/>
        <v xml:space="preserve"> </v>
      </c>
      <c r="F44" s="527" t="str">
        <f t="shared" si="1"/>
        <v xml:space="preserve"> </v>
      </c>
      <c r="G44" s="533" t="str">
        <f>IF($C44&lt;=$B$15,VLOOKUP(A44&amp;$B$11, localcont!A35:X1789, 18, FALSE), "")</f>
        <v/>
      </c>
      <c r="H44" s="534" t="str">
        <f>IF($C44&lt;=$B$15,VLOOKUP(A44&amp;$B$11, localcont!$A$10:$X$1764, 23, FALSE), "")</f>
        <v/>
      </c>
      <c r="I44" s="534" t="str">
        <f t="shared" si="7"/>
        <v xml:space="preserve"> </v>
      </c>
      <c r="J44" s="536" t="str">
        <f>IF($C44&lt;=$B$15,H44/VLOOKUP(A44&amp;"0999", localcont!$A$10:$X$1764, 23, FALSE), "")</f>
        <v/>
      </c>
      <c r="K44" s="533" t="str">
        <f>IF($C44&lt;=$B$15,VLOOKUP(A44&amp;$B$11, localcont!$A$10:$X$1764, 15, FALSE), "")</f>
        <v/>
      </c>
      <c r="L44" s="533" t="str">
        <f>IF($C44&lt;=$B$15,VLOOKUP(A44&amp;$B$11, localcont!$A$10:$X$1764, 14, FALSE),"")</f>
        <v/>
      </c>
      <c r="M44" s="534" t="str">
        <f t="shared" si="8"/>
        <v xml:space="preserve"> </v>
      </c>
      <c r="N44" s="535" t="str">
        <f>IF($C44&lt;=$B$15,VLOOKUP(A44&amp;$B$11, localcont!$A$10:$X$1764, 10, FALSE), "")</f>
        <v/>
      </c>
      <c r="O44" s="535" t="str">
        <f>IF($C44&lt;=$B$15,VLOOKUP(A44&amp;$B$11, localcont!$A$10:$X$1764, 12, FALSE), "")</f>
        <v/>
      </c>
      <c r="P44" s="536" t="str">
        <f t="shared" si="9"/>
        <v xml:space="preserve"> </v>
      </c>
      <c r="Q44" s="533" t="str">
        <f t="shared" si="2"/>
        <v/>
      </c>
      <c r="R44" s="533" t="str">
        <f t="shared" si="3"/>
        <v/>
      </c>
      <c r="S44" s="534" t="str">
        <f t="shared" si="10"/>
        <v xml:space="preserve"> </v>
      </c>
      <c r="T44" s="550" t="str">
        <f t="shared" si="4"/>
        <v/>
      </c>
      <c r="U44" s="550" t="str">
        <f t="shared" si="5"/>
        <v/>
      </c>
      <c r="V44" s="537" t="str">
        <f t="shared" si="11"/>
        <v/>
      </c>
    </row>
    <row r="45" spans="1:22" ht="19.149999999999999" customHeight="1">
      <c r="A45" s="433" t="str">
        <f>IF($C45&lt;=$B$15,VLOOKUP(E45,leas!D32:F472,3,FALSE),"")</f>
        <v/>
      </c>
      <c r="B45" s="433">
        <f t="shared" si="6"/>
        <v>87327</v>
      </c>
      <c r="C45" s="433">
        <v>27</v>
      </c>
      <c r="E45" s="527" t="str">
        <f t="shared" si="0"/>
        <v xml:space="preserve"> </v>
      </c>
      <c r="F45" s="527" t="str">
        <f t="shared" si="1"/>
        <v xml:space="preserve"> </v>
      </c>
      <c r="G45" s="533" t="str">
        <f>IF($C45&lt;=$B$15,VLOOKUP(A45&amp;$B$11, localcont!A36:X1790, 18, FALSE), "")</f>
        <v/>
      </c>
      <c r="H45" s="534" t="str">
        <f>IF($C45&lt;=$B$15,VLOOKUP(A45&amp;$B$11, localcont!$A$10:$X$1764, 23, FALSE), "")</f>
        <v/>
      </c>
      <c r="I45" s="534" t="str">
        <f t="shared" si="7"/>
        <v xml:space="preserve"> </v>
      </c>
      <c r="J45" s="536" t="str">
        <f>IF($C45&lt;=$B$15,H45/VLOOKUP(A45&amp;"0999", localcont!$A$10:$X$1764, 23, FALSE), "")</f>
        <v/>
      </c>
      <c r="K45" s="533" t="str">
        <f>IF($C45&lt;=$B$15,VLOOKUP(A45&amp;$B$11, localcont!$A$10:$X$1764, 15, FALSE), "")</f>
        <v/>
      </c>
      <c r="L45" s="533" t="str">
        <f>IF($C45&lt;=$B$15,VLOOKUP(A45&amp;$B$11, localcont!$A$10:$X$1764, 14, FALSE),"")</f>
        <v/>
      </c>
      <c r="M45" s="534" t="str">
        <f t="shared" si="8"/>
        <v xml:space="preserve"> </v>
      </c>
      <c r="N45" s="535" t="str">
        <f>IF($C45&lt;=$B$15,VLOOKUP(A45&amp;$B$11, localcont!$A$10:$X$1764, 10, FALSE), "")</f>
        <v/>
      </c>
      <c r="O45" s="535" t="str">
        <f>IF($C45&lt;=$B$15,VLOOKUP(A45&amp;$B$11, localcont!$A$10:$X$1764, 12, FALSE), "")</f>
        <v/>
      </c>
      <c r="P45" s="536" t="str">
        <f t="shared" si="9"/>
        <v xml:space="preserve"> </v>
      </c>
      <c r="Q45" s="533" t="str">
        <f t="shared" si="2"/>
        <v/>
      </c>
      <c r="R45" s="533" t="str">
        <f t="shared" si="3"/>
        <v/>
      </c>
      <c r="S45" s="534" t="str">
        <f t="shared" si="10"/>
        <v xml:space="preserve"> </v>
      </c>
      <c r="T45" s="550" t="str">
        <f t="shared" si="4"/>
        <v/>
      </c>
      <c r="U45" s="550" t="str">
        <f t="shared" si="5"/>
        <v/>
      </c>
      <c r="V45" s="537" t="str">
        <f t="shared" si="11"/>
        <v/>
      </c>
    </row>
    <row r="46" spans="1:22" ht="19.149999999999999" customHeight="1">
      <c r="A46" s="433" t="str">
        <f>IF($C46&lt;=$B$15,VLOOKUP(E46,leas!D33:F473,3,FALSE),"")</f>
        <v/>
      </c>
      <c r="B46" s="433">
        <f t="shared" si="6"/>
        <v>87328</v>
      </c>
      <c r="C46" s="433">
        <v>28</v>
      </c>
      <c r="E46" s="527" t="str">
        <f t="shared" si="0"/>
        <v xml:space="preserve"> </v>
      </c>
      <c r="F46" s="527" t="str">
        <f t="shared" si="1"/>
        <v xml:space="preserve"> </v>
      </c>
      <c r="G46" s="533" t="str">
        <f>IF($C46&lt;=$B$15,VLOOKUP(A46&amp;$B$11, localcont!A37:X1791, 18, FALSE), "")</f>
        <v/>
      </c>
      <c r="H46" s="534" t="str">
        <f>IF($C46&lt;=$B$15,VLOOKUP(A46&amp;$B$11, localcont!$A$10:$X$1764, 23, FALSE), "")</f>
        <v/>
      </c>
      <c r="I46" s="534" t="str">
        <f t="shared" si="7"/>
        <v xml:space="preserve"> </v>
      </c>
      <c r="J46" s="536" t="str">
        <f>IF($C46&lt;=$B$15,H46/VLOOKUP(A46&amp;"0999", localcont!$A$10:$X$1764, 23, FALSE), "")</f>
        <v/>
      </c>
      <c r="K46" s="533" t="str">
        <f>IF($C46&lt;=$B$15,VLOOKUP(A46&amp;$B$11, localcont!$A$10:$X$1764, 15, FALSE), "")</f>
        <v/>
      </c>
      <c r="L46" s="533" t="str">
        <f>IF($C46&lt;=$B$15,VLOOKUP(A46&amp;$B$11, localcont!$A$10:$X$1764, 14, FALSE),"")</f>
        <v/>
      </c>
      <c r="M46" s="534" t="str">
        <f t="shared" si="8"/>
        <v xml:space="preserve"> </v>
      </c>
      <c r="N46" s="535" t="str">
        <f>IF($C46&lt;=$B$15,VLOOKUP(A46&amp;$B$11, localcont!$A$10:$X$1764, 10, FALSE), "")</f>
        <v/>
      </c>
      <c r="O46" s="535" t="str">
        <f>IF($C46&lt;=$B$15,VLOOKUP(A46&amp;$B$11, localcont!$A$10:$X$1764, 12, FALSE), "")</f>
        <v/>
      </c>
      <c r="P46" s="536" t="str">
        <f t="shared" si="9"/>
        <v xml:space="preserve"> </v>
      </c>
      <c r="Q46" s="533" t="str">
        <f t="shared" si="2"/>
        <v/>
      </c>
      <c r="R46" s="533" t="str">
        <f t="shared" si="3"/>
        <v/>
      </c>
      <c r="S46" s="534" t="str">
        <f t="shared" si="10"/>
        <v xml:space="preserve"> </v>
      </c>
      <c r="T46" s="550" t="str">
        <f t="shared" si="4"/>
        <v/>
      </c>
      <c r="U46" s="550" t="str">
        <f t="shared" si="5"/>
        <v/>
      </c>
      <c r="V46" s="537" t="str">
        <f t="shared" si="11"/>
        <v/>
      </c>
    </row>
    <row r="47" spans="1:22" ht="19.149999999999999" customHeight="1">
      <c r="A47" s="433" t="str">
        <f>IF($C47&lt;=$B$15,VLOOKUP(E47,leas!D34:F474,3,FALSE),"")</f>
        <v/>
      </c>
      <c r="B47" s="433">
        <f t="shared" si="6"/>
        <v>87329</v>
      </c>
      <c r="C47" s="433">
        <v>29</v>
      </c>
      <c r="E47" s="527" t="str">
        <f t="shared" si="0"/>
        <v xml:space="preserve"> </v>
      </c>
      <c r="F47" s="527" t="str">
        <f t="shared" si="1"/>
        <v xml:space="preserve"> </v>
      </c>
      <c r="G47" s="533" t="str">
        <f>IF($C47&lt;=$B$15,VLOOKUP(A47&amp;$B$11, localcont!A38:X1792, 18, FALSE), "")</f>
        <v/>
      </c>
      <c r="H47" s="534" t="str">
        <f>IF($C47&lt;=$B$15,VLOOKUP(A47&amp;$B$11, localcont!$A$10:$X$1764, 23, FALSE), "")</f>
        <v/>
      </c>
      <c r="I47" s="534" t="str">
        <f t="shared" si="7"/>
        <v xml:space="preserve"> </v>
      </c>
      <c r="J47" s="536" t="str">
        <f>IF($C47&lt;=$B$15,H47/VLOOKUP(A47&amp;"0999", localcont!$A$10:$X$1764, 23, FALSE), "")</f>
        <v/>
      </c>
      <c r="K47" s="533" t="str">
        <f>IF($C47&lt;=$B$15,VLOOKUP(A47&amp;$B$11, localcont!$A$10:$X$1764, 15, FALSE), "")</f>
        <v/>
      </c>
      <c r="L47" s="533" t="str">
        <f>IF($C47&lt;=$B$15,VLOOKUP(A47&amp;$B$11, localcont!$A$10:$X$1764, 14, FALSE),"")</f>
        <v/>
      </c>
      <c r="M47" s="534" t="str">
        <f t="shared" si="8"/>
        <v xml:space="preserve"> </v>
      </c>
      <c r="N47" s="535" t="str">
        <f>IF($C47&lt;=$B$15,VLOOKUP(A47&amp;$B$11, localcont!$A$10:$X$1764, 10, FALSE), "")</f>
        <v/>
      </c>
      <c r="O47" s="535" t="str">
        <f>IF($C47&lt;=$B$15,VLOOKUP(A47&amp;$B$11, localcont!$A$10:$X$1764, 12, FALSE), "")</f>
        <v/>
      </c>
      <c r="P47" s="536" t="str">
        <f t="shared" si="9"/>
        <v xml:space="preserve"> </v>
      </c>
      <c r="Q47" s="533" t="str">
        <f t="shared" si="2"/>
        <v/>
      </c>
      <c r="R47" s="533" t="str">
        <f t="shared" si="3"/>
        <v/>
      </c>
      <c r="S47" s="534" t="str">
        <f t="shared" si="10"/>
        <v xml:space="preserve"> </v>
      </c>
      <c r="T47" s="550" t="str">
        <f t="shared" si="4"/>
        <v/>
      </c>
      <c r="U47" s="550" t="str">
        <f t="shared" si="5"/>
        <v/>
      </c>
      <c r="V47" s="537" t="str">
        <f t="shared" si="11"/>
        <v/>
      </c>
    </row>
    <row r="48" spans="1:22" ht="19.149999999999999" customHeight="1">
      <c r="A48" s="433" t="str">
        <f>IF($C48&lt;=$B$15,VLOOKUP(E48,leas!D35:F475,3,FALSE),"")</f>
        <v/>
      </c>
      <c r="B48" s="433">
        <f t="shared" si="6"/>
        <v>87330</v>
      </c>
      <c r="C48" s="433">
        <v>30</v>
      </c>
      <c r="E48" s="527" t="str">
        <f t="shared" si="0"/>
        <v xml:space="preserve"> </v>
      </c>
      <c r="F48" s="527" t="str">
        <f t="shared" si="1"/>
        <v xml:space="preserve"> </v>
      </c>
      <c r="G48" s="533" t="str">
        <f>IF($C48&lt;=$B$15,VLOOKUP(A48&amp;$B$11, localcont!A39:X1793, 18, FALSE), "")</f>
        <v/>
      </c>
      <c r="H48" s="534" t="str">
        <f>IF($C48&lt;=$B$15,VLOOKUP(A48&amp;$B$11, localcont!$A$10:$X$1764, 23, FALSE), "")</f>
        <v/>
      </c>
      <c r="I48" s="534" t="str">
        <f t="shared" si="7"/>
        <v xml:space="preserve"> </v>
      </c>
      <c r="J48" s="536" t="str">
        <f>IF($C48&lt;=$B$15,H48/VLOOKUP(A48&amp;"0999", localcont!$A$10:$X$1764, 23, FALSE), "")</f>
        <v/>
      </c>
      <c r="K48" s="533" t="str">
        <f>IF($C48&lt;=$B$15,VLOOKUP(A48&amp;$B$11, localcont!$A$10:$X$1764, 15, FALSE), "")</f>
        <v/>
      </c>
      <c r="L48" s="533" t="str">
        <f>IF($C48&lt;=$B$15,VLOOKUP(A48&amp;$B$11, localcont!$A$10:$X$1764, 14, FALSE),"")</f>
        <v/>
      </c>
      <c r="M48" s="534" t="str">
        <f t="shared" si="8"/>
        <v xml:space="preserve"> </v>
      </c>
      <c r="N48" s="535" t="str">
        <f>IF($C48&lt;=$B$15,VLOOKUP(A48&amp;$B$11, localcont!$A$10:$X$1764, 10, FALSE), "")</f>
        <v/>
      </c>
      <c r="O48" s="535" t="str">
        <f>IF($C48&lt;=$B$15,VLOOKUP(A48&amp;$B$11, localcont!$A$10:$X$1764, 12, FALSE), "")</f>
        <v/>
      </c>
      <c r="P48" s="536" t="str">
        <f t="shared" si="9"/>
        <v xml:space="preserve"> </v>
      </c>
      <c r="Q48" s="533" t="str">
        <f t="shared" si="2"/>
        <v/>
      </c>
      <c r="R48" s="533" t="str">
        <f t="shared" si="3"/>
        <v/>
      </c>
      <c r="S48" s="534" t="str">
        <f t="shared" si="10"/>
        <v xml:space="preserve"> </v>
      </c>
      <c r="T48" s="550" t="str">
        <f t="shared" si="4"/>
        <v/>
      </c>
      <c r="U48" s="550" t="str">
        <f t="shared" si="5"/>
        <v/>
      </c>
      <c r="V48" s="537" t="str">
        <f t="shared" si="11"/>
        <v/>
      </c>
    </row>
    <row r="49" spans="1:22" ht="19.149999999999999" customHeight="1">
      <c r="A49" s="433" t="str">
        <f>IF($C49&lt;=$B$15,VLOOKUP(E49,leas!D36:F476,3,FALSE),"")</f>
        <v/>
      </c>
      <c r="B49" s="433">
        <f t="shared" si="6"/>
        <v>87331</v>
      </c>
      <c r="C49" s="433">
        <v>31</v>
      </c>
      <c r="E49" s="481" t="str">
        <f t="shared" si="0"/>
        <v xml:space="preserve"> </v>
      </c>
      <c r="F49" s="481" t="str">
        <f t="shared" si="1"/>
        <v xml:space="preserve"> </v>
      </c>
      <c r="G49" s="480" t="str">
        <f>IF($C49&lt;=$B$15,VLOOKUP(A49&amp;$B$11, localcont!A40:X1794, 18, FALSE), "")</f>
        <v/>
      </c>
      <c r="H49" s="519" t="str">
        <f>IF($C49&lt;=$B$15,VLOOKUP(A49&amp;$B$11, localcont!$A$10:$X$1764, 23, FALSE), "")</f>
        <v/>
      </c>
      <c r="I49" s="519" t="str">
        <f t="shared" si="7"/>
        <v xml:space="preserve"> </v>
      </c>
      <c r="J49" s="536" t="str">
        <f>IF($C49&lt;=$B$15,H49/VLOOKUP(A49&amp;"0999", localcont!$A$10:$X$1764, 23, FALSE), "")</f>
        <v/>
      </c>
      <c r="K49" s="480" t="str">
        <f>IF($C49&lt;=$B$15,VLOOKUP(A49&amp;$B$11, localcont!$A$10:$X$1764, 15, FALSE), "")</f>
        <v/>
      </c>
      <c r="L49" s="480" t="str">
        <f>IF($C49&lt;=$B$15,VLOOKUP(A49&amp;$B$11, localcont!$A$10:$X$1764, 14, FALSE),"")</f>
        <v/>
      </c>
      <c r="M49" s="519" t="str">
        <f t="shared" si="8"/>
        <v xml:space="preserve"> </v>
      </c>
      <c r="N49" s="521" t="str">
        <f>IF($C49&lt;=$B$15,VLOOKUP(A49&amp;$B$11, localcont!$A$10:$X$1764, 10, FALSE), "")</f>
        <v/>
      </c>
      <c r="O49" s="521" t="str">
        <f>IF($C49&lt;=$B$15,VLOOKUP(A49&amp;$B$11, localcont!$A$10:$X$1764, 12, FALSE), "")</f>
        <v/>
      </c>
      <c r="P49" s="522" t="str">
        <f t="shared" si="9"/>
        <v xml:space="preserve"> </v>
      </c>
      <c r="Q49" s="480" t="str">
        <f t="shared" si="2"/>
        <v/>
      </c>
      <c r="R49" s="480" t="str">
        <f t="shared" si="3"/>
        <v/>
      </c>
      <c r="S49" s="519" t="str">
        <f t="shared" si="10"/>
        <v xml:space="preserve"> </v>
      </c>
      <c r="T49" s="551" t="str">
        <f t="shared" si="4"/>
        <v/>
      </c>
      <c r="U49" s="551" t="str">
        <f t="shared" si="5"/>
        <v/>
      </c>
      <c r="V49" s="523" t="str">
        <f t="shared" si="11"/>
        <v/>
      </c>
    </row>
    <row r="50" spans="1:22" ht="19.149999999999999" customHeight="1">
      <c r="A50" s="433" t="str">
        <f>IF($C50&lt;=$B$15,VLOOKUP(E50,leas!D37:F477,3,FALSE),"")</f>
        <v/>
      </c>
      <c r="B50" s="433">
        <f t="shared" si="6"/>
        <v>87332</v>
      </c>
      <c r="C50" s="433">
        <v>32</v>
      </c>
      <c r="E50" s="481" t="str">
        <f t="shared" si="0"/>
        <v xml:space="preserve"> </v>
      </c>
      <c r="F50" s="481" t="str">
        <f t="shared" si="1"/>
        <v xml:space="preserve"> </v>
      </c>
      <c r="G50" s="480" t="str">
        <f>IF($C50&lt;=$B$15,VLOOKUP(A50&amp;$B$11, localcont!A41:X1795, 18, FALSE), "")</f>
        <v/>
      </c>
      <c r="H50" s="519" t="str">
        <f>IF($C50&lt;=$B$15,VLOOKUP(A50&amp;$B$11, localcont!$A$10:$X$1764, 23, FALSE), "")</f>
        <v/>
      </c>
      <c r="I50" s="519" t="str">
        <f t="shared" si="7"/>
        <v xml:space="preserve"> </v>
      </c>
      <c r="J50" s="536" t="str">
        <f>IF($C50&lt;=$B$15,H50/VLOOKUP(A50&amp;"0999", localcont!$A$10:$X$1764, 23, FALSE), "")</f>
        <v/>
      </c>
      <c r="K50" s="480" t="str">
        <f>IF($C50&lt;=$B$15,VLOOKUP(A50&amp;$B$11, localcont!$A$10:$X$1764, 15, FALSE), "")</f>
        <v/>
      </c>
      <c r="L50" s="480" t="str">
        <f>IF($C50&lt;=$B$15,VLOOKUP(A50&amp;$B$11, localcont!$A$10:$X$1764, 14, FALSE),"")</f>
        <v/>
      </c>
      <c r="M50" s="519" t="str">
        <f t="shared" si="8"/>
        <v xml:space="preserve"> </v>
      </c>
      <c r="N50" s="521" t="str">
        <f>IF($C50&lt;=$B$15,VLOOKUP(A50&amp;$B$11, localcont!$A$10:$X$1764, 10, FALSE), "")</f>
        <v/>
      </c>
      <c r="O50" s="521" t="str">
        <f>IF($C50&lt;=$B$15,VLOOKUP(A50&amp;$B$11, localcont!$A$10:$X$1764, 12, FALSE), "")</f>
        <v/>
      </c>
      <c r="P50" s="522" t="str">
        <f t="shared" si="9"/>
        <v xml:space="preserve"> </v>
      </c>
      <c r="Q50" s="480" t="str">
        <f t="shared" si="2"/>
        <v/>
      </c>
      <c r="R50" s="480" t="str">
        <f t="shared" si="3"/>
        <v/>
      </c>
      <c r="S50" s="519" t="str">
        <f t="shared" si="10"/>
        <v xml:space="preserve"> </v>
      </c>
      <c r="T50" s="551" t="str">
        <f t="shared" si="4"/>
        <v/>
      </c>
      <c r="U50" s="551" t="str">
        <f t="shared" si="5"/>
        <v/>
      </c>
      <c r="V50" s="523" t="str">
        <f t="shared" si="11"/>
        <v/>
      </c>
    </row>
    <row r="51" spans="1:22" ht="19.149999999999999" customHeight="1">
      <c r="A51" s="433" t="str">
        <f>IF($C51&lt;=$B$15,VLOOKUP(E51,leas!D38:F478,3,FALSE),"")</f>
        <v/>
      </c>
      <c r="B51" s="433">
        <f t="shared" si="6"/>
        <v>87333</v>
      </c>
      <c r="C51" s="433">
        <v>33</v>
      </c>
      <c r="E51" s="481" t="str">
        <f t="shared" si="0"/>
        <v xml:space="preserve"> </v>
      </c>
      <c r="F51" s="481" t="str">
        <f t="shared" ref="F51:F67" si="12">IF($C51&lt;=$B$15, VLOOKUP($B51, regdetail, 6), " ")</f>
        <v xml:space="preserve"> </v>
      </c>
      <c r="G51" s="480" t="str">
        <f>IF($C51&lt;=$B$15,VLOOKUP(A51&amp;$B$11, localcont!A42:X1796, 18, FALSE), "")</f>
        <v/>
      </c>
      <c r="H51" s="519" t="str">
        <f>IF($C51&lt;=$B$15,VLOOKUP(A51&amp;$B$11, localcont!$A$10:$X$1764, 23, FALSE), "")</f>
        <v/>
      </c>
      <c r="I51" s="519" t="str">
        <f t="shared" si="7"/>
        <v xml:space="preserve"> </v>
      </c>
      <c r="J51" s="536" t="str">
        <f>IF($C51&lt;=$B$15,H51/VLOOKUP(A51&amp;"0999", localcont!$A$10:$X$1764, 23, FALSE), "")</f>
        <v/>
      </c>
      <c r="K51" s="480" t="str">
        <f>IF($C51&lt;=$B$15,VLOOKUP(A51&amp;$B$11, localcont!$A$10:$X$1764, 15, FALSE), "")</f>
        <v/>
      </c>
      <c r="L51" s="480" t="str">
        <f>IF($C51&lt;=$B$15,VLOOKUP(A51&amp;$B$11, localcont!$A$10:$X$1764, 14, FALSE),"")</f>
        <v/>
      </c>
      <c r="M51" s="519" t="str">
        <f t="shared" si="8"/>
        <v xml:space="preserve"> </v>
      </c>
      <c r="N51" s="521" t="str">
        <f>IF($C51&lt;=$B$15,VLOOKUP(A51&amp;$B$11, localcont!$A$10:$X$1764, 10, FALSE), "")</f>
        <v/>
      </c>
      <c r="O51" s="521" t="str">
        <f>IF($C51&lt;=$B$15,VLOOKUP(A51&amp;$B$11, localcont!$A$10:$X$1764, 12, FALSE), "")</f>
        <v/>
      </c>
      <c r="P51" s="522" t="str">
        <f t="shared" si="9"/>
        <v xml:space="preserve"> </v>
      </c>
      <c r="Q51" s="480" t="str">
        <f t="shared" ref="Q51:Q67" si="13">IF($C51&lt;=$B$15,VLOOKUP(E51, town351, 13, FALSE), "")</f>
        <v/>
      </c>
      <c r="R51" s="480" t="str">
        <f t="shared" ref="R51:R67" si="14">IF($C51&lt;=$B$15,VLOOKUP(E51, town351, 22, FALSE), "")</f>
        <v/>
      </c>
      <c r="S51" s="519" t="str">
        <f t="shared" si="10"/>
        <v xml:space="preserve"> </v>
      </c>
      <c r="T51" s="551" t="str">
        <f t="shared" ref="T51:T67" si="15">IF($C51&lt;=$B$15,VLOOKUP(E51, town351, 11, FALSE), "")</f>
        <v/>
      </c>
      <c r="U51" s="551" t="str">
        <f t="shared" ref="U51:U67" si="16">IF($C51&lt;=$B$15,VLOOKUP(E51, town351, 23, FALSE), "")</f>
        <v/>
      </c>
      <c r="V51" s="523" t="str">
        <f t="shared" si="11"/>
        <v/>
      </c>
    </row>
    <row r="52" spans="1:22" ht="19.149999999999999" customHeight="1">
      <c r="A52" s="433" t="str">
        <f>IF($C52&lt;=$B$15,VLOOKUP(E52,leas!D39:F479,3,FALSE),"")</f>
        <v/>
      </c>
      <c r="B52" s="433">
        <f t="shared" si="6"/>
        <v>87334</v>
      </c>
      <c r="C52" s="433">
        <v>34</v>
      </c>
      <c r="E52" s="481" t="str">
        <f t="shared" si="0"/>
        <v xml:space="preserve"> </v>
      </c>
      <c r="F52" s="481" t="str">
        <f t="shared" si="12"/>
        <v xml:space="preserve"> </v>
      </c>
      <c r="G52" s="480" t="str">
        <f>IF($C52&lt;=$B$15,VLOOKUP(A52&amp;$B$11, localcont!A43:X1797, 18, FALSE), "")</f>
        <v/>
      </c>
      <c r="H52" s="519" t="str">
        <f>IF($C52&lt;=$B$15,VLOOKUP(A52&amp;$B$11, localcont!$A$10:$X$1764, 23, FALSE), "")</f>
        <v/>
      </c>
      <c r="I52" s="519" t="str">
        <f t="shared" si="7"/>
        <v xml:space="preserve"> </v>
      </c>
      <c r="J52" s="536" t="str">
        <f>IF($C52&lt;=$B$15,H52/VLOOKUP(A52&amp;"0999", localcont!$A$10:$X$1764, 23, FALSE), "")</f>
        <v/>
      </c>
      <c r="K52" s="480" t="str">
        <f>IF($C52&lt;=$B$15,VLOOKUP(A52&amp;$B$11, localcont!$A$10:$X$1764, 15, FALSE), "")</f>
        <v/>
      </c>
      <c r="L52" s="480" t="str">
        <f>IF($C52&lt;=$B$15,VLOOKUP(A52&amp;$B$11, localcont!$A$10:$X$1764, 14, FALSE),"")</f>
        <v/>
      </c>
      <c r="M52" s="519" t="str">
        <f t="shared" si="8"/>
        <v xml:space="preserve"> </v>
      </c>
      <c r="N52" s="521" t="str">
        <f>IF($C52&lt;=$B$15,VLOOKUP(A52&amp;$B$11, localcont!$A$10:$X$1764, 10, FALSE), "")</f>
        <v/>
      </c>
      <c r="O52" s="521" t="str">
        <f>IF($C52&lt;=$B$15,VLOOKUP(A52&amp;$B$11, localcont!$A$10:$X$1764, 12, FALSE), "")</f>
        <v/>
      </c>
      <c r="P52" s="522" t="str">
        <f t="shared" si="9"/>
        <v xml:space="preserve"> </v>
      </c>
      <c r="Q52" s="480" t="str">
        <f t="shared" si="13"/>
        <v/>
      </c>
      <c r="R52" s="480" t="str">
        <f t="shared" si="14"/>
        <v/>
      </c>
      <c r="S52" s="519" t="str">
        <f t="shared" si="10"/>
        <v xml:space="preserve"> </v>
      </c>
      <c r="T52" s="551" t="str">
        <f t="shared" si="15"/>
        <v/>
      </c>
      <c r="U52" s="551" t="str">
        <f t="shared" si="16"/>
        <v/>
      </c>
      <c r="V52" s="523" t="str">
        <f t="shared" si="11"/>
        <v/>
      </c>
    </row>
    <row r="53" spans="1:22" ht="19.149999999999999" customHeight="1">
      <c r="A53" s="433" t="str">
        <f>IF($C53&lt;=$B$15,VLOOKUP(E53,leas!D40:F480,3,FALSE),"")</f>
        <v/>
      </c>
      <c r="B53" s="433">
        <f t="shared" si="6"/>
        <v>87335</v>
      </c>
      <c r="C53" s="433">
        <v>35</v>
      </c>
      <c r="E53" s="481" t="str">
        <f t="shared" si="0"/>
        <v xml:space="preserve"> </v>
      </c>
      <c r="F53" s="481" t="str">
        <f t="shared" si="12"/>
        <v xml:space="preserve"> </v>
      </c>
      <c r="G53" s="480" t="str">
        <f>IF($C53&lt;=$B$15,VLOOKUP(A53&amp;$B$11, localcont!A44:X1798, 18, FALSE), "")</f>
        <v/>
      </c>
      <c r="H53" s="519" t="str">
        <f>IF($C53&lt;=$B$15,VLOOKUP(A53&amp;$B$11, localcont!$A$10:$X$1764, 23, FALSE), "")</f>
        <v/>
      </c>
      <c r="I53" s="519" t="str">
        <f t="shared" si="7"/>
        <v xml:space="preserve"> </v>
      </c>
      <c r="J53" s="536" t="str">
        <f>IF($C53&lt;=$B$15,H53/VLOOKUP(A53&amp;"0999", localcont!$A$10:$X$1764, 23, FALSE), "")</f>
        <v/>
      </c>
      <c r="K53" s="480" t="str">
        <f>IF($C53&lt;=$B$15,VLOOKUP(A53&amp;$B$11, localcont!$A$10:$X$1764, 15, FALSE), "")</f>
        <v/>
      </c>
      <c r="L53" s="480" t="str">
        <f>IF($C53&lt;=$B$15,VLOOKUP(A53&amp;$B$11, localcont!$A$10:$X$1764, 14, FALSE),"")</f>
        <v/>
      </c>
      <c r="M53" s="519" t="str">
        <f t="shared" si="8"/>
        <v xml:space="preserve"> </v>
      </c>
      <c r="N53" s="521" t="str">
        <f>IF($C53&lt;=$B$15,VLOOKUP(A53&amp;$B$11, localcont!$A$10:$X$1764, 10, FALSE), "")</f>
        <v/>
      </c>
      <c r="O53" s="521" t="str">
        <f>IF($C53&lt;=$B$15,VLOOKUP(A53&amp;$B$11, localcont!$A$10:$X$1764, 12, FALSE), "")</f>
        <v/>
      </c>
      <c r="P53" s="522" t="str">
        <f t="shared" si="9"/>
        <v xml:space="preserve"> </v>
      </c>
      <c r="Q53" s="480" t="str">
        <f t="shared" si="13"/>
        <v/>
      </c>
      <c r="R53" s="480" t="str">
        <f t="shared" si="14"/>
        <v/>
      </c>
      <c r="S53" s="519" t="str">
        <f t="shared" si="10"/>
        <v xml:space="preserve"> </v>
      </c>
      <c r="T53" s="551" t="str">
        <f t="shared" si="15"/>
        <v/>
      </c>
      <c r="U53" s="551" t="str">
        <f t="shared" si="16"/>
        <v/>
      </c>
      <c r="V53" s="523" t="str">
        <f t="shared" si="11"/>
        <v/>
      </c>
    </row>
    <row r="54" spans="1:22" ht="19.149999999999999" customHeight="1">
      <c r="A54" s="433" t="str">
        <f>IF($C54&lt;=$B$15,VLOOKUP(E54,leas!D41:F481,3,FALSE),"")</f>
        <v/>
      </c>
      <c r="B54" s="433">
        <f t="shared" si="6"/>
        <v>87336</v>
      </c>
      <c r="C54" s="433">
        <v>36</v>
      </c>
      <c r="E54" s="481" t="str">
        <f t="shared" si="0"/>
        <v xml:space="preserve"> </v>
      </c>
      <c r="F54" s="481" t="str">
        <f t="shared" si="12"/>
        <v xml:space="preserve"> </v>
      </c>
      <c r="G54" s="480" t="str">
        <f>IF($C54&lt;=$B$15,VLOOKUP(A54&amp;$B$11, localcont!A45:X1799, 18, FALSE), "")</f>
        <v/>
      </c>
      <c r="H54" s="519" t="str">
        <f>IF($C54&lt;=$B$15,VLOOKUP(A54&amp;$B$11, localcont!$A$10:$X$1764, 23, FALSE), "")</f>
        <v/>
      </c>
      <c r="I54" s="519" t="str">
        <f t="shared" si="7"/>
        <v xml:space="preserve"> </v>
      </c>
      <c r="J54" s="536" t="str">
        <f>IF($C54&lt;=$B$15,H54/VLOOKUP(A54&amp;"0999", localcont!$A$10:$X$1764, 23, FALSE), "")</f>
        <v/>
      </c>
      <c r="K54" s="480" t="str">
        <f>IF($C54&lt;=$B$15,VLOOKUP(A54&amp;$B$11, localcont!$A$10:$X$1764, 15, FALSE), "")</f>
        <v/>
      </c>
      <c r="L54" s="480" t="str">
        <f>IF($C54&lt;=$B$15,VLOOKUP(A54&amp;$B$11, localcont!$A$10:$X$1764, 14, FALSE),"")</f>
        <v/>
      </c>
      <c r="M54" s="519" t="str">
        <f t="shared" si="8"/>
        <v xml:space="preserve"> </v>
      </c>
      <c r="N54" s="521" t="str">
        <f>IF($C54&lt;=$B$15,VLOOKUP(A54&amp;$B$11, localcont!$A$10:$X$1764, 10, FALSE), "")</f>
        <v/>
      </c>
      <c r="O54" s="521" t="str">
        <f>IF($C54&lt;=$B$15,VLOOKUP(A54&amp;$B$11, localcont!$A$10:$X$1764, 12, FALSE), "")</f>
        <v/>
      </c>
      <c r="P54" s="522" t="str">
        <f t="shared" si="9"/>
        <v xml:space="preserve"> </v>
      </c>
      <c r="Q54" s="480" t="str">
        <f t="shared" si="13"/>
        <v/>
      </c>
      <c r="R54" s="480" t="str">
        <f t="shared" si="14"/>
        <v/>
      </c>
      <c r="S54" s="519" t="str">
        <f t="shared" si="10"/>
        <v xml:space="preserve"> </v>
      </c>
      <c r="T54" s="551" t="str">
        <f t="shared" si="15"/>
        <v/>
      </c>
      <c r="U54" s="551" t="str">
        <f t="shared" si="16"/>
        <v/>
      </c>
      <c r="V54" s="523" t="str">
        <f t="shared" si="11"/>
        <v/>
      </c>
    </row>
    <row r="55" spans="1:22" ht="19.149999999999999" customHeight="1">
      <c r="A55" s="433" t="str">
        <f>IF($C55&lt;=$B$15,VLOOKUP(E55,leas!D42:F482,3,FALSE),"")</f>
        <v/>
      </c>
      <c r="B55" s="433">
        <f t="shared" si="6"/>
        <v>87337</v>
      </c>
      <c r="C55" s="433">
        <v>37</v>
      </c>
      <c r="E55" s="481" t="str">
        <f t="shared" si="0"/>
        <v xml:space="preserve"> </v>
      </c>
      <c r="F55" s="481" t="str">
        <f t="shared" si="12"/>
        <v xml:space="preserve"> </v>
      </c>
      <c r="G55" s="480" t="str">
        <f>IF($C55&lt;=$B$15,VLOOKUP(A55&amp;$B$11, localcont!A46:X1800, 18, FALSE), "")</f>
        <v/>
      </c>
      <c r="H55" s="519" t="str">
        <f>IF($C55&lt;=$B$15,VLOOKUP(A55&amp;$B$11, localcont!$A$10:$X$1764, 23, FALSE), "")</f>
        <v/>
      </c>
      <c r="I55" s="519" t="str">
        <f t="shared" si="7"/>
        <v xml:space="preserve"> </v>
      </c>
      <c r="J55" s="536" t="str">
        <f>IF($C55&lt;=$B$15,H55/VLOOKUP(A55&amp;"0999", localcont!$A$10:$X$1764, 23, FALSE), "")</f>
        <v/>
      </c>
      <c r="K55" s="480" t="str">
        <f>IF($C55&lt;=$B$15,VLOOKUP(A55&amp;$B$11, localcont!$A$10:$X$1764, 15, FALSE), "")</f>
        <v/>
      </c>
      <c r="L55" s="480" t="str">
        <f>IF($C55&lt;=$B$15,VLOOKUP(A55&amp;$B$11, localcont!$A$10:$X$1764, 14, FALSE),"")</f>
        <v/>
      </c>
      <c r="M55" s="519" t="str">
        <f t="shared" si="8"/>
        <v xml:space="preserve"> </v>
      </c>
      <c r="N55" s="521" t="str">
        <f>IF($C55&lt;=$B$15,VLOOKUP(A55&amp;$B$11, localcont!$A$10:$X$1764, 10, FALSE), "")</f>
        <v/>
      </c>
      <c r="O55" s="521" t="str">
        <f>IF($C55&lt;=$B$15,VLOOKUP(A55&amp;$B$11, localcont!$A$10:$X$1764, 12, FALSE), "")</f>
        <v/>
      </c>
      <c r="P55" s="522" t="str">
        <f t="shared" si="9"/>
        <v xml:space="preserve"> </v>
      </c>
      <c r="Q55" s="480" t="str">
        <f t="shared" si="13"/>
        <v/>
      </c>
      <c r="R55" s="480" t="str">
        <f t="shared" si="14"/>
        <v/>
      </c>
      <c r="S55" s="519" t="str">
        <f t="shared" si="10"/>
        <v xml:space="preserve"> </v>
      </c>
      <c r="T55" s="551" t="str">
        <f t="shared" si="15"/>
        <v/>
      </c>
      <c r="U55" s="551" t="str">
        <f t="shared" si="16"/>
        <v/>
      </c>
      <c r="V55" s="523" t="str">
        <f t="shared" si="11"/>
        <v/>
      </c>
    </row>
    <row r="56" spans="1:22" ht="19.149999999999999" customHeight="1">
      <c r="A56" s="433" t="str">
        <f>IF($C56&lt;=$B$15,VLOOKUP(E56,leas!D43:F483,3,FALSE),"")</f>
        <v/>
      </c>
      <c r="B56" s="433">
        <f t="shared" si="6"/>
        <v>87338</v>
      </c>
      <c r="C56" s="433">
        <v>38</v>
      </c>
      <c r="E56" s="481" t="str">
        <f t="shared" si="0"/>
        <v xml:space="preserve"> </v>
      </c>
      <c r="F56" s="481" t="str">
        <f t="shared" si="12"/>
        <v xml:space="preserve"> </v>
      </c>
      <c r="G56" s="480" t="str">
        <f>IF($C56&lt;=$B$15,VLOOKUP(A56&amp;$B$11, localcont!A47:X1801, 18, FALSE), "")</f>
        <v/>
      </c>
      <c r="H56" s="519" t="str">
        <f>IF($C56&lt;=$B$15,VLOOKUP(A56&amp;$B$11, localcont!$A$10:$X$1764, 23, FALSE), "")</f>
        <v/>
      </c>
      <c r="I56" s="519" t="str">
        <f t="shared" si="7"/>
        <v xml:space="preserve"> </v>
      </c>
      <c r="J56" s="536" t="str">
        <f>IF($C56&lt;=$B$15,H56/VLOOKUP(A56&amp;"0999", localcont!$A$10:$X$1764, 23, FALSE), "")</f>
        <v/>
      </c>
      <c r="K56" s="480" t="str">
        <f>IF($C56&lt;=$B$15,VLOOKUP(A56&amp;$B$11, localcont!$A$10:$X$1764, 15, FALSE), "")</f>
        <v/>
      </c>
      <c r="L56" s="480" t="str">
        <f>IF($C56&lt;=$B$15,VLOOKUP(A56&amp;$B$11, localcont!$A$10:$X$1764, 14, FALSE),"")</f>
        <v/>
      </c>
      <c r="M56" s="519" t="str">
        <f t="shared" si="8"/>
        <v xml:space="preserve"> </v>
      </c>
      <c r="N56" s="521" t="str">
        <f>IF($C56&lt;=$B$15,VLOOKUP(A56&amp;$B$11, localcont!$A$10:$X$1764, 10, FALSE), "")</f>
        <v/>
      </c>
      <c r="O56" s="521" t="str">
        <f>IF($C56&lt;=$B$15,VLOOKUP(A56&amp;$B$11, localcont!$A$10:$X$1764, 12, FALSE), "")</f>
        <v/>
      </c>
      <c r="P56" s="522" t="str">
        <f t="shared" si="9"/>
        <v xml:space="preserve"> </v>
      </c>
      <c r="Q56" s="480" t="str">
        <f t="shared" si="13"/>
        <v/>
      </c>
      <c r="R56" s="480" t="str">
        <f t="shared" si="14"/>
        <v/>
      </c>
      <c r="S56" s="519" t="str">
        <f t="shared" si="10"/>
        <v xml:space="preserve"> </v>
      </c>
      <c r="T56" s="551" t="str">
        <f t="shared" si="15"/>
        <v/>
      </c>
      <c r="U56" s="551" t="str">
        <f t="shared" si="16"/>
        <v/>
      </c>
      <c r="V56" s="523" t="str">
        <f t="shared" si="11"/>
        <v/>
      </c>
    </row>
    <row r="57" spans="1:22" ht="19.149999999999999" customHeight="1">
      <c r="A57" s="433" t="str">
        <f>IF($C57&lt;=$B$15,VLOOKUP(E57,leas!D44:F484,3,FALSE),"")</f>
        <v/>
      </c>
      <c r="B57" s="433">
        <f t="shared" si="6"/>
        <v>87339</v>
      </c>
      <c r="C57" s="433">
        <v>39</v>
      </c>
      <c r="E57" s="481" t="str">
        <f t="shared" si="0"/>
        <v xml:space="preserve"> </v>
      </c>
      <c r="F57" s="481" t="str">
        <f t="shared" si="12"/>
        <v xml:space="preserve"> </v>
      </c>
      <c r="G57" s="480" t="str">
        <f>IF($C57&lt;=$B$15,VLOOKUP(A57&amp;$B$11, localcont!A48:X1802, 18, FALSE), "")</f>
        <v/>
      </c>
      <c r="H57" s="519" t="str">
        <f>IF($C57&lt;=$B$15,VLOOKUP(A57&amp;$B$11, localcont!$A$10:$X$1764, 23, FALSE), "")</f>
        <v/>
      </c>
      <c r="I57" s="519" t="str">
        <f t="shared" si="7"/>
        <v xml:space="preserve"> </v>
      </c>
      <c r="J57" s="536" t="str">
        <f>IF($C57&lt;=$B$15,H57/VLOOKUP(A57&amp;"0999", localcont!$A$10:$X$1764, 23, FALSE), "")</f>
        <v/>
      </c>
      <c r="K57" s="480" t="str">
        <f>IF($C57&lt;=$B$15,VLOOKUP(A57&amp;$B$11, localcont!$A$10:$X$1764, 15, FALSE), "")</f>
        <v/>
      </c>
      <c r="L57" s="480" t="str">
        <f>IF($C57&lt;=$B$15,VLOOKUP(A57&amp;$B$11, localcont!$A$10:$X$1764, 14, FALSE),"")</f>
        <v/>
      </c>
      <c r="M57" s="519" t="str">
        <f t="shared" si="8"/>
        <v xml:space="preserve"> </v>
      </c>
      <c r="N57" s="521" t="str">
        <f>IF($C57&lt;=$B$15,VLOOKUP(A57&amp;$B$11, localcont!$A$10:$X$1764, 10, FALSE), "")</f>
        <v/>
      </c>
      <c r="O57" s="521" t="str">
        <f>IF($C57&lt;=$B$15,VLOOKUP(A57&amp;$B$11, localcont!$A$10:$X$1764, 12, FALSE), "")</f>
        <v/>
      </c>
      <c r="P57" s="522" t="str">
        <f t="shared" si="9"/>
        <v xml:space="preserve"> </v>
      </c>
      <c r="Q57" s="480" t="str">
        <f t="shared" si="13"/>
        <v/>
      </c>
      <c r="R57" s="480" t="str">
        <f t="shared" si="14"/>
        <v/>
      </c>
      <c r="S57" s="519" t="str">
        <f t="shared" si="10"/>
        <v xml:space="preserve"> </v>
      </c>
      <c r="T57" s="551" t="str">
        <f t="shared" si="15"/>
        <v/>
      </c>
      <c r="U57" s="551" t="str">
        <f t="shared" si="16"/>
        <v/>
      </c>
      <c r="V57" s="523" t="str">
        <f t="shared" si="11"/>
        <v/>
      </c>
    </row>
    <row r="58" spans="1:22" ht="19.149999999999999" customHeight="1">
      <c r="A58" s="433" t="str">
        <f>IF($C58&lt;=$B$15,VLOOKUP(E58,leas!D45:F485,3,FALSE),"")</f>
        <v/>
      </c>
      <c r="B58" s="433">
        <f t="shared" si="6"/>
        <v>87340</v>
      </c>
      <c r="C58" s="433">
        <v>40</v>
      </c>
      <c r="E58" s="481" t="str">
        <f t="shared" si="0"/>
        <v xml:space="preserve"> </v>
      </c>
      <c r="F58" s="481" t="str">
        <f t="shared" si="12"/>
        <v xml:space="preserve"> </v>
      </c>
      <c r="G58" s="480" t="str">
        <f>IF($C58&lt;=$B$15,VLOOKUP(A58&amp;$B$11, localcont!A49:X1803, 18, FALSE), "")</f>
        <v/>
      </c>
      <c r="H58" s="519" t="str">
        <f>IF($C58&lt;=$B$15,VLOOKUP(A58&amp;$B$11, localcont!$A$10:$X$1764, 23, FALSE), "")</f>
        <v/>
      </c>
      <c r="I58" s="519" t="str">
        <f t="shared" si="7"/>
        <v xml:space="preserve"> </v>
      </c>
      <c r="J58" s="536" t="str">
        <f>IF($C58&lt;=$B$15,H58/VLOOKUP(A58&amp;"0999", localcont!$A$10:$X$1764, 23, FALSE), "")</f>
        <v/>
      </c>
      <c r="K58" s="480" t="str">
        <f>IF($C58&lt;=$B$15,VLOOKUP(A58&amp;$B$11, localcont!$A$10:$X$1764, 15, FALSE), "")</f>
        <v/>
      </c>
      <c r="L58" s="480" t="str">
        <f>IF($C58&lt;=$B$15,VLOOKUP(A58&amp;$B$11, localcont!$A$10:$X$1764, 14, FALSE),"")</f>
        <v/>
      </c>
      <c r="M58" s="519" t="str">
        <f t="shared" si="8"/>
        <v xml:space="preserve"> </v>
      </c>
      <c r="N58" s="521" t="str">
        <f>IF($C58&lt;=$B$15,VLOOKUP(A58&amp;$B$11, localcont!$A$10:$X$1764, 10, FALSE), "")</f>
        <v/>
      </c>
      <c r="O58" s="521" t="str">
        <f>IF($C58&lt;=$B$15,VLOOKUP(A58&amp;$B$11, localcont!$A$10:$X$1764, 12, FALSE), "")</f>
        <v/>
      </c>
      <c r="P58" s="522" t="str">
        <f t="shared" si="9"/>
        <v xml:space="preserve"> </v>
      </c>
      <c r="Q58" s="480" t="str">
        <f t="shared" si="13"/>
        <v/>
      </c>
      <c r="R58" s="480" t="str">
        <f t="shared" si="14"/>
        <v/>
      </c>
      <c r="S58" s="519" t="str">
        <f t="shared" si="10"/>
        <v xml:space="preserve"> </v>
      </c>
      <c r="T58" s="551" t="str">
        <f t="shared" si="15"/>
        <v/>
      </c>
      <c r="U58" s="551" t="str">
        <f t="shared" si="16"/>
        <v/>
      </c>
      <c r="V58" s="523" t="str">
        <f t="shared" si="11"/>
        <v/>
      </c>
    </row>
    <row r="59" spans="1:22" ht="19.149999999999999" customHeight="1">
      <c r="A59" s="433" t="str">
        <f>IF($C59&lt;=$B$15,VLOOKUP(E59,leas!D46:F486,3,FALSE),"")</f>
        <v/>
      </c>
      <c r="B59" s="433">
        <f t="shared" si="6"/>
        <v>87341</v>
      </c>
      <c r="C59" s="433">
        <v>41</v>
      </c>
      <c r="E59" s="481" t="str">
        <f t="shared" si="0"/>
        <v xml:space="preserve"> </v>
      </c>
      <c r="F59" s="481" t="str">
        <f t="shared" si="12"/>
        <v xml:space="preserve"> </v>
      </c>
      <c r="G59" s="480" t="str">
        <f>IF($C59&lt;=$B$15,VLOOKUP(A59&amp;$B$11, localcont!A50:X1804, 18, FALSE), "")</f>
        <v/>
      </c>
      <c r="H59" s="519" t="str">
        <f>IF($C59&lt;=$B$15,VLOOKUP(A59&amp;$B$11, localcont!$A$10:$X$1764, 23, FALSE), "")</f>
        <v/>
      </c>
      <c r="I59" s="519" t="str">
        <f t="shared" si="7"/>
        <v xml:space="preserve"> </v>
      </c>
      <c r="J59" s="536" t="str">
        <f>IF($C59&lt;=$B$15,H59/VLOOKUP(A59&amp;"0999", localcont!$A$10:$X$1764, 23, FALSE), "")</f>
        <v/>
      </c>
      <c r="K59" s="480" t="str">
        <f>IF($C59&lt;=$B$15,VLOOKUP(A59&amp;$B$11, localcont!$A$10:$X$1764, 15, FALSE), "")</f>
        <v/>
      </c>
      <c r="L59" s="480" t="str">
        <f>IF($C59&lt;=$B$15,VLOOKUP(A59&amp;$B$11, localcont!$A$10:$X$1764, 14, FALSE),"")</f>
        <v/>
      </c>
      <c r="M59" s="519" t="str">
        <f t="shared" si="8"/>
        <v xml:space="preserve"> </v>
      </c>
      <c r="N59" s="521" t="str">
        <f>IF($C59&lt;=$B$15,VLOOKUP(A59&amp;$B$11, localcont!$A$10:$X$1764, 10, FALSE), "")</f>
        <v/>
      </c>
      <c r="O59" s="521" t="str">
        <f>IF($C59&lt;=$B$15,VLOOKUP(A59&amp;$B$11, localcont!$A$10:$X$1764, 12, FALSE), "")</f>
        <v/>
      </c>
      <c r="P59" s="522" t="str">
        <f t="shared" si="9"/>
        <v xml:space="preserve"> </v>
      </c>
      <c r="Q59" s="480" t="str">
        <f t="shared" si="13"/>
        <v/>
      </c>
      <c r="R59" s="480" t="str">
        <f t="shared" si="14"/>
        <v/>
      </c>
      <c r="S59" s="519" t="str">
        <f t="shared" si="10"/>
        <v xml:space="preserve"> </v>
      </c>
      <c r="T59" s="551" t="str">
        <f t="shared" si="15"/>
        <v/>
      </c>
      <c r="U59" s="551" t="str">
        <f t="shared" si="16"/>
        <v/>
      </c>
      <c r="V59" s="523" t="str">
        <f t="shared" si="11"/>
        <v/>
      </c>
    </row>
    <row r="60" spans="1:22" ht="19.149999999999999" customHeight="1">
      <c r="A60" s="433" t="str">
        <f>IF($C60&lt;=$B$15,VLOOKUP(E60,leas!D47:F487,3,FALSE),"")</f>
        <v/>
      </c>
      <c r="B60" s="433">
        <f t="shared" si="6"/>
        <v>87342</v>
      </c>
      <c r="C60" s="433">
        <v>42</v>
      </c>
      <c r="E60" s="481" t="str">
        <f t="shared" si="0"/>
        <v xml:space="preserve"> </v>
      </c>
      <c r="F60" s="481" t="str">
        <f t="shared" si="12"/>
        <v xml:space="preserve"> </v>
      </c>
      <c r="G60" s="480" t="str">
        <f>IF($C60&lt;=$B$15,VLOOKUP(A60&amp;$B$11, localcont!A51:X1805, 18, FALSE), "")</f>
        <v/>
      </c>
      <c r="H60" s="519" t="str">
        <f>IF($C60&lt;=$B$15,VLOOKUP(A60&amp;$B$11, localcont!$A$10:$X$1764, 23, FALSE), "")</f>
        <v/>
      </c>
      <c r="I60" s="519" t="str">
        <f t="shared" si="7"/>
        <v xml:space="preserve"> </v>
      </c>
      <c r="J60" s="536" t="str">
        <f>IF($C60&lt;=$B$15,H60/VLOOKUP(A60&amp;"0999", localcont!$A$10:$X$1764, 23, FALSE), "")</f>
        <v/>
      </c>
      <c r="K60" s="480" t="str">
        <f>IF($C60&lt;=$B$15,VLOOKUP(A60&amp;$B$11, localcont!$A$10:$X$1764, 15, FALSE), "")</f>
        <v/>
      </c>
      <c r="L60" s="480" t="str">
        <f>IF($C60&lt;=$B$15,VLOOKUP(A60&amp;$B$11, localcont!$A$10:$X$1764, 14, FALSE),"")</f>
        <v/>
      </c>
      <c r="M60" s="519" t="str">
        <f t="shared" si="8"/>
        <v xml:space="preserve"> </v>
      </c>
      <c r="N60" s="521" t="str">
        <f>IF($C60&lt;=$B$15,VLOOKUP(A60&amp;$B$11, localcont!$A$10:$X$1764, 10, FALSE), "")</f>
        <v/>
      </c>
      <c r="O60" s="521" t="str">
        <f>IF($C60&lt;=$B$15,VLOOKUP(A60&amp;$B$11, localcont!$A$10:$X$1764, 12, FALSE), "")</f>
        <v/>
      </c>
      <c r="P60" s="522" t="str">
        <f t="shared" si="9"/>
        <v xml:space="preserve"> </v>
      </c>
      <c r="Q60" s="480" t="str">
        <f t="shared" si="13"/>
        <v/>
      </c>
      <c r="R60" s="480" t="str">
        <f t="shared" si="14"/>
        <v/>
      </c>
      <c r="S60" s="519" t="str">
        <f t="shared" si="10"/>
        <v xml:space="preserve"> </v>
      </c>
      <c r="T60" s="551" t="str">
        <f t="shared" si="15"/>
        <v/>
      </c>
      <c r="U60" s="551" t="str">
        <f t="shared" si="16"/>
        <v/>
      </c>
      <c r="V60" s="523" t="str">
        <f t="shared" si="11"/>
        <v/>
      </c>
    </row>
    <row r="61" spans="1:22" ht="19.149999999999999" customHeight="1">
      <c r="A61" s="433" t="str">
        <f>IF($C61&lt;=$B$15,VLOOKUP(E61,leas!D48:F488,3,FALSE),"")</f>
        <v/>
      </c>
      <c r="B61" s="433">
        <f t="shared" si="6"/>
        <v>87343</v>
      </c>
      <c r="C61" s="433">
        <v>43</v>
      </c>
      <c r="E61" s="481" t="str">
        <f t="shared" si="0"/>
        <v xml:space="preserve"> </v>
      </c>
      <c r="F61" s="481" t="str">
        <f t="shared" si="12"/>
        <v xml:space="preserve"> </v>
      </c>
      <c r="G61" s="480" t="str">
        <f>IF($C61&lt;=$B$15,VLOOKUP(A61&amp;$B$11, localcont!A52:X1806, 18, FALSE), "")</f>
        <v/>
      </c>
      <c r="H61" s="519" t="str">
        <f>IF($C61&lt;=$B$15,VLOOKUP(A61&amp;$B$11, localcont!$A$10:$X$1764, 23, FALSE), "")</f>
        <v/>
      </c>
      <c r="I61" s="519" t="str">
        <f t="shared" si="7"/>
        <v xml:space="preserve"> </v>
      </c>
      <c r="J61" s="536" t="str">
        <f>IF($C61&lt;=$B$15,H61/VLOOKUP(A61&amp;"0999", localcont!$A$10:$X$1764, 23, FALSE), "")</f>
        <v/>
      </c>
      <c r="K61" s="480" t="str">
        <f>IF($C61&lt;=$B$15,VLOOKUP(A61&amp;$B$11, localcont!$A$10:$X$1764, 15, FALSE), "")</f>
        <v/>
      </c>
      <c r="L61" s="480" t="str">
        <f>IF($C61&lt;=$B$15,VLOOKUP(A61&amp;$B$11, localcont!$A$10:$X$1764, 14, FALSE),"")</f>
        <v/>
      </c>
      <c r="M61" s="519" t="str">
        <f t="shared" si="8"/>
        <v xml:space="preserve"> </v>
      </c>
      <c r="N61" s="521" t="str">
        <f>IF($C61&lt;=$B$15,VLOOKUP(A61&amp;$B$11, localcont!$A$10:$X$1764, 10, FALSE), "")</f>
        <v/>
      </c>
      <c r="O61" s="521" t="str">
        <f>IF($C61&lt;=$B$15,VLOOKUP(A61&amp;$B$11, localcont!$A$10:$X$1764, 12, FALSE), "")</f>
        <v/>
      </c>
      <c r="P61" s="522" t="str">
        <f t="shared" si="9"/>
        <v xml:space="preserve"> </v>
      </c>
      <c r="Q61" s="480" t="str">
        <f t="shared" si="13"/>
        <v/>
      </c>
      <c r="R61" s="480" t="str">
        <f t="shared" si="14"/>
        <v/>
      </c>
      <c r="S61" s="519" t="str">
        <f t="shared" si="10"/>
        <v xml:space="preserve"> </v>
      </c>
      <c r="T61" s="551" t="str">
        <f t="shared" si="15"/>
        <v/>
      </c>
      <c r="U61" s="551" t="str">
        <f t="shared" si="16"/>
        <v/>
      </c>
      <c r="V61" s="523" t="str">
        <f t="shared" si="11"/>
        <v/>
      </c>
    </row>
    <row r="62" spans="1:22" ht="19.149999999999999" customHeight="1">
      <c r="A62" s="433" t="str">
        <f>IF($C62&lt;=$B$15,VLOOKUP(E62,leas!D49:F489,3,FALSE),"")</f>
        <v/>
      </c>
      <c r="B62" s="433">
        <f t="shared" si="6"/>
        <v>87344</v>
      </c>
      <c r="C62" s="433">
        <v>44</v>
      </c>
      <c r="E62" s="481" t="str">
        <f t="shared" si="0"/>
        <v xml:space="preserve"> </v>
      </c>
      <c r="F62" s="481" t="str">
        <f t="shared" si="12"/>
        <v xml:space="preserve"> </v>
      </c>
      <c r="G62" s="480" t="str">
        <f>IF($C62&lt;=$B$15,VLOOKUP(A62&amp;$B$11, localcont!A53:X1807, 18, FALSE), "")</f>
        <v/>
      </c>
      <c r="H62" s="519" t="str">
        <f>IF($C62&lt;=$B$15,VLOOKUP(A62&amp;$B$11, localcont!$A$10:$X$1764, 23, FALSE), "")</f>
        <v/>
      </c>
      <c r="I62" s="519" t="str">
        <f t="shared" si="7"/>
        <v xml:space="preserve"> </v>
      </c>
      <c r="J62" s="536" t="str">
        <f>IF($C62&lt;=$B$15,H62/VLOOKUP(A62&amp;"0999", localcont!$A$10:$X$1764, 23, FALSE), "")</f>
        <v/>
      </c>
      <c r="K62" s="480" t="str">
        <f>IF($C62&lt;=$B$15,VLOOKUP(A62&amp;$B$11, localcont!$A$10:$X$1764, 15, FALSE), "")</f>
        <v/>
      </c>
      <c r="L62" s="480" t="str">
        <f>IF($C62&lt;=$B$15,VLOOKUP(A62&amp;$B$11, localcont!$A$10:$X$1764, 14, FALSE),"")</f>
        <v/>
      </c>
      <c r="M62" s="519" t="str">
        <f t="shared" si="8"/>
        <v xml:space="preserve"> </v>
      </c>
      <c r="N62" s="521" t="str">
        <f>IF($C62&lt;=$B$15,VLOOKUP(A62&amp;$B$11, localcont!$A$10:$X$1764, 10, FALSE), "")</f>
        <v/>
      </c>
      <c r="O62" s="521" t="str">
        <f>IF($C62&lt;=$B$15,VLOOKUP(A62&amp;$B$11, localcont!$A$10:$X$1764, 12, FALSE), "")</f>
        <v/>
      </c>
      <c r="P62" s="522" t="str">
        <f t="shared" si="9"/>
        <v xml:space="preserve"> </v>
      </c>
      <c r="Q62" s="480" t="str">
        <f t="shared" si="13"/>
        <v/>
      </c>
      <c r="R62" s="480" t="str">
        <f t="shared" si="14"/>
        <v/>
      </c>
      <c r="S62" s="519" t="str">
        <f t="shared" si="10"/>
        <v xml:space="preserve"> </v>
      </c>
      <c r="T62" s="551" t="str">
        <f t="shared" si="15"/>
        <v/>
      </c>
      <c r="U62" s="551" t="str">
        <f t="shared" si="16"/>
        <v/>
      </c>
      <c r="V62" s="523" t="str">
        <f t="shared" si="11"/>
        <v/>
      </c>
    </row>
    <row r="63" spans="1:22" ht="19.149999999999999" customHeight="1">
      <c r="A63" s="433" t="str">
        <f>IF($C63&lt;=$B$15,VLOOKUP(E63,leas!D50:F490,3,FALSE),"")</f>
        <v/>
      </c>
      <c r="B63" s="433">
        <f t="shared" si="6"/>
        <v>87345</v>
      </c>
      <c r="C63" s="433">
        <v>45</v>
      </c>
      <c r="E63" s="481" t="str">
        <f t="shared" si="0"/>
        <v xml:space="preserve"> </v>
      </c>
      <c r="F63" s="481" t="str">
        <f t="shared" si="12"/>
        <v xml:space="preserve"> </v>
      </c>
      <c r="G63" s="480" t="str">
        <f>IF($C63&lt;=$B$15,VLOOKUP(A63&amp;$B$11, localcont!A54:X1808, 18, FALSE), "")</f>
        <v/>
      </c>
      <c r="H63" s="519" t="str">
        <f>IF($C63&lt;=$B$15,VLOOKUP(A63&amp;$B$11, localcont!$A$10:$X$1764, 23, FALSE), "")</f>
        <v/>
      </c>
      <c r="I63" s="519" t="str">
        <f t="shared" si="7"/>
        <v xml:space="preserve"> </v>
      </c>
      <c r="J63" s="536" t="str">
        <f>IF($C63&lt;=$B$15,H63/VLOOKUP(A63&amp;"0999", localcont!$A$10:$X$1764, 23, FALSE), "")</f>
        <v/>
      </c>
      <c r="K63" s="480" t="str">
        <f>IF($C63&lt;=$B$15,VLOOKUP(A63&amp;$B$11, localcont!$A$10:$X$1764, 15, FALSE), "")</f>
        <v/>
      </c>
      <c r="L63" s="480" t="str">
        <f>IF($C63&lt;=$B$15,VLOOKUP(A63&amp;$B$11, localcont!$A$10:$X$1764, 14, FALSE),"")</f>
        <v/>
      </c>
      <c r="M63" s="519" t="str">
        <f t="shared" si="8"/>
        <v xml:space="preserve"> </v>
      </c>
      <c r="N63" s="521" t="str">
        <f>IF($C63&lt;=$B$15,VLOOKUP(A63&amp;$B$11, localcont!$A$10:$X$1764, 10, FALSE), "")</f>
        <v/>
      </c>
      <c r="O63" s="521" t="str">
        <f>IF($C63&lt;=$B$15,VLOOKUP(A63&amp;$B$11, localcont!$A$10:$X$1764, 12, FALSE), "")</f>
        <v/>
      </c>
      <c r="P63" s="522" t="str">
        <f t="shared" si="9"/>
        <v xml:space="preserve"> </v>
      </c>
      <c r="Q63" s="480" t="str">
        <f t="shared" si="13"/>
        <v/>
      </c>
      <c r="R63" s="480" t="str">
        <f t="shared" si="14"/>
        <v/>
      </c>
      <c r="S63" s="519" t="str">
        <f t="shared" si="10"/>
        <v xml:space="preserve"> </v>
      </c>
      <c r="T63" s="551" t="str">
        <f t="shared" si="15"/>
        <v/>
      </c>
      <c r="U63" s="551" t="str">
        <f t="shared" si="16"/>
        <v/>
      </c>
      <c r="V63" s="523" t="str">
        <f t="shared" si="11"/>
        <v/>
      </c>
    </row>
    <row r="64" spans="1:22" ht="19.149999999999999" customHeight="1">
      <c r="A64" s="433" t="str">
        <f>IF($C64&lt;=$B$15,VLOOKUP(E64,leas!D51:F491,3,FALSE),"")</f>
        <v/>
      </c>
      <c r="B64" s="433">
        <f t="shared" si="6"/>
        <v>87346</v>
      </c>
      <c r="C64" s="433">
        <v>46</v>
      </c>
      <c r="E64" s="481" t="str">
        <f t="shared" si="0"/>
        <v xml:space="preserve"> </v>
      </c>
      <c r="F64" s="481" t="str">
        <f t="shared" si="12"/>
        <v xml:space="preserve"> </v>
      </c>
      <c r="G64" s="480" t="str">
        <f>IF($C64&lt;=$B$15,VLOOKUP(A64&amp;$B$11, localcont!A55:X1809, 18, FALSE), "")</f>
        <v/>
      </c>
      <c r="H64" s="519" t="str">
        <f>IF($C64&lt;=$B$15,VLOOKUP(A64&amp;$B$11, localcont!$A$10:$X$1764, 23, FALSE), "")</f>
        <v/>
      </c>
      <c r="I64" s="519" t="str">
        <f t="shared" si="7"/>
        <v xml:space="preserve"> </v>
      </c>
      <c r="J64" s="536" t="str">
        <f>IF($C64&lt;=$B$15,H64/VLOOKUP(A64&amp;"0999", localcont!$A$10:$X$1764, 23, FALSE), "")</f>
        <v/>
      </c>
      <c r="K64" s="480" t="str">
        <f>IF($C64&lt;=$B$15,VLOOKUP(A64&amp;$B$11, localcont!$A$10:$X$1764, 15, FALSE), "")</f>
        <v/>
      </c>
      <c r="L64" s="480" t="str">
        <f>IF($C64&lt;=$B$15,VLOOKUP(A64&amp;$B$11, localcont!$A$10:$X$1764, 14, FALSE),"")</f>
        <v/>
      </c>
      <c r="M64" s="519" t="str">
        <f t="shared" si="8"/>
        <v xml:space="preserve"> </v>
      </c>
      <c r="N64" s="521" t="str">
        <f>IF($C64&lt;=$B$15,VLOOKUP(A64&amp;$B$11, localcont!$A$10:$X$1764, 10, FALSE), "")</f>
        <v/>
      </c>
      <c r="O64" s="521" t="str">
        <f>IF($C64&lt;=$B$15,VLOOKUP(A64&amp;$B$11, localcont!$A$10:$X$1764, 12, FALSE), "")</f>
        <v/>
      </c>
      <c r="P64" s="522" t="str">
        <f t="shared" si="9"/>
        <v xml:space="preserve"> </v>
      </c>
      <c r="Q64" s="480" t="str">
        <f t="shared" si="13"/>
        <v/>
      </c>
      <c r="R64" s="480" t="str">
        <f t="shared" si="14"/>
        <v/>
      </c>
      <c r="S64" s="519" t="str">
        <f t="shared" si="10"/>
        <v xml:space="preserve"> </v>
      </c>
      <c r="T64" s="551" t="str">
        <f t="shared" si="15"/>
        <v/>
      </c>
      <c r="U64" s="551" t="str">
        <f t="shared" si="16"/>
        <v/>
      </c>
      <c r="V64" s="523" t="str">
        <f t="shared" si="11"/>
        <v/>
      </c>
    </row>
    <row r="65" spans="1:22" ht="19.149999999999999" customHeight="1">
      <c r="A65" s="433" t="str">
        <f>IF($C65&lt;=$B$15,VLOOKUP(E65,leas!D52:F492,3,FALSE),"")</f>
        <v/>
      </c>
      <c r="B65" s="433">
        <f t="shared" si="6"/>
        <v>87347</v>
      </c>
      <c r="C65" s="433">
        <v>47</v>
      </c>
      <c r="E65" s="481" t="str">
        <f t="shared" si="0"/>
        <v xml:space="preserve"> </v>
      </c>
      <c r="F65" s="481" t="str">
        <f t="shared" si="12"/>
        <v xml:space="preserve"> </v>
      </c>
      <c r="G65" s="480" t="str">
        <f>IF($C65&lt;=$B$15,VLOOKUP(A65&amp;$B$11, localcont!A56:X1810, 18, FALSE), "")</f>
        <v/>
      </c>
      <c r="H65" s="519" t="str">
        <f>IF($C65&lt;=$B$15,VLOOKUP(A65&amp;$B$11, localcont!$A$10:$X$1764, 23, FALSE), "")</f>
        <v/>
      </c>
      <c r="I65" s="519" t="str">
        <f t="shared" si="7"/>
        <v xml:space="preserve"> </v>
      </c>
      <c r="J65" s="536" t="str">
        <f>IF($C65&lt;=$B$15,H65/VLOOKUP(A65&amp;"0999", localcont!$A$10:$X$1764, 23, FALSE), "")</f>
        <v/>
      </c>
      <c r="K65" s="480" t="str">
        <f>IF($C65&lt;=$B$15,VLOOKUP(A65&amp;$B$11, localcont!$A$10:$X$1764, 15, FALSE), "")</f>
        <v/>
      </c>
      <c r="L65" s="480" t="str">
        <f>IF($C65&lt;=$B$15,VLOOKUP(A65&amp;$B$11, localcont!$A$10:$X$1764, 14, FALSE),"")</f>
        <v/>
      </c>
      <c r="M65" s="519" t="str">
        <f t="shared" si="8"/>
        <v xml:space="preserve"> </v>
      </c>
      <c r="N65" s="521" t="str">
        <f>IF($C65&lt;=$B$15,VLOOKUP(A65&amp;$B$11, localcont!$A$10:$X$1764, 10, FALSE), "")</f>
        <v/>
      </c>
      <c r="O65" s="521" t="str">
        <f>IF($C65&lt;=$B$15,VLOOKUP(A65&amp;$B$11, localcont!$A$10:$X$1764, 12, FALSE), "")</f>
        <v/>
      </c>
      <c r="P65" s="522" t="str">
        <f t="shared" si="9"/>
        <v xml:space="preserve"> </v>
      </c>
      <c r="Q65" s="480" t="str">
        <f t="shared" si="13"/>
        <v/>
      </c>
      <c r="R65" s="480" t="str">
        <f t="shared" si="14"/>
        <v/>
      </c>
      <c r="S65" s="519" t="str">
        <f t="shared" si="10"/>
        <v xml:space="preserve"> </v>
      </c>
      <c r="T65" s="551" t="str">
        <f t="shared" si="15"/>
        <v/>
      </c>
      <c r="U65" s="551" t="str">
        <f t="shared" si="16"/>
        <v/>
      </c>
      <c r="V65" s="523" t="str">
        <f t="shared" si="11"/>
        <v/>
      </c>
    </row>
    <row r="66" spans="1:22" ht="19.149999999999999" customHeight="1">
      <c r="A66" s="433" t="str">
        <f>IF($C66&lt;=$B$15,VLOOKUP(E66,leas!D53:F493,3,FALSE),"")</f>
        <v/>
      </c>
      <c r="B66" s="433">
        <f t="shared" si="6"/>
        <v>87348</v>
      </c>
      <c r="C66" s="433">
        <v>48</v>
      </c>
      <c r="E66" s="481" t="str">
        <f t="shared" si="0"/>
        <v xml:space="preserve"> </v>
      </c>
      <c r="F66" s="481" t="str">
        <f t="shared" si="12"/>
        <v xml:space="preserve"> </v>
      </c>
      <c r="G66" s="480" t="str">
        <f>IF($C66&lt;=$B$15,VLOOKUP(A66&amp;$B$11, localcont!A57:X1811, 18, FALSE), "")</f>
        <v/>
      </c>
      <c r="H66" s="519" t="str">
        <f>IF($C66&lt;=$B$15,VLOOKUP(A66&amp;$B$11, localcont!$A$10:$X$1764, 23, FALSE), "")</f>
        <v/>
      </c>
      <c r="I66" s="519" t="str">
        <f t="shared" si="7"/>
        <v xml:space="preserve"> </v>
      </c>
      <c r="J66" s="536" t="str">
        <f>IF($C66&lt;=$B$15,H66/VLOOKUP(A66&amp;"0999", localcont!$A$10:$X$1764, 23, FALSE), "")</f>
        <v/>
      </c>
      <c r="K66" s="480" t="str">
        <f>IF($C66&lt;=$B$15,VLOOKUP(A66&amp;$B$11, localcont!$A$10:$X$1764, 15, FALSE), "")</f>
        <v/>
      </c>
      <c r="L66" s="480" t="str">
        <f>IF($C66&lt;=$B$15,VLOOKUP(A66&amp;$B$11, localcont!$A$10:$X$1764, 14, FALSE),"")</f>
        <v/>
      </c>
      <c r="M66" s="519" t="str">
        <f t="shared" si="8"/>
        <v xml:space="preserve"> </v>
      </c>
      <c r="N66" s="521" t="str">
        <f>IF($C66&lt;=$B$15,VLOOKUP(A66&amp;$B$11, localcont!$A$10:$X$1764, 10, FALSE), "")</f>
        <v/>
      </c>
      <c r="O66" s="521" t="str">
        <f>IF($C66&lt;=$B$15,VLOOKUP(A66&amp;$B$11, localcont!$A$10:$X$1764, 12, FALSE), "")</f>
        <v/>
      </c>
      <c r="P66" s="522" t="str">
        <f t="shared" si="9"/>
        <v xml:space="preserve"> </v>
      </c>
      <c r="Q66" s="480" t="str">
        <f t="shared" si="13"/>
        <v/>
      </c>
      <c r="R66" s="480" t="str">
        <f t="shared" si="14"/>
        <v/>
      </c>
      <c r="S66" s="519" t="str">
        <f t="shared" si="10"/>
        <v xml:space="preserve"> </v>
      </c>
      <c r="T66" s="551" t="str">
        <f t="shared" si="15"/>
        <v/>
      </c>
      <c r="U66" s="551" t="str">
        <f t="shared" si="16"/>
        <v/>
      </c>
      <c r="V66" s="523" t="str">
        <f t="shared" si="11"/>
        <v/>
      </c>
    </row>
    <row r="67" spans="1:22" ht="19.149999999999999" customHeight="1">
      <c r="A67" s="433" t="str">
        <f>IF($C67&lt;=$B$15,VLOOKUP(E67,leas!D54:F494,3,FALSE),"")</f>
        <v/>
      </c>
      <c r="B67" s="433">
        <f t="shared" si="6"/>
        <v>87349</v>
      </c>
      <c r="C67" s="433">
        <v>49</v>
      </c>
      <c r="E67" s="481" t="str">
        <f t="shared" si="0"/>
        <v xml:space="preserve"> </v>
      </c>
      <c r="F67" s="481" t="str">
        <f t="shared" si="12"/>
        <v xml:space="preserve"> </v>
      </c>
      <c r="G67" s="480" t="str">
        <f>IF($C67&lt;=$B$15,VLOOKUP(A67&amp;$B$11, localcont!A58:X1812, 18, FALSE), "")</f>
        <v/>
      </c>
      <c r="H67" s="519" t="str">
        <f>IF($C67&lt;=$B$15,VLOOKUP(A67&amp;$B$11, localcont!$A$10:$X$1764, 23, FALSE), "")</f>
        <v/>
      </c>
      <c r="I67" s="519" t="str">
        <f t="shared" si="7"/>
        <v xml:space="preserve"> </v>
      </c>
      <c r="J67" s="536" t="str">
        <f>IF($C67&lt;=$B$15,H67/VLOOKUP(A67&amp;"0999", localcont!$A$10:$X$1764, 23, FALSE), "")</f>
        <v/>
      </c>
      <c r="K67" s="480" t="str">
        <f>IF($C67&lt;=$B$15,VLOOKUP(A67&amp;$B$11, localcont!$A$10:$X$1764, 15, FALSE), "")</f>
        <v/>
      </c>
      <c r="L67" s="480" t="str">
        <f>IF($C67&lt;=$B$15,VLOOKUP(A67&amp;$B$11, localcont!$A$10:$X$1764, 14, FALSE),"")</f>
        <v/>
      </c>
      <c r="M67" s="519" t="str">
        <f t="shared" si="8"/>
        <v xml:space="preserve"> </v>
      </c>
      <c r="N67" s="521" t="str">
        <f>IF($C67&lt;=$B$15,VLOOKUP(A67&amp;$B$11, localcont!$A$10:$X$1764, 10, FALSE), "")</f>
        <v/>
      </c>
      <c r="O67" s="521" t="str">
        <f>IF($C67&lt;=$B$15,VLOOKUP(A67&amp;$B$11, localcont!$A$10:$X$1764, 12, FALSE), "")</f>
        <v/>
      </c>
      <c r="P67" s="522" t="str">
        <f t="shared" si="9"/>
        <v xml:space="preserve"> </v>
      </c>
      <c r="Q67" s="480" t="str">
        <f t="shared" si="13"/>
        <v/>
      </c>
      <c r="R67" s="480" t="str">
        <f t="shared" si="14"/>
        <v/>
      </c>
      <c r="S67" s="519" t="str">
        <f t="shared" si="10"/>
        <v xml:space="preserve"> </v>
      </c>
      <c r="T67" s="551" t="str">
        <f t="shared" si="15"/>
        <v/>
      </c>
      <c r="U67" s="551" t="str">
        <f t="shared" si="16"/>
        <v/>
      </c>
      <c r="V67" s="523" t="str">
        <f t="shared" si="11"/>
        <v/>
      </c>
    </row>
  </sheetData>
  <mergeCells count="7">
    <mergeCell ref="Q13:S13"/>
    <mergeCell ref="N13:P13"/>
    <mergeCell ref="T13:V13"/>
    <mergeCell ref="G14:H14"/>
    <mergeCell ref="K14:L14"/>
    <mergeCell ref="K13:M13"/>
    <mergeCell ref="G13:J13"/>
  </mergeCells>
  <phoneticPr fontId="0" type="noConversion"/>
  <hyperlinks>
    <hyperlink ref="E2" location="Index!A10" display="Return to Index"/>
    <hyperlink ref="V2" location="MoreAboutData!A4" display="More about the data"/>
  </hyperlinks>
  <pageMargins left="0.25" right="0.25" top="0.75" bottom="0.75" header="0.3" footer="0.3"/>
  <pageSetup scale="56" fitToHeight="2" orientation="landscape" r:id="rId1"/>
  <headerFooter alignWithMargins="0">
    <oddFooter>&amp;C&amp;"Arial,Regular"Page &amp;P</oddFooter>
  </headerFooter>
  <rowBreaks count="1" manualBreakCount="1">
    <brk id="47" min="4" max="21" man="1"/>
  </rowBreaks>
  <drawing r:id="rId2"/>
  <legacyDrawing r:id="rId3"/>
  <mc:AlternateContent xmlns:mc="http://schemas.openxmlformats.org/markup-compatibility/2006">
    <mc:Choice Requires="x14">
      <controls>
        <mc:AlternateContent xmlns:mc="http://schemas.openxmlformats.org/markup-compatibility/2006">
          <mc:Choice Requires="x14">
            <control shapeId="28674" r:id="rId4" name="Drop Down 2">
              <controlPr defaultSize="0" autoLine="0" autoPict="0">
                <anchor moveWithCells="1">
                  <from>
                    <xdr:col>4</xdr:col>
                    <xdr:colOff>76200</xdr:colOff>
                    <xdr:row>3</xdr:row>
                    <xdr:rowOff>47625</xdr:rowOff>
                  </from>
                  <to>
                    <xdr:col>6</xdr:col>
                    <xdr:colOff>381000</xdr:colOff>
                    <xdr:row>4</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39997558519241921"/>
  </sheetPr>
  <dimension ref="A1:N821"/>
  <sheetViews>
    <sheetView workbookViewId="0">
      <pane ySplit="9" topLeftCell="A790" activePane="bottomLeft" state="frozen"/>
      <selection pane="bottomLeft" activeCell="M814" sqref="M814"/>
    </sheetView>
  </sheetViews>
  <sheetFormatPr defaultColWidth="9" defaultRowHeight="12.75"/>
  <cols>
    <col min="1" max="1" width="7" style="5" customWidth="1"/>
    <col min="2" max="2" width="5.75" style="5" customWidth="1"/>
    <col min="3" max="3" width="26.125" style="5" customWidth="1"/>
    <col min="4" max="4" width="5.625" style="5" customWidth="1"/>
    <col min="5" max="5" width="18" style="5" customWidth="1"/>
    <col min="6" max="6" width="11" style="5" customWidth="1"/>
    <col min="7" max="7" width="12.75" style="5" customWidth="1"/>
    <col min="8" max="8" width="11" style="5" customWidth="1"/>
    <col min="9" max="9" width="2.5" style="5" customWidth="1"/>
    <col min="10" max="10" width="8.875"/>
    <col min="11" max="11" width="5.25" customWidth="1"/>
    <col min="12" max="12" width="9.875" customWidth="1"/>
    <col min="13" max="13" width="4.875" customWidth="1"/>
    <col min="14" max="14" width="8.875" customWidth="1"/>
    <col min="15" max="16384" width="9" style="5"/>
  </cols>
  <sheetData>
    <row r="1" spans="1:14" s="4" customFormat="1" ht="13.5">
      <c r="A1" s="6"/>
      <c r="F1" s="2" t="s">
        <v>1197</v>
      </c>
      <c r="G1" s="2" t="s">
        <v>1198</v>
      </c>
      <c r="H1" s="2" t="s">
        <v>1199</v>
      </c>
      <c r="J1"/>
      <c r="K1"/>
      <c r="L1"/>
      <c r="M1"/>
      <c r="N1"/>
    </row>
    <row r="2" spans="1:14" s="4" customFormat="1">
      <c r="A2" s="4" t="s">
        <v>1200</v>
      </c>
      <c r="J2"/>
      <c r="K2"/>
      <c r="L2"/>
      <c r="M2"/>
      <c r="N2"/>
    </row>
    <row r="3" spans="1:14" s="4" customFormat="1" ht="13.5">
      <c r="F3" s="2"/>
      <c r="G3" s="2"/>
      <c r="H3" s="2"/>
      <c r="J3"/>
      <c r="K3"/>
      <c r="L3"/>
      <c r="M3"/>
      <c r="N3"/>
    </row>
    <row r="4" spans="1:14" s="4" customFormat="1">
      <c r="J4"/>
      <c r="K4"/>
      <c r="L4"/>
      <c r="M4"/>
      <c r="N4"/>
    </row>
    <row r="5" spans="1:14" s="4" customFormat="1">
      <c r="F5" s="3"/>
      <c r="G5" s="3"/>
      <c r="H5" s="3"/>
      <c r="J5"/>
      <c r="K5"/>
      <c r="L5"/>
      <c r="M5"/>
      <c r="N5"/>
    </row>
    <row r="6" spans="1:14" s="4" customFormat="1">
      <c r="J6"/>
      <c r="K6"/>
      <c r="L6"/>
      <c r="M6"/>
      <c r="N6"/>
    </row>
    <row r="7" spans="1:14" s="1" customFormat="1">
      <c r="A7" s="13"/>
      <c r="B7" s="11"/>
      <c r="C7" s="11"/>
      <c r="D7" s="11"/>
      <c r="E7" s="11"/>
      <c r="F7" s="13" t="s">
        <v>1244</v>
      </c>
      <c r="G7" s="13" t="s">
        <v>1245</v>
      </c>
      <c r="H7" s="13" t="s">
        <v>1246</v>
      </c>
      <c r="J7"/>
      <c r="K7"/>
      <c r="L7"/>
      <c r="M7"/>
      <c r="N7"/>
    </row>
    <row r="8" spans="1:14" s="1" customFormat="1">
      <c r="A8" s="13"/>
      <c r="B8" s="11"/>
      <c r="C8" s="11"/>
      <c r="D8" s="11"/>
      <c r="E8" s="11"/>
      <c r="F8" s="13" t="s">
        <v>1176</v>
      </c>
      <c r="G8" s="13" t="s">
        <v>1157</v>
      </c>
      <c r="H8" s="13" t="s">
        <v>1176</v>
      </c>
      <c r="J8"/>
      <c r="K8"/>
      <c r="L8"/>
      <c r="M8"/>
      <c r="N8"/>
    </row>
    <row r="9" spans="1:14" s="1" customFormat="1">
      <c r="A9" s="13" t="s">
        <v>60</v>
      </c>
      <c r="B9" s="11" t="s">
        <v>58</v>
      </c>
      <c r="C9" s="11" t="s">
        <v>1140</v>
      </c>
      <c r="D9" s="11" t="s">
        <v>59</v>
      </c>
      <c r="E9" s="11" t="s">
        <v>1139</v>
      </c>
      <c r="F9" s="13" t="s">
        <v>1177</v>
      </c>
      <c r="G9" s="13" t="s">
        <v>1177</v>
      </c>
      <c r="H9" s="13" t="s">
        <v>1177</v>
      </c>
      <c r="J9"/>
      <c r="K9"/>
      <c r="L9"/>
      <c r="M9"/>
      <c r="N9"/>
    </row>
    <row r="10" spans="1:14">
      <c r="A10" s="7">
        <v>1</v>
      </c>
      <c r="B10" s="7">
        <v>1</v>
      </c>
      <c r="C10" s="7" t="s">
        <v>1161</v>
      </c>
      <c r="D10" s="7">
        <v>1</v>
      </c>
      <c r="E10" s="7" t="s">
        <v>109</v>
      </c>
      <c r="F10" s="9">
        <f t="shared" ref="F10:F73" si="0">VLOOKUP(D10, town351, 7)</f>
        <v>14381022</v>
      </c>
      <c r="G10" s="9">
        <f>VLOOKUP(A10, localcont!$D$10:$L$1764, 8)</f>
        <v>19699144.432921756</v>
      </c>
      <c r="H10" s="109">
        <f>VLOOKUP(A10, localcont!$D$10:$L$1764, 9)*F10</f>
        <v>12852754.290964445</v>
      </c>
    </row>
    <row r="11" spans="1:14">
      <c r="A11" s="7">
        <v>6</v>
      </c>
      <c r="B11" s="7">
        <v>2</v>
      </c>
      <c r="C11" s="7" t="s">
        <v>1163</v>
      </c>
      <c r="D11" s="7">
        <v>2</v>
      </c>
      <c r="E11" s="7" t="s">
        <v>110</v>
      </c>
      <c r="F11" s="9">
        <f t="shared" si="0"/>
        <v>35776919</v>
      </c>
      <c r="G11" s="9">
        <f>VLOOKUP(A11, localcont!$D$10:$L$1764, 8)</f>
        <v>0</v>
      </c>
      <c r="H11" s="109">
        <f>VLOOKUP(A11, localcont!$D$10:$L$1764, 9)*F11</f>
        <v>0</v>
      </c>
    </row>
    <row r="12" spans="1:14">
      <c r="A12" s="7">
        <v>11</v>
      </c>
      <c r="B12" s="7">
        <v>3</v>
      </c>
      <c r="C12" s="7" t="s">
        <v>1166</v>
      </c>
      <c r="D12" s="7">
        <v>3</v>
      </c>
      <c r="E12" s="7" t="s">
        <v>111</v>
      </c>
      <c r="F12" s="9">
        <f t="shared" si="0"/>
        <v>8183624</v>
      </c>
      <c r="G12" s="9">
        <f>VLOOKUP(A12, localcont!$D$10:$L$1764, 8)</f>
        <v>11736546.345857544</v>
      </c>
      <c r="H12" s="109">
        <f>VLOOKUP(A12, localcont!$D$10:$L$1764, 9)*F12</f>
        <v>6827150.4255322544</v>
      </c>
    </row>
    <row r="13" spans="1:14">
      <c r="A13" s="7">
        <v>16</v>
      </c>
      <c r="B13" s="7">
        <v>4</v>
      </c>
      <c r="C13" s="7" t="s">
        <v>1169</v>
      </c>
      <c r="D13" s="7">
        <v>4</v>
      </c>
      <c r="E13" s="7" t="s">
        <v>112</v>
      </c>
      <c r="F13" s="9">
        <f t="shared" si="0"/>
        <v>4315456</v>
      </c>
      <c r="G13" s="9">
        <f>VLOOKUP(A13, localcont!$D$10:$L$1764, 8)</f>
        <v>0</v>
      </c>
      <c r="H13" s="109">
        <f>VLOOKUP(A13, localcont!$D$10:$L$1764, 9)*F13</f>
        <v>0</v>
      </c>
    </row>
    <row r="14" spans="1:14">
      <c r="A14" s="7">
        <v>21</v>
      </c>
      <c r="B14" s="7">
        <v>5</v>
      </c>
      <c r="C14" s="7" t="s">
        <v>1172</v>
      </c>
      <c r="D14" s="7">
        <v>5</v>
      </c>
      <c r="E14" s="7" t="s">
        <v>113</v>
      </c>
      <c r="F14" s="9">
        <f t="shared" si="0"/>
        <v>21868889</v>
      </c>
      <c r="G14" s="9">
        <f>VLOOKUP(A14, localcont!$D$10:$L$1764, 8)</f>
        <v>40549530.336503848</v>
      </c>
      <c r="H14" s="109">
        <f>VLOOKUP(A14, localcont!$D$10:$L$1764, 9)*F14</f>
        <v>21868889</v>
      </c>
    </row>
    <row r="15" spans="1:14">
      <c r="A15" s="7">
        <v>26</v>
      </c>
      <c r="B15" s="7">
        <v>6</v>
      </c>
      <c r="C15" s="7" t="s">
        <v>1173</v>
      </c>
      <c r="D15" s="7">
        <v>6</v>
      </c>
      <c r="E15" s="7" t="s">
        <v>114</v>
      </c>
      <c r="F15" s="9">
        <f t="shared" si="0"/>
        <v>1476201</v>
      </c>
      <c r="G15" s="9">
        <f>VLOOKUP(A15, localcont!$D$10:$L$1764, 8)</f>
        <v>0</v>
      </c>
      <c r="H15" s="109">
        <f>VLOOKUP(A15, localcont!$D$10:$L$1764, 9)*F15</f>
        <v>0</v>
      </c>
    </row>
    <row r="16" spans="1:14">
      <c r="A16" s="7">
        <v>31</v>
      </c>
      <c r="B16" s="7">
        <v>7</v>
      </c>
      <c r="C16" s="7" t="s">
        <v>1</v>
      </c>
      <c r="D16" s="7">
        <v>7</v>
      </c>
      <c r="E16" s="7" t="s">
        <v>115</v>
      </c>
      <c r="F16" s="9">
        <f t="shared" si="0"/>
        <v>15325400</v>
      </c>
      <c r="G16" s="9">
        <f>VLOOKUP(A16, localcont!$D$10:$L$1764, 8)</f>
        <v>22137199.0502779</v>
      </c>
      <c r="H16" s="109">
        <f>VLOOKUP(A16, localcont!$D$10:$L$1764, 9)*F16</f>
        <v>14573783.858734814</v>
      </c>
    </row>
    <row r="17" spans="1:8">
      <c r="A17" s="7">
        <v>36</v>
      </c>
      <c r="B17" s="7">
        <v>8</v>
      </c>
      <c r="C17" s="7" t="s">
        <v>3</v>
      </c>
      <c r="D17" s="7">
        <v>8</v>
      </c>
      <c r="E17" s="7" t="s">
        <v>116</v>
      </c>
      <c r="F17" s="9">
        <f t="shared" si="0"/>
        <v>18281147</v>
      </c>
      <c r="G17" s="9">
        <f>VLOOKUP(A17, localcont!$D$10:$L$1764, 8)</f>
        <v>11871248.344619127</v>
      </c>
      <c r="H17" s="109">
        <f>VLOOKUP(A17, localcont!$D$10:$L$1764, 9)*F17</f>
        <v>8767011.9207937848</v>
      </c>
    </row>
    <row r="18" spans="1:8">
      <c r="A18" s="7">
        <v>41</v>
      </c>
      <c r="B18" s="7">
        <v>9</v>
      </c>
      <c r="C18" s="7" t="s">
        <v>5</v>
      </c>
      <c r="D18" s="7">
        <v>9</v>
      </c>
      <c r="E18" s="7" t="s">
        <v>117</v>
      </c>
      <c r="F18" s="9">
        <f t="shared" si="0"/>
        <v>66465758</v>
      </c>
      <c r="G18" s="9">
        <f>VLOOKUP(A18, localcont!$D$10:$L$1764, 8)</f>
        <v>59213763.705395557</v>
      </c>
      <c r="H18" s="109">
        <f>VLOOKUP(A18, localcont!$D$10:$L$1764, 9)*F18</f>
        <v>65820723.267127283</v>
      </c>
    </row>
    <row r="19" spans="1:8">
      <c r="A19" s="7">
        <v>46</v>
      </c>
      <c r="B19" s="7">
        <v>10</v>
      </c>
      <c r="C19" s="7" t="s">
        <v>7</v>
      </c>
      <c r="D19" s="7">
        <v>10</v>
      </c>
      <c r="E19" s="7" t="s">
        <v>118</v>
      </c>
      <c r="F19" s="9">
        <f t="shared" si="0"/>
        <v>66813699</v>
      </c>
      <c r="G19" s="9">
        <f>VLOOKUP(A19, localcont!$D$10:$L$1764, 8)</f>
        <v>54501493.562073596</v>
      </c>
      <c r="H19" s="109">
        <f>VLOOKUP(A19, localcont!$D$10:$L$1764, 9)*F19</f>
        <v>64197820.800436445</v>
      </c>
    </row>
    <row r="20" spans="1:8">
      <c r="A20" s="7">
        <v>51</v>
      </c>
      <c r="B20" s="7">
        <v>11</v>
      </c>
      <c r="C20" s="7" t="s">
        <v>8</v>
      </c>
      <c r="D20" s="7">
        <v>11</v>
      </c>
      <c r="E20" s="7" t="s">
        <v>119</v>
      </c>
      <c r="F20" s="9">
        <f t="shared" si="0"/>
        <v>4960156</v>
      </c>
      <c r="G20" s="9">
        <f>VLOOKUP(A20, localcont!$D$10:$L$1764, 8)</f>
        <v>0</v>
      </c>
      <c r="H20" s="109">
        <f>VLOOKUP(A20, localcont!$D$10:$L$1764, 9)*F20</f>
        <v>0</v>
      </c>
    </row>
    <row r="21" spans="1:8">
      <c r="A21" s="7">
        <v>56</v>
      </c>
      <c r="B21" s="7">
        <v>12</v>
      </c>
      <c r="C21" s="7" t="s">
        <v>11</v>
      </c>
      <c r="D21" s="7">
        <v>12</v>
      </c>
      <c r="E21" s="7" t="s">
        <v>120</v>
      </c>
      <c r="F21" s="9">
        <f t="shared" si="0"/>
        <v>2334787</v>
      </c>
      <c r="G21" s="9">
        <f>VLOOKUP(A21, localcont!$D$10:$L$1764, 8)</f>
        <v>0</v>
      </c>
      <c r="H21" s="109">
        <f>VLOOKUP(A21, localcont!$D$10:$L$1764, 9)*F21</f>
        <v>0</v>
      </c>
    </row>
    <row r="22" spans="1:8">
      <c r="A22" s="7">
        <v>61</v>
      </c>
      <c r="B22" s="7">
        <v>13</v>
      </c>
      <c r="C22" s="7" t="s">
        <v>13</v>
      </c>
      <c r="D22" s="7">
        <v>13</v>
      </c>
      <c r="E22" s="7" t="s">
        <v>121</v>
      </c>
      <c r="F22" s="9">
        <f t="shared" si="0"/>
        <v>1529120</v>
      </c>
      <c r="G22" s="9">
        <f>VLOOKUP(A22, localcont!$D$10:$L$1764, 8)</f>
        <v>226884.18269824251</v>
      </c>
      <c r="H22" s="109">
        <f>VLOOKUP(A22, localcont!$D$10:$L$1764, 9)*F22</f>
        <v>175120.19547051308</v>
      </c>
    </row>
    <row r="23" spans="1:8">
      <c r="A23" s="7">
        <v>66</v>
      </c>
      <c r="B23" s="7">
        <v>14</v>
      </c>
      <c r="C23" s="7" t="s">
        <v>15</v>
      </c>
      <c r="D23" s="7">
        <v>14</v>
      </c>
      <c r="E23" s="7" t="s">
        <v>122</v>
      </c>
      <c r="F23" s="9">
        <f t="shared" si="0"/>
        <v>20219561</v>
      </c>
      <c r="G23" s="9">
        <f>VLOOKUP(A23, localcont!$D$10:$L$1764, 8)</f>
        <v>24948345.559453651</v>
      </c>
      <c r="H23" s="109">
        <f>VLOOKUP(A23, localcont!$D$10:$L$1764, 9)*F23</f>
        <v>19387385.134565417</v>
      </c>
    </row>
    <row r="24" spans="1:8">
      <c r="A24" s="7">
        <v>71</v>
      </c>
      <c r="B24" s="7">
        <v>15</v>
      </c>
      <c r="C24" s="7" t="s">
        <v>17</v>
      </c>
      <c r="D24" s="7">
        <v>15</v>
      </c>
      <c r="E24" s="7" t="s">
        <v>123</v>
      </c>
      <c r="F24" s="9">
        <f t="shared" si="0"/>
        <v>5528038</v>
      </c>
      <c r="G24" s="9">
        <f>VLOOKUP(A24, localcont!$D$10:$L$1764, 8)</f>
        <v>26833.666687179095</v>
      </c>
      <c r="H24" s="109">
        <f>VLOOKUP(A24, localcont!$D$10:$L$1764, 9)*F24</f>
        <v>7976.3692949757378</v>
      </c>
    </row>
    <row r="25" spans="1:8">
      <c r="A25" s="7">
        <v>76</v>
      </c>
      <c r="B25" s="7">
        <v>16</v>
      </c>
      <c r="C25" s="7" t="s">
        <v>19</v>
      </c>
      <c r="D25" s="7">
        <v>16</v>
      </c>
      <c r="E25" s="7" t="s">
        <v>124</v>
      </c>
      <c r="F25" s="9">
        <f t="shared" si="0"/>
        <v>34217081</v>
      </c>
      <c r="G25" s="9">
        <f>VLOOKUP(A25, localcont!$D$10:$L$1764, 8)</f>
        <v>69495854.734565571</v>
      </c>
      <c r="H25" s="109">
        <f>VLOOKUP(A25, localcont!$D$10:$L$1764, 9)*F25</f>
        <v>33950056.615626208</v>
      </c>
    </row>
    <row r="26" spans="1:8">
      <c r="A26" s="7">
        <v>81</v>
      </c>
      <c r="B26" s="7">
        <v>17</v>
      </c>
      <c r="C26" s="7" t="s">
        <v>20</v>
      </c>
      <c r="D26" s="7">
        <v>17</v>
      </c>
      <c r="E26" s="7" t="s">
        <v>125</v>
      </c>
      <c r="F26" s="9">
        <f t="shared" si="0"/>
        <v>14699406</v>
      </c>
      <c r="G26" s="9">
        <f>VLOOKUP(A26, localcont!$D$10:$L$1764, 8)</f>
        <v>24064548.393377755</v>
      </c>
      <c r="H26" s="109">
        <f>VLOOKUP(A26, localcont!$D$10:$L$1764, 9)*F26</f>
        <v>13860168.617556596</v>
      </c>
    </row>
    <row r="27" spans="1:8">
      <c r="A27" s="7">
        <v>86</v>
      </c>
      <c r="B27" s="7">
        <v>18</v>
      </c>
      <c r="C27" s="7" t="s">
        <v>22</v>
      </c>
      <c r="D27" s="7">
        <v>18</v>
      </c>
      <c r="E27" s="7" t="s">
        <v>126</v>
      </c>
      <c r="F27" s="9">
        <f t="shared" si="0"/>
        <v>4876717</v>
      </c>
      <c r="G27" s="9">
        <f>VLOOKUP(A27, localcont!$D$10:$L$1764, 8)</f>
        <v>5634205.6633891659</v>
      </c>
      <c r="H27" s="109">
        <f>VLOOKUP(A27, localcont!$D$10:$L$1764, 9)*F27</f>
        <v>4211771.7387262965</v>
      </c>
    </row>
    <row r="28" spans="1:8">
      <c r="A28" s="7">
        <v>91</v>
      </c>
      <c r="B28" s="7">
        <v>19</v>
      </c>
      <c r="C28" s="7" t="s">
        <v>25</v>
      </c>
      <c r="D28" s="7">
        <v>19</v>
      </c>
      <c r="E28" s="7" t="s">
        <v>127</v>
      </c>
      <c r="F28" s="9">
        <f t="shared" si="0"/>
        <v>7310225</v>
      </c>
      <c r="G28" s="9">
        <f>VLOOKUP(A28, localcont!$D$10:$L$1764, 8)</f>
        <v>0</v>
      </c>
      <c r="H28" s="109">
        <f>VLOOKUP(A28, localcont!$D$10:$L$1764, 9)*F28</f>
        <v>0</v>
      </c>
    </row>
    <row r="29" spans="1:8">
      <c r="A29" s="7">
        <v>96</v>
      </c>
      <c r="B29" s="7">
        <v>20</v>
      </c>
      <c r="C29" s="7" t="s">
        <v>26</v>
      </c>
      <c r="D29" s="7">
        <v>20</v>
      </c>
      <c r="E29" s="7" t="s">
        <v>128</v>
      </c>
      <c r="F29" s="9">
        <f t="shared" si="0"/>
        <v>71626567</v>
      </c>
      <c r="G29" s="9">
        <f>VLOOKUP(A29, localcont!$D$10:$L$1764, 8)</f>
        <v>58000134.653313488</v>
      </c>
      <c r="H29" s="109">
        <f>VLOOKUP(A29, localcont!$D$10:$L$1764, 9)*F29</f>
        <v>68102821.638184294</v>
      </c>
    </row>
    <row r="30" spans="1:8">
      <c r="A30" s="7">
        <v>101</v>
      </c>
      <c r="B30" s="7">
        <v>21</v>
      </c>
      <c r="C30" s="7" t="s">
        <v>28</v>
      </c>
      <c r="D30" s="7">
        <v>21</v>
      </c>
      <c r="E30" s="7" t="s">
        <v>129</v>
      </c>
      <c r="F30" s="9">
        <f t="shared" si="0"/>
        <v>3535911</v>
      </c>
      <c r="G30" s="9">
        <f>VLOOKUP(A30, localcont!$D$10:$L$1764, 8)</f>
        <v>0</v>
      </c>
      <c r="H30" s="109">
        <f>VLOOKUP(A30, localcont!$D$10:$L$1764, 9)*F30</f>
        <v>0</v>
      </c>
    </row>
    <row r="31" spans="1:8">
      <c r="A31" s="7">
        <v>106</v>
      </c>
      <c r="B31" s="7">
        <v>22</v>
      </c>
      <c r="C31" s="7" t="s">
        <v>30</v>
      </c>
      <c r="D31" s="7">
        <v>22</v>
      </c>
      <c r="E31" s="7" t="s">
        <v>130</v>
      </c>
      <c r="F31" s="9">
        <f t="shared" si="0"/>
        <v>2463742</v>
      </c>
      <c r="G31" s="9">
        <f>VLOOKUP(A31, localcont!$D$10:$L$1764, 8)</f>
        <v>173216.84932388432</v>
      </c>
      <c r="H31" s="109">
        <f>VLOOKUP(A31, localcont!$D$10:$L$1764, 9)*F31</f>
        <v>183113.58189416077</v>
      </c>
    </row>
    <row r="32" spans="1:8">
      <c r="A32" s="7">
        <v>111</v>
      </c>
      <c r="B32" s="7">
        <v>23</v>
      </c>
      <c r="C32" s="7" t="s">
        <v>32</v>
      </c>
      <c r="D32" s="7">
        <v>23</v>
      </c>
      <c r="E32" s="7" t="s">
        <v>131</v>
      </c>
      <c r="F32" s="9">
        <f t="shared" si="0"/>
        <v>25496223</v>
      </c>
      <c r="G32" s="9">
        <f>VLOOKUP(A32, localcont!$D$10:$L$1764, 8)</f>
        <v>26915524.993783444</v>
      </c>
      <c r="H32" s="109">
        <f>VLOOKUP(A32, localcont!$D$10:$L$1764, 9)*F32</f>
        <v>25194100.128712147</v>
      </c>
    </row>
    <row r="33" spans="1:8">
      <c r="A33" s="7">
        <v>116</v>
      </c>
      <c r="B33" s="7">
        <v>24</v>
      </c>
      <c r="C33" s="7" t="s">
        <v>34</v>
      </c>
      <c r="D33" s="7">
        <v>24</v>
      </c>
      <c r="E33" s="7" t="s">
        <v>132</v>
      </c>
      <c r="F33" s="9">
        <f t="shared" si="0"/>
        <v>11944395</v>
      </c>
      <c r="G33" s="9">
        <f>VLOOKUP(A33, localcont!$D$10:$L$1764, 8)</f>
        <v>23338797.006631523</v>
      </c>
      <c r="H33" s="109">
        <f>VLOOKUP(A33, localcont!$D$10:$L$1764, 9)*F33</f>
        <v>11147870.591297431</v>
      </c>
    </row>
    <row r="34" spans="1:8">
      <c r="A34" s="7">
        <v>121</v>
      </c>
      <c r="B34" s="7">
        <v>25</v>
      </c>
      <c r="C34" s="7" t="s">
        <v>36</v>
      </c>
      <c r="D34" s="7">
        <v>25</v>
      </c>
      <c r="E34" s="7" t="s">
        <v>133</v>
      </c>
      <c r="F34" s="9">
        <f t="shared" si="0"/>
        <v>16243110</v>
      </c>
      <c r="G34" s="9">
        <f>VLOOKUP(A34, localcont!$D$10:$L$1764, 8)</f>
        <v>22943454.173670746</v>
      </c>
      <c r="H34" s="109">
        <f>VLOOKUP(A34, localcont!$D$10:$L$1764, 9)*F34</f>
        <v>15268386.342859162</v>
      </c>
    </row>
    <row r="35" spans="1:8">
      <c r="A35" s="7">
        <v>126</v>
      </c>
      <c r="B35" s="7">
        <v>26</v>
      </c>
      <c r="C35" s="7" t="s">
        <v>38</v>
      </c>
      <c r="D35" s="7">
        <v>26</v>
      </c>
      <c r="E35" s="7" t="s">
        <v>134</v>
      </c>
      <c r="F35" s="9">
        <f t="shared" si="0"/>
        <v>55804439</v>
      </c>
      <c r="G35" s="9">
        <f>VLOOKUP(A35, localcont!$D$10:$L$1764, 8)</f>
        <v>42643514.599933475</v>
      </c>
      <c r="H35" s="109">
        <f>VLOOKUP(A35, localcont!$D$10:$L$1764, 9)*F35</f>
        <v>55139944.137164377</v>
      </c>
    </row>
    <row r="36" spans="1:8">
      <c r="A36" s="7">
        <v>131</v>
      </c>
      <c r="B36" s="7">
        <v>27</v>
      </c>
      <c r="C36" s="7" t="s">
        <v>39</v>
      </c>
      <c r="D36" s="7">
        <v>27</v>
      </c>
      <c r="E36" s="7" t="s">
        <v>135</v>
      </c>
      <c r="F36" s="9">
        <f t="shared" si="0"/>
        <v>5999506</v>
      </c>
      <c r="G36" s="9">
        <f>VLOOKUP(A36, localcont!$D$10:$L$1764, 8)</f>
        <v>7359719.0961112287</v>
      </c>
      <c r="H36" s="109">
        <f>VLOOKUP(A36, localcont!$D$10:$L$1764, 9)*F36</f>
        <v>3682007.9616903523</v>
      </c>
    </row>
    <row r="37" spans="1:8">
      <c r="A37" s="7">
        <v>136</v>
      </c>
      <c r="B37" s="7">
        <v>28</v>
      </c>
      <c r="C37" s="7" t="s">
        <v>41</v>
      </c>
      <c r="D37" s="7">
        <v>28</v>
      </c>
      <c r="E37" s="7" t="s">
        <v>136</v>
      </c>
      <c r="F37" s="9">
        <f t="shared" si="0"/>
        <v>4145419</v>
      </c>
      <c r="G37" s="9">
        <f>VLOOKUP(A37, localcont!$D$10:$L$1764, 8)</f>
        <v>1603891.1351568666</v>
      </c>
      <c r="H37" s="109">
        <f>VLOOKUP(A37, localcont!$D$10:$L$1764, 9)*F37</f>
        <v>1731940.1834751281</v>
      </c>
    </row>
    <row r="38" spans="1:8">
      <c r="A38" s="7">
        <v>141</v>
      </c>
      <c r="B38" s="7">
        <v>29</v>
      </c>
      <c r="C38" s="7" t="s">
        <v>44</v>
      </c>
      <c r="D38" s="7">
        <v>29</v>
      </c>
      <c r="E38" s="7" t="s">
        <v>137</v>
      </c>
      <c r="F38" s="9">
        <f t="shared" si="0"/>
        <v>1593412</v>
      </c>
      <c r="G38" s="9">
        <f>VLOOKUP(A38, localcont!$D$10:$L$1764, 8)</f>
        <v>0</v>
      </c>
      <c r="H38" s="109">
        <f>VLOOKUP(A38, localcont!$D$10:$L$1764, 9)*F38</f>
        <v>0</v>
      </c>
    </row>
    <row r="39" spans="1:8">
      <c r="A39" s="7">
        <v>146</v>
      </c>
      <c r="B39" s="7">
        <v>30</v>
      </c>
      <c r="C39" s="7" t="s">
        <v>47</v>
      </c>
      <c r="D39" s="7">
        <v>30</v>
      </c>
      <c r="E39" s="7" t="s">
        <v>138</v>
      </c>
      <c r="F39" s="9">
        <f t="shared" si="0"/>
        <v>45585612</v>
      </c>
      <c r="G39" s="9">
        <f>VLOOKUP(A39, localcont!$D$10:$L$1764, 8)</f>
        <v>45588032.85854122</v>
      </c>
      <c r="H39" s="109">
        <f>VLOOKUP(A39, localcont!$D$10:$L$1764, 9)*F39</f>
        <v>43709634.765809968</v>
      </c>
    </row>
    <row r="40" spans="1:8">
      <c r="A40" s="7">
        <v>151</v>
      </c>
      <c r="B40" s="7">
        <v>31</v>
      </c>
      <c r="C40" s="7" t="s">
        <v>48</v>
      </c>
      <c r="D40" s="7">
        <v>31</v>
      </c>
      <c r="E40" s="7" t="s">
        <v>73</v>
      </c>
      <c r="F40" s="9">
        <f t="shared" si="0"/>
        <v>42492530</v>
      </c>
      <c r="G40" s="9">
        <f>VLOOKUP(A40, localcont!$D$10:$L$1764, 8)</f>
        <v>49374269.014992416</v>
      </c>
      <c r="H40" s="109">
        <f>VLOOKUP(A40, localcont!$D$10:$L$1764, 9)*F40</f>
        <v>35387345.838975266</v>
      </c>
    </row>
    <row r="41" spans="1:8">
      <c r="A41" s="7">
        <v>156</v>
      </c>
      <c r="B41" s="7">
        <v>32</v>
      </c>
      <c r="C41" s="7" t="s">
        <v>49</v>
      </c>
      <c r="D41" s="7">
        <v>32</v>
      </c>
      <c r="E41" s="7" t="s">
        <v>139</v>
      </c>
      <c r="F41" s="9">
        <f t="shared" si="0"/>
        <v>6897501</v>
      </c>
      <c r="G41" s="9">
        <f>VLOOKUP(A41, localcont!$D$10:$L$1764, 8)</f>
        <v>293968.34941619023</v>
      </c>
      <c r="H41" s="109">
        <f>VLOOKUP(A41, localcont!$D$10:$L$1764, 9)*F41</f>
        <v>140987.53076336419</v>
      </c>
    </row>
    <row r="42" spans="1:8">
      <c r="A42" s="7">
        <v>161</v>
      </c>
      <c r="B42" s="7">
        <v>33</v>
      </c>
      <c r="C42" s="7" t="s">
        <v>55</v>
      </c>
      <c r="D42" s="7">
        <v>33</v>
      </c>
      <c r="E42" s="7" t="s">
        <v>140</v>
      </c>
      <c r="F42" s="9">
        <f t="shared" si="0"/>
        <v>1125231</v>
      </c>
      <c r="G42" s="9">
        <f>VLOOKUP(A42, localcont!$D$10:$L$1764, 8)</f>
        <v>80501.000061537285</v>
      </c>
      <c r="H42" s="109">
        <f>VLOOKUP(A42, localcont!$D$10:$L$1764, 9)*F42</f>
        <v>70274.504688011759</v>
      </c>
    </row>
    <row r="43" spans="1:8">
      <c r="A43" s="7">
        <v>166</v>
      </c>
      <c r="B43" s="7">
        <v>34</v>
      </c>
      <c r="C43" s="7" t="s">
        <v>57</v>
      </c>
      <c r="D43" s="7">
        <v>34</v>
      </c>
      <c r="E43" s="7" t="s">
        <v>141</v>
      </c>
      <c r="F43" s="9">
        <f t="shared" si="0"/>
        <v>8868064</v>
      </c>
      <c r="G43" s="9">
        <f>VLOOKUP(A43, localcont!$D$10:$L$1764, 8)</f>
        <v>13854.834543589546</v>
      </c>
      <c r="H43" s="109">
        <f>VLOOKUP(A43, localcont!$D$10:$L$1764, 9)*F43</f>
        <v>12373.36211792319</v>
      </c>
    </row>
    <row r="44" spans="1:8">
      <c r="A44" s="7">
        <v>171</v>
      </c>
      <c r="B44" s="7">
        <v>35</v>
      </c>
      <c r="C44" s="7" t="s">
        <v>685</v>
      </c>
      <c r="D44" s="7">
        <v>35</v>
      </c>
      <c r="E44" s="7" t="s">
        <v>142</v>
      </c>
      <c r="F44" s="9">
        <f t="shared" si="0"/>
        <v>930327487</v>
      </c>
      <c r="G44" s="9">
        <f>VLOOKUP(A44, localcont!$D$10:$L$1764, 8)</f>
        <v>829896970.52937865</v>
      </c>
      <c r="H44" s="109">
        <f>VLOOKUP(A44, localcont!$D$10:$L$1764, 9)*F44</f>
        <v>930327487</v>
      </c>
    </row>
    <row r="45" spans="1:8">
      <c r="A45" s="7">
        <v>176</v>
      </c>
      <c r="B45" s="7">
        <v>36</v>
      </c>
      <c r="C45" s="7" t="s">
        <v>686</v>
      </c>
      <c r="D45" s="7">
        <v>36</v>
      </c>
      <c r="E45" s="7" t="s">
        <v>143</v>
      </c>
      <c r="F45" s="9">
        <f t="shared" si="0"/>
        <v>24921789</v>
      </c>
      <c r="G45" s="9">
        <f>VLOOKUP(A45, localcont!$D$10:$L$1764, 8)</f>
        <v>20067959.034898311</v>
      </c>
      <c r="H45" s="109">
        <f>VLOOKUP(A45, localcont!$D$10:$L$1764, 9)*F45</f>
        <v>21633304.139899138</v>
      </c>
    </row>
    <row r="46" spans="1:8">
      <c r="A46" s="7">
        <v>181</v>
      </c>
      <c r="B46" s="7">
        <v>37</v>
      </c>
      <c r="C46" s="7" t="s">
        <v>690</v>
      </c>
      <c r="D46" s="7">
        <v>37</v>
      </c>
      <c r="E46" s="7" t="s">
        <v>1155</v>
      </c>
      <c r="F46" s="9">
        <f t="shared" si="0"/>
        <v>8378292</v>
      </c>
      <c r="G46" s="9">
        <f>VLOOKUP(A46, localcont!$D$10:$L$1764, 8)</f>
        <v>88385.021661537277</v>
      </c>
      <c r="H46" s="109">
        <f>VLOOKUP(A46, localcont!$D$10:$L$1764, 9)*F46</f>
        <v>89942.558168946198</v>
      </c>
    </row>
    <row r="47" spans="1:8">
      <c r="A47" s="7">
        <v>186</v>
      </c>
      <c r="B47" s="7">
        <v>38</v>
      </c>
      <c r="C47" s="7" t="s">
        <v>1154</v>
      </c>
      <c r="D47" s="7">
        <v>38</v>
      </c>
      <c r="E47" s="7" t="s">
        <v>1154</v>
      </c>
      <c r="F47" s="9">
        <f t="shared" si="0"/>
        <v>19652167</v>
      </c>
      <c r="G47" s="9">
        <f>VLOOKUP(A47, localcont!$D$10:$L$1764, 8)</f>
        <v>6728318.9448366938</v>
      </c>
      <c r="H47" s="109">
        <f>VLOOKUP(A47, localcont!$D$10:$L$1764, 9)*F47</f>
        <v>9310399.9129958171</v>
      </c>
    </row>
    <row r="48" spans="1:8">
      <c r="A48" s="7">
        <v>191</v>
      </c>
      <c r="B48" s="7">
        <v>39</v>
      </c>
      <c r="C48" s="7" t="s">
        <v>693</v>
      </c>
      <c r="D48" s="7">
        <v>39</v>
      </c>
      <c r="E48" s="7" t="s">
        <v>144</v>
      </c>
      <c r="F48" s="9">
        <f t="shared" si="0"/>
        <v>5959059</v>
      </c>
      <c r="G48" s="9">
        <f>VLOOKUP(A48, localcont!$D$10:$L$1764, 8)</f>
        <v>2629403.7758567845</v>
      </c>
      <c r="H48" s="109">
        <f>VLOOKUP(A48, localcont!$D$10:$L$1764, 9)*F48</f>
        <v>2627837.0773463296</v>
      </c>
    </row>
    <row r="49" spans="1:8">
      <c r="A49" s="7">
        <v>196</v>
      </c>
      <c r="B49" s="7">
        <v>40</v>
      </c>
      <c r="C49" s="7" t="s">
        <v>694</v>
      </c>
      <c r="D49" s="7">
        <v>40</v>
      </c>
      <c r="E49" s="7" t="s">
        <v>145</v>
      </c>
      <c r="F49" s="9">
        <f t="shared" si="0"/>
        <v>42907225</v>
      </c>
      <c r="G49" s="9">
        <f>VLOOKUP(A49, localcont!$D$10:$L$1764, 8)</f>
        <v>58118969.896002591</v>
      </c>
      <c r="H49" s="109">
        <f>VLOOKUP(A49, localcont!$D$10:$L$1764, 9)*F49</f>
        <v>40890646.362052515</v>
      </c>
    </row>
    <row r="50" spans="1:8">
      <c r="A50" s="7">
        <v>201</v>
      </c>
      <c r="B50" s="7">
        <v>41</v>
      </c>
      <c r="C50" s="7" t="s">
        <v>695</v>
      </c>
      <c r="D50" s="7">
        <v>41</v>
      </c>
      <c r="E50" s="7" t="s">
        <v>146</v>
      </c>
      <c r="F50" s="9">
        <f t="shared" si="0"/>
        <v>17667625</v>
      </c>
      <c r="G50" s="9">
        <f>VLOOKUP(A50, localcont!$D$10:$L$1764, 8)</f>
        <v>4863009.8651172351</v>
      </c>
      <c r="H50" s="109">
        <f>VLOOKUP(A50, localcont!$D$10:$L$1764, 9)*F50</f>
        <v>7610148.727796562</v>
      </c>
    </row>
    <row r="51" spans="1:8">
      <c r="A51" s="7">
        <v>206</v>
      </c>
      <c r="B51" s="7">
        <v>42</v>
      </c>
      <c r="C51" s="7" t="s">
        <v>697</v>
      </c>
      <c r="D51" s="7">
        <v>42</v>
      </c>
      <c r="E51" s="7" t="s">
        <v>147</v>
      </c>
      <c r="F51" s="9">
        <f t="shared" si="0"/>
        <v>20944975</v>
      </c>
      <c r="G51" s="9">
        <f>VLOOKUP(A51, localcont!$D$10:$L$1764, 8)</f>
        <v>200050.51601106342</v>
      </c>
      <c r="H51" s="109">
        <f>VLOOKUP(A51, localcont!$D$10:$L$1764, 9)*F51</f>
        <v>123839.07539368008</v>
      </c>
    </row>
    <row r="52" spans="1:8">
      <c r="A52" s="7">
        <v>211</v>
      </c>
      <c r="B52" s="7">
        <v>43</v>
      </c>
      <c r="C52" s="7" t="s">
        <v>699</v>
      </c>
      <c r="D52" s="7">
        <v>43</v>
      </c>
      <c r="E52" s="7" t="s">
        <v>148</v>
      </c>
      <c r="F52" s="9">
        <f t="shared" si="0"/>
        <v>3187538</v>
      </c>
      <c r="G52" s="9">
        <f>VLOOKUP(A52, localcont!$D$10:$L$1764, 8)</f>
        <v>2534076.5705832485</v>
      </c>
      <c r="H52" s="109">
        <f>VLOOKUP(A52, localcont!$D$10:$L$1764, 9)*F52</f>
        <v>1442670.4200459819</v>
      </c>
    </row>
    <row r="53" spans="1:8">
      <c r="A53" s="7">
        <v>216</v>
      </c>
      <c r="B53" s="7">
        <v>44</v>
      </c>
      <c r="C53" s="7" t="s">
        <v>701</v>
      </c>
      <c r="D53" s="7">
        <v>44</v>
      </c>
      <c r="E53" s="7" t="s">
        <v>149</v>
      </c>
      <c r="F53" s="9">
        <f t="shared" si="0"/>
        <v>49240394</v>
      </c>
      <c r="G53" s="9">
        <f>VLOOKUP(A53, localcont!$D$10:$L$1764, 8)</f>
        <v>210658023.1896143</v>
      </c>
      <c r="H53" s="109">
        <f>VLOOKUP(A53, localcont!$D$10:$L$1764, 9)*F53</f>
        <v>45821355.950829983</v>
      </c>
    </row>
    <row r="54" spans="1:8">
      <c r="A54" s="7">
        <v>221</v>
      </c>
      <c r="B54" s="7">
        <v>45</v>
      </c>
      <c r="C54" s="7" t="s">
        <v>703</v>
      </c>
      <c r="D54" s="7">
        <v>45</v>
      </c>
      <c r="E54" s="7" t="s">
        <v>150</v>
      </c>
      <c r="F54" s="9">
        <f t="shared" si="0"/>
        <v>2193189</v>
      </c>
      <c r="G54" s="9">
        <f>VLOOKUP(A54, localcont!$D$10:$L$1764, 8)</f>
        <v>2393041.9473765823</v>
      </c>
      <c r="H54" s="109">
        <f>VLOOKUP(A54, localcont!$D$10:$L$1764, 9)*F54</f>
        <v>1022020.1068812051</v>
      </c>
    </row>
    <row r="55" spans="1:8">
      <c r="A55" s="7">
        <v>226</v>
      </c>
      <c r="B55" s="7">
        <v>46</v>
      </c>
      <c r="C55" s="7" t="s">
        <v>704</v>
      </c>
      <c r="D55" s="7">
        <v>46</v>
      </c>
      <c r="E55" s="7" t="s">
        <v>151</v>
      </c>
      <c r="F55" s="9">
        <f t="shared" si="0"/>
        <v>140809566</v>
      </c>
      <c r="G55" s="9">
        <f>VLOOKUP(A55, localcont!$D$10:$L$1764, 8)</f>
        <v>75819883.374121532</v>
      </c>
      <c r="H55" s="109">
        <f>VLOOKUP(A55, localcont!$D$10:$L$1764, 9)*F55</f>
        <v>140809566</v>
      </c>
    </row>
    <row r="56" spans="1:8">
      <c r="A56" s="7">
        <v>231</v>
      </c>
      <c r="B56" s="7">
        <v>47</v>
      </c>
      <c r="C56" s="7" t="s">
        <v>705</v>
      </c>
      <c r="D56" s="7">
        <v>47</v>
      </c>
      <c r="E56" s="7" t="s">
        <v>152</v>
      </c>
      <c r="F56" s="9">
        <f t="shared" si="0"/>
        <v>1324939</v>
      </c>
      <c r="G56" s="9">
        <f>VLOOKUP(A56, localcont!$D$10:$L$1764, 8)</f>
        <v>13416.833343589547</v>
      </c>
      <c r="H56" s="109">
        <f>VLOOKUP(A56, localcont!$D$10:$L$1764, 9)*F56</f>
        <v>8377.3598992967763</v>
      </c>
    </row>
    <row r="57" spans="1:8">
      <c r="A57" s="7">
        <v>236</v>
      </c>
      <c r="B57" s="7">
        <v>48</v>
      </c>
      <c r="C57" s="7" t="s">
        <v>706</v>
      </c>
      <c r="D57" s="7">
        <v>48</v>
      </c>
      <c r="E57" s="7" t="s">
        <v>153</v>
      </c>
      <c r="F57" s="9">
        <f t="shared" si="0"/>
        <v>37777355</v>
      </c>
      <c r="G57" s="9">
        <f>VLOOKUP(A57, localcont!$D$10:$L$1764, 8)</f>
        <v>35700016.024699226</v>
      </c>
      <c r="H57" s="109">
        <f>VLOOKUP(A57, localcont!$D$10:$L$1764, 9)*F57</f>
        <v>35789671.102367654</v>
      </c>
    </row>
    <row r="58" spans="1:8">
      <c r="A58" s="7">
        <v>241</v>
      </c>
      <c r="B58" s="7">
        <v>49</v>
      </c>
      <c r="C58" s="7" t="s">
        <v>707</v>
      </c>
      <c r="D58" s="7">
        <v>49</v>
      </c>
      <c r="E58" s="7" t="s">
        <v>154</v>
      </c>
      <c r="F58" s="9">
        <f t="shared" si="0"/>
        <v>232653724</v>
      </c>
      <c r="G58" s="9">
        <f>VLOOKUP(A58, localcont!$D$10:$L$1764, 8)</f>
        <v>84055799.773383468</v>
      </c>
      <c r="H58" s="109">
        <f>VLOOKUP(A58, localcont!$D$10:$L$1764, 9)*F58</f>
        <v>232653724</v>
      </c>
    </row>
    <row r="59" spans="1:8">
      <c r="A59" s="7">
        <v>246</v>
      </c>
      <c r="B59" s="7">
        <v>50</v>
      </c>
      <c r="C59" s="7" t="s">
        <v>708</v>
      </c>
      <c r="D59" s="7">
        <v>50</v>
      </c>
      <c r="E59" s="7" t="s">
        <v>155</v>
      </c>
      <c r="F59" s="9">
        <f t="shared" si="0"/>
        <v>34209092</v>
      </c>
      <c r="G59" s="9">
        <f>VLOOKUP(A59, localcont!$D$10:$L$1764, 8)</f>
        <v>33816147.853070647</v>
      </c>
      <c r="H59" s="109">
        <f>VLOOKUP(A59, localcont!$D$10:$L$1764, 9)*F59</f>
        <v>33096671.727809358</v>
      </c>
    </row>
    <row r="60" spans="1:8">
      <c r="A60" s="7">
        <v>251</v>
      </c>
      <c r="B60" s="7">
        <v>51</v>
      </c>
      <c r="C60" s="7" t="s">
        <v>709</v>
      </c>
      <c r="D60" s="7">
        <v>51</v>
      </c>
      <c r="E60" s="7" t="s">
        <v>156</v>
      </c>
      <c r="F60" s="9">
        <f t="shared" si="0"/>
        <v>14185589</v>
      </c>
      <c r="G60" s="9">
        <f>VLOOKUP(A60, localcont!$D$10:$L$1764, 8)</f>
        <v>5148187.6529762335</v>
      </c>
      <c r="H60" s="109">
        <f>VLOOKUP(A60, localcont!$D$10:$L$1764, 9)*F60</f>
        <v>8200380.0035366761</v>
      </c>
    </row>
    <row r="61" spans="1:8">
      <c r="A61" s="7">
        <v>256</v>
      </c>
      <c r="B61" s="7">
        <v>52</v>
      </c>
      <c r="C61" s="7" t="s">
        <v>711</v>
      </c>
      <c r="D61" s="7">
        <v>52</v>
      </c>
      <c r="E61" s="7" t="s">
        <v>157</v>
      </c>
      <c r="F61" s="9">
        <f t="shared" si="0"/>
        <v>9119341</v>
      </c>
      <c r="G61" s="9">
        <f>VLOOKUP(A61, localcont!$D$10:$L$1764, 8)</f>
        <v>16782096.605596974</v>
      </c>
      <c r="H61" s="109">
        <f>VLOOKUP(A61, localcont!$D$10:$L$1764, 9)*F61</f>
        <v>8403521.9126681462</v>
      </c>
    </row>
    <row r="62" spans="1:8">
      <c r="A62" s="7">
        <v>261</v>
      </c>
      <c r="B62" s="7">
        <v>53</v>
      </c>
      <c r="C62" s="7" t="s">
        <v>712</v>
      </c>
      <c r="D62" s="7">
        <v>53</v>
      </c>
      <c r="E62" s="7" t="s">
        <v>158</v>
      </c>
      <c r="F62" s="9">
        <f t="shared" si="0"/>
        <v>878131</v>
      </c>
      <c r="G62" s="9">
        <f>VLOOKUP(A62, localcont!$D$10:$L$1764, 8)</f>
        <v>186633.68266747385</v>
      </c>
      <c r="H62" s="109">
        <f>VLOOKUP(A62, localcont!$D$10:$L$1764, 9)*F62</f>
        <v>93763.101066160438</v>
      </c>
    </row>
    <row r="63" spans="1:8">
      <c r="A63" s="7">
        <v>266</v>
      </c>
      <c r="B63" s="7">
        <v>54</v>
      </c>
      <c r="C63" s="7" t="s">
        <v>714</v>
      </c>
      <c r="D63" s="7">
        <v>54</v>
      </c>
      <c r="E63" s="7" t="s">
        <v>159</v>
      </c>
      <c r="F63" s="9">
        <f t="shared" si="0"/>
        <v>11663788</v>
      </c>
      <c r="G63" s="9">
        <f>VLOOKUP(A63, localcont!$D$10:$L$1764, 8)</f>
        <v>40250.500030768642</v>
      </c>
      <c r="H63" s="109">
        <f>VLOOKUP(A63, localcont!$D$10:$L$1764, 9)*F63</f>
        <v>20804.932071002651</v>
      </c>
    </row>
    <row r="64" spans="1:8">
      <c r="A64" s="7">
        <v>271</v>
      </c>
      <c r="B64" s="7">
        <v>55</v>
      </c>
      <c r="C64" s="7" t="s">
        <v>716</v>
      </c>
      <c r="D64" s="7">
        <v>55</v>
      </c>
      <c r="E64" s="7" t="s">
        <v>160</v>
      </c>
      <c r="F64" s="9">
        <f t="shared" si="0"/>
        <v>28022041</v>
      </c>
      <c r="G64" s="9">
        <f>VLOOKUP(A64, localcont!$D$10:$L$1764, 8)</f>
        <v>0</v>
      </c>
      <c r="H64" s="109">
        <f>VLOOKUP(A64, localcont!$D$10:$L$1764, 9)*F64</f>
        <v>0</v>
      </c>
    </row>
    <row r="65" spans="1:8">
      <c r="A65" s="7">
        <v>276</v>
      </c>
      <c r="B65" s="7">
        <v>56</v>
      </c>
      <c r="C65" s="7" t="s">
        <v>718</v>
      </c>
      <c r="D65" s="7">
        <v>56</v>
      </c>
      <c r="E65" s="7" t="s">
        <v>74</v>
      </c>
      <c r="F65" s="9">
        <f t="shared" si="0"/>
        <v>40027859</v>
      </c>
      <c r="G65" s="9">
        <f>VLOOKUP(A65, localcont!$D$10:$L$1764, 8)</f>
        <v>47405594.168949671</v>
      </c>
      <c r="H65" s="109">
        <f>VLOOKUP(A65, localcont!$D$10:$L$1764, 9)*F65</f>
        <v>37611058.092689857</v>
      </c>
    </row>
    <row r="66" spans="1:8">
      <c r="A66" s="7">
        <v>281</v>
      </c>
      <c r="B66" s="7">
        <v>57</v>
      </c>
      <c r="C66" s="7" t="s">
        <v>720</v>
      </c>
      <c r="D66" s="7">
        <v>57</v>
      </c>
      <c r="E66" s="7" t="s">
        <v>229</v>
      </c>
      <c r="F66" s="9">
        <f t="shared" si="0"/>
        <v>18936917</v>
      </c>
      <c r="G66" s="9">
        <f>VLOOKUP(A66, localcont!$D$10:$L$1764, 8)</f>
        <v>87574481.054575801</v>
      </c>
      <c r="H66" s="109">
        <f>VLOOKUP(A66, localcont!$D$10:$L$1764, 9)*F66</f>
        <v>18166843.506698743</v>
      </c>
    </row>
    <row r="67" spans="1:8">
      <c r="A67" s="7">
        <v>286</v>
      </c>
      <c r="B67" s="7">
        <v>58</v>
      </c>
      <c r="C67" s="7" t="s">
        <v>722</v>
      </c>
      <c r="D67" s="7">
        <v>58</v>
      </c>
      <c r="E67" s="7" t="s">
        <v>230</v>
      </c>
      <c r="F67" s="9">
        <f t="shared" si="0"/>
        <v>2318573</v>
      </c>
      <c r="G67" s="9">
        <f>VLOOKUP(A67, localcont!$D$10:$L$1764, 8)</f>
        <v>0</v>
      </c>
      <c r="H67" s="109">
        <f>VLOOKUP(A67, localcont!$D$10:$L$1764, 9)*F67</f>
        <v>0</v>
      </c>
    </row>
    <row r="68" spans="1:8">
      <c r="A68" s="7">
        <v>291</v>
      </c>
      <c r="B68" s="7">
        <v>59</v>
      </c>
      <c r="C68" s="7" t="s">
        <v>723</v>
      </c>
      <c r="D68" s="7">
        <v>59</v>
      </c>
      <c r="E68" s="7" t="s">
        <v>231</v>
      </c>
      <c r="F68" s="9">
        <f t="shared" si="0"/>
        <v>854846</v>
      </c>
      <c r="G68" s="9">
        <f>VLOOKUP(A68, localcont!$D$10:$L$1764, 8)</f>
        <v>93917.833405126818</v>
      </c>
      <c r="H68" s="109">
        <f>VLOOKUP(A68, localcont!$D$10:$L$1764, 9)*F68</f>
        <v>48043.908831748922</v>
      </c>
    </row>
    <row r="69" spans="1:8">
      <c r="A69" s="7">
        <v>296</v>
      </c>
      <c r="B69" s="7">
        <v>60</v>
      </c>
      <c r="C69" s="7" t="s">
        <v>724</v>
      </c>
      <c r="D69" s="7">
        <v>60</v>
      </c>
      <c r="E69" s="7" t="s">
        <v>232</v>
      </c>
      <c r="F69" s="9">
        <f t="shared" si="0"/>
        <v>911035</v>
      </c>
      <c r="G69" s="9">
        <f>VLOOKUP(A69, localcont!$D$10:$L$1764, 8)</f>
        <v>267134.68272901117</v>
      </c>
      <c r="H69" s="109">
        <f>VLOOKUP(A69, localcont!$D$10:$L$1764, 9)*F69</f>
        <v>160730.59781697908</v>
      </c>
    </row>
    <row r="70" spans="1:8">
      <c r="A70" s="7">
        <v>301</v>
      </c>
      <c r="B70" s="7">
        <v>61</v>
      </c>
      <c r="C70" s="7" t="s">
        <v>727</v>
      </c>
      <c r="D70" s="7">
        <v>61</v>
      </c>
      <c r="E70" s="7" t="s">
        <v>233</v>
      </c>
      <c r="F70" s="9">
        <f t="shared" si="0"/>
        <v>29100647</v>
      </c>
      <c r="G70" s="9">
        <f>VLOOKUP(A70, localcont!$D$10:$L$1764, 8)</f>
        <v>91782958.022283211</v>
      </c>
      <c r="H70" s="109">
        <f>VLOOKUP(A70, localcont!$D$10:$L$1764, 9)*F70</f>
        <v>29100647</v>
      </c>
    </row>
    <row r="71" spans="1:8">
      <c r="A71" s="7">
        <v>306</v>
      </c>
      <c r="B71" s="7">
        <v>62</v>
      </c>
      <c r="C71" s="7" t="s">
        <v>728</v>
      </c>
      <c r="D71" s="7">
        <v>62</v>
      </c>
      <c r="E71" s="7" t="s">
        <v>234</v>
      </c>
      <c r="F71" s="9">
        <f t="shared" si="0"/>
        <v>12692380</v>
      </c>
      <c r="G71" s="9">
        <f>VLOOKUP(A71, localcont!$D$10:$L$1764, 8)</f>
        <v>0</v>
      </c>
      <c r="H71" s="109">
        <f>VLOOKUP(A71, localcont!$D$10:$L$1764, 9)*F71</f>
        <v>0</v>
      </c>
    </row>
    <row r="72" spans="1:8">
      <c r="A72" s="7">
        <v>311</v>
      </c>
      <c r="B72" s="7">
        <v>63</v>
      </c>
      <c r="C72" s="7" t="s">
        <v>734</v>
      </c>
      <c r="D72" s="7">
        <v>63</v>
      </c>
      <c r="E72" s="7" t="s">
        <v>235</v>
      </c>
      <c r="F72" s="9">
        <f t="shared" si="0"/>
        <v>901057</v>
      </c>
      <c r="G72" s="9">
        <f>VLOOKUP(A72, localcont!$D$10:$L$1764, 8)</f>
        <v>1862062.3235625066</v>
      </c>
      <c r="H72" s="109">
        <f>VLOOKUP(A72, localcont!$D$10:$L$1764, 9)*F72</f>
        <v>644850.01283842116</v>
      </c>
    </row>
    <row r="73" spans="1:8">
      <c r="A73" s="7">
        <v>316</v>
      </c>
      <c r="B73" s="7">
        <v>64</v>
      </c>
      <c r="C73" s="7" t="s">
        <v>735</v>
      </c>
      <c r="D73" s="7">
        <v>64</v>
      </c>
      <c r="E73" s="7" t="s">
        <v>236</v>
      </c>
      <c r="F73" s="9">
        <f t="shared" si="0"/>
        <v>9721894</v>
      </c>
      <c r="G73" s="9">
        <f>VLOOKUP(A73, localcont!$D$10:$L$1764, 8)</f>
        <v>21918110.246938307</v>
      </c>
      <c r="H73" s="109">
        <f>VLOOKUP(A73, localcont!$D$10:$L$1764, 9)*F73</f>
        <v>9721894</v>
      </c>
    </row>
    <row r="74" spans="1:8">
      <c r="A74" s="7">
        <v>321</v>
      </c>
      <c r="B74" s="7">
        <v>65</v>
      </c>
      <c r="C74" s="7" t="s">
        <v>736</v>
      </c>
      <c r="D74" s="7">
        <v>65</v>
      </c>
      <c r="E74" s="7" t="s">
        <v>237</v>
      </c>
      <c r="F74" s="9">
        <f t="shared" ref="F74:F137" si="1">VLOOKUP(D74, town351, 7)</f>
        <v>22593443</v>
      </c>
      <c r="G74" s="9">
        <f>VLOOKUP(A74, localcont!$D$10:$L$1764, 8)</f>
        <v>14375663.798876762</v>
      </c>
      <c r="H74" s="109">
        <f>VLOOKUP(A74, localcont!$D$10:$L$1764, 9)*F74</f>
        <v>22466017.885482918</v>
      </c>
    </row>
    <row r="75" spans="1:8">
      <c r="A75" s="7">
        <v>326</v>
      </c>
      <c r="B75" s="7">
        <v>66</v>
      </c>
      <c r="C75" s="7" t="s">
        <v>737</v>
      </c>
      <c r="D75" s="7">
        <v>66</v>
      </c>
      <c r="E75" s="7" t="s">
        <v>238</v>
      </c>
      <c r="F75" s="9">
        <f t="shared" si="1"/>
        <v>1211090</v>
      </c>
      <c r="G75" s="9">
        <f>VLOOKUP(A75, localcont!$D$10:$L$1764, 8)</f>
        <v>13416.833343589547</v>
      </c>
      <c r="H75" s="109">
        <f>VLOOKUP(A75, localcont!$D$10:$L$1764, 9)*F75</f>
        <v>7325.1598203061912</v>
      </c>
    </row>
    <row r="76" spans="1:8">
      <c r="A76" s="7">
        <v>331</v>
      </c>
      <c r="B76" s="7">
        <v>67</v>
      </c>
      <c r="C76" s="7" t="s">
        <v>738</v>
      </c>
      <c r="D76" s="7">
        <v>67</v>
      </c>
      <c r="E76" s="7" t="s">
        <v>239</v>
      </c>
      <c r="F76" s="9">
        <f t="shared" si="1"/>
        <v>54674284</v>
      </c>
      <c r="G76" s="9">
        <f>VLOOKUP(A76, localcont!$D$10:$L$1764, 8)</f>
        <v>18805576.707899675</v>
      </c>
      <c r="H76" s="109">
        <f>VLOOKUP(A76, localcont!$D$10:$L$1764, 9)*F76</f>
        <v>34655214.293676846</v>
      </c>
    </row>
    <row r="77" spans="1:8">
      <c r="A77" s="7">
        <v>336</v>
      </c>
      <c r="B77" s="7">
        <v>68</v>
      </c>
      <c r="C77" s="7" t="s">
        <v>739</v>
      </c>
      <c r="D77" s="7">
        <v>68</v>
      </c>
      <c r="E77" s="7" t="s">
        <v>240</v>
      </c>
      <c r="F77" s="9">
        <f t="shared" si="1"/>
        <v>1778163</v>
      </c>
      <c r="G77" s="9">
        <f>VLOOKUP(A77, localcont!$D$10:$L$1764, 8)</f>
        <v>1137791.5559876624</v>
      </c>
      <c r="H77" s="109">
        <f>VLOOKUP(A77, localcont!$D$10:$L$1764, 9)*F77</f>
        <v>893333.92434319353</v>
      </c>
    </row>
    <row r="78" spans="1:8">
      <c r="A78" s="7">
        <v>341</v>
      </c>
      <c r="B78" s="7">
        <v>69</v>
      </c>
      <c r="C78" s="7" t="s">
        <v>741</v>
      </c>
      <c r="D78" s="7">
        <v>69</v>
      </c>
      <c r="E78" s="7" t="s">
        <v>241</v>
      </c>
      <c r="F78" s="9">
        <f t="shared" si="1"/>
        <v>865824</v>
      </c>
      <c r="G78" s="9">
        <f>VLOOKUP(A78, localcont!$D$10:$L$1764, 8)</f>
        <v>120751.50009230593</v>
      </c>
      <c r="H78" s="109">
        <f>VLOOKUP(A78, localcont!$D$10:$L$1764, 9)*F78</f>
        <v>114324.28744329806</v>
      </c>
    </row>
    <row r="79" spans="1:8">
      <c r="A79" s="7">
        <v>346</v>
      </c>
      <c r="B79" s="7">
        <v>70</v>
      </c>
      <c r="C79" s="7" t="s">
        <v>742</v>
      </c>
      <c r="D79" s="7">
        <v>70</v>
      </c>
      <c r="E79" s="7" t="s">
        <v>242</v>
      </c>
      <c r="F79" s="9">
        <f t="shared" si="1"/>
        <v>5026885</v>
      </c>
      <c r="G79" s="9">
        <f>VLOOKUP(A79, localcont!$D$10:$L$1764, 8)</f>
        <v>240301.01604183207</v>
      </c>
      <c r="H79" s="109">
        <f>VLOOKUP(A79, localcont!$D$10:$L$1764, 9)*F79</f>
        <v>127281.25082838951</v>
      </c>
    </row>
    <row r="80" spans="1:8">
      <c r="A80" s="7">
        <v>351</v>
      </c>
      <c r="B80" s="7">
        <v>71</v>
      </c>
      <c r="C80" s="7" t="s">
        <v>743</v>
      </c>
      <c r="D80" s="7">
        <v>71</v>
      </c>
      <c r="E80" s="7" t="s">
        <v>243</v>
      </c>
      <c r="F80" s="9">
        <f t="shared" si="1"/>
        <v>31836921</v>
      </c>
      <c r="G80" s="9">
        <f>VLOOKUP(A80, localcont!$D$10:$L$1764, 8)</f>
        <v>33833411.73052796</v>
      </c>
      <c r="H80" s="109">
        <f>VLOOKUP(A80, localcont!$D$10:$L$1764, 9)*F80</f>
        <v>29989800.589881681</v>
      </c>
    </row>
    <row r="81" spans="1:8">
      <c r="A81" s="7">
        <v>356</v>
      </c>
      <c r="B81" s="7">
        <v>72</v>
      </c>
      <c r="C81" s="7" t="s">
        <v>744</v>
      </c>
      <c r="D81" s="7">
        <v>72</v>
      </c>
      <c r="E81" s="7" t="s">
        <v>244</v>
      </c>
      <c r="F81" s="9">
        <f t="shared" si="1"/>
        <v>35026548</v>
      </c>
      <c r="G81" s="9">
        <f>VLOOKUP(A81, localcont!$D$10:$L$1764, 8)</f>
        <v>36194408.009417139</v>
      </c>
      <c r="H81" s="109">
        <f>VLOOKUP(A81, localcont!$D$10:$L$1764, 9)*F81</f>
        <v>30476353.507760011</v>
      </c>
    </row>
    <row r="82" spans="1:8">
      <c r="A82" s="7">
        <v>361</v>
      </c>
      <c r="B82" s="7">
        <v>73</v>
      </c>
      <c r="C82" s="7" t="s">
        <v>746</v>
      </c>
      <c r="D82" s="7">
        <v>73</v>
      </c>
      <c r="E82" s="7" t="s">
        <v>245</v>
      </c>
      <c r="F82" s="9">
        <f t="shared" si="1"/>
        <v>35089993</v>
      </c>
      <c r="G82" s="9">
        <f>VLOOKUP(A82, localcont!$D$10:$L$1764, 8)</f>
        <v>27026023.747824714</v>
      </c>
      <c r="H82" s="109">
        <f>VLOOKUP(A82, localcont!$D$10:$L$1764, 9)*F82</f>
        <v>32998284.301376123</v>
      </c>
    </row>
    <row r="83" spans="1:8">
      <c r="A83" s="7">
        <v>366</v>
      </c>
      <c r="B83" s="7">
        <v>74</v>
      </c>
      <c r="C83" s="7" t="s">
        <v>751</v>
      </c>
      <c r="D83" s="7">
        <v>74</v>
      </c>
      <c r="E83" s="7" t="s">
        <v>246</v>
      </c>
      <c r="F83" s="9">
        <f t="shared" si="1"/>
        <v>5170133</v>
      </c>
      <c r="G83" s="9">
        <f>VLOOKUP(A83, localcont!$D$10:$L$1764, 8)</f>
        <v>3148595.0953759653</v>
      </c>
      <c r="H83" s="109">
        <f>VLOOKUP(A83, localcont!$D$10:$L$1764, 9)*F83</f>
        <v>2676602.2916453783</v>
      </c>
    </row>
    <row r="84" spans="1:8">
      <c r="A84" s="7">
        <v>371</v>
      </c>
      <c r="B84" s="7">
        <v>75</v>
      </c>
      <c r="C84" s="7" t="s">
        <v>752</v>
      </c>
      <c r="D84" s="7">
        <v>75</v>
      </c>
      <c r="E84" s="7" t="s">
        <v>247</v>
      </c>
      <c r="F84" s="9">
        <f t="shared" si="1"/>
        <v>30559454</v>
      </c>
      <c r="G84" s="9">
        <f>VLOOKUP(A84, localcont!$D$10:$L$1764, 8)</f>
        <v>0</v>
      </c>
      <c r="H84" s="109">
        <f>VLOOKUP(A84, localcont!$D$10:$L$1764, 9)*F84</f>
        <v>0</v>
      </c>
    </row>
    <row r="85" spans="1:8">
      <c r="A85" s="7">
        <v>376</v>
      </c>
      <c r="B85" s="7">
        <v>76</v>
      </c>
      <c r="C85" s="7" t="s">
        <v>754</v>
      </c>
      <c r="D85" s="7">
        <v>76</v>
      </c>
      <c r="E85" s="7" t="s">
        <v>248</v>
      </c>
      <c r="F85" s="9">
        <f t="shared" si="1"/>
        <v>6505088</v>
      </c>
      <c r="G85" s="9">
        <f>VLOOKUP(A85, localcont!$D$10:$L$1764, 8)</f>
        <v>0</v>
      </c>
      <c r="H85" s="109">
        <f>VLOOKUP(A85, localcont!$D$10:$L$1764, 9)*F85</f>
        <v>0</v>
      </c>
    </row>
    <row r="86" spans="1:8">
      <c r="A86" s="7">
        <v>381</v>
      </c>
      <c r="B86" s="7">
        <v>77</v>
      </c>
      <c r="C86" s="7" t="s">
        <v>756</v>
      </c>
      <c r="D86" s="7">
        <v>77</v>
      </c>
      <c r="E86" s="7" t="s">
        <v>249</v>
      </c>
      <c r="F86" s="9">
        <f t="shared" si="1"/>
        <v>7540797</v>
      </c>
      <c r="G86" s="9">
        <f>VLOOKUP(A86, localcont!$D$10:$L$1764, 8)</f>
        <v>12935870.449951056</v>
      </c>
      <c r="H86" s="109">
        <f>VLOOKUP(A86, localcont!$D$10:$L$1764, 9)*F86</f>
        <v>6780923.5913290093</v>
      </c>
    </row>
    <row r="87" spans="1:8">
      <c r="A87" s="7">
        <v>386</v>
      </c>
      <c r="B87" s="7">
        <v>78</v>
      </c>
      <c r="C87" s="7" t="s">
        <v>757</v>
      </c>
      <c r="D87" s="7">
        <v>78</v>
      </c>
      <c r="E87" s="7" t="s">
        <v>250</v>
      </c>
      <c r="F87" s="9">
        <f t="shared" si="1"/>
        <v>30765113</v>
      </c>
      <c r="G87" s="9">
        <f>VLOOKUP(A87, localcont!$D$10:$L$1764, 8)</f>
        <v>4468986.3633566014</v>
      </c>
      <c r="H87" s="109">
        <f>VLOOKUP(A87, localcont!$D$10:$L$1764, 9)*F87</f>
        <v>12341141.676645393</v>
      </c>
    </row>
    <row r="88" spans="1:8">
      <c r="A88" s="7">
        <v>391</v>
      </c>
      <c r="B88" s="7">
        <v>79</v>
      </c>
      <c r="C88" s="7" t="s">
        <v>759</v>
      </c>
      <c r="D88" s="7">
        <v>79</v>
      </c>
      <c r="E88" s="7" t="s">
        <v>75</v>
      </c>
      <c r="F88" s="9">
        <f t="shared" si="1"/>
        <v>25320847</v>
      </c>
      <c r="G88" s="9">
        <f>VLOOKUP(A88, localcont!$D$10:$L$1764, 8)</f>
        <v>37300000.771409988</v>
      </c>
      <c r="H88" s="109">
        <f>VLOOKUP(A88, localcont!$D$10:$L$1764, 9)*F88</f>
        <v>20828534.793217316</v>
      </c>
    </row>
    <row r="89" spans="1:8">
      <c r="A89" s="7">
        <v>396</v>
      </c>
      <c r="B89" s="7">
        <v>80</v>
      </c>
      <c r="C89" s="7" t="s">
        <v>763</v>
      </c>
      <c r="D89" s="7">
        <v>80</v>
      </c>
      <c r="E89" s="7" t="s">
        <v>251</v>
      </c>
      <c r="F89" s="9">
        <f t="shared" si="1"/>
        <v>7679149</v>
      </c>
      <c r="G89" s="9">
        <f>VLOOKUP(A89, localcont!$D$10:$L$1764, 8)</f>
        <v>26833.666687179095</v>
      </c>
      <c r="H89" s="109">
        <f>VLOOKUP(A89, localcont!$D$10:$L$1764, 9)*F89</f>
        <v>10382.381830091756</v>
      </c>
    </row>
    <row r="90" spans="1:8">
      <c r="A90" s="7">
        <v>401</v>
      </c>
      <c r="B90" s="7">
        <v>81</v>
      </c>
      <c r="C90" s="7" t="s">
        <v>764</v>
      </c>
      <c r="D90" s="7">
        <v>81</v>
      </c>
      <c r="E90" s="7" t="s">
        <v>252</v>
      </c>
      <c r="F90" s="9">
        <f t="shared" si="1"/>
        <v>4354970</v>
      </c>
      <c r="G90" s="9">
        <f>VLOOKUP(A90, localcont!$D$10:$L$1764, 8)</f>
        <v>13416.833343589547</v>
      </c>
      <c r="H90" s="109">
        <f>VLOOKUP(A90, localcont!$D$10:$L$1764, 9)*F90</f>
        <v>11010.93627864283</v>
      </c>
    </row>
    <row r="91" spans="1:8">
      <c r="A91" s="7">
        <v>406</v>
      </c>
      <c r="B91" s="7">
        <v>82</v>
      </c>
      <c r="C91" s="7" t="s">
        <v>766</v>
      </c>
      <c r="D91" s="7">
        <v>82</v>
      </c>
      <c r="E91" s="7" t="s">
        <v>253</v>
      </c>
      <c r="F91" s="9">
        <f t="shared" si="1"/>
        <v>32449260</v>
      </c>
      <c r="G91" s="9">
        <f>VLOOKUP(A91, localcont!$D$10:$L$1764, 8)</f>
        <v>29298212.848171137</v>
      </c>
      <c r="H91" s="109">
        <f>VLOOKUP(A91, localcont!$D$10:$L$1764, 9)*F91</f>
        <v>32449260</v>
      </c>
    </row>
    <row r="92" spans="1:8">
      <c r="A92" s="7">
        <v>411</v>
      </c>
      <c r="B92" s="7">
        <v>83</v>
      </c>
      <c r="C92" s="7" t="s">
        <v>767</v>
      </c>
      <c r="D92" s="7">
        <v>83</v>
      </c>
      <c r="E92" s="7" t="s">
        <v>254</v>
      </c>
      <c r="F92" s="9">
        <f t="shared" si="1"/>
        <v>11948799</v>
      </c>
      <c r="G92" s="9">
        <f>VLOOKUP(A92, localcont!$D$10:$L$1764, 8)</f>
        <v>21105299.528073356</v>
      </c>
      <c r="H92" s="109">
        <f>VLOOKUP(A92, localcont!$D$10:$L$1764, 9)*F92</f>
        <v>11316674.573955733</v>
      </c>
    </row>
    <row r="93" spans="1:8">
      <c r="A93" s="7">
        <v>416</v>
      </c>
      <c r="B93" s="7">
        <v>84</v>
      </c>
      <c r="C93" s="7" t="s">
        <v>768</v>
      </c>
      <c r="D93" s="7">
        <v>84</v>
      </c>
      <c r="E93" s="7" t="s">
        <v>255</v>
      </c>
      <c r="F93" s="9">
        <f t="shared" si="1"/>
        <v>1702015</v>
      </c>
      <c r="G93" s="9">
        <f>VLOOKUP(A93, localcont!$D$10:$L$1764, 8)</f>
        <v>253717.84938542161</v>
      </c>
      <c r="H93" s="109">
        <f>VLOOKUP(A93, localcont!$D$10:$L$1764, 9)*F93</f>
        <v>120459.30186776778</v>
      </c>
    </row>
    <row r="94" spans="1:8">
      <c r="A94" s="7">
        <v>421</v>
      </c>
      <c r="B94" s="7">
        <v>85</v>
      </c>
      <c r="C94" s="7" t="s">
        <v>770</v>
      </c>
      <c r="D94" s="7">
        <v>85</v>
      </c>
      <c r="E94" s="7" t="s">
        <v>256</v>
      </c>
      <c r="F94" s="9">
        <f t="shared" si="1"/>
        <v>12808204</v>
      </c>
      <c r="G94" s="9">
        <f>VLOOKUP(A94, localcont!$D$10:$L$1764, 8)</f>
        <v>1861930.3816340552</v>
      </c>
      <c r="H94" s="109">
        <f>VLOOKUP(A94, localcont!$D$10:$L$1764, 9)*F94</f>
        <v>5007401.5952333137</v>
      </c>
    </row>
    <row r="95" spans="1:8">
      <c r="A95" s="7">
        <v>426</v>
      </c>
      <c r="B95" s="7">
        <v>86</v>
      </c>
      <c r="C95" s="7" t="s">
        <v>771</v>
      </c>
      <c r="D95" s="7">
        <v>86</v>
      </c>
      <c r="E95" s="7" t="s">
        <v>257</v>
      </c>
      <c r="F95" s="9">
        <f t="shared" si="1"/>
        <v>11661900</v>
      </c>
      <c r="G95" s="9">
        <f>VLOOKUP(A95, localcont!$D$10:$L$1764, 8)</f>
        <v>18534768.099589158</v>
      </c>
      <c r="H95" s="109">
        <f>VLOOKUP(A95, localcont!$D$10:$L$1764, 9)*F95</f>
        <v>11661900</v>
      </c>
    </row>
    <row r="96" spans="1:8">
      <c r="A96" s="7">
        <v>431</v>
      </c>
      <c r="B96" s="7">
        <v>87</v>
      </c>
      <c r="C96" s="7" t="s">
        <v>772</v>
      </c>
      <c r="D96" s="7">
        <v>87</v>
      </c>
      <c r="E96" s="7" t="s">
        <v>258</v>
      </c>
      <c r="F96" s="9">
        <f t="shared" si="1"/>
        <v>15815033</v>
      </c>
      <c r="G96" s="9">
        <f>VLOOKUP(A96, localcont!$D$10:$L$1764, 8)</f>
        <v>26517601.927612852</v>
      </c>
      <c r="H96" s="109">
        <f>VLOOKUP(A96, localcont!$D$10:$L$1764, 9)*F96</f>
        <v>15815033</v>
      </c>
    </row>
    <row r="97" spans="1:8">
      <c r="A97" s="7">
        <v>436</v>
      </c>
      <c r="B97" s="7">
        <v>88</v>
      </c>
      <c r="C97" s="7" t="s">
        <v>773</v>
      </c>
      <c r="D97" s="7">
        <v>88</v>
      </c>
      <c r="E97" s="7" t="s">
        <v>259</v>
      </c>
      <c r="F97" s="9">
        <f t="shared" si="1"/>
        <v>27604579</v>
      </c>
      <c r="G97" s="9">
        <f>VLOOKUP(A97, localcont!$D$10:$L$1764, 8)</f>
        <v>34946347.827118024</v>
      </c>
      <c r="H97" s="109">
        <f>VLOOKUP(A97, localcont!$D$10:$L$1764, 9)*F97</f>
        <v>26610042.425473865</v>
      </c>
    </row>
    <row r="98" spans="1:8">
      <c r="A98" s="7">
        <v>441</v>
      </c>
      <c r="B98" s="7">
        <v>89</v>
      </c>
      <c r="C98" s="7" t="s">
        <v>774</v>
      </c>
      <c r="D98" s="7">
        <v>89</v>
      </c>
      <c r="E98" s="7" t="s">
        <v>260</v>
      </c>
      <c r="F98" s="9">
        <f t="shared" si="1"/>
        <v>30545310</v>
      </c>
      <c r="G98" s="9">
        <f>VLOOKUP(A98, localcont!$D$10:$L$1764, 8)</f>
        <v>4120509.4730720278</v>
      </c>
      <c r="H98" s="109">
        <f>VLOOKUP(A98, localcont!$D$10:$L$1764, 9)*F98</f>
        <v>19972075.980298158</v>
      </c>
    </row>
    <row r="99" spans="1:8">
      <c r="A99" s="7">
        <v>446</v>
      </c>
      <c r="B99" s="7">
        <v>90</v>
      </c>
      <c r="C99" s="7" t="s">
        <v>776</v>
      </c>
      <c r="D99" s="7">
        <v>90</v>
      </c>
      <c r="E99" s="7" t="s">
        <v>261</v>
      </c>
      <c r="F99" s="9">
        <f t="shared" si="1"/>
        <v>1917088</v>
      </c>
      <c r="G99" s="9">
        <f>VLOOKUP(A99, localcont!$D$10:$L$1764, 8)</f>
        <v>0</v>
      </c>
      <c r="H99" s="109">
        <f>VLOOKUP(A99, localcont!$D$10:$L$1764, 9)*F99</f>
        <v>0</v>
      </c>
    </row>
    <row r="100" spans="1:8">
      <c r="A100" s="7">
        <v>451</v>
      </c>
      <c r="B100" s="7">
        <v>91</v>
      </c>
      <c r="C100" s="7" t="s">
        <v>777</v>
      </c>
      <c r="D100" s="7">
        <v>91</v>
      </c>
      <c r="E100" s="7" t="s">
        <v>262</v>
      </c>
      <c r="F100" s="9">
        <f t="shared" si="1"/>
        <v>3629840</v>
      </c>
      <c r="G100" s="9">
        <f>VLOOKUP(A100, localcont!$D$10:$L$1764, 8)</f>
        <v>2174084.4728259463</v>
      </c>
      <c r="H100" s="109">
        <f>VLOOKUP(A100, localcont!$D$10:$L$1764, 9)*F100</f>
        <v>2900294.0994620621</v>
      </c>
    </row>
    <row r="101" spans="1:8">
      <c r="A101" s="7">
        <v>456</v>
      </c>
      <c r="B101" s="7">
        <v>92</v>
      </c>
      <c r="C101" s="7" t="s">
        <v>778</v>
      </c>
      <c r="D101" s="7">
        <v>92</v>
      </c>
      <c r="E101" s="7" t="s">
        <v>68</v>
      </c>
      <c r="F101" s="9">
        <f t="shared" si="1"/>
        <v>5700107</v>
      </c>
      <c r="G101" s="9">
        <f>VLOOKUP(A101, localcont!$D$10:$L$1764, 8)</f>
        <v>0</v>
      </c>
      <c r="H101" s="109">
        <f>VLOOKUP(A101, localcont!$D$10:$L$1764, 9)*F101</f>
        <v>0</v>
      </c>
    </row>
    <row r="102" spans="1:8">
      <c r="A102" s="7">
        <v>461</v>
      </c>
      <c r="B102" s="7">
        <v>93</v>
      </c>
      <c r="C102" s="7" t="s">
        <v>779</v>
      </c>
      <c r="D102" s="7">
        <v>93</v>
      </c>
      <c r="E102" s="7" t="s">
        <v>263</v>
      </c>
      <c r="F102" s="9">
        <f t="shared" si="1"/>
        <v>28266873</v>
      </c>
      <c r="G102" s="9">
        <f>VLOOKUP(A102, localcont!$D$10:$L$1764, 8)</f>
        <v>90558887.124926507</v>
      </c>
      <c r="H102" s="109">
        <f>VLOOKUP(A102, localcont!$D$10:$L$1764, 9)*F102</f>
        <v>28266873</v>
      </c>
    </row>
    <row r="103" spans="1:8">
      <c r="A103" s="7">
        <v>466</v>
      </c>
      <c r="B103" s="7">
        <v>94</v>
      </c>
      <c r="C103" s="7" t="s">
        <v>780</v>
      </c>
      <c r="D103" s="7">
        <v>94</v>
      </c>
      <c r="E103" s="7" t="s">
        <v>264</v>
      </c>
      <c r="F103" s="9">
        <f t="shared" si="1"/>
        <v>13522931</v>
      </c>
      <c r="G103" s="9">
        <f>VLOOKUP(A103, localcont!$D$10:$L$1764, 8)</f>
        <v>18758475.280269191</v>
      </c>
      <c r="H103" s="109">
        <f>VLOOKUP(A103, localcont!$D$10:$L$1764, 9)*F103</f>
        <v>11494183.119523821</v>
      </c>
    </row>
    <row r="104" spans="1:8">
      <c r="A104" s="7">
        <v>471</v>
      </c>
      <c r="B104" s="7">
        <v>95</v>
      </c>
      <c r="C104" s="7" t="s">
        <v>781</v>
      </c>
      <c r="D104" s="7">
        <v>95</v>
      </c>
      <c r="E104" s="7" t="s">
        <v>265</v>
      </c>
      <c r="F104" s="9">
        <f t="shared" si="1"/>
        <v>39535445</v>
      </c>
      <c r="G104" s="9">
        <f>VLOOKUP(A104, localcont!$D$10:$L$1764, 8)</f>
        <v>140367627.0677751</v>
      </c>
      <c r="H104" s="109">
        <f>VLOOKUP(A104, localcont!$D$10:$L$1764, 9)*F104</f>
        <v>34977916.14619755</v>
      </c>
    </row>
    <row r="105" spans="1:8">
      <c r="A105" s="7">
        <v>476</v>
      </c>
      <c r="B105" s="7">
        <v>96</v>
      </c>
      <c r="C105" s="7" t="s">
        <v>783</v>
      </c>
      <c r="D105" s="7">
        <v>96</v>
      </c>
      <c r="E105" s="7" t="s">
        <v>266</v>
      </c>
      <c r="F105" s="9">
        <f t="shared" si="1"/>
        <v>58524661</v>
      </c>
      <c r="G105" s="9">
        <f>VLOOKUP(A105, localcont!$D$10:$L$1764, 8)</f>
        <v>35776347.341015682</v>
      </c>
      <c r="H105" s="109">
        <f>VLOOKUP(A105, localcont!$D$10:$L$1764, 9)*F105</f>
        <v>54837058.903599747</v>
      </c>
    </row>
    <row r="106" spans="1:8">
      <c r="A106" s="7">
        <v>481</v>
      </c>
      <c r="B106" s="7">
        <v>97</v>
      </c>
      <c r="C106" s="7" t="s">
        <v>784</v>
      </c>
      <c r="D106" s="7">
        <v>97</v>
      </c>
      <c r="E106" s="7" t="s">
        <v>267</v>
      </c>
      <c r="F106" s="9">
        <f t="shared" si="1"/>
        <v>18513862</v>
      </c>
      <c r="G106" s="9">
        <f>VLOOKUP(A106, localcont!$D$10:$L$1764, 8)</f>
        <v>66887262.052477211</v>
      </c>
      <c r="H106" s="109">
        <f>VLOOKUP(A106, localcont!$D$10:$L$1764, 9)*F106</f>
        <v>16940199.077652272</v>
      </c>
    </row>
    <row r="107" spans="1:8">
      <c r="A107" s="7">
        <v>486</v>
      </c>
      <c r="B107" s="7">
        <v>98</v>
      </c>
      <c r="C107" s="7" t="s">
        <v>785</v>
      </c>
      <c r="D107" s="7">
        <v>98</v>
      </c>
      <c r="E107" s="7" t="s">
        <v>268</v>
      </c>
      <c r="F107" s="9">
        <f t="shared" si="1"/>
        <v>609143</v>
      </c>
      <c r="G107" s="9">
        <f>VLOOKUP(A107, localcont!$D$10:$L$1764, 8)</f>
        <v>837564.72544684017</v>
      </c>
      <c r="H107" s="109">
        <f>VLOOKUP(A107, localcont!$D$10:$L$1764, 9)*F107</f>
        <v>465978.30326380179</v>
      </c>
    </row>
    <row r="108" spans="1:8">
      <c r="A108" s="7">
        <v>491</v>
      </c>
      <c r="B108" s="7">
        <v>99</v>
      </c>
      <c r="C108" s="7" t="s">
        <v>786</v>
      </c>
      <c r="D108" s="7">
        <v>99</v>
      </c>
      <c r="E108" s="7" t="s">
        <v>269</v>
      </c>
      <c r="F108" s="9">
        <f t="shared" si="1"/>
        <v>22397861</v>
      </c>
      <c r="G108" s="9">
        <f>VLOOKUP(A108, localcont!$D$10:$L$1764, 8)</f>
        <v>26331117.517189495</v>
      </c>
      <c r="H108" s="109">
        <f>VLOOKUP(A108, localcont!$D$10:$L$1764, 9)*F108</f>
        <v>21800088.636446379</v>
      </c>
    </row>
    <row r="109" spans="1:8">
      <c r="A109" s="7">
        <v>496</v>
      </c>
      <c r="B109" s="7">
        <v>100</v>
      </c>
      <c r="C109" s="7" t="s">
        <v>787</v>
      </c>
      <c r="D109" s="7">
        <v>100</v>
      </c>
      <c r="E109" s="7" t="s">
        <v>270</v>
      </c>
      <c r="F109" s="9">
        <f t="shared" si="1"/>
        <v>67206045</v>
      </c>
      <c r="G109" s="9">
        <f>VLOOKUP(A109, localcont!$D$10:$L$1764, 8)</f>
        <v>100719920.94220732</v>
      </c>
      <c r="H109" s="109">
        <f>VLOOKUP(A109, localcont!$D$10:$L$1764, 9)*F109</f>
        <v>61803200.946021862</v>
      </c>
    </row>
    <row r="110" spans="1:8">
      <c r="A110" s="7">
        <v>501</v>
      </c>
      <c r="B110" s="7">
        <v>101</v>
      </c>
      <c r="C110" s="7" t="s">
        <v>788</v>
      </c>
      <c r="D110" s="7">
        <v>101</v>
      </c>
      <c r="E110" s="7" t="s">
        <v>271</v>
      </c>
      <c r="F110" s="9">
        <f t="shared" si="1"/>
        <v>39684665</v>
      </c>
      <c r="G110" s="9">
        <f>VLOOKUP(A110, localcont!$D$10:$L$1764, 8)</f>
        <v>57148940.326983534</v>
      </c>
      <c r="H110" s="109">
        <f>VLOOKUP(A110, localcont!$D$10:$L$1764, 9)*F110</f>
        <v>37355301.825099155</v>
      </c>
    </row>
    <row r="111" spans="1:8">
      <c r="A111" s="7">
        <v>506</v>
      </c>
      <c r="B111" s="7">
        <v>102</v>
      </c>
      <c r="C111" s="7" t="s">
        <v>790</v>
      </c>
      <c r="D111" s="7">
        <v>102</v>
      </c>
      <c r="E111" s="7" t="s">
        <v>272</v>
      </c>
      <c r="F111" s="9">
        <f t="shared" si="1"/>
        <v>8761315</v>
      </c>
      <c r="G111" s="9">
        <f>VLOOKUP(A111, localcont!$D$10:$L$1764, 8)</f>
        <v>1336875.3977878354</v>
      </c>
      <c r="H111" s="109">
        <f>VLOOKUP(A111, localcont!$D$10:$L$1764, 9)*F111</f>
        <v>891177.49299266399</v>
      </c>
    </row>
    <row r="112" spans="1:8">
      <c r="A112" s="7">
        <v>511</v>
      </c>
      <c r="B112" s="7">
        <v>103</v>
      </c>
      <c r="C112" s="7" t="s">
        <v>792</v>
      </c>
      <c r="D112" s="7">
        <v>103</v>
      </c>
      <c r="E112" s="7" t="s">
        <v>273</v>
      </c>
      <c r="F112" s="9">
        <f t="shared" si="1"/>
        <v>9911336</v>
      </c>
      <c r="G112" s="9">
        <f>VLOOKUP(A112, localcont!$D$10:$L$1764, 8)</f>
        <v>28300931.482949637</v>
      </c>
      <c r="H112" s="109">
        <f>VLOOKUP(A112, localcont!$D$10:$L$1764, 9)*F112</f>
        <v>9093663.6522823907</v>
      </c>
    </row>
    <row r="113" spans="1:8">
      <c r="A113" s="7">
        <v>516</v>
      </c>
      <c r="B113" s="7">
        <v>104</v>
      </c>
      <c r="C113" s="7" t="s">
        <v>1131</v>
      </c>
      <c r="D113" s="7">
        <v>104</v>
      </c>
      <c r="E113" s="7" t="s">
        <v>1131</v>
      </c>
      <c r="F113" s="9">
        <f t="shared" si="1"/>
        <v>2640071</v>
      </c>
      <c r="G113" s="9">
        <f>VLOOKUP(A113, localcont!$D$10:$L$1764, 8)</f>
        <v>0</v>
      </c>
      <c r="H113" s="109">
        <f>VLOOKUP(A113, localcont!$D$10:$L$1764, 9)*F113</f>
        <v>0</v>
      </c>
    </row>
    <row r="114" spans="1:8">
      <c r="A114" s="7">
        <v>521</v>
      </c>
      <c r="B114" s="7">
        <v>105</v>
      </c>
      <c r="C114" s="7" t="s">
        <v>794</v>
      </c>
      <c r="D114" s="7">
        <v>105</v>
      </c>
      <c r="E114" s="7" t="s">
        <v>274</v>
      </c>
      <c r="F114" s="9">
        <f t="shared" si="1"/>
        <v>9793383</v>
      </c>
      <c r="G114" s="9">
        <f>VLOOKUP(A114, localcont!$D$10:$L$1764, 8)</f>
        <v>12771696.514767833</v>
      </c>
      <c r="H114" s="109">
        <f>VLOOKUP(A114, localcont!$D$10:$L$1764, 9)*F114</f>
        <v>9301521.5430795737</v>
      </c>
    </row>
    <row r="115" spans="1:8">
      <c r="A115" s="7">
        <v>526</v>
      </c>
      <c r="B115" s="7">
        <v>106</v>
      </c>
      <c r="C115" s="7" t="s">
        <v>795</v>
      </c>
      <c r="D115" s="7">
        <v>106</v>
      </c>
      <c r="E115" s="7" t="s">
        <v>275</v>
      </c>
      <c r="F115" s="9">
        <f t="shared" si="1"/>
        <v>1089561</v>
      </c>
      <c r="G115" s="9">
        <f>VLOOKUP(A115, localcont!$D$10:$L$1764, 8)</f>
        <v>0</v>
      </c>
      <c r="H115" s="109">
        <f>VLOOKUP(A115, localcont!$D$10:$L$1764, 9)*F115</f>
        <v>0</v>
      </c>
    </row>
    <row r="116" spans="1:8">
      <c r="A116" s="7">
        <v>531</v>
      </c>
      <c r="B116" s="7">
        <v>107</v>
      </c>
      <c r="C116" s="7" t="s">
        <v>797</v>
      </c>
      <c r="D116" s="7">
        <v>107</v>
      </c>
      <c r="E116" s="7" t="s">
        <v>276</v>
      </c>
      <c r="F116" s="9">
        <f t="shared" si="1"/>
        <v>36150122</v>
      </c>
      <c r="G116" s="9">
        <f>VLOOKUP(A116, localcont!$D$10:$L$1764, 8)</f>
        <v>35423863.383190274</v>
      </c>
      <c r="H116" s="109">
        <f>VLOOKUP(A116, localcont!$D$10:$L$1764, 9)*F116</f>
        <v>34626306.295560636</v>
      </c>
    </row>
    <row r="117" spans="1:8">
      <c r="A117" s="7">
        <v>536</v>
      </c>
      <c r="B117" s="7">
        <v>108</v>
      </c>
      <c r="C117" s="7" t="s">
        <v>798</v>
      </c>
      <c r="D117" s="7">
        <v>108</v>
      </c>
      <c r="E117" s="7" t="s">
        <v>277</v>
      </c>
      <c r="F117" s="9">
        <f t="shared" si="1"/>
        <v>726495</v>
      </c>
      <c r="G117" s="9">
        <f>VLOOKUP(A117, localcont!$D$10:$L$1764, 8)</f>
        <v>107334.66674871638</v>
      </c>
      <c r="H117" s="109">
        <f>VLOOKUP(A117, localcont!$D$10:$L$1764, 9)*F117</f>
        <v>71396.486913550762</v>
      </c>
    </row>
    <row r="118" spans="1:8">
      <c r="A118" s="7">
        <v>541</v>
      </c>
      <c r="B118" s="7">
        <v>109</v>
      </c>
      <c r="C118" s="7" t="s">
        <v>799</v>
      </c>
      <c r="D118" s="7">
        <v>109</v>
      </c>
      <c r="E118" s="7" t="s">
        <v>278</v>
      </c>
      <c r="F118" s="9">
        <f t="shared" si="1"/>
        <v>849873</v>
      </c>
      <c r="G118" s="9">
        <f>VLOOKUP(A118, localcont!$D$10:$L$1764, 8)</f>
        <v>21755.78608038156</v>
      </c>
      <c r="H118" s="109">
        <f>VLOOKUP(A118, localcont!$D$10:$L$1764, 9)*F118</f>
        <v>849873</v>
      </c>
    </row>
    <row r="119" spans="1:8">
      <c r="A119" s="7">
        <v>546</v>
      </c>
      <c r="B119" s="7">
        <v>110</v>
      </c>
      <c r="C119" s="7" t="s">
        <v>800</v>
      </c>
      <c r="D119" s="7">
        <v>110</v>
      </c>
      <c r="E119" s="7" t="s">
        <v>279</v>
      </c>
      <c r="F119" s="9">
        <f t="shared" si="1"/>
        <v>20421392</v>
      </c>
      <c r="G119" s="9">
        <f>VLOOKUP(A119, localcont!$D$10:$L$1764, 8)</f>
        <v>30005660.380291101</v>
      </c>
      <c r="H119" s="109">
        <f>VLOOKUP(A119, localcont!$D$10:$L$1764, 9)*F119</f>
        <v>19726493.205038976</v>
      </c>
    </row>
    <row r="120" spans="1:8">
      <c r="A120" s="7">
        <v>551</v>
      </c>
      <c r="B120" s="7">
        <v>111</v>
      </c>
      <c r="C120" s="7" t="s">
        <v>801</v>
      </c>
      <c r="D120" s="7">
        <v>111</v>
      </c>
      <c r="E120" s="7" t="s">
        <v>280</v>
      </c>
      <c r="F120" s="9">
        <f t="shared" si="1"/>
        <v>4835447</v>
      </c>
      <c r="G120" s="9">
        <f>VLOOKUP(A120, localcont!$D$10:$L$1764, 8)</f>
        <v>7516650.875846277</v>
      </c>
      <c r="H120" s="109">
        <f>VLOOKUP(A120, localcont!$D$10:$L$1764, 9)*F120</f>
        <v>4612550.2797973268</v>
      </c>
    </row>
    <row r="121" spans="1:8">
      <c r="A121" s="7">
        <v>556</v>
      </c>
      <c r="B121" s="7">
        <v>112</v>
      </c>
      <c r="C121" s="7" t="s">
        <v>802</v>
      </c>
      <c r="D121" s="7">
        <v>112</v>
      </c>
      <c r="E121" s="7" t="s">
        <v>281</v>
      </c>
      <c r="F121" s="9">
        <f t="shared" si="1"/>
        <v>1435359</v>
      </c>
      <c r="G121" s="9">
        <f>VLOOKUP(A121, localcont!$D$10:$L$1764, 8)</f>
        <v>0</v>
      </c>
      <c r="H121" s="109">
        <f>VLOOKUP(A121, localcont!$D$10:$L$1764, 9)*F121</f>
        <v>0</v>
      </c>
    </row>
    <row r="122" spans="1:8">
      <c r="A122" s="7">
        <v>561</v>
      </c>
      <c r="B122" s="7">
        <v>113</v>
      </c>
      <c r="C122" s="7" t="s">
        <v>803</v>
      </c>
      <c r="D122" s="7">
        <v>113</v>
      </c>
      <c r="E122" s="7" t="s">
        <v>282</v>
      </c>
      <c r="F122" s="9">
        <f t="shared" si="1"/>
        <v>9041853</v>
      </c>
      <c r="G122" s="9">
        <f>VLOOKUP(A122, localcont!$D$10:$L$1764, 8)</f>
        <v>0</v>
      </c>
      <c r="H122" s="109">
        <f>VLOOKUP(A122, localcont!$D$10:$L$1764, 9)*F122</f>
        <v>0</v>
      </c>
    </row>
    <row r="123" spans="1:8">
      <c r="A123" s="7">
        <v>566</v>
      </c>
      <c r="B123" s="7">
        <v>114</v>
      </c>
      <c r="C123" s="7" t="s">
        <v>805</v>
      </c>
      <c r="D123" s="7">
        <v>114</v>
      </c>
      <c r="E123" s="7" t="s">
        <v>283</v>
      </c>
      <c r="F123" s="9">
        <f t="shared" si="1"/>
        <v>10365423</v>
      </c>
      <c r="G123" s="9">
        <f>VLOOKUP(A123, localcont!$D$10:$L$1764, 8)</f>
        <v>20807903.147397026</v>
      </c>
      <c r="H123" s="109">
        <f>VLOOKUP(A123, localcont!$D$10:$L$1764, 9)*F123</f>
        <v>9537472.2139690481</v>
      </c>
    </row>
    <row r="124" spans="1:8">
      <c r="A124" s="7">
        <v>571</v>
      </c>
      <c r="B124" s="7">
        <v>115</v>
      </c>
      <c r="C124" s="7" t="s">
        <v>806</v>
      </c>
      <c r="D124" s="7">
        <v>115</v>
      </c>
      <c r="E124" s="7" t="s">
        <v>284</v>
      </c>
      <c r="F124" s="9">
        <f t="shared" si="1"/>
        <v>16367106</v>
      </c>
      <c r="G124" s="9">
        <f>VLOOKUP(A124, localcont!$D$10:$L$1764, 8)</f>
        <v>0</v>
      </c>
      <c r="H124" s="109">
        <f>VLOOKUP(A124, localcont!$D$10:$L$1764, 9)*F124</f>
        <v>0</v>
      </c>
    </row>
    <row r="125" spans="1:8">
      <c r="A125" s="7">
        <v>576</v>
      </c>
      <c r="B125" s="7">
        <v>116</v>
      </c>
      <c r="C125" s="7" t="s">
        <v>807</v>
      </c>
      <c r="D125" s="7">
        <v>116</v>
      </c>
      <c r="E125" s="7" t="s">
        <v>285</v>
      </c>
      <c r="F125" s="9">
        <f t="shared" si="1"/>
        <v>6746634</v>
      </c>
      <c r="G125" s="9">
        <f>VLOOKUP(A125, localcont!$D$10:$L$1764, 8)</f>
        <v>134168.3334358955</v>
      </c>
      <c r="H125" s="109">
        <f>VLOOKUP(A125, localcont!$D$10:$L$1764, 9)*F125</f>
        <v>90456.065500007404</v>
      </c>
    </row>
    <row r="126" spans="1:8">
      <c r="A126" s="7">
        <v>581</v>
      </c>
      <c r="B126" s="7">
        <v>117</v>
      </c>
      <c r="C126" s="7" t="s">
        <v>809</v>
      </c>
      <c r="D126" s="7">
        <v>117</v>
      </c>
      <c r="E126" s="7" t="s">
        <v>286</v>
      </c>
      <c r="F126" s="9">
        <f t="shared" si="1"/>
        <v>5771997</v>
      </c>
      <c r="G126" s="9">
        <f>VLOOKUP(A126, localcont!$D$10:$L$1764, 8)</f>
        <v>5654945.3746561082</v>
      </c>
      <c r="H126" s="109">
        <f>VLOOKUP(A126, localcont!$D$10:$L$1764, 9)*F126</f>
        <v>5771997</v>
      </c>
    </row>
    <row r="127" spans="1:8">
      <c r="A127" s="7">
        <v>586</v>
      </c>
      <c r="B127" s="7">
        <v>118</v>
      </c>
      <c r="C127" s="7" t="s">
        <v>810</v>
      </c>
      <c r="D127" s="7">
        <v>118</v>
      </c>
      <c r="E127" s="7" t="s">
        <v>287</v>
      </c>
      <c r="F127" s="9">
        <f t="shared" si="1"/>
        <v>6511836</v>
      </c>
      <c r="G127" s="9">
        <f>VLOOKUP(A127, localcont!$D$10:$L$1764, 8)</f>
        <v>6142874.2903718846</v>
      </c>
      <c r="H127" s="109">
        <f>VLOOKUP(A127, localcont!$D$10:$L$1764, 9)*F127</f>
        <v>3213563.3919464368</v>
      </c>
    </row>
    <row r="128" spans="1:8">
      <c r="A128" s="7">
        <v>591</v>
      </c>
      <c r="B128" s="7">
        <v>119</v>
      </c>
      <c r="C128" s="7" t="s">
        <v>812</v>
      </c>
      <c r="D128" s="7">
        <v>119</v>
      </c>
      <c r="E128" s="7" t="s">
        <v>288</v>
      </c>
      <c r="F128" s="9">
        <f t="shared" si="1"/>
        <v>12851905</v>
      </c>
      <c r="G128" s="9">
        <f>VLOOKUP(A128, localcont!$D$10:$L$1764, 8)</f>
        <v>0</v>
      </c>
      <c r="H128" s="109">
        <f>VLOOKUP(A128, localcont!$D$10:$L$1764, 9)*F128</f>
        <v>0</v>
      </c>
    </row>
    <row r="129" spans="1:8">
      <c r="A129" s="7">
        <v>596</v>
      </c>
      <c r="B129" s="7">
        <v>120</v>
      </c>
      <c r="C129" s="7" t="s">
        <v>814</v>
      </c>
      <c r="D129" s="7">
        <v>120</v>
      </c>
      <c r="E129" s="7" t="s">
        <v>289</v>
      </c>
      <c r="F129" s="9">
        <f t="shared" si="1"/>
        <v>5270483</v>
      </c>
      <c r="G129" s="9">
        <f>VLOOKUP(A129, localcont!$D$10:$L$1764, 8)</f>
        <v>0</v>
      </c>
      <c r="H129" s="109">
        <f>VLOOKUP(A129, localcont!$D$10:$L$1764, 9)*F129</f>
        <v>0</v>
      </c>
    </row>
    <row r="130" spans="1:8">
      <c r="A130" s="7">
        <v>601</v>
      </c>
      <c r="B130" s="7">
        <v>121</v>
      </c>
      <c r="C130" s="7" t="s">
        <v>816</v>
      </c>
      <c r="D130" s="7">
        <v>121</v>
      </c>
      <c r="E130" s="7" t="s">
        <v>290</v>
      </c>
      <c r="F130" s="9">
        <f t="shared" si="1"/>
        <v>1213781</v>
      </c>
      <c r="G130" s="9">
        <f>VLOOKUP(A130, localcont!$D$10:$L$1764, 8)</f>
        <v>672606.53356161958</v>
      </c>
      <c r="H130" s="109">
        <f>VLOOKUP(A130, localcont!$D$10:$L$1764, 9)*F130</f>
        <v>1213781</v>
      </c>
    </row>
    <row r="131" spans="1:8">
      <c r="A131" s="7">
        <v>606</v>
      </c>
      <c r="B131" s="7">
        <v>122</v>
      </c>
      <c r="C131" s="7" t="s">
        <v>817</v>
      </c>
      <c r="D131" s="7">
        <v>122</v>
      </c>
      <c r="E131" s="7" t="s">
        <v>291</v>
      </c>
      <c r="F131" s="9">
        <f t="shared" si="1"/>
        <v>19881247</v>
      </c>
      <c r="G131" s="9">
        <f>VLOOKUP(A131, localcont!$D$10:$L$1764, 8)</f>
        <v>24249684.484178498</v>
      </c>
      <c r="H131" s="109">
        <f>VLOOKUP(A131, localcont!$D$10:$L$1764, 9)*F131</f>
        <v>19248577.734797962</v>
      </c>
    </row>
    <row r="132" spans="1:8">
      <c r="A132" s="7">
        <v>611</v>
      </c>
      <c r="B132" s="7">
        <v>123</v>
      </c>
      <c r="C132" s="7" t="s">
        <v>818</v>
      </c>
      <c r="D132" s="7">
        <v>123</v>
      </c>
      <c r="E132" s="7" t="s">
        <v>292</v>
      </c>
      <c r="F132" s="9">
        <f t="shared" si="1"/>
        <v>9293262</v>
      </c>
      <c r="G132" s="9">
        <f>VLOOKUP(A132, localcont!$D$10:$L$1764, 8)</f>
        <v>120751.50009230593</v>
      </c>
      <c r="H132" s="109">
        <f>VLOOKUP(A132, localcont!$D$10:$L$1764, 9)*F132</f>
        <v>66307.927467364279</v>
      </c>
    </row>
    <row r="133" spans="1:8">
      <c r="A133" s="7">
        <v>616</v>
      </c>
      <c r="B133" s="7">
        <v>124</v>
      </c>
      <c r="C133" s="7" t="s">
        <v>820</v>
      </c>
      <c r="D133" s="7">
        <v>124</v>
      </c>
      <c r="E133" s="7" t="s">
        <v>71</v>
      </c>
      <c r="F133" s="9">
        <f t="shared" si="1"/>
        <v>1511070</v>
      </c>
      <c r="G133" s="9">
        <f>VLOOKUP(A133, localcont!$D$10:$L$1764, 8)</f>
        <v>0</v>
      </c>
      <c r="H133" s="109">
        <f>VLOOKUP(A133, localcont!$D$10:$L$1764, 9)*F133</f>
        <v>0</v>
      </c>
    </row>
    <row r="134" spans="1:8">
      <c r="A134" s="7">
        <v>621</v>
      </c>
      <c r="B134" s="7">
        <v>125</v>
      </c>
      <c r="C134" s="7" t="s">
        <v>821</v>
      </c>
      <c r="D134" s="7">
        <v>125</v>
      </c>
      <c r="E134" s="7" t="s">
        <v>293</v>
      </c>
      <c r="F134" s="9">
        <f t="shared" si="1"/>
        <v>10160974</v>
      </c>
      <c r="G134" s="9">
        <f>VLOOKUP(A134, localcont!$D$10:$L$1764, 8)</f>
        <v>9274857.1529690847</v>
      </c>
      <c r="H134" s="109">
        <f>VLOOKUP(A134, localcont!$D$10:$L$1764, 9)*F134</f>
        <v>10042644.656138569</v>
      </c>
    </row>
    <row r="135" spans="1:8">
      <c r="A135" s="7">
        <v>626</v>
      </c>
      <c r="B135" s="7">
        <v>126</v>
      </c>
      <c r="C135" s="7" t="s">
        <v>822</v>
      </c>
      <c r="D135" s="7">
        <v>126</v>
      </c>
      <c r="E135" s="7" t="s">
        <v>294</v>
      </c>
      <c r="F135" s="9">
        <f t="shared" si="1"/>
        <v>24292765</v>
      </c>
      <c r="G135" s="9">
        <f>VLOOKUP(A135, localcont!$D$10:$L$1764, 8)</f>
        <v>0</v>
      </c>
      <c r="H135" s="109">
        <f>VLOOKUP(A135, localcont!$D$10:$L$1764, 9)*F135</f>
        <v>0</v>
      </c>
    </row>
    <row r="136" spans="1:8">
      <c r="A136" s="7">
        <v>631</v>
      </c>
      <c r="B136" s="7">
        <v>127</v>
      </c>
      <c r="C136" s="7" t="s">
        <v>823</v>
      </c>
      <c r="D136" s="7">
        <v>127</v>
      </c>
      <c r="E136" s="7" t="s">
        <v>295</v>
      </c>
      <c r="F136" s="9">
        <f t="shared" si="1"/>
        <v>3430756</v>
      </c>
      <c r="G136" s="9">
        <f>VLOOKUP(A136, localcont!$D$10:$L$1764, 8)</f>
        <v>3456804.2799801859</v>
      </c>
      <c r="H136" s="109">
        <f>VLOOKUP(A136, localcont!$D$10:$L$1764, 9)*F136</f>
        <v>3430756</v>
      </c>
    </row>
    <row r="137" spans="1:8">
      <c r="A137" s="7">
        <v>636</v>
      </c>
      <c r="B137" s="7">
        <v>128</v>
      </c>
      <c r="C137" s="7" t="s">
        <v>824</v>
      </c>
      <c r="D137" s="7">
        <v>128</v>
      </c>
      <c r="E137" s="7" t="s">
        <v>296</v>
      </c>
      <c r="F137" s="9">
        <f t="shared" si="1"/>
        <v>44417958</v>
      </c>
      <c r="G137" s="9">
        <f>VLOOKUP(A137, localcont!$D$10:$L$1764, 8)</f>
        <v>91533733.132029355</v>
      </c>
      <c r="H137" s="109">
        <f>VLOOKUP(A137, localcont!$D$10:$L$1764, 9)*F137</f>
        <v>38914737.593469627</v>
      </c>
    </row>
    <row r="138" spans="1:8">
      <c r="A138" s="7">
        <v>641</v>
      </c>
      <c r="B138" s="7">
        <v>129</v>
      </c>
      <c r="C138" s="7" t="s">
        <v>825</v>
      </c>
      <c r="D138" s="7">
        <v>129</v>
      </c>
      <c r="E138" s="7" t="s">
        <v>297</v>
      </c>
      <c r="F138" s="9">
        <f t="shared" ref="F138:F201" si="2">VLOOKUP(D138, town351, 7)</f>
        <v>258403</v>
      </c>
      <c r="G138" s="9">
        <f>VLOOKUP(A138, localcont!$D$10:$L$1764, 8)</f>
        <v>26833.666687179095</v>
      </c>
      <c r="H138" s="109">
        <f>VLOOKUP(A138, localcont!$D$10:$L$1764, 9)*F138</f>
        <v>20547.717960507412</v>
      </c>
    </row>
    <row r="139" spans="1:8">
      <c r="A139" s="7">
        <v>646</v>
      </c>
      <c r="B139" s="7">
        <v>130</v>
      </c>
      <c r="C139" s="7" t="s">
        <v>826</v>
      </c>
      <c r="D139" s="7">
        <v>130</v>
      </c>
      <c r="E139" s="7" t="s">
        <v>298</v>
      </c>
      <c r="F139" s="9">
        <f t="shared" si="2"/>
        <v>462182</v>
      </c>
      <c r="G139" s="9">
        <f>VLOOKUP(A139, localcont!$D$10:$L$1764, 8)</f>
        <v>0</v>
      </c>
      <c r="H139" s="109">
        <f>VLOOKUP(A139, localcont!$D$10:$L$1764, 9)*F139</f>
        <v>0</v>
      </c>
    </row>
    <row r="140" spans="1:8">
      <c r="A140" s="7">
        <v>651</v>
      </c>
      <c r="B140" s="7">
        <v>131</v>
      </c>
      <c r="C140" s="7" t="s">
        <v>827</v>
      </c>
      <c r="D140" s="7">
        <v>131</v>
      </c>
      <c r="E140" s="7" t="s">
        <v>299</v>
      </c>
      <c r="F140" s="9">
        <f t="shared" si="2"/>
        <v>57482527</v>
      </c>
      <c r="G140" s="9">
        <f>VLOOKUP(A140, localcont!$D$10:$L$1764, 8)</f>
        <v>41440808.001251943</v>
      </c>
      <c r="H140" s="109">
        <f>VLOOKUP(A140, localcont!$D$10:$L$1764, 9)*F140</f>
        <v>57482527</v>
      </c>
    </row>
    <row r="141" spans="1:8">
      <c r="A141" s="7">
        <v>656</v>
      </c>
      <c r="B141" s="7">
        <v>132</v>
      </c>
      <c r="C141" s="7" t="s">
        <v>828</v>
      </c>
      <c r="D141" s="7">
        <v>132</v>
      </c>
      <c r="E141" s="7" t="s">
        <v>300</v>
      </c>
      <c r="F141" s="9">
        <f t="shared" si="2"/>
        <v>1922427</v>
      </c>
      <c r="G141" s="9">
        <f>VLOOKUP(A141, localcont!$D$10:$L$1764, 8)</f>
        <v>226884.18269824251</v>
      </c>
      <c r="H141" s="109">
        <f>VLOOKUP(A141, localcont!$D$10:$L$1764, 9)*F141</f>
        <v>186926.30404856944</v>
      </c>
    </row>
    <row r="142" spans="1:8">
      <c r="A142" s="7">
        <v>661</v>
      </c>
      <c r="B142" s="7">
        <v>133</v>
      </c>
      <c r="C142" s="7" t="s">
        <v>829</v>
      </c>
      <c r="D142" s="7">
        <v>133</v>
      </c>
      <c r="E142" s="7" t="s">
        <v>301</v>
      </c>
      <c r="F142" s="9">
        <f t="shared" si="2"/>
        <v>8445992</v>
      </c>
      <c r="G142" s="9">
        <f>VLOOKUP(A142, localcont!$D$10:$L$1764, 8)</f>
        <v>12628237.26938205</v>
      </c>
      <c r="H142" s="109">
        <f>VLOOKUP(A142, localcont!$D$10:$L$1764, 9)*F142</f>
        <v>7118217.832082401</v>
      </c>
    </row>
    <row r="143" spans="1:8">
      <c r="A143" s="7">
        <v>666</v>
      </c>
      <c r="B143" s="7">
        <v>134</v>
      </c>
      <c r="C143" s="7" t="s">
        <v>830</v>
      </c>
      <c r="D143" s="7">
        <v>134</v>
      </c>
      <c r="E143" s="7" t="s">
        <v>70</v>
      </c>
      <c r="F143" s="9">
        <f t="shared" si="2"/>
        <v>18272238</v>
      </c>
      <c r="G143" s="9">
        <f>VLOOKUP(A143, localcont!$D$10:$L$1764, 8)</f>
        <v>13416.833343589547</v>
      </c>
      <c r="H143" s="109">
        <f>VLOOKUP(A143, localcont!$D$10:$L$1764, 9)*F143</f>
        <v>7882.2095079648607</v>
      </c>
    </row>
    <row r="144" spans="1:8">
      <c r="A144" s="7">
        <v>671</v>
      </c>
      <c r="B144" s="7">
        <v>135</v>
      </c>
      <c r="C144" s="7" t="s">
        <v>832</v>
      </c>
      <c r="D144" s="7">
        <v>135</v>
      </c>
      <c r="E144" s="7" t="s">
        <v>302</v>
      </c>
      <c r="F144" s="9">
        <f t="shared" si="2"/>
        <v>2195538</v>
      </c>
      <c r="G144" s="9">
        <f>VLOOKUP(A144, localcont!$D$10:$L$1764, 8)</f>
        <v>1612152.0989724461</v>
      </c>
      <c r="H144" s="109">
        <f>VLOOKUP(A144, localcont!$D$10:$L$1764, 9)*F144</f>
        <v>922734.33144120104</v>
      </c>
    </row>
    <row r="145" spans="1:8">
      <c r="A145" s="7">
        <v>676</v>
      </c>
      <c r="B145" s="7">
        <v>136</v>
      </c>
      <c r="C145" s="7" t="s">
        <v>833</v>
      </c>
      <c r="D145" s="7">
        <v>136</v>
      </c>
      <c r="E145" s="7" t="s">
        <v>303</v>
      </c>
      <c r="F145" s="9">
        <f t="shared" si="2"/>
        <v>19245485</v>
      </c>
      <c r="G145" s="9">
        <f>VLOOKUP(A145, localcont!$D$10:$L$1764, 8)</f>
        <v>25340457.438654266</v>
      </c>
      <c r="H145" s="109">
        <f>VLOOKUP(A145, localcont!$D$10:$L$1764, 9)*F145</f>
        <v>18645155.243249495</v>
      </c>
    </row>
    <row r="146" spans="1:8">
      <c r="A146" s="7">
        <v>681</v>
      </c>
      <c r="B146" s="7">
        <v>137</v>
      </c>
      <c r="C146" s="7" t="s">
        <v>834</v>
      </c>
      <c r="D146" s="7">
        <v>137</v>
      </c>
      <c r="E146" s="7" t="s">
        <v>304</v>
      </c>
      <c r="F146" s="9">
        <f t="shared" si="2"/>
        <v>16481434</v>
      </c>
      <c r="G146" s="9">
        <f>VLOOKUP(A146, localcont!$D$10:$L$1764, 8)</f>
        <v>81981180.868534818</v>
      </c>
      <c r="H146" s="109">
        <f>VLOOKUP(A146, localcont!$D$10:$L$1764, 9)*F146</f>
        <v>16481434</v>
      </c>
    </row>
    <row r="147" spans="1:8">
      <c r="A147" s="7">
        <v>686</v>
      </c>
      <c r="B147" s="7">
        <v>138</v>
      </c>
      <c r="C147" s="7" t="s">
        <v>835</v>
      </c>
      <c r="D147" s="7">
        <v>138</v>
      </c>
      <c r="E147" s="7" t="s">
        <v>305</v>
      </c>
      <c r="F147" s="9">
        <f t="shared" si="2"/>
        <v>5764292</v>
      </c>
      <c r="G147" s="9">
        <f>VLOOKUP(A147, localcont!$D$10:$L$1764, 8)</f>
        <v>9875547.1322113276</v>
      </c>
      <c r="H147" s="109">
        <f>VLOOKUP(A147, localcont!$D$10:$L$1764, 9)*F147</f>
        <v>5432060.905682059</v>
      </c>
    </row>
    <row r="148" spans="1:8">
      <c r="A148" s="7">
        <v>691</v>
      </c>
      <c r="B148" s="7">
        <v>139</v>
      </c>
      <c r="C148" s="7" t="s">
        <v>836</v>
      </c>
      <c r="D148" s="7">
        <v>139</v>
      </c>
      <c r="E148" s="7" t="s">
        <v>306</v>
      </c>
      <c r="F148" s="9">
        <f t="shared" si="2"/>
        <v>31304846</v>
      </c>
      <c r="G148" s="9">
        <f>VLOOKUP(A148, localcont!$D$10:$L$1764, 8)</f>
        <v>34051687.916279338</v>
      </c>
      <c r="H148" s="109">
        <f>VLOOKUP(A148, localcont!$D$10:$L$1764, 9)*F148</f>
        <v>30964790.919097781</v>
      </c>
    </row>
    <row r="149" spans="1:8">
      <c r="A149" s="7">
        <v>696</v>
      </c>
      <c r="B149" s="7">
        <v>140</v>
      </c>
      <c r="C149" s="7" t="s">
        <v>837</v>
      </c>
      <c r="D149" s="7">
        <v>140</v>
      </c>
      <c r="E149" s="7" t="s">
        <v>307</v>
      </c>
      <c r="F149" s="9">
        <f t="shared" si="2"/>
        <v>3518784</v>
      </c>
      <c r="G149" s="9">
        <f>VLOOKUP(A149, localcont!$D$10:$L$1764, 8)</f>
        <v>0</v>
      </c>
      <c r="H149" s="109">
        <f>VLOOKUP(A149, localcont!$D$10:$L$1764, 9)*F149</f>
        <v>0</v>
      </c>
    </row>
    <row r="150" spans="1:8">
      <c r="A150" s="7">
        <v>701</v>
      </c>
      <c r="B150" s="7">
        <v>141</v>
      </c>
      <c r="C150" s="7" t="s">
        <v>838</v>
      </c>
      <c r="D150" s="7">
        <v>141</v>
      </c>
      <c r="E150" s="7" t="s">
        <v>308</v>
      </c>
      <c r="F150" s="9">
        <f t="shared" si="2"/>
        <v>18744314</v>
      </c>
      <c r="G150" s="9">
        <f>VLOOKUP(A150, localcont!$D$10:$L$1764, 8)</f>
        <v>28097682.163007021</v>
      </c>
      <c r="H150" s="109">
        <f>VLOOKUP(A150, localcont!$D$10:$L$1764, 9)*F150</f>
        <v>16752171.977387903</v>
      </c>
    </row>
    <row r="151" spans="1:8">
      <c r="A151" s="7">
        <v>706</v>
      </c>
      <c r="B151" s="7">
        <v>142</v>
      </c>
      <c r="C151" s="7" t="s">
        <v>839</v>
      </c>
      <c r="D151" s="7">
        <v>142</v>
      </c>
      <c r="E151" s="7" t="s">
        <v>309</v>
      </c>
      <c r="F151" s="9">
        <f t="shared" si="2"/>
        <v>12813308</v>
      </c>
      <c r="G151" s="9">
        <f>VLOOKUP(A151, localcont!$D$10:$L$1764, 8)</f>
        <v>10207764.981851343</v>
      </c>
      <c r="H151" s="109">
        <f>VLOOKUP(A151, localcont!$D$10:$L$1764, 9)*F151</f>
        <v>12813308</v>
      </c>
    </row>
    <row r="152" spans="1:8">
      <c r="A152" s="7">
        <v>711</v>
      </c>
      <c r="B152" s="7">
        <v>143</v>
      </c>
      <c r="C152" s="7" t="s">
        <v>840</v>
      </c>
      <c r="D152" s="7">
        <v>143</v>
      </c>
      <c r="E152" s="7" t="s">
        <v>310</v>
      </c>
      <c r="F152" s="9">
        <f t="shared" si="2"/>
        <v>1591047</v>
      </c>
      <c r="G152" s="9">
        <f>VLOOKUP(A152, localcont!$D$10:$L$1764, 8)</f>
        <v>361052.51613413799</v>
      </c>
      <c r="H152" s="109">
        <f>VLOOKUP(A152, localcont!$D$10:$L$1764, 9)*F152</f>
        <v>188698.71657469921</v>
      </c>
    </row>
    <row r="153" spans="1:8">
      <c r="A153" s="7">
        <v>716</v>
      </c>
      <c r="B153" s="7">
        <v>144</v>
      </c>
      <c r="C153" s="7" t="s">
        <v>841</v>
      </c>
      <c r="D153" s="7">
        <v>144</v>
      </c>
      <c r="E153" s="7" t="s">
        <v>311</v>
      </c>
      <c r="F153" s="9">
        <f t="shared" si="2"/>
        <v>19693320</v>
      </c>
      <c r="G153" s="9">
        <f>VLOOKUP(A153, localcont!$D$10:$L$1764, 8)</f>
        <v>17585142.68474175</v>
      </c>
      <c r="H153" s="109">
        <f>VLOOKUP(A153, localcont!$D$10:$L$1764, 9)*F153</f>
        <v>19201688.556604948</v>
      </c>
    </row>
    <row r="154" spans="1:8">
      <c r="A154" s="7">
        <v>721</v>
      </c>
      <c r="B154" s="7">
        <v>145</v>
      </c>
      <c r="C154" s="7" t="s">
        <v>842</v>
      </c>
      <c r="D154" s="7">
        <v>145</v>
      </c>
      <c r="E154" s="7" t="s">
        <v>312</v>
      </c>
      <c r="F154" s="9">
        <f t="shared" si="2"/>
        <v>13345722</v>
      </c>
      <c r="G154" s="9">
        <f>VLOOKUP(A154, localcont!$D$10:$L$1764, 8)</f>
        <v>10083448.835693419</v>
      </c>
      <c r="H154" s="109">
        <f>VLOOKUP(A154, localcont!$D$10:$L$1764, 9)*F154</f>
        <v>6240166.8737082565</v>
      </c>
    </row>
    <row r="155" spans="1:8">
      <c r="A155" s="7">
        <v>726</v>
      </c>
      <c r="B155" s="7">
        <v>146</v>
      </c>
      <c r="C155" s="7" t="s">
        <v>843</v>
      </c>
      <c r="D155" s="7">
        <v>146</v>
      </c>
      <c r="E155" s="7" t="s">
        <v>313</v>
      </c>
      <c r="F155" s="9">
        <f t="shared" si="2"/>
        <v>11392054</v>
      </c>
      <c r="G155" s="9">
        <f>VLOOKUP(A155, localcont!$D$10:$L$1764, 8)</f>
        <v>107334.66674871638</v>
      </c>
      <c r="H155" s="109">
        <f>VLOOKUP(A155, localcont!$D$10:$L$1764, 9)*F155</f>
        <v>70481.673535476293</v>
      </c>
    </row>
    <row r="156" spans="1:8">
      <c r="A156" s="7">
        <v>731</v>
      </c>
      <c r="B156" s="7">
        <v>147</v>
      </c>
      <c r="C156" s="7" t="s">
        <v>844</v>
      </c>
      <c r="D156" s="7">
        <v>147</v>
      </c>
      <c r="E156" s="7" t="s">
        <v>314</v>
      </c>
      <c r="F156" s="9">
        <f t="shared" si="2"/>
        <v>6955727</v>
      </c>
      <c r="G156" s="9">
        <f>VLOOKUP(A156, localcont!$D$10:$L$1764, 8)</f>
        <v>13416.833343589547</v>
      </c>
      <c r="H156" s="109">
        <f>VLOOKUP(A156, localcont!$D$10:$L$1764, 9)*F156</f>
        <v>9226.5294814001572</v>
      </c>
    </row>
    <row r="157" spans="1:8">
      <c r="A157" s="7">
        <v>736</v>
      </c>
      <c r="B157" s="7">
        <v>148</v>
      </c>
      <c r="C157" s="7" t="s">
        <v>845</v>
      </c>
      <c r="D157" s="7">
        <v>148</v>
      </c>
      <c r="E157" s="7" t="s">
        <v>315</v>
      </c>
      <c r="F157" s="9">
        <f t="shared" si="2"/>
        <v>2527918</v>
      </c>
      <c r="G157" s="9">
        <f>VLOOKUP(A157, localcont!$D$10:$L$1764, 8)</f>
        <v>1897447.2242952588</v>
      </c>
      <c r="H157" s="109">
        <f>VLOOKUP(A157, localcont!$D$10:$L$1764, 9)*F157</f>
        <v>1128531.1741402096</v>
      </c>
    </row>
    <row r="158" spans="1:8">
      <c r="A158" s="7">
        <v>741</v>
      </c>
      <c r="B158" s="7">
        <v>149</v>
      </c>
      <c r="C158" s="7" t="s">
        <v>847</v>
      </c>
      <c r="D158" s="7">
        <v>149</v>
      </c>
      <c r="E158" s="7" t="s">
        <v>316</v>
      </c>
      <c r="F158" s="9">
        <f t="shared" si="2"/>
        <v>28382022</v>
      </c>
      <c r="G158" s="9">
        <f>VLOOKUP(A158, localcont!$D$10:$L$1764, 8)</f>
        <v>189722671.68810713</v>
      </c>
      <c r="H158" s="109">
        <f>VLOOKUP(A158, localcont!$D$10:$L$1764, 9)*F158</f>
        <v>25529489.813859556</v>
      </c>
    </row>
    <row r="159" spans="1:8">
      <c r="A159" s="7">
        <v>746</v>
      </c>
      <c r="B159" s="7">
        <v>150</v>
      </c>
      <c r="C159" s="7" t="s">
        <v>848</v>
      </c>
      <c r="D159" s="7">
        <v>150</v>
      </c>
      <c r="E159" s="7" t="s">
        <v>317</v>
      </c>
      <c r="F159" s="9">
        <f t="shared" si="2"/>
        <v>5646860</v>
      </c>
      <c r="G159" s="9">
        <f>VLOOKUP(A159, localcont!$D$10:$L$1764, 8)</f>
        <v>6757761.9564577993</v>
      </c>
      <c r="H159" s="109">
        <f>VLOOKUP(A159, localcont!$D$10:$L$1764, 9)*F159</f>
        <v>5646860</v>
      </c>
    </row>
    <row r="160" spans="1:8">
      <c r="A160" s="7">
        <v>751</v>
      </c>
      <c r="B160" s="7">
        <v>151</v>
      </c>
      <c r="C160" s="7" t="s">
        <v>849</v>
      </c>
      <c r="D160" s="7">
        <v>151</v>
      </c>
      <c r="E160" s="7" t="s">
        <v>318</v>
      </c>
      <c r="F160" s="9">
        <f t="shared" si="2"/>
        <v>7725456</v>
      </c>
      <c r="G160" s="9">
        <f>VLOOKUP(A160, localcont!$D$10:$L$1764, 8)</f>
        <v>16281458.222080152</v>
      </c>
      <c r="H160" s="109">
        <f>VLOOKUP(A160, localcont!$D$10:$L$1764, 9)*F160</f>
        <v>7725456</v>
      </c>
    </row>
    <row r="161" spans="1:8">
      <c r="A161" s="7">
        <v>756</v>
      </c>
      <c r="B161" s="7">
        <v>152</v>
      </c>
      <c r="C161" s="7" t="s">
        <v>850</v>
      </c>
      <c r="D161" s="7">
        <v>152</v>
      </c>
      <c r="E161" s="7" t="s">
        <v>319</v>
      </c>
      <c r="F161" s="9">
        <f t="shared" si="2"/>
        <v>7435005</v>
      </c>
      <c r="G161" s="9">
        <f>VLOOKUP(A161, localcont!$D$10:$L$1764, 8)</f>
        <v>5339115.7336442946</v>
      </c>
      <c r="H161" s="109">
        <f>VLOOKUP(A161, localcont!$D$10:$L$1764, 9)*F161</f>
        <v>7435005</v>
      </c>
    </row>
    <row r="162" spans="1:8">
      <c r="A162" s="7">
        <v>761</v>
      </c>
      <c r="B162" s="7">
        <v>153</v>
      </c>
      <c r="C162" s="7" t="s">
        <v>851</v>
      </c>
      <c r="D162" s="7">
        <v>153</v>
      </c>
      <c r="E162" s="7" t="s">
        <v>320</v>
      </c>
      <c r="F162" s="9">
        <f t="shared" si="2"/>
        <v>27763713</v>
      </c>
      <c r="G162" s="9">
        <f>VLOOKUP(A162, localcont!$D$10:$L$1764, 8)</f>
        <v>69633698.04886961</v>
      </c>
      <c r="H162" s="109">
        <f>VLOOKUP(A162, localcont!$D$10:$L$1764, 9)*F162</f>
        <v>27763713</v>
      </c>
    </row>
    <row r="163" spans="1:8">
      <c r="A163" s="7">
        <v>766</v>
      </c>
      <c r="B163" s="7">
        <v>154</v>
      </c>
      <c r="C163" s="7" t="s">
        <v>852</v>
      </c>
      <c r="D163" s="7">
        <v>154</v>
      </c>
      <c r="E163" s="7" t="s">
        <v>321</v>
      </c>
      <c r="F163" s="9">
        <f t="shared" si="2"/>
        <v>1923593</v>
      </c>
      <c r="G163" s="9">
        <f>VLOOKUP(A163, localcont!$D$10:$L$1764, 8)</f>
        <v>1195068.007035923</v>
      </c>
      <c r="H163" s="109">
        <f>VLOOKUP(A163, localcont!$D$10:$L$1764, 9)*F163</f>
        <v>1089611.1422339519</v>
      </c>
    </row>
    <row r="164" spans="1:8">
      <c r="A164" s="7">
        <v>771</v>
      </c>
      <c r="B164" s="7">
        <v>155</v>
      </c>
      <c r="C164" s="7" t="s">
        <v>853</v>
      </c>
      <c r="D164" s="7">
        <v>155</v>
      </c>
      <c r="E164" s="7" t="s">
        <v>322</v>
      </c>
      <c r="F164" s="9">
        <f t="shared" si="2"/>
        <v>88016578</v>
      </c>
      <c r="G164" s="9">
        <f>VLOOKUP(A164, localcont!$D$10:$L$1764, 8)</f>
        <v>74054892.120399058</v>
      </c>
      <c r="H164" s="109">
        <f>VLOOKUP(A164, localcont!$D$10:$L$1764, 9)*F164</f>
        <v>86939239.075249314</v>
      </c>
    </row>
    <row r="165" spans="1:8">
      <c r="A165" s="7">
        <v>776</v>
      </c>
      <c r="B165" s="7">
        <v>156</v>
      </c>
      <c r="C165" s="7" t="s">
        <v>854</v>
      </c>
      <c r="D165" s="7">
        <v>156</v>
      </c>
      <c r="E165" s="7" t="s">
        <v>323</v>
      </c>
      <c r="F165" s="9">
        <f t="shared" si="2"/>
        <v>635458</v>
      </c>
      <c r="G165" s="9">
        <f>VLOOKUP(A165, localcont!$D$10:$L$1764, 8)</f>
        <v>0</v>
      </c>
      <c r="H165" s="109">
        <f>VLOOKUP(A165, localcont!$D$10:$L$1764, 9)*F165</f>
        <v>0</v>
      </c>
    </row>
    <row r="166" spans="1:8">
      <c r="A166" s="7">
        <v>781</v>
      </c>
      <c r="B166" s="7">
        <v>157</v>
      </c>
      <c r="C166" s="7" t="s">
        <v>855</v>
      </c>
      <c r="D166" s="7">
        <v>157</v>
      </c>
      <c r="E166" s="7" t="s">
        <v>324</v>
      </c>
      <c r="F166" s="9">
        <f t="shared" si="2"/>
        <v>21630084</v>
      </c>
      <c r="G166" s="9">
        <f>VLOOKUP(A166, localcont!$D$10:$L$1764, 8)</f>
        <v>6203608.5789318336</v>
      </c>
      <c r="H166" s="109">
        <f>VLOOKUP(A166, localcont!$D$10:$L$1764, 9)*F166</f>
        <v>15886790.383565744</v>
      </c>
    </row>
    <row r="167" spans="1:8">
      <c r="A167" s="7">
        <v>786</v>
      </c>
      <c r="B167" s="7">
        <v>158</v>
      </c>
      <c r="C167" s="7" t="s">
        <v>857</v>
      </c>
      <c r="D167" s="7">
        <v>158</v>
      </c>
      <c r="E167" s="7" t="s">
        <v>325</v>
      </c>
      <c r="F167" s="9">
        <f t="shared" si="2"/>
        <v>12862027</v>
      </c>
      <c r="G167" s="9">
        <f>VLOOKUP(A167, localcont!$D$10:$L$1764, 8)</f>
        <v>15312226.682937402</v>
      </c>
      <c r="H167" s="109">
        <f>VLOOKUP(A167, localcont!$D$10:$L$1764, 9)*F167</f>
        <v>12472308.25806779</v>
      </c>
    </row>
    <row r="168" spans="1:8">
      <c r="A168" s="7">
        <v>791</v>
      </c>
      <c r="B168" s="7">
        <v>159</v>
      </c>
      <c r="C168" s="7" t="s">
        <v>858</v>
      </c>
      <c r="D168" s="7">
        <v>159</v>
      </c>
      <c r="E168" s="7" t="s">
        <v>326</v>
      </c>
      <c r="F168" s="9">
        <f t="shared" si="2"/>
        <v>23119325</v>
      </c>
      <c r="G168" s="9">
        <f>VLOOKUP(A168, localcont!$D$10:$L$1764, 8)</f>
        <v>26663231.188728545</v>
      </c>
      <c r="H168" s="109">
        <f>VLOOKUP(A168, localcont!$D$10:$L$1764, 9)*F168</f>
        <v>23119325</v>
      </c>
    </row>
    <row r="169" spans="1:8">
      <c r="A169" s="7">
        <v>796</v>
      </c>
      <c r="B169" s="7">
        <v>160</v>
      </c>
      <c r="C169" s="7" t="s">
        <v>859</v>
      </c>
      <c r="D169" s="7">
        <v>160</v>
      </c>
      <c r="E169" s="7" t="s">
        <v>76</v>
      </c>
      <c r="F169" s="9">
        <f t="shared" si="2"/>
        <v>56456618</v>
      </c>
      <c r="G169" s="9">
        <f>VLOOKUP(A169, localcont!$D$10:$L$1764, 8)</f>
        <v>189897176.96033403</v>
      </c>
      <c r="H169" s="109">
        <f>VLOOKUP(A169, localcont!$D$10:$L$1764, 9)*F169</f>
        <v>49292571.498394847</v>
      </c>
    </row>
    <row r="170" spans="1:8">
      <c r="A170" s="7">
        <v>801</v>
      </c>
      <c r="B170" s="7">
        <v>161</v>
      </c>
      <c r="C170" s="7" t="s">
        <v>896</v>
      </c>
      <c r="D170" s="7">
        <v>161</v>
      </c>
      <c r="E170" s="7" t="s">
        <v>327</v>
      </c>
      <c r="F170" s="9">
        <f t="shared" si="2"/>
        <v>15315919</v>
      </c>
      <c r="G170" s="9">
        <f>VLOOKUP(A170, localcont!$D$10:$L$1764, 8)</f>
        <v>27107617.460779078</v>
      </c>
      <c r="H170" s="109">
        <f>VLOOKUP(A170, localcont!$D$10:$L$1764, 9)*F170</f>
        <v>15315919</v>
      </c>
    </row>
    <row r="171" spans="1:8">
      <c r="A171" s="7">
        <v>806</v>
      </c>
      <c r="B171" s="7">
        <v>162</v>
      </c>
      <c r="C171" s="7" t="s">
        <v>897</v>
      </c>
      <c r="D171" s="7">
        <v>162</v>
      </c>
      <c r="E171" s="7" t="s">
        <v>328</v>
      </c>
      <c r="F171" s="9">
        <f t="shared" si="2"/>
        <v>10025449</v>
      </c>
      <c r="G171" s="9">
        <f>VLOOKUP(A171, localcont!$D$10:$L$1764, 8)</f>
        <v>16554528.397230644</v>
      </c>
      <c r="H171" s="109">
        <f>VLOOKUP(A171, localcont!$D$10:$L$1764, 9)*F171</f>
        <v>9225072.4610687196</v>
      </c>
    </row>
    <row r="172" spans="1:8">
      <c r="A172" s="7">
        <v>811</v>
      </c>
      <c r="B172" s="7">
        <v>163</v>
      </c>
      <c r="C172" s="7" t="s">
        <v>898</v>
      </c>
      <c r="D172" s="7">
        <v>163</v>
      </c>
      <c r="E172" s="7" t="s">
        <v>329</v>
      </c>
      <c r="F172" s="9">
        <f t="shared" si="2"/>
        <v>49212857</v>
      </c>
      <c r="G172" s="9">
        <f>VLOOKUP(A172, localcont!$D$10:$L$1764, 8)</f>
        <v>201554686.66682765</v>
      </c>
      <c r="H172" s="109">
        <f>VLOOKUP(A172, localcont!$D$10:$L$1764, 9)*F172</f>
        <v>49212857</v>
      </c>
    </row>
    <row r="173" spans="1:8">
      <c r="A173" s="7">
        <v>816</v>
      </c>
      <c r="B173" s="7">
        <v>164</v>
      </c>
      <c r="C173" s="7" t="s">
        <v>899</v>
      </c>
      <c r="D173" s="7">
        <v>164</v>
      </c>
      <c r="E173" s="7" t="s">
        <v>330</v>
      </c>
      <c r="F173" s="9">
        <f t="shared" si="2"/>
        <v>23378439</v>
      </c>
      <c r="G173" s="9">
        <f>VLOOKUP(A173, localcont!$D$10:$L$1764, 8)</f>
        <v>21073446.154188275</v>
      </c>
      <c r="H173" s="109">
        <f>VLOOKUP(A173, localcont!$D$10:$L$1764, 9)*F173</f>
        <v>23013630.460906684</v>
      </c>
    </row>
    <row r="174" spans="1:8">
      <c r="A174" s="7">
        <v>821</v>
      </c>
      <c r="B174" s="7">
        <v>165</v>
      </c>
      <c r="C174" s="7" t="s">
        <v>900</v>
      </c>
      <c r="D174" s="7">
        <v>165</v>
      </c>
      <c r="E174" s="7" t="s">
        <v>77</v>
      </c>
      <c r="F174" s="9">
        <f t="shared" si="2"/>
        <v>43507486</v>
      </c>
      <c r="G174" s="9">
        <f>VLOOKUP(A174, localcont!$D$10:$L$1764, 8)</f>
        <v>87320752.243724763</v>
      </c>
      <c r="H174" s="109">
        <f>VLOOKUP(A174, localcont!$D$10:$L$1764, 9)*F174</f>
        <v>42117593.662471138</v>
      </c>
    </row>
    <row r="175" spans="1:8">
      <c r="A175" s="7">
        <v>826</v>
      </c>
      <c r="B175" s="7">
        <v>166</v>
      </c>
      <c r="C175" s="7" t="s">
        <v>901</v>
      </c>
      <c r="D175" s="7">
        <v>166</v>
      </c>
      <c r="E175" s="7" t="s">
        <v>69</v>
      </c>
      <c r="F175" s="9">
        <f t="shared" si="2"/>
        <v>17589021</v>
      </c>
      <c r="G175" s="9">
        <f>VLOOKUP(A175, localcont!$D$10:$L$1764, 8)</f>
        <v>0</v>
      </c>
      <c r="H175" s="109">
        <f>VLOOKUP(A175, localcont!$D$10:$L$1764, 9)*F175</f>
        <v>0</v>
      </c>
    </row>
    <row r="176" spans="1:8">
      <c r="A176" s="7">
        <v>831</v>
      </c>
      <c r="B176" s="7">
        <v>167</v>
      </c>
      <c r="C176" s="7" t="s">
        <v>902</v>
      </c>
      <c r="D176" s="7">
        <v>167</v>
      </c>
      <c r="E176" s="7" t="s">
        <v>331</v>
      </c>
      <c r="F176" s="9">
        <f t="shared" si="2"/>
        <v>28032981</v>
      </c>
      <c r="G176" s="9">
        <f>VLOOKUP(A176, localcont!$D$10:$L$1764, 8)</f>
        <v>40453621.247440323</v>
      </c>
      <c r="H176" s="109">
        <f>VLOOKUP(A176, localcont!$D$10:$L$1764, 9)*F176</f>
        <v>27229954.569306206</v>
      </c>
    </row>
    <row r="177" spans="1:8">
      <c r="A177" s="7">
        <v>836</v>
      </c>
      <c r="B177" s="7">
        <v>168</v>
      </c>
      <c r="C177" s="7" t="s">
        <v>903</v>
      </c>
      <c r="D177" s="7">
        <v>168</v>
      </c>
      <c r="E177" s="7" t="s">
        <v>332</v>
      </c>
      <c r="F177" s="9">
        <f t="shared" si="2"/>
        <v>42932918</v>
      </c>
      <c r="G177" s="9">
        <f>VLOOKUP(A177, localcont!$D$10:$L$1764, 8)</f>
        <v>30825074.044045713</v>
      </c>
      <c r="H177" s="109">
        <f>VLOOKUP(A177, localcont!$D$10:$L$1764, 9)*F177</f>
        <v>42494333.762582392</v>
      </c>
    </row>
    <row r="178" spans="1:8">
      <c r="A178" s="7">
        <v>841</v>
      </c>
      <c r="B178" s="7">
        <v>169</v>
      </c>
      <c r="C178" s="7" t="s">
        <v>904</v>
      </c>
      <c r="D178" s="7">
        <v>169</v>
      </c>
      <c r="E178" s="7" t="s">
        <v>333</v>
      </c>
      <c r="F178" s="9">
        <f t="shared" si="2"/>
        <v>9913791</v>
      </c>
      <c r="G178" s="9">
        <f>VLOOKUP(A178, localcont!$D$10:$L$1764, 8)</f>
        <v>4343663.5149533721</v>
      </c>
      <c r="H178" s="109">
        <f>VLOOKUP(A178, localcont!$D$10:$L$1764, 9)*F178</f>
        <v>5382546.0564630041</v>
      </c>
    </row>
    <row r="179" spans="1:8">
      <c r="A179" s="7">
        <v>846</v>
      </c>
      <c r="B179" s="7">
        <v>170</v>
      </c>
      <c r="C179" s="7" t="s">
        <v>906</v>
      </c>
      <c r="D179" s="7">
        <v>170</v>
      </c>
      <c r="E179" s="7" t="s">
        <v>334</v>
      </c>
      <c r="F179" s="9">
        <f t="shared" si="2"/>
        <v>37455032</v>
      </c>
      <c r="G179" s="9">
        <f>VLOOKUP(A179, localcont!$D$10:$L$1764, 8)</f>
        <v>56761909.559497736</v>
      </c>
      <c r="H179" s="109">
        <f>VLOOKUP(A179, localcont!$D$10:$L$1764, 9)*F179</f>
        <v>33306108.754565857</v>
      </c>
    </row>
    <row r="180" spans="1:8">
      <c r="A180" s="7">
        <v>851</v>
      </c>
      <c r="B180" s="7">
        <v>171</v>
      </c>
      <c r="C180" s="7" t="s">
        <v>907</v>
      </c>
      <c r="D180" s="7">
        <v>171</v>
      </c>
      <c r="E180" s="7" t="s">
        <v>335</v>
      </c>
      <c r="F180" s="9">
        <f t="shared" si="2"/>
        <v>33835875</v>
      </c>
      <c r="G180" s="9">
        <f>VLOOKUP(A180, localcont!$D$10:$L$1764, 8)</f>
        <v>41036767.216783047</v>
      </c>
      <c r="H180" s="109">
        <f>VLOOKUP(A180, localcont!$D$10:$L$1764, 9)*F180</f>
        <v>33835875</v>
      </c>
    </row>
    <row r="181" spans="1:8">
      <c r="A181" s="7">
        <v>856</v>
      </c>
      <c r="B181" s="7">
        <v>172</v>
      </c>
      <c r="C181" s="7" t="s">
        <v>908</v>
      </c>
      <c r="D181" s="7">
        <v>172</v>
      </c>
      <c r="E181" s="7" t="s">
        <v>336</v>
      </c>
      <c r="F181" s="9">
        <f t="shared" si="2"/>
        <v>24983964</v>
      </c>
      <c r="G181" s="9">
        <f>VLOOKUP(A181, localcont!$D$10:$L$1764, 8)</f>
        <v>16431104.565356754</v>
      </c>
      <c r="H181" s="109">
        <f>VLOOKUP(A181, localcont!$D$10:$L$1764, 9)*F181</f>
        <v>23594602.55884311</v>
      </c>
    </row>
    <row r="182" spans="1:8">
      <c r="A182" s="7">
        <v>861</v>
      </c>
      <c r="B182" s="7">
        <v>173</v>
      </c>
      <c r="C182" s="7" t="s">
        <v>909</v>
      </c>
      <c r="D182" s="7">
        <v>173</v>
      </c>
      <c r="E182" s="7" t="s">
        <v>337</v>
      </c>
      <c r="F182" s="9">
        <f t="shared" si="2"/>
        <v>10902124</v>
      </c>
      <c r="G182" s="9">
        <f>VLOOKUP(A182, localcont!$D$10:$L$1764, 8)</f>
        <v>4222689.9150018794</v>
      </c>
      <c r="H182" s="109">
        <f>VLOOKUP(A182, localcont!$D$10:$L$1764, 9)*F182</f>
        <v>5258609.6232733941</v>
      </c>
    </row>
    <row r="183" spans="1:8">
      <c r="A183" s="7">
        <v>866</v>
      </c>
      <c r="B183" s="7">
        <v>174</v>
      </c>
      <c r="C183" s="7" t="s">
        <v>910</v>
      </c>
      <c r="D183" s="7">
        <v>174</v>
      </c>
      <c r="E183" s="7" t="s">
        <v>338</v>
      </c>
      <c r="F183" s="9">
        <f t="shared" si="2"/>
        <v>10385923</v>
      </c>
      <c r="G183" s="9">
        <f>VLOOKUP(A183, localcont!$D$10:$L$1764, 8)</f>
        <v>14745073.193424072</v>
      </c>
      <c r="H183" s="109">
        <f>VLOOKUP(A183, localcont!$D$10:$L$1764, 9)*F183</f>
        <v>9781413.7692350186</v>
      </c>
    </row>
    <row r="184" spans="1:8">
      <c r="A184" s="7">
        <v>871</v>
      </c>
      <c r="B184" s="7">
        <v>175</v>
      </c>
      <c r="C184" s="7" t="s">
        <v>911</v>
      </c>
      <c r="D184" s="7">
        <v>175</v>
      </c>
      <c r="E184" s="7" t="s">
        <v>339</v>
      </c>
      <c r="F184" s="9">
        <f t="shared" si="2"/>
        <v>24967537</v>
      </c>
      <c r="G184" s="9">
        <f>VLOOKUP(A184, localcont!$D$10:$L$1764, 8)</f>
        <v>23865982.219953917</v>
      </c>
      <c r="H184" s="109">
        <f>VLOOKUP(A184, localcont!$D$10:$L$1764, 9)*F184</f>
        <v>24763043.919897053</v>
      </c>
    </row>
    <row r="185" spans="1:8">
      <c r="A185" s="7">
        <v>876</v>
      </c>
      <c r="B185" s="7">
        <v>176</v>
      </c>
      <c r="C185" s="7" t="s">
        <v>914</v>
      </c>
      <c r="D185" s="7">
        <v>176</v>
      </c>
      <c r="E185" s="7" t="s">
        <v>340</v>
      </c>
      <c r="F185" s="9">
        <f t="shared" si="2"/>
        <v>59968450</v>
      </c>
      <c r="G185" s="9">
        <f>VLOOKUP(A185, localcont!$D$10:$L$1764, 8)</f>
        <v>54710623.722724512</v>
      </c>
      <c r="H185" s="109">
        <f>VLOOKUP(A185, localcont!$D$10:$L$1764, 9)*F185</f>
        <v>59968450</v>
      </c>
    </row>
    <row r="186" spans="1:8">
      <c r="A186" s="7">
        <v>881</v>
      </c>
      <c r="B186" s="7">
        <v>177</v>
      </c>
      <c r="C186" s="7" t="s">
        <v>915</v>
      </c>
      <c r="D186" s="7">
        <v>177</v>
      </c>
      <c r="E186" s="7" t="s">
        <v>341</v>
      </c>
      <c r="F186" s="9">
        <f t="shared" si="2"/>
        <v>15700137</v>
      </c>
      <c r="G186" s="9">
        <f>VLOOKUP(A186, localcont!$D$10:$L$1764, 8)</f>
        <v>22011641.938089047</v>
      </c>
      <c r="H186" s="109">
        <f>VLOOKUP(A186, localcont!$D$10:$L$1764, 9)*F186</f>
        <v>14931370.682943786</v>
      </c>
    </row>
    <row r="187" spans="1:8">
      <c r="A187" s="7">
        <v>886</v>
      </c>
      <c r="B187" s="7">
        <v>178</v>
      </c>
      <c r="C187" s="7" t="s">
        <v>916</v>
      </c>
      <c r="D187" s="7">
        <v>178</v>
      </c>
      <c r="E187" s="7" t="s">
        <v>78</v>
      </c>
      <c r="F187" s="9">
        <f t="shared" si="2"/>
        <v>33881341</v>
      </c>
      <c r="G187" s="9">
        <f>VLOOKUP(A187, localcont!$D$10:$L$1764, 8)</f>
        <v>37544107.266331017</v>
      </c>
      <c r="H187" s="109">
        <f>VLOOKUP(A187, localcont!$D$10:$L$1764, 9)*F187</f>
        <v>33133378.033783853</v>
      </c>
    </row>
    <row r="188" spans="1:8">
      <c r="A188" s="7">
        <v>891</v>
      </c>
      <c r="B188" s="7">
        <v>179</v>
      </c>
      <c r="C188" s="7" t="s">
        <v>917</v>
      </c>
      <c r="D188" s="7">
        <v>179</v>
      </c>
      <c r="E188" s="7" t="s">
        <v>342</v>
      </c>
      <c r="F188" s="9">
        <f t="shared" si="2"/>
        <v>7576527</v>
      </c>
      <c r="G188" s="9">
        <f>VLOOKUP(A188, localcont!$D$10:$L$1764, 8)</f>
        <v>94454.384875126823</v>
      </c>
      <c r="H188" s="109">
        <f>VLOOKUP(A188, localcont!$D$10:$L$1764, 9)*F188</f>
        <v>69317.735144601102</v>
      </c>
    </row>
    <row r="189" spans="1:8">
      <c r="A189" s="7">
        <v>896</v>
      </c>
      <c r="B189" s="7">
        <v>180</v>
      </c>
      <c r="C189" s="7" t="s">
        <v>919</v>
      </c>
      <c r="D189" s="7">
        <v>180</v>
      </c>
      <c r="E189" s="7" t="s">
        <v>343</v>
      </c>
      <c r="F189" s="9">
        <f t="shared" si="2"/>
        <v>5801551</v>
      </c>
      <c r="G189" s="9">
        <f>VLOOKUP(A189, localcont!$D$10:$L$1764, 8)</f>
        <v>80501.000061537285</v>
      </c>
      <c r="H189" s="109">
        <f>VLOOKUP(A189, localcont!$D$10:$L$1764, 9)*F189</f>
        <v>50725.391463320877</v>
      </c>
    </row>
    <row r="190" spans="1:8">
      <c r="A190" s="7">
        <v>901</v>
      </c>
      <c r="B190" s="7">
        <v>181</v>
      </c>
      <c r="C190" s="7" t="s">
        <v>920</v>
      </c>
      <c r="D190" s="7">
        <v>181</v>
      </c>
      <c r="E190" s="7" t="s">
        <v>344</v>
      </c>
      <c r="F190" s="9">
        <f t="shared" si="2"/>
        <v>38372720</v>
      </c>
      <c r="G190" s="9">
        <f>VLOOKUP(A190, localcont!$D$10:$L$1764, 8)</f>
        <v>76802334.286958128</v>
      </c>
      <c r="H190" s="109">
        <f>VLOOKUP(A190, localcont!$D$10:$L$1764, 9)*F190</f>
        <v>35606753.036920682</v>
      </c>
    </row>
    <row r="191" spans="1:8">
      <c r="A191" s="7">
        <v>906</v>
      </c>
      <c r="B191" s="7">
        <v>182</v>
      </c>
      <c r="C191" s="7" t="s">
        <v>921</v>
      </c>
      <c r="D191" s="7">
        <v>182</v>
      </c>
      <c r="E191" s="7" t="s">
        <v>345</v>
      </c>
      <c r="F191" s="9">
        <f t="shared" si="2"/>
        <v>17961437</v>
      </c>
      <c r="G191" s="9">
        <f>VLOOKUP(A191, localcont!$D$10:$L$1764, 8)</f>
        <v>29289460.260108851</v>
      </c>
      <c r="H191" s="109">
        <f>VLOOKUP(A191, localcont!$D$10:$L$1764, 9)*F191</f>
        <v>15465870.705284202</v>
      </c>
    </row>
    <row r="192" spans="1:8">
      <c r="A192" s="7">
        <v>911</v>
      </c>
      <c r="B192" s="7">
        <v>183</v>
      </c>
      <c r="C192" s="7" t="s">
        <v>922</v>
      </c>
      <c r="D192" s="7">
        <v>183</v>
      </c>
      <c r="E192" s="7" t="s">
        <v>346</v>
      </c>
      <c r="F192" s="9">
        <f t="shared" si="2"/>
        <v>363584</v>
      </c>
      <c r="G192" s="9">
        <f>VLOOKUP(A192, localcont!$D$10:$L$1764, 8)</f>
        <v>53667.33337435819</v>
      </c>
      <c r="H192" s="109">
        <f>VLOOKUP(A192, localcont!$D$10:$L$1764, 9)*F192</f>
        <v>45105.762437078862</v>
      </c>
    </row>
    <row r="193" spans="1:8">
      <c r="A193" s="7">
        <v>916</v>
      </c>
      <c r="B193" s="7">
        <v>184</v>
      </c>
      <c r="C193" s="7" t="s">
        <v>923</v>
      </c>
      <c r="D193" s="7">
        <v>184</v>
      </c>
      <c r="E193" s="7" t="s">
        <v>347</v>
      </c>
      <c r="F193" s="9">
        <f t="shared" si="2"/>
        <v>13071631</v>
      </c>
      <c r="G193" s="9">
        <f>VLOOKUP(A193, localcont!$D$10:$L$1764, 8)</f>
        <v>6172360.6719304342</v>
      </c>
      <c r="H193" s="109">
        <f>VLOOKUP(A193, localcont!$D$10:$L$1764, 9)*F193</f>
        <v>5967664.2797874594</v>
      </c>
    </row>
    <row r="194" spans="1:8">
      <c r="A194" s="7">
        <v>921</v>
      </c>
      <c r="B194" s="7">
        <v>185</v>
      </c>
      <c r="C194" s="7" t="s">
        <v>924</v>
      </c>
      <c r="D194" s="7">
        <v>185</v>
      </c>
      <c r="E194" s="7" t="s">
        <v>348</v>
      </c>
      <c r="F194" s="9">
        <f t="shared" si="2"/>
        <v>24356325</v>
      </c>
      <c r="G194" s="9">
        <f>VLOOKUP(A194, localcont!$D$10:$L$1764, 8)</f>
        <v>46388900.526972406</v>
      </c>
      <c r="H194" s="109">
        <f>VLOOKUP(A194, localcont!$D$10:$L$1764, 9)*F194</f>
        <v>23143448.214438625</v>
      </c>
    </row>
    <row r="195" spans="1:8">
      <c r="A195" s="7">
        <v>926</v>
      </c>
      <c r="B195" s="7">
        <v>186</v>
      </c>
      <c r="C195" s="7" t="s">
        <v>925</v>
      </c>
      <c r="D195" s="7">
        <v>186</v>
      </c>
      <c r="E195" s="7" t="s">
        <v>350</v>
      </c>
      <c r="F195" s="9">
        <f t="shared" si="2"/>
        <v>11222664</v>
      </c>
      <c r="G195" s="9">
        <f>VLOOKUP(A195, localcont!$D$10:$L$1764, 8)</f>
        <v>17780962.153000448</v>
      </c>
      <c r="H195" s="109">
        <f>VLOOKUP(A195, localcont!$D$10:$L$1764, 9)*F195</f>
        <v>10584475.112156402</v>
      </c>
    </row>
    <row r="196" spans="1:8">
      <c r="A196" s="7">
        <v>931</v>
      </c>
      <c r="B196" s="7">
        <v>187</v>
      </c>
      <c r="C196" s="7" t="s">
        <v>926</v>
      </c>
      <c r="D196" s="7">
        <v>187</v>
      </c>
      <c r="E196" s="7" t="s">
        <v>351</v>
      </c>
      <c r="F196" s="9">
        <f t="shared" si="2"/>
        <v>8815881</v>
      </c>
      <c r="G196" s="9">
        <f>VLOOKUP(A196, localcont!$D$10:$L$1764, 8)</f>
        <v>11737004.51467457</v>
      </c>
      <c r="H196" s="109">
        <f>VLOOKUP(A196, localcont!$D$10:$L$1764, 9)*F196</f>
        <v>8381949.5241971593</v>
      </c>
    </row>
    <row r="197" spans="1:8">
      <c r="A197" s="7">
        <v>936</v>
      </c>
      <c r="B197" s="7">
        <v>188</v>
      </c>
      <c r="C197" s="7" t="s">
        <v>927</v>
      </c>
      <c r="D197" s="7">
        <v>188</v>
      </c>
      <c r="E197" s="7" t="s">
        <v>352</v>
      </c>
      <c r="F197" s="9">
        <f t="shared" si="2"/>
        <v>2381335</v>
      </c>
      <c r="G197" s="9">
        <f>VLOOKUP(A197, localcont!$D$10:$L$1764, 8)</f>
        <v>93917.833405126818</v>
      </c>
      <c r="H197" s="109">
        <f>VLOOKUP(A197, localcont!$D$10:$L$1764, 9)*F197</f>
        <v>40656.35007938229</v>
      </c>
    </row>
    <row r="198" spans="1:8">
      <c r="A198" s="7">
        <v>941</v>
      </c>
      <c r="B198" s="7">
        <v>189</v>
      </c>
      <c r="C198" s="7" t="s">
        <v>928</v>
      </c>
      <c r="D198" s="7">
        <v>189</v>
      </c>
      <c r="E198" s="7" t="s">
        <v>353</v>
      </c>
      <c r="F198" s="9">
        <f t="shared" si="2"/>
        <v>43317791</v>
      </c>
      <c r="G198" s="9">
        <f>VLOOKUP(A198, localcont!$D$10:$L$1764, 8)</f>
        <v>39699383.469837926</v>
      </c>
      <c r="H198" s="109">
        <f>VLOOKUP(A198, localcont!$D$10:$L$1764, 9)*F198</f>
        <v>42420118.727859579</v>
      </c>
    </row>
    <row r="199" spans="1:8">
      <c r="A199" s="7">
        <v>946</v>
      </c>
      <c r="B199" s="7">
        <v>190</v>
      </c>
      <c r="C199" s="7" t="s">
        <v>929</v>
      </c>
      <c r="D199" s="7">
        <v>190</v>
      </c>
      <c r="E199" s="7" t="s">
        <v>354</v>
      </c>
      <c r="F199" s="9">
        <f t="shared" si="2"/>
        <v>102354</v>
      </c>
      <c r="G199" s="9">
        <f>VLOOKUP(A199, localcont!$D$10:$L$1764, 8)</f>
        <v>70057.67309236154</v>
      </c>
      <c r="H199" s="109">
        <f>VLOOKUP(A199, localcont!$D$10:$L$1764, 9)*F199</f>
        <v>43052.679401975089</v>
      </c>
    </row>
    <row r="200" spans="1:8">
      <c r="A200" s="7">
        <v>951</v>
      </c>
      <c r="B200" s="7">
        <v>191</v>
      </c>
      <c r="C200" s="7" t="s">
        <v>930</v>
      </c>
      <c r="D200" s="7">
        <v>191</v>
      </c>
      <c r="E200" s="7" t="s">
        <v>355</v>
      </c>
      <c r="F200" s="9">
        <f t="shared" si="2"/>
        <v>6070765</v>
      </c>
      <c r="G200" s="9">
        <f>VLOOKUP(A200, localcont!$D$10:$L$1764, 8)</f>
        <v>9765311.1307165027</v>
      </c>
      <c r="H200" s="109">
        <f>VLOOKUP(A200, localcont!$D$10:$L$1764, 9)*F200</f>
        <v>5200316.3832266927</v>
      </c>
    </row>
    <row r="201" spans="1:8">
      <c r="A201" s="7">
        <v>956</v>
      </c>
      <c r="B201" s="7">
        <v>192</v>
      </c>
      <c r="C201" s="7" t="s">
        <v>931</v>
      </c>
      <c r="D201" s="7">
        <v>192</v>
      </c>
      <c r="E201" s="7" t="s">
        <v>356</v>
      </c>
      <c r="F201" s="9">
        <f t="shared" si="2"/>
        <v>5501483</v>
      </c>
      <c r="G201" s="9">
        <f>VLOOKUP(A201, localcont!$D$10:$L$1764, 8)</f>
        <v>0</v>
      </c>
      <c r="H201" s="109">
        <f>VLOOKUP(A201, localcont!$D$10:$L$1764, 9)*F201</f>
        <v>0</v>
      </c>
    </row>
    <row r="202" spans="1:8">
      <c r="A202" s="7">
        <v>961</v>
      </c>
      <c r="B202" s="7">
        <v>193</v>
      </c>
      <c r="C202" s="7" t="s">
        <v>932</v>
      </c>
      <c r="D202" s="7">
        <v>193</v>
      </c>
      <c r="E202" s="7" t="s">
        <v>357</v>
      </c>
      <c r="F202" s="9">
        <f t="shared" ref="F202:F265" si="3">VLOOKUP(D202, town351, 7)</f>
        <v>2268839</v>
      </c>
      <c r="G202" s="9">
        <f>VLOOKUP(A202, localcont!$D$10:$L$1764, 8)</f>
        <v>0</v>
      </c>
      <c r="H202" s="109">
        <f>VLOOKUP(A202, localcont!$D$10:$L$1764, 9)*F202</f>
        <v>0</v>
      </c>
    </row>
    <row r="203" spans="1:8">
      <c r="A203" s="7">
        <v>966</v>
      </c>
      <c r="B203" s="7">
        <v>194</v>
      </c>
      <c r="C203" s="7" t="s">
        <v>933</v>
      </c>
      <c r="D203" s="7">
        <v>194</v>
      </c>
      <c r="E203" s="7" t="s">
        <v>358</v>
      </c>
      <c r="F203" s="9">
        <f t="shared" si="3"/>
        <v>881152</v>
      </c>
      <c r="G203" s="9">
        <f>VLOOKUP(A203, localcont!$D$10:$L$1764, 8)</f>
        <v>80501.000061537285</v>
      </c>
      <c r="H203" s="109">
        <f>VLOOKUP(A203, localcont!$D$10:$L$1764, 9)*F203</f>
        <v>90114.230698012689</v>
      </c>
    </row>
    <row r="204" spans="1:8">
      <c r="A204" s="7">
        <v>971</v>
      </c>
      <c r="B204" s="7">
        <v>195</v>
      </c>
      <c r="C204" s="7" t="s">
        <v>934</v>
      </c>
      <c r="D204" s="7">
        <v>195</v>
      </c>
      <c r="E204" s="7" t="s">
        <v>359</v>
      </c>
      <c r="F204" s="9">
        <f t="shared" si="3"/>
        <v>342307</v>
      </c>
      <c r="G204" s="9">
        <f>VLOOKUP(A204, localcont!$D$10:$L$1764, 8)</f>
        <v>32643.359126604621</v>
      </c>
      <c r="H204" s="109">
        <f>VLOOKUP(A204, localcont!$D$10:$L$1764, 9)*F204</f>
        <v>342307</v>
      </c>
    </row>
    <row r="205" spans="1:8">
      <c r="A205" s="7">
        <v>976</v>
      </c>
      <c r="B205" s="7">
        <v>196</v>
      </c>
      <c r="C205" s="7" t="s">
        <v>935</v>
      </c>
      <c r="D205" s="7">
        <v>196</v>
      </c>
      <c r="E205" s="7" t="s">
        <v>360</v>
      </c>
      <c r="F205" s="9">
        <f t="shared" si="3"/>
        <v>6411149</v>
      </c>
      <c r="G205" s="9">
        <f>VLOOKUP(A205, localcont!$D$10:$L$1764, 8)</f>
        <v>2576635.3961993451</v>
      </c>
      <c r="H205" s="109">
        <f>VLOOKUP(A205, localcont!$D$10:$L$1764, 9)*F205</f>
        <v>6182149.8162592333</v>
      </c>
    </row>
    <row r="206" spans="1:8">
      <c r="A206" s="7">
        <v>981</v>
      </c>
      <c r="B206" s="7">
        <v>197</v>
      </c>
      <c r="C206" s="7" t="s">
        <v>936</v>
      </c>
      <c r="D206" s="7">
        <v>197</v>
      </c>
      <c r="E206" s="7" t="s">
        <v>361</v>
      </c>
      <c r="F206" s="9">
        <f t="shared" si="3"/>
        <v>85848357</v>
      </c>
      <c r="G206" s="9">
        <f>VLOOKUP(A206, localcont!$D$10:$L$1764, 8)</f>
        <v>16351990.158213655</v>
      </c>
      <c r="H206" s="109">
        <f>VLOOKUP(A206, localcont!$D$10:$L$1764, 9)*F206</f>
        <v>85848357</v>
      </c>
    </row>
    <row r="207" spans="1:8">
      <c r="A207" s="7">
        <v>986</v>
      </c>
      <c r="B207" s="7">
        <v>198</v>
      </c>
      <c r="C207" s="7" t="s">
        <v>937</v>
      </c>
      <c r="D207" s="7">
        <v>198</v>
      </c>
      <c r="E207" s="7" t="s">
        <v>362</v>
      </c>
      <c r="F207" s="9">
        <f t="shared" si="3"/>
        <v>55347797</v>
      </c>
      <c r="G207" s="9">
        <f>VLOOKUP(A207, localcont!$D$10:$L$1764, 8)</f>
        <v>53048542.559902228</v>
      </c>
      <c r="H207" s="109">
        <f>VLOOKUP(A207, localcont!$D$10:$L$1764, 9)*F207</f>
        <v>54218560.358602434</v>
      </c>
    </row>
    <row r="208" spans="1:8">
      <c r="A208" s="7">
        <v>991</v>
      </c>
      <c r="B208" s="7">
        <v>199</v>
      </c>
      <c r="C208" s="7" t="s">
        <v>939</v>
      </c>
      <c r="D208" s="7">
        <v>199</v>
      </c>
      <c r="E208" s="7" t="s">
        <v>363</v>
      </c>
      <c r="F208" s="9">
        <f t="shared" si="3"/>
        <v>79074217</v>
      </c>
      <c r="G208" s="9">
        <f>VLOOKUP(A208, localcont!$D$10:$L$1764, 8)</f>
        <v>54000176.557778552</v>
      </c>
      <c r="H208" s="109">
        <f>VLOOKUP(A208, localcont!$D$10:$L$1764, 9)*F208</f>
        <v>78395105.357081518</v>
      </c>
    </row>
    <row r="209" spans="1:8">
      <c r="A209" s="7">
        <v>996</v>
      </c>
      <c r="B209" s="7">
        <v>200</v>
      </c>
      <c r="C209" s="7" t="s">
        <v>940</v>
      </c>
      <c r="D209" s="7">
        <v>200</v>
      </c>
      <c r="E209" s="7" t="s">
        <v>364</v>
      </c>
      <c r="F209" s="9">
        <f t="shared" si="3"/>
        <v>225739</v>
      </c>
      <c r="G209" s="9">
        <f>VLOOKUP(A209, localcont!$D$10:$L$1764, 8)</f>
        <v>288557.29529165302</v>
      </c>
      <c r="H209" s="109">
        <f>VLOOKUP(A209, localcont!$D$10:$L$1764, 9)*F209</f>
        <v>225739</v>
      </c>
    </row>
    <row r="210" spans="1:8">
      <c r="A210" s="7">
        <v>1001</v>
      </c>
      <c r="B210" s="7">
        <v>201</v>
      </c>
      <c r="C210" s="7" t="s">
        <v>941</v>
      </c>
      <c r="D210" s="7">
        <v>201</v>
      </c>
      <c r="E210" s="7" t="s">
        <v>365</v>
      </c>
      <c r="F210" s="9">
        <f t="shared" si="3"/>
        <v>41779320</v>
      </c>
      <c r="G210" s="9">
        <f>VLOOKUP(A210, localcont!$D$10:$L$1764, 8)</f>
        <v>165003222.23219585</v>
      </c>
      <c r="H210" s="109">
        <f>VLOOKUP(A210, localcont!$D$10:$L$1764, 9)*F210</f>
        <v>35788739.611570738</v>
      </c>
    </row>
    <row r="211" spans="1:8">
      <c r="A211" s="7">
        <v>1006</v>
      </c>
      <c r="B211" s="7">
        <v>202</v>
      </c>
      <c r="C211" s="7" t="s">
        <v>942</v>
      </c>
      <c r="D211" s="7">
        <v>202</v>
      </c>
      <c r="E211" s="7" t="s">
        <v>366</v>
      </c>
      <c r="F211" s="9">
        <f t="shared" si="3"/>
        <v>913671</v>
      </c>
      <c r="G211" s="9">
        <f>VLOOKUP(A211, localcont!$D$10:$L$1764, 8)</f>
        <v>0</v>
      </c>
      <c r="H211" s="109">
        <f>VLOOKUP(A211, localcont!$D$10:$L$1764, 9)*F211</f>
        <v>0</v>
      </c>
    </row>
    <row r="212" spans="1:8">
      <c r="A212" s="7">
        <v>1011</v>
      </c>
      <c r="B212" s="7">
        <v>203</v>
      </c>
      <c r="C212" s="7" t="s">
        <v>943</v>
      </c>
      <c r="D212" s="7">
        <v>203</v>
      </c>
      <c r="E212" s="7" t="s">
        <v>64</v>
      </c>
      <c r="F212" s="9">
        <f t="shared" si="3"/>
        <v>10525774</v>
      </c>
      <c r="G212" s="9">
        <f>VLOOKUP(A212, localcont!$D$10:$L$1764, 8)</f>
        <v>82603.405821537279</v>
      </c>
      <c r="H212" s="109">
        <f>VLOOKUP(A212, localcont!$D$10:$L$1764, 9)*F212</f>
        <v>113347.11517269796</v>
      </c>
    </row>
    <row r="213" spans="1:8">
      <c r="A213" s="7">
        <v>1016</v>
      </c>
      <c r="B213" s="7">
        <v>204</v>
      </c>
      <c r="C213" s="7" t="s">
        <v>945</v>
      </c>
      <c r="D213" s="7">
        <v>204</v>
      </c>
      <c r="E213" s="7" t="s">
        <v>367</v>
      </c>
      <c r="F213" s="9">
        <f t="shared" si="3"/>
        <v>27568756</v>
      </c>
      <c r="G213" s="9">
        <f>VLOOKUP(A213, localcont!$D$10:$L$1764, 8)</f>
        <v>22572192.428649735</v>
      </c>
      <c r="H213" s="109">
        <f>VLOOKUP(A213, localcont!$D$10:$L$1764, 9)*F213</f>
        <v>26954297.789583478</v>
      </c>
    </row>
    <row r="214" spans="1:8">
      <c r="A214" s="7">
        <v>1021</v>
      </c>
      <c r="B214" s="7">
        <v>205</v>
      </c>
      <c r="C214" s="7" t="s">
        <v>946</v>
      </c>
      <c r="D214" s="7">
        <v>205</v>
      </c>
      <c r="E214" s="7" t="s">
        <v>368</v>
      </c>
      <c r="F214" s="9">
        <f t="shared" si="3"/>
        <v>2540668</v>
      </c>
      <c r="G214" s="9">
        <f>VLOOKUP(A214, localcont!$D$10:$L$1764, 8)</f>
        <v>0</v>
      </c>
      <c r="H214" s="109">
        <f>VLOOKUP(A214, localcont!$D$10:$L$1764, 9)*F214</f>
        <v>0</v>
      </c>
    </row>
    <row r="215" spans="1:8">
      <c r="A215" s="7">
        <v>1026</v>
      </c>
      <c r="B215" s="7">
        <v>206</v>
      </c>
      <c r="C215" s="7" t="s">
        <v>947</v>
      </c>
      <c r="D215" s="7">
        <v>206</v>
      </c>
      <c r="E215" s="7" t="s">
        <v>369</v>
      </c>
      <c r="F215" s="9">
        <f t="shared" si="3"/>
        <v>741265</v>
      </c>
      <c r="G215" s="9">
        <f>VLOOKUP(A215, localcont!$D$10:$L$1764, 8)</f>
        <v>13416.833343589547</v>
      </c>
      <c r="H215" s="109">
        <f>VLOOKUP(A215, localcont!$D$10:$L$1764, 9)*F215</f>
        <v>7283.0977337718869</v>
      </c>
    </row>
    <row r="216" spans="1:8">
      <c r="A216" s="7">
        <v>1031</v>
      </c>
      <c r="B216" s="7">
        <v>207</v>
      </c>
      <c r="C216" s="7" t="s">
        <v>950</v>
      </c>
      <c r="D216" s="7">
        <v>207</v>
      </c>
      <c r="E216" s="7" t="s">
        <v>370</v>
      </c>
      <c r="F216" s="9">
        <f t="shared" si="3"/>
        <v>240446690</v>
      </c>
      <c r="G216" s="9">
        <f>VLOOKUP(A216, localcont!$D$10:$L$1764, 8)</f>
        <v>131452274.44548996</v>
      </c>
      <c r="H216" s="109">
        <f>VLOOKUP(A216, localcont!$D$10:$L$1764, 9)*F216</f>
        <v>240446690</v>
      </c>
    </row>
    <row r="217" spans="1:8">
      <c r="A217" s="7">
        <v>1036</v>
      </c>
      <c r="B217" s="7">
        <v>208</v>
      </c>
      <c r="C217" s="7" t="s">
        <v>951</v>
      </c>
      <c r="D217" s="7">
        <v>208</v>
      </c>
      <c r="E217" s="7" t="s">
        <v>371</v>
      </c>
      <c r="F217" s="9">
        <f t="shared" si="3"/>
        <v>14512881</v>
      </c>
      <c r="G217" s="9">
        <f>VLOOKUP(A217, localcont!$D$10:$L$1764, 8)</f>
        <v>8254868.1418577991</v>
      </c>
      <c r="H217" s="109">
        <f>VLOOKUP(A217, localcont!$D$10:$L$1764, 9)*F217</f>
        <v>7321291.998117052</v>
      </c>
    </row>
    <row r="218" spans="1:8">
      <c r="A218" s="7">
        <v>1041</v>
      </c>
      <c r="B218" s="7">
        <v>209</v>
      </c>
      <c r="C218" s="7" t="s">
        <v>953</v>
      </c>
      <c r="D218" s="7">
        <v>209</v>
      </c>
      <c r="E218" s="7" t="s">
        <v>372</v>
      </c>
      <c r="F218" s="9">
        <f t="shared" si="3"/>
        <v>5708049</v>
      </c>
      <c r="G218" s="9">
        <f>VLOOKUP(A218, localcont!$D$10:$L$1764, 8)</f>
        <v>17145309.629568465</v>
      </c>
      <c r="H218" s="109">
        <f>VLOOKUP(A218, localcont!$D$10:$L$1764, 9)*F218</f>
        <v>5049636.2927734898</v>
      </c>
    </row>
    <row r="219" spans="1:8">
      <c r="A219" s="7">
        <v>1046</v>
      </c>
      <c r="B219" s="7">
        <v>210</v>
      </c>
      <c r="C219" s="7" t="s">
        <v>954</v>
      </c>
      <c r="D219" s="7">
        <v>210</v>
      </c>
      <c r="E219" s="7" t="s">
        <v>374</v>
      </c>
      <c r="F219" s="9">
        <f t="shared" si="3"/>
        <v>25808691</v>
      </c>
      <c r="G219" s="9">
        <f>VLOOKUP(A219, localcont!$D$10:$L$1764, 8)</f>
        <v>27919380.14575414</v>
      </c>
      <c r="H219" s="109">
        <f>VLOOKUP(A219, localcont!$D$10:$L$1764, 9)*F219</f>
        <v>23885050.745701503</v>
      </c>
    </row>
    <row r="220" spans="1:8">
      <c r="A220" s="7">
        <v>1051</v>
      </c>
      <c r="B220" s="7">
        <v>211</v>
      </c>
      <c r="C220" s="7" t="s">
        <v>957</v>
      </c>
      <c r="D220" s="7">
        <v>211</v>
      </c>
      <c r="E220" s="7" t="s">
        <v>375</v>
      </c>
      <c r="F220" s="9">
        <f t="shared" si="3"/>
        <v>39561603</v>
      </c>
      <c r="G220" s="9">
        <f>VLOOKUP(A220, localcont!$D$10:$L$1764, 8)</f>
        <v>46314260.801910989</v>
      </c>
      <c r="H220" s="109">
        <f>VLOOKUP(A220, localcont!$D$10:$L$1764, 9)*F220</f>
        <v>39178106.108424753</v>
      </c>
    </row>
    <row r="221" spans="1:8">
      <c r="A221" s="7">
        <v>1056</v>
      </c>
      <c r="B221" s="7">
        <v>212</v>
      </c>
      <c r="C221" s="7" t="s">
        <v>958</v>
      </c>
      <c r="D221" s="7">
        <v>212</v>
      </c>
      <c r="E221" s="7" t="s">
        <v>376</v>
      </c>
      <c r="F221" s="9">
        <f t="shared" si="3"/>
        <v>29590589</v>
      </c>
      <c r="G221" s="9">
        <f>VLOOKUP(A221, localcont!$D$10:$L$1764, 8)</f>
        <v>42205783.552439779</v>
      </c>
      <c r="H221" s="109">
        <f>VLOOKUP(A221, localcont!$D$10:$L$1764, 9)*F221</f>
        <v>25968684.891902156</v>
      </c>
    </row>
    <row r="222" spans="1:8">
      <c r="A222" s="7">
        <v>1061</v>
      </c>
      <c r="B222" s="7">
        <v>213</v>
      </c>
      <c r="C222" s="7" t="s">
        <v>959</v>
      </c>
      <c r="D222" s="7">
        <v>213</v>
      </c>
      <c r="E222" s="7" t="s">
        <v>377</v>
      </c>
      <c r="F222" s="9">
        <f t="shared" si="3"/>
        <v>20692860</v>
      </c>
      <c r="G222" s="9">
        <f>VLOOKUP(A222, localcont!$D$10:$L$1764, 8)</f>
        <v>15015400.577264598</v>
      </c>
      <c r="H222" s="109">
        <f>VLOOKUP(A222, localcont!$D$10:$L$1764, 9)*F222</f>
        <v>12546837.289999932</v>
      </c>
    </row>
    <row r="223" spans="1:8">
      <c r="A223" s="7">
        <v>1066</v>
      </c>
      <c r="B223" s="7">
        <v>214</v>
      </c>
      <c r="C223" s="7" t="s">
        <v>961</v>
      </c>
      <c r="D223" s="7">
        <v>214</v>
      </c>
      <c r="E223" s="7" t="s">
        <v>378</v>
      </c>
      <c r="F223" s="9">
        <f t="shared" si="3"/>
        <v>12915710</v>
      </c>
      <c r="G223" s="9">
        <f>VLOOKUP(A223, localcont!$D$10:$L$1764, 8)</f>
        <v>23615219.37740108</v>
      </c>
      <c r="H223" s="109">
        <f>VLOOKUP(A223, localcont!$D$10:$L$1764, 9)*F223</f>
        <v>11806010.626410423</v>
      </c>
    </row>
    <row r="224" spans="1:8">
      <c r="A224" s="7">
        <v>1071</v>
      </c>
      <c r="B224" s="7">
        <v>215</v>
      </c>
      <c r="C224" s="7" t="s">
        <v>962</v>
      </c>
      <c r="D224" s="7">
        <v>215</v>
      </c>
      <c r="E224" s="7" t="s">
        <v>379</v>
      </c>
      <c r="F224" s="9">
        <f t="shared" si="3"/>
        <v>3108987</v>
      </c>
      <c r="G224" s="9">
        <f>VLOOKUP(A224, localcont!$D$10:$L$1764, 8)</f>
        <v>6199650.4699848695</v>
      </c>
      <c r="H224" s="109">
        <f>VLOOKUP(A224, localcont!$D$10:$L$1764, 9)*F224</f>
        <v>2788426.0375353312</v>
      </c>
    </row>
    <row r="225" spans="1:8">
      <c r="A225" s="7">
        <v>1076</v>
      </c>
      <c r="B225" s="7">
        <v>216</v>
      </c>
      <c r="C225" s="7" t="s">
        <v>963</v>
      </c>
      <c r="D225" s="7">
        <v>216</v>
      </c>
      <c r="E225" s="7" t="s">
        <v>380</v>
      </c>
      <c r="F225" s="9">
        <f t="shared" si="3"/>
        <v>2838646</v>
      </c>
      <c r="G225" s="9">
        <f>VLOOKUP(A225, localcont!$D$10:$L$1764, 8)</f>
        <v>0</v>
      </c>
      <c r="H225" s="109">
        <f>VLOOKUP(A225, localcont!$D$10:$L$1764, 9)*F225</f>
        <v>0</v>
      </c>
    </row>
    <row r="226" spans="1:8">
      <c r="A226" s="7">
        <v>1081</v>
      </c>
      <c r="B226" s="7">
        <v>217</v>
      </c>
      <c r="C226" s="7" t="s">
        <v>964</v>
      </c>
      <c r="D226" s="7">
        <v>217</v>
      </c>
      <c r="E226" s="7" t="s">
        <v>381</v>
      </c>
      <c r="F226" s="9">
        <f t="shared" si="3"/>
        <v>22686067</v>
      </c>
      <c r="G226" s="9">
        <f>VLOOKUP(A226, localcont!$D$10:$L$1764, 8)</f>
        <v>23960205.841541711</v>
      </c>
      <c r="H226" s="109">
        <f>VLOOKUP(A226, localcont!$D$10:$L$1764, 9)*F226</f>
        <v>22168524.125815418</v>
      </c>
    </row>
    <row r="227" spans="1:8">
      <c r="A227" s="7">
        <v>1086</v>
      </c>
      <c r="B227" s="7">
        <v>218</v>
      </c>
      <c r="C227" s="7" t="s">
        <v>965</v>
      </c>
      <c r="D227" s="7">
        <v>218</v>
      </c>
      <c r="E227" s="7" t="s">
        <v>382</v>
      </c>
      <c r="F227" s="9">
        <f t="shared" si="3"/>
        <v>17184788</v>
      </c>
      <c r="G227" s="9">
        <f>VLOOKUP(A227, localcont!$D$10:$L$1764, 8)</f>
        <v>24605799.037226401</v>
      </c>
      <c r="H227" s="109">
        <f>VLOOKUP(A227, localcont!$D$10:$L$1764, 9)*F227</f>
        <v>16099007.540409382</v>
      </c>
    </row>
    <row r="228" spans="1:8">
      <c r="A228" s="7">
        <v>1091</v>
      </c>
      <c r="B228" s="7">
        <v>219</v>
      </c>
      <c r="C228" s="7" t="s">
        <v>967</v>
      </c>
      <c r="D228" s="7">
        <v>219</v>
      </c>
      <c r="E228" s="7" t="s">
        <v>383</v>
      </c>
      <c r="F228" s="9">
        <f t="shared" si="3"/>
        <v>21486150</v>
      </c>
      <c r="G228" s="9">
        <f>VLOOKUP(A228, localcont!$D$10:$L$1764, 8)</f>
        <v>20701123.007093545</v>
      </c>
      <c r="H228" s="109">
        <f>VLOOKUP(A228, localcont!$D$10:$L$1764, 9)*F228</f>
        <v>21235853.271484267</v>
      </c>
    </row>
    <row r="229" spans="1:8">
      <c r="A229" s="7">
        <v>1096</v>
      </c>
      <c r="B229" s="7">
        <v>220</v>
      </c>
      <c r="C229" s="7" t="s">
        <v>968</v>
      </c>
      <c r="D229" s="7">
        <v>220</v>
      </c>
      <c r="E229" s="7" t="s">
        <v>384</v>
      </c>
      <c r="F229" s="9">
        <f t="shared" si="3"/>
        <v>34685433</v>
      </c>
      <c r="G229" s="9">
        <f>VLOOKUP(A229, localcont!$D$10:$L$1764, 8)</f>
        <v>36598980.152771384</v>
      </c>
      <c r="H229" s="109">
        <f>VLOOKUP(A229, localcont!$D$10:$L$1764, 9)*F229</f>
        <v>33670097.824103288</v>
      </c>
    </row>
    <row r="230" spans="1:8">
      <c r="A230" s="7">
        <v>1101</v>
      </c>
      <c r="B230" s="7">
        <v>221</v>
      </c>
      <c r="C230" s="7" t="s">
        <v>969</v>
      </c>
      <c r="D230" s="7">
        <v>221</v>
      </c>
      <c r="E230" s="7" t="s">
        <v>385</v>
      </c>
      <c r="F230" s="9">
        <f t="shared" si="3"/>
        <v>11426468</v>
      </c>
      <c r="G230" s="9">
        <f>VLOOKUP(A230, localcont!$D$10:$L$1764, 8)</f>
        <v>4614741.4748551529</v>
      </c>
      <c r="H230" s="109">
        <f>VLOOKUP(A230, localcont!$D$10:$L$1764, 9)*F230</f>
        <v>7605397.8612644132</v>
      </c>
    </row>
    <row r="231" spans="1:8">
      <c r="A231" s="7">
        <v>1106</v>
      </c>
      <c r="B231" s="7">
        <v>222</v>
      </c>
      <c r="C231" s="7" t="s">
        <v>971</v>
      </c>
      <c r="D231" s="7">
        <v>222</v>
      </c>
      <c r="E231" s="7" t="s">
        <v>386</v>
      </c>
      <c r="F231" s="9">
        <f t="shared" si="3"/>
        <v>1644278</v>
      </c>
      <c r="G231" s="9">
        <f>VLOOKUP(A231, localcont!$D$10:$L$1764, 8)</f>
        <v>13416.833343589547</v>
      </c>
      <c r="H231" s="109">
        <f>VLOOKUP(A231, localcont!$D$10:$L$1764, 9)*F231</f>
        <v>8235.7467702350041</v>
      </c>
    </row>
    <row r="232" spans="1:8">
      <c r="A232" s="7">
        <v>1111</v>
      </c>
      <c r="B232" s="7">
        <v>223</v>
      </c>
      <c r="C232" s="7" t="s">
        <v>972</v>
      </c>
      <c r="D232" s="7">
        <v>223</v>
      </c>
      <c r="E232" s="7" t="s">
        <v>387</v>
      </c>
      <c r="F232" s="9">
        <f t="shared" si="3"/>
        <v>3735676</v>
      </c>
      <c r="G232" s="9">
        <f>VLOOKUP(A232, localcont!$D$10:$L$1764, 8)</f>
        <v>6801556.0005172687</v>
      </c>
      <c r="H232" s="109">
        <f>VLOOKUP(A232, localcont!$D$10:$L$1764, 9)*F232</f>
        <v>1875134.3538906465</v>
      </c>
    </row>
    <row r="233" spans="1:8">
      <c r="A233" s="7">
        <v>1116</v>
      </c>
      <c r="B233" s="7">
        <v>224</v>
      </c>
      <c r="C233" s="7" t="s">
        <v>973</v>
      </c>
      <c r="D233" s="7">
        <v>224</v>
      </c>
      <c r="E233" s="7" t="s">
        <v>388</v>
      </c>
      <c r="F233" s="9">
        <f t="shared" si="3"/>
        <v>18045730</v>
      </c>
      <c r="G233" s="9">
        <f>VLOOKUP(A233, localcont!$D$10:$L$1764, 8)</f>
        <v>2186402.5084648258</v>
      </c>
      <c r="H233" s="109">
        <f>VLOOKUP(A233, localcont!$D$10:$L$1764, 9)*F233</f>
        <v>8092559.571979993</v>
      </c>
    </row>
    <row r="234" spans="1:8">
      <c r="A234" s="7">
        <v>1121</v>
      </c>
      <c r="B234" s="7">
        <v>225</v>
      </c>
      <c r="C234" s="7" t="s">
        <v>983</v>
      </c>
      <c r="D234" s="7">
        <v>225</v>
      </c>
      <c r="E234" s="7" t="s">
        <v>389</v>
      </c>
      <c r="F234" s="9">
        <f t="shared" si="3"/>
        <v>2958151</v>
      </c>
      <c r="G234" s="9">
        <f>VLOOKUP(A234, localcont!$D$10:$L$1764, 8)</f>
        <v>0</v>
      </c>
      <c r="H234" s="109">
        <f>VLOOKUP(A234, localcont!$D$10:$L$1764, 9)*F234</f>
        <v>0</v>
      </c>
    </row>
    <row r="235" spans="1:8">
      <c r="A235" s="7">
        <v>1126</v>
      </c>
      <c r="B235" s="7">
        <v>226</v>
      </c>
      <c r="C235" s="7" t="s">
        <v>985</v>
      </c>
      <c r="D235" s="7">
        <v>226</v>
      </c>
      <c r="E235" s="7" t="s">
        <v>390</v>
      </c>
      <c r="F235" s="9">
        <f t="shared" si="3"/>
        <v>10139744</v>
      </c>
      <c r="G235" s="9">
        <f>VLOOKUP(A235, localcont!$D$10:$L$1764, 8)</f>
        <v>18658337.210024625</v>
      </c>
      <c r="H235" s="109">
        <f>VLOOKUP(A235, localcont!$D$10:$L$1764, 9)*F235</f>
        <v>8887419.1244123168</v>
      </c>
    </row>
    <row r="236" spans="1:8">
      <c r="A236" s="7">
        <v>1131</v>
      </c>
      <c r="B236" s="7">
        <v>227</v>
      </c>
      <c r="C236" s="7" t="s">
        <v>986</v>
      </c>
      <c r="D236" s="7">
        <v>227</v>
      </c>
      <c r="E236" s="7" t="s">
        <v>391</v>
      </c>
      <c r="F236" s="9">
        <f t="shared" si="3"/>
        <v>7518133</v>
      </c>
      <c r="G236" s="9">
        <f>VLOOKUP(A236, localcont!$D$10:$L$1764, 8)</f>
        <v>15937384.115527295</v>
      </c>
      <c r="H236" s="109">
        <f>VLOOKUP(A236, localcont!$D$10:$L$1764, 9)*F236</f>
        <v>6536281.1750836726</v>
      </c>
    </row>
    <row r="237" spans="1:8">
      <c r="A237" s="7">
        <v>1136</v>
      </c>
      <c r="B237" s="7">
        <v>228</v>
      </c>
      <c r="C237" s="7" t="s">
        <v>987</v>
      </c>
      <c r="D237" s="7">
        <v>228</v>
      </c>
      <c r="E237" s="7" t="s">
        <v>392</v>
      </c>
      <c r="F237" s="9">
        <f t="shared" si="3"/>
        <v>4246847</v>
      </c>
      <c r="G237" s="9">
        <f>VLOOKUP(A237, localcont!$D$10:$L$1764, 8)</f>
        <v>0</v>
      </c>
      <c r="H237" s="109">
        <f>VLOOKUP(A237, localcont!$D$10:$L$1764, 9)*F237</f>
        <v>0</v>
      </c>
    </row>
    <row r="238" spans="1:8">
      <c r="A238" s="7">
        <v>1141</v>
      </c>
      <c r="B238" s="7">
        <v>229</v>
      </c>
      <c r="C238" s="7" t="s">
        <v>990</v>
      </c>
      <c r="D238" s="7">
        <v>229</v>
      </c>
      <c r="E238" s="7" t="s">
        <v>393</v>
      </c>
      <c r="F238" s="9">
        <f t="shared" si="3"/>
        <v>48501487</v>
      </c>
      <c r="G238" s="9">
        <f>VLOOKUP(A238, localcont!$D$10:$L$1764, 8)</f>
        <v>63749465.754188508</v>
      </c>
      <c r="H238" s="109">
        <f>VLOOKUP(A238, localcont!$D$10:$L$1764, 9)*F238</f>
        <v>45408224.705688968</v>
      </c>
    </row>
    <row r="239" spans="1:8">
      <c r="A239" s="7">
        <v>1146</v>
      </c>
      <c r="B239" s="7">
        <v>230</v>
      </c>
      <c r="C239" s="7" t="s">
        <v>991</v>
      </c>
      <c r="D239" s="7">
        <v>230</v>
      </c>
      <c r="E239" s="7" t="s">
        <v>394</v>
      </c>
      <c r="F239" s="9">
        <f t="shared" si="3"/>
        <v>1316834</v>
      </c>
      <c r="G239" s="9">
        <f>VLOOKUP(A239, localcont!$D$10:$L$1764, 8)</f>
        <v>830020.58176676114</v>
      </c>
      <c r="H239" s="109">
        <f>VLOOKUP(A239, localcont!$D$10:$L$1764, 9)*F239</f>
        <v>706825.18876269262</v>
      </c>
    </row>
    <row r="240" spans="1:8">
      <c r="A240" s="7">
        <v>1151</v>
      </c>
      <c r="B240" s="7">
        <v>231</v>
      </c>
      <c r="C240" s="7" t="s">
        <v>1000</v>
      </c>
      <c r="D240" s="7">
        <v>231</v>
      </c>
      <c r="E240" s="7" t="s">
        <v>395</v>
      </c>
      <c r="F240" s="9">
        <f t="shared" si="3"/>
        <v>18930094</v>
      </c>
      <c r="G240" s="9">
        <f>VLOOKUP(A240, localcont!$D$10:$L$1764, 8)</f>
        <v>30076801.769575488</v>
      </c>
      <c r="H240" s="109">
        <f>VLOOKUP(A240, localcont!$D$10:$L$1764, 9)*F240</f>
        <v>18930094</v>
      </c>
    </row>
    <row r="241" spans="1:8">
      <c r="A241" s="7">
        <v>1156</v>
      </c>
      <c r="B241" s="7">
        <v>232</v>
      </c>
      <c r="C241" s="7" t="s">
        <v>1001</v>
      </c>
      <c r="D241" s="7">
        <v>232</v>
      </c>
      <c r="E241" s="7" t="s">
        <v>396</v>
      </c>
      <c r="F241" s="9">
        <f t="shared" si="3"/>
        <v>10024225</v>
      </c>
      <c r="G241" s="9">
        <f>VLOOKUP(A241, localcont!$D$10:$L$1764, 8)</f>
        <v>0</v>
      </c>
      <c r="H241" s="109">
        <f>VLOOKUP(A241, localcont!$D$10:$L$1764, 9)*F241</f>
        <v>0</v>
      </c>
    </row>
    <row r="242" spans="1:8">
      <c r="A242" s="7">
        <v>1161</v>
      </c>
      <c r="B242" s="7">
        <v>233</v>
      </c>
      <c r="C242" s="7" t="s">
        <v>1002</v>
      </c>
      <c r="D242" s="7">
        <v>233</v>
      </c>
      <c r="E242" s="7" t="s">
        <v>397</v>
      </c>
      <c r="F242" s="9">
        <f t="shared" si="3"/>
        <v>528653</v>
      </c>
      <c r="G242" s="9">
        <f>VLOOKUP(A242, localcont!$D$10:$L$1764, 8)</f>
        <v>107334.66674871638</v>
      </c>
      <c r="H242" s="109">
        <f>VLOOKUP(A242, localcont!$D$10:$L$1764, 9)*F242</f>
        <v>47035.944315623434</v>
      </c>
    </row>
    <row r="243" spans="1:8">
      <c r="A243" s="7">
        <v>1166</v>
      </c>
      <c r="B243" s="7">
        <v>234</v>
      </c>
      <c r="C243" s="7" t="s">
        <v>1003</v>
      </c>
      <c r="D243" s="7">
        <v>234</v>
      </c>
      <c r="E243" s="7" t="s">
        <v>398</v>
      </c>
      <c r="F243" s="9">
        <f t="shared" si="3"/>
        <v>1080566</v>
      </c>
      <c r="G243" s="9">
        <f>VLOOKUP(A243, localcont!$D$10:$L$1764, 8)</f>
        <v>716629.18602344103</v>
      </c>
      <c r="H243" s="109">
        <f>VLOOKUP(A243, localcont!$D$10:$L$1764, 9)*F243</f>
        <v>570530.62753029657</v>
      </c>
    </row>
    <row r="244" spans="1:8">
      <c r="A244" s="7">
        <v>1171</v>
      </c>
      <c r="B244" s="7">
        <v>235</v>
      </c>
      <c r="C244" s="7" t="s">
        <v>1004</v>
      </c>
      <c r="D244" s="7">
        <v>235</v>
      </c>
      <c r="E244" s="7" t="s">
        <v>399</v>
      </c>
      <c r="F244" s="9">
        <f t="shared" si="3"/>
        <v>1296757</v>
      </c>
      <c r="G244" s="9">
        <f>VLOOKUP(A244, localcont!$D$10:$L$1764, 8)</f>
        <v>0</v>
      </c>
      <c r="H244" s="109">
        <f>VLOOKUP(A244, localcont!$D$10:$L$1764, 9)*F244</f>
        <v>0</v>
      </c>
    </row>
    <row r="245" spans="1:8">
      <c r="A245" s="7">
        <v>1176</v>
      </c>
      <c r="B245" s="7">
        <v>236</v>
      </c>
      <c r="C245" s="7" t="s">
        <v>1006</v>
      </c>
      <c r="D245" s="7">
        <v>236</v>
      </c>
      <c r="E245" s="7" t="s">
        <v>400</v>
      </c>
      <c r="F245" s="9">
        <f t="shared" si="3"/>
        <v>27934145</v>
      </c>
      <c r="G245" s="9">
        <f>VLOOKUP(A245, localcont!$D$10:$L$1764, 8)</f>
        <v>68570957.773763955</v>
      </c>
      <c r="H245" s="109">
        <f>VLOOKUP(A245, localcont!$D$10:$L$1764, 9)*F245</f>
        <v>27934145</v>
      </c>
    </row>
    <row r="246" spans="1:8">
      <c r="A246" s="7">
        <v>1181</v>
      </c>
      <c r="B246" s="7">
        <v>237</v>
      </c>
      <c r="C246" s="7" t="s">
        <v>1007</v>
      </c>
      <c r="D246" s="7">
        <v>237</v>
      </c>
      <c r="E246" s="7" t="s">
        <v>401</v>
      </c>
      <c r="F246" s="9">
        <f t="shared" si="3"/>
        <v>500959</v>
      </c>
      <c r="G246" s="9">
        <f>VLOOKUP(A246, localcont!$D$10:$L$1764, 8)</f>
        <v>40250.500030768642</v>
      </c>
      <c r="H246" s="109">
        <f>VLOOKUP(A246, localcont!$D$10:$L$1764, 9)*F246</f>
        <v>28517.749867885352</v>
      </c>
    </row>
    <row r="247" spans="1:8">
      <c r="A247" s="7">
        <v>1186</v>
      </c>
      <c r="B247" s="7">
        <v>238</v>
      </c>
      <c r="C247" s="7" t="s">
        <v>1008</v>
      </c>
      <c r="D247" s="7">
        <v>238</v>
      </c>
      <c r="E247" s="7" t="s">
        <v>402</v>
      </c>
      <c r="F247" s="9">
        <f t="shared" si="3"/>
        <v>9857647</v>
      </c>
      <c r="G247" s="9">
        <f>VLOOKUP(A247, localcont!$D$10:$L$1764, 8)</f>
        <v>6634193.2430846673</v>
      </c>
      <c r="H247" s="109">
        <f>VLOOKUP(A247, localcont!$D$10:$L$1764, 9)*F247</f>
        <v>4703304.8733459199</v>
      </c>
    </row>
    <row r="248" spans="1:8">
      <c r="A248" s="7">
        <v>1191</v>
      </c>
      <c r="B248" s="7">
        <v>239</v>
      </c>
      <c r="C248" s="7" t="s">
        <v>1009</v>
      </c>
      <c r="D248" s="7">
        <v>239</v>
      </c>
      <c r="E248" s="7" t="s">
        <v>403</v>
      </c>
      <c r="F248" s="9">
        <f t="shared" si="3"/>
        <v>62182758</v>
      </c>
      <c r="G248" s="9">
        <f>VLOOKUP(A248, localcont!$D$10:$L$1764, 8)</f>
        <v>88349686.529343486</v>
      </c>
      <c r="H248" s="109">
        <f>VLOOKUP(A248, localcont!$D$10:$L$1764, 9)*F248</f>
        <v>62182758</v>
      </c>
    </row>
    <row r="249" spans="1:8">
      <c r="A249" s="7">
        <v>1196</v>
      </c>
      <c r="B249" s="7">
        <v>240</v>
      </c>
      <c r="C249" s="7" t="s">
        <v>1010</v>
      </c>
      <c r="D249" s="7">
        <v>240</v>
      </c>
      <c r="E249" s="7" t="s">
        <v>404</v>
      </c>
      <c r="F249" s="9">
        <f t="shared" si="3"/>
        <v>3251317</v>
      </c>
      <c r="G249" s="9">
        <f>VLOOKUP(A249, localcont!$D$10:$L$1764, 8)</f>
        <v>2208586.3887203764</v>
      </c>
      <c r="H249" s="109">
        <f>VLOOKUP(A249, localcont!$D$10:$L$1764, 9)*F249</f>
        <v>1574462.7481365574</v>
      </c>
    </row>
    <row r="250" spans="1:8">
      <c r="A250" s="7">
        <v>1201</v>
      </c>
      <c r="B250" s="7">
        <v>241</v>
      </c>
      <c r="C250" s="7" t="s">
        <v>1011</v>
      </c>
      <c r="D250" s="7">
        <v>241</v>
      </c>
      <c r="E250" s="7" t="s">
        <v>405</v>
      </c>
      <c r="F250" s="9">
        <f t="shared" si="3"/>
        <v>4143437</v>
      </c>
      <c r="G250" s="9">
        <f>VLOOKUP(A250, localcont!$D$10:$L$1764, 8)</f>
        <v>0</v>
      </c>
      <c r="H250" s="109">
        <f>VLOOKUP(A250, localcont!$D$10:$L$1764, 9)*F250</f>
        <v>0</v>
      </c>
    </row>
    <row r="251" spans="1:8">
      <c r="A251" s="7">
        <v>1206</v>
      </c>
      <c r="B251" s="7">
        <v>242</v>
      </c>
      <c r="C251" s="7" t="s">
        <v>1012</v>
      </c>
      <c r="D251" s="7">
        <v>242</v>
      </c>
      <c r="E251" s="7" t="s">
        <v>406</v>
      </c>
      <c r="F251" s="9">
        <f t="shared" si="3"/>
        <v>11828476</v>
      </c>
      <c r="G251" s="9">
        <f>VLOOKUP(A251, localcont!$D$10:$L$1764, 8)</f>
        <v>1300534.3107840288</v>
      </c>
      <c r="H251" s="109">
        <f>VLOOKUP(A251, localcont!$D$10:$L$1764, 9)*F251</f>
        <v>11126953.224056413</v>
      </c>
    </row>
    <row r="252" spans="1:8">
      <c r="A252" s="7">
        <v>1211</v>
      </c>
      <c r="B252" s="7">
        <v>243</v>
      </c>
      <c r="C252" s="7" t="s">
        <v>1013</v>
      </c>
      <c r="D252" s="7">
        <v>243</v>
      </c>
      <c r="E252" s="7" t="s">
        <v>407</v>
      </c>
      <c r="F252" s="9">
        <f t="shared" si="3"/>
        <v>87376698</v>
      </c>
      <c r="G252" s="9">
        <f>VLOOKUP(A252, localcont!$D$10:$L$1764, 8)</f>
        <v>112465494.00668323</v>
      </c>
      <c r="H252" s="109">
        <f>VLOOKUP(A252, localcont!$D$10:$L$1764, 9)*F252</f>
        <v>87096053.821959451</v>
      </c>
    </row>
    <row r="253" spans="1:8">
      <c r="A253" s="7">
        <v>1216</v>
      </c>
      <c r="B253" s="7">
        <v>244</v>
      </c>
      <c r="C253" s="7" t="s">
        <v>1014</v>
      </c>
      <c r="D253" s="7">
        <v>244</v>
      </c>
      <c r="E253" s="7" t="s">
        <v>408</v>
      </c>
      <c r="F253" s="9">
        <f t="shared" si="3"/>
        <v>23545192</v>
      </c>
      <c r="G253" s="9">
        <f>VLOOKUP(A253, localcont!$D$10:$L$1764, 8)</f>
        <v>37100685.939180903</v>
      </c>
      <c r="H253" s="109">
        <f>VLOOKUP(A253, localcont!$D$10:$L$1764, 9)*F253</f>
        <v>20761372.72258608</v>
      </c>
    </row>
    <row r="254" spans="1:8">
      <c r="A254" s="7">
        <v>1221</v>
      </c>
      <c r="B254" s="7">
        <v>245</v>
      </c>
      <c r="C254" s="7" t="s">
        <v>1015</v>
      </c>
      <c r="D254" s="7">
        <v>245</v>
      </c>
      <c r="E254" s="7" t="s">
        <v>409</v>
      </c>
      <c r="F254" s="9">
        <f t="shared" si="3"/>
        <v>14380661</v>
      </c>
      <c r="G254" s="9">
        <f>VLOOKUP(A254, localcont!$D$10:$L$1764, 8)</f>
        <v>0</v>
      </c>
      <c r="H254" s="109">
        <f>VLOOKUP(A254, localcont!$D$10:$L$1764, 9)*F254</f>
        <v>0</v>
      </c>
    </row>
    <row r="255" spans="1:8">
      <c r="A255" s="7">
        <v>1226</v>
      </c>
      <c r="B255" s="7">
        <v>246</v>
      </c>
      <c r="C255" s="7" t="s">
        <v>1016</v>
      </c>
      <c r="D255" s="7">
        <v>246</v>
      </c>
      <c r="E255" s="7" t="s">
        <v>410</v>
      </c>
      <c r="F255" s="9">
        <f t="shared" si="3"/>
        <v>35410182</v>
      </c>
      <c r="G255" s="9">
        <f>VLOOKUP(A255, localcont!$D$10:$L$1764, 8)</f>
        <v>40268620.860512272</v>
      </c>
      <c r="H255" s="109">
        <f>VLOOKUP(A255, localcont!$D$10:$L$1764, 9)*F255</f>
        <v>35143899.969017237</v>
      </c>
    </row>
    <row r="256" spans="1:8">
      <c r="A256" s="7">
        <v>1231</v>
      </c>
      <c r="B256" s="7">
        <v>247</v>
      </c>
      <c r="C256" s="7" t="s">
        <v>1017</v>
      </c>
      <c r="D256" s="7">
        <v>247</v>
      </c>
      <c r="E256" s="7" t="s">
        <v>411</v>
      </c>
      <c r="F256" s="9">
        <f t="shared" si="3"/>
        <v>13595233</v>
      </c>
      <c r="G256" s="9">
        <f>VLOOKUP(A256, localcont!$D$10:$L$1764, 8)</f>
        <v>0</v>
      </c>
      <c r="H256" s="109">
        <f>VLOOKUP(A256, localcont!$D$10:$L$1764, 9)*F256</f>
        <v>0</v>
      </c>
    </row>
    <row r="257" spans="1:8">
      <c r="A257" s="7">
        <v>1236</v>
      </c>
      <c r="B257" s="7">
        <v>248</v>
      </c>
      <c r="C257" s="7" t="s">
        <v>1018</v>
      </c>
      <c r="D257" s="7">
        <v>248</v>
      </c>
      <c r="E257" s="7" t="s">
        <v>79</v>
      </c>
      <c r="F257" s="9">
        <f t="shared" si="3"/>
        <v>33821719</v>
      </c>
      <c r="G257" s="9">
        <f>VLOOKUP(A257, localcont!$D$10:$L$1764, 8)</f>
        <v>88195564.570087463</v>
      </c>
      <c r="H257" s="109">
        <f>VLOOKUP(A257, localcont!$D$10:$L$1764, 9)*F257</f>
        <v>32288904.242578059</v>
      </c>
    </row>
    <row r="258" spans="1:8">
      <c r="A258" s="7">
        <v>1241</v>
      </c>
      <c r="B258" s="7">
        <v>249</v>
      </c>
      <c r="C258" s="7" t="s">
        <v>1019</v>
      </c>
      <c r="D258" s="7">
        <v>249</v>
      </c>
      <c r="E258" s="7" t="s">
        <v>412</v>
      </c>
      <c r="F258" s="9">
        <f t="shared" si="3"/>
        <v>2878678</v>
      </c>
      <c r="G258" s="9">
        <f>VLOOKUP(A258, localcont!$D$10:$L$1764, 8)</f>
        <v>1268580.5002314509</v>
      </c>
      <c r="H258" s="109">
        <f>VLOOKUP(A258, localcont!$D$10:$L$1764, 9)*F258</f>
        <v>2878678</v>
      </c>
    </row>
    <row r="259" spans="1:8">
      <c r="A259" s="7">
        <v>1246</v>
      </c>
      <c r="B259" s="7">
        <v>250</v>
      </c>
      <c r="C259" s="7" t="s">
        <v>1020</v>
      </c>
      <c r="D259" s="7">
        <v>250</v>
      </c>
      <c r="E259" s="7" t="s">
        <v>413</v>
      </c>
      <c r="F259" s="9">
        <f t="shared" si="3"/>
        <v>6045010</v>
      </c>
      <c r="G259" s="9">
        <f>VLOOKUP(A259, localcont!$D$10:$L$1764, 8)</f>
        <v>4319981.4040858541</v>
      </c>
      <c r="H259" s="109">
        <f>VLOOKUP(A259, localcont!$D$10:$L$1764, 9)*F259</f>
        <v>2687438.6230941257</v>
      </c>
    </row>
    <row r="260" spans="1:8">
      <c r="A260" s="7">
        <v>1251</v>
      </c>
      <c r="B260" s="7">
        <v>251</v>
      </c>
      <c r="C260" s="7" t="s">
        <v>1021</v>
      </c>
      <c r="D260" s="7">
        <v>251</v>
      </c>
      <c r="E260" s="7" t="s">
        <v>414</v>
      </c>
      <c r="F260" s="9">
        <f t="shared" si="3"/>
        <v>13929320</v>
      </c>
      <c r="G260" s="9">
        <f>VLOOKUP(A260, localcont!$D$10:$L$1764, 8)</f>
        <v>25966055.368246898</v>
      </c>
      <c r="H260" s="109">
        <f>VLOOKUP(A260, localcont!$D$10:$L$1764, 9)*F260</f>
        <v>12769418.161880674</v>
      </c>
    </row>
    <row r="261" spans="1:8">
      <c r="A261" s="7">
        <v>1256</v>
      </c>
      <c r="B261" s="7">
        <v>252</v>
      </c>
      <c r="C261" s="7" t="s">
        <v>1022</v>
      </c>
      <c r="D261" s="7">
        <v>252</v>
      </c>
      <c r="E261" s="7" t="s">
        <v>415</v>
      </c>
      <c r="F261" s="9">
        <f t="shared" si="3"/>
        <v>11821195</v>
      </c>
      <c r="G261" s="9">
        <f>VLOOKUP(A261, localcont!$D$10:$L$1764, 8)</f>
        <v>7549140.3215470212</v>
      </c>
      <c r="H261" s="109">
        <f>VLOOKUP(A261, localcont!$D$10:$L$1764, 9)*F261</f>
        <v>11459004.723517656</v>
      </c>
    </row>
    <row r="262" spans="1:8">
      <c r="A262" s="7">
        <v>1261</v>
      </c>
      <c r="B262" s="7">
        <v>253</v>
      </c>
      <c r="C262" s="7" t="s">
        <v>1023</v>
      </c>
      <c r="D262" s="7">
        <v>253</v>
      </c>
      <c r="E262" s="7" t="s">
        <v>416</v>
      </c>
      <c r="F262" s="9">
        <f t="shared" si="3"/>
        <v>1217441</v>
      </c>
      <c r="G262" s="9">
        <f>VLOOKUP(A262, localcont!$D$10:$L$1764, 8)</f>
        <v>637861.27157375612</v>
      </c>
      <c r="H262" s="109">
        <f>VLOOKUP(A262, localcont!$D$10:$L$1764, 9)*F262</f>
        <v>1217441</v>
      </c>
    </row>
    <row r="263" spans="1:8">
      <c r="A263" s="7">
        <v>1266</v>
      </c>
      <c r="B263" s="7">
        <v>254</v>
      </c>
      <c r="C263" s="7" t="s">
        <v>1024</v>
      </c>
      <c r="D263" s="7">
        <v>254</v>
      </c>
      <c r="E263" s="7" t="s">
        <v>417</v>
      </c>
      <c r="F263" s="9">
        <f t="shared" si="3"/>
        <v>7513088</v>
      </c>
      <c r="G263" s="9">
        <f>VLOOKUP(A263, localcont!$D$10:$L$1764, 8)</f>
        <v>69109.922267947739</v>
      </c>
      <c r="H263" s="109">
        <f>VLOOKUP(A263, localcont!$D$10:$L$1764, 9)*F263</f>
        <v>61797.638172625608</v>
      </c>
    </row>
    <row r="264" spans="1:8">
      <c r="A264" s="7">
        <v>1271</v>
      </c>
      <c r="B264" s="7">
        <v>255</v>
      </c>
      <c r="C264" s="7" t="s">
        <v>1025</v>
      </c>
      <c r="D264" s="7">
        <v>255</v>
      </c>
      <c r="E264" s="7" t="s">
        <v>418</v>
      </c>
      <c r="F264" s="9">
        <f t="shared" si="3"/>
        <v>890226</v>
      </c>
      <c r="G264" s="9">
        <f>VLOOKUP(A264, localcont!$D$10:$L$1764, 8)</f>
        <v>0</v>
      </c>
      <c r="H264" s="109">
        <f>VLOOKUP(A264, localcont!$D$10:$L$1764, 9)*F264</f>
        <v>0</v>
      </c>
    </row>
    <row r="265" spans="1:8">
      <c r="A265" s="7">
        <v>1276</v>
      </c>
      <c r="B265" s="7">
        <v>256</v>
      </c>
      <c r="C265" s="7" t="s">
        <v>1026</v>
      </c>
      <c r="D265" s="7">
        <v>256</v>
      </c>
      <c r="E265" s="7" t="s">
        <v>419</v>
      </c>
      <c r="F265" s="9">
        <f t="shared" si="3"/>
        <v>1102362</v>
      </c>
      <c r="G265" s="9">
        <f>VLOOKUP(A265, localcont!$D$10:$L$1764, 8)</f>
        <v>240301.01604183207</v>
      </c>
      <c r="H265" s="109">
        <f>VLOOKUP(A265, localcont!$D$10:$L$1764, 9)*F265</f>
        <v>92224.625112696333</v>
      </c>
    </row>
    <row r="266" spans="1:8">
      <c r="A266" s="7">
        <v>1281</v>
      </c>
      <c r="B266" s="7">
        <v>257</v>
      </c>
      <c r="C266" s="7" t="s">
        <v>1027</v>
      </c>
      <c r="D266" s="7">
        <v>257</v>
      </c>
      <c r="E266" s="7" t="s">
        <v>72</v>
      </c>
      <c r="F266" s="9">
        <f t="shared" ref="F266:F329" si="4">VLOOKUP(D266, town351, 7)</f>
        <v>7253832</v>
      </c>
      <c r="G266" s="9">
        <f>VLOOKUP(A266, localcont!$D$10:$L$1764, 8)</f>
        <v>0</v>
      </c>
      <c r="H266" s="109">
        <f>VLOOKUP(A266, localcont!$D$10:$L$1764, 9)*F266</f>
        <v>0</v>
      </c>
    </row>
    <row r="267" spans="1:8">
      <c r="A267" s="7">
        <v>1286</v>
      </c>
      <c r="B267" s="7">
        <v>258</v>
      </c>
      <c r="C267" s="7" t="s">
        <v>1028</v>
      </c>
      <c r="D267" s="7">
        <v>258</v>
      </c>
      <c r="E267" s="7" t="s">
        <v>420</v>
      </c>
      <c r="F267" s="9">
        <f t="shared" si="4"/>
        <v>34120184</v>
      </c>
      <c r="G267" s="9">
        <f>VLOOKUP(A267, localcont!$D$10:$L$1764, 8)</f>
        <v>52768572.013673805</v>
      </c>
      <c r="H267" s="109">
        <f>VLOOKUP(A267, localcont!$D$10:$L$1764, 9)*F267</f>
        <v>32299406.276320688</v>
      </c>
    </row>
    <row r="268" spans="1:8">
      <c r="A268" s="7">
        <v>1291</v>
      </c>
      <c r="B268" s="7">
        <v>259</v>
      </c>
      <c r="C268" s="7" t="s">
        <v>1029</v>
      </c>
      <c r="D268" s="7">
        <v>259</v>
      </c>
      <c r="E268" s="7" t="s">
        <v>421</v>
      </c>
      <c r="F268" s="9">
        <f t="shared" si="4"/>
        <v>8914804</v>
      </c>
      <c r="G268" s="9">
        <f>VLOOKUP(A268, localcont!$D$10:$L$1764, 8)</f>
        <v>40250.500030768642</v>
      </c>
      <c r="H268" s="109">
        <f>VLOOKUP(A268, localcont!$D$10:$L$1764, 9)*F268</f>
        <v>36088.111327205566</v>
      </c>
    </row>
    <row r="269" spans="1:8">
      <c r="A269" s="7">
        <v>1296</v>
      </c>
      <c r="B269" s="7">
        <v>260</v>
      </c>
      <c r="C269" s="7" t="s">
        <v>1030</v>
      </c>
      <c r="D269" s="7">
        <v>260</v>
      </c>
      <c r="E269" s="7" t="s">
        <v>422</v>
      </c>
      <c r="F269" s="9">
        <f t="shared" si="4"/>
        <v>1062211</v>
      </c>
      <c r="G269" s="9">
        <f>VLOOKUP(A269, localcont!$D$10:$L$1764, 8)</f>
        <v>0</v>
      </c>
      <c r="H269" s="109">
        <f>VLOOKUP(A269, localcont!$D$10:$L$1764, 9)*F269</f>
        <v>0</v>
      </c>
    </row>
    <row r="270" spans="1:8">
      <c r="A270" s="7">
        <v>1301</v>
      </c>
      <c r="B270" s="7">
        <v>261</v>
      </c>
      <c r="C270" s="7" t="s">
        <v>1031</v>
      </c>
      <c r="D270" s="7">
        <v>261</v>
      </c>
      <c r="E270" s="7" t="s">
        <v>423</v>
      </c>
      <c r="F270" s="9">
        <f t="shared" si="4"/>
        <v>25115952</v>
      </c>
      <c r="G270" s="9">
        <f>VLOOKUP(A270, localcont!$D$10:$L$1764, 8)</f>
        <v>28141702.856564838</v>
      </c>
      <c r="H270" s="109">
        <f>VLOOKUP(A270, localcont!$D$10:$L$1764, 9)*F270</f>
        <v>23464002.613454554</v>
      </c>
    </row>
    <row r="271" spans="1:8">
      <c r="A271" s="7">
        <v>1306</v>
      </c>
      <c r="B271" s="7">
        <v>262</v>
      </c>
      <c r="C271" s="7" t="s">
        <v>1032</v>
      </c>
      <c r="D271" s="7">
        <v>262</v>
      </c>
      <c r="E271" s="7" t="s">
        <v>424</v>
      </c>
      <c r="F271" s="9">
        <f t="shared" si="4"/>
        <v>27121358</v>
      </c>
      <c r="G271" s="9">
        <f>VLOOKUP(A271, localcont!$D$10:$L$1764, 8)</f>
        <v>27708148.930856943</v>
      </c>
      <c r="H271" s="109">
        <f>VLOOKUP(A271, localcont!$D$10:$L$1764, 9)*F271</f>
        <v>24191138.571924374</v>
      </c>
    </row>
    <row r="272" spans="1:8">
      <c r="A272" s="7">
        <v>1311</v>
      </c>
      <c r="B272" s="7">
        <v>263</v>
      </c>
      <c r="C272" s="7" t="s">
        <v>1033</v>
      </c>
      <c r="D272" s="7">
        <v>263</v>
      </c>
      <c r="E272" s="7" t="s">
        <v>425</v>
      </c>
      <c r="F272" s="9">
        <f t="shared" si="4"/>
        <v>481579</v>
      </c>
      <c r="G272" s="9">
        <f>VLOOKUP(A272, localcont!$D$10:$L$1764, 8)</f>
        <v>634366.34950279677</v>
      </c>
      <c r="H272" s="109">
        <f>VLOOKUP(A272, localcont!$D$10:$L$1764, 9)*F272</f>
        <v>314262.10153803532</v>
      </c>
    </row>
    <row r="273" spans="1:8">
      <c r="A273" s="7">
        <v>1316</v>
      </c>
      <c r="B273" s="7">
        <v>264</v>
      </c>
      <c r="C273" s="7" t="s">
        <v>1034</v>
      </c>
      <c r="D273" s="7">
        <v>264</v>
      </c>
      <c r="E273" s="7" t="s">
        <v>426</v>
      </c>
      <c r="F273" s="9">
        <f t="shared" si="4"/>
        <v>30862349</v>
      </c>
      <c r="G273" s="9">
        <f>VLOOKUP(A273, localcont!$D$10:$L$1764, 8)</f>
        <v>28537003.198598668</v>
      </c>
      <c r="H273" s="109">
        <f>VLOOKUP(A273, localcont!$D$10:$L$1764, 9)*F273</f>
        <v>30090518.519172307</v>
      </c>
    </row>
    <row r="274" spans="1:8">
      <c r="A274" s="7">
        <v>1321</v>
      </c>
      <c r="B274" s="7">
        <v>265</v>
      </c>
      <c r="C274" s="7" t="s">
        <v>1035</v>
      </c>
      <c r="D274" s="7">
        <v>265</v>
      </c>
      <c r="E274" s="7" t="s">
        <v>427</v>
      </c>
      <c r="F274" s="9">
        <f t="shared" si="4"/>
        <v>15233797</v>
      </c>
      <c r="G274" s="9">
        <f>VLOOKUP(A274, localcont!$D$10:$L$1764, 8)</f>
        <v>18642353.387814865</v>
      </c>
      <c r="H274" s="109">
        <f>VLOOKUP(A274, localcont!$D$10:$L$1764, 9)*F274</f>
        <v>14086065.563628787</v>
      </c>
    </row>
    <row r="275" spans="1:8">
      <c r="A275" s="7">
        <v>1326</v>
      </c>
      <c r="B275" s="7">
        <v>266</v>
      </c>
      <c r="C275" s="7" t="s">
        <v>1036</v>
      </c>
      <c r="D275" s="7">
        <v>266</v>
      </c>
      <c r="E275" s="7" t="s">
        <v>428</v>
      </c>
      <c r="F275" s="9">
        <f t="shared" si="4"/>
        <v>28103915</v>
      </c>
      <c r="G275" s="9">
        <f>VLOOKUP(A275, localcont!$D$10:$L$1764, 8)</f>
        <v>33110463.782192025</v>
      </c>
      <c r="H275" s="109">
        <f>VLOOKUP(A275, localcont!$D$10:$L$1764, 9)*F275</f>
        <v>27828435.676800817</v>
      </c>
    </row>
    <row r="276" spans="1:8">
      <c r="A276" s="7">
        <v>1331</v>
      </c>
      <c r="B276" s="7">
        <v>267</v>
      </c>
      <c r="C276" s="7" t="s">
        <v>1037</v>
      </c>
      <c r="D276" s="7">
        <v>267</v>
      </c>
      <c r="E276" s="7" t="s">
        <v>429</v>
      </c>
      <c r="F276" s="9">
        <f t="shared" si="4"/>
        <v>3955765</v>
      </c>
      <c r="G276" s="9">
        <f>VLOOKUP(A276, localcont!$D$10:$L$1764, 8)</f>
        <v>93917.833405126818</v>
      </c>
      <c r="H276" s="109">
        <f>VLOOKUP(A276, localcont!$D$10:$L$1764, 9)*F276</f>
        <v>103392.90246596077</v>
      </c>
    </row>
    <row r="277" spans="1:8">
      <c r="A277" s="7">
        <v>1336</v>
      </c>
      <c r="B277" s="7">
        <v>268</v>
      </c>
      <c r="C277" s="7" t="s">
        <v>1038</v>
      </c>
      <c r="D277" s="7">
        <v>268</v>
      </c>
      <c r="E277" s="7" t="s">
        <v>430</v>
      </c>
      <c r="F277" s="9">
        <f t="shared" si="4"/>
        <v>1394348</v>
      </c>
      <c r="G277" s="9">
        <f>VLOOKUP(A277, localcont!$D$10:$L$1764, 8)</f>
        <v>0</v>
      </c>
      <c r="H277" s="109">
        <f>VLOOKUP(A277, localcont!$D$10:$L$1764, 9)*F277</f>
        <v>0</v>
      </c>
    </row>
    <row r="278" spans="1:8">
      <c r="A278" s="7">
        <v>1341</v>
      </c>
      <c r="B278" s="7">
        <v>269</v>
      </c>
      <c r="C278" s="7" t="s">
        <v>1039</v>
      </c>
      <c r="D278" s="7">
        <v>269</v>
      </c>
      <c r="E278" s="7" t="s">
        <v>431</v>
      </c>
      <c r="F278" s="9">
        <f t="shared" si="4"/>
        <v>16451504</v>
      </c>
      <c r="G278" s="9">
        <f>VLOOKUP(A278, localcont!$D$10:$L$1764, 8)</f>
        <v>3806638.9460125784</v>
      </c>
      <c r="H278" s="109">
        <f>VLOOKUP(A278, localcont!$D$10:$L$1764, 9)*F278</f>
        <v>6931479.3209602823</v>
      </c>
    </row>
    <row r="279" spans="1:8">
      <c r="A279" s="7">
        <v>1346</v>
      </c>
      <c r="B279" s="7">
        <v>270</v>
      </c>
      <c r="C279" s="7" t="s">
        <v>1040</v>
      </c>
      <c r="D279" s="7">
        <v>270</v>
      </c>
      <c r="E279" s="7" t="s">
        <v>432</v>
      </c>
      <c r="F279" s="9">
        <f t="shared" si="4"/>
        <v>4964717</v>
      </c>
      <c r="G279" s="9">
        <f>VLOOKUP(A279, localcont!$D$10:$L$1764, 8)</f>
        <v>0</v>
      </c>
      <c r="H279" s="109">
        <f>VLOOKUP(A279, localcont!$D$10:$L$1764, 9)*F279</f>
        <v>0</v>
      </c>
    </row>
    <row r="280" spans="1:8">
      <c r="A280" s="7">
        <v>1351</v>
      </c>
      <c r="B280" s="7">
        <v>271</v>
      </c>
      <c r="C280" s="7" t="s">
        <v>1041</v>
      </c>
      <c r="D280" s="7">
        <v>271</v>
      </c>
      <c r="E280" s="7" t="s">
        <v>433</v>
      </c>
      <c r="F280" s="9">
        <f t="shared" si="4"/>
        <v>46489701</v>
      </c>
      <c r="G280" s="9">
        <f>VLOOKUP(A280, localcont!$D$10:$L$1764, 8)</f>
        <v>58194036.86341849</v>
      </c>
      <c r="H280" s="109">
        <f>VLOOKUP(A280, localcont!$D$10:$L$1764, 9)*F280</f>
        <v>46489701</v>
      </c>
    </row>
    <row r="281" spans="1:8">
      <c r="A281" s="7">
        <v>1356</v>
      </c>
      <c r="B281" s="7">
        <v>272</v>
      </c>
      <c r="C281" s="7" t="s">
        <v>1042</v>
      </c>
      <c r="D281" s="7">
        <v>272</v>
      </c>
      <c r="E281" s="7" t="s">
        <v>434</v>
      </c>
      <c r="F281" s="9">
        <f t="shared" si="4"/>
        <v>1458847</v>
      </c>
      <c r="G281" s="9">
        <f>VLOOKUP(A281, localcont!$D$10:$L$1764, 8)</f>
        <v>1157848.556575418</v>
      </c>
      <c r="H281" s="109">
        <f>VLOOKUP(A281, localcont!$D$10:$L$1764, 9)*F281</f>
        <v>678002.54453986872</v>
      </c>
    </row>
    <row r="282" spans="1:8">
      <c r="A282" s="7">
        <v>1361</v>
      </c>
      <c r="B282" s="7">
        <v>273</v>
      </c>
      <c r="C282" s="7" t="s">
        <v>1043</v>
      </c>
      <c r="D282" s="7">
        <v>273</v>
      </c>
      <c r="E282" s="7" t="s">
        <v>435</v>
      </c>
      <c r="F282" s="9">
        <f t="shared" si="4"/>
        <v>14815101</v>
      </c>
      <c r="G282" s="9">
        <f>VLOOKUP(A282, localcont!$D$10:$L$1764, 8)</f>
        <v>17125371.876508925</v>
      </c>
      <c r="H282" s="109">
        <f>VLOOKUP(A282, localcont!$D$10:$L$1764, 9)*F282</f>
        <v>9464122.1475652419</v>
      </c>
    </row>
    <row r="283" spans="1:8">
      <c r="A283" s="7">
        <v>1366</v>
      </c>
      <c r="B283" s="7">
        <v>274</v>
      </c>
      <c r="C283" s="7" t="s">
        <v>1044</v>
      </c>
      <c r="D283" s="7">
        <v>274</v>
      </c>
      <c r="E283" s="7" t="s">
        <v>436</v>
      </c>
      <c r="F283" s="9">
        <f t="shared" si="4"/>
        <v>82394141</v>
      </c>
      <c r="G283" s="9">
        <f>VLOOKUP(A283, localcont!$D$10:$L$1764, 8)</f>
        <v>64130648.10950844</v>
      </c>
      <c r="H283" s="109">
        <f>VLOOKUP(A283, localcont!$D$10:$L$1764, 9)*F283</f>
        <v>82394141</v>
      </c>
    </row>
    <row r="284" spans="1:8">
      <c r="A284" s="7">
        <v>1371</v>
      </c>
      <c r="B284" s="7">
        <v>275</v>
      </c>
      <c r="C284" s="7" t="s">
        <v>1045</v>
      </c>
      <c r="D284" s="7">
        <v>275</v>
      </c>
      <c r="E284" s="7" t="s">
        <v>437</v>
      </c>
      <c r="F284" s="9">
        <f t="shared" si="4"/>
        <v>5729526</v>
      </c>
      <c r="G284" s="9">
        <f>VLOOKUP(A284, localcont!$D$10:$L$1764, 8)</f>
        <v>4863203.5231375461</v>
      </c>
      <c r="H284" s="109">
        <f>VLOOKUP(A284, localcont!$D$10:$L$1764, 9)*F284</f>
        <v>3124241.129225072</v>
      </c>
    </row>
    <row r="285" spans="1:8">
      <c r="A285" s="7">
        <v>1376</v>
      </c>
      <c r="B285" s="7">
        <v>276</v>
      </c>
      <c r="C285" s="7" t="s">
        <v>1046</v>
      </c>
      <c r="D285" s="7">
        <v>276</v>
      </c>
      <c r="E285" s="7" t="s">
        <v>438</v>
      </c>
      <c r="F285" s="9">
        <f t="shared" si="4"/>
        <v>24961182</v>
      </c>
      <c r="G285" s="9">
        <f>VLOOKUP(A285, localcont!$D$10:$L$1764, 8)</f>
        <v>11409894.389389778</v>
      </c>
      <c r="H285" s="109">
        <f>VLOOKUP(A285, localcont!$D$10:$L$1764, 9)*F285</f>
        <v>15740940.026585389</v>
      </c>
    </row>
    <row r="286" spans="1:8">
      <c r="A286" s="7">
        <v>1381</v>
      </c>
      <c r="B286" s="7">
        <v>277</v>
      </c>
      <c r="C286" s="7" t="s">
        <v>1053</v>
      </c>
      <c r="D286" s="7">
        <v>277</v>
      </c>
      <c r="E286" s="7" t="s">
        <v>439</v>
      </c>
      <c r="F286" s="9">
        <f t="shared" si="4"/>
        <v>7998771</v>
      </c>
      <c r="G286" s="9">
        <f>VLOOKUP(A286, localcont!$D$10:$L$1764, 8)</f>
        <v>28503932.0841102</v>
      </c>
      <c r="H286" s="109">
        <f>VLOOKUP(A286, localcont!$D$10:$L$1764, 9)*F286</f>
        <v>7231317.2648987919</v>
      </c>
    </row>
    <row r="287" spans="1:8">
      <c r="A287" s="7">
        <v>1386</v>
      </c>
      <c r="B287" s="7">
        <v>278</v>
      </c>
      <c r="C287" s="7" t="s">
        <v>1054</v>
      </c>
      <c r="D287" s="7">
        <v>278</v>
      </c>
      <c r="E287" s="7" t="s">
        <v>440</v>
      </c>
      <c r="F287" s="9">
        <f t="shared" si="4"/>
        <v>12812688</v>
      </c>
      <c r="G287" s="9">
        <f>VLOOKUP(A287, localcont!$D$10:$L$1764, 8)</f>
        <v>19637074.331034068</v>
      </c>
      <c r="H287" s="109">
        <f>VLOOKUP(A287, localcont!$D$10:$L$1764, 9)*F287</f>
        <v>12812688</v>
      </c>
    </row>
    <row r="288" spans="1:8">
      <c r="A288" s="7">
        <v>1391</v>
      </c>
      <c r="B288" s="7">
        <v>279</v>
      </c>
      <c r="C288" s="7" t="s">
        <v>1055</v>
      </c>
      <c r="D288" s="7">
        <v>279</v>
      </c>
      <c r="E288" s="7" t="s">
        <v>441</v>
      </c>
      <c r="F288" s="9">
        <f t="shared" si="4"/>
        <v>8565236</v>
      </c>
      <c r="G288" s="9">
        <f>VLOOKUP(A288, localcont!$D$10:$L$1764, 8)</f>
        <v>0</v>
      </c>
      <c r="H288" s="109">
        <f>VLOOKUP(A288, localcont!$D$10:$L$1764, 9)*F288</f>
        <v>0</v>
      </c>
    </row>
    <row r="289" spans="1:8">
      <c r="A289" s="7">
        <v>1396</v>
      </c>
      <c r="B289" s="7">
        <v>280</v>
      </c>
      <c r="C289" s="7" t="s">
        <v>1057</v>
      </c>
      <c r="D289" s="7">
        <v>280</v>
      </c>
      <c r="E289" s="7" t="s">
        <v>442</v>
      </c>
      <c r="F289" s="9">
        <f t="shared" si="4"/>
        <v>7707405</v>
      </c>
      <c r="G289" s="9">
        <f>VLOOKUP(A289, localcont!$D$10:$L$1764, 8)</f>
        <v>53667.33337435819</v>
      </c>
      <c r="H289" s="109">
        <f>VLOOKUP(A289, localcont!$D$10:$L$1764, 9)*F289</f>
        <v>24268.293972480104</v>
      </c>
    </row>
    <row r="290" spans="1:8">
      <c r="A290" s="7">
        <v>1401</v>
      </c>
      <c r="B290" s="7">
        <v>281</v>
      </c>
      <c r="C290" s="7" t="s">
        <v>1058</v>
      </c>
      <c r="D290" s="7">
        <v>281</v>
      </c>
      <c r="E290" s="7" t="s">
        <v>443</v>
      </c>
      <c r="F290" s="9">
        <f t="shared" si="4"/>
        <v>58182158</v>
      </c>
      <c r="G290" s="9">
        <f>VLOOKUP(A290, localcont!$D$10:$L$1764, 8)</f>
        <v>370375982.61382222</v>
      </c>
      <c r="H290" s="109">
        <f>VLOOKUP(A290, localcont!$D$10:$L$1764, 9)*F290</f>
        <v>58182158</v>
      </c>
    </row>
    <row r="291" spans="1:8">
      <c r="A291" s="7">
        <v>1406</v>
      </c>
      <c r="B291" s="7">
        <v>282</v>
      </c>
      <c r="C291" s="7" t="s">
        <v>1059</v>
      </c>
      <c r="D291" s="7">
        <v>282</v>
      </c>
      <c r="E291" s="7" t="s">
        <v>444</v>
      </c>
      <c r="F291" s="9">
        <f t="shared" si="4"/>
        <v>8962071</v>
      </c>
      <c r="G291" s="9">
        <f>VLOOKUP(A291, localcont!$D$10:$L$1764, 8)</f>
        <v>0</v>
      </c>
      <c r="H291" s="109">
        <f>VLOOKUP(A291, localcont!$D$10:$L$1764, 9)*F291</f>
        <v>0</v>
      </c>
    </row>
    <row r="292" spans="1:8">
      <c r="A292" s="7">
        <v>1411</v>
      </c>
      <c r="B292" s="7">
        <v>283</v>
      </c>
      <c r="C292" s="7" t="s">
        <v>1060</v>
      </c>
      <c r="D292" s="7">
        <v>283</v>
      </c>
      <c r="E292" s="7" t="s">
        <v>445</v>
      </c>
      <c r="F292" s="9">
        <f t="shared" si="4"/>
        <v>4006340</v>
      </c>
      <c r="G292" s="9">
        <f>VLOOKUP(A292, localcont!$D$10:$L$1764, 8)</f>
        <v>0</v>
      </c>
      <c r="H292" s="109">
        <f>VLOOKUP(A292, localcont!$D$10:$L$1764, 9)*F292</f>
        <v>0</v>
      </c>
    </row>
    <row r="293" spans="1:8">
      <c r="A293" s="7">
        <v>1416</v>
      </c>
      <c r="B293" s="7">
        <v>284</v>
      </c>
      <c r="C293" s="7" t="s">
        <v>1061</v>
      </c>
      <c r="D293" s="7">
        <v>284</v>
      </c>
      <c r="E293" s="7" t="s">
        <v>80</v>
      </c>
      <c r="F293" s="9">
        <f t="shared" si="4"/>
        <v>25017898</v>
      </c>
      <c r="G293" s="9">
        <f>VLOOKUP(A293, localcont!$D$10:$L$1764, 8)</f>
        <v>24538424.857372392</v>
      </c>
      <c r="H293" s="109">
        <f>VLOOKUP(A293, localcont!$D$10:$L$1764, 9)*F293</f>
        <v>23927029.992154334</v>
      </c>
    </row>
    <row r="294" spans="1:8">
      <c r="A294" s="7">
        <v>1421</v>
      </c>
      <c r="B294" s="7">
        <v>285</v>
      </c>
      <c r="C294" s="7" t="s">
        <v>1062</v>
      </c>
      <c r="D294" s="7">
        <v>285</v>
      </c>
      <c r="E294" s="7" t="s">
        <v>446</v>
      </c>
      <c r="F294" s="9">
        <f t="shared" si="4"/>
        <v>25594560</v>
      </c>
      <c r="G294" s="9">
        <f>VLOOKUP(A294, localcont!$D$10:$L$1764, 8)</f>
        <v>38830414.515473194</v>
      </c>
      <c r="H294" s="109">
        <f>VLOOKUP(A294, localcont!$D$10:$L$1764, 9)*F294</f>
        <v>23938004.893328991</v>
      </c>
    </row>
    <row r="295" spans="1:8">
      <c r="A295" s="7">
        <v>1426</v>
      </c>
      <c r="B295" s="7">
        <v>286</v>
      </c>
      <c r="C295" s="7" t="s">
        <v>1063</v>
      </c>
      <c r="D295" s="7">
        <v>286</v>
      </c>
      <c r="E295" s="7" t="s">
        <v>447</v>
      </c>
      <c r="F295" s="9">
        <f t="shared" si="4"/>
        <v>10985034</v>
      </c>
      <c r="G295" s="9">
        <f>VLOOKUP(A295, localcont!$D$10:$L$1764, 8)</f>
        <v>27906.769627179092</v>
      </c>
      <c r="H295" s="109">
        <f>VLOOKUP(A295, localcont!$D$10:$L$1764, 9)*F295</f>
        <v>24875.708566927933</v>
      </c>
    </row>
    <row r="296" spans="1:8">
      <c r="A296" s="7">
        <v>1431</v>
      </c>
      <c r="B296" s="7">
        <v>287</v>
      </c>
      <c r="C296" s="7" t="s">
        <v>1064</v>
      </c>
      <c r="D296" s="7">
        <v>287</v>
      </c>
      <c r="E296" s="7" t="s">
        <v>448</v>
      </c>
      <c r="F296" s="9">
        <f t="shared" si="4"/>
        <v>9964093</v>
      </c>
      <c r="G296" s="9">
        <f>VLOOKUP(A296, localcont!$D$10:$L$1764, 8)</f>
        <v>8170415.9676968697</v>
      </c>
      <c r="H296" s="109">
        <f>VLOOKUP(A296, localcont!$D$10:$L$1764, 9)*F296</f>
        <v>4678873.1205703598</v>
      </c>
    </row>
    <row r="297" spans="1:8">
      <c r="A297" s="7">
        <v>1436</v>
      </c>
      <c r="B297" s="7">
        <v>288</v>
      </c>
      <c r="C297" s="7" t="s">
        <v>1065</v>
      </c>
      <c r="D297" s="7">
        <v>288</v>
      </c>
      <c r="E297" s="7" t="s">
        <v>449</v>
      </c>
      <c r="F297" s="9">
        <f t="shared" si="4"/>
        <v>46217027</v>
      </c>
      <c r="G297" s="9">
        <f>VLOOKUP(A297, localcont!$D$10:$L$1764, 8)</f>
        <v>25474395.707632355</v>
      </c>
      <c r="H297" s="109">
        <f>VLOOKUP(A297, localcont!$D$10:$L$1764, 9)*F297</f>
        <v>29036626.875839625</v>
      </c>
    </row>
    <row r="298" spans="1:8">
      <c r="A298" s="7">
        <v>1441</v>
      </c>
      <c r="B298" s="7">
        <v>289</v>
      </c>
      <c r="C298" s="7" t="s">
        <v>1066</v>
      </c>
      <c r="D298" s="7">
        <v>289</v>
      </c>
      <c r="E298" s="7" t="s">
        <v>450</v>
      </c>
      <c r="F298" s="9">
        <f t="shared" si="4"/>
        <v>2631334</v>
      </c>
      <c r="G298" s="9">
        <f>VLOOKUP(A298, localcont!$D$10:$L$1764, 8)</f>
        <v>2030461.9982605327</v>
      </c>
      <c r="H298" s="109">
        <f>VLOOKUP(A298, localcont!$D$10:$L$1764, 9)*F298</f>
        <v>1533186.9570894339</v>
      </c>
    </row>
    <row r="299" spans="1:8">
      <c r="A299" s="7">
        <v>1446</v>
      </c>
      <c r="B299" s="7">
        <v>290</v>
      </c>
      <c r="C299" s="7" t="s">
        <v>1067</v>
      </c>
      <c r="D299" s="7">
        <v>290</v>
      </c>
      <c r="E299" s="7" t="s">
        <v>451</v>
      </c>
      <c r="F299" s="9">
        <f t="shared" si="4"/>
        <v>10679738</v>
      </c>
      <c r="G299" s="9">
        <f>VLOOKUP(A299, localcont!$D$10:$L$1764, 8)</f>
        <v>13414412.031556375</v>
      </c>
      <c r="H299" s="109">
        <f>VLOOKUP(A299, localcont!$D$10:$L$1764, 9)*F299</f>
        <v>9628424.7155943103</v>
      </c>
    </row>
    <row r="300" spans="1:8">
      <c r="A300" s="7">
        <v>1451</v>
      </c>
      <c r="B300" s="7">
        <v>291</v>
      </c>
      <c r="C300" s="7" t="s">
        <v>1068</v>
      </c>
      <c r="D300" s="7">
        <v>291</v>
      </c>
      <c r="E300" s="7" t="s">
        <v>452</v>
      </c>
      <c r="F300" s="9">
        <f t="shared" si="4"/>
        <v>23392816</v>
      </c>
      <c r="G300" s="9">
        <f>VLOOKUP(A300, localcont!$D$10:$L$1764, 8)</f>
        <v>20655963.815009337</v>
      </c>
      <c r="H300" s="109">
        <f>VLOOKUP(A300, localcont!$D$10:$L$1764, 9)*F300</f>
        <v>23037982.107404511</v>
      </c>
    </row>
    <row r="301" spans="1:8">
      <c r="A301" s="7">
        <v>1456</v>
      </c>
      <c r="B301" s="7">
        <v>292</v>
      </c>
      <c r="C301" s="7" t="s">
        <v>1069</v>
      </c>
      <c r="D301" s="7">
        <v>292</v>
      </c>
      <c r="E301" s="7" t="s">
        <v>453</v>
      </c>
      <c r="F301" s="9">
        <f t="shared" si="4"/>
        <v>14500512</v>
      </c>
      <c r="G301" s="9">
        <f>VLOOKUP(A301, localcont!$D$10:$L$1764, 8)</f>
        <v>20221515.14252951</v>
      </c>
      <c r="H301" s="109">
        <f>VLOOKUP(A301, localcont!$D$10:$L$1764, 9)*F301</f>
        <v>12887710.558156284</v>
      </c>
    </row>
    <row r="302" spans="1:8">
      <c r="A302" s="7">
        <v>1461</v>
      </c>
      <c r="B302" s="7">
        <v>293</v>
      </c>
      <c r="C302" s="7" t="s">
        <v>1070</v>
      </c>
      <c r="D302" s="7">
        <v>293</v>
      </c>
      <c r="E302" s="7" t="s">
        <v>454</v>
      </c>
      <c r="F302" s="9">
        <f t="shared" si="4"/>
        <v>36091497</v>
      </c>
      <c r="G302" s="9">
        <f>VLOOKUP(A302, localcont!$D$10:$L$1764, 8)</f>
        <v>91224275.812842891</v>
      </c>
      <c r="H302" s="109">
        <f>VLOOKUP(A302, localcont!$D$10:$L$1764, 9)*F302</f>
        <v>32732286.6412136</v>
      </c>
    </row>
    <row r="303" spans="1:8">
      <c r="A303" s="7">
        <v>1466</v>
      </c>
      <c r="B303" s="7">
        <v>294</v>
      </c>
      <c r="C303" s="7" t="s">
        <v>1071</v>
      </c>
      <c r="D303" s="7">
        <v>294</v>
      </c>
      <c r="E303" s="7" t="s">
        <v>455</v>
      </c>
      <c r="F303" s="9">
        <f t="shared" si="4"/>
        <v>4871888</v>
      </c>
      <c r="G303" s="9">
        <f>VLOOKUP(A303, localcont!$D$10:$L$1764, 8)</f>
        <v>13416.833343589547</v>
      </c>
      <c r="H303" s="109">
        <f>VLOOKUP(A303, localcont!$D$10:$L$1764, 9)*F303</f>
        <v>5125.0282097627532</v>
      </c>
    </row>
    <row r="304" spans="1:8">
      <c r="A304" s="7">
        <v>1471</v>
      </c>
      <c r="B304" s="7">
        <v>295</v>
      </c>
      <c r="C304" s="7" t="s">
        <v>1072</v>
      </c>
      <c r="D304" s="7">
        <v>295</v>
      </c>
      <c r="E304" s="7" t="s">
        <v>81</v>
      </c>
      <c r="F304" s="9">
        <f t="shared" si="4"/>
        <v>31548940</v>
      </c>
      <c r="G304" s="9">
        <f>VLOOKUP(A304, localcont!$D$10:$L$1764, 8)</f>
        <v>34900617.062578723</v>
      </c>
      <c r="H304" s="109">
        <f>VLOOKUP(A304, localcont!$D$10:$L$1764, 9)*F304</f>
        <v>27684151.854980987</v>
      </c>
    </row>
    <row r="305" spans="1:8">
      <c r="A305" s="7">
        <v>1476</v>
      </c>
      <c r="B305" s="7">
        <v>296</v>
      </c>
      <c r="C305" s="7" t="s">
        <v>1073</v>
      </c>
      <c r="D305" s="7">
        <v>296</v>
      </c>
      <c r="E305" s="7" t="s">
        <v>456</v>
      </c>
      <c r="F305" s="9">
        <f t="shared" si="4"/>
        <v>10959346</v>
      </c>
      <c r="G305" s="9">
        <f>VLOOKUP(A305, localcont!$D$10:$L$1764, 8)</f>
        <v>3760490.3019716195</v>
      </c>
      <c r="H305" s="109">
        <f>VLOOKUP(A305, localcont!$D$10:$L$1764, 9)*F305</f>
        <v>6878207.4931860287</v>
      </c>
    </row>
    <row r="306" spans="1:8">
      <c r="A306" s="7">
        <v>1481</v>
      </c>
      <c r="B306" s="7">
        <v>297</v>
      </c>
      <c r="C306" s="7" t="s">
        <v>1074</v>
      </c>
      <c r="D306" s="7">
        <v>297</v>
      </c>
      <c r="E306" s="7" t="s">
        <v>457</v>
      </c>
      <c r="F306" s="9">
        <f t="shared" si="4"/>
        <v>893062</v>
      </c>
      <c r="G306" s="9">
        <f>VLOOKUP(A306, localcont!$D$10:$L$1764, 8)</f>
        <v>0</v>
      </c>
      <c r="H306" s="109">
        <f>VLOOKUP(A306, localcont!$D$10:$L$1764, 9)*F306</f>
        <v>0</v>
      </c>
    </row>
    <row r="307" spans="1:8">
      <c r="A307" s="7">
        <v>1486</v>
      </c>
      <c r="B307" s="7">
        <v>298</v>
      </c>
      <c r="C307" s="7" t="s">
        <v>1075</v>
      </c>
      <c r="D307" s="7">
        <v>298</v>
      </c>
      <c r="E307" s="7" t="s">
        <v>459</v>
      </c>
      <c r="F307" s="9">
        <f t="shared" si="4"/>
        <v>11311941</v>
      </c>
      <c r="G307" s="9">
        <f>VLOOKUP(A307, localcont!$D$10:$L$1764, 8)</f>
        <v>5307497.2466114936</v>
      </c>
      <c r="H307" s="109">
        <f>VLOOKUP(A307, localcont!$D$10:$L$1764, 9)*F307</f>
        <v>5670620.3203400727</v>
      </c>
    </row>
    <row r="308" spans="1:8">
      <c r="A308" s="7">
        <v>1491</v>
      </c>
      <c r="B308" s="7">
        <v>299</v>
      </c>
      <c r="C308" s="7" t="s">
        <v>1076</v>
      </c>
      <c r="D308" s="7">
        <v>299</v>
      </c>
      <c r="E308" s="7" t="s">
        <v>460</v>
      </c>
      <c r="F308" s="9">
        <f t="shared" si="4"/>
        <v>7368644</v>
      </c>
      <c r="G308" s="9">
        <f>VLOOKUP(A308, localcont!$D$10:$L$1764, 8)</f>
        <v>0</v>
      </c>
      <c r="H308" s="109">
        <f>VLOOKUP(A308, localcont!$D$10:$L$1764, 9)*F308</f>
        <v>0</v>
      </c>
    </row>
    <row r="309" spans="1:8">
      <c r="A309" s="7">
        <v>1496</v>
      </c>
      <c r="B309" s="7">
        <v>300</v>
      </c>
      <c r="C309" s="7" t="s">
        <v>1077</v>
      </c>
      <c r="D309" s="7">
        <v>300</v>
      </c>
      <c r="E309" s="7" t="s">
        <v>461</v>
      </c>
      <c r="F309" s="9">
        <f t="shared" si="4"/>
        <v>8853747</v>
      </c>
      <c r="G309" s="9">
        <f>VLOOKUP(A309, localcont!$D$10:$L$1764, 8)</f>
        <v>2003679.8419243183</v>
      </c>
      <c r="H309" s="109">
        <f>VLOOKUP(A309, localcont!$D$10:$L$1764, 9)*F309</f>
        <v>8641567.8080271482</v>
      </c>
    </row>
    <row r="310" spans="1:8">
      <c r="A310" s="7">
        <v>1501</v>
      </c>
      <c r="B310" s="7">
        <v>301</v>
      </c>
      <c r="C310" s="7" t="s">
        <v>1078</v>
      </c>
      <c r="D310" s="7">
        <v>301</v>
      </c>
      <c r="E310" s="7" t="s">
        <v>462</v>
      </c>
      <c r="F310" s="9">
        <f t="shared" si="4"/>
        <v>12558765</v>
      </c>
      <c r="G310" s="9">
        <f>VLOOKUP(A310, localcont!$D$10:$L$1764, 8)</f>
        <v>16426722.369211081</v>
      </c>
      <c r="H310" s="109">
        <f>VLOOKUP(A310, localcont!$D$10:$L$1764, 9)*F310</f>
        <v>11381629.10053282</v>
      </c>
    </row>
    <row r="311" spans="1:8">
      <c r="A311" s="7">
        <v>1506</v>
      </c>
      <c r="B311" s="7">
        <v>302</v>
      </c>
      <c r="C311" s="7" t="s">
        <v>1079</v>
      </c>
      <c r="D311" s="7">
        <v>302</v>
      </c>
      <c r="E311" s="7" t="s">
        <v>463</v>
      </c>
      <c r="F311" s="9">
        <f t="shared" si="4"/>
        <v>804408</v>
      </c>
      <c r="G311" s="9">
        <f>VLOOKUP(A311, localcont!$D$10:$L$1764, 8)</f>
        <v>234931.13370609152</v>
      </c>
      <c r="H311" s="109">
        <f>VLOOKUP(A311, localcont!$D$10:$L$1764, 9)*F311</f>
        <v>804408</v>
      </c>
    </row>
    <row r="312" spans="1:8">
      <c r="A312" s="7">
        <v>1511</v>
      </c>
      <c r="B312" s="7">
        <v>303</v>
      </c>
      <c r="C312" s="7" t="s">
        <v>1080</v>
      </c>
      <c r="D312" s="7">
        <v>303</v>
      </c>
      <c r="E312" s="7" t="s">
        <v>464</v>
      </c>
      <c r="F312" s="9">
        <f t="shared" si="4"/>
        <v>9273531</v>
      </c>
      <c r="G312" s="9">
        <f>VLOOKUP(A312, localcont!$D$10:$L$1764, 8)</f>
        <v>53667.33337435819</v>
      </c>
      <c r="H312" s="109">
        <f>VLOOKUP(A312, localcont!$D$10:$L$1764, 9)*F312</f>
        <v>38000.536605658257</v>
      </c>
    </row>
    <row r="313" spans="1:8">
      <c r="A313" s="7">
        <v>1516</v>
      </c>
      <c r="B313" s="7">
        <v>304</v>
      </c>
      <c r="C313" s="7" t="s">
        <v>1081</v>
      </c>
      <c r="D313" s="7">
        <v>304</v>
      </c>
      <c r="E313" s="7" t="s">
        <v>465</v>
      </c>
      <c r="F313" s="9">
        <f t="shared" si="4"/>
        <v>12274871</v>
      </c>
      <c r="G313" s="9">
        <f>VLOOKUP(A313, localcont!$D$10:$L$1764, 8)</f>
        <v>18455125.454438496</v>
      </c>
      <c r="H313" s="109">
        <f>VLOOKUP(A313, localcont!$D$10:$L$1764, 9)*F313</f>
        <v>11013316.610369494</v>
      </c>
    </row>
    <row r="314" spans="1:8">
      <c r="A314" s="7">
        <v>1521</v>
      </c>
      <c r="B314" s="7">
        <v>305</v>
      </c>
      <c r="C314" s="7" t="s">
        <v>1082</v>
      </c>
      <c r="D314" s="7">
        <v>305</v>
      </c>
      <c r="E314" s="7" t="s">
        <v>82</v>
      </c>
      <c r="F314" s="9">
        <f t="shared" si="4"/>
        <v>31974611</v>
      </c>
      <c r="G314" s="9">
        <f>VLOOKUP(A314, localcont!$D$10:$L$1764, 8)</f>
        <v>35673992.74237927</v>
      </c>
      <c r="H314" s="109">
        <f>VLOOKUP(A314, localcont!$D$10:$L$1764, 9)*F314</f>
        <v>31002371.439713258</v>
      </c>
    </row>
    <row r="315" spans="1:8">
      <c r="A315" s="7">
        <v>1526</v>
      </c>
      <c r="B315" s="7">
        <v>306</v>
      </c>
      <c r="C315" s="7" t="s">
        <v>1083</v>
      </c>
      <c r="D315" s="7">
        <v>306</v>
      </c>
      <c r="E315" s="7" t="s">
        <v>466</v>
      </c>
      <c r="F315" s="9">
        <f t="shared" si="4"/>
        <v>1155557</v>
      </c>
      <c r="G315" s="9">
        <f>VLOOKUP(A315, localcont!$D$10:$L$1764, 8)</f>
        <v>1580013.0996064784</v>
      </c>
      <c r="H315" s="109">
        <f>VLOOKUP(A315, localcont!$D$10:$L$1764, 9)*F315</f>
        <v>586608.63880281115</v>
      </c>
    </row>
    <row r="316" spans="1:8">
      <c r="A316" s="7">
        <v>1531</v>
      </c>
      <c r="B316" s="7">
        <v>307</v>
      </c>
      <c r="C316" s="7" t="s">
        <v>1084</v>
      </c>
      <c r="D316" s="7">
        <v>307</v>
      </c>
      <c r="E316" s="7" t="s">
        <v>467</v>
      </c>
      <c r="F316" s="9">
        <f t="shared" si="4"/>
        <v>33482775</v>
      </c>
      <c r="G316" s="9">
        <f>VLOOKUP(A316, localcont!$D$10:$L$1764, 8)</f>
        <v>36969856.911350518</v>
      </c>
      <c r="H316" s="109">
        <f>VLOOKUP(A316, localcont!$D$10:$L$1764, 9)*F316</f>
        <v>32472224.09917156</v>
      </c>
    </row>
    <row r="317" spans="1:8">
      <c r="A317" s="7">
        <v>1536</v>
      </c>
      <c r="B317" s="7">
        <v>308</v>
      </c>
      <c r="C317" s="7" t="s">
        <v>1085</v>
      </c>
      <c r="D317" s="7">
        <v>308</v>
      </c>
      <c r="E317" s="7" t="s">
        <v>468</v>
      </c>
      <c r="F317" s="9">
        <f t="shared" si="4"/>
        <v>67437941</v>
      </c>
      <c r="G317" s="9">
        <f>VLOOKUP(A317, localcont!$D$10:$L$1764, 8)</f>
        <v>65721454.701030053</v>
      </c>
      <c r="H317" s="109">
        <f>VLOOKUP(A317, localcont!$D$10:$L$1764, 9)*F317</f>
        <v>67437941</v>
      </c>
    </row>
    <row r="318" spans="1:8">
      <c r="A318" s="7">
        <v>1541</v>
      </c>
      <c r="B318" s="7">
        <v>309</v>
      </c>
      <c r="C318" s="7" t="s">
        <v>1086</v>
      </c>
      <c r="D318" s="7">
        <v>309</v>
      </c>
      <c r="E318" s="7" t="s">
        <v>469</v>
      </c>
      <c r="F318" s="9">
        <f t="shared" si="4"/>
        <v>5736807</v>
      </c>
      <c r="G318" s="9">
        <f>VLOOKUP(A318, localcont!$D$10:$L$1764, 8)</f>
        <v>14617553.305294422</v>
      </c>
      <c r="H318" s="109">
        <f>VLOOKUP(A318, localcont!$D$10:$L$1764, 9)*F318</f>
        <v>5082379.5292568412</v>
      </c>
    </row>
    <row r="319" spans="1:8">
      <c r="A319" s="7">
        <v>1546</v>
      </c>
      <c r="B319" s="7">
        <v>310</v>
      </c>
      <c r="C319" s="7" t="s">
        <v>1087</v>
      </c>
      <c r="D319" s="7">
        <v>310</v>
      </c>
      <c r="E319" s="7" t="s">
        <v>470</v>
      </c>
      <c r="F319" s="9">
        <f t="shared" si="4"/>
        <v>19261793</v>
      </c>
      <c r="G319" s="9">
        <f>VLOOKUP(A319, localcont!$D$10:$L$1764, 8)</f>
        <v>30448305.403478537</v>
      </c>
      <c r="H319" s="109">
        <f>VLOOKUP(A319, localcont!$D$10:$L$1764, 9)*F319</f>
        <v>17067115.038874198</v>
      </c>
    </row>
    <row r="320" spans="1:8">
      <c r="A320" s="7">
        <v>1551</v>
      </c>
      <c r="B320" s="7">
        <v>311</v>
      </c>
      <c r="C320" s="7" t="s">
        <v>1088</v>
      </c>
      <c r="D320" s="7">
        <v>311</v>
      </c>
      <c r="E320" s="7" t="s">
        <v>471</v>
      </c>
      <c r="F320" s="9">
        <f t="shared" si="4"/>
        <v>2587446</v>
      </c>
      <c r="G320" s="9">
        <f>VLOOKUP(A320, localcont!$D$10:$L$1764, 8)</f>
        <v>0</v>
      </c>
      <c r="H320" s="109">
        <f>VLOOKUP(A320, localcont!$D$10:$L$1764, 9)*F320</f>
        <v>0</v>
      </c>
    </row>
    <row r="321" spans="1:8">
      <c r="A321" s="7">
        <v>1556</v>
      </c>
      <c r="B321" s="7">
        <v>312</v>
      </c>
      <c r="C321" s="7" t="s">
        <v>1090</v>
      </c>
      <c r="D321" s="7">
        <v>312</v>
      </c>
      <c r="E321" s="7" t="s">
        <v>472</v>
      </c>
      <c r="F321" s="9">
        <f t="shared" si="4"/>
        <v>489586</v>
      </c>
      <c r="G321" s="9">
        <f>VLOOKUP(A321, localcont!$D$10:$L$1764, 8)</f>
        <v>0</v>
      </c>
      <c r="H321" s="109">
        <f>VLOOKUP(A321, localcont!$D$10:$L$1764, 9)*F321</f>
        <v>0</v>
      </c>
    </row>
    <row r="322" spans="1:8">
      <c r="A322" s="7">
        <v>1561</v>
      </c>
      <c r="B322" s="7">
        <v>313</v>
      </c>
      <c r="C322" s="7" t="s">
        <v>1091</v>
      </c>
      <c r="D322" s="7">
        <v>313</v>
      </c>
      <c r="E322" s="7" t="s">
        <v>473</v>
      </c>
      <c r="F322" s="9">
        <f t="shared" si="4"/>
        <v>500075</v>
      </c>
      <c r="G322" s="9">
        <f>VLOOKUP(A322, localcont!$D$10:$L$1764, 8)</f>
        <v>26833.666687179095</v>
      </c>
      <c r="H322" s="109">
        <f>VLOOKUP(A322, localcont!$D$10:$L$1764, 9)*F322</f>
        <v>24134.647368437905</v>
      </c>
    </row>
    <row r="323" spans="1:8">
      <c r="A323" s="7">
        <v>1566</v>
      </c>
      <c r="B323" s="7">
        <v>314</v>
      </c>
      <c r="C323" s="7" t="s">
        <v>1092</v>
      </c>
      <c r="D323" s="7">
        <v>314</v>
      </c>
      <c r="E323" s="7" t="s">
        <v>474</v>
      </c>
      <c r="F323" s="9">
        <f t="shared" si="4"/>
        <v>45464408</v>
      </c>
      <c r="G323" s="9">
        <f>VLOOKUP(A323, localcont!$D$10:$L$1764, 8)</f>
        <v>28658582.599711496</v>
      </c>
      <c r="H323" s="109">
        <f>VLOOKUP(A323, localcont!$D$10:$L$1764, 9)*F323</f>
        <v>45464408</v>
      </c>
    </row>
    <row r="324" spans="1:8">
      <c r="A324" s="7">
        <v>1571</v>
      </c>
      <c r="B324" s="7">
        <v>315</v>
      </c>
      <c r="C324" s="7" t="s">
        <v>1093</v>
      </c>
      <c r="D324" s="7">
        <v>315</v>
      </c>
      <c r="E324" s="7" t="s">
        <v>475</v>
      </c>
      <c r="F324" s="9">
        <f t="shared" si="4"/>
        <v>45308874</v>
      </c>
      <c r="G324" s="9">
        <f>VLOOKUP(A324, localcont!$D$10:$L$1764, 8)</f>
        <v>25043290.042167287</v>
      </c>
      <c r="H324" s="109">
        <f>VLOOKUP(A324, localcont!$D$10:$L$1764, 9)*F324</f>
        <v>45308874</v>
      </c>
    </row>
    <row r="325" spans="1:8">
      <c r="A325" s="7">
        <v>1576</v>
      </c>
      <c r="B325" s="7">
        <v>316</v>
      </c>
      <c r="C325" s="7" t="s">
        <v>1094</v>
      </c>
      <c r="D325" s="7">
        <v>316</v>
      </c>
      <c r="E325" s="7" t="s">
        <v>476</v>
      </c>
      <c r="F325" s="9">
        <f t="shared" si="4"/>
        <v>11211307</v>
      </c>
      <c r="G325" s="9">
        <f>VLOOKUP(A325, localcont!$D$10:$L$1764, 8)</f>
        <v>22425991.213709842</v>
      </c>
      <c r="H325" s="109">
        <f>VLOOKUP(A325, localcont!$D$10:$L$1764, 9)*F325</f>
        <v>10111558.525128929</v>
      </c>
    </row>
    <row r="326" spans="1:8">
      <c r="A326" s="7">
        <v>1581</v>
      </c>
      <c r="B326" s="7">
        <v>317</v>
      </c>
      <c r="C326" s="7" t="s">
        <v>1095</v>
      </c>
      <c r="D326" s="7">
        <v>317</v>
      </c>
      <c r="E326" s="7" t="s">
        <v>477</v>
      </c>
      <c r="F326" s="9">
        <f t="shared" si="4"/>
        <v>121172535</v>
      </c>
      <c r="G326" s="9">
        <f>VLOOKUP(A326, localcont!$D$10:$L$1764, 8)</f>
        <v>49446876.963866338</v>
      </c>
      <c r="H326" s="109">
        <f>VLOOKUP(A326, localcont!$D$10:$L$1764, 9)*F326</f>
        <v>121011284.46346758</v>
      </c>
    </row>
    <row r="327" spans="1:8">
      <c r="A327" s="7">
        <v>1586</v>
      </c>
      <c r="B327" s="7">
        <v>318</v>
      </c>
      <c r="C327" s="7" t="s">
        <v>1096</v>
      </c>
      <c r="D327" s="7">
        <v>318</v>
      </c>
      <c r="E327" s="7" t="s">
        <v>478</v>
      </c>
      <c r="F327" s="9">
        <f t="shared" si="4"/>
        <v>10009364</v>
      </c>
      <c r="G327" s="9">
        <f>VLOOKUP(A327, localcont!$D$10:$L$1764, 8)</f>
        <v>1107735.4422992696</v>
      </c>
      <c r="H327" s="109">
        <f>VLOOKUP(A327, localcont!$D$10:$L$1764, 9)*F327</f>
        <v>3788902.2708581472</v>
      </c>
    </row>
    <row r="328" spans="1:8">
      <c r="A328" s="7">
        <v>1591</v>
      </c>
      <c r="B328" s="7">
        <v>319</v>
      </c>
      <c r="C328" s="7" t="s">
        <v>1097</v>
      </c>
      <c r="D328" s="7">
        <v>319</v>
      </c>
      <c r="E328" s="7" t="s">
        <v>479</v>
      </c>
      <c r="F328" s="9">
        <f t="shared" si="4"/>
        <v>597461</v>
      </c>
      <c r="G328" s="9">
        <f>VLOOKUP(A328, localcont!$D$10:$L$1764, 8)</f>
        <v>0</v>
      </c>
      <c r="H328" s="109">
        <f>VLOOKUP(A328, localcont!$D$10:$L$1764, 9)*F328</f>
        <v>0</v>
      </c>
    </row>
    <row r="329" spans="1:8">
      <c r="A329" s="7">
        <v>1596</v>
      </c>
      <c r="B329" s="7">
        <v>320</v>
      </c>
      <c r="C329" s="7" t="s">
        <v>1098</v>
      </c>
      <c r="D329" s="7">
        <v>320</v>
      </c>
      <c r="E329" s="7" t="s">
        <v>480</v>
      </c>
      <c r="F329" s="9">
        <f t="shared" si="4"/>
        <v>8330072</v>
      </c>
      <c r="G329" s="9">
        <f>VLOOKUP(A329, localcont!$D$10:$L$1764, 8)</f>
        <v>0</v>
      </c>
      <c r="H329" s="109">
        <f>VLOOKUP(A329, localcont!$D$10:$L$1764, 9)*F329</f>
        <v>0</v>
      </c>
    </row>
    <row r="330" spans="1:8">
      <c r="A330" s="7">
        <v>1601</v>
      </c>
      <c r="B330" s="7">
        <v>321</v>
      </c>
      <c r="C330" s="7" t="s">
        <v>1099</v>
      </c>
      <c r="D330" s="7">
        <v>321</v>
      </c>
      <c r="E330" s="7" t="s">
        <v>481</v>
      </c>
      <c r="F330" s="9">
        <f t="shared" ref="F330:F393" si="5">VLOOKUP(D330, town351, 7)</f>
        <v>29254151</v>
      </c>
      <c r="G330" s="9">
        <f>VLOOKUP(A330, localcont!$D$10:$L$1764, 8)</f>
        <v>36606246.041138574</v>
      </c>
      <c r="H330" s="109">
        <f>VLOOKUP(A330, localcont!$D$10:$L$1764, 9)*F330</f>
        <v>28737481.767172091</v>
      </c>
    </row>
    <row r="331" spans="1:8">
      <c r="A331" s="7">
        <v>1606</v>
      </c>
      <c r="B331" s="7">
        <v>322</v>
      </c>
      <c r="C331" s="7" t="s">
        <v>1100</v>
      </c>
      <c r="D331" s="7">
        <v>322</v>
      </c>
      <c r="E331" s="7" t="s">
        <v>482</v>
      </c>
      <c r="F331" s="9">
        <f t="shared" si="5"/>
        <v>6707731</v>
      </c>
      <c r="G331" s="9">
        <f>VLOOKUP(A331, localcont!$D$10:$L$1764, 8)</f>
        <v>8877321.1119815204</v>
      </c>
      <c r="H331" s="109">
        <f>VLOOKUP(A331, localcont!$D$10:$L$1764, 9)*F331</f>
        <v>6707731</v>
      </c>
    </row>
    <row r="332" spans="1:8">
      <c r="A332" s="7">
        <v>1611</v>
      </c>
      <c r="B332" s="7">
        <v>323</v>
      </c>
      <c r="C332" s="7" t="s">
        <v>1101</v>
      </c>
      <c r="D332" s="7">
        <v>323</v>
      </c>
      <c r="E332" s="7" t="s">
        <v>483</v>
      </c>
      <c r="F332" s="9">
        <f t="shared" si="5"/>
        <v>7319222</v>
      </c>
      <c r="G332" s="9">
        <f>VLOOKUP(A332, localcont!$D$10:$L$1764, 8)</f>
        <v>10346624.462660685</v>
      </c>
      <c r="H332" s="109">
        <f>VLOOKUP(A332, localcont!$D$10:$L$1764, 9)*F332</f>
        <v>6772620.2904063985</v>
      </c>
    </row>
    <row r="333" spans="1:8">
      <c r="A333" s="7">
        <v>1616</v>
      </c>
      <c r="B333" s="7">
        <v>324</v>
      </c>
      <c r="C333" s="7" t="s">
        <v>1102</v>
      </c>
      <c r="D333" s="7">
        <v>324</v>
      </c>
      <c r="E333" s="7" t="s">
        <v>484</v>
      </c>
      <c r="F333" s="9">
        <f t="shared" si="5"/>
        <v>2955073</v>
      </c>
      <c r="G333" s="9">
        <f>VLOOKUP(A333, localcont!$D$10:$L$1764, 8)</f>
        <v>507435.69877084321</v>
      </c>
      <c r="H333" s="109">
        <f>VLOOKUP(A333, localcont!$D$10:$L$1764, 9)*F333</f>
        <v>253174.78320971527</v>
      </c>
    </row>
    <row r="334" spans="1:8">
      <c r="A334" s="7">
        <v>1621</v>
      </c>
      <c r="B334" s="7">
        <v>325</v>
      </c>
      <c r="C334" s="7" t="s">
        <v>1103</v>
      </c>
      <c r="D334" s="7">
        <v>325</v>
      </c>
      <c r="E334" s="7" t="s">
        <v>485</v>
      </c>
      <c r="F334" s="9">
        <f t="shared" si="5"/>
        <v>26351642</v>
      </c>
      <c r="G334" s="9">
        <f>VLOOKUP(A334, localcont!$D$10:$L$1764, 8)</f>
        <v>60917916.743617475</v>
      </c>
      <c r="H334" s="109">
        <f>VLOOKUP(A334, localcont!$D$10:$L$1764, 9)*F334</f>
        <v>26351642</v>
      </c>
    </row>
    <row r="335" spans="1:8">
      <c r="A335" s="7">
        <v>1626</v>
      </c>
      <c r="B335" s="7">
        <v>326</v>
      </c>
      <c r="C335" s="7" t="s">
        <v>1104</v>
      </c>
      <c r="D335" s="7">
        <v>326</v>
      </c>
      <c r="E335" s="7" t="s">
        <v>486</v>
      </c>
      <c r="F335" s="9">
        <f t="shared" si="5"/>
        <v>35649938</v>
      </c>
      <c r="G335" s="9">
        <f>VLOOKUP(A335, localcont!$D$10:$L$1764, 8)</f>
        <v>46319271.278671294</v>
      </c>
      <c r="H335" s="109">
        <f>VLOOKUP(A335, localcont!$D$10:$L$1764, 9)*F335</f>
        <v>35058446.402736291</v>
      </c>
    </row>
    <row r="336" spans="1:8">
      <c r="A336" s="7">
        <v>1631</v>
      </c>
      <c r="B336" s="7">
        <v>327</v>
      </c>
      <c r="C336" s="7" t="s">
        <v>1105</v>
      </c>
      <c r="D336" s="7">
        <v>327</v>
      </c>
      <c r="E336" s="7" t="s">
        <v>487</v>
      </c>
      <c r="F336" s="9">
        <f t="shared" si="5"/>
        <v>1558516</v>
      </c>
      <c r="G336" s="9">
        <f>VLOOKUP(A336, localcont!$D$10:$L$1764, 8)</f>
        <v>1297572.8942240474</v>
      </c>
      <c r="H336" s="109">
        <f>VLOOKUP(A336, localcont!$D$10:$L$1764, 9)*F336</f>
        <v>909921.05161040369</v>
      </c>
    </row>
    <row r="337" spans="1:8">
      <c r="A337" s="7">
        <v>1636</v>
      </c>
      <c r="B337" s="7">
        <v>328</v>
      </c>
      <c r="C337" s="7" t="s">
        <v>1106</v>
      </c>
      <c r="D337" s="7">
        <v>328</v>
      </c>
      <c r="E337" s="7" t="s">
        <v>488</v>
      </c>
      <c r="F337" s="9">
        <f t="shared" si="5"/>
        <v>7457674</v>
      </c>
      <c r="G337" s="9">
        <f>VLOOKUP(A337, localcont!$D$10:$L$1764, 8)</f>
        <v>0</v>
      </c>
      <c r="H337" s="109">
        <f>VLOOKUP(A337, localcont!$D$10:$L$1764, 9)*F337</f>
        <v>0</v>
      </c>
    </row>
    <row r="338" spans="1:8">
      <c r="A338" s="7">
        <v>1641</v>
      </c>
      <c r="B338" s="7">
        <v>329</v>
      </c>
      <c r="C338" s="7" t="s">
        <v>1107</v>
      </c>
      <c r="D338" s="7">
        <v>329</v>
      </c>
      <c r="E338" s="7" t="s">
        <v>489</v>
      </c>
      <c r="F338" s="9">
        <f t="shared" si="5"/>
        <v>7143057</v>
      </c>
      <c r="G338" s="9">
        <f>VLOOKUP(A338, localcont!$D$10:$L$1764, 8)</f>
        <v>13416.833343589547</v>
      </c>
      <c r="H338" s="109">
        <f>VLOOKUP(A338, localcont!$D$10:$L$1764, 9)*F338</f>
        <v>15107.476746076249</v>
      </c>
    </row>
    <row r="339" spans="1:8">
      <c r="A339" s="7">
        <v>1646</v>
      </c>
      <c r="B339" s="7">
        <v>330</v>
      </c>
      <c r="C339" s="7" t="s">
        <v>1108</v>
      </c>
      <c r="D339" s="7">
        <v>330</v>
      </c>
      <c r="E339" s="7" t="s">
        <v>490</v>
      </c>
      <c r="F339" s="9">
        <f t="shared" si="5"/>
        <v>78545952</v>
      </c>
      <c r="G339" s="9">
        <f>VLOOKUP(A339, localcont!$D$10:$L$1764, 8)</f>
        <v>21251738.294267315</v>
      </c>
      <c r="H339" s="109">
        <f>VLOOKUP(A339, localcont!$D$10:$L$1764, 9)*F339</f>
        <v>78545952</v>
      </c>
    </row>
    <row r="340" spans="1:8">
      <c r="A340" s="7">
        <v>1651</v>
      </c>
      <c r="B340" s="7">
        <v>331</v>
      </c>
      <c r="C340" s="7" t="s">
        <v>1109</v>
      </c>
      <c r="D340" s="7">
        <v>331</v>
      </c>
      <c r="E340" s="7" t="s">
        <v>491</v>
      </c>
      <c r="F340" s="9">
        <f t="shared" si="5"/>
        <v>19357503</v>
      </c>
      <c r="G340" s="9">
        <f>VLOOKUP(A340, localcont!$D$10:$L$1764, 8)</f>
        <v>14885291.294271678</v>
      </c>
      <c r="H340" s="109">
        <f>VLOOKUP(A340, localcont!$D$10:$L$1764, 9)*F340</f>
        <v>16459004.307386842</v>
      </c>
    </row>
    <row r="341" spans="1:8">
      <c r="A341" s="7">
        <v>1656</v>
      </c>
      <c r="B341" s="7">
        <v>332</v>
      </c>
      <c r="C341" s="7" t="s">
        <v>1110</v>
      </c>
      <c r="D341" s="7">
        <v>332</v>
      </c>
      <c r="E341" s="7" t="s">
        <v>492</v>
      </c>
      <c r="F341" s="9">
        <f t="shared" si="5"/>
        <v>20328195</v>
      </c>
      <c r="G341" s="9">
        <f>VLOOKUP(A341, localcont!$D$10:$L$1764, 8)</f>
        <v>46379224.347272687</v>
      </c>
      <c r="H341" s="109">
        <f>VLOOKUP(A341, localcont!$D$10:$L$1764, 9)*F341</f>
        <v>20328195</v>
      </c>
    </row>
    <row r="342" spans="1:8">
      <c r="A342" s="7">
        <v>1661</v>
      </c>
      <c r="B342" s="7">
        <v>333</v>
      </c>
      <c r="C342" s="7" t="s">
        <v>1111</v>
      </c>
      <c r="D342" s="7">
        <v>333</v>
      </c>
      <c r="E342" s="7" t="s">
        <v>493</v>
      </c>
      <c r="F342" s="9">
        <f t="shared" si="5"/>
        <v>2084909</v>
      </c>
      <c r="G342" s="9">
        <f>VLOOKUP(A342, localcont!$D$10:$L$1764, 8)</f>
        <v>0</v>
      </c>
      <c r="H342" s="109">
        <f>VLOOKUP(A342, localcont!$D$10:$L$1764, 9)*F342</f>
        <v>0</v>
      </c>
    </row>
    <row r="343" spans="1:8">
      <c r="A343" s="7">
        <v>1666</v>
      </c>
      <c r="B343" s="7">
        <v>334</v>
      </c>
      <c r="C343" s="7" t="s">
        <v>1112</v>
      </c>
      <c r="D343" s="7">
        <v>334</v>
      </c>
      <c r="E343" s="7" t="s">
        <v>494</v>
      </c>
      <c r="F343" s="9">
        <f t="shared" si="5"/>
        <v>10069614</v>
      </c>
      <c r="G343" s="9">
        <f>VLOOKUP(A343, localcont!$D$10:$L$1764, 8)</f>
        <v>0</v>
      </c>
      <c r="H343" s="109">
        <f>VLOOKUP(A343, localcont!$D$10:$L$1764, 9)*F343</f>
        <v>0</v>
      </c>
    </row>
    <row r="344" spans="1:8">
      <c r="A344" s="7">
        <v>1671</v>
      </c>
      <c r="B344" s="7">
        <v>335</v>
      </c>
      <c r="C344" s="7" t="s">
        <v>1113</v>
      </c>
      <c r="D344" s="7">
        <v>335</v>
      </c>
      <c r="E344" s="7" t="s">
        <v>495</v>
      </c>
      <c r="F344" s="9">
        <f t="shared" si="5"/>
        <v>40096915</v>
      </c>
      <c r="G344" s="9">
        <f>VLOOKUP(A344, localcont!$D$10:$L$1764, 8)</f>
        <v>30014821.710917722</v>
      </c>
      <c r="H344" s="109">
        <f>VLOOKUP(A344, localcont!$D$10:$L$1764, 9)*F344</f>
        <v>39834575.382438622</v>
      </c>
    </row>
    <row r="345" spans="1:8">
      <c r="A345" s="7">
        <v>1676</v>
      </c>
      <c r="B345" s="7">
        <v>336</v>
      </c>
      <c r="C345" s="7" t="s">
        <v>1114</v>
      </c>
      <c r="D345" s="7">
        <v>336</v>
      </c>
      <c r="E345" s="7" t="s">
        <v>496</v>
      </c>
      <c r="F345" s="9">
        <f t="shared" si="5"/>
        <v>50516143</v>
      </c>
      <c r="G345" s="9">
        <f>VLOOKUP(A345, localcont!$D$10:$L$1764, 8)</f>
        <v>69172635.260738254</v>
      </c>
      <c r="H345" s="109">
        <f>VLOOKUP(A345, localcont!$D$10:$L$1764, 9)*F345</f>
        <v>50134108.025999449</v>
      </c>
    </row>
    <row r="346" spans="1:8">
      <c r="A346" s="7">
        <v>1681</v>
      </c>
      <c r="B346" s="7">
        <v>337</v>
      </c>
      <c r="C346" s="7" t="s">
        <v>1115</v>
      </c>
      <c r="D346" s="7">
        <v>337</v>
      </c>
      <c r="E346" s="7" t="s">
        <v>497</v>
      </c>
      <c r="F346" s="9">
        <f t="shared" si="5"/>
        <v>1541292</v>
      </c>
      <c r="G346" s="9">
        <f>VLOOKUP(A346, localcont!$D$10:$L$1764, 8)</f>
        <v>869184.11954740097</v>
      </c>
      <c r="H346" s="109">
        <f>VLOOKUP(A346, localcont!$D$10:$L$1764, 9)*F346</f>
        <v>780409.21466193767</v>
      </c>
    </row>
    <row r="347" spans="1:8">
      <c r="A347" s="7">
        <v>1686</v>
      </c>
      <c r="B347" s="7">
        <v>338</v>
      </c>
      <c r="C347" s="7" t="s">
        <v>1116</v>
      </c>
      <c r="D347" s="7">
        <v>338</v>
      </c>
      <c r="E347" s="7" t="s">
        <v>498</v>
      </c>
      <c r="F347" s="9">
        <f t="shared" si="5"/>
        <v>11363886</v>
      </c>
      <c r="G347" s="9">
        <f>VLOOKUP(A347, localcont!$D$10:$L$1764, 8)</f>
        <v>120751.50009230593</v>
      </c>
      <c r="H347" s="109">
        <f>VLOOKUP(A347, localcont!$D$10:$L$1764, 9)*F347</f>
        <v>54675.1124955821</v>
      </c>
    </row>
    <row r="348" spans="1:8">
      <c r="A348" s="7">
        <v>1691</v>
      </c>
      <c r="B348" s="7">
        <v>339</v>
      </c>
      <c r="C348" s="7" t="s">
        <v>1117</v>
      </c>
      <c r="D348" s="7">
        <v>339</v>
      </c>
      <c r="E348" s="7" t="s">
        <v>499</v>
      </c>
      <c r="F348" s="9">
        <f t="shared" si="5"/>
        <v>15459932</v>
      </c>
      <c r="G348" s="9">
        <f>VLOOKUP(A348, localcont!$D$10:$L$1764, 8)</f>
        <v>0</v>
      </c>
      <c r="H348" s="109">
        <f>VLOOKUP(A348, localcont!$D$10:$L$1764, 9)*F348</f>
        <v>0</v>
      </c>
    </row>
    <row r="349" spans="1:8">
      <c r="A349" s="7">
        <v>1696</v>
      </c>
      <c r="B349" s="7">
        <v>340</v>
      </c>
      <c r="C349" s="7" t="s">
        <v>1118</v>
      </c>
      <c r="D349" s="7">
        <v>340</v>
      </c>
      <c r="E349" s="7" t="s">
        <v>500</v>
      </c>
      <c r="F349" s="9">
        <f t="shared" si="5"/>
        <v>2028468</v>
      </c>
      <c r="G349" s="9">
        <f>VLOOKUP(A349, localcont!$D$10:$L$1764, 8)</f>
        <v>1640814.868103652</v>
      </c>
      <c r="H349" s="109">
        <f>VLOOKUP(A349, localcont!$D$10:$L$1764, 9)*F349</f>
        <v>1206425.9944950561</v>
      </c>
    </row>
    <row r="350" spans="1:8">
      <c r="A350" s="7">
        <v>1701</v>
      </c>
      <c r="B350" s="7">
        <v>341</v>
      </c>
      <c r="C350" s="7" t="s">
        <v>1119</v>
      </c>
      <c r="D350" s="7">
        <v>341</v>
      </c>
      <c r="E350" s="7" t="s">
        <v>501</v>
      </c>
      <c r="F350" s="9">
        <f t="shared" si="5"/>
        <v>7404854</v>
      </c>
      <c r="G350" s="9">
        <f>VLOOKUP(A350, localcont!$D$10:$L$1764, 8)</f>
        <v>3766818.1625702963</v>
      </c>
      <c r="H350" s="109">
        <f>VLOOKUP(A350, localcont!$D$10:$L$1764, 9)*F350</f>
        <v>3856196.1180569502</v>
      </c>
    </row>
    <row r="351" spans="1:8">
      <c r="A351" s="7">
        <v>1706</v>
      </c>
      <c r="B351" s="7">
        <v>342</v>
      </c>
      <c r="C351" s="7" t="s">
        <v>1120</v>
      </c>
      <c r="D351" s="7">
        <v>342</v>
      </c>
      <c r="E351" s="7" t="s">
        <v>83</v>
      </c>
      <c r="F351" s="9">
        <f t="shared" si="5"/>
        <v>28192319</v>
      </c>
      <c r="G351" s="9">
        <f>VLOOKUP(A351, localcont!$D$10:$L$1764, 8)</f>
        <v>34239954.195590727</v>
      </c>
      <c r="H351" s="109">
        <f>VLOOKUP(A351, localcont!$D$10:$L$1764, 9)*F351</f>
        <v>25450477.676742744</v>
      </c>
    </row>
    <row r="352" spans="1:8">
      <c r="A352" s="7">
        <v>1711</v>
      </c>
      <c r="B352" s="7">
        <v>343</v>
      </c>
      <c r="C352" s="7" t="s">
        <v>1121</v>
      </c>
      <c r="D352" s="7">
        <v>343</v>
      </c>
      <c r="E352" s="7" t="s">
        <v>503</v>
      </c>
      <c r="F352" s="9">
        <f t="shared" si="5"/>
        <v>5553156</v>
      </c>
      <c r="G352" s="9">
        <f>VLOOKUP(A352, localcont!$D$10:$L$1764, 8)</f>
        <v>14578929.593496464</v>
      </c>
      <c r="H352" s="109">
        <f>VLOOKUP(A352, localcont!$D$10:$L$1764, 9)*F352</f>
        <v>4719302.6387074236</v>
      </c>
    </row>
    <row r="353" spans="1:8">
      <c r="A353" s="7">
        <v>1716</v>
      </c>
      <c r="B353" s="7">
        <v>344</v>
      </c>
      <c r="C353" s="7" t="s">
        <v>1122</v>
      </c>
      <c r="D353" s="7">
        <v>344</v>
      </c>
      <c r="E353" s="7" t="s">
        <v>504</v>
      </c>
      <c r="F353" s="9">
        <f t="shared" si="5"/>
        <v>56637103</v>
      </c>
      <c r="G353" s="9">
        <f>VLOOKUP(A353, localcont!$D$10:$L$1764, 8)</f>
        <v>43175541.000589445</v>
      </c>
      <c r="H353" s="109">
        <f>VLOOKUP(A353, localcont!$D$10:$L$1764, 9)*F353</f>
        <v>56415616.272774272</v>
      </c>
    </row>
    <row r="354" spans="1:8">
      <c r="A354" s="7">
        <v>1721</v>
      </c>
      <c r="B354" s="7">
        <v>345</v>
      </c>
      <c r="C354" s="7" t="s">
        <v>1123</v>
      </c>
      <c r="D354" s="7">
        <v>345</v>
      </c>
      <c r="E354" s="7" t="s">
        <v>505</v>
      </c>
      <c r="F354" s="9">
        <f t="shared" si="5"/>
        <v>732370</v>
      </c>
      <c r="G354" s="9">
        <f>VLOOKUP(A354, localcont!$D$10:$L$1764, 8)</f>
        <v>26833.666687179095</v>
      </c>
      <c r="H354" s="109">
        <f>VLOOKUP(A354, localcont!$D$10:$L$1764, 9)*F354</f>
        <v>22817.214762279527</v>
      </c>
    </row>
    <row r="355" spans="1:8">
      <c r="A355" s="7">
        <v>1726</v>
      </c>
      <c r="B355" s="7">
        <v>346</v>
      </c>
      <c r="C355" s="7" t="s">
        <v>1124</v>
      </c>
      <c r="D355" s="7">
        <v>346</v>
      </c>
      <c r="E355" s="7" t="s">
        <v>84</v>
      </c>
      <c r="F355" s="9">
        <f t="shared" si="5"/>
        <v>15346048</v>
      </c>
      <c r="G355" s="9">
        <f>VLOOKUP(A355, localcont!$D$10:$L$1764, 8)</f>
        <v>20873787.706656512</v>
      </c>
      <c r="H355" s="109">
        <f>VLOOKUP(A355, localcont!$D$10:$L$1764, 9)*F355</f>
        <v>14667148.57306716</v>
      </c>
    </row>
    <row r="356" spans="1:8">
      <c r="A356" s="7">
        <v>1731</v>
      </c>
      <c r="B356" s="7">
        <v>347</v>
      </c>
      <c r="C356" s="7" t="s">
        <v>1125</v>
      </c>
      <c r="D356" s="7">
        <v>347</v>
      </c>
      <c r="E356" s="7" t="s">
        <v>1125</v>
      </c>
      <c r="F356" s="9">
        <f t="shared" si="5"/>
        <v>45156103</v>
      </c>
      <c r="G356" s="9">
        <f>VLOOKUP(A356, localcont!$D$10:$L$1764, 8)</f>
        <v>50380963.059562519</v>
      </c>
      <c r="H356" s="109">
        <f>VLOOKUP(A356, localcont!$D$10:$L$1764, 9)*F356</f>
        <v>43615297.464003578</v>
      </c>
    </row>
    <row r="357" spans="1:8">
      <c r="A357" s="7">
        <v>1736</v>
      </c>
      <c r="B357" s="7">
        <v>348</v>
      </c>
      <c r="C357" s="7" t="s">
        <v>1126</v>
      </c>
      <c r="D357" s="7">
        <v>348</v>
      </c>
      <c r="E357" s="7" t="s">
        <v>506</v>
      </c>
      <c r="F357" s="9">
        <f t="shared" si="5"/>
        <v>97023474</v>
      </c>
      <c r="G357" s="9">
        <f>VLOOKUP(A357, localcont!$D$10:$L$1764, 8)</f>
        <v>342886580.84977067</v>
      </c>
      <c r="H357" s="109">
        <f>VLOOKUP(A357, localcont!$D$10:$L$1764, 9)*F357</f>
        <v>97023474</v>
      </c>
    </row>
    <row r="358" spans="1:8">
      <c r="A358" s="7">
        <v>1741</v>
      </c>
      <c r="B358" s="7">
        <v>349</v>
      </c>
      <c r="C358" s="7" t="s">
        <v>1127</v>
      </c>
      <c r="D358" s="7">
        <v>349</v>
      </c>
      <c r="E358" s="7" t="s">
        <v>507</v>
      </c>
      <c r="F358" s="9">
        <f t="shared" si="5"/>
        <v>1095182</v>
      </c>
      <c r="G358" s="9">
        <f>VLOOKUP(A358, localcont!$D$10:$L$1764, 8)</f>
        <v>1160346.2789760442</v>
      </c>
      <c r="H358" s="109">
        <f>VLOOKUP(A358, localcont!$D$10:$L$1764, 9)*F358</f>
        <v>1095182</v>
      </c>
    </row>
    <row r="359" spans="1:8">
      <c r="A359" s="7">
        <v>1746</v>
      </c>
      <c r="B359" s="7">
        <v>350</v>
      </c>
      <c r="C359" s="7" t="s">
        <v>1128</v>
      </c>
      <c r="D359" s="7">
        <v>350</v>
      </c>
      <c r="E359" s="7" t="s">
        <v>508</v>
      </c>
      <c r="F359" s="9">
        <f t="shared" si="5"/>
        <v>15573600</v>
      </c>
      <c r="G359" s="9">
        <f>VLOOKUP(A359, localcont!$D$10:$L$1764, 8)</f>
        <v>8596118.8600556906</v>
      </c>
      <c r="H359" s="109">
        <f>VLOOKUP(A359, localcont!$D$10:$L$1764, 9)*F359</f>
        <v>7393354.762710575</v>
      </c>
    </row>
    <row r="360" spans="1:8">
      <c r="A360" s="7">
        <v>1751</v>
      </c>
      <c r="B360" s="7">
        <v>351</v>
      </c>
      <c r="C360" s="7" t="s">
        <v>1129</v>
      </c>
      <c r="D360" s="7">
        <v>351</v>
      </c>
      <c r="E360" s="7" t="s">
        <v>509</v>
      </c>
      <c r="F360" s="9">
        <f t="shared" si="5"/>
        <v>30366107</v>
      </c>
      <c r="G360" s="9">
        <f>VLOOKUP(A360, localcont!$D$10:$L$1764, 8)</f>
        <v>0</v>
      </c>
      <c r="H360" s="109">
        <f>VLOOKUP(A360, localcont!$D$10:$L$1764, 9)*F360</f>
        <v>0</v>
      </c>
    </row>
    <row r="361" spans="1:8">
      <c r="A361" s="7">
        <v>1047</v>
      </c>
      <c r="B361" s="7">
        <v>210</v>
      </c>
      <c r="C361" s="7" t="s">
        <v>954</v>
      </c>
      <c r="D361" s="7">
        <v>406</v>
      </c>
      <c r="E361" s="7" t="s">
        <v>567</v>
      </c>
      <c r="F361" s="9">
        <f t="shared" si="5"/>
        <v>30366107</v>
      </c>
      <c r="G361" s="9">
        <f>VLOOKUP(A361, localcont!$D$10:$L$1764, 8)</f>
        <v>2248554.7171424888</v>
      </c>
      <c r="H361" s="109">
        <f>VLOOKUP(A361, localcont!$D$10:$L$1764, 9)*F361</f>
        <v>2263325.3965315521</v>
      </c>
    </row>
    <row r="362" spans="1:8">
      <c r="A362" s="7">
        <v>7</v>
      </c>
      <c r="B362" s="7">
        <v>2</v>
      </c>
      <c r="C362" s="7" t="s">
        <v>1163</v>
      </c>
      <c r="D362" s="7">
        <v>600</v>
      </c>
      <c r="E362" s="7" t="s">
        <v>1156</v>
      </c>
      <c r="F362" s="9">
        <f t="shared" si="5"/>
        <v>30366107</v>
      </c>
      <c r="G362" s="9">
        <f>VLOOKUP(A362, localcont!$D$10:$L$1764, 8)</f>
        <v>45276746.926569961</v>
      </c>
      <c r="H362" s="109">
        <f>VLOOKUP(A362, localcont!$D$10:$L$1764, 9)*F362</f>
        <v>29929345.08196963</v>
      </c>
    </row>
    <row r="363" spans="1:8">
      <c r="A363" s="7">
        <v>182</v>
      </c>
      <c r="B363" s="7">
        <v>37</v>
      </c>
      <c r="C363" s="7" t="s">
        <v>690</v>
      </c>
      <c r="D363" s="7">
        <v>600</v>
      </c>
      <c r="E363" s="7" t="s">
        <v>1156</v>
      </c>
      <c r="F363" s="9">
        <f t="shared" si="5"/>
        <v>30366107</v>
      </c>
      <c r="G363" s="9">
        <f>VLOOKUP(A363, localcont!$D$10:$L$1764, 8)</f>
        <v>8144819.9814218283</v>
      </c>
      <c r="H363" s="109">
        <f>VLOOKUP(A363, localcont!$D$10:$L$1764, 9)*F363</f>
        <v>30040121.065729391</v>
      </c>
    </row>
    <row r="364" spans="1:8">
      <c r="A364" s="7">
        <v>17</v>
      </c>
      <c r="B364" s="7">
        <v>4</v>
      </c>
      <c r="C364" s="7" t="s">
        <v>1169</v>
      </c>
      <c r="D364" s="7">
        <v>603</v>
      </c>
      <c r="E364" s="7" t="s">
        <v>568</v>
      </c>
      <c r="F364" s="9">
        <f t="shared" si="5"/>
        <v>30366107</v>
      </c>
      <c r="G364" s="9">
        <f>VLOOKUP(A364, localcont!$D$10:$L$1764, 8)</f>
        <v>10863964.258104581</v>
      </c>
      <c r="H364" s="109">
        <f>VLOOKUP(A364, localcont!$D$10:$L$1764, 9)*F364</f>
        <v>25030211.445061918</v>
      </c>
    </row>
    <row r="365" spans="1:8">
      <c r="A365" s="7">
        <v>287</v>
      </c>
      <c r="B365" s="7">
        <v>58</v>
      </c>
      <c r="C365" s="7" t="s">
        <v>722</v>
      </c>
      <c r="D365" s="7">
        <v>603</v>
      </c>
      <c r="E365" s="7" t="s">
        <v>568</v>
      </c>
      <c r="F365" s="9">
        <f t="shared" si="5"/>
        <v>30366107</v>
      </c>
      <c r="G365" s="9">
        <f>VLOOKUP(A365, localcont!$D$10:$L$1764, 8)</f>
        <v>4191608.2570829401</v>
      </c>
      <c r="H365" s="109">
        <f>VLOOKUP(A365, localcont!$D$10:$L$1764, 9)*F365</f>
        <v>25979995.2337678</v>
      </c>
    </row>
    <row r="366" spans="1:8">
      <c r="A366" s="7">
        <v>37</v>
      </c>
      <c r="B366" s="7">
        <v>8</v>
      </c>
      <c r="C366" s="7" t="s">
        <v>3</v>
      </c>
      <c r="D366" s="7">
        <v>605</v>
      </c>
      <c r="E366" s="7" t="s">
        <v>569</v>
      </c>
      <c r="F366" s="9">
        <f t="shared" si="5"/>
        <v>30366107</v>
      </c>
      <c r="G366" s="9">
        <f>VLOOKUP(A366, localcont!$D$10:$L$1764, 8)</f>
        <v>12882913.965432739</v>
      </c>
      <c r="H366" s="109">
        <f>VLOOKUP(A366, localcont!$D$10:$L$1764, 9)*F366</f>
        <v>15803562.206880642</v>
      </c>
    </row>
    <row r="367" spans="1:8">
      <c r="A367" s="7">
        <v>767</v>
      </c>
      <c r="B367" s="7">
        <v>154</v>
      </c>
      <c r="C367" s="7" t="s">
        <v>852</v>
      </c>
      <c r="D367" s="7">
        <v>605</v>
      </c>
      <c r="E367" s="7" t="s">
        <v>569</v>
      </c>
      <c r="F367" s="9">
        <f t="shared" si="5"/>
        <v>30366107</v>
      </c>
      <c r="G367" s="9">
        <f>VLOOKUP(A367, localcont!$D$10:$L$1764, 8)</f>
        <v>914697.91197362053</v>
      </c>
      <c r="H367" s="109">
        <f>VLOOKUP(A367, localcont!$D$10:$L$1764, 9)*F367</f>
        <v>13165353.756736791</v>
      </c>
    </row>
    <row r="368" spans="1:8">
      <c r="A368" s="7">
        <v>1147</v>
      </c>
      <c r="B368" s="7">
        <v>230</v>
      </c>
      <c r="C368" s="7" t="s">
        <v>991</v>
      </c>
      <c r="D368" s="7">
        <v>605</v>
      </c>
      <c r="E368" s="7" t="s">
        <v>569</v>
      </c>
      <c r="F368" s="9">
        <f t="shared" si="5"/>
        <v>30366107</v>
      </c>
      <c r="G368" s="9">
        <f>VLOOKUP(A368, localcont!$D$10:$L$1764, 8)</f>
        <v>716329.69005018077</v>
      </c>
      <c r="H368" s="109">
        <f>VLOOKUP(A368, localcont!$D$10:$L$1764, 9)*F368</f>
        <v>14066763.793291239</v>
      </c>
    </row>
    <row r="369" spans="1:8">
      <c r="A369" s="7">
        <v>1357</v>
      </c>
      <c r="B369" s="7">
        <v>272</v>
      </c>
      <c r="C369" s="7" t="s">
        <v>1042</v>
      </c>
      <c r="D369" s="7">
        <v>605</v>
      </c>
      <c r="E369" s="7" t="s">
        <v>569</v>
      </c>
      <c r="F369" s="9">
        <f t="shared" si="5"/>
        <v>30366107</v>
      </c>
      <c r="G369" s="9">
        <f>VLOOKUP(A369, localcont!$D$10:$L$1764, 8)</f>
        <v>1333475.269297116</v>
      </c>
      <c r="H369" s="109">
        <f>VLOOKUP(A369, localcont!$D$10:$L$1764, 9)*F369</f>
        <v>16253387.973419474</v>
      </c>
    </row>
    <row r="370" spans="1:8">
      <c r="A370" s="7">
        <v>52</v>
      </c>
      <c r="B370" s="7">
        <v>11</v>
      </c>
      <c r="C370" s="7" t="s">
        <v>8</v>
      </c>
      <c r="D370" s="7">
        <v>610</v>
      </c>
      <c r="E370" s="7" t="s">
        <v>570</v>
      </c>
      <c r="F370" s="9">
        <f t="shared" si="5"/>
        <v>30366107</v>
      </c>
      <c r="G370" s="9">
        <f>VLOOKUP(A370, localcont!$D$10:$L$1764, 8)</f>
        <v>10271473.085981885</v>
      </c>
      <c r="H370" s="109">
        <f>VLOOKUP(A370, localcont!$D$10:$L$1764, 9)*F370</f>
        <v>27906039.543622706</v>
      </c>
    </row>
    <row r="371" spans="1:8">
      <c r="A371" s="7">
        <v>1637</v>
      </c>
      <c r="B371" s="7">
        <v>328</v>
      </c>
      <c r="C371" s="7" t="s">
        <v>1106</v>
      </c>
      <c r="D371" s="7">
        <v>610</v>
      </c>
      <c r="E371" s="7" t="s">
        <v>570</v>
      </c>
      <c r="F371" s="9">
        <f t="shared" si="5"/>
        <v>30366107</v>
      </c>
      <c r="G371" s="9">
        <f>VLOOKUP(A371, localcont!$D$10:$L$1764, 8)</f>
        <v>11324709.742871594</v>
      </c>
      <c r="H371" s="109">
        <f>VLOOKUP(A371, localcont!$D$10:$L$1764, 9)*F371</f>
        <v>27555110.255187206</v>
      </c>
    </row>
    <row r="372" spans="1:8">
      <c r="A372" s="7">
        <v>72</v>
      </c>
      <c r="B372" s="7">
        <v>15</v>
      </c>
      <c r="C372" s="7" t="s">
        <v>17</v>
      </c>
      <c r="D372" s="7">
        <v>615</v>
      </c>
      <c r="E372" s="7" t="s">
        <v>571</v>
      </c>
      <c r="F372" s="9">
        <f t="shared" si="5"/>
        <v>30366107</v>
      </c>
      <c r="G372" s="9">
        <f>VLOOKUP(A372, localcont!$D$10:$L$1764, 8)</f>
        <v>17227673.804291498</v>
      </c>
      <c r="H372" s="109">
        <f>VLOOKUP(A372, localcont!$D$10:$L$1764, 9)*F372</f>
        <v>28130015.432665613</v>
      </c>
    </row>
    <row r="373" spans="1:8">
      <c r="A373" s="7">
        <v>1272</v>
      </c>
      <c r="B373" s="7">
        <v>255</v>
      </c>
      <c r="C373" s="7" t="s">
        <v>1025</v>
      </c>
      <c r="D373" s="7">
        <v>615</v>
      </c>
      <c r="E373" s="7" t="s">
        <v>571</v>
      </c>
      <c r="F373" s="9">
        <f t="shared" si="5"/>
        <v>30366107</v>
      </c>
      <c r="G373" s="9">
        <f>VLOOKUP(A373, localcont!$D$10:$L$1764, 8)</f>
        <v>1376112.9684709888</v>
      </c>
      <c r="H373" s="109">
        <f>VLOOKUP(A373, localcont!$D$10:$L$1764, 9)*F373</f>
        <v>25950099.967623767</v>
      </c>
    </row>
    <row r="374" spans="1:8">
      <c r="A374" s="7">
        <v>92</v>
      </c>
      <c r="B374" s="7">
        <v>19</v>
      </c>
      <c r="C374" s="7" t="s">
        <v>25</v>
      </c>
      <c r="D374" s="7">
        <v>616</v>
      </c>
      <c r="E374" s="7" t="s">
        <v>687</v>
      </c>
      <c r="F374" s="9">
        <f t="shared" si="5"/>
        <v>30366107</v>
      </c>
      <c r="G374" s="9">
        <f>VLOOKUP(A374, localcont!$D$10:$L$1764, 8)</f>
        <v>10071670.788638301</v>
      </c>
      <c r="H374" s="109">
        <f>VLOOKUP(A374, localcont!$D$10:$L$1764, 9)*F374</f>
        <v>28221070.206935603</v>
      </c>
    </row>
    <row r="375" spans="1:8">
      <c r="A375" s="7">
        <v>1347</v>
      </c>
      <c r="B375" s="7">
        <v>270</v>
      </c>
      <c r="C375" s="7" t="s">
        <v>1040</v>
      </c>
      <c r="D375" s="7">
        <v>616</v>
      </c>
      <c r="E375" s="7" t="s">
        <v>687</v>
      </c>
      <c r="F375" s="9">
        <f t="shared" si="5"/>
        <v>30366107</v>
      </c>
      <c r="G375" s="9">
        <f>VLOOKUP(A375, localcont!$D$10:$L$1764, 8)</f>
        <v>7788093.9463285636</v>
      </c>
      <c r="H375" s="109">
        <f>VLOOKUP(A375, localcont!$D$10:$L$1764, 9)*F375</f>
        <v>27142326.704026688</v>
      </c>
    </row>
    <row r="376" spans="1:8">
      <c r="A376" s="7">
        <v>562</v>
      </c>
      <c r="B376" s="7">
        <v>113</v>
      </c>
      <c r="C376" s="7" t="s">
        <v>803</v>
      </c>
      <c r="D376" s="7">
        <v>618</v>
      </c>
      <c r="E376" s="7" t="s">
        <v>572</v>
      </c>
      <c r="F376" s="9">
        <f t="shared" si="5"/>
        <v>30366107</v>
      </c>
      <c r="G376" s="9">
        <f>VLOOKUP(A376, localcont!$D$10:$L$1764, 8)</f>
        <v>8362503.402399309</v>
      </c>
      <c r="H376" s="109">
        <f>VLOOKUP(A376, localcont!$D$10:$L$1764, 9)*F376</f>
        <v>30366107</v>
      </c>
    </row>
    <row r="377" spans="1:8">
      <c r="A377" s="7">
        <v>1412</v>
      </c>
      <c r="B377" s="7">
        <v>283</v>
      </c>
      <c r="C377" s="7" t="s">
        <v>1060</v>
      </c>
      <c r="D377" s="7">
        <v>618</v>
      </c>
      <c r="E377" s="7" t="s">
        <v>572</v>
      </c>
      <c r="F377" s="9">
        <f t="shared" si="5"/>
        <v>30366107</v>
      </c>
      <c r="G377" s="9">
        <f>VLOOKUP(A377, localcont!$D$10:$L$1764, 8)</f>
        <v>1636141.9700497673</v>
      </c>
      <c r="H377" s="109">
        <f>VLOOKUP(A377, localcont!$D$10:$L$1764, 9)*F377</f>
        <v>30366107</v>
      </c>
    </row>
    <row r="378" spans="1:8">
      <c r="A378" s="7">
        <v>1662</v>
      </c>
      <c r="B378" s="7">
        <v>333</v>
      </c>
      <c r="C378" s="7" t="s">
        <v>1111</v>
      </c>
      <c r="D378" s="7">
        <v>618</v>
      </c>
      <c r="E378" s="7" t="s">
        <v>572</v>
      </c>
      <c r="F378" s="9">
        <f t="shared" si="5"/>
        <v>30366107</v>
      </c>
      <c r="G378" s="9">
        <f>VLOOKUP(A378, localcont!$D$10:$L$1764, 8)</f>
        <v>1593367.0165889598</v>
      </c>
      <c r="H378" s="109">
        <f>VLOOKUP(A378, localcont!$D$10:$L$1764, 9)*F378</f>
        <v>30366107</v>
      </c>
    </row>
    <row r="379" spans="1:8">
      <c r="A379" s="7">
        <v>137</v>
      </c>
      <c r="B379" s="7">
        <v>28</v>
      </c>
      <c r="C379" s="7" t="s">
        <v>41</v>
      </c>
      <c r="D379" s="7">
        <v>620</v>
      </c>
      <c r="E379" s="7" t="s">
        <v>573</v>
      </c>
      <c r="F379" s="9">
        <f t="shared" si="5"/>
        <v>30366107</v>
      </c>
      <c r="G379" s="9">
        <f>VLOOKUP(A379, localcont!$D$10:$L$1764, 8)</f>
        <v>1914408.0785531555</v>
      </c>
      <c r="H379" s="109">
        <f>VLOOKUP(A379, localcont!$D$10:$L$1764, 9)*F379</f>
        <v>15143044.697311519</v>
      </c>
    </row>
    <row r="380" spans="1:8">
      <c r="A380" s="7">
        <v>192</v>
      </c>
      <c r="B380" s="7">
        <v>39</v>
      </c>
      <c r="C380" s="7" t="s">
        <v>693</v>
      </c>
      <c r="D380" s="7">
        <v>620</v>
      </c>
      <c r="E380" s="7" t="s">
        <v>573</v>
      </c>
      <c r="F380" s="9">
        <f t="shared" si="5"/>
        <v>30366107</v>
      </c>
      <c r="G380" s="9">
        <f>VLOOKUP(A380, localcont!$D$10:$L$1764, 8)</f>
        <v>3333207.9744029245</v>
      </c>
      <c r="H380" s="109">
        <f>VLOOKUP(A380, localcont!$D$10:$L$1764, 9)*F380</f>
        <v>16975203.860885937</v>
      </c>
    </row>
    <row r="381" spans="1:8">
      <c r="A381" s="7">
        <v>157</v>
      </c>
      <c r="B381" s="7">
        <v>32</v>
      </c>
      <c r="C381" s="7" t="s">
        <v>49</v>
      </c>
      <c r="D381" s="7">
        <v>622</v>
      </c>
      <c r="E381" s="7" t="s">
        <v>574</v>
      </c>
      <c r="F381" s="9">
        <f t="shared" si="5"/>
        <v>30366107</v>
      </c>
      <c r="G381" s="9">
        <f>VLOOKUP(A381, localcont!$D$10:$L$1764, 8)</f>
        <v>12940178.889133006</v>
      </c>
      <c r="H381" s="109">
        <f>VLOOKUP(A381, localcont!$D$10:$L$1764, 9)*F381</f>
        <v>27322331.519805357</v>
      </c>
    </row>
    <row r="382" spans="1:8">
      <c r="A382" s="7">
        <v>937</v>
      </c>
      <c r="B382" s="7">
        <v>188</v>
      </c>
      <c r="C382" s="7" t="s">
        <v>927</v>
      </c>
      <c r="D382" s="7">
        <v>622</v>
      </c>
      <c r="E382" s="7" t="s">
        <v>574</v>
      </c>
      <c r="F382" s="9">
        <f t="shared" si="5"/>
        <v>30366107</v>
      </c>
      <c r="G382" s="9">
        <f>VLOOKUP(A382, localcont!$D$10:$L$1764, 8)</f>
        <v>4787963.7034962215</v>
      </c>
      <c r="H382" s="109">
        <f>VLOOKUP(A382, localcont!$D$10:$L$1764, 9)*F382</f>
        <v>26430160.13125192</v>
      </c>
    </row>
    <row r="383" spans="1:8">
      <c r="A383" s="7">
        <v>207</v>
      </c>
      <c r="B383" s="7">
        <v>42</v>
      </c>
      <c r="C383" s="7" t="s">
        <v>697</v>
      </c>
      <c r="D383" s="7">
        <v>625</v>
      </c>
      <c r="E383" s="7" t="s">
        <v>575</v>
      </c>
      <c r="F383" s="9">
        <f t="shared" si="5"/>
        <v>30366107</v>
      </c>
      <c r="G383" s="9">
        <f>VLOOKUP(A383, localcont!$D$10:$L$1764, 8)</f>
        <v>31693234.615528297</v>
      </c>
      <c r="H383" s="109">
        <f>VLOOKUP(A383, localcont!$D$10:$L$1764, 9)*F383</f>
        <v>28444209.073236767</v>
      </c>
    </row>
    <row r="384" spans="1:8">
      <c r="A384" s="7">
        <v>1222</v>
      </c>
      <c r="B384" s="7">
        <v>245</v>
      </c>
      <c r="C384" s="7" t="s">
        <v>1015</v>
      </c>
      <c r="D384" s="7">
        <v>625</v>
      </c>
      <c r="E384" s="7" t="s">
        <v>575</v>
      </c>
      <c r="F384" s="9">
        <f t="shared" si="5"/>
        <v>30366107</v>
      </c>
      <c r="G384" s="9">
        <f>VLOOKUP(A384, localcont!$D$10:$L$1764, 8)</f>
        <v>21173614.646341994</v>
      </c>
      <c r="H384" s="109">
        <f>VLOOKUP(A384, localcont!$D$10:$L$1764, 9)*F384</f>
        <v>27037095.404124238</v>
      </c>
    </row>
    <row r="385" spans="1:8">
      <c r="A385" s="7">
        <v>297</v>
      </c>
      <c r="B385" s="7">
        <v>60</v>
      </c>
      <c r="C385" s="7" t="s">
        <v>724</v>
      </c>
      <c r="D385" s="7">
        <v>632</v>
      </c>
      <c r="E385" s="7" t="s">
        <v>725</v>
      </c>
      <c r="F385" s="9">
        <f t="shared" si="5"/>
        <v>30366107</v>
      </c>
      <c r="G385" s="9">
        <f>VLOOKUP(A385, localcont!$D$10:$L$1764, 8)</f>
        <v>616846.35495207075</v>
      </c>
      <c r="H385" s="109">
        <f>VLOOKUP(A385, localcont!$D$10:$L$1764, 9)*F385</f>
        <v>12370844.322129318</v>
      </c>
    </row>
    <row r="386" spans="1:8">
      <c r="A386" s="7">
        <v>537</v>
      </c>
      <c r="B386" s="7">
        <v>108</v>
      </c>
      <c r="C386" s="7" t="s">
        <v>798</v>
      </c>
      <c r="D386" s="7">
        <v>632</v>
      </c>
      <c r="E386" s="7" t="s">
        <v>725</v>
      </c>
      <c r="F386" s="9">
        <f t="shared" si="5"/>
        <v>30366107</v>
      </c>
      <c r="G386" s="9">
        <f>VLOOKUP(A386, localcont!$D$10:$L$1764, 8)</f>
        <v>578293.45776308456</v>
      </c>
      <c r="H386" s="109">
        <f>VLOOKUP(A386, localcont!$D$10:$L$1764, 9)*F386</f>
        <v>16078354.42885498</v>
      </c>
    </row>
    <row r="387" spans="1:8">
      <c r="A387" s="7">
        <v>107</v>
      </c>
      <c r="B387" s="7">
        <v>22</v>
      </c>
      <c r="C387" s="7" t="s">
        <v>30</v>
      </c>
      <c r="D387" s="7">
        <v>635</v>
      </c>
      <c r="E387" s="7" t="s">
        <v>576</v>
      </c>
      <c r="F387" s="9">
        <f t="shared" si="5"/>
        <v>30366107</v>
      </c>
      <c r="G387" s="9">
        <f>VLOOKUP(A387, localcont!$D$10:$L$1764, 8)</f>
        <v>2157367.3835463608</v>
      </c>
      <c r="H387" s="109">
        <f>VLOOKUP(A387, localcont!$D$10:$L$1764, 9)*F387</f>
        <v>28109195.918826997</v>
      </c>
    </row>
    <row r="388" spans="1:8">
      <c r="A388" s="7">
        <v>342</v>
      </c>
      <c r="B388" s="7">
        <v>69</v>
      </c>
      <c r="C388" s="7" t="s">
        <v>741</v>
      </c>
      <c r="D388" s="7">
        <v>635</v>
      </c>
      <c r="E388" s="7" t="s">
        <v>576</v>
      </c>
      <c r="F388" s="9">
        <f t="shared" si="5"/>
        <v>30366107</v>
      </c>
      <c r="G388" s="9">
        <f>VLOOKUP(A388, localcont!$D$10:$L$1764, 8)</f>
        <v>793748.37700314145</v>
      </c>
      <c r="H388" s="109">
        <f>VLOOKUP(A388, localcont!$D$10:$L$1764, 9)*F388</f>
        <v>26356535.141051825</v>
      </c>
    </row>
    <row r="389" spans="1:8">
      <c r="A389" s="7">
        <v>347</v>
      </c>
      <c r="B389" s="7">
        <v>70</v>
      </c>
      <c r="C389" s="7" t="s">
        <v>742</v>
      </c>
      <c r="D389" s="7">
        <v>635</v>
      </c>
      <c r="E389" s="7" t="s">
        <v>576</v>
      </c>
      <c r="F389" s="9">
        <f t="shared" si="5"/>
        <v>30366107</v>
      </c>
      <c r="G389" s="9">
        <f>VLOOKUP(A389, localcont!$D$10:$L$1764, 8)</f>
        <v>9250221.4698985219</v>
      </c>
      <c r="H389" s="109">
        <f>VLOOKUP(A389, localcont!$D$10:$L$1764, 9)*F389</f>
        <v>29597234.013697606</v>
      </c>
    </row>
    <row r="390" spans="1:8">
      <c r="A390" s="7">
        <v>657</v>
      </c>
      <c r="B390" s="7">
        <v>132</v>
      </c>
      <c r="C390" s="7" t="s">
        <v>828</v>
      </c>
      <c r="D390" s="7">
        <v>635</v>
      </c>
      <c r="E390" s="7" t="s">
        <v>576</v>
      </c>
      <c r="F390" s="9">
        <f t="shared" si="5"/>
        <v>30366107</v>
      </c>
      <c r="G390" s="9">
        <f>VLOOKUP(A390, localcont!$D$10:$L$1764, 8)</f>
        <v>2106486.0773733621</v>
      </c>
      <c r="H390" s="109">
        <f>VLOOKUP(A390, localcont!$D$10:$L$1764, 9)*F390</f>
        <v>27413472.569744188</v>
      </c>
    </row>
    <row r="391" spans="1:8">
      <c r="A391" s="7">
        <v>1162</v>
      </c>
      <c r="B391" s="7">
        <v>233</v>
      </c>
      <c r="C391" s="7" t="s">
        <v>1002</v>
      </c>
      <c r="D391" s="7">
        <v>635</v>
      </c>
      <c r="E391" s="7" t="s">
        <v>576</v>
      </c>
      <c r="F391" s="9">
        <f t="shared" si="5"/>
        <v>30366107</v>
      </c>
      <c r="G391" s="9">
        <f>VLOOKUP(A391, localcont!$D$10:$L$1764, 8)</f>
        <v>1099036.214208839</v>
      </c>
      <c r="H391" s="109">
        <f>VLOOKUP(A391, localcont!$D$10:$L$1764, 9)*F391</f>
        <v>27664337.563461732</v>
      </c>
    </row>
    <row r="392" spans="1:8">
      <c r="A392" s="7">
        <v>1562</v>
      </c>
      <c r="B392" s="7">
        <v>313</v>
      </c>
      <c r="C392" s="7" t="s">
        <v>1091</v>
      </c>
      <c r="D392" s="7">
        <v>635</v>
      </c>
      <c r="E392" s="7" t="s">
        <v>576</v>
      </c>
      <c r="F392" s="9">
        <f t="shared" si="5"/>
        <v>30366107</v>
      </c>
      <c r="G392" s="9">
        <f>VLOOKUP(A392, localcont!$D$10:$L$1764, 8)</f>
        <v>529165.584668761</v>
      </c>
      <c r="H392" s="109">
        <f>VLOOKUP(A392, localcont!$D$10:$L$1764, 9)*F392</f>
        <v>28900576.260816369</v>
      </c>
    </row>
    <row r="393" spans="1:8">
      <c r="A393" s="7">
        <v>1722</v>
      </c>
      <c r="B393" s="7">
        <v>345</v>
      </c>
      <c r="C393" s="7" t="s">
        <v>1123</v>
      </c>
      <c r="D393" s="7">
        <v>635</v>
      </c>
      <c r="E393" s="7" t="s">
        <v>576</v>
      </c>
      <c r="F393" s="9">
        <f t="shared" si="5"/>
        <v>30366107</v>
      </c>
      <c r="G393" s="9">
        <f>VLOOKUP(A393, localcont!$D$10:$L$1764, 8)</f>
        <v>834453.42187445855</v>
      </c>
      <c r="H393" s="109">
        <f>VLOOKUP(A393, localcont!$D$10:$L$1764, 9)*F393</f>
        <v>29420041.507266328</v>
      </c>
    </row>
    <row r="394" spans="1:8">
      <c r="A394" s="7">
        <v>252</v>
      </c>
      <c r="B394" s="7">
        <v>51</v>
      </c>
      <c r="C394" s="7" t="s">
        <v>709</v>
      </c>
      <c r="D394" s="7">
        <v>640</v>
      </c>
      <c r="E394" s="7" t="s">
        <v>577</v>
      </c>
      <c r="F394" s="9">
        <f t="shared" ref="F394:F457" si="6">VLOOKUP(D394, town351, 7)</f>
        <v>30366107</v>
      </c>
      <c r="G394" s="9">
        <f>VLOOKUP(A394, localcont!$D$10:$L$1764, 8)</f>
        <v>3757506.2427333463</v>
      </c>
      <c r="H394" s="109">
        <f>VLOOKUP(A394, localcont!$D$10:$L$1764, 9)*F394</f>
        <v>12812121.992535377</v>
      </c>
    </row>
    <row r="395" spans="1:8">
      <c r="A395" s="7">
        <v>332</v>
      </c>
      <c r="B395" s="7">
        <v>67</v>
      </c>
      <c r="C395" s="7" t="s">
        <v>738</v>
      </c>
      <c r="D395" s="7">
        <v>640</v>
      </c>
      <c r="E395" s="7" t="s">
        <v>577</v>
      </c>
      <c r="F395" s="9">
        <f t="shared" si="6"/>
        <v>30366107</v>
      </c>
      <c r="G395" s="9">
        <f>VLOOKUP(A395, localcont!$D$10:$L$1764, 8)</f>
        <v>10477879.945895102</v>
      </c>
      <c r="H395" s="109">
        <f>VLOOKUP(A395, localcont!$D$10:$L$1764, 9)*F395</f>
        <v>10724112.567923553</v>
      </c>
    </row>
    <row r="396" spans="1:8">
      <c r="A396" s="7">
        <v>372</v>
      </c>
      <c r="B396" s="7">
        <v>75</v>
      </c>
      <c r="C396" s="7" t="s">
        <v>752</v>
      </c>
      <c r="D396" s="7">
        <v>645</v>
      </c>
      <c r="E396" s="7" t="s">
        <v>578</v>
      </c>
      <c r="F396" s="9">
        <f t="shared" si="6"/>
        <v>30366107</v>
      </c>
      <c r="G396" s="9">
        <f>VLOOKUP(A396, localcont!$D$10:$L$1764, 8)</f>
        <v>12471792.568949893</v>
      </c>
      <c r="H396" s="109">
        <f>VLOOKUP(A396, localcont!$D$10:$L$1764, 9)*F396</f>
        <v>27907525.667301193</v>
      </c>
    </row>
    <row r="397" spans="1:8">
      <c r="A397" s="7">
        <v>1752</v>
      </c>
      <c r="B397" s="7">
        <v>351</v>
      </c>
      <c r="C397" s="7" t="s">
        <v>1129</v>
      </c>
      <c r="D397" s="7">
        <v>645</v>
      </c>
      <c r="E397" s="7" t="s">
        <v>578</v>
      </c>
      <c r="F397" s="9">
        <f t="shared" si="6"/>
        <v>30366107</v>
      </c>
      <c r="G397" s="9">
        <f>VLOOKUP(A397, localcont!$D$10:$L$1764, 8)</f>
        <v>24361496.288160823</v>
      </c>
      <c r="H397" s="109">
        <f>VLOOKUP(A397, localcont!$D$10:$L$1764, 9)*F397</f>
        <v>27802141.481247179</v>
      </c>
    </row>
    <row r="398" spans="1:8">
      <c r="A398" s="7">
        <v>377</v>
      </c>
      <c r="B398" s="7">
        <v>76</v>
      </c>
      <c r="C398" s="7" t="s">
        <v>754</v>
      </c>
      <c r="D398" s="7">
        <v>650</v>
      </c>
      <c r="E398" s="7" t="s">
        <v>579</v>
      </c>
      <c r="F398" s="9">
        <f t="shared" si="6"/>
        <v>30366107</v>
      </c>
      <c r="G398" s="9">
        <f>VLOOKUP(A398, localcont!$D$10:$L$1764, 8)</f>
        <v>12070657.191849373</v>
      </c>
      <c r="H398" s="109">
        <f>VLOOKUP(A398, localcont!$D$10:$L$1764, 9)*F398</f>
        <v>27128838.097034693</v>
      </c>
    </row>
    <row r="399" spans="1:8">
      <c r="A399" s="7">
        <v>1232</v>
      </c>
      <c r="B399" s="7">
        <v>247</v>
      </c>
      <c r="C399" s="7" t="s">
        <v>1017</v>
      </c>
      <c r="D399" s="7">
        <v>650</v>
      </c>
      <c r="E399" s="7" t="s">
        <v>579</v>
      </c>
      <c r="F399" s="9">
        <f t="shared" si="6"/>
        <v>30366107</v>
      </c>
      <c r="G399" s="9">
        <f>VLOOKUP(A399, localcont!$D$10:$L$1764, 8)</f>
        <v>16710934.423681956</v>
      </c>
      <c r="H399" s="109">
        <f>VLOOKUP(A399, localcont!$D$10:$L$1764, 9)*F399</f>
        <v>28182926.807081122</v>
      </c>
    </row>
    <row r="400" spans="1:8">
      <c r="A400" s="7">
        <v>387</v>
      </c>
      <c r="B400" s="7">
        <v>78</v>
      </c>
      <c r="C400" s="7" t="s">
        <v>757</v>
      </c>
      <c r="D400" s="7">
        <v>655</v>
      </c>
      <c r="E400" s="7" t="s">
        <v>580</v>
      </c>
      <c r="F400" s="9">
        <f t="shared" si="6"/>
        <v>30366107</v>
      </c>
      <c r="G400" s="9">
        <f>VLOOKUP(A400, localcont!$D$10:$L$1764, 8)</f>
        <v>6620408.4658686053</v>
      </c>
      <c r="H400" s="109">
        <f>VLOOKUP(A400, localcont!$D$10:$L$1764, 9)*F400</f>
        <v>18045199.897986677</v>
      </c>
    </row>
    <row r="401" spans="1:8">
      <c r="A401" s="7">
        <v>1342</v>
      </c>
      <c r="B401" s="7">
        <v>269</v>
      </c>
      <c r="C401" s="7" t="s">
        <v>1039</v>
      </c>
      <c r="D401" s="7">
        <v>655</v>
      </c>
      <c r="E401" s="7" t="s">
        <v>580</v>
      </c>
      <c r="F401" s="9">
        <f t="shared" si="6"/>
        <v>30366107</v>
      </c>
      <c r="G401" s="9">
        <f>VLOOKUP(A401, localcont!$D$10:$L$1764, 8)</f>
        <v>5228219.6962845325</v>
      </c>
      <c r="H401" s="109">
        <f>VLOOKUP(A401, localcont!$D$10:$L$1764, 9)*F401</f>
        <v>17572015.789338209</v>
      </c>
    </row>
    <row r="402" spans="1:8">
      <c r="A402" s="7">
        <v>267</v>
      </c>
      <c r="B402" s="7">
        <v>54</v>
      </c>
      <c r="C402" s="7" t="s">
        <v>714</v>
      </c>
      <c r="D402" s="7">
        <v>658</v>
      </c>
      <c r="E402" s="7" t="s">
        <v>581</v>
      </c>
      <c r="F402" s="9">
        <f t="shared" si="6"/>
        <v>30366107</v>
      </c>
      <c r="G402" s="9">
        <f>VLOOKUP(A402, localcont!$D$10:$L$1764, 8)</f>
        <v>19832734.185498331</v>
      </c>
      <c r="H402" s="109">
        <f>VLOOKUP(A402, localcont!$D$10:$L$1764, 9)*F402</f>
        <v>26688681.198941052</v>
      </c>
    </row>
    <row r="403" spans="1:8">
      <c r="A403" s="7">
        <v>397</v>
      </c>
      <c r="B403" s="7">
        <v>80</v>
      </c>
      <c r="C403" s="7" t="s">
        <v>763</v>
      </c>
      <c r="D403" s="7">
        <v>658</v>
      </c>
      <c r="E403" s="7" t="s">
        <v>581</v>
      </c>
      <c r="F403" s="9">
        <f t="shared" si="6"/>
        <v>30366107</v>
      </c>
      <c r="G403" s="9">
        <f>VLOOKUP(A403, localcont!$D$10:$L$1764, 8)</f>
        <v>17887961.346121069</v>
      </c>
      <c r="H403" s="109">
        <f>VLOOKUP(A403, localcont!$D$10:$L$1764, 9)*F403</f>
        <v>27368679.715331521</v>
      </c>
    </row>
    <row r="404" spans="1:8">
      <c r="A404" s="7">
        <v>202</v>
      </c>
      <c r="B404" s="7">
        <v>41</v>
      </c>
      <c r="C404" s="7" t="s">
        <v>695</v>
      </c>
      <c r="D404" s="7">
        <v>660</v>
      </c>
      <c r="E404" s="7" t="s">
        <v>582</v>
      </c>
      <c r="F404" s="9">
        <f t="shared" si="6"/>
        <v>30366107</v>
      </c>
      <c r="G404" s="9">
        <f>VLOOKUP(A404, localcont!$D$10:$L$1764, 8)</f>
        <v>5721735.3782170611</v>
      </c>
      <c r="H404" s="109">
        <f>VLOOKUP(A404, localcont!$D$10:$L$1764, 9)*F404</f>
        <v>15389577.875808163</v>
      </c>
    </row>
    <row r="405" spans="1:8">
      <c r="A405" s="7">
        <v>422</v>
      </c>
      <c r="B405" s="7">
        <v>85</v>
      </c>
      <c r="C405" s="7" t="s">
        <v>770</v>
      </c>
      <c r="D405" s="7">
        <v>660</v>
      </c>
      <c r="E405" s="7" t="s">
        <v>582</v>
      </c>
      <c r="F405" s="9">
        <f t="shared" si="6"/>
        <v>30366107</v>
      </c>
      <c r="G405" s="9">
        <f>VLOOKUP(A405, localcont!$D$10:$L$1764, 8)</f>
        <v>2654631.3861451084</v>
      </c>
      <c r="H405" s="109">
        <f>VLOOKUP(A405, localcont!$D$10:$L$1764, 9)*F405</f>
        <v>16925990.453302626</v>
      </c>
    </row>
    <row r="406" spans="1:8">
      <c r="A406" s="7">
        <v>1117</v>
      </c>
      <c r="B406" s="7">
        <v>224</v>
      </c>
      <c r="C406" s="7" t="s">
        <v>973</v>
      </c>
      <c r="D406" s="7">
        <v>660</v>
      </c>
      <c r="E406" s="7" t="s">
        <v>582</v>
      </c>
      <c r="F406" s="9">
        <f t="shared" si="6"/>
        <v>30366107</v>
      </c>
      <c r="G406" s="9">
        <f>VLOOKUP(A406, localcont!$D$10:$L$1764, 8)</f>
        <v>2443106.9729806012</v>
      </c>
      <c r="H406" s="109">
        <f>VLOOKUP(A406, localcont!$D$10:$L$1764, 9)*F406</f>
        <v>15216435.666728422</v>
      </c>
    </row>
    <row r="407" spans="1:8">
      <c r="A407" s="7">
        <v>1587</v>
      </c>
      <c r="B407" s="7">
        <v>318</v>
      </c>
      <c r="C407" s="7" t="s">
        <v>1096</v>
      </c>
      <c r="D407" s="7">
        <v>660</v>
      </c>
      <c r="E407" s="7" t="s">
        <v>582</v>
      </c>
      <c r="F407" s="9">
        <f t="shared" si="6"/>
        <v>30366107</v>
      </c>
      <c r="G407" s="9">
        <f>VLOOKUP(A407, localcont!$D$10:$L$1764, 8)</f>
        <v>1671042.8646366228</v>
      </c>
      <c r="H407" s="109">
        <f>VLOOKUP(A407, localcont!$D$10:$L$1764, 9)*F407</f>
        <v>17339939.480438545</v>
      </c>
    </row>
    <row r="408" spans="1:8">
      <c r="A408" s="7">
        <v>1122</v>
      </c>
      <c r="B408" s="7">
        <v>225</v>
      </c>
      <c r="C408" s="7" t="s">
        <v>983</v>
      </c>
      <c r="D408" s="7">
        <v>662</v>
      </c>
      <c r="E408" s="7" t="s">
        <v>984</v>
      </c>
      <c r="F408" s="9">
        <f t="shared" si="6"/>
        <v>30366107</v>
      </c>
      <c r="G408" s="9">
        <f>VLOOKUP(A408, localcont!$D$10:$L$1764, 8)</f>
        <v>1514902.1916247443</v>
      </c>
      <c r="H408" s="109">
        <f>VLOOKUP(A408, localcont!$D$10:$L$1764, 9)*F408</f>
        <v>30366107</v>
      </c>
    </row>
    <row r="409" spans="1:8">
      <c r="A409" s="7">
        <v>1297</v>
      </c>
      <c r="B409" s="7">
        <v>260</v>
      </c>
      <c r="C409" s="7" t="s">
        <v>1030</v>
      </c>
      <c r="D409" s="7">
        <v>662</v>
      </c>
      <c r="E409" s="7" t="s">
        <v>984</v>
      </c>
      <c r="F409" s="9">
        <f t="shared" si="6"/>
        <v>30366107</v>
      </c>
      <c r="G409" s="9">
        <f>VLOOKUP(A409, localcont!$D$10:$L$1764, 8)</f>
        <v>854038.81944231491</v>
      </c>
      <c r="H409" s="109">
        <f>VLOOKUP(A409, localcont!$D$10:$L$1764, 9)*F409</f>
        <v>30366107</v>
      </c>
    </row>
    <row r="410" spans="1:8">
      <c r="A410" s="7">
        <v>507</v>
      </c>
      <c r="B410" s="7">
        <v>102</v>
      </c>
      <c r="C410" s="7" t="s">
        <v>790</v>
      </c>
      <c r="D410" s="7">
        <v>665</v>
      </c>
      <c r="E410" s="7" t="s">
        <v>583</v>
      </c>
      <c r="F410" s="9">
        <f t="shared" si="6"/>
        <v>30366107</v>
      </c>
      <c r="G410" s="9">
        <f>VLOOKUP(A410, localcont!$D$10:$L$1764, 8)</f>
        <v>11649998.937541919</v>
      </c>
      <c r="H410" s="109">
        <f>VLOOKUP(A410, localcont!$D$10:$L$1764, 9)*F410</f>
        <v>26916524.800567765</v>
      </c>
    </row>
    <row r="411" spans="1:8">
      <c r="A411" s="7">
        <v>727</v>
      </c>
      <c r="B411" s="7">
        <v>146</v>
      </c>
      <c r="C411" s="7" t="s">
        <v>843</v>
      </c>
      <c r="D411" s="7">
        <v>665</v>
      </c>
      <c r="E411" s="7" t="s">
        <v>583</v>
      </c>
      <c r="F411" s="9">
        <f t="shared" si="6"/>
        <v>30366107</v>
      </c>
      <c r="G411" s="9">
        <f>VLOOKUP(A411, localcont!$D$10:$L$1764, 8)</f>
        <v>15299048.191376863</v>
      </c>
      <c r="H411" s="109">
        <f>VLOOKUP(A411, localcont!$D$10:$L$1764, 9)*F411</f>
        <v>26778589.080411494</v>
      </c>
    </row>
    <row r="412" spans="1:8">
      <c r="A412" s="7">
        <v>337</v>
      </c>
      <c r="B412" s="7">
        <v>68</v>
      </c>
      <c r="C412" s="7" t="s">
        <v>739</v>
      </c>
      <c r="D412" s="7">
        <v>670</v>
      </c>
      <c r="E412" s="7" t="s">
        <v>584</v>
      </c>
      <c r="F412" s="9">
        <f t="shared" si="6"/>
        <v>30366107</v>
      </c>
      <c r="G412" s="9">
        <f>VLOOKUP(A412, localcont!$D$10:$L$1764, 8)</f>
        <v>1010955.8847614642</v>
      </c>
      <c r="H412" s="109">
        <f>VLOOKUP(A412, localcont!$D$10:$L$1764, 9)*F412</f>
        <v>13555042.190847492</v>
      </c>
    </row>
    <row r="413" spans="1:8">
      <c r="A413" s="7">
        <v>367</v>
      </c>
      <c r="B413" s="7">
        <v>74</v>
      </c>
      <c r="C413" s="7" t="s">
        <v>751</v>
      </c>
      <c r="D413" s="7">
        <v>670</v>
      </c>
      <c r="E413" s="7" t="s">
        <v>584</v>
      </c>
      <c r="F413" s="9">
        <f t="shared" si="6"/>
        <v>30366107</v>
      </c>
      <c r="G413" s="9">
        <f>VLOOKUP(A413, localcont!$D$10:$L$1764, 8)</f>
        <v>2668089.7577499342</v>
      </c>
      <c r="H413" s="109">
        <f>VLOOKUP(A413, localcont!$D$10:$L$1764, 9)*F413</f>
        <v>13321553.375598479</v>
      </c>
    </row>
    <row r="414" spans="1:8">
      <c r="A414" s="7">
        <v>1442</v>
      </c>
      <c r="B414" s="7">
        <v>289</v>
      </c>
      <c r="C414" s="7" t="s">
        <v>1066</v>
      </c>
      <c r="D414" s="7">
        <v>670</v>
      </c>
      <c r="E414" s="7" t="s">
        <v>584</v>
      </c>
      <c r="F414" s="9">
        <f t="shared" si="6"/>
        <v>30366107</v>
      </c>
      <c r="G414" s="9">
        <f>VLOOKUP(A414, localcont!$D$10:$L$1764, 8)</f>
        <v>1354889.3300997755</v>
      </c>
      <c r="H414" s="109">
        <f>VLOOKUP(A414, localcont!$D$10:$L$1764, 9)*F414</f>
        <v>11806392.404535595</v>
      </c>
    </row>
    <row r="415" spans="1:8">
      <c r="A415" s="7">
        <v>1682</v>
      </c>
      <c r="B415" s="7">
        <v>337</v>
      </c>
      <c r="C415" s="7" t="s">
        <v>1115</v>
      </c>
      <c r="D415" s="7">
        <v>670</v>
      </c>
      <c r="E415" s="7" t="s">
        <v>584</v>
      </c>
      <c r="F415" s="9">
        <f t="shared" si="6"/>
        <v>30366107</v>
      </c>
      <c r="G415" s="9">
        <f>VLOOKUP(A415, localcont!$D$10:$L$1764, 8)</f>
        <v>698289.11630335706</v>
      </c>
      <c r="H415" s="109">
        <f>VLOOKUP(A415, localcont!$D$10:$L$1764, 9)*F415</f>
        <v>12352363.761210244</v>
      </c>
    </row>
    <row r="416" spans="1:8">
      <c r="A416" s="7">
        <v>162</v>
      </c>
      <c r="B416" s="7">
        <v>33</v>
      </c>
      <c r="C416" s="7" t="s">
        <v>55</v>
      </c>
      <c r="D416" s="7">
        <v>672</v>
      </c>
      <c r="E416" s="7" t="s">
        <v>585</v>
      </c>
      <c r="F416" s="9">
        <f t="shared" si="6"/>
        <v>30366107</v>
      </c>
      <c r="G416" s="9">
        <f>VLOOKUP(A416, localcont!$D$10:$L$1764, 8)</f>
        <v>1208476.0080638039</v>
      </c>
      <c r="H416" s="109">
        <f>VLOOKUP(A416, localcont!$D$10:$L$1764, 9)*F416</f>
        <v>28469640.293405384</v>
      </c>
    </row>
    <row r="417" spans="1:8">
      <c r="A417" s="7">
        <v>292</v>
      </c>
      <c r="B417" s="7">
        <v>59</v>
      </c>
      <c r="C417" s="7" t="s">
        <v>723</v>
      </c>
      <c r="D417" s="7">
        <v>672</v>
      </c>
      <c r="E417" s="7" t="s">
        <v>585</v>
      </c>
      <c r="F417" s="9">
        <f t="shared" si="6"/>
        <v>30366107</v>
      </c>
      <c r="G417" s="9">
        <f>VLOOKUP(A417, localcont!$D$10:$L$1764, 8)</f>
        <v>1577163.603706918</v>
      </c>
      <c r="H417" s="109">
        <f>VLOOKUP(A417, localcont!$D$10:$L$1764, 9)*F417</f>
        <v>28659476.242783926</v>
      </c>
    </row>
    <row r="418" spans="1:8">
      <c r="A418" s="7">
        <v>712</v>
      </c>
      <c r="B418" s="7">
        <v>143</v>
      </c>
      <c r="C418" s="7" t="s">
        <v>840</v>
      </c>
      <c r="D418" s="7">
        <v>672</v>
      </c>
      <c r="E418" s="7" t="s">
        <v>585</v>
      </c>
      <c r="F418" s="9">
        <f t="shared" si="6"/>
        <v>30366107</v>
      </c>
      <c r="G418" s="9">
        <f>VLOOKUP(A418, localcont!$D$10:$L$1764, 8)</f>
        <v>2683226.3908199887</v>
      </c>
      <c r="H418" s="109">
        <f>VLOOKUP(A418, localcont!$D$10:$L$1764, 9)*F418</f>
        <v>26764676.358246494</v>
      </c>
    </row>
    <row r="419" spans="1:8">
      <c r="A419" s="7">
        <v>912</v>
      </c>
      <c r="B419" s="7">
        <v>183</v>
      </c>
      <c r="C419" s="7" t="s">
        <v>922</v>
      </c>
      <c r="D419" s="7">
        <v>672</v>
      </c>
      <c r="E419" s="7" t="s">
        <v>585</v>
      </c>
      <c r="F419" s="9">
        <f t="shared" si="6"/>
        <v>30366107</v>
      </c>
      <c r="G419" s="9">
        <f>VLOOKUP(A419, localcont!$D$10:$L$1764, 8)</f>
        <v>378928.9178208654</v>
      </c>
      <c r="H419" s="109">
        <f>VLOOKUP(A419, localcont!$D$10:$L$1764, 9)*F419</f>
        <v>26598926.902743474</v>
      </c>
    </row>
    <row r="420" spans="1:8">
      <c r="A420" s="7">
        <v>967</v>
      </c>
      <c r="B420" s="7">
        <v>194</v>
      </c>
      <c r="C420" s="7" t="s">
        <v>933</v>
      </c>
      <c r="D420" s="7">
        <v>672</v>
      </c>
      <c r="E420" s="7" t="s">
        <v>585</v>
      </c>
      <c r="F420" s="9">
        <f t="shared" si="6"/>
        <v>30366107</v>
      </c>
      <c r="G420" s="9">
        <f>VLOOKUP(A420, localcont!$D$10:$L$1764, 8)</f>
        <v>706651.22502856737</v>
      </c>
      <c r="H420" s="109">
        <f>VLOOKUP(A420, localcont!$D$10:$L$1764, 9)*F420</f>
        <v>27260606.051697623</v>
      </c>
    </row>
    <row r="421" spans="1:8">
      <c r="A421" s="7">
        <v>1277</v>
      </c>
      <c r="B421" s="7">
        <v>256</v>
      </c>
      <c r="C421" s="7" t="s">
        <v>1026</v>
      </c>
      <c r="D421" s="7">
        <v>672</v>
      </c>
      <c r="E421" s="7" t="s">
        <v>585</v>
      </c>
      <c r="F421" s="9">
        <f t="shared" si="6"/>
        <v>30366107</v>
      </c>
      <c r="G421" s="9">
        <f>VLOOKUP(A421, localcont!$D$10:$L$1764, 8)</f>
        <v>2632019.7802986903</v>
      </c>
      <c r="H421" s="109">
        <f>VLOOKUP(A421, localcont!$D$10:$L$1764, 9)*F421</f>
        <v>27825650.385741685</v>
      </c>
    </row>
    <row r="422" spans="1:8">
      <c r="A422" s="7">
        <v>1742</v>
      </c>
      <c r="B422" s="7">
        <v>349</v>
      </c>
      <c r="C422" s="7" t="s">
        <v>1127</v>
      </c>
      <c r="D422" s="7">
        <v>672</v>
      </c>
      <c r="E422" s="7" t="s">
        <v>585</v>
      </c>
      <c r="F422" s="9">
        <f t="shared" si="6"/>
        <v>30366107</v>
      </c>
      <c r="G422" s="9">
        <f>VLOOKUP(A422, localcont!$D$10:$L$1764, 8)</f>
        <v>0</v>
      </c>
      <c r="H422" s="109">
        <f>VLOOKUP(A422, localcont!$D$10:$L$1764, 9)*F422</f>
        <v>0</v>
      </c>
    </row>
    <row r="423" spans="1:8">
      <c r="A423" s="7">
        <v>402</v>
      </c>
      <c r="B423" s="7">
        <v>81</v>
      </c>
      <c r="C423" s="7" t="s">
        <v>764</v>
      </c>
      <c r="D423" s="7">
        <v>673</v>
      </c>
      <c r="E423" s="7" t="s">
        <v>586</v>
      </c>
      <c r="F423" s="9">
        <f t="shared" si="6"/>
        <v>30366107</v>
      </c>
      <c r="G423" s="9">
        <f>VLOOKUP(A423, localcont!$D$10:$L$1764, 8)</f>
        <v>5126556.2259136112</v>
      </c>
      <c r="H423" s="109">
        <f>VLOOKUP(A423, localcont!$D$10:$L$1764, 9)*F423</f>
        <v>29336202.808990899</v>
      </c>
    </row>
    <row r="424" spans="1:8">
      <c r="A424" s="7">
        <v>572</v>
      </c>
      <c r="B424" s="7">
        <v>115</v>
      </c>
      <c r="C424" s="7" t="s">
        <v>806</v>
      </c>
      <c r="D424" s="7">
        <v>673</v>
      </c>
      <c r="E424" s="7" t="s">
        <v>586</v>
      </c>
      <c r="F424" s="9">
        <f t="shared" si="6"/>
        <v>30366107</v>
      </c>
      <c r="G424" s="9">
        <f>VLOOKUP(A424, localcont!$D$10:$L$1764, 8)</f>
        <v>17247973.499029644</v>
      </c>
      <c r="H424" s="109">
        <f>VLOOKUP(A424, localcont!$D$10:$L$1764, 9)*F424</f>
        <v>29309164.12691471</v>
      </c>
    </row>
    <row r="425" spans="1:8">
      <c r="A425" s="7">
        <v>527</v>
      </c>
      <c r="B425" s="7">
        <v>106</v>
      </c>
      <c r="C425" s="7" t="s">
        <v>795</v>
      </c>
      <c r="D425" s="7">
        <v>674</v>
      </c>
      <c r="E425" s="7" t="s">
        <v>587</v>
      </c>
      <c r="F425" s="9">
        <f t="shared" si="6"/>
        <v>30366107</v>
      </c>
      <c r="G425" s="9">
        <f>VLOOKUP(A425, localcont!$D$10:$L$1764, 8)</f>
        <v>1642742.9850434961</v>
      </c>
      <c r="H425" s="109">
        <f>VLOOKUP(A425, localcont!$D$10:$L$1764, 9)*F425</f>
        <v>27583494.564063907</v>
      </c>
    </row>
    <row r="426" spans="1:8">
      <c r="A426" s="7">
        <v>957</v>
      </c>
      <c r="B426" s="7">
        <v>192</v>
      </c>
      <c r="C426" s="7" t="s">
        <v>931</v>
      </c>
      <c r="D426" s="7">
        <v>674</v>
      </c>
      <c r="E426" s="7" t="s">
        <v>587</v>
      </c>
      <c r="F426" s="9">
        <f t="shared" si="6"/>
        <v>30366107</v>
      </c>
      <c r="G426" s="9">
        <f>VLOOKUP(A426, localcont!$D$10:$L$1764, 8)</f>
        <v>9962441.3282840066</v>
      </c>
      <c r="H426" s="109">
        <f>VLOOKUP(A426, localcont!$D$10:$L$1764, 9)*F426</f>
        <v>27652234.029497743</v>
      </c>
    </row>
    <row r="427" spans="1:8">
      <c r="A427" s="7">
        <v>592</v>
      </c>
      <c r="B427" s="7">
        <v>119</v>
      </c>
      <c r="C427" s="7" t="s">
        <v>812</v>
      </c>
      <c r="D427" s="7">
        <v>675</v>
      </c>
      <c r="E427" s="7" t="s">
        <v>588</v>
      </c>
      <c r="F427" s="9">
        <f t="shared" si="6"/>
        <v>30366107</v>
      </c>
      <c r="G427" s="9">
        <f>VLOOKUP(A427, localcont!$D$10:$L$1764, 8)</f>
        <v>10773113.457402205</v>
      </c>
      <c r="H427" s="109">
        <f>VLOOKUP(A427, localcont!$D$10:$L$1764, 9)*F427</f>
        <v>29751091.816925991</v>
      </c>
    </row>
    <row r="428" spans="1:8">
      <c r="A428" s="7">
        <v>1597</v>
      </c>
      <c r="B428" s="7">
        <v>320</v>
      </c>
      <c r="C428" s="7" t="s">
        <v>1098</v>
      </c>
      <c r="D428" s="7">
        <v>675</v>
      </c>
      <c r="E428" s="7" t="s">
        <v>588</v>
      </c>
      <c r="F428" s="9">
        <f t="shared" si="6"/>
        <v>30366107</v>
      </c>
      <c r="G428" s="9">
        <f>VLOOKUP(A428, localcont!$D$10:$L$1764, 8)</f>
        <v>5923295.4775531432</v>
      </c>
      <c r="H428" s="109">
        <f>VLOOKUP(A428, localcont!$D$10:$L$1764, 9)*F428</f>
        <v>29571938.736782994</v>
      </c>
    </row>
    <row r="429" spans="1:8">
      <c r="A429" s="7">
        <v>597</v>
      </c>
      <c r="B429" s="7">
        <v>120</v>
      </c>
      <c r="C429" s="7" t="s">
        <v>814</v>
      </c>
      <c r="D429" s="7">
        <v>680</v>
      </c>
      <c r="E429" s="7" t="s">
        <v>589</v>
      </c>
      <c r="F429" s="9">
        <f t="shared" si="6"/>
        <v>30366107</v>
      </c>
      <c r="G429" s="9">
        <f>VLOOKUP(A429, localcont!$D$10:$L$1764, 8)</f>
        <v>6987783.7096305136</v>
      </c>
      <c r="H429" s="109">
        <f>VLOOKUP(A429, localcont!$D$10:$L$1764, 9)*F429</f>
        <v>30366107</v>
      </c>
    </row>
    <row r="430" spans="1:8">
      <c r="A430" s="7">
        <v>1692</v>
      </c>
      <c r="B430" s="7">
        <v>339</v>
      </c>
      <c r="C430" s="7" t="s">
        <v>1117</v>
      </c>
      <c r="D430" s="7">
        <v>680</v>
      </c>
      <c r="E430" s="7" t="s">
        <v>589</v>
      </c>
      <c r="F430" s="9">
        <f t="shared" si="6"/>
        <v>30366107</v>
      </c>
      <c r="G430" s="9">
        <f>VLOOKUP(A430, localcont!$D$10:$L$1764, 8)</f>
        <v>22695534.133417137</v>
      </c>
      <c r="H430" s="109">
        <f>VLOOKUP(A430, localcont!$D$10:$L$1764, 9)*F430</f>
        <v>30366107</v>
      </c>
    </row>
    <row r="431" spans="1:8">
      <c r="A431" s="7">
        <v>298</v>
      </c>
      <c r="B431" s="7">
        <v>60</v>
      </c>
      <c r="C431" s="7" t="s">
        <v>724</v>
      </c>
      <c r="D431" s="7">
        <v>683</v>
      </c>
      <c r="E431" s="7" t="s">
        <v>590</v>
      </c>
      <c r="F431" s="9">
        <f t="shared" si="6"/>
        <v>30366107</v>
      </c>
      <c r="G431" s="9">
        <f>VLOOKUP(A431, localcont!$D$10:$L$1764, 8)</f>
        <v>630161.56481918681</v>
      </c>
      <c r="H431" s="109">
        <f>VLOOKUP(A431, localcont!$D$10:$L$1764, 9)*F431</f>
        <v>12637880.654694455</v>
      </c>
    </row>
    <row r="432" spans="1:8">
      <c r="A432" s="7">
        <v>538</v>
      </c>
      <c r="B432" s="7">
        <v>108</v>
      </c>
      <c r="C432" s="7" t="s">
        <v>798</v>
      </c>
      <c r="D432" s="7">
        <v>683</v>
      </c>
      <c r="E432" s="7" t="s">
        <v>590</v>
      </c>
      <c r="F432" s="9">
        <f t="shared" si="6"/>
        <v>30366107</v>
      </c>
      <c r="G432" s="9">
        <f>VLOOKUP(A432, localcont!$D$10:$L$1764, 8)</f>
        <v>406555.8482658398</v>
      </c>
      <c r="H432" s="109">
        <f>VLOOKUP(A432, localcont!$D$10:$L$1764, 9)*F432</f>
        <v>11303515.431122059</v>
      </c>
    </row>
    <row r="433" spans="1:8">
      <c r="A433" s="7">
        <v>1372</v>
      </c>
      <c r="B433" s="7">
        <v>275</v>
      </c>
      <c r="C433" s="7" t="s">
        <v>1045</v>
      </c>
      <c r="D433" s="7">
        <v>683</v>
      </c>
      <c r="E433" s="7" t="s">
        <v>590</v>
      </c>
      <c r="F433" s="9">
        <f t="shared" si="6"/>
        <v>30366107</v>
      </c>
      <c r="G433" s="9">
        <f>VLOOKUP(A433, localcont!$D$10:$L$1764, 8)</f>
        <v>4055394.5864838599</v>
      </c>
      <c r="H433" s="109">
        <f>VLOOKUP(A433, localcont!$D$10:$L$1764, 9)*F433</f>
        <v>13807836.6607347</v>
      </c>
    </row>
    <row r="434" spans="1:8">
      <c r="A434" s="7">
        <v>1632</v>
      </c>
      <c r="B434" s="7">
        <v>327</v>
      </c>
      <c r="C434" s="7" t="s">
        <v>1105</v>
      </c>
      <c r="D434" s="7">
        <v>683</v>
      </c>
      <c r="E434" s="7" t="s">
        <v>590</v>
      </c>
      <c r="F434" s="9">
        <f t="shared" si="6"/>
        <v>30366107</v>
      </c>
      <c r="G434" s="9">
        <f>VLOOKUP(A434, localcont!$D$10:$L$1764, 8)</f>
        <v>924914.55480835307</v>
      </c>
      <c r="H434" s="109">
        <f>VLOOKUP(A434, localcont!$D$10:$L$1764, 9)*F434</f>
        <v>12637216.173884615</v>
      </c>
    </row>
    <row r="435" spans="1:8">
      <c r="A435" s="7">
        <v>1697</v>
      </c>
      <c r="B435" s="7">
        <v>340</v>
      </c>
      <c r="C435" s="7" t="s">
        <v>1118</v>
      </c>
      <c r="D435" s="7">
        <v>683</v>
      </c>
      <c r="E435" s="7" t="s">
        <v>590</v>
      </c>
      <c r="F435" s="9">
        <f t="shared" si="6"/>
        <v>30366107</v>
      </c>
      <c r="G435" s="9">
        <f>VLOOKUP(A435, localcont!$D$10:$L$1764, 8)</f>
        <v>1118028.5827667348</v>
      </c>
      <c r="H435" s="109">
        <f>VLOOKUP(A435, localcont!$D$10:$L$1764, 9)*F435</f>
        <v>12305944.928713549</v>
      </c>
    </row>
    <row r="436" spans="1:8">
      <c r="A436" s="7">
        <v>262</v>
      </c>
      <c r="B436" s="7">
        <v>53</v>
      </c>
      <c r="C436" s="7" t="s">
        <v>712</v>
      </c>
      <c r="D436" s="7">
        <v>685</v>
      </c>
      <c r="E436" s="7" t="s">
        <v>591</v>
      </c>
      <c r="F436" s="9">
        <f t="shared" si="6"/>
        <v>30366107</v>
      </c>
      <c r="G436" s="9">
        <f>VLOOKUP(A436, localcont!$D$10:$L$1764, 8)</f>
        <v>761094.30791219114</v>
      </c>
      <c r="H436" s="109">
        <f>VLOOKUP(A436, localcont!$D$10:$L$1764, 9)*F436</f>
        <v>13222397.826911174</v>
      </c>
    </row>
    <row r="437" spans="1:8">
      <c r="A437" s="7">
        <v>642</v>
      </c>
      <c r="B437" s="7">
        <v>129</v>
      </c>
      <c r="C437" s="7" t="s">
        <v>825</v>
      </c>
      <c r="D437" s="7">
        <v>685</v>
      </c>
      <c r="E437" s="7" t="s">
        <v>591</v>
      </c>
      <c r="F437" s="9">
        <f t="shared" si="6"/>
        <v>30366107</v>
      </c>
      <c r="G437" s="9">
        <f>VLOOKUP(A437, localcont!$D$10:$L$1764, 8)</f>
        <v>187515.988900403</v>
      </c>
      <c r="H437" s="109">
        <f>VLOOKUP(A437, localcont!$D$10:$L$1764, 9)*F437</f>
        <v>16873821.32843395</v>
      </c>
    </row>
    <row r="438" spans="1:8">
      <c r="A438" s="7">
        <v>1037</v>
      </c>
      <c r="B438" s="7">
        <v>208</v>
      </c>
      <c r="C438" s="7" t="s">
        <v>951</v>
      </c>
      <c r="D438" s="7">
        <v>690</v>
      </c>
      <c r="E438" s="7" t="s">
        <v>592</v>
      </c>
      <c r="F438" s="9">
        <f t="shared" si="6"/>
        <v>30366107</v>
      </c>
      <c r="G438" s="9">
        <f>VLOOKUP(A438, localcont!$D$10:$L$1764, 8)</f>
        <v>7434956.1572936168</v>
      </c>
      <c r="H438" s="109">
        <f>VLOOKUP(A438, localcont!$D$10:$L$1764, 9)*F438</f>
        <v>13797216.640051827</v>
      </c>
    </row>
    <row r="439" spans="1:8">
      <c r="A439" s="7">
        <v>1187</v>
      </c>
      <c r="B439" s="7">
        <v>238</v>
      </c>
      <c r="C439" s="7" t="s">
        <v>1008</v>
      </c>
      <c r="D439" s="7">
        <v>690</v>
      </c>
      <c r="E439" s="7" t="s">
        <v>592</v>
      </c>
      <c r="F439" s="9">
        <f t="shared" si="6"/>
        <v>30366107</v>
      </c>
      <c r="G439" s="9">
        <f>VLOOKUP(A439, localcont!$D$10:$L$1764, 8)</f>
        <v>5660931.7658215426</v>
      </c>
      <c r="H439" s="109">
        <f>VLOOKUP(A439, localcont!$D$10:$L$1764, 9)*F439</f>
        <v>12362855.395842072</v>
      </c>
    </row>
    <row r="440" spans="1:8">
      <c r="A440" s="7">
        <v>1747</v>
      </c>
      <c r="B440" s="7">
        <v>350</v>
      </c>
      <c r="C440" s="7" t="s">
        <v>1128</v>
      </c>
      <c r="D440" s="7">
        <v>690</v>
      </c>
      <c r="E440" s="7" t="s">
        <v>592</v>
      </c>
      <c r="F440" s="9">
        <f t="shared" si="6"/>
        <v>30366107</v>
      </c>
      <c r="G440" s="9">
        <f>VLOOKUP(A440, localcont!$D$10:$L$1764, 8)</f>
        <v>8591061.9404879548</v>
      </c>
      <c r="H440" s="109">
        <f>VLOOKUP(A440, localcont!$D$10:$L$1764, 9)*F440</f>
        <v>14407415.67369272</v>
      </c>
    </row>
    <row r="441" spans="1:8">
      <c r="A441" s="7">
        <v>782</v>
      </c>
      <c r="B441" s="7">
        <v>157</v>
      </c>
      <c r="C441" s="7" t="s">
        <v>855</v>
      </c>
      <c r="D441" s="7">
        <v>695</v>
      </c>
      <c r="E441" s="7" t="s">
        <v>593</v>
      </c>
      <c r="F441" s="9">
        <f t="shared" si="6"/>
        <v>30366107</v>
      </c>
      <c r="G441" s="9">
        <f>VLOOKUP(A441, localcont!$D$10:$L$1764, 8)</f>
        <v>2242689.9763902547</v>
      </c>
      <c r="H441" s="109">
        <f>VLOOKUP(A441, localcont!$D$10:$L$1764, 9)*F441</f>
        <v>8062912.2147218464</v>
      </c>
    </row>
    <row r="442" spans="1:8">
      <c r="A442" s="7">
        <v>1437</v>
      </c>
      <c r="B442" s="7">
        <v>288</v>
      </c>
      <c r="C442" s="7" t="s">
        <v>1065</v>
      </c>
      <c r="D442" s="7">
        <v>695</v>
      </c>
      <c r="E442" s="7" t="s">
        <v>593</v>
      </c>
      <c r="F442" s="9">
        <f t="shared" si="6"/>
        <v>30366107</v>
      </c>
      <c r="G442" s="9">
        <f>VLOOKUP(A442, localcont!$D$10:$L$1764, 8)</f>
        <v>15072698.115030693</v>
      </c>
      <c r="H442" s="109">
        <f>VLOOKUP(A442, localcont!$D$10:$L$1764, 9)*F442</f>
        <v>11288088.012953911</v>
      </c>
    </row>
    <row r="443" spans="1:8">
      <c r="A443" s="7">
        <v>457</v>
      </c>
      <c r="B443" s="7">
        <v>92</v>
      </c>
      <c r="C443" s="7" t="s">
        <v>778</v>
      </c>
      <c r="D443" s="7">
        <v>698</v>
      </c>
      <c r="E443" s="7" t="s">
        <v>1134</v>
      </c>
      <c r="F443" s="9">
        <f t="shared" si="6"/>
        <v>30366107</v>
      </c>
      <c r="G443" s="9">
        <f>VLOOKUP(A443, localcont!$D$10:$L$1764, 8)</f>
        <v>4867646.3518453659</v>
      </c>
      <c r="H443" s="109">
        <f>VLOOKUP(A443, localcont!$D$10:$L$1764, 9)*F443</f>
        <v>28329362.326469753</v>
      </c>
    </row>
    <row r="444" spans="1:8">
      <c r="A444" s="7">
        <v>827</v>
      </c>
      <c r="B444" s="7">
        <v>166</v>
      </c>
      <c r="C444" s="7" t="s">
        <v>901</v>
      </c>
      <c r="D444" s="7">
        <v>698</v>
      </c>
      <c r="E444" s="7" t="s">
        <v>1134</v>
      </c>
      <c r="F444" s="9">
        <f t="shared" si="6"/>
        <v>30366107</v>
      </c>
      <c r="G444" s="9">
        <f>VLOOKUP(A444, localcont!$D$10:$L$1764, 8)</f>
        <v>8176876.2828452475</v>
      </c>
      <c r="H444" s="109">
        <f>VLOOKUP(A444, localcont!$D$10:$L$1764, 9)*F444</f>
        <v>30131634.784458961</v>
      </c>
    </row>
    <row r="445" spans="1:8">
      <c r="A445" s="7">
        <v>307</v>
      </c>
      <c r="B445" s="7">
        <v>62</v>
      </c>
      <c r="C445" s="7" t="s">
        <v>728</v>
      </c>
      <c r="D445" s="7">
        <v>700</v>
      </c>
      <c r="E445" s="7" t="s">
        <v>594</v>
      </c>
      <c r="F445" s="9">
        <f t="shared" si="6"/>
        <v>30366107</v>
      </c>
      <c r="G445" s="9">
        <f>VLOOKUP(A445, localcont!$D$10:$L$1764, 8)</f>
        <v>423815.09450928593</v>
      </c>
      <c r="H445" s="109">
        <f>VLOOKUP(A445, localcont!$D$10:$L$1764, 9)*F445</f>
        <v>10741255.304164995</v>
      </c>
    </row>
    <row r="446" spans="1:8">
      <c r="A446" s="7">
        <v>442</v>
      </c>
      <c r="B446" s="7">
        <v>89</v>
      </c>
      <c r="C446" s="7" t="s">
        <v>774</v>
      </c>
      <c r="D446" s="7">
        <v>700</v>
      </c>
      <c r="E446" s="7" t="s">
        <v>594</v>
      </c>
      <c r="F446" s="9">
        <f t="shared" si="6"/>
        <v>30366107</v>
      </c>
      <c r="G446" s="9">
        <f>VLOOKUP(A446, localcont!$D$10:$L$1764, 8)</f>
        <v>2181401.221493775</v>
      </c>
      <c r="H446" s="109">
        <f>VLOOKUP(A446, localcont!$D$10:$L$1764, 9)*F446</f>
        <v>10511203.048137547</v>
      </c>
    </row>
    <row r="447" spans="1:8">
      <c r="A447" s="7">
        <v>517</v>
      </c>
      <c r="B447" s="7">
        <v>104</v>
      </c>
      <c r="C447" s="7" t="s">
        <v>1131</v>
      </c>
      <c r="D447" s="7">
        <v>700</v>
      </c>
      <c r="E447" s="7" t="s">
        <v>594</v>
      </c>
      <c r="F447" s="9">
        <f t="shared" si="6"/>
        <v>30366107</v>
      </c>
      <c r="G447" s="9">
        <f>VLOOKUP(A447, localcont!$D$10:$L$1764, 8)</f>
        <v>162046.94787738015</v>
      </c>
      <c r="H447" s="109">
        <f>VLOOKUP(A447, localcont!$D$10:$L$1764, 9)*F447</f>
        <v>8654553.7809878644</v>
      </c>
    </row>
    <row r="448" spans="1:8">
      <c r="A448" s="7">
        <v>1102</v>
      </c>
      <c r="B448" s="7">
        <v>221</v>
      </c>
      <c r="C448" s="7" t="s">
        <v>969</v>
      </c>
      <c r="D448" s="7">
        <v>700</v>
      </c>
      <c r="E448" s="7" t="s">
        <v>594</v>
      </c>
      <c r="F448" s="9">
        <f t="shared" si="6"/>
        <v>30366107</v>
      </c>
      <c r="G448" s="9">
        <f>VLOOKUP(A448, localcont!$D$10:$L$1764, 8)</f>
        <v>2318517.8697044621</v>
      </c>
      <c r="H448" s="109">
        <f>VLOOKUP(A448, localcont!$D$10:$L$1764, 9)*F448</f>
        <v>10154583.611256745</v>
      </c>
    </row>
    <row r="449" spans="1:8">
      <c r="A449" s="7">
        <v>1477</v>
      </c>
      <c r="B449" s="7">
        <v>296</v>
      </c>
      <c r="C449" s="7" t="s">
        <v>1073</v>
      </c>
      <c r="D449" s="7">
        <v>700</v>
      </c>
      <c r="E449" s="7" t="s">
        <v>594</v>
      </c>
      <c r="F449" s="9">
        <f t="shared" si="6"/>
        <v>30366107</v>
      </c>
      <c r="G449" s="9">
        <f>VLOOKUP(A449, localcont!$D$10:$L$1764, 8)</f>
        <v>2231261.8209149153</v>
      </c>
      <c r="H449" s="109">
        <f>VLOOKUP(A449, localcont!$D$10:$L$1764, 9)*F449</f>
        <v>11308000.3660559</v>
      </c>
    </row>
    <row r="450" spans="1:8">
      <c r="A450" s="7">
        <v>1667</v>
      </c>
      <c r="B450" s="7">
        <v>334</v>
      </c>
      <c r="C450" s="7" t="s">
        <v>1112</v>
      </c>
      <c r="D450" s="7">
        <v>700</v>
      </c>
      <c r="E450" s="7" t="s">
        <v>594</v>
      </c>
      <c r="F450" s="9">
        <f t="shared" si="6"/>
        <v>30366107</v>
      </c>
      <c r="G450" s="9">
        <f>VLOOKUP(A450, localcont!$D$10:$L$1764, 8)</f>
        <v>1458422.5309841761</v>
      </c>
      <c r="H450" s="109">
        <f>VLOOKUP(A450, localcont!$D$10:$L$1764, 9)*F450</f>
        <v>10748676.884332577</v>
      </c>
    </row>
    <row r="451" spans="1:8">
      <c r="A451" s="7">
        <v>187</v>
      </c>
      <c r="B451" s="7">
        <v>38</v>
      </c>
      <c r="C451" s="7" t="s">
        <v>1154</v>
      </c>
      <c r="D451" s="7">
        <v>705</v>
      </c>
      <c r="E451" s="7" t="s">
        <v>595</v>
      </c>
      <c r="F451" s="9">
        <f t="shared" si="6"/>
        <v>30366107</v>
      </c>
      <c r="G451" s="9">
        <f>VLOOKUP(A451, localcont!$D$10:$L$1764, 8)</f>
        <v>7187322.8123042211</v>
      </c>
      <c r="H451" s="109">
        <f>VLOOKUP(A451, localcont!$D$10:$L$1764, 9)*F451</f>
        <v>15367654.524865845</v>
      </c>
    </row>
    <row r="452" spans="1:8">
      <c r="A452" s="7">
        <v>917</v>
      </c>
      <c r="B452" s="7">
        <v>184</v>
      </c>
      <c r="C452" s="7" t="s">
        <v>923</v>
      </c>
      <c r="D452" s="7">
        <v>705</v>
      </c>
      <c r="E452" s="7" t="s">
        <v>595</v>
      </c>
      <c r="F452" s="9">
        <f t="shared" si="6"/>
        <v>30366107</v>
      </c>
      <c r="G452" s="9">
        <f>VLOOKUP(A452, localcont!$D$10:$L$1764, 8)</f>
        <v>6743162.413892379</v>
      </c>
      <c r="H452" s="109">
        <f>VLOOKUP(A452, localcont!$D$10:$L$1764, 9)*F452</f>
        <v>15145236.0412708</v>
      </c>
    </row>
    <row r="453" spans="1:8">
      <c r="A453" s="7">
        <v>1487</v>
      </c>
      <c r="B453" s="7">
        <v>298</v>
      </c>
      <c r="C453" s="7" t="s">
        <v>1075</v>
      </c>
      <c r="D453" s="7">
        <v>705</v>
      </c>
      <c r="E453" s="7" t="s">
        <v>595</v>
      </c>
      <c r="F453" s="9">
        <f t="shared" si="6"/>
        <v>30366107</v>
      </c>
      <c r="G453" s="9">
        <f>VLOOKUP(A453, localcont!$D$10:$L$1764, 8)</f>
        <v>5057371.8103718143</v>
      </c>
      <c r="H453" s="109">
        <f>VLOOKUP(A453, localcont!$D$10:$L$1764, 9)*F453</f>
        <v>14504997.639866536</v>
      </c>
    </row>
    <row r="454" spans="1:8">
      <c r="A454" s="7">
        <v>892</v>
      </c>
      <c r="B454" s="7">
        <v>179</v>
      </c>
      <c r="C454" s="7" t="s">
        <v>917</v>
      </c>
      <c r="D454" s="7">
        <v>710</v>
      </c>
      <c r="E454" s="7" t="s">
        <v>596</v>
      </c>
      <c r="F454" s="9">
        <f t="shared" si="6"/>
        <v>30366107</v>
      </c>
      <c r="G454" s="9">
        <f>VLOOKUP(A454, localcont!$D$10:$L$1764, 8)</f>
        <v>8915844.5501409452</v>
      </c>
      <c r="H454" s="109">
        <f>VLOOKUP(A454, localcont!$D$10:$L$1764, 9)*F454</f>
        <v>26224285.894267049</v>
      </c>
    </row>
    <row r="455" spans="1:8">
      <c r="A455" s="7">
        <v>1512</v>
      </c>
      <c r="B455" s="7">
        <v>303</v>
      </c>
      <c r="C455" s="7" t="s">
        <v>1080</v>
      </c>
      <c r="D455" s="7">
        <v>710</v>
      </c>
      <c r="E455" s="7" t="s">
        <v>596</v>
      </c>
      <c r="F455" s="9">
        <f t="shared" si="6"/>
        <v>30366107</v>
      </c>
      <c r="G455" s="9">
        <f>VLOOKUP(A455, localcont!$D$10:$L$1764, 8)</f>
        <v>11291539.806481032</v>
      </c>
      <c r="H455" s="109">
        <f>VLOOKUP(A455, localcont!$D$10:$L$1764, 9)*F455</f>
        <v>26180435.862199344</v>
      </c>
    </row>
    <row r="456" spans="1:8">
      <c r="A456" s="7">
        <v>272</v>
      </c>
      <c r="B456" s="7">
        <v>55</v>
      </c>
      <c r="C456" s="7" t="s">
        <v>716</v>
      </c>
      <c r="D456" s="7">
        <v>712</v>
      </c>
      <c r="E456" s="7" t="s">
        <v>96</v>
      </c>
      <c r="F456" s="9">
        <f t="shared" si="6"/>
        <v>30366107</v>
      </c>
      <c r="G456" s="9">
        <f>VLOOKUP(A456, localcont!$D$10:$L$1764, 8)</f>
        <v>5100445.1617456907</v>
      </c>
      <c r="H456" s="109">
        <f>VLOOKUP(A456, localcont!$D$10:$L$1764, 9)*F456</f>
        <v>29420186.447724327</v>
      </c>
    </row>
    <row r="457" spans="1:8">
      <c r="A457" s="7">
        <v>627</v>
      </c>
      <c r="B457" s="7">
        <v>126</v>
      </c>
      <c r="C457" s="7" t="s">
        <v>822</v>
      </c>
      <c r="D457" s="7">
        <v>712</v>
      </c>
      <c r="E457" s="7" t="s">
        <v>96</v>
      </c>
      <c r="F457" s="9">
        <f t="shared" si="6"/>
        <v>30366107</v>
      </c>
      <c r="G457" s="9">
        <f>VLOOKUP(A457, localcont!$D$10:$L$1764, 8)</f>
        <v>14182726.787857411</v>
      </c>
      <c r="H457" s="109">
        <f>VLOOKUP(A457, localcont!$D$10:$L$1764, 9)*F457</f>
        <v>27883564.969292022</v>
      </c>
    </row>
    <row r="458" spans="1:8">
      <c r="A458" s="7">
        <v>737</v>
      </c>
      <c r="B458" s="7">
        <v>148</v>
      </c>
      <c r="C458" s="7" t="s">
        <v>845</v>
      </c>
      <c r="D458" s="7">
        <v>715</v>
      </c>
      <c r="E458" s="7" t="s">
        <v>600</v>
      </c>
      <c r="F458" s="9">
        <f t="shared" ref="F458:F521" si="7">VLOOKUP(D458, town351, 7)</f>
        <v>30366107</v>
      </c>
      <c r="G458" s="9">
        <f>VLOOKUP(A458, localcont!$D$10:$L$1764, 8)</f>
        <v>1966854.893988335</v>
      </c>
      <c r="H458" s="109">
        <f>VLOOKUP(A458, localcont!$D$10:$L$1764, 9)*F458</f>
        <v>14052134.939617593</v>
      </c>
    </row>
    <row r="459" spans="1:8">
      <c r="A459" s="7">
        <v>1702</v>
      </c>
      <c r="B459" s="7">
        <v>341</v>
      </c>
      <c r="C459" s="7" t="s">
        <v>1119</v>
      </c>
      <c r="D459" s="7">
        <v>715</v>
      </c>
      <c r="E459" s="7" t="s">
        <v>600</v>
      </c>
      <c r="F459" s="9">
        <f t="shared" si="7"/>
        <v>30366107</v>
      </c>
      <c r="G459" s="9">
        <f>VLOOKUP(A459, localcont!$D$10:$L$1764, 8)</f>
        <v>3209079.0375599149</v>
      </c>
      <c r="H459" s="109">
        <f>VLOOKUP(A459, localcont!$D$10:$L$1764, 9)*F459</f>
        <v>13472167.968033725</v>
      </c>
    </row>
    <row r="460" spans="1:8">
      <c r="A460" s="7">
        <v>62</v>
      </c>
      <c r="B460" s="7">
        <v>13</v>
      </c>
      <c r="C460" s="7" t="s">
        <v>13</v>
      </c>
      <c r="D460" s="7">
        <v>717</v>
      </c>
      <c r="E460" s="7" t="s">
        <v>601</v>
      </c>
      <c r="F460" s="9">
        <f t="shared" si="7"/>
        <v>30366107</v>
      </c>
      <c r="G460" s="9">
        <f>VLOOKUP(A460, localcont!$D$10:$L$1764, 8)</f>
        <v>1754230.2199861328</v>
      </c>
      <c r="H460" s="109">
        <f>VLOOKUP(A460, localcont!$D$10:$L$1764, 9)*F460</f>
        <v>26888473.724966962</v>
      </c>
    </row>
    <row r="461" spans="1:8">
      <c r="A461" s="7">
        <v>232</v>
      </c>
      <c r="B461" s="7">
        <v>47</v>
      </c>
      <c r="C461" s="7" t="s">
        <v>705</v>
      </c>
      <c r="D461" s="7">
        <v>717</v>
      </c>
      <c r="E461" s="7" t="s">
        <v>601</v>
      </c>
      <c r="F461" s="9">
        <f t="shared" si="7"/>
        <v>30366107</v>
      </c>
      <c r="G461" s="9">
        <f>VLOOKUP(A461, localcont!$D$10:$L$1764, 8)</f>
        <v>1959403.3452204606</v>
      </c>
      <c r="H461" s="109">
        <f>VLOOKUP(A461, localcont!$D$10:$L$1764, 9)*F461</f>
        <v>28039755.837512489</v>
      </c>
    </row>
    <row r="462" spans="1:8">
      <c r="A462" s="7">
        <v>263</v>
      </c>
      <c r="B462" s="7">
        <v>53</v>
      </c>
      <c r="C462" s="7" t="s">
        <v>712</v>
      </c>
      <c r="D462" s="7">
        <v>717</v>
      </c>
      <c r="E462" s="7" t="s">
        <v>601</v>
      </c>
      <c r="F462" s="9">
        <f t="shared" si="7"/>
        <v>30366107</v>
      </c>
      <c r="G462" s="9">
        <f>VLOOKUP(A462, localcont!$D$10:$L$1764, 8)</f>
        <v>800175.18807938381</v>
      </c>
      <c r="H462" s="109">
        <f>VLOOKUP(A462, localcont!$D$10:$L$1764, 9)*F462</f>
        <v>13901345.152655834</v>
      </c>
    </row>
    <row r="463" spans="1:8">
      <c r="A463" s="7">
        <v>327</v>
      </c>
      <c r="B463" s="7">
        <v>66</v>
      </c>
      <c r="C463" s="7" t="s">
        <v>737</v>
      </c>
      <c r="D463" s="7">
        <v>717</v>
      </c>
      <c r="E463" s="7" t="s">
        <v>601</v>
      </c>
      <c r="F463" s="9">
        <f t="shared" si="7"/>
        <v>30366107</v>
      </c>
      <c r="G463" s="9">
        <f>VLOOKUP(A463, localcont!$D$10:$L$1764, 8)</f>
        <v>1856816.7826032965</v>
      </c>
      <c r="H463" s="109">
        <f>VLOOKUP(A463, localcont!$D$10:$L$1764, 9)*F463</f>
        <v>25418436.41562302</v>
      </c>
    </row>
    <row r="464" spans="1:8">
      <c r="A464" s="7">
        <v>643</v>
      </c>
      <c r="B464" s="7">
        <v>129</v>
      </c>
      <c r="C464" s="7" t="s">
        <v>825</v>
      </c>
      <c r="D464" s="7">
        <v>717</v>
      </c>
      <c r="E464" s="7" t="s">
        <v>601</v>
      </c>
      <c r="F464" s="9">
        <f t="shared" si="7"/>
        <v>30366107</v>
      </c>
      <c r="G464" s="9">
        <f>VLOOKUP(A464, localcont!$D$10:$L$1764, 8)</f>
        <v>123103.87508156824</v>
      </c>
      <c r="H464" s="109">
        <f>VLOOKUP(A464, localcont!$D$10:$L$1764, 9)*F464</f>
        <v>11077630.260465596</v>
      </c>
    </row>
    <row r="465" spans="1:8">
      <c r="A465" s="7">
        <v>647</v>
      </c>
      <c r="B465" s="7">
        <v>130</v>
      </c>
      <c r="C465" s="7" t="s">
        <v>826</v>
      </c>
      <c r="D465" s="7">
        <v>717</v>
      </c>
      <c r="E465" s="7" t="s">
        <v>601</v>
      </c>
      <c r="F465" s="9">
        <f t="shared" si="7"/>
        <v>30366107</v>
      </c>
      <c r="G465" s="9">
        <f>VLOOKUP(A465, localcont!$D$10:$L$1764, 8)</f>
        <v>892503.09441515501</v>
      </c>
      <c r="H465" s="109">
        <f>VLOOKUP(A465, localcont!$D$10:$L$1764, 9)*F465</f>
        <v>24832951.112937801</v>
      </c>
    </row>
    <row r="466" spans="1:8">
      <c r="A466" s="7">
        <v>1182</v>
      </c>
      <c r="B466" s="7">
        <v>237</v>
      </c>
      <c r="C466" s="7" t="s">
        <v>1007</v>
      </c>
      <c r="D466" s="7">
        <v>717</v>
      </c>
      <c r="E466" s="7" t="s">
        <v>601</v>
      </c>
      <c r="F466" s="9">
        <f t="shared" si="7"/>
        <v>30366107</v>
      </c>
      <c r="G466" s="9">
        <f>VLOOKUP(A466, localcont!$D$10:$L$1764, 8)</f>
        <v>666812.65671642311</v>
      </c>
      <c r="H466" s="109">
        <f>VLOOKUP(A466, localcont!$D$10:$L$1764, 9)*F466</f>
        <v>28637476.425666686</v>
      </c>
    </row>
    <row r="467" spans="1:8">
      <c r="A467" s="7">
        <v>1337</v>
      </c>
      <c r="B467" s="7">
        <v>268</v>
      </c>
      <c r="C467" s="7" t="s">
        <v>1038</v>
      </c>
      <c r="D467" s="7">
        <v>717</v>
      </c>
      <c r="E467" s="7" t="s">
        <v>601</v>
      </c>
      <c r="F467" s="9">
        <f t="shared" si="7"/>
        <v>30366107</v>
      </c>
      <c r="G467" s="9">
        <f>VLOOKUP(A467, localcont!$D$10:$L$1764, 8)</f>
        <v>1785006.18883031</v>
      </c>
      <c r="H467" s="109">
        <f>VLOOKUP(A467, localcont!$D$10:$L$1764, 9)*F467</f>
        <v>29543271.222234026</v>
      </c>
    </row>
    <row r="468" spans="1:8">
      <c r="A468" s="7">
        <v>1172</v>
      </c>
      <c r="B468" s="7">
        <v>235</v>
      </c>
      <c r="C468" s="7" t="s">
        <v>1004</v>
      </c>
      <c r="D468" s="7">
        <v>720</v>
      </c>
      <c r="E468" s="7" t="s">
        <v>605</v>
      </c>
      <c r="F468" s="9">
        <f t="shared" si="7"/>
        <v>30366107</v>
      </c>
      <c r="G468" s="9">
        <f>VLOOKUP(A468, localcont!$D$10:$L$1764, 8)</f>
        <v>2278112.2702496811</v>
      </c>
      <c r="H468" s="109">
        <f>VLOOKUP(A468, localcont!$D$10:$L$1764, 9)*F468</f>
        <v>25773806.146778509</v>
      </c>
    </row>
    <row r="469" spans="1:8">
      <c r="A469" s="7">
        <v>1467</v>
      </c>
      <c r="B469" s="7">
        <v>294</v>
      </c>
      <c r="C469" s="7" t="s">
        <v>1071</v>
      </c>
      <c r="D469" s="7">
        <v>720</v>
      </c>
      <c r="E469" s="7" t="s">
        <v>605</v>
      </c>
      <c r="F469" s="9">
        <f t="shared" si="7"/>
        <v>30366107</v>
      </c>
      <c r="G469" s="9">
        <f>VLOOKUP(A469, localcont!$D$10:$L$1764, 8)</f>
        <v>11226373.079401905</v>
      </c>
      <c r="H469" s="109">
        <f>VLOOKUP(A469, localcont!$D$10:$L$1764, 9)*F469</f>
        <v>26728681.012143068</v>
      </c>
    </row>
    <row r="470" spans="1:8">
      <c r="A470" s="7">
        <v>167</v>
      </c>
      <c r="B470" s="7">
        <v>34</v>
      </c>
      <c r="C470" s="7" t="s">
        <v>57</v>
      </c>
      <c r="D470" s="7">
        <v>725</v>
      </c>
      <c r="E470" s="7" t="s">
        <v>606</v>
      </c>
      <c r="F470" s="9">
        <f t="shared" si="7"/>
        <v>30366107</v>
      </c>
      <c r="G470" s="9">
        <f>VLOOKUP(A470, localcont!$D$10:$L$1764, 8)</f>
        <v>9714100.3403017316</v>
      </c>
      <c r="H470" s="109">
        <f>VLOOKUP(A470, localcont!$D$10:$L$1764, 9)*F470</f>
        <v>29706347.963371184</v>
      </c>
    </row>
    <row r="471" spans="1:8">
      <c r="A471" s="7">
        <v>732</v>
      </c>
      <c r="B471" s="7">
        <v>147</v>
      </c>
      <c r="C471" s="7" t="s">
        <v>844</v>
      </c>
      <c r="D471" s="7">
        <v>725</v>
      </c>
      <c r="E471" s="7" t="s">
        <v>606</v>
      </c>
      <c r="F471" s="9">
        <f t="shared" si="7"/>
        <v>30366107</v>
      </c>
      <c r="G471" s="9">
        <f>VLOOKUP(A471, localcont!$D$10:$L$1764, 8)</f>
        <v>9367168.1850467306</v>
      </c>
      <c r="H471" s="109">
        <f>VLOOKUP(A471, localcont!$D$10:$L$1764, 9)*F471</f>
        <v>28121809.120937597</v>
      </c>
    </row>
    <row r="472" spans="1:8">
      <c r="A472" s="7">
        <v>1427</v>
      </c>
      <c r="B472" s="7">
        <v>286</v>
      </c>
      <c r="C472" s="7" t="s">
        <v>1063</v>
      </c>
      <c r="D472" s="7">
        <v>725</v>
      </c>
      <c r="E472" s="7" t="s">
        <v>606</v>
      </c>
      <c r="F472" s="9">
        <f t="shared" si="7"/>
        <v>30366107</v>
      </c>
      <c r="G472" s="9">
        <f>VLOOKUP(A472, localcont!$D$10:$L$1764, 8)</f>
        <v>12001977.254206028</v>
      </c>
      <c r="H472" s="109">
        <f>VLOOKUP(A472, localcont!$D$10:$L$1764, 9)*F472</f>
        <v>29573750.514690563</v>
      </c>
    </row>
    <row r="473" spans="1:8">
      <c r="A473" s="7">
        <v>1027</v>
      </c>
      <c r="B473" s="7">
        <v>206</v>
      </c>
      <c r="C473" s="7" t="s">
        <v>947</v>
      </c>
      <c r="D473" s="7">
        <v>728</v>
      </c>
      <c r="E473" s="7" t="s">
        <v>607</v>
      </c>
      <c r="F473" s="9">
        <f t="shared" si="7"/>
        <v>30366107</v>
      </c>
      <c r="G473" s="9">
        <f>VLOOKUP(A473, localcont!$D$10:$L$1764, 8)</f>
        <v>670000.75679361832</v>
      </c>
      <c r="H473" s="109">
        <f>VLOOKUP(A473, localcont!$D$10:$L$1764, 9)*F473</f>
        <v>14898996.880135203</v>
      </c>
    </row>
    <row r="474" spans="1:8">
      <c r="A474" s="7">
        <v>1592</v>
      </c>
      <c r="B474" s="7">
        <v>319</v>
      </c>
      <c r="C474" s="7" t="s">
        <v>1097</v>
      </c>
      <c r="D474" s="7">
        <v>728</v>
      </c>
      <c r="E474" s="7" t="s">
        <v>607</v>
      </c>
      <c r="F474" s="9">
        <f t="shared" si="7"/>
        <v>30366107</v>
      </c>
      <c r="G474" s="9">
        <f>VLOOKUP(A474, localcont!$D$10:$L$1764, 8)</f>
        <v>754930.43017995765</v>
      </c>
      <c r="H474" s="109">
        <f>VLOOKUP(A474, localcont!$D$10:$L$1764, 9)*F474</f>
        <v>19033955.687792491</v>
      </c>
    </row>
    <row r="475" spans="1:8">
      <c r="A475" s="7">
        <v>1062</v>
      </c>
      <c r="B475" s="7">
        <v>213</v>
      </c>
      <c r="C475" s="7" t="s">
        <v>959</v>
      </c>
      <c r="D475" s="7">
        <v>730</v>
      </c>
      <c r="E475" s="7" t="s">
        <v>608</v>
      </c>
      <c r="F475" s="9">
        <f t="shared" si="7"/>
        <v>30366107</v>
      </c>
      <c r="G475" s="9">
        <f>VLOOKUP(A475, localcont!$D$10:$L$1764, 8)</f>
        <v>8904964.3975884542</v>
      </c>
      <c r="H475" s="109">
        <f>VLOOKUP(A475, localcont!$D$10:$L$1764, 9)*F475</f>
        <v>10919383.755827019</v>
      </c>
    </row>
    <row r="476" spans="1:8">
      <c r="A476" s="7">
        <v>1377</v>
      </c>
      <c r="B476" s="7">
        <v>276</v>
      </c>
      <c r="C476" s="7" t="s">
        <v>1046</v>
      </c>
      <c r="D476" s="7">
        <v>730</v>
      </c>
      <c r="E476" s="7" t="s">
        <v>608</v>
      </c>
      <c r="F476" s="9">
        <f t="shared" si="7"/>
        <v>30366107</v>
      </c>
      <c r="G476" s="9">
        <f>VLOOKUP(A476, localcont!$D$10:$L$1764, 8)</f>
        <v>6345827.4329503691</v>
      </c>
      <c r="H476" s="109">
        <f>VLOOKUP(A476, localcont!$D$10:$L$1764, 9)*F476</f>
        <v>10650285.957042187</v>
      </c>
    </row>
    <row r="477" spans="1:8">
      <c r="A477" s="7">
        <v>57</v>
      </c>
      <c r="B477" s="7">
        <v>12</v>
      </c>
      <c r="C477" s="7" t="s">
        <v>11</v>
      </c>
      <c r="D477" s="7">
        <v>735</v>
      </c>
      <c r="E477" s="7" t="s">
        <v>609</v>
      </c>
      <c r="F477" s="9">
        <f t="shared" si="7"/>
        <v>30366107</v>
      </c>
      <c r="G477" s="9">
        <f>VLOOKUP(A477, localcont!$D$10:$L$1764, 8)</f>
        <v>3882256.4702459481</v>
      </c>
      <c r="H477" s="109">
        <f>VLOOKUP(A477, localcont!$D$10:$L$1764, 9)*F477</f>
        <v>26713676.900457118</v>
      </c>
    </row>
    <row r="478" spans="1:8">
      <c r="A478" s="7">
        <v>1157</v>
      </c>
      <c r="B478" s="7">
        <v>232</v>
      </c>
      <c r="C478" s="7" t="s">
        <v>1001</v>
      </c>
      <c r="D478" s="7">
        <v>735</v>
      </c>
      <c r="E478" s="7" t="s">
        <v>609</v>
      </c>
      <c r="F478" s="9">
        <f t="shared" si="7"/>
        <v>30366107</v>
      </c>
      <c r="G478" s="9">
        <f>VLOOKUP(A478, localcont!$D$10:$L$1764, 8)</f>
        <v>15393485.754308254</v>
      </c>
      <c r="H478" s="109">
        <f>VLOOKUP(A478, localcont!$D$10:$L$1764, 9)*F478</f>
        <v>26211186.749359258</v>
      </c>
    </row>
    <row r="479" spans="1:8">
      <c r="A479" s="7">
        <v>1492</v>
      </c>
      <c r="B479" s="7">
        <v>299</v>
      </c>
      <c r="C479" s="7" t="s">
        <v>1076</v>
      </c>
      <c r="D479" s="7">
        <v>735</v>
      </c>
      <c r="E479" s="7" t="s">
        <v>609</v>
      </c>
      <c r="F479" s="9">
        <f t="shared" si="7"/>
        <v>30366107</v>
      </c>
      <c r="G479" s="9">
        <f>VLOOKUP(A479, localcont!$D$10:$L$1764, 8)</f>
        <v>12159885.602223285</v>
      </c>
      <c r="H479" s="109">
        <f>VLOOKUP(A479, localcont!$D$10:$L$1764, 9)*F479</f>
        <v>26629036.48879122</v>
      </c>
    </row>
    <row r="480" spans="1:8">
      <c r="A480" s="7">
        <v>842</v>
      </c>
      <c r="B480" s="7">
        <v>169</v>
      </c>
      <c r="C480" s="7" t="s">
        <v>904</v>
      </c>
      <c r="D480" s="7">
        <v>740</v>
      </c>
      <c r="E480" s="7" t="s">
        <v>610</v>
      </c>
      <c r="F480" s="9">
        <f t="shared" si="7"/>
        <v>30366107</v>
      </c>
      <c r="G480" s="9">
        <f>VLOOKUP(A480, localcont!$D$10:$L$1764, 8)</f>
        <v>3373632.1570937792</v>
      </c>
      <c r="H480" s="109">
        <f>VLOOKUP(A480, localcont!$D$10:$L$1764, 9)*F480</f>
        <v>12804972.979019327</v>
      </c>
    </row>
    <row r="481" spans="1:8">
      <c r="A481" s="7">
        <v>862</v>
      </c>
      <c r="B481" s="7">
        <v>173</v>
      </c>
      <c r="C481" s="7" t="s">
        <v>909</v>
      </c>
      <c r="D481" s="7">
        <v>740</v>
      </c>
      <c r="E481" s="7" t="s">
        <v>610</v>
      </c>
      <c r="F481" s="9">
        <f t="shared" si="7"/>
        <v>30366107</v>
      </c>
      <c r="G481" s="9">
        <f>VLOOKUP(A481, localcont!$D$10:$L$1764, 8)</f>
        <v>4034548.398441724</v>
      </c>
      <c r="H481" s="109">
        <f>VLOOKUP(A481, localcont!$D$10:$L$1764, 9)*F481</f>
        <v>13994412.501377357</v>
      </c>
    </row>
    <row r="482" spans="1:8">
      <c r="A482" s="7">
        <v>1247</v>
      </c>
      <c r="B482" s="7">
        <v>250</v>
      </c>
      <c r="C482" s="7" t="s">
        <v>1020</v>
      </c>
      <c r="D482" s="7">
        <v>740</v>
      </c>
      <c r="E482" s="7" t="s">
        <v>610</v>
      </c>
      <c r="F482" s="9">
        <f t="shared" si="7"/>
        <v>30366107</v>
      </c>
      <c r="G482" s="9">
        <f>VLOOKUP(A482, localcont!$D$10:$L$1764, 8)</f>
        <v>4231836.8286566213</v>
      </c>
      <c r="H482" s="109">
        <f>VLOOKUP(A482, localcont!$D$10:$L$1764, 9)*F482</f>
        <v>13224452.019680521</v>
      </c>
    </row>
    <row r="483" spans="1:8">
      <c r="A483" s="7">
        <v>577</v>
      </c>
      <c r="B483" s="7">
        <v>116</v>
      </c>
      <c r="C483" s="7" t="s">
        <v>807</v>
      </c>
      <c r="D483" s="7">
        <v>745</v>
      </c>
      <c r="E483" s="7" t="s">
        <v>611</v>
      </c>
      <c r="F483" s="9">
        <f t="shared" si="7"/>
        <v>30366107</v>
      </c>
      <c r="G483" s="9">
        <f>VLOOKUP(A483, localcont!$D$10:$L$1764, 8)</f>
        <v>8763204.6386694312</v>
      </c>
      <c r="H483" s="109">
        <f>VLOOKUP(A483, localcont!$D$10:$L$1764, 9)*F483</f>
        <v>26592097.180703551</v>
      </c>
    </row>
    <row r="484" spans="1:8">
      <c r="A484" s="7">
        <v>897</v>
      </c>
      <c r="B484" s="7">
        <v>180</v>
      </c>
      <c r="C484" s="7" t="s">
        <v>919</v>
      </c>
      <c r="D484" s="7">
        <v>745</v>
      </c>
      <c r="E484" s="7" t="s">
        <v>611</v>
      </c>
      <c r="F484" s="9">
        <f t="shared" si="7"/>
        <v>30366107</v>
      </c>
      <c r="G484" s="9">
        <f>VLOOKUP(A484, localcont!$D$10:$L$1764, 8)</f>
        <v>8017012.7587499311</v>
      </c>
      <c r="H484" s="109">
        <f>VLOOKUP(A484, localcont!$D$10:$L$1764, 9)*F484</f>
        <v>26441233.419006843</v>
      </c>
    </row>
    <row r="485" spans="1:8">
      <c r="A485" s="7">
        <v>1642</v>
      </c>
      <c r="B485" s="7">
        <v>329</v>
      </c>
      <c r="C485" s="7" t="s">
        <v>1107</v>
      </c>
      <c r="D485" s="7">
        <v>745</v>
      </c>
      <c r="E485" s="7" t="s">
        <v>611</v>
      </c>
      <c r="F485" s="9">
        <f t="shared" si="7"/>
        <v>30366107</v>
      </c>
      <c r="G485" s="9">
        <f>VLOOKUP(A485, localcont!$D$10:$L$1764, 8)</f>
        <v>5960435.1384728961</v>
      </c>
      <c r="H485" s="109">
        <f>VLOOKUP(A485, localcont!$D$10:$L$1764, 9)*F485</f>
        <v>28531517.948383529</v>
      </c>
    </row>
    <row r="486" spans="1:8">
      <c r="A486" s="7">
        <v>142</v>
      </c>
      <c r="B486" s="7">
        <v>29</v>
      </c>
      <c r="C486" s="7" t="s">
        <v>44</v>
      </c>
      <c r="D486" s="7">
        <v>750</v>
      </c>
      <c r="E486" s="7" t="s">
        <v>612</v>
      </c>
      <c r="F486" s="9">
        <f t="shared" si="7"/>
        <v>30366107</v>
      </c>
      <c r="G486" s="9">
        <f>VLOOKUP(A486, localcont!$D$10:$L$1764, 8)</f>
        <v>2733049.7477342063</v>
      </c>
      <c r="H486" s="109">
        <f>VLOOKUP(A486, localcont!$D$10:$L$1764, 9)*F486</f>
        <v>26936208.419686187</v>
      </c>
    </row>
    <row r="487" spans="1:8">
      <c r="A487" s="7">
        <v>777</v>
      </c>
      <c r="B487" s="7">
        <v>156</v>
      </c>
      <c r="C487" s="7" t="s">
        <v>854</v>
      </c>
      <c r="D487" s="7">
        <v>750</v>
      </c>
      <c r="E487" s="7" t="s">
        <v>612</v>
      </c>
      <c r="F487" s="9">
        <f t="shared" si="7"/>
        <v>30366107</v>
      </c>
      <c r="G487" s="9">
        <f>VLOOKUP(A487, localcont!$D$10:$L$1764, 8)</f>
        <v>548641.95676091104</v>
      </c>
      <c r="H487" s="109">
        <f>VLOOKUP(A487, localcont!$D$10:$L$1764, 9)*F487</f>
        <v>25066176.509403519</v>
      </c>
    </row>
    <row r="488" spans="1:8">
      <c r="A488" s="7">
        <v>1077</v>
      </c>
      <c r="B488" s="7">
        <v>216</v>
      </c>
      <c r="C488" s="7" t="s">
        <v>963</v>
      </c>
      <c r="D488" s="7">
        <v>750</v>
      </c>
      <c r="E488" s="7" t="s">
        <v>612</v>
      </c>
      <c r="F488" s="9">
        <f t="shared" si="7"/>
        <v>30366107</v>
      </c>
      <c r="G488" s="9">
        <f>VLOOKUP(A488, localcont!$D$10:$L$1764, 8)</f>
        <v>3373132.0306095914</v>
      </c>
      <c r="H488" s="109">
        <f>VLOOKUP(A488, localcont!$D$10:$L$1764, 9)*F488</f>
        <v>25910704.169102099</v>
      </c>
    </row>
    <row r="489" spans="1:8">
      <c r="A489" s="7">
        <v>1557</v>
      </c>
      <c r="B489" s="7">
        <v>312</v>
      </c>
      <c r="C489" s="7" t="s">
        <v>1090</v>
      </c>
      <c r="D489" s="7">
        <v>750</v>
      </c>
      <c r="E489" s="7" t="s">
        <v>612</v>
      </c>
      <c r="F489" s="9">
        <f t="shared" si="7"/>
        <v>30366107</v>
      </c>
      <c r="G489" s="9">
        <f>VLOOKUP(A489, localcont!$D$10:$L$1764, 8)</f>
        <v>751842.68150089041</v>
      </c>
      <c r="H489" s="109">
        <f>VLOOKUP(A489, localcont!$D$10:$L$1764, 9)*F489</f>
        <v>25339387.004925691</v>
      </c>
    </row>
    <row r="490" spans="1:8">
      <c r="A490" s="7">
        <v>102</v>
      </c>
      <c r="B490" s="7">
        <v>21</v>
      </c>
      <c r="C490" s="7" t="s">
        <v>28</v>
      </c>
      <c r="D490" s="7">
        <v>753</v>
      </c>
      <c r="E490" s="7" t="s">
        <v>613</v>
      </c>
      <c r="F490" s="9">
        <f t="shared" si="7"/>
        <v>30366107</v>
      </c>
      <c r="G490" s="9">
        <f>VLOOKUP(A490, localcont!$D$10:$L$1764, 8)</f>
        <v>7877386.8014068147</v>
      </c>
      <c r="H490" s="109">
        <f>VLOOKUP(A490, localcont!$D$10:$L$1764, 9)*F490</f>
        <v>28032724.295219768</v>
      </c>
    </row>
    <row r="491" spans="1:8">
      <c r="A491" s="7">
        <v>617</v>
      </c>
      <c r="B491" s="7">
        <v>124</v>
      </c>
      <c r="C491" s="7" t="s">
        <v>820</v>
      </c>
      <c r="D491" s="7">
        <v>753</v>
      </c>
      <c r="E491" s="7" t="s">
        <v>613</v>
      </c>
      <c r="F491" s="9">
        <f t="shared" si="7"/>
        <v>30366107</v>
      </c>
      <c r="G491" s="9">
        <f>VLOOKUP(A491, localcont!$D$10:$L$1764, 8)</f>
        <v>3868179.7081483677</v>
      </c>
      <c r="H491" s="109">
        <f>VLOOKUP(A491, localcont!$D$10:$L$1764, 9)*F491</f>
        <v>27977744.132445209</v>
      </c>
    </row>
    <row r="492" spans="1:8">
      <c r="A492" s="7">
        <v>697</v>
      </c>
      <c r="B492" s="7">
        <v>140</v>
      </c>
      <c r="C492" s="7" t="s">
        <v>837</v>
      </c>
      <c r="D492" s="7">
        <v>753</v>
      </c>
      <c r="E492" s="7" t="s">
        <v>613</v>
      </c>
      <c r="F492" s="9">
        <f t="shared" si="7"/>
        <v>30366107</v>
      </c>
      <c r="G492" s="9">
        <f>VLOOKUP(A492, localcont!$D$10:$L$1764, 8)</f>
        <v>5550434.9457122162</v>
      </c>
      <c r="H492" s="109">
        <f>VLOOKUP(A492, localcont!$D$10:$L$1764, 9)*F492</f>
        <v>25076185.071654778</v>
      </c>
    </row>
    <row r="493" spans="1:8">
      <c r="A493" s="7">
        <v>1007</v>
      </c>
      <c r="B493" s="7">
        <v>202</v>
      </c>
      <c r="C493" s="7" t="s">
        <v>942</v>
      </c>
      <c r="D493" s="7">
        <v>753</v>
      </c>
      <c r="E493" s="7" t="s">
        <v>613</v>
      </c>
      <c r="F493" s="9">
        <f t="shared" si="7"/>
        <v>30366107</v>
      </c>
      <c r="G493" s="9">
        <f>VLOOKUP(A493, localcont!$D$10:$L$1764, 8)</f>
        <v>1490860.9292153155</v>
      </c>
      <c r="H493" s="109">
        <f>VLOOKUP(A493, localcont!$D$10:$L$1764, 9)*F493</f>
        <v>27613806.111107931</v>
      </c>
    </row>
    <row r="494" spans="1:8">
      <c r="A494" s="7">
        <v>1107</v>
      </c>
      <c r="B494" s="7">
        <v>222</v>
      </c>
      <c r="C494" s="7" t="s">
        <v>971</v>
      </c>
      <c r="D494" s="7">
        <v>753</v>
      </c>
      <c r="E494" s="7" t="s">
        <v>613</v>
      </c>
      <c r="F494" s="9">
        <f t="shared" si="7"/>
        <v>30366107</v>
      </c>
      <c r="G494" s="9">
        <f>VLOOKUP(A494, localcont!$D$10:$L$1764, 8)</f>
        <v>2417612.3175662244</v>
      </c>
      <c r="H494" s="109">
        <f>VLOOKUP(A494, localcont!$D$10:$L$1764, 9)*F494</f>
        <v>27406494.593637224</v>
      </c>
    </row>
    <row r="495" spans="1:8">
      <c r="A495" s="7">
        <v>1028</v>
      </c>
      <c r="B495" s="7">
        <v>206</v>
      </c>
      <c r="C495" s="7" t="s">
        <v>947</v>
      </c>
      <c r="D495" s="7">
        <v>755</v>
      </c>
      <c r="E495" s="7" t="s">
        <v>614</v>
      </c>
      <c r="F495" s="9">
        <f t="shared" si="7"/>
        <v>30366107</v>
      </c>
      <c r="G495" s="9">
        <f>VLOOKUP(A495, localcont!$D$10:$L$1764, 8)</f>
        <v>632415.91765703703</v>
      </c>
      <c r="H495" s="109">
        <f>VLOOKUP(A495, localcont!$D$10:$L$1764, 9)*F495</f>
        <v>14063212.151001234</v>
      </c>
    </row>
    <row r="496" spans="1:8">
      <c r="A496" s="7">
        <v>1112</v>
      </c>
      <c r="B496" s="7">
        <v>223</v>
      </c>
      <c r="C496" s="7" t="s">
        <v>972</v>
      </c>
      <c r="D496" s="7">
        <v>755</v>
      </c>
      <c r="E496" s="7" t="s">
        <v>614</v>
      </c>
      <c r="F496" s="9">
        <f t="shared" si="7"/>
        <v>30366107</v>
      </c>
      <c r="G496" s="9">
        <f>VLOOKUP(A496, localcont!$D$10:$L$1764, 8)</f>
        <v>5737737.1439362271</v>
      </c>
      <c r="H496" s="109">
        <f>VLOOKUP(A496, localcont!$D$10:$L$1764, 9)*F496</f>
        <v>12858333.2327103</v>
      </c>
    </row>
    <row r="497" spans="1:8">
      <c r="A497" s="7">
        <v>1167</v>
      </c>
      <c r="B497" s="7">
        <v>234</v>
      </c>
      <c r="C497" s="7" t="s">
        <v>1003</v>
      </c>
      <c r="D497" s="7">
        <v>755</v>
      </c>
      <c r="E497" s="7" t="s">
        <v>614</v>
      </c>
      <c r="F497" s="9">
        <f t="shared" si="7"/>
        <v>30366107</v>
      </c>
      <c r="G497" s="9">
        <f>VLOOKUP(A497, localcont!$D$10:$L$1764, 8)</f>
        <v>609418.97518215503</v>
      </c>
      <c r="H497" s="109">
        <f>VLOOKUP(A497, localcont!$D$10:$L$1764, 9)*F497</f>
        <v>13634470.102851998</v>
      </c>
    </row>
    <row r="498" spans="1:8">
      <c r="A498" s="7">
        <v>1593</v>
      </c>
      <c r="B498" s="7">
        <v>319</v>
      </c>
      <c r="C498" s="7" t="s">
        <v>1097</v>
      </c>
      <c r="D498" s="7">
        <v>755</v>
      </c>
      <c r="E498" s="7" t="s">
        <v>614</v>
      </c>
      <c r="F498" s="9">
        <f t="shared" si="7"/>
        <v>30366107</v>
      </c>
      <c r="G498" s="9">
        <f>VLOOKUP(A498, localcont!$D$10:$L$1764, 8)</f>
        <v>333455.66570296255</v>
      </c>
      <c r="H498" s="109">
        <f>VLOOKUP(A498, localcont!$D$10:$L$1764, 9)*F498</f>
        <v>8407371.2107757572</v>
      </c>
    </row>
    <row r="499" spans="1:8">
      <c r="A499" s="7">
        <v>587</v>
      </c>
      <c r="B499" s="7">
        <v>118</v>
      </c>
      <c r="C499" s="7" t="s">
        <v>810</v>
      </c>
      <c r="D499" s="7">
        <v>760</v>
      </c>
      <c r="E499" s="7" t="s">
        <v>615</v>
      </c>
      <c r="F499" s="9">
        <f t="shared" si="7"/>
        <v>30366107</v>
      </c>
      <c r="G499" s="9">
        <f>VLOOKUP(A499, localcont!$D$10:$L$1764, 8)</f>
        <v>6304799.8547114907</v>
      </c>
      <c r="H499" s="109">
        <f>VLOOKUP(A499, localcont!$D$10:$L$1764, 9)*F499</f>
        <v>15380562.245628355</v>
      </c>
    </row>
    <row r="500" spans="1:8">
      <c r="A500" s="7">
        <v>722</v>
      </c>
      <c r="B500" s="7">
        <v>145</v>
      </c>
      <c r="C500" s="7" t="s">
        <v>842</v>
      </c>
      <c r="D500" s="7">
        <v>760</v>
      </c>
      <c r="E500" s="7" t="s">
        <v>615</v>
      </c>
      <c r="F500" s="9">
        <f t="shared" si="7"/>
        <v>30366107</v>
      </c>
      <c r="G500" s="9">
        <f>VLOOKUP(A500, localcont!$D$10:$L$1764, 8)</f>
        <v>11481824.607453862</v>
      </c>
      <c r="H500" s="109">
        <f>VLOOKUP(A500, localcont!$D$10:$L$1764, 9)*F500</f>
        <v>16167581.436161613</v>
      </c>
    </row>
    <row r="501" spans="1:8">
      <c r="A501" s="7">
        <v>1197</v>
      </c>
      <c r="B501" s="7">
        <v>240</v>
      </c>
      <c r="C501" s="7" t="s">
        <v>1010</v>
      </c>
      <c r="D501" s="7">
        <v>760</v>
      </c>
      <c r="E501" s="7" t="s">
        <v>615</v>
      </c>
      <c r="F501" s="9">
        <f t="shared" si="7"/>
        <v>30366107</v>
      </c>
      <c r="G501" s="9">
        <f>VLOOKUP(A501, localcont!$D$10:$L$1764, 8)</f>
        <v>2352216.6408298383</v>
      </c>
      <c r="H501" s="109">
        <f>VLOOKUP(A501, localcont!$D$10:$L$1764, 9)*F501</f>
        <v>15661203.024955807</v>
      </c>
    </row>
    <row r="502" spans="1:8">
      <c r="A502" s="7">
        <v>132</v>
      </c>
      <c r="B502" s="7">
        <v>27</v>
      </c>
      <c r="C502" s="7" t="s">
        <v>39</v>
      </c>
      <c r="D502" s="7">
        <v>763</v>
      </c>
      <c r="E502" s="7" t="s">
        <v>688</v>
      </c>
      <c r="F502" s="9">
        <f t="shared" si="7"/>
        <v>30366107</v>
      </c>
      <c r="G502" s="9">
        <f>VLOOKUP(A502, localcont!$D$10:$L$1764, 8)</f>
        <v>3011540.8406543937</v>
      </c>
      <c r="H502" s="109">
        <f>VLOOKUP(A502, localcont!$D$10:$L$1764, 9)*F502</f>
        <v>7625808.0222834283</v>
      </c>
    </row>
    <row r="503" spans="1:8">
      <c r="A503" s="7">
        <v>1362</v>
      </c>
      <c r="B503" s="7">
        <v>273</v>
      </c>
      <c r="C503" s="7" t="s">
        <v>1043</v>
      </c>
      <c r="D503" s="7">
        <v>763</v>
      </c>
      <c r="E503" s="7" t="s">
        <v>688</v>
      </c>
      <c r="F503" s="9">
        <f t="shared" si="7"/>
        <v>30366107</v>
      </c>
      <c r="G503" s="9">
        <f>VLOOKUP(A503, localcont!$D$10:$L$1764, 8)</f>
        <v>7621264.0048605232</v>
      </c>
      <c r="H503" s="109">
        <f>VLOOKUP(A503, localcont!$D$10:$L$1764, 9)*F503</f>
        <v>8632803.0586297251</v>
      </c>
    </row>
    <row r="504" spans="1:8">
      <c r="A504" s="7">
        <v>27</v>
      </c>
      <c r="B504" s="7">
        <v>6</v>
      </c>
      <c r="C504" s="7" t="s">
        <v>1173</v>
      </c>
      <c r="D504" s="7">
        <v>765</v>
      </c>
      <c r="E504" s="7" t="s">
        <v>616</v>
      </c>
      <c r="F504" s="9">
        <f t="shared" si="7"/>
        <v>30366107</v>
      </c>
      <c r="G504" s="9">
        <f>VLOOKUP(A504, localcont!$D$10:$L$1764, 8)</f>
        <v>206450.46448272493</v>
      </c>
      <c r="H504" s="109">
        <f>VLOOKUP(A504, localcont!$D$10:$L$1764, 9)*F504</f>
        <v>30366107</v>
      </c>
    </row>
    <row r="505" spans="1:8">
      <c r="A505" s="7">
        <v>447</v>
      </c>
      <c r="B505" s="7">
        <v>90</v>
      </c>
      <c r="C505" s="7" t="s">
        <v>776</v>
      </c>
      <c r="D505" s="7">
        <v>765</v>
      </c>
      <c r="E505" s="7" t="s">
        <v>616</v>
      </c>
      <c r="F505" s="9">
        <f t="shared" si="7"/>
        <v>30366107</v>
      </c>
      <c r="G505" s="9">
        <f>VLOOKUP(A505, localcont!$D$10:$L$1764, 8)</f>
        <v>856769.42753290886</v>
      </c>
      <c r="H505" s="109">
        <f>VLOOKUP(A505, localcont!$D$10:$L$1764, 9)*F505</f>
        <v>30366107</v>
      </c>
    </row>
    <row r="506" spans="1:8">
      <c r="A506" s="7">
        <v>962</v>
      </c>
      <c r="B506" s="7">
        <v>193</v>
      </c>
      <c r="C506" s="7" t="s">
        <v>932</v>
      </c>
      <c r="D506" s="7">
        <v>765</v>
      </c>
      <c r="E506" s="7" t="s">
        <v>616</v>
      </c>
      <c r="F506" s="9">
        <f t="shared" si="7"/>
        <v>30366107</v>
      </c>
      <c r="G506" s="9">
        <f>VLOOKUP(A506, localcont!$D$10:$L$1764, 8)</f>
        <v>856769.42753290886</v>
      </c>
      <c r="H506" s="109">
        <f>VLOOKUP(A506, localcont!$D$10:$L$1764, 9)*F506</f>
        <v>30366107</v>
      </c>
    </row>
    <row r="507" spans="1:8">
      <c r="A507" s="7">
        <v>1022</v>
      </c>
      <c r="B507" s="7">
        <v>205</v>
      </c>
      <c r="C507" s="7" t="s">
        <v>946</v>
      </c>
      <c r="D507" s="7">
        <v>765</v>
      </c>
      <c r="E507" s="7" t="s">
        <v>616</v>
      </c>
      <c r="F507" s="9">
        <f t="shared" si="7"/>
        <v>30366107</v>
      </c>
      <c r="G507" s="9">
        <f>VLOOKUP(A507, localcont!$D$10:$L$1764, 8)</f>
        <v>1620636.1459781919</v>
      </c>
      <c r="H507" s="109">
        <f>VLOOKUP(A507, localcont!$D$10:$L$1764, 9)*F507</f>
        <v>30366107</v>
      </c>
    </row>
    <row r="508" spans="1:8">
      <c r="A508" s="7">
        <v>1332</v>
      </c>
      <c r="B508" s="7">
        <v>267</v>
      </c>
      <c r="C508" s="7" t="s">
        <v>1037</v>
      </c>
      <c r="D508" s="7">
        <v>765</v>
      </c>
      <c r="E508" s="7" t="s">
        <v>616</v>
      </c>
      <c r="F508" s="9">
        <f t="shared" si="7"/>
        <v>30366107</v>
      </c>
      <c r="G508" s="9">
        <f>VLOOKUP(A508, localcont!$D$10:$L$1764, 8)</f>
        <v>3499335.37255979</v>
      </c>
      <c r="H508" s="109">
        <f>VLOOKUP(A508, localcont!$D$10:$L$1764, 9)*F508</f>
        <v>29572419.827146728</v>
      </c>
    </row>
    <row r="509" spans="1:8">
      <c r="A509" s="7">
        <v>557</v>
      </c>
      <c r="B509" s="7">
        <v>112</v>
      </c>
      <c r="C509" s="7" t="s">
        <v>802</v>
      </c>
      <c r="D509" s="7">
        <v>766</v>
      </c>
      <c r="E509" s="7" t="s">
        <v>98</v>
      </c>
      <c r="F509" s="9">
        <f t="shared" si="7"/>
        <v>30366107</v>
      </c>
      <c r="G509" s="9">
        <f>VLOOKUP(A509, localcont!$D$10:$L$1764, 8)</f>
        <v>1936323.8077146141</v>
      </c>
      <c r="H509" s="109">
        <f>VLOOKUP(A509, localcont!$D$10:$L$1764, 9)*F509</f>
        <v>30366107</v>
      </c>
    </row>
    <row r="510" spans="1:8">
      <c r="A510" s="7">
        <v>1392</v>
      </c>
      <c r="B510" s="7">
        <v>279</v>
      </c>
      <c r="C510" s="7" t="s">
        <v>1055</v>
      </c>
      <c r="D510" s="7">
        <v>766</v>
      </c>
      <c r="E510" s="7" t="s">
        <v>1056</v>
      </c>
      <c r="F510" s="9">
        <f t="shared" si="7"/>
        <v>30366107</v>
      </c>
      <c r="G510" s="9">
        <f>VLOOKUP(A510, localcont!$D$10:$L$1764, 8)</f>
        <v>13215136.49526022</v>
      </c>
      <c r="H510" s="109">
        <f>VLOOKUP(A510, localcont!$D$10:$L$1764, 9)*F510</f>
        <v>30366107</v>
      </c>
    </row>
    <row r="511" spans="1:8">
      <c r="A511" s="7">
        <v>1482</v>
      </c>
      <c r="B511" s="7">
        <v>297</v>
      </c>
      <c r="C511" s="7" t="s">
        <v>1074</v>
      </c>
      <c r="D511" s="7">
        <v>766</v>
      </c>
      <c r="E511" s="7" t="s">
        <v>1056</v>
      </c>
      <c r="F511" s="9">
        <f t="shared" si="7"/>
        <v>30366107</v>
      </c>
      <c r="G511" s="9">
        <f>VLOOKUP(A511, localcont!$D$10:$L$1764, 8)</f>
        <v>492285.71383370378</v>
      </c>
      <c r="H511" s="109">
        <f>VLOOKUP(A511, localcont!$D$10:$L$1764, 9)*F511</f>
        <v>30366107</v>
      </c>
    </row>
    <row r="512" spans="1:8">
      <c r="A512" s="7">
        <v>417</v>
      </c>
      <c r="B512" s="7">
        <v>84</v>
      </c>
      <c r="C512" s="7" t="s">
        <v>768</v>
      </c>
      <c r="D512" s="7">
        <v>767</v>
      </c>
      <c r="E512" s="7" t="s">
        <v>617</v>
      </c>
      <c r="F512" s="9">
        <f t="shared" si="7"/>
        <v>30366107</v>
      </c>
      <c r="G512" s="9">
        <f>VLOOKUP(A512, localcont!$D$10:$L$1764, 8)</f>
        <v>3331157.5294853975</v>
      </c>
      <c r="H512" s="109">
        <f>VLOOKUP(A512, localcont!$D$10:$L$1764, 9)*F512</f>
        <v>28216960.224171385</v>
      </c>
    </row>
    <row r="513" spans="1:8">
      <c r="A513" s="7">
        <v>1397</v>
      </c>
      <c r="B513" s="7">
        <v>280</v>
      </c>
      <c r="C513" s="7" t="s">
        <v>1057</v>
      </c>
      <c r="D513" s="7">
        <v>767</v>
      </c>
      <c r="E513" s="7" t="s">
        <v>617</v>
      </c>
      <c r="F513" s="9">
        <f t="shared" si="7"/>
        <v>30366107</v>
      </c>
      <c r="G513" s="9">
        <f>VLOOKUP(A513, localcont!$D$10:$L$1764, 8)</f>
        <v>14519862.720054589</v>
      </c>
      <c r="H513" s="109">
        <f>VLOOKUP(A513, localcont!$D$10:$L$1764, 9)*F513</f>
        <v>25868585.284087334</v>
      </c>
    </row>
    <row r="514" spans="1:8">
      <c r="A514" s="7">
        <v>212</v>
      </c>
      <c r="B514" s="7">
        <v>43</v>
      </c>
      <c r="C514" s="7" t="s">
        <v>699</v>
      </c>
      <c r="D514" s="7">
        <v>770</v>
      </c>
      <c r="E514" s="7" t="s">
        <v>618</v>
      </c>
      <c r="F514" s="9">
        <f t="shared" si="7"/>
        <v>30366107</v>
      </c>
      <c r="G514" s="9">
        <f>VLOOKUP(A514, localcont!$D$10:$L$1764, 8)</f>
        <v>3064891.323543489</v>
      </c>
      <c r="H514" s="109">
        <f>VLOOKUP(A514, localcont!$D$10:$L$1764, 9)*F514</f>
        <v>16622495.365926547</v>
      </c>
    </row>
    <row r="515" spans="1:8">
      <c r="A515" s="7">
        <v>222</v>
      </c>
      <c r="B515" s="7">
        <v>45</v>
      </c>
      <c r="C515" s="7" t="s">
        <v>703</v>
      </c>
      <c r="D515" s="7">
        <v>770</v>
      </c>
      <c r="E515" s="7" t="s">
        <v>618</v>
      </c>
      <c r="F515" s="9">
        <f t="shared" si="7"/>
        <v>30366107</v>
      </c>
      <c r="G515" s="9">
        <f>VLOOKUP(A515, localcont!$D$10:$L$1764, 8)</f>
        <v>2742271.1841242132</v>
      </c>
      <c r="H515" s="109">
        <f>VLOOKUP(A515, localcont!$D$10:$L$1764, 9)*F515</f>
        <v>16215583.756583173</v>
      </c>
    </row>
    <row r="516" spans="1:8">
      <c r="A516" s="7">
        <v>672</v>
      </c>
      <c r="B516" s="7">
        <v>135</v>
      </c>
      <c r="C516" s="7" t="s">
        <v>832</v>
      </c>
      <c r="D516" s="7">
        <v>770</v>
      </c>
      <c r="E516" s="7" t="s">
        <v>618</v>
      </c>
      <c r="F516" s="9">
        <f t="shared" si="7"/>
        <v>30366107</v>
      </c>
      <c r="G516" s="9">
        <f>VLOOKUP(A516, localcont!$D$10:$L$1764, 8)</f>
        <v>2223774.5317679807</v>
      </c>
      <c r="H516" s="109">
        <f>VLOOKUP(A516, localcont!$D$10:$L$1764, 9)*F516</f>
        <v>17603927.779637169</v>
      </c>
    </row>
    <row r="517" spans="1:8">
      <c r="A517" s="7">
        <v>1432</v>
      </c>
      <c r="B517" s="7">
        <v>287</v>
      </c>
      <c r="C517" s="7" t="s">
        <v>1064</v>
      </c>
      <c r="D517" s="7">
        <v>770</v>
      </c>
      <c r="E517" s="7" t="s">
        <v>618</v>
      </c>
      <c r="F517" s="9">
        <f t="shared" si="7"/>
        <v>30366107</v>
      </c>
      <c r="G517" s="9">
        <f>VLOOKUP(A517, localcont!$D$10:$L$1764, 8)</f>
        <v>9229240.413857786</v>
      </c>
      <c r="H517" s="109">
        <f>VLOOKUP(A517, localcont!$D$10:$L$1764, 9)*F517</f>
        <v>16106990.608908163</v>
      </c>
    </row>
    <row r="518" spans="1:8">
      <c r="A518" s="7">
        <v>1527</v>
      </c>
      <c r="B518" s="7">
        <v>306</v>
      </c>
      <c r="C518" s="7" t="s">
        <v>1083</v>
      </c>
      <c r="D518" s="7">
        <v>770</v>
      </c>
      <c r="E518" s="7" t="s">
        <v>618</v>
      </c>
      <c r="F518" s="9">
        <f t="shared" si="7"/>
        <v>30366107</v>
      </c>
      <c r="G518" s="9">
        <f>VLOOKUP(A518, localcont!$D$10:$L$1764, 8)</f>
        <v>1532445.6617717445</v>
      </c>
      <c r="H518" s="109">
        <f>VLOOKUP(A518, localcont!$D$10:$L$1764, 9)*F518</f>
        <v>14951012.207609387</v>
      </c>
    </row>
    <row r="519" spans="1:8">
      <c r="A519" s="7">
        <v>1012</v>
      </c>
      <c r="B519" s="7">
        <v>203</v>
      </c>
      <c r="C519" s="7" t="s">
        <v>943</v>
      </c>
      <c r="D519" s="7">
        <v>773</v>
      </c>
      <c r="E519" s="7" t="s">
        <v>619</v>
      </c>
      <c r="F519" s="9">
        <f t="shared" si="7"/>
        <v>30366107</v>
      </c>
      <c r="G519" s="9">
        <f>VLOOKUP(A519, localcont!$D$10:$L$1764, 8)</f>
        <v>7154049.8089885702</v>
      </c>
      <c r="H519" s="109">
        <f>VLOOKUP(A519, localcont!$D$10:$L$1764, 9)*F519</f>
        <v>28320411.126957424</v>
      </c>
    </row>
    <row r="520" spans="1:8">
      <c r="A520" s="7">
        <v>1267</v>
      </c>
      <c r="B520" s="7">
        <v>254</v>
      </c>
      <c r="C520" s="7" t="s">
        <v>1024</v>
      </c>
      <c r="D520" s="7">
        <v>773</v>
      </c>
      <c r="E520" s="7" t="s">
        <v>619</v>
      </c>
      <c r="F520" s="9">
        <f t="shared" si="7"/>
        <v>30366107</v>
      </c>
      <c r="G520" s="9">
        <f>VLOOKUP(A520, localcont!$D$10:$L$1764, 8)</f>
        <v>8027452.3234286206</v>
      </c>
      <c r="H520" s="109">
        <f>VLOOKUP(A520, localcont!$D$10:$L$1764, 9)*F520</f>
        <v>29012145.704641193</v>
      </c>
    </row>
    <row r="521" spans="1:8">
      <c r="A521" s="7">
        <v>1292</v>
      </c>
      <c r="B521" s="7">
        <v>259</v>
      </c>
      <c r="C521" s="7" t="s">
        <v>1029</v>
      </c>
      <c r="D521" s="7">
        <v>773</v>
      </c>
      <c r="E521" s="7" t="s">
        <v>619</v>
      </c>
      <c r="F521" s="9">
        <f t="shared" si="7"/>
        <v>30366107</v>
      </c>
      <c r="G521" s="9">
        <f>VLOOKUP(A521, localcont!$D$10:$L$1764, 8)</f>
        <v>9195260.1796558984</v>
      </c>
      <c r="H521" s="109">
        <f>VLOOKUP(A521, localcont!$D$10:$L$1764, 9)*F521</f>
        <v>28082399.58964771</v>
      </c>
    </row>
    <row r="522" spans="1:8">
      <c r="A522" s="7">
        <v>308</v>
      </c>
      <c r="B522" s="7">
        <v>62</v>
      </c>
      <c r="C522" s="7" t="s">
        <v>728</v>
      </c>
      <c r="D522" s="7">
        <v>774</v>
      </c>
      <c r="E522" s="7" t="s">
        <v>733</v>
      </c>
      <c r="F522" s="9">
        <f t="shared" ref="F522:F585" si="8">VLOOKUP(D522, town351, 7)</f>
        <v>30366107</v>
      </c>
      <c r="G522" s="9">
        <f>VLOOKUP(A522, localcont!$D$10:$L$1764, 8)</f>
        <v>774332.9937401209</v>
      </c>
      <c r="H522" s="109">
        <f>VLOOKUP(A522, localcont!$D$10:$L$1764, 9)*F522</f>
        <v>19624851.695835005</v>
      </c>
    </row>
    <row r="523" spans="1:8">
      <c r="A523" s="7">
        <v>518</v>
      </c>
      <c r="B523" s="7">
        <v>104</v>
      </c>
      <c r="C523" s="7" t="s">
        <v>1131</v>
      </c>
      <c r="D523" s="7">
        <v>774</v>
      </c>
      <c r="E523" s="7" t="s">
        <v>733</v>
      </c>
      <c r="F523" s="9">
        <f t="shared" si="8"/>
        <v>30366107</v>
      </c>
      <c r="G523" s="9">
        <f>VLOOKUP(A523, localcont!$D$10:$L$1764, 8)</f>
        <v>406524.82171260286</v>
      </c>
      <c r="H523" s="109">
        <f>VLOOKUP(A523, localcont!$D$10:$L$1764, 9)*F523</f>
        <v>21711553.219012134</v>
      </c>
    </row>
    <row r="524" spans="1:8">
      <c r="A524" s="7">
        <v>1668</v>
      </c>
      <c r="B524" s="7">
        <v>334</v>
      </c>
      <c r="C524" s="7" t="s">
        <v>1112</v>
      </c>
      <c r="D524" s="7">
        <v>774</v>
      </c>
      <c r="E524" s="7" t="s">
        <v>733</v>
      </c>
      <c r="F524" s="9">
        <f t="shared" si="8"/>
        <v>30366107</v>
      </c>
      <c r="G524" s="9">
        <f>VLOOKUP(A524, localcont!$D$10:$L$1764, 8)</f>
        <v>2661769.6660321006</v>
      </c>
      <c r="H524" s="109">
        <f>VLOOKUP(A524, localcont!$D$10:$L$1764, 9)*F524</f>
        <v>19617430.115667425</v>
      </c>
    </row>
    <row r="525" spans="1:8">
      <c r="A525" s="7">
        <v>667</v>
      </c>
      <c r="B525" s="7">
        <v>134</v>
      </c>
      <c r="C525" s="7" t="s">
        <v>830</v>
      </c>
      <c r="D525" s="7">
        <v>775</v>
      </c>
      <c r="E525" s="7" t="s">
        <v>620</v>
      </c>
      <c r="F525" s="9">
        <f t="shared" si="8"/>
        <v>30366107</v>
      </c>
      <c r="G525" s="9">
        <f>VLOOKUP(A525, localcont!$D$10:$L$1764, 8)</f>
        <v>29949312.538022101</v>
      </c>
      <c r="H525" s="109">
        <f>VLOOKUP(A525, localcont!$D$10:$L$1764, 9)*F525</f>
        <v>29240324.064162474</v>
      </c>
    </row>
    <row r="526" spans="1:8">
      <c r="A526" s="7">
        <v>1137</v>
      </c>
      <c r="B526" s="7">
        <v>228</v>
      </c>
      <c r="C526" s="7" t="s">
        <v>987</v>
      </c>
      <c r="D526" s="7">
        <v>775</v>
      </c>
      <c r="E526" s="7" t="s">
        <v>620</v>
      </c>
      <c r="F526" s="9">
        <f t="shared" si="8"/>
        <v>30366107</v>
      </c>
      <c r="G526" s="9">
        <f>VLOOKUP(A526, localcont!$D$10:$L$1764, 8)</f>
        <v>6697486.6100680083</v>
      </c>
      <c r="H526" s="109">
        <f>VLOOKUP(A526, localcont!$D$10:$L$1764, 9)*F526</f>
        <v>29259038.792928539</v>
      </c>
    </row>
    <row r="527" spans="1:8">
      <c r="A527" s="7">
        <v>1202</v>
      </c>
      <c r="B527" s="7">
        <v>241</v>
      </c>
      <c r="C527" s="7" t="s">
        <v>1011</v>
      </c>
      <c r="D527" s="7">
        <v>775</v>
      </c>
      <c r="E527" s="7" t="s">
        <v>620</v>
      </c>
      <c r="F527" s="9">
        <f t="shared" si="8"/>
        <v>30366107</v>
      </c>
      <c r="G527" s="9">
        <f>VLOOKUP(A527, localcont!$D$10:$L$1764, 8)</f>
        <v>4184774.3920964384</v>
      </c>
      <c r="H527" s="109">
        <f>VLOOKUP(A527, localcont!$D$10:$L$1764, 9)*F527</f>
        <v>28257727.754893195</v>
      </c>
    </row>
    <row r="528" spans="1:8">
      <c r="A528" s="7">
        <v>1282</v>
      </c>
      <c r="B528" s="7">
        <v>257</v>
      </c>
      <c r="C528" s="7" t="s">
        <v>1027</v>
      </c>
      <c r="D528" s="7">
        <v>775</v>
      </c>
      <c r="E528" s="7" t="s">
        <v>620</v>
      </c>
      <c r="F528" s="9">
        <f t="shared" si="8"/>
        <v>30366107</v>
      </c>
      <c r="G528" s="9">
        <f>VLOOKUP(A528, localcont!$D$10:$L$1764, 8)</f>
        <v>15676737.6238048</v>
      </c>
      <c r="H528" s="109">
        <f>VLOOKUP(A528, localcont!$D$10:$L$1764, 9)*F528</f>
        <v>29386368.082504425</v>
      </c>
    </row>
    <row r="529" spans="1:8">
      <c r="A529" s="7">
        <v>1407</v>
      </c>
      <c r="B529" s="7">
        <v>282</v>
      </c>
      <c r="C529" s="7" t="s">
        <v>1059</v>
      </c>
      <c r="D529" s="7">
        <v>775</v>
      </c>
      <c r="E529" s="7" t="s">
        <v>620</v>
      </c>
      <c r="F529" s="9">
        <f t="shared" si="8"/>
        <v>30366107</v>
      </c>
      <c r="G529" s="9">
        <f>VLOOKUP(A529, localcont!$D$10:$L$1764, 8)</f>
        <v>10817595.614590552</v>
      </c>
      <c r="H529" s="109">
        <f>VLOOKUP(A529, localcont!$D$10:$L$1764, 9)*F529</f>
        <v>27652390.922957234</v>
      </c>
    </row>
    <row r="530" spans="1:8">
      <c r="A530" s="7">
        <v>1552</v>
      </c>
      <c r="B530" s="7">
        <v>311</v>
      </c>
      <c r="C530" s="7" t="s">
        <v>1088</v>
      </c>
      <c r="D530" s="7">
        <v>778</v>
      </c>
      <c r="E530" s="7" t="s">
        <v>1089</v>
      </c>
      <c r="F530" s="9">
        <f t="shared" si="8"/>
        <v>30366107</v>
      </c>
      <c r="G530" s="9">
        <f>VLOOKUP(A530, localcont!$D$10:$L$1764, 8)</f>
        <v>8752902.999725271</v>
      </c>
      <c r="H530" s="109">
        <f>VLOOKUP(A530, localcont!$D$10:$L$1764, 9)*F530</f>
        <v>27653621.044020832</v>
      </c>
    </row>
    <row r="531" spans="1:8">
      <c r="A531" s="7">
        <v>1617</v>
      </c>
      <c r="B531" s="7">
        <v>324</v>
      </c>
      <c r="C531" s="7" t="s">
        <v>1102</v>
      </c>
      <c r="D531" s="7">
        <v>778</v>
      </c>
      <c r="E531" s="7" t="s">
        <v>1089</v>
      </c>
      <c r="F531" s="9">
        <f t="shared" si="8"/>
        <v>30366107</v>
      </c>
      <c r="G531" s="9">
        <f>VLOOKUP(A531, localcont!$D$10:$L$1764, 8)</f>
        <v>5415387.7106669964</v>
      </c>
      <c r="H531" s="109">
        <f>VLOOKUP(A531, localcont!$D$10:$L$1764, 9)*F531</f>
        <v>27764502.045859095</v>
      </c>
    </row>
    <row r="532" spans="1:8">
      <c r="A532" s="7">
        <v>612</v>
      </c>
      <c r="B532" s="7">
        <v>123</v>
      </c>
      <c r="C532" s="7" t="s">
        <v>818</v>
      </c>
      <c r="D532" s="7">
        <v>780</v>
      </c>
      <c r="E532" s="7" t="s">
        <v>621</v>
      </c>
      <c r="F532" s="9">
        <f t="shared" si="8"/>
        <v>30366107</v>
      </c>
      <c r="G532" s="9">
        <f>VLOOKUP(A532, localcont!$D$10:$L$1764, 8)</f>
        <v>15501644.334091708</v>
      </c>
      <c r="H532" s="109">
        <f>VLOOKUP(A532, localcont!$D$10:$L$1764, 9)*F532</f>
        <v>27814523.49527384</v>
      </c>
    </row>
    <row r="533" spans="1:8">
      <c r="A533" s="7">
        <v>1687</v>
      </c>
      <c r="B533" s="7">
        <v>338</v>
      </c>
      <c r="C533" s="7" t="s">
        <v>1116</v>
      </c>
      <c r="D533" s="7">
        <v>780</v>
      </c>
      <c r="E533" s="7" t="s">
        <v>621</v>
      </c>
      <c r="F533" s="9">
        <f t="shared" si="8"/>
        <v>30366107</v>
      </c>
      <c r="G533" s="9">
        <f>VLOOKUP(A533, localcont!$D$10:$L$1764, 8)</f>
        <v>22731959.518422764</v>
      </c>
      <c r="H533" s="109">
        <f>VLOOKUP(A533, localcont!$D$10:$L$1764, 9)*F533</f>
        <v>27504026.276113905</v>
      </c>
    </row>
    <row r="534" spans="1:8">
      <c r="A534" s="7">
        <v>138</v>
      </c>
      <c r="B534" s="7">
        <v>28</v>
      </c>
      <c r="C534" s="7" t="s">
        <v>41</v>
      </c>
      <c r="D534" s="7">
        <v>801</v>
      </c>
      <c r="E534" s="7" t="s">
        <v>622</v>
      </c>
      <c r="F534" s="9">
        <f t="shared" si="8"/>
        <v>30366107</v>
      </c>
      <c r="G534" s="9">
        <f>VLOOKUP(A534, localcont!$D$10:$L$1764, 8)</f>
        <v>320632.89783095615</v>
      </c>
      <c r="H534" s="109">
        <f>VLOOKUP(A534, localcont!$D$10:$L$1764, 9)*F534</f>
        <v>2536219.0839437959</v>
      </c>
    </row>
    <row r="535" spans="1:8">
      <c r="A535" s="7">
        <v>702</v>
      </c>
      <c r="B535" s="7">
        <v>141</v>
      </c>
      <c r="C535" s="7" t="s">
        <v>838</v>
      </c>
      <c r="D535" s="7">
        <v>801</v>
      </c>
      <c r="E535" s="7" t="s">
        <v>622</v>
      </c>
      <c r="F535" s="9">
        <f t="shared" si="8"/>
        <v>30366107</v>
      </c>
      <c r="G535" s="9">
        <f>VLOOKUP(A535, localcont!$D$10:$L$1764, 8)</f>
        <v>3341332.3030875726</v>
      </c>
      <c r="H535" s="109">
        <f>VLOOKUP(A535, localcont!$D$10:$L$1764, 9)*F535</f>
        <v>3227303.9076188826</v>
      </c>
    </row>
    <row r="536" spans="1:8">
      <c r="A536" s="7">
        <v>847</v>
      </c>
      <c r="B536" s="7">
        <v>170</v>
      </c>
      <c r="C536" s="7" t="s">
        <v>906</v>
      </c>
      <c r="D536" s="7">
        <v>801</v>
      </c>
      <c r="E536" s="7" t="s">
        <v>622</v>
      </c>
      <c r="F536" s="9">
        <f t="shared" si="8"/>
        <v>30366107</v>
      </c>
      <c r="G536" s="9">
        <f>VLOOKUP(A536, localcont!$D$10:$L$1764, 8)</f>
        <v>7070799.1666647755</v>
      </c>
      <c r="H536" s="109">
        <f>VLOOKUP(A536, localcont!$D$10:$L$1764, 9)*F536</f>
        <v>3363677.4681073679</v>
      </c>
    </row>
    <row r="537" spans="1:8">
      <c r="A537" s="7">
        <v>867</v>
      </c>
      <c r="B537" s="7">
        <v>174</v>
      </c>
      <c r="C537" s="7" t="s">
        <v>910</v>
      </c>
      <c r="D537" s="7">
        <v>801</v>
      </c>
      <c r="E537" s="7" t="s">
        <v>622</v>
      </c>
      <c r="F537" s="9">
        <f t="shared" si="8"/>
        <v>30366107</v>
      </c>
      <c r="G537" s="9">
        <f>VLOOKUP(A537, localcont!$D$10:$L$1764, 8)</f>
        <v>911272.44629661064</v>
      </c>
      <c r="H537" s="109">
        <f>VLOOKUP(A537, localcont!$D$10:$L$1764, 9)*F537</f>
        <v>1767449.2660784354</v>
      </c>
    </row>
    <row r="538" spans="1:8">
      <c r="A538" s="7">
        <v>1063</v>
      </c>
      <c r="B538" s="7">
        <v>213</v>
      </c>
      <c r="C538" s="7" t="s">
        <v>959</v>
      </c>
      <c r="D538" s="7">
        <v>801</v>
      </c>
      <c r="E538" s="7" t="s">
        <v>622</v>
      </c>
      <c r="F538" s="9">
        <f t="shared" si="8"/>
        <v>30366107</v>
      </c>
      <c r="G538" s="9">
        <f>VLOOKUP(A538, localcont!$D$10:$L$1764, 8)</f>
        <v>843770.78363793599</v>
      </c>
      <c r="H538" s="109">
        <f>VLOOKUP(A538, localcont!$D$10:$L$1764, 9)*F538</f>
        <v>1034642.7652189829</v>
      </c>
    </row>
    <row r="539" spans="1:8">
      <c r="A539" s="7">
        <v>1378</v>
      </c>
      <c r="B539" s="7">
        <v>276</v>
      </c>
      <c r="C539" s="7" t="s">
        <v>1046</v>
      </c>
      <c r="D539" s="7">
        <v>801</v>
      </c>
      <c r="E539" s="7" t="s">
        <v>622</v>
      </c>
      <c r="F539" s="9">
        <f t="shared" si="8"/>
        <v>30366107</v>
      </c>
      <c r="G539" s="9">
        <f>VLOOKUP(A539, localcont!$D$10:$L$1764, 8)</f>
        <v>337508.31342820753</v>
      </c>
      <c r="H539" s="109">
        <f>VLOOKUP(A539, localcont!$D$10:$L$1764, 9)*F539</f>
        <v>566444.65814258857</v>
      </c>
    </row>
    <row r="540" spans="1:8">
      <c r="A540" s="7">
        <v>1602</v>
      </c>
      <c r="B540" s="7">
        <v>321</v>
      </c>
      <c r="C540" s="7" t="s">
        <v>1099</v>
      </c>
      <c r="D540" s="7">
        <v>801</v>
      </c>
      <c r="E540" s="7" t="s">
        <v>622</v>
      </c>
      <c r="F540" s="9">
        <f t="shared" si="8"/>
        <v>30366107</v>
      </c>
      <c r="G540" s="9">
        <f>VLOOKUP(A540, localcont!$D$10:$L$1764, 8)</f>
        <v>658141.21125916368</v>
      </c>
      <c r="H540" s="109">
        <f>VLOOKUP(A540, localcont!$D$10:$L$1764, 9)*F540</f>
        <v>536307.93139955471</v>
      </c>
    </row>
    <row r="541" spans="1:8">
      <c r="A541" s="7">
        <v>122</v>
      </c>
      <c r="B541" s="7">
        <v>25</v>
      </c>
      <c r="C541" s="7" t="s">
        <v>36</v>
      </c>
      <c r="D541" s="7">
        <v>805</v>
      </c>
      <c r="E541" s="7" t="s">
        <v>623</v>
      </c>
      <c r="F541" s="9">
        <f t="shared" si="8"/>
        <v>30366107</v>
      </c>
      <c r="G541" s="9">
        <f>VLOOKUP(A541, localcont!$D$10:$L$1764, 8)</f>
        <v>1283499.625988473</v>
      </c>
      <c r="H541" s="109">
        <f>VLOOKUP(A541, localcont!$D$10:$L$1764, 9)*F541</f>
        <v>1596798.1375650328</v>
      </c>
    </row>
    <row r="542" spans="1:8">
      <c r="A542" s="7">
        <v>158</v>
      </c>
      <c r="B542" s="7">
        <v>32</v>
      </c>
      <c r="C542" s="7" t="s">
        <v>49</v>
      </c>
      <c r="D542" s="7">
        <v>805</v>
      </c>
      <c r="E542" s="7" t="s">
        <v>623</v>
      </c>
      <c r="F542" s="9">
        <f t="shared" si="8"/>
        <v>30366107</v>
      </c>
      <c r="G542" s="9">
        <f>VLOOKUP(A542, localcont!$D$10:$L$1764, 8)</f>
        <v>1147599.665506864</v>
      </c>
      <c r="H542" s="109">
        <f>VLOOKUP(A542, localcont!$D$10:$L$1764, 9)*F542</f>
        <v>2423080.7612194512</v>
      </c>
    </row>
    <row r="543" spans="1:8">
      <c r="A543" s="7">
        <v>382</v>
      </c>
      <c r="B543" s="7">
        <v>77</v>
      </c>
      <c r="C543" s="7" t="s">
        <v>756</v>
      </c>
      <c r="D543" s="7">
        <v>805</v>
      </c>
      <c r="E543" s="7" t="s">
        <v>623</v>
      </c>
      <c r="F543" s="9">
        <f t="shared" si="8"/>
        <v>30366107</v>
      </c>
      <c r="G543" s="9">
        <f>VLOOKUP(A543, localcont!$D$10:$L$1764, 8)</f>
        <v>1449599.5774823544</v>
      </c>
      <c r="H543" s="109">
        <f>VLOOKUP(A543, localcont!$D$10:$L$1764, 9)*F543</f>
        <v>3059941.440428386</v>
      </c>
    </row>
    <row r="544" spans="1:8">
      <c r="A544" s="7">
        <v>547</v>
      </c>
      <c r="B544" s="7">
        <v>110</v>
      </c>
      <c r="C544" s="7" t="s">
        <v>800</v>
      </c>
      <c r="D544" s="7">
        <v>805</v>
      </c>
      <c r="E544" s="7" t="s">
        <v>623</v>
      </c>
      <c r="F544" s="9">
        <f t="shared" si="8"/>
        <v>30366107</v>
      </c>
      <c r="G544" s="9">
        <f>VLOOKUP(A544, localcont!$D$10:$L$1764, 8)</f>
        <v>1056999.6919142166</v>
      </c>
      <c r="H544" s="109">
        <f>VLOOKUP(A544, localcont!$D$10:$L$1764, 9)*F544</f>
        <v>1033297.3952979099</v>
      </c>
    </row>
    <row r="545" spans="1:8">
      <c r="A545" s="7">
        <v>687</v>
      </c>
      <c r="B545" s="7">
        <v>138</v>
      </c>
      <c r="C545" s="7" t="s">
        <v>835</v>
      </c>
      <c r="D545" s="7">
        <v>805</v>
      </c>
      <c r="E545" s="7" t="s">
        <v>623</v>
      </c>
      <c r="F545" s="9">
        <f t="shared" si="8"/>
        <v>30366107</v>
      </c>
      <c r="G545" s="9">
        <f>VLOOKUP(A545, localcont!$D$10:$L$1764, 8)</f>
        <v>603999.82395098091</v>
      </c>
      <c r="H545" s="109">
        <f>VLOOKUP(A545, localcont!$D$10:$L$1764, 9)*F545</f>
        <v>1750182.842712631</v>
      </c>
    </row>
    <row r="546" spans="1:8">
      <c r="A546" s="7">
        <v>893</v>
      </c>
      <c r="B546" s="7">
        <v>179</v>
      </c>
      <c r="C546" s="7" t="s">
        <v>917</v>
      </c>
      <c r="D546" s="7">
        <v>805</v>
      </c>
      <c r="E546" s="7" t="s">
        <v>623</v>
      </c>
      <c r="F546" s="9">
        <f t="shared" si="8"/>
        <v>30366107</v>
      </c>
      <c r="G546" s="9">
        <f>VLOOKUP(A546, localcont!$D$10:$L$1764, 8)</f>
        <v>1313699.617186022</v>
      </c>
      <c r="H546" s="109">
        <f>VLOOKUP(A546, localcont!$D$10:$L$1764, 9)*F546</f>
        <v>3864001.2335938276</v>
      </c>
    </row>
    <row r="547" spans="1:8">
      <c r="A547" s="7">
        <v>922</v>
      </c>
      <c r="B547" s="7">
        <v>185</v>
      </c>
      <c r="C547" s="7" t="s">
        <v>924</v>
      </c>
      <c r="D547" s="7">
        <v>805</v>
      </c>
      <c r="E547" s="7" t="s">
        <v>623</v>
      </c>
      <c r="F547" s="9">
        <f t="shared" si="8"/>
        <v>30366107</v>
      </c>
      <c r="G547" s="9">
        <f>VLOOKUP(A547, localcont!$D$10:$L$1764, 8)</f>
        <v>2431099.2914953372</v>
      </c>
      <c r="H547" s="109">
        <f>VLOOKUP(A547, localcont!$D$10:$L$1764, 9)*F547</f>
        <v>1512147.1013452492</v>
      </c>
    </row>
    <row r="548" spans="1:8">
      <c r="A548" s="7">
        <v>927</v>
      </c>
      <c r="B548" s="7">
        <v>186</v>
      </c>
      <c r="C548" s="7" t="s">
        <v>925</v>
      </c>
      <c r="D548" s="7">
        <v>805</v>
      </c>
      <c r="E548" s="7" t="s">
        <v>623</v>
      </c>
      <c r="F548" s="9">
        <f t="shared" si="8"/>
        <v>30366107</v>
      </c>
      <c r="G548" s="9">
        <f>VLOOKUP(A548, localcont!$D$10:$L$1764, 8)</f>
        <v>1072099.6876056297</v>
      </c>
      <c r="H548" s="109">
        <f>VLOOKUP(A548, localcont!$D$10:$L$1764, 9)*F548</f>
        <v>1726801.4131466162</v>
      </c>
    </row>
    <row r="549" spans="1:8">
      <c r="A549" s="7">
        <v>938</v>
      </c>
      <c r="B549" s="7">
        <v>188</v>
      </c>
      <c r="C549" s="7" t="s">
        <v>927</v>
      </c>
      <c r="D549" s="7">
        <v>805</v>
      </c>
      <c r="E549" s="7" t="s">
        <v>623</v>
      </c>
      <c r="F549" s="9">
        <f t="shared" si="8"/>
        <v>30366107</v>
      </c>
      <c r="G549" s="9">
        <f>VLOOKUP(A549, localcont!$D$10:$L$1764, 8)</f>
        <v>619099.81964239397</v>
      </c>
      <c r="H549" s="109">
        <f>VLOOKUP(A549, localcont!$D$10:$L$1764, 9)*F549</f>
        <v>3417508.6495391121</v>
      </c>
    </row>
    <row r="550" spans="1:8">
      <c r="A550" s="7">
        <v>1067</v>
      </c>
      <c r="B550" s="7">
        <v>214</v>
      </c>
      <c r="C550" s="7" t="s">
        <v>961</v>
      </c>
      <c r="D550" s="7">
        <v>805</v>
      </c>
      <c r="E550" s="7" t="s">
        <v>623</v>
      </c>
      <c r="F550" s="9">
        <f t="shared" si="8"/>
        <v>30366107</v>
      </c>
      <c r="G550" s="9">
        <f>VLOOKUP(A550, localcont!$D$10:$L$1764, 8)</f>
        <v>2219699.3531124936</v>
      </c>
      <c r="H550" s="109">
        <f>VLOOKUP(A550, localcont!$D$10:$L$1764, 9)*F550</f>
        <v>2609012.5836097356</v>
      </c>
    </row>
    <row r="551" spans="1:8">
      <c r="A551" s="7">
        <v>1447</v>
      </c>
      <c r="B551" s="7">
        <v>290</v>
      </c>
      <c r="C551" s="7" t="s">
        <v>1067</v>
      </c>
      <c r="D551" s="7">
        <v>805</v>
      </c>
      <c r="E551" s="7" t="s">
        <v>623</v>
      </c>
      <c r="F551" s="9">
        <f t="shared" si="8"/>
        <v>30366107</v>
      </c>
      <c r="G551" s="9">
        <f>VLOOKUP(A551, localcont!$D$10:$L$1764, 8)</f>
        <v>1464699.5731737674</v>
      </c>
      <c r="H551" s="109">
        <f>VLOOKUP(A551, localcont!$D$10:$L$1764, 9)*F551</f>
        <v>2989239.2196123744</v>
      </c>
    </row>
    <row r="552" spans="1:8">
      <c r="A552" s="7">
        <v>1513</v>
      </c>
      <c r="B552" s="7">
        <v>303</v>
      </c>
      <c r="C552" s="7" t="s">
        <v>1080</v>
      </c>
      <c r="D552" s="7">
        <v>805</v>
      </c>
      <c r="E552" s="7" t="s">
        <v>623</v>
      </c>
      <c r="F552" s="9">
        <f t="shared" si="8"/>
        <v>30366107</v>
      </c>
      <c r="G552" s="9">
        <f>VLOOKUP(A552, localcont!$D$10:$L$1764, 8)</f>
        <v>1751599.4894578448</v>
      </c>
      <c r="H552" s="109">
        <f>VLOOKUP(A552, localcont!$D$10:$L$1764, 9)*F552</f>
        <v>4061238.6685907268</v>
      </c>
    </row>
    <row r="553" spans="1:8">
      <c r="A553" s="7">
        <v>1517</v>
      </c>
      <c r="B553" s="7">
        <v>304</v>
      </c>
      <c r="C553" s="7" t="s">
        <v>1081</v>
      </c>
      <c r="D553" s="7">
        <v>805</v>
      </c>
      <c r="E553" s="7" t="s">
        <v>623</v>
      </c>
      <c r="F553" s="9">
        <f t="shared" si="8"/>
        <v>30366107</v>
      </c>
      <c r="G553" s="9">
        <f>VLOOKUP(A553, localcont!$D$10:$L$1764, 8)</f>
        <v>2113999.3838284332</v>
      </c>
      <c r="H553" s="109">
        <f>VLOOKUP(A553, localcont!$D$10:$L$1764, 9)*F553</f>
        <v>3120887.8351421868</v>
      </c>
    </row>
    <row r="554" spans="1:8">
      <c r="A554" s="7">
        <v>87</v>
      </c>
      <c r="B554" s="7">
        <v>18</v>
      </c>
      <c r="C554" s="7" t="s">
        <v>22</v>
      </c>
      <c r="D554" s="7">
        <v>806</v>
      </c>
      <c r="E554" s="7" t="s">
        <v>624</v>
      </c>
      <c r="F554" s="9">
        <f t="shared" si="8"/>
        <v>30366107</v>
      </c>
      <c r="G554" s="9">
        <f>VLOOKUP(A554, localcont!$D$10:$L$1764, 8)</f>
        <v>856571.40695949399</v>
      </c>
      <c r="H554" s="109">
        <f>VLOOKUP(A554, localcont!$D$10:$L$1764, 9)*F554</f>
        <v>3987101.2793583861</v>
      </c>
    </row>
    <row r="555" spans="1:8">
      <c r="A555" s="7">
        <v>197</v>
      </c>
      <c r="B555" s="7">
        <v>40</v>
      </c>
      <c r="C555" s="7" t="s">
        <v>694</v>
      </c>
      <c r="D555" s="7">
        <v>806</v>
      </c>
      <c r="E555" s="7" t="s">
        <v>624</v>
      </c>
      <c r="F555" s="9">
        <f t="shared" si="8"/>
        <v>30366107</v>
      </c>
      <c r="G555" s="9">
        <f>VLOOKUP(A555, localcont!$D$10:$L$1764, 8)</f>
        <v>2685021.9102964113</v>
      </c>
      <c r="H555" s="109">
        <f>VLOOKUP(A555, localcont!$D$10:$L$1764, 9)*F555</f>
        <v>1336942.0761510292</v>
      </c>
    </row>
    <row r="556" spans="1:8">
      <c r="A556" s="7">
        <v>247</v>
      </c>
      <c r="B556" s="7">
        <v>50</v>
      </c>
      <c r="C556" s="7" t="s">
        <v>708</v>
      </c>
      <c r="D556" s="7">
        <v>806</v>
      </c>
      <c r="E556" s="7" t="s">
        <v>624</v>
      </c>
      <c r="F556" s="9">
        <f t="shared" si="8"/>
        <v>30366107</v>
      </c>
      <c r="G556" s="9">
        <f>VLOOKUP(A556, localcont!$D$10:$L$1764, 8)</f>
        <v>1021296.6775565357</v>
      </c>
      <c r="H556" s="109">
        <f>VLOOKUP(A556, localcont!$D$10:$L$1764, 9)*F556</f>
        <v>887277.929386387</v>
      </c>
    </row>
    <row r="557" spans="1:8">
      <c r="A557" s="7">
        <v>362</v>
      </c>
      <c r="B557" s="7">
        <v>73</v>
      </c>
      <c r="C557" s="7" t="s">
        <v>746</v>
      </c>
      <c r="D557" s="7">
        <v>806</v>
      </c>
      <c r="E557" s="7" t="s">
        <v>624</v>
      </c>
      <c r="F557" s="9">
        <f t="shared" si="8"/>
        <v>30366107</v>
      </c>
      <c r="G557" s="9">
        <f>VLOOKUP(A557, localcont!$D$10:$L$1764, 8)</f>
        <v>1268384.5833069752</v>
      </c>
      <c r="H557" s="109">
        <f>VLOOKUP(A557, localcont!$D$10:$L$1764, 9)*F557</f>
        <v>1340188.8396151708</v>
      </c>
    </row>
    <row r="558" spans="1:8">
      <c r="A558" s="7">
        <v>662</v>
      </c>
      <c r="B558" s="7">
        <v>133</v>
      </c>
      <c r="C558" s="7" t="s">
        <v>829</v>
      </c>
      <c r="D558" s="7">
        <v>806</v>
      </c>
      <c r="E558" s="7" t="s">
        <v>624</v>
      </c>
      <c r="F558" s="9">
        <f t="shared" si="8"/>
        <v>30366107</v>
      </c>
      <c r="G558" s="9">
        <f>VLOOKUP(A558, localcont!$D$10:$L$1764, 8)</f>
        <v>2124955.9902664693</v>
      </c>
      <c r="H558" s="109">
        <f>VLOOKUP(A558, localcont!$D$10:$L$1764, 9)*F558</f>
        <v>4306425.4474086976</v>
      </c>
    </row>
    <row r="559" spans="1:8">
      <c r="A559" s="7">
        <v>942</v>
      </c>
      <c r="B559" s="7">
        <v>189</v>
      </c>
      <c r="C559" s="7" t="s">
        <v>928</v>
      </c>
      <c r="D559" s="7">
        <v>806</v>
      </c>
      <c r="E559" s="7" t="s">
        <v>624</v>
      </c>
      <c r="F559" s="9">
        <f t="shared" si="8"/>
        <v>30366107</v>
      </c>
      <c r="G559" s="9">
        <f>VLOOKUP(A559, localcont!$D$10:$L$1764, 8)</f>
        <v>741263.71754156472</v>
      </c>
      <c r="H559" s="109">
        <f>VLOOKUP(A559, localcont!$D$10:$L$1764, 9)*F559</f>
        <v>555243.748136034</v>
      </c>
    </row>
    <row r="560" spans="1:8">
      <c r="A560" s="7">
        <v>1097</v>
      </c>
      <c r="B560" s="7">
        <v>220</v>
      </c>
      <c r="C560" s="7" t="s">
        <v>968</v>
      </c>
      <c r="D560" s="7">
        <v>806</v>
      </c>
      <c r="E560" s="7" t="s">
        <v>624</v>
      </c>
      <c r="F560" s="9">
        <f t="shared" si="8"/>
        <v>30366107</v>
      </c>
      <c r="G560" s="9">
        <f>VLOOKUP(A560, localcont!$D$10:$L$1764, 8)</f>
        <v>922461.5151983106</v>
      </c>
      <c r="H560" s="109">
        <f>VLOOKUP(A560, localcont!$D$10:$L$1764, 9)*F560</f>
        <v>742960.36957138928</v>
      </c>
    </row>
    <row r="561" spans="1:8">
      <c r="A561" s="7">
        <v>1217</v>
      </c>
      <c r="B561" s="7">
        <v>244</v>
      </c>
      <c r="C561" s="7" t="s">
        <v>1014</v>
      </c>
      <c r="D561" s="7">
        <v>806</v>
      </c>
      <c r="E561" s="7" t="s">
        <v>624</v>
      </c>
      <c r="F561" s="9">
        <f t="shared" si="8"/>
        <v>30366107</v>
      </c>
      <c r="G561" s="9">
        <f>VLOOKUP(A561, localcont!$D$10:$L$1764, 8)</f>
        <v>4760560.3193837684</v>
      </c>
      <c r="H561" s="109">
        <f>VLOOKUP(A561, localcont!$D$10:$L$1764, 9)*F561</f>
        <v>3435730.4199632728</v>
      </c>
    </row>
    <row r="562" spans="1:8">
      <c r="A562" s="7">
        <v>1672</v>
      </c>
      <c r="B562" s="7">
        <v>335</v>
      </c>
      <c r="C562" s="7" t="s">
        <v>1113</v>
      </c>
      <c r="D562" s="7">
        <v>806</v>
      </c>
      <c r="E562" s="7" t="s">
        <v>624</v>
      </c>
      <c r="F562" s="9">
        <f t="shared" si="8"/>
        <v>30366107</v>
      </c>
      <c r="G562" s="9">
        <f>VLOOKUP(A562, localcont!$D$10:$L$1764, 8)</f>
        <v>131780.21647763337</v>
      </c>
      <c r="H562" s="109">
        <f>VLOOKUP(A562, localcont!$D$10:$L$1764, 9)*F562</f>
        <v>132450.25504764891</v>
      </c>
    </row>
    <row r="563" spans="1:8">
      <c r="A563" s="7">
        <v>133</v>
      </c>
      <c r="B563" s="7">
        <v>27</v>
      </c>
      <c r="C563" s="7" t="s">
        <v>39</v>
      </c>
      <c r="D563" s="7">
        <v>810</v>
      </c>
      <c r="E563" s="7" t="s">
        <v>625</v>
      </c>
      <c r="F563" s="9">
        <f t="shared" si="8"/>
        <v>30366107</v>
      </c>
      <c r="G563" s="9">
        <f>VLOOKUP(A563, localcont!$D$10:$L$1764, 8)</f>
        <v>1495813.7090583805</v>
      </c>
      <c r="H563" s="109">
        <f>VLOOKUP(A563, localcont!$D$10:$L$1764, 9)*F563</f>
        <v>3787691.6787554799</v>
      </c>
    </row>
    <row r="564" spans="1:8">
      <c r="A564" s="7">
        <v>208</v>
      </c>
      <c r="B564" s="7">
        <v>42</v>
      </c>
      <c r="C564" s="7" t="s">
        <v>697</v>
      </c>
      <c r="D564" s="7">
        <v>810</v>
      </c>
      <c r="E564" s="7" t="s">
        <v>625</v>
      </c>
      <c r="F564" s="9">
        <f t="shared" si="8"/>
        <v>30366107</v>
      </c>
      <c r="G564" s="9">
        <f>VLOOKUP(A564, localcont!$D$10:$L$1764, 8)</f>
        <v>1941375.2393394718</v>
      </c>
      <c r="H564" s="109">
        <f>VLOOKUP(A564, localcont!$D$10:$L$1764, 9)*F564</f>
        <v>1742355.5489764111</v>
      </c>
    </row>
    <row r="565" spans="1:8">
      <c r="A565" s="7">
        <v>378</v>
      </c>
      <c r="B565" s="7">
        <v>76</v>
      </c>
      <c r="C565" s="7" t="s">
        <v>754</v>
      </c>
      <c r="D565" s="7">
        <v>810</v>
      </c>
      <c r="E565" s="7" t="s">
        <v>625</v>
      </c>
      <c r="F565" s="9">
        <f t="shared" si="8"/>
        <v>30366107</v>
      </c>
      <c r="G565" s="9">
        <f>VLOOKUP(A565, localcont!$D$10:$L$1764, 8)</f>
        <v>1034339.2669133544</v>
      </c>
      <c r="H565" s="109">
        <f>VLOOKUP(A565, localcont!$D$10:$L$1764, 9)*F565</f>
        <v>2324680.5922419489</v>
      </c>
    </row>
    <row r="566" spans="1:8">
      <c r="A566" s="7">
        <v>907</v>
      </c>
      <c r="B566" s="7">
        <v>182</v>
      </c>
      <c r="C566" s="7" t="s">
        <v>921</v>
      </c>
      <c r="D566" s="7">
        <v>810</v>
      </c>
      <c r="E566" s="7" t="s">
        <v>625</v>
      </c>
      <c r="F566" s="9">
        <f t="shared" si="8"/>
        <v>30366107</v>
      </c>
      <c r="G566" s="9">
        <f>VLOOKUP(A566, localcont!$D$10:$L$1764, 8)</f>
        <v>4726134.804073561</v>
      </c>
      <c r="H566" s="109">
        <f>VLOOKUP(A566, localcont!$D$10:$L$1764, 9)*F566</f>
        <v>4219074.0713526085</v>
      </c>
    </row>
    <row r="567" spans="1:8">
      <c r="A567" s="7">
        <v>1223</v>
      </c>
      <c r="B567" s="7">
        <v>245</v>
      </c>
      <c r="C567" s="7" t="s">
        <v>1015</v>
      </c>
      <c r="D567" s="7">
        <v>810</v>
      </c>
      <c r="E567" s="7" t="s">
        <v>625</v>
      </c>
      <c r="F567" s="9">
        <f t="shared" si="8"/>
        <v>30366107</v>
      </c>
      <c r="G567" s="9">
        <f>VLOOKUP(A567, localcont!$D$10:$L$1764, 8)</f>
        <v>2466501.3287281161</v>
      </c>
      <c r="H567" s="109">
        <f>VLOOKUP(A567, localcont!$D$10:$L$1764, 9)*F567</f>
        <v>3149534.5907196007</v>
      </c>
    </row>
    <row r="568" spans="1:8">
      <c r="A568" s="7">
        <v>1233</v>
      </c>
      <c r="B568" s="7">
        <v>247</v>
      </c>
      <c r="C568" s="7" t="s">
        <v>1017</v>
      </c>
      <c r="D568" s="7">
        <v>810</v>
      </c>
      <c r="E568" s="7" t="s">
        <v>625</v>
      </c>
      <c r="F568" s="9">
        <f t="shared" si="8"/>
        <v>30366107</v>
      </c>
      <c r="G568" s="9">
        <f>VLOOKUP(A568, localcont!$D$10:$L$1764, 8)</f>
        <v>747906.85442313063</v>
      </c>
      <c r="H568" s="109">
        <f>VLOOKUP(A568, localcont!$D$10:$L$1764, 9)*F568</f>
        <v>1261342.0412236387</v>
      </c>
    </row>
    <row r="569" spans="1:8">
      <c r="A569" s="7">
        <v>1462</v>
      </c>
      <c r="B569" s="7">
        <v>293</v>
      </c>
      <c r="C569" s="7" t="s">
        <v>1070</v>
      </c>
      <c r="D569" s="7">
        <v>810</v>
      </c>
      <c r="E569" s="7" t="s">
        <v>625</v>
      </c>
      <c r="F569" s="9">
        <f t="shared" si="8"/>
        <v>30366107</v>
      </c>
      <c r="G569" s="9">
        <f>VLOOKUP(A569, localcont!$D$10:$L$1764, 8)</f>
        <v>8799840.2242712416</v>
      </c>
      <c r="H569" s="109">
        <f>VLOOKUP(A569, localcont!$D$10:$L$1764, 9)*F569</f>
        <v>2656592.4260390722</v>
      </c>
    </row>
    <row r="570" spans="1:8">
      <c r="A570" s="7">
        <v>97</v>
      </c>
      <c r="B570" s="7">
        <v>20</v>
      </c>
      <c r="C570" s="7" t="s">
        <v>26</v>
      </c>
      <c r="D570" s="7">
        <v>815</v>
      </c>
      <c r="E570" s="7" t="s">
        <v>626</v>
      </c>
      <c r="F570" s="9">
        <f t="shared" si="8"/>
        <v>30366107</v>
      </c>
      <c r="G570" s="9">
        <f>VLOOKUP(A570, localcont!$D$10:$L$1764, 8)</f>
        <v>3001016.7061082199</v>
      </c>
      <c r="H570" s="109">
        <f>VLOOKUP(A570, localcont!$D$10:$L$1764, 9)*F570</f>
        <v>1493893.0229288982</v>
      </c>
    </row>
    <row r="571" spans="1:8">
      <c r="A571" s="7">
        <v>203</v>
      </c>
      <c r="B571" s="7">
        <v>41</v>
      </c>
      <c r="C571" s="7" t="s">
        <v>695</v>
      </c>
      <c r="D571" s="7">
        <v>815</v>
      </c>
      <c r="E571" s="7" t="s">
        <v>626</v>
      </c>
      <c r="F571" s="9">
        <f t="shared" si="8"/>
        <v>30366107</v>
      </c>
      <c r="G571" s="9">
        <f>VLOOKUP(A571, localcont!$D$10:$L$1764, 8)</f>
        <v>705156.93089935707</v>
      </c>
      <c r="H571" s="109">
        <f>VLOOKUP(A571, localcont!$D$10:$L$1764, 9)*F571</f>
        <v>1896639.1811924591</v>
      </c>
    </row>
    <row r="572" spans="1:8">
      <c r="A572" s="7">
        <v>273</v>
      </c>
      <c r="B572" s="7">
        <v>55</v>
      </c>
      <c r="C572" s="7" t="s">
        <v>716</v>
      </c>
      <c r="D572" s="7">
        <v>815</v>
      </c>
      <c r="E572" s="7" t="s">
        <v>626</v>
      </c>
      <c r="F572" s="9">
        <f t="shared" si="8"/>
        <v>30366107</v>
      </c>
      <c r="G572" s="9">
        <f>VLOOKUP(A572, localcont!$D$10:$L$1764, 8)</f>
        <v>163989.98397997799</v>
      </c>
      <c r="H572" s="109">
        <f>VLOOKUP(A572, localcont!$D$10:$L$1764, 9)*F572</f>
        <v>945920.552275675</v>
      </c>
    </row>
    <row r="573" spans="1:8">
      <c r="A573" s="7">
        <v>373</v>
      </c>
      <c r="B573" s="7">
        <v>75</v>
      </c>
      <c r="C573" s="7" t="s">
        <v>752</v>
      </c>
      <c r="D573" s="7">
        <v>815</v>
      </c>
      <c r="E573" s="7" t="s">
        <v>626</v>
      </c>
      <c r="F573" s="9">
        <f t="shared" si="8"/>
        <v>30366107</v>
      </c>
      <c r="G573" s="9">
        <f>VLOOKUP(A573, localcont!$D$10:$L$1764, 8)</f>
        <v>1098732.8923695716</v>
      </c>
      <c r="H573" s="109">
        <f>VLOOKUP(A573, localcont!$D$10:$L$1764, 9)*F573</f>
        <v>2458581.3326988062</v>
      </c>
    </row>
    <row r="574" spans="1:8">
      <c r="A574" s="7">
        <v>423</v>
      </c>
      <c r="B574" s="7">
        <v>85</v>
      </c>
      <c r="C574" s="7" t="s">
        <v>770</v>
      </c>
      <c r="D574" s="7">
        <v>815</v>
      </c>
      <c r="E574" s="7" t="s">
        <v>626</v>
      </c>
      <c r="F574" s="9">
        <f t="shared" si="8"/>
        <v>30366107</v>
      </c>
      <c r="G574" s="9">
        <f>VLOOKUP(A574, localcont!$D$10:$L$1764, 8)</f>
        <v>245984.97591888407</v>
      </c>
      <c r="H574" s="109">
        <f>VLOOKUP(A574, localcont!$D$10:$L$1764, 9)*F574</f>
        <v>1568405.8343425761</v>
      </c>
    </row>
    <row r="575" spans="1:8">
      <c r="A575" s="7">
        <v>628</v>
      </c>
      <c r="B575" s="7">
        <v>126</v>
      </c>
      <c r="C575" s="7" t="s">
        <v>822</v>
      </c>
      <c r="D575" s="7">
        <v>815</v>
      </c>
      <c r="E575" s="7" t="s">
        <v>626</v>
      </c>
      <c r="F575" s="9">
        <f t="shared" si="8"/>
        <v>30366107</v>
      </c>
      <c r="G575" s="9">
        <f>VLOOKUP(A575, localcont!$D$10:$L$1764, 8)</f>
        <v>1262722.8763495497</v>
      </c>
      <c r="H575" s="109">
        <f>VLOOKUP(A575, localcont!$D$10:$L$1764, 9)*F575</f>
        <v>2482542.0307079777</v>
      </c>
    </row>
    <row r="576" spans="1:8">
      <c r="A576" s="7">
        <v>857</v>
      </c>
      <c r="B576" s="7">
        <v>172</v>
      </c>
      <c r="C576" s="7" t="s">
        <v>908</v>
      </c>
      <c r="D576" s="7">
        <v>815</v>
      </c>
      <c r="E576" s="7" t="s">
        <v>626</v>
      </c>
      <c r="F576" s="9">
        <f t="shared" si="8"/>
        <v>30366107</v>
      </c>
      <c r="G576" s="9">
        <f>VLOOKUP(A576, localcont!$D$10:$L$1764, 8)</f>
        <v>967540.90524688875</v>
      </c>
      <c r="H576" s="109">
        <f>VLOOKUP(A576, localcont!$D$10:$L$1764, 9)*F576</f>
        <v>1688663.103414828</v>
      </c>
    </row>
    <row r="577" spans="1:8">
      <c r="A577" s="7">
        <v>1118</v>
      </c>
      <c r="B577" s="7">
        <v>224</v>
      </c>
      <c r="C577" s="7" t="s">
        <v>973</v>
      </c>
      <c r="D577" s="7">
        <v>815</v>
      </c>
      <c r="E577" s="7" t="s">
        <v>626</v>
      </c>
      <c r="F577" s="9">
        <f t="shared" si="8"/>
        <v>30366107</v>
      </c>
      <c r="G577" s="9">
        <f>VLOOKUP(A577, localcont!$D$10:$L$1764, 8)</f>
        <v>245984.97591888407</v>
      </c>
      <c r="H577" s="109">
        <f>VLOOKUP(A577, localcont!$D$10:$L$1764, 9)*F577</f>
        <v>1532071.4984841393</v>
      </c>
    </row>
    <row r="578" spans="1:8">
      <c r="A578" s="7">
        <v>1207</v>
      </c>
      <c r="B578" s="7">
        <v>242</v>
      </c>
      <c r="C578" s="7" t="s">
        <v>1012</v>
      </c>
      <c r="D578" s="7">
        <v>815</v>
      </c>
      <c r="E578" s="7" t="s">
        <v>626</v>
      </c>
      <c r="F578" s="9">
        <f t="shared" si="8"/>
        <v>30366107</v>
      </c>
      <c r="G578" s="9">
        <f>VLOOKUP(A578, localcont!$D$10:$L$1764, 8)</f>
        <v>81994.991938906096</v>
      </c>
      <c r="H578" s="109">
        <f>VLOOKUP(A578, localcont!$D$10:$L$1764, 9)*F578</f>
        <v>1800951.8451269607</v>
      </c>
    </row>
    <row r="579" spans="1:8">
      <c r="A579" s="7">
        <v>1497</v>
      </c>
      <c r="B579" s="7">
        <v>300</v>
      </c>
      <c r="C579" s="7" t="s">
        <v>1077</v>
      </c>
      <c r="D579" s="7">
        <v>815</v>
      </c>
      <c r="E579" s="7" t="s">
        <v>626</v>
      </c>
      <c r="F579" s="9">
        <f t="shared" si="8"/>
        <v>30366107</v>
      </c>
      <c r="G579" s="9">
        <f>VLOOKUP(A579, localcont!$D$10:$L$1764, 8)</f>
        <v>49196.995183776817</v>
      </c>
      <c r="H579" s="109">
        <f>VLOOKUP(A579, localcont!$D$10:$L$1764, 9)*F579</f>
        <v>727720.82222601853</v>
      </c>
    </row>
    <row r="580" spans="1:8">
      <c r="A580" s="7">
        <v>1588</v>
      </c>
      <c r="B580" s="7">
        <v>318</v>
      </c>
      <c r="C580" s="7" t="s">
        <v>1096</v>
      </c>
      <c r="D580" s="7">
        <v>815</v>
      </c>
      <c r="E580" s="7" t="s">
        <v>626</v>
      </c>
      <c r="F580" s="9">
        <f t="shared" si="8"/>
        <v>30366107</v>
      </c>
      <c r="G580" s="9">
        <f>VLOOKUP(A580, localcont!$D$10:$L$1764, 8)</f>
        <v>147590.98555133044</v>
      </c>
      <c r="H580" s="109">
        <f>VLOOKUP(A580, localcont!$D$10:$L$1764, 9)*F580</f>
        <v>1531509.9399768333</v>
      </c>
    </row>
    <row r="581" spans="1:8">
      <c r="A581" s="7">
        <v>1753</v>
      </c>
      <c r="B581" s="7">
        <v>351</v>
      </c>
      <c r="C581" s="7" t="s">
        <v>1129</v>
      </c>
      <c r="D581" s="7">
        <v>815</v>
      </c>
      <c r="E581" s="7" t="s">
        <v>626</v>
      </c>
      <c r="F581" s="9">
        <f t="shared" si="8"/>
        <v>30366107</v>
      </c>
      <c r="G581" s="9">
        <f>VLOOKUP(A581, localcont!$D$10:$L$1764, 8)</f>
        <v>2246662.7799229198</v>
      </c>
      <c r="H581" s="109">
        <f>VLOOKUP(A581, localcont!$D$10:$L$1764, 9)*F581</f>
        <v>2563965.518752818</v>
      </c>
    </row>
    <row r="582" spans="1:8">
      <c r="A582" s="7">
        <v>147</v>
      </c>
      <c r="B582" s="7">
        <v>30</v>
      </c>
      <c r="C582" s="7" t="s">
        <v>47</v>
      </c>
      <c r="D582" s="7">
        <v>817</v>
      </c>
      <c r="E582" s="7" t="s">
        <v>1247</v>
      </c>
      <c r="F582" s="9">
        <f t="shared" si="8"/>
        <v>30366107</v>
      </c>
      <c r="G582" s="9">
        <f>VLOOKUP(A582, localcont!$D$10:$L$1764, 8)</f>
        <v>1956596.348890712</v>
      </c>
      <c r="H582" s="109">
        <f>VLOOKUP(A582, localcont!$D$10:$L$1764, 9)*F582</f>
        <v>1249651.4343819378</v>
      </c>
    </row>
    <row r="583" spans="1:8">
      <c r="A583" s="7">
        <v>188</v>
      </c>
      <c r="B583" s="7">
        <v>38</v>
      </c>
      <c r="C583" s="7" t="s">
        <v>1154</v>
      </c>
      <c r="D583" s="7">
        <v>817</v>
      </c>
      <c r="E583" s="7" t="s">
        <v>1247</v>
      </c>
      <c r="F583" s="9">
        <f t="shared" si="8"/>
        <v>30366107</v>
      </c>
      <c r="G583" s="9">
        <f>VLOOKUP(A583, localcont!$D$10:$L$1764, 8)</f>
        <v>286331.17300446273</v>
      </c>
      <c r="H583" s="109">
        <f>VLOOKUP(A583, localcont!$D$10:$L$1764, 9)*F583</f>
        <v>612222.19473699713</v>
      </c>
    </row>
    <row r="584" spans="1:8">
      <c r="A584" s="7">
        <v>352</v>
      </c>
      <c r="B584" s="7">
        <v>71</v>
      </c>
      <c r="C584" s="7" t="s">
        <v>743</v>
      </c>
      <c r="D584" s="7">
        <v>817</v>
      </c>
      <c r="E584" s="7" t="s">
        <v>1247</v>
      </c>
      <c r="F584" s="9">
        <f t="shared" si="8"/>
        <v>30366107</v>
      </c>
      <c r="G584" s="9">
        <f>VLOOKUP(A584, localcont!$D$10:$L$1764, 8)</f>
        <v>2083854.6479858847</v>
      </c>
      <c r="H584" s="109">
        <f>VLOOKUP(A584, localcont!$D$10:$L$1764, 9)*F584</f>
        <v>1761786.449623592</v>
      </c>
    </row>
    <row r="585" spans="1:8">
      <c r="A585" s="7">
        <v>458</v>
      </c>
      <c r="B585" s="7">
        <v>92</v>
      </c>
      <c r="C585" s="7" t="s">
        <v>778</v>
      </c>
      <c r="D585" s="7">
        <v>817</v>
      </c>
      <c r="E585" s="7" t="s">
        <v>1247</v>
      </c>
      <c r="F585" s="9">
        <f t="shared" si="8"/>
        <v>30366107</v>
      </c>
      <c r="G585" s="9">
        <f>VLOOKUP(A585, localcont!$D$10:$L$1764, 8)</f>
        <v>349960.32263269887</v>
      </c>
      <c r="H585" s="109">
        <f>VLOOKUP(A585, localcont!$D$10:$L$1764, 9)*F585</f>
        <v>2036744.6735302454</v>
      </c>
    </row>
    <row r="586" spans="1:8">
      <c r="A586" s="7">
        <v>532</v>
      </c>
      <c r="B586" s="7">
        <v>107</v>
      </c>
      <c r="C586" s="7" t="s">
        <v>797</v>
      </c>
      <c r="D586" s="7">
        <v>817</v>
      </c>
      <c r="E586" s="7" t="s">
        <v>1247</v>
      </c>
      <c r="F586" s="9">
        <f t="shared" ref="F586:F649" si="9">VLOOKUP(D586, town351, 7)</f>
        <v>30366107</v>
      </c>
      <c r="G586" s="9">
        <f>VLOOKUP(A586, localcont!$D$10:$L$1764, 8)</f>
        <v>1558914.164117486</v>
      </c>
      <c r="H586" s="109">
        <f>VLOOKUP(A586, localcont!$D$10:$L$1764, 9)*F586</f>
        <v>1280005.3822580783</v>
      </c>
    </row>
    <row r="587" spans="1:8">
      <c r="A587" s="7">
        <v>593</v>
      </c>
      <c r="B587" s="7">
        <v>119</v>
      </c>
      <c r="C587" s="7" t="s">
        <v>812</v>
      </c>
      <c r="D587" s="7">
        <v>817</v>
      </c>
      <c r="E587" s="7" t="s">
        <v>1247</v>
      </c>
      <c r="F587" s="9">
        <f t="shared" si="9"/>
        <v>30366107</v>
      </c>
      <c r="G587" s="9">
        <f>VLOOKUP(A587, localcont!$D$10:$L$1764, 8)</f>
        <v>222702.02337622663</v>
      </c>
      <c r="H587" s="109">
        <f>VLOOKUP(A587, localcont!$D$10:$L$1764, 9)*F587</f>
        <v>615015.1830740117</v>
      </c>
    </row>
    <row r="588" spans="1:8">
      <c r="A588" s="7">
        <v>817</v>
      </c>
      <c r="B588" s="7">
        <v>164</v>
      </c>
      <c r="C588" s="7" t="s">
        <v>899</v>
      </c>
      <c r="D588" s="7">
        <v>817</v>
      </c>
      <c r="E588" s="7" t="s">
        <v>1247</v>
      </c>
      <c r="F588" s="9">
        <f t="shared" si="9"/>
        <v>30366107</v>
      </c>
      <c r="G588" s="9">
        <f>VLOOKUP(A588, localcont!$D$10:$L$1764, 8)</f>
        <v>334053.0351449899</v>
      </c>
      <c r="H588" s="109">
        <f>VLOOKUP(A588, localcont!$D$10:$L$1764, 9)*F588</f>
        <v>473847.51106013963</v>
      </c>
    </row>
    <row r="589" spans="1:8">
      <c r="A589" s="7">
        <v>828</v>
      </c>
      <c r="B589" s="7">
        <v>166</v>
      </c>
      <c r="C589" s="7" t="s">
        <v>901</v>
      </c>
      <c r="D589" s="7">
        <v>817</v>
      </c>
      <c r="E589" s="7" t="s">
        <v>1247</v>
      </c>
      <c r="F589" s="9">
        <f t="shared" si="9"/>
        <v>30366107</v>
      </c>
      <c r="G589" s="9">
        <f>VLOOKUP(A589, localcont!$D$10:$L$1764, 8)</f>
        <v>63629.149628236111</v>
      </c>
      <c r="H589" s="109">
        <f>VLOOKUP(A589, localcont!$D$10:$L$1764, 9)*F589</f>
        <v>234472.2155410393</v>
      </c>
    </row>
    <row r="590" spans="1:8">
      <c r="A590" s="7">
        <v>837</v>
      </c>
      <c r="B590" s="7">
        <v>168</v>
      </c>
      <c r="C590" s="7" t="s">
        <v>903</v>
      </c>
      <c r="D590" s="7">
        <v>817</v>
      </c>
      <c r="E590" s="7" t="s">
        <v>1247</v>
      </c>
      <c r="F590" s="9">
        <f t="shared" si="9"/>
        <v>30366107</v>
      </c>
      <c r="G590" s="9">
        <f>VLOOKUP(A590, localcont!$D$10:$L$1764, 8)</f>
        <v>318145.74781858083</v>
      </c>
      <c r="H590" s="109">
        <f>VLOOKUP(A590, localcont!$D$10:$L$1764, 9)*F590</f>
        <v>310207.09754544374</v>
      </c>
    </row>
    <row r="591" spans="1:8">
      <c r="A591" s="7">
        <v>918</v>
      </c>
      <c r="B591" s="7">
        <v>184</v>
      </c>
      <c r="C591" s="7" t="s">
        <v>923</v>
      </c>
      <c r="D591" s="7">
        <v>817</v>
      </c>
      <c r="E591" s="7" t="s">
        <v>1247</v>
      </c>
      <c r="F591" s="9">
        <f t="shared" si="9"/>
        <v>30366107</v>
      </c>
      <c r="G591" s="9">
        <f>VLOOKUP(A591, localcont!$D$10:$L$1764, 8)</f>
        <v>604476.92082304356</v>
      </c>
      <c r="H591" s="109">
        <f>VLOOKUP(A591, localcont!$D$10:$L$1764, 9)*F591</f>
        <v>1357663.5242396621</v>
      </c>
    </row>
    <row r="592" spans="1:8">
      <c r="A592" s="7">
        <v>977</v>
      </c>
      <c r="B592" s="7">
        <v>196</v>
      </c>
      <c r="C592" s="7" t="s">
        <v>935</v>
      </c>
      <c r="D592" s="7">
        <v>817</v>
      </c>
      <c r="E592" s="7" t="s">
        <v>1247</v>
      </c>
      <c r="F592" s="9">
        <f t="shared" si="9"/>
        <v>30366107</v>
      </c>
      <c r="G592" s="9">
        <f>VLOOKUP(A592, localcont!$D$10:$L$1764, 8)</f>
        <v>95443.724281054296</v>
      </c>
      <c r="H592" s="109">
        <f>VLOOKUP(A592, localcont!$D$10:$L$1764, 9)*F592</f>
        <v>1084643.9095994772</v>
      </c>
    </row>
    <row r="593" spans="1:8">
      <c r="A593" s="7">
        <v>1142</v>
      </c>
      <c r="B593" s="7">
        <v>229</v>
      </c>
      <c r="C593" s="7" t="s">
        <v>990</v>
      </c>
      <c r="D593" s="7">
        <v>817</v>
      </c>
      <c r="E593" s="7" t="s">
        <v>1247</v>
      </c>
      <c r="F593" s="9">
        <f t="shared" si="9"/>
        <v>30366107</v>
      </c>
      <c r="G593" s="9">
        <f>VLOOKUP(A593, localcont!$D$10:$L$1764, 8)</f>
        <v>4342689.4572074683</v>
      </c>
      <c r="H593" s="109">
        <f>VLOOKUP(A593, localcont!$D$10:$L$1764, 9)*F593</f>
        <v>1936648.5363245469</v>
      </c>
    </row>
    <row r="594" spans="1:8">
      <c r="A594" s="7">
        <v>1257</v>
      </c>
      <c r="B594" s="7">
        <v>252</v>
      </c>
      <c r="C594" s="7" t="s">
        <v>1022</v>
      </c>
      <c r="D594" s="7">
        <v>817</v>
      </c>
      <c r="E594" s="7" t="s">
        <v>1247</v>
      </c>
      <c r="F594" s="9">
        <f t="shared" si="9"/>
        <v>30366107</v>
      </c>
      <c r="G594" s="9">
        <f>VLOOKUP(A594, localcont!$D$10:$L$1764, 8)</f>
        <v>238609.31086393559</v>
      </c>
      <c r="H594" s="109">
        <f>VLOOKUP(A594, localcont!$D$10:$L$1764, 9)*F594</f>
        <v>930388.90653799858</v>
      </c>
    </row>
    <row r="595" spans="1:8">
      <c r="A595" s="7">
        <v>1287</v>
      </c>
      <c r="B595" s="7">
        <v>258</v>
      </c>
      <c r="C595" s="7" t="s">
        <v>1028</v>
      </c>
      <c r="D595" s="7">
        <v>817</v>
      </c>
      <c r="E595" s="7" t="s">
        <v>1247</v>
      </c>
      <c r="F595" s="9">
        <f t="shared" si="9"/>
        <v>30366107</v>
      </c>
      <c r="G595" s="9">
        <f>VLOOKUP(A595, localcont!$D$10:$L$1764, 8)</f>
        <v>2974662.7418133905</v>
      </c>
      <c r="H595" s="109">
        <f>VLOOKUP(A595, localcont!$D$10:$L$1764, 9)*F595</f>
        <v>1620446.4542296242</v>
      </c>
    </row>
    <row r="596" spans="1:8">
      <c r="A596" s="7">
        <v>1452</v>
      </c>
      <c r="B596" s="7">
        <v>291</v>
      </c>
      <c r="C596" s="7" t="s">
        <v>1068</v>
      </c>
      <c r="D596" s="7">
        <v>817</v>
      </c>
      <c r="E596" s="7" t="s">
        <v>1247</v>
      </c>
      <c r="F596" s="9">
        <f t="shared" si="9"/>
        <v>30366107</v>
      </c>
      <c r="G596" s="9">
        <f>VLOOKUP(A596, localcont!$D$10:$L$1764, 8)</f>
        <v>318145.74781858083</v>
      </c>
      <c r="H596" s="109">
        <f>VLOOKUP(A596, localcont!$D$10:$L$1764, 9)*F596</f>
        <v>460608.24612911383</v>
      </c>
    </row>
    <row r="597" spans="1:8">
      <c r="A597" s="7">
        <v>1488</v>
      </c>
      <c r="B597" s="7">
        <v>298</v>
      </c>
      <c r="C597" s="7" t="s">
        <v>1075</v>
      </c>
      <c r="D597" s="7">
        <v>817</v>
      </c>
      <c r="E597" s="7" t="s">
        <v>1247</v>
      </c>
      <c r="F597" s="9">
        <f t="shared" si="9"/>
        <v>30366107</v>
      </c>
      <c r="G597" s="9">
        <f>VLOOKUP(A597, localcont!$D$10:$L$1764, 8)</f>
        <v>222702.02337622663</v>
      </c>
      <c r="H597" s="109">
        <f>VLOOKUP(A597, localcont!$D$10:$L$1764, 9)*F597</f>
        <v>638729.45169680554</v>
      </c>
    </row>
    <row r="598" spans="1:8">
      <c r="A598" s="7">
        <v>1598</v>
      </c>
      <c r="B598" s="7">
        <v>320</v>
      </c>
      <c r="C598" s="7" t="s">
        <v>1098</v>
      </c>
      <c r="D598" s="7">
        <v>817</v>
      </c>
      <c r="E598" s="7" t="s">
        <v>1247</v>
      </c>
      <c r="F598" s="9">
        <f t="shared" si="9"/>
        <v>30366107</v>
      </c>
      <c r="G598" s="9">
        <f>VLOOKUP(A598, localcont!$D$10:$L$1764, 8)</f>
        <v>159072.87390929041</v>
      </c>
      <c r="H598" s="109">
        <f>VLOOKUP(A598, localcont!$D$10:$L$1764, 9)*F598</f>
        <v>794168.26321700867</v>
      </c>
    </row>
    <row r="599" spans="1:8">
      <c r="A599" s="7">
        <v>143</v>
      </c>
      <c r="B599" s="7">
        <v>29</v>
      </c>
      <c r="C599" s="7" t="s">
        <v>44</v>
      </c>
      <c r="D599" s="7">
        <v>818</v>
      </c>
      <c r="E599" s="7" t="s">
        <v>627</v>
      </c>
      <c r="F599" s="9">
        <f t="shared" si="9"/>
        <v>30366107</v>
      </c>
      <c r="G599" s="9">
        <f>VLOOKUP(A599, localcont!$D$10:$L$1764, 8)</f>
        <v>348010.50332048844</v>
      </c>
      <c r="H599" s="109">
        <f>VLOOKUP(A599, localcont!$D$10:$L$1764, 9)*F599</f>
        <v>3429898.5803138097</v>
      </c>
    </row>
    <row r="600" spans="1:8">
      <c r="A600" s="7">
        <v>233</v>
      </c>
      <c r="B600" s="7">
        <v>47</v>
      </c>
      <c r="C600" s="7" t="s">
        <v>705</v>
      </c>
      <c r="D600" s="7">
        <v>818</v>
      </c>
      <c r="E600" s="7" t="s">
        <v>627</v>
      </c>
      <c r="F600" s="9">
        <f t="shared" si="9"/>
        <v>30366107</v>
      </c>
      <c r="G600" s="9">
        <f>VLOOKUP(A600, localcont!$D$10:$L$1764, 8)</f>
        <v>149147.35859696049</v>
      </c>
      <c r="H600" s="109">
        <f>VLOOKUP(A600, localcont!$D$10:$L$1764, 9)*F600</f>
        <v>2134351.5254630493</v>
      </c>
    </row>
    <row r="601" spans="1:8">
      <c r="A601" s="7">
        <v>328</v>
      </c>
      <c r="B601" s="7">
        <v>66</v>
      </c>
      <c r="C601" s="7" t="s">
        <v>737</v>
      </c>
      <c r="D601" s="7">
        <v>818</v>
      </c>
      <c r="E601" s="7" t="s">
        <v>627</v>
      </c>
      <c r="F601" s="9">
        <f t="shared" si="9"/>
        <v>30366107</v>
      </c>
      <c r="G601" s="9">
        <f>VLOOKUP(A601, localcont!$D$10:$L$1764, 8)</f>
        <v>348010.50332048844</v>
      </c>
      <c r="H601" s="109">
        <f>VLOOKUP(A601, localcont!$D$10:$L$1764, 9)*F601</f>
        <v>4764004.1459657019</v>
      </c>
    </row>
    <row r="602" spans="1:8">
      <c r="A602" s="7">
        <v>338</v>
      </c>
      <c r="B602" s="7">
        <v>68</v>
      </c>
      <c r="C602" s="7" t="s">
        <v>739</v>
      </c>
      <c r="D602" s="7">
        <v>818</v>
      </c>
      <c r="E602" s="7" t="s">
        <v>627</v>
      </c>
      <c r="F602" s="9">
        <f t="shared" si="9"/>
        <v>30366107</v>
      </c>
      <c r="G602" s="9">
        <f>VLOOKUP(A602, localcont!$D$10:$L$1764, 8)</f>
        <v>116003.50113096926</v>
      </c>
      <c r="H602" s="109">
        <f>VLOOKUP(A602, localcont!$D$10:$L$1764, 9)*F602</f>
        <v>1555391.6603268296</v>
      </c>
    </row>
    <row r="603" spans="1:8">
      <c r="A603" s="7">
        <v>368</v>
      </c>
      <c r="B603" s="7">
        <v>74</v>
      </c>
      <c r="C603" s="7" t="s">
        <v>751</v>
      </c>
      <c r="D603" s="7">
        <v>818</v>
      </c>
      <c r="E603" s="7" t="s">
        <v>627</v>
      </c>
      <c r="F603" s="9">
        <f t="shared" si="9"/>
        <v>30366107</v>
      </c>
      <c r="G603" s="9">
        <f>VLOOKUP(A603, localcont!$D$10:$L$1764, 8)</f>
        <v>265150.8596555104</v>
      </c>
      <c r="H603" s="109">
        <f>VLOOKUP(A603, localcont!$D$10:$L$1764, 9)*F603</f>
        <v>1323876.4997417149</v>
      </c>
    </row>
    <row r="604" spans="1:8">
      <c r="A604" s="7">
        <v>452</v>
      </c>
      <c r="B604" s="7">
        <v>91</v>
      </c>
      <c r="C604" s="7" t="s">
        <v>777</v>
      </c>
      <c r="D604" s="7">
        <v>818</v>
      </c>
      <c r="E604" s="7" t="s">
        <v>627</v>
      </c>
      <c r="F604" s="9">
        <f t="shared" si="9"/>
        <v>30366107</v>
      </c>
      <c r="G604" s="9">
        <f>VLOOKUP(A604, localcont!$D$10:$L$1764, 8)</f>
        <v>546873.64804401633</v>
      </c>
      <c r="H604" s="109">
        <f>VLOOKUP(A604, localcont!$D$10:$L$1764, 9)*F604</f>
        <v>6103152.9976931158</v>
      </c>
    </row>
    <row r="605" spans="1:8">
      <c r="A605" s="7">
        <v>528</v>
      </c>
      <c r="B605" s="7">
        <v>106</v>
      </c>
      <c r="C605" s="7" t="s">
        <v>795</v>
      </c>
      <c r="D605" s="7">
        <v>818</v>
      </c>
      <c r="E605" s="7" t="s">
        <v>627</v>
      </c>
      <c r="F605" s="9">
        <f t="shared" si="9"/>
        <v>30366107</v>
      </c>
      <c r="G605" s="9">
        <f>VLOOKUP(A605, localcont!$D$10:$L$1764, 8)</f>
        <v>165719.28725753675</v>
      </c>
      <c r="H605" s="109">
        <f>VLOOKUP(A605, localcont!$D$10:$L$1764, 9)*F605</f>
        <v>2782612.4359360919</v>
      </c>
    </row>
    <row r="606" spans="1:8">
      <c r="A606" s="7">
        <v>567</v>
      </c>
      <c r="B606" s="7">
        <v>114</v>
      </c>
      <c r="C606" s="7" t="s">
        <v>805</v>
      </c>
      <c r="D606" s="7">
        <v>818</v>
      </c>
      <c r="E606" s="7" t="s">
        <v>627</v>
      </c>
      <c r="F606" s="9">
        <f t="shared" si="9"/>
        <v>30366107</v>
      </c>
      <c r="G606" s="9">
        <f>VLOOKUP(A606, localcont!$D$10:$L$1764, 8)</f>
        <v>1806340.2314620053</v>
      </c>
      <c r="H606" s="109">
        <f>VLOOKUP(A606, localcont!$D$10:$L$1764, 9)*F606</f>
        <v>2425529.7790886103</v>
      </c>
    </row>
    <row r="607" spans="1:8">
      <c r="A607" s="7">
        <v>648</v>
      </c>
      <c r="B607" s="7">
        <v>130</v>
      </c>
      <c r="C607" s="7" t="s">
        <v>826</v>
      </c>
      <c r="D607" s="7">
        <v>818</v>
      </c>
      <c r="E607" s="7" t="s">
        <v>627</v>
      </c>
      <c r="F607" s="9">
        <f t="shared" si="9"/>
        <v>30366107</v>
      </c>
      <c r="G607" s="9">
        <f>VLOOKUP(A607, localcont!$D$10:$L$1764, 8)</f>
        <v>198863.14472352798</v>
      </c>
      <c r="H607" s="109">
        <f>VLOOKUP(A607, localcont!$D$10:$L$1764, 9)*F607</f>
        <v>5533155.8870621985</v>
      </c>
    </row>
    <row r="608" spans="1:8">
      <c r="A608" s="7">
        <v>778</v>
      </c>
      <c r="B608" s="7">
        <v>156</v>
      </c>
      <c r="C608" s="7" t="s">
        <v>854</v>
      </c>
      <c r="D608" s="7">
        <v>818</v>
      </c>
      <c r="E608" s="7" t="s">
        <v>627</v>
      </c>
      <c r="F608" s="9">
        <f t="shared" si="9"/>
        <v>30366107</v>
      </c>
      <c r="G608" s="9">
        <f>VLOOKUP(A608, localcont!$D$10:$L$1764, 8)</f>
        <v>116003.50113096926</v>
      </c>
      <c r="H608" s="109">
        <f>VLOOKUP(A608, localcont!$D$10:$L$1764, 9)*F608</f>
        <v>5299930.4905964779</v>
      </c>
    </row>
    <row r="609" spans="1:8">
      <c r="A609" s="7">
        <v>958</v>
      </c>
      <c r="B609" s="7">
        <v>192</v>
      </c>
      <c r="C609" s="7" t="s">
        <v>931</v>
      </c>
      <c r="D609" s="7">
        <v>818</v>
      </c>
      <c r="E609" s="7" t="s">
        <v>627</v>
      </c>
      <c r="F609" s="9">
        <f t="shared" si="9"/>
        <v>30366107</v>
      </c>
      <c r="G609" s="9">
        <f>VLOOKUP(A609, localcont!$D$10:$L$1764, 8)</f>
        <v>977743.79502948292</v>
      </c>
      <c r="H609" s="109">
        <f>VLOOKUP(A609, localcont!$D$10:$L$1764, 9)*F609</f>
        <v>2713872.9705022536</v>
      </c>
    </row>
    <row r="610" spans="1:8">
      <c r="A610" s="7">
        <v>1029</v>
      </c>
      <c r="B610" s="7">
        <v>206</v>
      </c>
      <c r="C610" s="7" t="s">
        <v>947</v>
      </c>
      <c r="D610" s="7">
        <v>818</v>
      </c>
      <c r="E610" s="7" t="s">
        <v>627</v>
      </c>
      <c r="F610" s="9">
        <f t="shared" si="9"/>
        <v>30366107</v>
      </c>
      <c r="G610" s="9">
        <f>VLOOKUP(A610, localcont!$D$10:$L$1764, 8)</f>
        <v>49715.786198986825</v>
      </c>
      <c r="H610" s="109">
        <f>VLOOKUP(A610, localcont!$D$10:$L$1764, 9)*F610</f>
        <v>1105544.0400052229</v>
      </c>
    </row>
    <row r="611" spans="1:8">
      <c r="A611" s="7">
        <v>1078</v>
      </c>
      <c r="B611" s="7">
        <v>216</v>
      </c>
      <c r="C611" s="7" t="s">
        <v>963</v>
      </c>
      <c r="D611" s="7">
        <v>818</v>
      </c>
      <c r="E611" s="7" t="s">
        <v>627</v>
      </c>
      <c r="F611" s="9">
        <f t="shared" si="9"/>
        <v>30366107</v>
      </c>
      <c r="G611" s="9">
        <f>VLOOKUP(A611, localcont!$D$10:$L$1764, 8)</f>
        <v>580017.50551000761</v>
      </c>
      <c r="H611" s="109">
        <f>VLOOKUP(A611, localcont!$D$10:$L$1764, 9)*F611</f>
        <v>4455402.8308978993</v>
      </c>
    </row>
    <row r="612" spans="1:8">
      <c r="A612" s="7">
        <v>1113</v>
      </c>
      <c r="B612" s="7">
        <v>223</v>
      </c>
      <c r="C612" s="7" t="s">
        <v>972</v>
      </c>
      <c r="D612" s="7">
        <v>818</v>
      </c>
      <c r="E612" s="7" t="s">
        <v>627</v>
      </c>
      <c r="F612" s="9">
        <f t="shared" si="9"/>
        <v>30366107</v>
      </c>
      <c r="G612" s="9">
        <f>VLOOKUP(A612, localcont!$D$10:$L$1764, 8)</f>
        <v>1010887.6524954741</v>
      </c>
      <c r="H612" s="109">
        <f>VLOOKUP(A612, localcont!$D$10:$L$1764, 9)*F612</f>
        <v>2265410.5565564279</v>
      </c>
    </row>
    <row r="613" spans="1:8">
      <c r="A613" s="7">
        <v>1338</v>
      </c>
      <c r="B613" s="7">
        <v>268</v>
      </c>
      <c r="C613" s="7" t="s">
        <v>1038</v>
      </c>
      <c r="D613" s="7">
        <v>818</v>
      </c>
      <c r="E613" s="7" t="s">
        <v>627</v>
      </c>
      <c r="F613" s="9">
        <f t="shared" si="9"/>
        <v>30366107</v>
      </c>
      <c r="G613" s="9">
        <f>VLOOKUP(A613, localcont!$D$10:$L$1764, 8)</f>
        <v>49715.786198986825</v>
      </c>
      <c r="H613" s="109">
        <f>VLOOKUP(A613, localcont!$D$10:$L$1764, 9)*F613</f>
        <v>822835.77776597498</v>
      </c>
    </row>
    <row r="614" spans="1:8">
      <c r="A614" s="7">
        <v>1443</v>
      </c>
      <c r="B614" s="7">
        <v>289</v>
      </c>
      <c r="C614" s="7" t="s">
        <v>1066</v>
      </c>
      <c r="D614" s="7">
        <v>818</v>
      </c>
      <c r="E614" s="7" t="s">
        <v>627</v>
      </c>
      <c r="F614" s="9">
        <f t="shared" si="9"/>
        <v>30366107</v>
      </c>
      <c r="G614" s="9">
        <f>VLOOKUP(A614, localcont!$D$10:$L$1764, 8)</f>
        <v>99431.57239797365</v>
      </c>
      <c r="H614" s="109">
        <f>VLOOKUP(A614, localcont!$D$10:$L$1764, 9)*F614</f>
        <v>866438.41312413174</v>
      </c>
    </row>
    <row r="615" spans="1:8">
      <c r="A615" s="7">
        <v>1558</v>
      </c>
      <c r="B615" s="7">
        <v>312</v>
      </c>
      <c r="C615" s="7" t="s">
        <v>1090</v>
      </c>
      <c r="D615" s="7">
        <v>818</v>
      </c>
      <c r="E615" s="7" t="s">
        <v>627</v>
      </c>
      <c r="F615" s="9">
        <f t="shared" si="9"/>
        <v>30366107</v>
      </c>
      <c r="G615" s="9">
        <f>VLOOKUP(A615, localcont!$D$10:$L$1764, 8)</f>
        <v>149147.35859696049</v>
      </c>
      <c r="H615" s="109">
        <f>VLOOKUP(A615, localcont!$D$10:$L$1764, 9)*F615</f>
        <v>5026719.9950743103</v>
      </c>
    </row>
    <row r="616" spans="1:8">
      <c r="A616" s="7">
        <v>1594</v>
      </c>
      <c r="B616" s="7">
        <v>319</v>
      </c>
      <c r="C616" s="7" t="s">
        <v>1097</v>
      </c>
      <c r="D616" s="7">
        <v>818</v>
      </c>
      <c r="E616" s="7" t="s">
        <v>627</v>
      </c>
      <c r="F616" s="9">
        <f t="shared" si="9"/>
        <v>30366107</v>
      </c>
      <c r="G616" s="9">
        <f>VLOOKUP(A616, localcont!$D$10:$L$1764, 8)</f>
        <v>116003.50113096926</v>
      </c>
      <c r="H616" s="109">
        <f>VLOOKUP(A616, localcont!$D$10:$L$1764, 9)*F616</f>
        <v>2924780.1014317549</v>
      </c>
    </row>
    <row r="617" spans="1:8">
      <c r="A617" s="7">
        <v>1683</v>
      </c>
      <c r="B617" s="7">
        <v>337</v>
      </c>
      <c r="C617" s="7" t="s">
        <v>1115</v>
      </c>
      <c r="D617" s="7">
        <v>818</v>
      </c>
      <c r="E617" s="7" t="s">
        <v>627</v>
      </c>
      <c r="F617" s="9">
        <f t="shared" si="9"/>
        <v>30366107</v>
      </c>
      <c r="G617" s="9">
        <f>VLOOKUP(A617, localcont!$D$10:$L$1764, 8)</f>
        <v>149147.35859696049</v>
      </c>
      <c r="H617" s="109">
        <f>VLOOKUP(A617, localcont!$D$10:$L$1764, 9)*F617</f>
        <v>2638337.5945572746</v>
      </c>
    </row>
    <row r="618" spans="1:8">
      <c r="A618" s="7">
        <v>472</v>
      </c>
      <c r="B618" s="7">
        <v>95</v>
      </c>
      <c r="C618" s="7" t="s">
        <v>781</v>
      </c>
      <c r="D618" s="7">
        <v>821</v>
      </c>
      <c r="E618" s="7" t="s">
        <v>628</v>
      </c>
      <c r="F618" s="9">
        <f t="shared" si="9"/>
        <v>30366107</v>
      </c>
      <c r="G618" s="9">
        <f>VLOOKUP(A618, localcont!$D$10:$L$1764, 8)</f>
        <v>17414966.7245882</v>
      </c>
      <c r="H618" s="109">
        <f>VLOOKUP(A618, localcont!$D$10:$L$1764, 9)*F618</f>
        <v>3333128.9033022346</v>
      </c>
    </row>
    <row r="619" spans="1:8">
      <c r="A619" s="7">
        <v>1363</v>
      </c>
      <c r="B619" s="7">
        <v>273</v>
      </c>
      <c r="C619" s="7" t="s">
        <v>1043</v>
      </c>
      <c r="D619" s="7">
        <v>821</v>
      </c>
      <c r="E619" s="7" t="s">
        <v>628</v>
      </c>
      <c r="F619" s="9">
        <f t="shared" si="9"/>
        <v>30366107</v>
      </c>
      <c r="G619" s="9">
        <f>VLOOKUP(A619, localcont!$D$10:$L$1764, 8)</f>
        <v>1733396.6879527646</v>
      </c>
      <c r="H619" s="109">
        <f>VLOOKUP(A619, localcont!$D$10:$L$1764, 9)*F619</f>
        <v>1963463.307403313</v>
      </c>
    </row>
    <row r="620" spans="1:8">
      <c r="A620" s="7">
        <v>1457</v>
      </c>
      <c r="B620" s="7">
        <v>292</v>
      </c>
      <c r="C620" s="7" t="s">
        <v>1069</v>
      </c>
      <c r="D620" s="7">
        <v>821</v>
      </c>
      <c r="E620" s="7" t="s">
        <v>628</v>
      </c>
      <c r="F620" s="9">
        <f t="shared" si="9"/>
        <v>30366107</v>
      </c>
      <c r="G620" s="9">
        <f>VLOOKUP(A620, localcont!$D$10:$L$1764, 8)</f>
        <v>2186995.8213233012</v>
      </c>
      <c r="H620" s="109">
        <f>VLOOKUP(A620, localcont!$D$10:$L$1764, 9)*F620</f>
        <v>2918877.1385025904</v>
      </c>
    </row>
    <row r="621" spans="1:8">
      <c r="A621" s="7">
        <v>1652</v>
      </c>
      <c r="B621" s="7">
        <v>331</v>
      </c>
      <c r="C621" s="7" t="s">
        <v>1109</v>
      </c>
      <c r="D621" s="7">
        <v>821</v>
      </c>
      <c r="E621" s="7" t="s">
        <v>628</v>
      </c>
      <c r="F621" s="9">
        <f t="shared" si="9"/>
        <v>30366107</v>
      </c>
      <c r="G621" s="9">
        <f>VLOOKUP(A621, localcont!$D$10:$L$1764, 8)</f>
        <v>2105995.9760283311</v>
      </c>
      <c r="H621" s="109">
        <f>VLOOKUP(A621, localcont!$D$10:$L$1764, 9)*F621</f>
        <v>3652948.4269109988</v>
      </c>
    </row>
    <row r="622" spans="1:8">
      <c r="A622" s="7">
        <v>42</v>
      </c>
      <c r="B622" s="7">
        <v>9</v>
      </c>
      <c r="C622" s="7" t="s">
        <v>5</v>
      </c>
      <c r="D622" s="7">
        <v>823</v>
      </c>
      <c r="E622" s="7" t="s">
        <v>629</v>
      </c>
      <c r="F622" s="9">
        <f t="shared" si="9"/>
        <v>30366107</v>
      </c>
      <c r="G622" s="9">
        <f>VLOOKUP(A622, localcont!$D$10:$L$1764, 8)</f>
        <v>580287.3678413895</v>
      </c>
      <c r="H622" s="109">
        <f>VLOOKUP(A622, localcont!$D$10:$L$1764, 9)*F622</f>
        <v>294696.01049504668</v>
      </c>
    </row>
    <row r="623" spans="1:8">
      <c r="A623" s="7">
        <v>742</v>
      </c>
      <c r="B623" s="7">
        <v>149</v>
      </c>
      <c r="C623" s="7" t="s">
        <v>847</v>
      </c>
      <c r="D623" s="7">
        <v>823</v>
      </c>
      <c r="E623" s="7" t="s">
        <v>629</v>
      </c>
      <c r="F623" s="9">
        <f t="shared" si="9"/>
        <v>30366107</v>
      </c>
      <c r="G623" s="9">
        <f>VLOOKUP(A623, localcont!$D$10:$L$1764, 8)</f>
        <v>21198622.90146818</v>
      </c>
      <c r="H623" s="109">
        <f>VLOOKUP(A623, localcont!$D$10:$L$1764, 9)*F623</f>
        <v>3051942.4438922857</v>
      </c>
    </row>
    <row r="624" spans="1:8">
      <c r="A624" s="7">
        <v>902</v>
      </c>
      <c r="B624" s="7">
        <v>181</v>
      </c>
      <c r="C624" s="7" t="s">
        <v>920</v>
      </c>
      <c r="D624" s="7">
        <v>823</v>
      </c>
      <c r="E624" s="7" t="s">
        <v>629</v>
      </c>
      <c r="F624" s="9">
        <f t="shared" si="9"/>
        <v>30366107</v>
      </c>
      <c r="G624" s="9">
        <f>VLOOKUP(A624, localcont!$D$10:$L$1764, 8)</f>
        <v>5966079.4991564965</v>
      </c>
      <c r="H624" s="109">
        <f>VLOOKUP(A624, localcont!$D$10:$L$1764, 9)*F624</f>
        <v>2188837.5064194528</v>
      </c>
    </row>
    <row r="625" spans="1:8">
      <c r="A625" s="7">
        <v>1052</v>
      </c>
      <c r="B625" s="7">
        <v>211</v>
      </c>
      <c r="C625" s="7" t="s">
        <v>957</v>
      </c>
      <c r="D625" s="7">
        <v>823</v>
      </c>
      <c r="E625" s="7" t="s">
        <v>629</v>
      </c>
      <c r="F625" s="9">
        <f t="shared" si="9"/>
        <v>30366107</v>
      </c>
      <c r="G625" s="9">
        <f>VLOOKUP(A625, localcont!$D$10:$L$1764, 8)</f>
        <v>453349.50607321359</v>
      </c>
      <c r="H625" s="109">
        <f>VLOOKUP(A625, localcont!$D$10:$L$1764, 9)*F625</f>
        <v>294358.84192411118</v>
      </c>
    </row>
    <row r="626" spans="1:8">
      <c r="A626" s="7">
        <v>357</v>
      </c>
      <c r="B626" s="7">
        <v>72</v>
      </c>
      <c r="C626" s="7" t="s">
        <v>744</v>
      </c>
      <c r="D626" s="7">
        <v>825</v>
      </c>
      <c r="E626" s="7" t="s">
        <v>630</v>
      </c>
      <c r="F626" s="9">
        <f t="shared" si="9"/>
        <v>30366107</v>
      </c>
      <c r="G626" s="9">
        <f>VLOOKUP(A626, localcont!$D$10:$L$1764, 8)</f>
        <v>5029102.9212432951</v>
      </c>
      <c r="H626" s="109">
        <f>VLOOKUP(A626, localcont!$D$10:$L$1764, 9)*F626</f>
        <v>3671164.3578928653</v>
      </c>
    </row>
    <row r="627" spans="1:8">
      <c r="A627" s="7">
        <v>467</v>
      </c>
      <c r="B627" s="7">
        <v>94</v>
      </c>
      <c r="C627" s="7" t="s">
        <v>780</v>
      </c>
      <c r="D627" s="7">
        <v>825</v>
      </c>
      <c r="E627" s="7" t="s">
        <v>630</v>
      </c>
      <c r="F627" s="9">
        <f t="shared" si="9"/>
        <v>30366107</v>
      </c>
      <c r="G627" s="9">
        <f>VLOOKUP(A627, localcont!$D$10:$L$1764, 8)</f>
        <v>3014185.4641369344</v>
      </c>
      <c r="H627" s="109">
        <f>VLOOKUP(A627, localcont!$D$10:$L$1764, 9)*F627</f>
        <v>4147332.2950435341</v>
      </c>
    </row>
    <row r="628" spans="1:8">
      <c r="A628" s="7">
        <v>1002</v>
      </c>
      <c r="B628" s="7">
        <v>201</v>
      </c>
      <c r="C628" s="7" t="s">
        <v>941</v>
      </c>
      <c r="D628" s="7">
        <v>825</v>
      </c>
      <c r="E628" s="7" t="s">
        <v>630</v>
      </c>
      <c r="F628" s="9">
        <f t="shared" si="9"/>
        <v>30366107</v>
      </c>
      <c r="G628" s="9">
        <f>VLOOKUP(A628, localcont!$D$10:$L$1764, 8)</f>
        <v>27291483.6059178</v>
      </c>
      <c r="H628" s="109">
        <f>VLOOKUP(A628, localcont!$D$10:$L$1764, 9)*F628</f>
        <v>4302381.0762745561</v>
      </c>
    </row>
    <row r="629" spans="1:8">
      <c r="A629" s="7">
        <v>392</v>
      </c>
      <c r="B629" s="7">
        <v>79</v>
      </c>
      <c r="C629" s="7" t="s">
        <v>759</v>
      </c>
      <c r="D629" s="7">
        <v>828</v>
      </c>
      <c r="E629" s="7" t="s">
        <v>631</v>
      </c>
      <c r="F629" s="9">
        <f t="shared" si="9"/>
        <v>30366107</v>
      </c>
      <c r="G629" s="9">
        <f>VLOOKUP(A629, localcont!$D$10:$L$1764, 8)</f>
        <v>8044888.9200297734</v>
      </c>
      <c r="H629" s="109">
        <f>VLOOKUP(A629, localcont!$D$10:$L$1764, 9)*F629</f>
        <v>5387419.8263813648</v>
      </c>
    </row>
    <row r="630" spans="1:8">
      <c r="A630" s="7">
        <v>403</v>
      </c>
      <c r="B630" s="7">
        <v>81</v>
      </c>
      <c r="C630" s="7" t="s">
        <v>764</v>
      </c>
      <c r="D630" s="7">
        <v>828</v>
      </c>
      <c r="E630" s="7" t="s">
        <v>631</v>
      </c>
      <c r="F630" s="9">
        <f t="shared" si="9"/>
        <v>30366107</v>
      </c>
      <c r="G630" s="9">
        <f>VLOOKUP(A630, localcont!$D$10:$L$1764, 8)</f>
        <v>166560.84737022338</v>
      </c>
      <c r="H630" s="109">
        <f>VLOOKUP(A630, localcont!$D$10:$L$1764, 9)*F630</f>
        <v>953127.71052646823</v>
      </c>
    </row>
    <row r="631" spans="1:8">
      <c r="A631" s="7">
        <v>797</v>
      </c>
      <c r="B631" s="7">
        <v>160</v>
      </c>
      <c r="C631" s="7" t="s">
        <v>859</v>
      </c>
      <c r="D631" s="7">
        <v>828</v>
      </c>
      <c r="E631" s="7" t="s">
        <v>631</v>
      </c>
      <c r="F631" s="9">
        <f t="shared" si="9"/>
        <v>30366107</v>
      </c>
      <c r="G631" s="9">
        <f>VLOOKUP(A631, localcont!$D$10:$L$1764, 8)</f>
        <v>27599132.382689282</v>
      </c>
      <c r="H631" s="109">
        <f>VLOOKUP(A631, localcont!$D$10:$L$1764, 9)*F631</f>
        <v>3853298.520657362</v>
      </c>
    </row>
    <row r="632" spans="1:8">
      <c r="A632" s="7">
        <v>1502</v>
      </c>
      <c r="B632" s="7">
        <v>301</v>
      </c>
      <c r="C632" s="7" t="s">
        <v>1078</v>
      </c>
      <c r="D632" s="7">
        <v>828</v>
      </c>
      <c r="E632" s="7" t="s">
        <v>631</v>
      </c>
      <c r="F632" s="9">
        <f t="shared" si="9"/>
        <v>30366107</v>
      </c>
      <c r="G632" s="9">
        <f>VLOOKUP(A632, localcont!$D$10:$L$1764, 8)</f>
        <v>1698920.6413758222</v>
      </c>
      <c r="H632" s="109">
        <f>VLOOKUP(A632, localcont!$D$10:$L$1764, 9)*F632</f>
        <v>2846222.1147351391</v>
      </c>
    </row>
    <row r="633" spans="1:8">
      <c r="A633" s="7">
        <v>67</v>
      </c>
      <c r="B633" s="7">
        <v>14</v>
      </c>
      <c r="C633" s="7" t="s">
        <v>15</v>
      </c>
      <c r="D633" s="7">
        <v>829</v>
      </c>
      <c r="E633" s="7" t="s">
        <v>632</v>
      </c>
      <c r="F633" s="9">
        <f t="shared" si="9"/>
        <v>30366107</v>
      </c>
      <c r="G633" s="9">
        <f>VLOOKUP(A633, localcont!$D$10:$L$1764, 8)</f>
        <v>1070872.1631616147</v>
      </c>
      <c r="H633" s="109">
        <f>VLOOKUP(A633, localcont!$D$10:$L$1764, 9)*F633</f>
        <v>1249776.9547323098</v>
      </c>
    </row>
    <row r="634" spans="1:8">
      <c r="A634" s="7">
        <v>497</v>
      </c>
      <c r="B634" s="7">
        <v>100</v>
      </c>
      <c r="C634" s="7" t="s">
        <v>787</v>
      </c>
      <c r="D634" s="7">
        <v>829</v>
      </c>
      <c r="E634" s="7" t="s">
        <v>632</v>
      </c>
      <c r="F634" s="9">
        <f t="shared" si="9"/>
        <v>30366107</v>
      </c>
      <c r="G634" s="9">
        <f>VLOOKUP(A634, localcont!$D$10:$L$1764, 8)</f>
        <v>8804948.8966603559</v>
      </c>
      <c r="H634" s="109">
        <f>VLOOKUP(A634, localcont!$D$10:$L$1764, 9)*F634</f>
        <v>2441199.160691781</v>
      </c>
    </row>
    <row r="635" spans="1:8">
      <c r="A635" s="7">
        <v>677</v>
      </c>
      <c r="B635" s="7">
        <v>136</v>
      </c>
      <c r="C635" s="7" t="s">
        <v>833</v>
      </c>
      <c r="D635" s="7">
        <v>829</v>
      </c>
      <c r="E635" s="7" t="s">
        <v>632</v>
      </c>
      <c r="F635" s="9">
        <f t="shared" si="9"/>
        <v>30366107</v>
      </c>
      <c r="G635" s="9">
        <f>VLOOKUP(A635, localcont!$D$10:$L$1764, 8)</f>
        <v>815902.60052147391</v>
      </c>
      <c r="H635" s="109">
        <f>VLOOKUP(A635, localcont!$D$10:$L$1764, 9)*F635</f>
        <v>947218.40622721775</v>
      </c>
    </row>
    <row r="636" spans="1:8">
      <c r="A636" s="7">
        <v>692</v>
      </c>
      <c r="B636" s="7">
        <v>139</v>
      </c>
      <c r="C636" s="7" t="s">
        <v>836</v>
      </c>
      <c r="D636" s="7">
        <v>829</v>
      </c>
      <c r="E636" s="7" t="s">
        <v>632</v>
      </c>
      <c r="F636" s="9">
        <f t="shared" si="9"/>
        <v>30366107</v>
      </c>
      <c r="G636" s="9">
        <f>VLOOKUP(A636, localcont!$D$10:$L$1764, 8)</f>
        <v>373955.35850641842</v>
      </c>
      <c r="H636" s="109">
        <f>VLOOKUP(A636, localcont!$D$10:$L$1764, 9)*F636</f>
        <v>329857.84285827359</v>
      </c>
    </row>
    <row r="637" spans="1:8">
      <c r="A637" s="7">
        <v>987</v>
      </c>
      <c r="B637" s="7">
        <v>198</v>
      </c>
      <c r="C637" s="7" t="s">
        <v>937</v>
      </c>
      <c r="D637" s="7">
        <v>829</v>
      </c>
      <c r="E637" s="7" t="s">
        <v>632</v>
      </c>
      <c r="F637" s="9">
        <f t="shared" si="9"/>
        <v>30366107</v>
      </c>
      <c r="G637" s="9">
        <f>VLOOKUP(A637, localcont!$D$10:$L$1764, 8)</f>
        <v>1104868.1048550806</v>
      </c>
      <c r="H637" s="109">
        <f>VLOOKUP(A637, localcont!$D$10:$L$1764, 9)*F637</f>
        <v>619546.26091078459</v>
      </c>
    </row>
    <row r="638" spans="1:8">
      <c r="A638" s="7">
        <v>8</v>
      </c>
      <c r="B638" s="7">
        <v>2</v>
      </c>
      <c r="C638" s="7" t="s">
        <v>1163</v>
      </c>
      <c r="D638" s="7">
        <v>830</v>
      </c>
      <c r="E638" s="7" t="s">
        <v>633</v>
      </c>
      <c r="F638" s="9">
        <f t="shared" si="9"/>
        <v>30366107</v>
      </c>
      <c r="G638" s="9">
        <f>VLOOKUP(A638, localcont!$D$10:$L$1764, 8)</f>
        <v>660728.08394786669</v>
      </c>
      <c r="H638" s="109">
        <f>VLOOKUP(A638, localcont!$D$10:$L$1764, 9)*F638</f>
        <v>436761.9180303688</v>
      </c>
    </row>
    <row r="639" spans="1:8">
      <c r="A639" s="7">
        <v>47</v>
      </c>
      <c r="B639" s="7">
        <v>10</v>
      </c>
      <c r="C639" s="7" t="s">
        <v>7</v>
      </c>
      <c r="D639" s="7">
        <v>830</v>
      </c>
      <c r="E639" s="7" t="s">
        <v>633</v>
      </c>
      <c r="F639" s="9">
        <f t="shared" si="9"/>
        <v>30366107</v>
      </c>
      <c r="G639" s="9">
        <f>VLOOKUP(A639, localcont!$D$10:$L$1764, 8)</f>
        <v>2220780.5043082153</v>
      </c>
      <c r="H639" s="109">
        <f>VLOOKUP(A639, localcont!$D$10:$L$1764, 9)*F639</f>
        <v>1188888.4838858305</v>
      </c>
    </row>
    <row r="640" spans="1:8">
      <c r="A640" s="7">
        <v>127</v>
      </c>
      <c r="B640" s="7">
        <v>26</v>
      </c>
      <c r="C640" s="7" t="s">
        <v>38</v>
      </c>
      <c r="D640" s="7">
        <v>830</v>
      </c>
      <c r="E640" s="7" t="s">
        <v>633</v>
      </c>
      <c r="F640" s="9">
        <f t="shared" si="9"/>
        <v>30366107</v>
      </c>
      <c r="G640" s="9">
        <f>VLOOKUP(A640, localcont!$D$10:$L$1764, 8)</f>
        <v>513899.62083426974</v>
      </c>
      <c r="H640" s="109">
        <f>VLOOKUP(A640, localcont!$D$10:$L$1764, 9)*F640</f>
        <v>361586.32659700757</v>
      </c>
    </row>
    <row r="641" spans="1:8">
      <c r="A641" s="7">
        <v>168</v>
      </c>
      <c r="B641" s="7">
        <v>34</v>
      </c>
      <c r="C641" s="7" t="s">
        <v>57</v>
      </c>
      <c r="D641" s="7">
        <v>830</v>
      </c>
      <c r="E641" s="7" t="s">
        <v>633</v>
      </c>
      <c r="F641" s="9">
        <f t="shared" si="9"/>
        <v>30366107</v>
      </c>
      <c r="G641" s="9">
        <f>VLOOKUP(A641, localcont!$D$10:$L$1764, 8)</f>
        <v>201889.13674953594</v>
      </c>
      <c r="H641" s="109">
        <f>VLOOKUP(A641, localcont!$D$10:$L$1764, 9)*F641</f>
        <v>617390.05530182284</v>
      </c>
    </row>
    <row r="642" spans="1:8">
      <c r="A642" s="7">
        <v>183</v>
      </c>
      <c r="B642" s="7">
        <v>37</v>
      </c>
      <c r="C642" s="7" t="s">
        <v>1155</v>
      </c>
      <c r="D642" s="7">
        <v>830</v>
      </c>
      <c r="E642" s="7" t="s">
        <v>633</v>
      </c>
      <c r="F642" s="9">
        <f t="shared" si="9"/>
        <v>30366107</v>
      </c>
      <c r="G642" s="9">
        <f>VLOOKUP(A642, localcont!$D$10:$L$1764, 8)</f>
        <v>0</v>
      </c>
      <c r="H642" s="109">
        <f>VLOOKUP(A642, localcont!$D$10:$L$1764, 9)*F642</f>
        <v>0</v>
      </c>
    </row>
    <row r="643" spans="1:8">
      <c r="A643" s="7">
        <v>253</v>
      </c>
      <c r="B643" s="7">
        <v>51</v>
      </c>
      <c r="C643" s="7" t="s">
        <v>709</v>
      </c>
      <c r="D643" s="7">
        <v>830</v>
      </c>
      <c r="E643" s="7" t="s">
        <v>633</v>
      </c>
      <c r="F643" s="9">
        <f t="shared" si="9"/>
        <v>30366107</v>
      </c>
      <c r="G643" s="9">
        <f>VLOOKUP(A643, localcont!$D$10:$L$1764, 8)</f>
        <v>0</v>
      </c>
      <c r="H643" s="109">
        <f>VLOOKUP(A643, localcont!$D$10:$L$1764, 9)*F643</f>
        <v>0</v>
      </c>
    </row>
    <row r="644" spans="1:8">
      <c r="A644" s="7">
        <v>333</v>
      </c>
      <c r="B644" s="7">
        <v>67</v>
      </c>
      <c r="C644" s="7" t="s">
        <v>738</v>
      </c>
      <c r="D644" s="7">
        <v>830</v>
      </c>
      <c r="E644" s="7" t="s">
        <v>633</v>
      </c>
      <c r="F644" s="9">
        <f t="shared" si="9"/>
        <v>30366107</v>
      </c>
      <c r="G644" s="9">
        <f>VLOOKUP(A644, localcont!$D$10:$L$1764, 8)</f>
        <v>385424.71564153221</v>
      </c>
      <c r="H644" s="109">
        <f>VLOOKUP(A644, localcont!$D$10:$L$1764, 9)*F644</f>
        <v>394482.28633494</v>
      </c>
    </row>
    <row r="645" spans="1:8">
      <c r="A645" s="7">
        <v>388</v>
      </c>
      <c r="B645" s="7">
        <v>78</v>
      </c>
      <c r="C645" s="7" t="s">
        <v>757</v>
      </c>
      <c r="D645" s="7">
        <v>830</v>
      </c>
      <c r="E645" s="7" t="s">
        <v>633</v>
      </c>
      <c r="F645" s="9">
        <f t="shared" si="9"/>
        <v>30366107</v>
      </c>
      <c r="G645" s="9">
        <f>VLOOKUP(A645, localcont!$D$10:$L$1764, 8)</f>
        <v>18353.557857539734</v>
      </c>
      <c r="H645" s="109">
        <f>VLOOKUP(A645, localcont!$D$10:$L$1764, 9)*F645</f>
        <v>50026.161087496526</v>
      </c>
    </row>
    <row r="646" spans="1:8">
      <c r="A646" s="7">
        <v>733</v>
      </c>
      <c r="B646" s="7">
        <v>147</v>
      </c>
      <c r="C646" s="7" t="s">
        <v>844</v>
      </c>
      <c r="D646" s="7">
        <v>830</v>
      </c>
      <c r="E646" s="7" t="s">
        <v>633</v>
      </c>
      <c r="F646" s="9">
        <f t="shared" si="9"/>
        <v>30366107</v>
      </c>
      <c r="G646" s="9">
        <f>VLOOKUP(A646, localcont!$D$10:$L$1764, 8)</f>
        <v>734142.31550466514</v>
      </c>
      <c r="H646" s="109">
        <f>VLOOKUP(A646, localcont!$D$10:$L$1764, 9)*F646</f>
        <v>2204018.2962853834</v>
      </c>
    </row>
    <row r="647" spans="1:8">
      <c r="A647" s="7">
        <v>772</v>
      </c>
      <c r="B647" s="7">
        <v>155</v>
      </c>
      <c r="C647" s="7" t="s">
        <v>853</v>
      </c>
      <c r="D647" s="7">
        <v>830</v>
      </c>
      <c r="E647" s="7" t="s">
        <v>633</v>
      </c>
      <c r="F647" s="9">
        <f t="shared" si="9"/>
        <v>30366107</v>
      </c>
      <c r="G647" s="9">
        <f>VLOOKUP(A647, localcont!$D$10:$L$1764, 8)</f>
        <v>917677.89433334151</v>
      </c>
      <c r="H647" s="109">
        <f>VLOOKUP(A647, localcont!$D$10:$L$1764, 9)*F647</f>
        <v>371686.67321108381</v>
      </c>
    </row>
    <row r="648" spans="1:8">
      <c r="A648" s="7">
        <v>783</v>
      </c>
      <c r="B648" s="7">
        <v>157</v>
      </c>
      <c r="C648" s="7" t="s">
        <v>855</v>
      </c>
      <c r="D648" s="7">
        <v>830</v>
      </c>
      <c r="E648" s="7" t="s">
        <v>633</v>
      </c>
      <c r="F648" s="9">
        <f t="shared" si="9"/>
        <v>30366107</v>
      </c>
      <c r="G648" s="9">
        <f>VLOOKUP(A648, localcont!$D$10:$L$1764, 8)</f>
        <v>0</v>
      </c>
      <c r="H648" s="109">
        <f>VLOOKUP(A648, localcont!$D$10:$L$1764, 9)*F648</f>
        <v>0</v>
      </c>
    </row>
    <row r="649" spans="1:8">
      <c r="A649" s="7">
        <v>992</v>
      </c>
      <c r="B649" s="7">
        <v>199</v>
      </c>
      <c r="C649" s="7" t="s">
        <v>939</v>
      </c>
      <c r="D649" s="7">
        <v>830</v>
      </c>
      <c r="E649" s="7" t="s">
        <v>633</v>
      </c>
      <c r="F649" s="9">
        <f t="shared" si="9"/>
        <v>30366107</v>
      </c>
      <c r="G649" s="9">
        <f>VLOOKUP(A649, localcont!$D$10:$L$1764, 8)</f>
        <v>385424.71564153221</v>
      </c>
      <c r="H649" s="109">
        <f>VLOOKUP(A649, localcont!$D$10:$L$1764, 9)*F649</f>
        <v>214875.81988611945</v>
      </c>
    </row>
    <row r="650" spans="1:8">
      <c r="A650" s="7">
        <v>1428</v>
      </c>
      <c r="B650" s="7">
        <v>286</v>
      </c>
      <c r="C650" s="7" t="s">
        <v>1063</v>
      </c>
      <c r="D650" s="7">
        <v>830</v>
      </c>
      <c r="E650" s="7" t="s">
        <v>633</v>
      </c>
      <c r="F650" s="9">
        <f t="shared" ref="F650:F713" si="10">VLOOKUP(D650, town351, 7)</f>
        <v>30366107</v>
      </c>
      <c r="G650" s="9">
        <f>VLOOKUP(A650, localcont!$D$10:$L$1764, 8)</f>
        <v>293656.92616387416</v>
      </c>
      <c r="H650" s="109">
        <f>VLOOKUP(A650, localcont!$D$10:$L$1764, 9)*F650</f>
        <v>723592.16213627404</v>
      </c>
    </row>
    <row r="651" spans="1:8">
      <c r="A651" s="7">
        <v>1438</v>
      </c>
      <c r="B651" s="7">
        <v>288</v>
      </c>
      <c r="C651" s="7" t="s">
        <v>1065</v>
      </c>
      <c r="D651" s="7">
        <v>830</v>
      </c>
      <c r="E651" s="7" t="s">
        <v>633</v>
      </c>
      <c r="F651" s="9">
        <f t="shared" si="10"/>
        <v>30366107</v>
      </c>
      <c r="G651" s="9">
        <f>VLOOKUP(A651, localcont!$D$10:$L$1764, 8)</f>
        <v>0</v>
      </c>
      <c r="H651" s="109">
        <f>VLOOKUP(A651, localcont!$D$10:$L$1764, 9)*F651</f>
        <v>0</v>
      </c>
    </row>
    <row r="652" spans="1:8">
      <c r="A652" s="7">
        <v>1572</v>
      </c>
      <c r="B652" s="7">
        <v>315</v>
      </c>
      <c r="C652" s="7" t="s">
        <v>1093</v>
      </c>
      <c r="D652" s="7">
        <v>830</v>
      </c>
      <c r="E652" s="7" t="s">
        <v>633</v>
      </c>
      <c r="F652" s="9">
        <f t="shared" si="10"/>
        <v>30366107</v>
      </c>
      <c r="G652" s="9">
        <f>VLOOKUP(A652, localcont!$D$10:$L$1764, 8)</f>
        <v>0</v>
      </c>
      <c r="H652" s="109">
        <f>VLOOKUP(A652, localcont!$D$10:$L$1764, 9)*F652</f>
        <v>0</v>
      </c>
    </row>
    <row r="653" spans="1:8">
      <c r="A653" s="7">
        <v>1647</v>
      </c>
      <c r="B653" s="7">
        <v>330</v>
      </c>
      <c r="C653" s="7" t="s">
        <v>1108</v>
      </c>
      <c r="D653" s="7">
        <v>830</v>
      </c>
      <c r="E653" s="7" t="s">
        <v>633</v>
      </c>
      <c r="F653" s="9">
        <f t="shared" si="10"/>
        <v>30366107</v>
      </c>
      <c r="G653" s="9">
        <f>VLOOKUP(A653, localcont!$D$10:$L$1764, 8)</f>
        <v>0</v>
      </c>
      <c r="H653" s="109">
        <f>VLOOKUP(A653, localcont!$D$10:$L$1764, 9)*F653</f>
        <v>0</v>
      </c>
    </row>
    <row r="654" spans="1:8">
      <c r="A654" s="7">
        <v>53</v>
      </c>
      <c r="B654" s="7">
        <v>11</v>
      </c>
      <c r="C654" s="7" t="s">
        <v>8</v>
      </c>
      <c r="D654" s="7">
        <v>832</v>
      </c>
      <c r="E654" s="7" t="s">
        <v>634</v>
      </c>
      <c r="F654" s="9">
        <f t="shared" si="10"/>
        <v>30366107</v>
      </c>
      <c r="G654" s="9">
        <f>VLOOKUP(A654, localcont!$D$10:$L$1764, 8)</f>
        <v>905485.58953984024</v>
      </c>
      <c r="H654" s="109">
        <f>VLOOKUP(A654, localcont!$D$10:$L$1764, 9)*F654</f>
        <v>2460067.4563772948</v>
      </c>
    </row>
    <row r="655" spans="1:8">
      <c r="A655" s="7">
        <v>58</v>
      </c>
      <c r="B655" s="7">
        <v>12</v>
      </c>
      <c r="C655" s="7" t="s">
        <v>11</v>
      </c>
      <c r="D655" s="7">
        <v>832</v>
      </c>
      <c r="E655" s="7" t="s">
        <v>634</v>
      </c>
      <c r="F655" s="9">
        <f t="shared" si="10"/>
        <v>30366107</v>
      </c>
      <c r="G655" s="9">
        <f>VLOOKUP(A655, localcont!$D$10:$L$1764, 8)</f>
        <v>530801.89742913225</v>
      </c>
      <c r="H655" s="109">
        <f>VLOOKUP(A655, localcont!$D$10:$L$1764, 9)*F655</f>
        <v>3652430.0995428856</v>
      </c>
    </row>
    <row r="656" spans="1:8">
      <c r="A656" s="7">
        <v>73</v>
      </c>
      <c r="B656" s="7">
        <v>15</v>
      </c>
      <c r="C656" s="7" t="s">
        <v>17</v>
      </c>
      <c r="D656" s="7">
        <v>832</v>
      </c>
      <c r="E656" s="7" t="s">
        <v>634</v>
      </c>
      <c r="F656" s="9">
        <f t="shared" si="10"/>
        <v>30366107</v>
      </c>
      <c r="G656" s="9">
        <f>VLOOKUP(A656, localcont!$D$10:$L$1764, 8)</f>
        <v>1342616.5638245973</v>
      </c>
      <c r="H656" s="109">
        <f>VLOOKUP(A656, localcont!$D$10:$L$1764, 9)*F656</f>
        <v>2192276.5133346235</v>
      </c>
    </row>
    <row r="657" spans="1:8">
      <c r="A657" s="7">
        <v>103</v>
      </c>
      <c r="B657" s="7">
        <v>21</v>
      </c>
      <c r="C657" s="7" t="s">
        <v>28</v>
      </c>
      <c r="D657" s="7">
        <v>832</v>
      </c>
      <c r="E657" s="7" t="s">
        <v>634</v>
      </c>
      <c r="F657" s="9">
        <f t="shared" si="10"/>
        <v>30366107</v>
      </c>
      <c r="G657" s="9">
        <f>VLOOKUP(A657, localcont!$D$10:$L$1764, 8)</f>
        <v>655696.46131043707</v>
      </c>
      <c r="H657" s="109">
        <f>VLOOKUP(A657, localcont!$D$10:$L$1764, 9)*F657</f>
        <v>2333382.7047802303</v>
      </c>
    </row>
    <row r="658" spans="1:8">
      <c r="A658" s="7">
        <v>482</v>
      </c>
      <c r="B658" s="7">
        <v>97</v>
      </c>
      <c r="C658" s="7" t="s">
        <v>784</v>
      </c>
      <c r="D658" s="7">
        <v>832</v>
      </c>
      <c r="E658" s="7" t="s">
        <v>634</v>
      </c>
      <c r="F658" s="9">
        <f t="shared" si="10"/>
        <v>30366107</v>
      </c>
      <c r="G658" s="9">
        <f>VLOOKUP(A658, localcont!$D$10:$L$1764, 8)</f>
        <v>6213504.5631309738</v>
      </c>
      <c r="H658" s="109">
        <f>VLOOKUP(A658, localcont!$D$10:$L$1764, 9)*F658</f>
        <v>2581093.9220538517</v>
      </c>
    </row>
    <row r="659" spans="1:8">
      <c r="A659" s="7">
        <v>512</v>
      </c>
      <c r="B659" s="7">
        <v>103</v>
      </c>
      <c r="C659" s="7" t="s">
        <v>792</v>
      </c>
      <c r="D659" s="7">
        <v>832</v>
      </c>
      <c r="E659" s="7" t="s">
        <v>634</v>
      </c>
      <c r="F659" s="9">
        <f t="shared" si="10"/>
        <v>30366107</v>
      </c>
      <c r="G659" s="9">
        <f>VLOOKUP(A659, localcont!$D$10:$L$1764, 8)</f>
        <v>2544726.7430493301</v>
      </c>
      <c r="H659" s="109">
        <f>VLOOKUP(A659, localcont!$D$10:$L$1764, 9)*F659</f>
        <v>2505164.3897184134</v>
      </c>
    </row>
    <row r="660" spans="1:8">
      <c r="A660" s="7">
        <v>622</v>
      </c>
      <c r="B660" s="7">
        <v>125</v>
      </c>
      <c r="C660" s="7" t="s">
        <v>821</v>
      </c>
      <c r="D660" s="7">
        <v>832</v>
      </c>
      <c r="E660" s="7" t="s">
        <v>634</v>
      </c>
      <c r="F660" s="9">
        <f t="shared" si="10"/>
        <v>30366107</v>
      </c>
      <c r="G660" s="9">
        <f>VLOOKUP(A660, localcont!$D$10:$L$1764, 8)</f>
        <v>109282.74362953844</v>
      </c>
      <c r="H660" s="109">
        <f>VLOOKUP(A660, localcont!$D$10:$L$1764, 9)*F660</f>
        <v>353627.66570764291</v>
      </c>
    </row>
    <row r="661" spans="1:8">
      <c r="A661" s="7">
        <v>668</v>
      </c>
      <c r="B661" s="7">
        <v>134</v>
      </c>
      <c r="C661" s="7" t="s">
        <v>830</v>
      </c>
      <c r="D661" s="7">
        <v>832</v>
      </c>
      <c r="E661" s="7" t="s">
        <v>634</v>
      </c>
      <c r="F661" s="9">
        <f t="shared" si="10"/>
        <v>30366107</v>
      </c>
      <c r="G661" s="9">
        <f>VLOOKUP(A661, localcont!$D$10:$L$1764, 8)</f>
        <v>1139662.8972840803</v>
      </c>
      <c r="H661" s="109">
        <f>VLOOKUP(A661, localcont!$D$10:$L$1764, 9)*F661</f>
        <v>1112683.7184720766</v>
      </c>
    </row>
    <row r="662" spans="1:8">
      <c r="A662" s="7">
        <v>698</v>
      </c>
      <c r="B662" s="7">
        <v>140</v>
      </c>
      <c r="C662" s="7" t="s">
        <v>837</v>
      </c>
      <c r="D662" s="7">
        <v>832</v>
      </c>
      <c r="E662" s="7" t="s">
        <v>634</v>
      </c>
      <c r="F662" s="9">
        <f t="shared" si="10"/>
        <v>30366107</v>
      </c>
      <c r="G662" s="9">
        <f>VLOOKUP(A662, localcont!$D$10:$L$1764, 8)</f>
        <v>1170886.5382544065</v>
      </c>
      <c r="H662" s="109">
        <f>VLOOKUP(A662, localcont!$D$10:$L$1764, 9)*F662</f>
        <v>5289921.9283452248</v>
      </c>
    </row>
    <row r="663" spans="1:8">
      <c r="A663" s="7">
        <v>807</v>
      </c>
      <c r="B663" s="7">
        <v>162</v>
      </c>
      <c r="C663" s="7" t="s">
        <v>897</v>
      </c>
      <c r="D663" s="7">
        <v>832</v>
      </c>
      <c r="E663" s="7" t="s">
        <v>634</v>
      </c>
      <c r="F663" s="9">
        <f t="shared" si="10"/>
        <v>30366107</v>
      </c>
      <c r="G663" s="9">
        <f>VLOOKUP(A663, localcont!$D$10:$L$1764, 8)</f>
        <v>1436287.4869689725</v>
      </c>
      <c r="H663" s="109">
        <f>VLOOKUP(A663, localcont!$D$10:$L$1764, 9)*F663</f>
        <v>2424262.4566218369</v>
      </c>
    </row>
    <row r="664" spans="1:8">
      <c r="A664" s="7">
        <v>1168</v>
      </c>
      <c r="B664" s="7">
        <v>234</v>
      </c>
      <c r="C664" s="7" t="s">
        <v>1003</v>
      </c>
      <c r="D664" s="7">
        <v>832</v>
      </c>
      <c r="E664" s="7" t="s">
        <v>634</v>
      </c>
      <c r="F664" s="9">
        <f t="shared" si="10"/>
        <v>30366107</v>
      </c>
      <c r="G664" s="9">
        <f>VLOOKUP(A664, localcont!$D$10:$L$1764, 8)</f>
        <v>31223.640970326203</v>
      </c>
      <c r="H664" s="109">
        <f>VLOOKUP(A664, localcont!$D$10:$L$1764, 9)*F664</f>
        <v>698563.41310155392</v>
      </c>
    </row>
    <row r="665" spans="1:8">
      <c r="A665" s="7">
        <v>1173</v>
      </c>
      <c r="B665" s="7">
        <v>235</v>
      </c>
      <c r="C665" s="7" t="s">
        <v>1004</v>
      </c>
      <c r="D665" s="7">
        <v>832</v>
      </c>
      <c r="E665" s="7" t="s">
        <v>634</v>
      </c>
      <c r="F665" s="9">
        <f t="shared" si="10"/>
        <v>30366107</v>
      </c>
      <c r="G665" s="9">
        <f>VLOOKUP(A665, localcont!$D$10:$L$1764, 8)</f>
        <v>405907.33331443084</v>
      </c>
      <c r="H665" s="109">
        <f>VLOOKUP(A665, localcont!$D$10:$L$1764, 9)*F665</f>
        <v>4592300.8532214882</v>
      </c>
    </row>
    <row r="666" spans="1:8">
      <c r="A666" s="7">
        <v>1203</v>
      </c>
      <c r="B666" s="7">
        <v>241</v>
      </c>
      <c r="C666" s="7" t="s">
        <v>1011</v>
      </c>
      <c r="D666" s="7">
        <v>832</v>
      </c>
      <c r="E666" s="7" t="s">
        <v>634</v>
      </c>
      <c r="F666" s="9">
        <f t="shared" si="10"/>
        <v>30366107</v>
      </c>
      <c r="G666" s="9">
        <f>VLOOKUP(A666, localcont!$D$10:$L$1764, 8)</f>
        <v>312236.41017005546</v>
      </c>
      <c r="H666" s="109">
        <f>VLOOKUP(A666, localcont!$D$10:$L$1764, 9)*F666</f>
        <v>2108379.2451068084</v>
      </c>
    </row>
    <row r="667" spans="1:8">
      <c r="A667" s="7">
        <v>1273</v>
      </c>
      <c r="B667" s="7">
        <v>255</v>
      </c>
      <c r="C667" s="7" t="s">
        <v>1025</v>
      </c>
      <c r="D667" s="7">
        <v>832</v>
      </c>
      <c r="E667" s="7" t="s">
        <v>634</v>
      </c>
      <c r="F667" s="9">
        <f t="shared" si="10"/>
        <v>30366107</v>
      </c>
      <c r="G667" s="9">
        <f>VLOOKUP(A667, localcont!$D$10:$L$1764, 8)</f>
        <v>234177.30774423995</v>
      </c>
      <c r="H667" s="109">
        <f>VLOOKUP(A667, localcont!$D$10:$L$1764, 9)*F667</f>
        <v>4416007.0323762344</v>
      </c>
    </row>
    <row r="668" spans="1:8">
      <c r="A668" s="7">
        <v>1408</v>
      </c>
      <c r="B668" s="7">
        <v>282</v>
      </c>
      <c r="C668" s="7" t="s">
        <v>1059</v>
      </c>
      <c r="D668" s="7">
        <v>832</v>
      </c>
      <c r="E668" s="7" t="s">
        <v>634</v>
      </c>
      <c r="F668" s="9">
        <f t="shared" si="10"/>
        <v>30366107</v>
      </c>
      <c r="G668" s="9">
        <f>VLOOKUP(A668, localcont!$D$10:$L$1764, 8)</f>
        <v>1061603.7946248681</v>
      </c>
      <c r="H668" s="109">
        <f>VLOOKUP(A668, localcont!$D$10:$L$1764, 9)*F668</f>
        <v>2713716.0770427622</v>
      </c>
    </row>
    <row r="669" spans="1:8">
      <c r="A669" s="7">
        <v>1468</v>
      </c>
      <c r="B669" s="7">
        <v>294</v>
      </c>
      <c r="C669" s="7" t="s">
        <v>1071</v>
      </c>
      <c r="D669" s="7">
        <v>832</v>
      </c>
      <c r="E669" s="7" t="s">
        <v>634</v>
      </c>
      <c r="F669" s="9">
        <f t="shared" si="10"/>
        <v>30366107</v>
      </c>
      <c r="G669" s="9">
        <f>VLOOKUP(A669, localcont!$D$10:$L$1764, 8)</f>
        <v>1514346.589394788</v>
      </c>
      <c r="H669" s="109">
        <f>VLOOKUP(A669, localcont!$D$10:$L$1764, 9)*F669</f>
        <v>3605482.07720142</v>
      </c>
    </row>
    <row r="670" spans="1:8">
      <c r="A670" s="7">
        <v>1638</v>
      </c>
      <c r="B670" s="7">
        <v>328</v>
      </c>
      <c r="C670" s="7" t="s">
        <v>1106</v>
      </c>
      <c r="D670" s="7">
        <v>832</v>
      </c>
      <c r="E670" s="7" t="s">
        <v>634</v>
      </c>
      <c r="F670" s="9">
        <f t="shared" si="10"/>
        <v>30366107</v>
      </c>
      <c r="G670" s="9">
        <f>VLOOKUP(A670, localcont!$D$10:$L$1764, 8)</f>
        <v>1155274.7177692433</v>
      </c>
      <c r="H670" s="109">
        <f>VLOOKUP(A670, localcont!$D$10:$L$1764, 9)*F670</f>
        <v>2810996.744812794</v>
      </c>
    </row>
    <row r="671" spans="1:8">
      <c r="A671" s="7">
        <v>1712</v>
      </c>
      <c r="B671" s="7">
        <v>343</v>
      </c>
      <c r="C671" s="7" t="s">
        <v>1121</v>
      </c>
      <c r="D671" s="7">
        <v>832</v>
      </c>
      <c r="E671" s="7" t="s">
        <v>634</v>
      </c>
      <c r="F671" s="9">
        <f t="shared" si="10"/>
        <v>30366107</v>
      </c>
      <c r="G671" s="9">
        <f>VLOOKUP(A671, localcont!$D$10:$L$1764, 8)</f>
        <v>2575950.384253053</v>
      </c>
      <c r="H671" s="109">
        <f>VLOOKUP(A671, localcont!$D$10:$L$1764, 9)*F671</f>
        <v>4559727.9081156766</v>
      </c>
    </row>
    <row r="672" spans="1:8">
      <c r="A672" s="7">
        <v>18</v>
      </c>
      <c r="B672" s="7">
        <v>4</v>
      </c>
      <c r="C672" s="7" t="s">
        <v>1169</v>
      </c>
      <c r="D672" s="7">
        <v>851</v>
      </c>
      <c r="E672" s="7" t="s">
        <v>635</v>
      </c>
      <c r="F672" s="9">
        <f t="shared" si="10"/>
        <v>30366107</v>
      </c>
      <c r="G672" s="9">
        <f>VLOOKUP(A672, localcont!$D$10:$L$1764, 8)</f>
        <v>2315960.4033334209</v>
      </c>
      <c r="H672" s="109">
        <f>VLOOKUP(A672, localcont!$D$10:$L$1764, 9)*F672</f>
        <v>5335895.5549380798</v>
      </c>
    </row>
    <row r="673" spans="1:8">
      <c r="A673" s="7">
        <v>288</v>
      </c>
      <c r="B673" s="7">
        <v>58</v>
      </c>
      <c r="C673" s="7" t="s">
        <v>722</v>
      </c>
      <c r="D673" s="7">
        <v>851</v>
      </c>
      <c r="E673" s="7" t="s">
        <v>635</v>
      </c>
      <c r="F673" s="9">
        <f t="shared" si="10"/>
        <v>30366107</v>
      </c>
      <c r="G673" s="9">
        <f>VLOOKUP(A673, localcont!$D$10:$L$1764, 8)</f>
        <v>707654.56769336073</v>
      </c>
      <c r="H673" s="109">
        <f>VLOOKUP(A673, localcont!$D$10:$L$1764, 9)*F673</f>
        <v>4386111.766232199</v>
      </c>
    </row>
    <row r="674" spans="1:8">
      <c r="A674" s="7">
        <v>312</v>
      </c>
      <c r="B674" s="7">
        <v>63</v>
      </c>
      <c r="C674" s="7" t="s">
        <v>734</v>
      </c>
      <c r="D674" s="7">
        <v>851</v>
      </c>
      <c r="E674" s="7" t="s">
        <v>635</v>
      </c>
      <c r="F674" s="9">
        <f t="shared" si="10"/>
        <v>30366107</v>
      </c>
      <c r="G674" s="9">
        <f>VLOOKUP(A674, localcont!$D$10:$L$1764, 8)</f>
        <v>739820.68439002743</v>
      </c>
      <c r="H674" s="109">
        <f>VLOOKUP(A674, localcont!$D$10:$L$1764, 9)*F674</f>
        <v>8634313.6852564588</v>
      </c>
    </row>
    <row r="675" spans="1:8">
      <c r="A675" s="7">
        <v>487</v>
      </c>
      <c r="B675" s="7">
        <v>98</v>
      </c>
      <c r="C675" s="7" t="s">
        <v>785</v>
      </c>
      <c r="D675" s="7">
        <v>851</v>
      </c>
      <c r="E675" s="7" t="s">
        <v>635</v>
      </c>
      <c r="F675" s="9">
        <f t="shared" si="10"/>
        <v>30366107</v>
      </c>
      <c r="G675" s="9">
        <f>VLOOKUP(A675, localcont!$D$10:$L$1764, 8)</f>
        <v>257328.93372001094</v>
      </c>
      <c r="H675" s="109">
        <f>VLOOKUP(A675, localcont!$D$10:$L$1764, 9)*F675</f>
        <v>7136837.3267261488</v>
      </c>
    </row>
    <row r="676" spans="1:8">
      <c r="A676" s="7">
        <v>738</v>
      </c>
      <c r="B676" s="7">
        <v>148</v>
      </c>
      <c r="C676" s="7" t="s">
        <v>845</v>
      </c>
      <c r="D676" s="7">
        <v>851</v>
      </c>
      <c r="E676" s="7" t="s">
        <v>635</v>
      </c>
      <c r="F676" s="9">
        <f t="shared" si="10"/>
        <v>30366107</v>
      </c>
      <c r="G676" s="9">
        <f>VLOOKUP(A676, localcont!$D$10:$L$1764, 8)</f>
        <v>385993.40058001643</v>
      </c>
      <c r="H676" s="109">
        <f>VLOOKUP(A676, localcont!$D$10:$L$1764, 9)*F676</f>
        <v>2757718.1048437976</v>
      </c>
    </row>
    <row r="677" spans="1:8">
      <c r="A677" s="7">
        <v>947</v>
      </c>
      <c r="B677" s="7">
        <v>190</v>
      </c>
      <c r="C677" s="7" t="s">
        <v>929</v>
      </c>
      <c r="D677" s="7">
        <v>851</v>
      </c>
      <c r="E677" s="7" t="s">
        <v>635</v>
      </c>
      <c r="F677" s="9">
        <f t="shared" si="10"/>
        <v>30366107</v>
      </c>
      <c r="G677" s="9">
        <f>VLOOKUP(A677, localcont!$D$10:$L$1764, 8)</f>
        <v>96498.350163338793</v>
      </c>
      <c r="H677" s="109">
        <f>VLOOKUP(A677, localcont!$D$10:$L$1764, 9)*F677</f>
        <v>17593354.891073417</v>
      </c>
    </row>
    <row r="678" spans="1:8">
      <c r="A678" s="7">
        <v>1042</v>
      </c>
      <c r="B678" s="7">
        <v>209</v>
      </c>
      <c r="C678" s="7" t="s">
        <v>953</v>
      </c>
      <c r="D678" s="7">
        <v>851</v>
      </c>
      <c r="E678" s="7" t="s">
        <v>635</v>
      </c>
      <c r="F678" s="9">
        <f t="shared" si="10"/>
        <v>30366107</v>
      </c>
      <c r="G678" s="9">
        <f>VLOOKUP(A678, localcont!$D$10:$L$1764, 8)</f>
        <v>2235545.1115550851</v>
      </c>
      <c r="H678" s="109">
        <f>VLOOKUP(A678, localcont!$D$10:$L$1764, 9)*F678</f>
        <v>3502673.2808004743</v>
      </c>
    </row>
    <row r="679" spans="1:8">
      <c r="A679" s="7">
        <v>1312</v>
      </c>
      <c r="B679" s="7">
        <v>263</v>
      </c>
      <c r="C679" s="7" t="s">
        <v>1033</v>
      </c>
      <c r="D679" s="7">
        <v>851</v>
      </c>
      <c r="E679" s="7" t="s">
        <v>635</v>
      </c>
      <c r="F679" s="9">
        <f t="shared" si="10"/>
        <v>30366107</v>
      </c>
      <c r="G679" s="9">
        <f>VLOOKUP(A679, localcont!$D$10:$L$1764, 8)</f>
        <v>337744.22549834708</v>
      </c>
      <c r="H679" s="109">
        <f>VLOOKUP(A679, localcont!$D$10:$L$1764, 9)*F679</f>
        <v>10550216.76942756</v>
      </c>
    </row>
    <row r="680" spans="1:8">
      <c r="A680" s="7">
        <v>1703</v>
      </c>
      <c r="B680" s="7">
        <v>341</v>
      </c>
      <c r="C680" s="7" t="s">
        <v>1119</v>
      </c>
      <c r="D680" s="7">
        <v>851</v>
      </c>
      <c r="E680" s="7" t="s">
        <v>635</v>
      </c>
      <c r="F680" s="9">
        <f t="shared" si="10"/>
        <v>30366107</v>
      </c>
      <c r="G680" s="9">
        <f>VLOOKUP(A680, localcont!$D$10:$L$1764, 8)</f>
        <v>257328.93372001094</v>
      </c>
      <c r="H680" s="109">
        <f>VLOOKUP(A680, localcont!$D$10:$L$1764, 9)*F680</f>
        <v>1080303.2825103109</v>
      </c>
    </row>
    <row r="681" spans="1:8">
      <c r="A681" s="7">
        <v>93</v>
      </c>
      <c r="B681" s="7">
        <v>19</v>
      </c>
      <c r="C681" s="7" t="s">
        <v>25</v>
      </c>
      <c r="D681" s="7">
        <v>852</v>
      </c>
      <c r="E681" s="7" t="s">
        <v>636</v>
      </c>
      <c r="F681" s="9">
        <f t="shared" si="10"/>
        <v>30366107</v>
      </c>
      <c r="G681" s="9">
        <f>VLOOKUP(A681, localcont!$D$10:$L$1764, 8)</f>
        <v>765531.01107950322</v>
      </c>
      <c r="H681" s="109">
        <f>VLOOKUP(A681, localcont!$D$10:$L$1764, 9)*F681</f>
        <v>2145036.7930643959</v>
      </c>
    </row>
    <row r="682" spans="1:8">
      <c r="A682" s="7">
        <v>277</v>
      </c>
      <c r="B682" s="7">
        <v>56</v>
      </c>
      <c r="C682" s="7" t="s">
        <v>718</v>
      </c>
      <c r="D682" s="7">
        <v>852</v>
      </c>
      <c r="E682" s="7" t="s">
        <v>636</v>
      </c>
      <c r="F682" s="9">
        <f t="shared" si="10"/>
        <v>30366107</v>
      </c>
      <c r="G682" s="9">
        <f>VLOOKUP(A682, localcont!$D$10:$L$1764, 8)</f>
        <v>3046175.4816028895</v>
      </c>
      <c r="H682" s="109">
        <f>VLOOKUP(A682, localcont!$D$10:$L$1764, 9)*F682</f>
        <v>1833443.9258686495</v>
      </c>
    </row>
    <row r="683" spans="1:8">
      <c r="A683" s="7">
        <v>573</v>
      </c>
      <c r="B683" s="7">
        <v>115</v>
      </c>
      <c r="C683" s="7" t="s">
        <v>806</v>
      </c>
      <c r="D683" s="7">
        <v>852</v>
      </c>
      <c r="E683" s="7" t="s">
        <v>636</v>
      </c>
      <c r="F683" s="9">
        <f t="shared" si="10"/>
        <v>30366107</v>
      </c>
      <c r="G683" s="9">
        <f>VLOOKUP(A683, localcont!$D$10:$L$1764, 8)</f>
        <v>621993.94653573784</v>
      </c>
      <c r="H683" s="109">
        <f>VLOOKUP(A683, localcont!$D$10:$L$1764, 9)*F683</f>
        <v>1056942.8730852911</v>
      </c>
    </row>
    <row r="684" spans="1:8">
      <c r="A684" s="7">
        <v>787</v>
      </c>
      <c r="B684" s="7">
        <v>158</v>
      </c>
      <c r="C684" s="7" t="s">
        <v>857</v>
      </c>
      <c r="D684" s="7">
        <v>852</v>
      </c>
      <c r="E684" s="7" t="s">
        <v>636</v>
      </c>
      <c r="F684" s="9">
        <f t="shared" si="10"/>
        <v>30366107</v>
      </c>
      <c r="G684" s="9">
        <f>VLOOKUP(A684, localcont!$D$10:$L$1764, 8)</f>
        <v>478456.88188431971</v>
      </c>
      <c r="H684" s="109">
        <f>VLOOKUP(A684, localcont!$D$10:$L$1764, 9)*F684</f>
        <v>920091.44572771038</v>
      </c>
    </row>
    <row r="685" spans="1:8">
      <c r="A685" s="7">
        <v>1158</v>
      </c>
      <c r="B685" s="7">
        <v>232</v>
      </c>
      <c r="C685" s="7" t="s">
        <v>1001</v>
      </c>
      <c r="D685" s="7">
        <v>852</v>
      </c>
      <c r="E685" s="7" t="s">
        <v>636</v>
      </c>
      <c r="F685" s="9">
        <f t="shared" si="10"/>
        <v>30366107</v>
      </c>
      <c r="G685" s="9">
        <f>VLOOKUP(A685, localcont!$D$10:$L$1764, 8)</f>
        <v>2440130.0978899277</v>
      </c>
      <c r="H685" s="109">
        <f>VLOOKUP(A685, localcont!$D$10:$L$1764, 9)*F685</f>
        <v>4154920.2506407443</v>
      </c>
    </row>
    <row r="686" spans="1:8">
      <c r="A686" s="7">
        <v>1348</v>
      </c>
      <c r="B686" s="7">
        <v>270</v>
      </c>
      <c r="C686" s="7" t="s">
        <v>1040</v>
      </c>
      <c r="D686" s="7">
        <v>852</v>
      </c>
      <c r="E686" s="7" t="s">
        <v>636</v>
      </c>
      <c r="F686" s="9">
        <f t="shared" si="10"/>
        <v>30366107</v>
      </c>
      <c r="G686" s="9">
        <f>VLOOKUP(A686, localcont!$D$10:$L$1764, 8)</f>
        <v>925016.63844604488</v>
      </c>
      <c r="H686" s="109">
        <f>VLOOKUP(A686, localcont!$D$10:$L$1764, 9)*F686</f>
        <v>3223780.2959733154</v>
      </c>
    </row>
    <row r="687" spans="1:8">
      <c r="A687" s="7">
        <v>1493</v>
      </c>
      <c r="B687" s="7">
        <v>299</v>
      </c>
      <c r="C687" s="7" t="s">
        <v>1076</v>
      </c>
      <c r="D687" s="7">
        <v>852</v>
      </c>
      <c r="E687" s="7" t="s">
        <v>636</v>
      </c>
      <c r="F687" s="9">
        <f t="shared" si="10"/>
        <v>30366107</v>
      </c>
      <c r="G687" s="9">
        <f>VLOOKUP(A687, localcont!$D$10:$L$1764, 8)</f>
        <v>1706496.212240672</v>
      </c>
      <c r="H687" s="109">
        <f>VLOOKUP(A687, localcont!$D$10:$L$1764, 9)*F687</f>
        <v>3737070.5112087806</v>
      </c>
    </row>
    <row r="688" spans="1:8">
      <c r="A688" s="7">
        <v>1627</v>
      </c>
      <c r="B688" s="7">
        <v>326</v>
      </c>
      <c r="C688" s="7" t="s">
        <v>1104</v>
      </c>
      <c r="D688" s="7">
        <v>852</v>
      </c>
      <c r="E688" s="7" t="s">
        <v>636</v>
      </c>
      <c r="F688" s="9">
        <f t="shared" si="10"/>
        <v>30366107</v>
      </c>
      <c r="G688" s="9">
        <f>VLOOKUP(A688, localcont!$D$10:$L$1764, 8)</f>
        <v>781479.57379462686</v>
      </c>
      <c r="H688" s="109">
        <f>VLOOKUP(A688, localcont!$D$10:$L$1764, 9)*F688</f>
        <v>503824.07767751423</v>
      </c>
    </row>
    <row r="689" spans="1:8">
      <c r="A689" s="7">
        <v>282</v>
      </c>
      <c r="B689" s="7">
        <v>57</v>
      </c>
      <c r="C689" s="7" t="s">
        <v>720</v>
      </c>
      <c r="D689" s="7">
        <v>853</v>
      </c>
      <c r="E689" s="7" t="s">
        <v>637</v>
      </c>
      <c r="F689" s="9">
        <f t="shared" si="10"/>
        <v>30366107</v>
      </c>
      <c r="G689" s="9">
        <f>VLOOKUP(A689, localcont!$D$10:$L$1764, 8)</f>
        <v>3712190.6469263686</v>
      </c>
      <c r="H689" s="109">
        <f>VLOOKUP(A689, localcont!$D$10:$L$1764, 9)*F689</f>
        <v>1234843.7760724097</v>
      </c>
    </row>
    <row r="690" spans="1:8">
      <c r="A690" s="7">
        <v>822</v>
      </c>
      <c r="B690" s="7">
        <v>165</v>
      </c>
      <c r="C690" s="7" t="s">
        <v>900</v>
      </c>
      <c r="D690" s="7">
        <v>853</v>
      </c>
      <c r="E690" s="7" t="s">
        <v>637</v>
      </c>
      <c r="F690" s="9">
        <f t="shared" si="10"/>
        <v>30366107</v>
      </c>
      <c r="G690" s="9">
        <f>VLOOKUP(A690, localcont!$D$10:$L$1764, 8)</f>
        <v>2881609.1779467668</v>
      </c>
      <c r="H690" s="109">
        <f>VLOOKUP(A690, localcont!$D$10:$L$1764, 9)*F690</f>
        <v>970077.18257684668</v>
      </c>
    </row>
    <row r="691" spans="1:8">
      <c r="A691" s="7">
        <v>887</v>
      </c>
      <c r="B691" s="7">
        <v>178</v>
      </c>
      <c r="C691" s="7" t="s">
        <v>916</v>
      </c>
      <c r="D691" s="7">
        <v>853</v>
      </c>
      <c r="E691" s="7" t="s">
        <v>637</v>
      </c>
      <c r="F691" s="9">
        <f t="shared" si="10"/>
        <v>30366107</v>
      </c>
      <c r="G691" s="9">
        <f>VLOOKUP(A691, localcont!$D$10:$L$1764, 8)</f>
        <v>847532.11116081383</v>
      </c>
      <c r="H691" s="109">
        <f>VLOOKUP(A691, localcont!$D$10:$L$1764, 9)*F691</f>
        <v>670360.8178955171</v>
      </c>
    </row>
    <row r="692" spans="1:8">
      <c r="A692" s="7">
        <v>1082</v>
      </c>
      <c r="B692" s="7">
        <v>217</v>
      </c>
      <c r="C692" s="7" t="s">
        <v>964</v>
      </c>
      <c r="D692" s="7">
        <v>853</v>
      </c>
      <c r="E692" s="7" t="s">
        <v>637</v>
      </c>
      <c r="F692" s="9">
        <f t="shared" si="10"/>
        <v>30366107</v>
      </c>
      <c r="G692" s="9">
        <f>VLOOKUP(A692, localcont!$D$10:$L$1764, 8)</f>
        <v>559371.19345014449</v>
      </c>
      <c r="H692" s="109">
        <f>VLOOKUP(A692, localcont!$D$10:$L$1764, 9)*F692</f>
        <v>692749.53188565176</v>
      </c>
    </row>
    <row r="693" spans="1:8">
      <c r="A693" s="7">
        <v>1227</v>
      </c>
      <c r="B693" s="7">
        <v>246</v>
      </c>
      <c r="C693" s="7" t="s">
        <v>1016</v>
      </c>
      <c r="D693" s="7">
        <v>853</v>
      </c>
      <c r="E693" s="7" t="s">
        <v>637</v>
      </c>
      <c r="F693" s="9">
        <f t="shared" si="10"/>
        <v>30366107</v>
      </c>
      <c r="G693" s="9">
        <f>VLOOKUP(A693, localcont!$D$10:$L$1764, 8)</f>
        <v>305111.56010190037</v>
      </c>
      <c r="H693" s="109">
        <f>VLOOKUP(A693, localcont!$D$10:$L$1764, 9)*F693</f>
        <v>228350.94846447924</v>
      </c>
    </row>
    <row r="694" spans="1:8">
      <c r="A694" s="7">
        <v>1237</v>
      </c>
      <c r="B694" s="7">
        <v>248</v>
      </c>
      <c r="C694" s="7" t="s">
        <v>1018</v>
      </c>
      <c r="D694" s="7">
        <v>853</v>
      </c>
      <c r="E694" s="7" t="s">
        <v>637</v>
      </c>
      <c r="F694" s="9">
        <f t="shared" si="10"/>
        <v>30366107</v>
      </c>
      <c r="G694" s="9">
        <f>VLOOKUP(A694, localcont!$D$10:$L$1764, 8)</f>
        <v>4186808.6292604315</v>
      </c>
      <c r="H694" s="109">
        <f>VLOOKUP(A694, localcont!$D$10:$L$1764, 9)*F694</f>
        <v>1376204.9449660925</v>
      </c>
    </row>
    <row r="695" spans="1:8">
      <c r="A695" s="7">
        <v>1307</v>
      </c>
      <c r="B695" s="7">
        <v>262</v>
      </c>
      <c r="C695" s="7" t="s">
        <v>1032</v>
      </c>
      <c r="D695" s="7">
        <v>853</v>
      </c>
      <c r="E695" s="7" t="s">
        <v>637</v>
      </c>
      <c r="F695" s="9">
        <f t="shared" si="10"/>
        <v>30366107</v>
      </c>
      <c r="G695" s="9">
        <f>VLOOKUP(A695, localcont!$D$10:$L$1764, 8)</f>
        <v>3356227.1602808302</v>
      </c>
      <c r="H695" s="109">
        <f>VLOOKUP(A695, localcont!$D$10:$L$1764, 9)*F695</f>
        <v>3280785.4491070532</v>
      </c>
    </row>
    <row r="696" spans="1:8">
      <c r="A696" s="7">
        <v>1417</v>
      </c>
      <c r="B696" s="7">
        <v>284</v>
      </c>
      <c r="C696" s="7" t="s">
        <v>1061</v>
      </c>
      <c r="D696" s="7">
        <v>853</v>
      </c>
      <c r="E696" s="7" t="s">
        <v>637</v>
      </c>
      <c r="F696" s="9">
        <f t="shared" si="10"/>
        <v>30366107</v>
      </c>
      <c r="G696" s="9">
        <f>VLOOKUP(A696, localcont!$D$10:$L$1764, 8)</f>
        <v>1118742.3866902706</v>
      </c>
      <c r="H696" s="109">
        <f>VLOOKUP(A696, localcont!$D$10:$L$1764, 9)*F696</f>
        <v>1324068.6587305765</v>
      </c>
    </row>
    <row r="697" spans="1:8">
      <c r="A697" s="7">
        <v>1522</v>
      </c>
      <c r="B697" s="7">
        <v>305</v>
      </c>
      <c r="C697" s="7" t="s">
        <v>1082</v>
      </c>
      <c r="D697" s="7">
        <v>853</v>
      </c>
      <c r="E697" s="7" t="s">
        <v>637</v>
      </c>
      <c r="F697" s="9">
        <f t="shared" si="10"/>
        <v>30366107</v>
      </c>
      <c r="G697" s="9">
        <f>VLOOKUP(A697, localcont!$D$10:$L$1764, 8)</f>
        <v>1118742.3866902706</v>
      </c>
      <c r="H697" s="109">
        <f>VLOOKUP(A697, localcont!$D$10:$L$1764, 9)*F697</f>
        <v>923330.40477959299</v>
      </c>
    </row>
    <row r="698" spans="1:8">
      <c r="A698" s="7">
        <v>1717</v>
      </c>
      <c r="B698" s="7">
        <v>344</v>
      </c>
      <c r="C698" s="7" t="s">
        <v>1122</v>
      </c>
      <c r="D698" s="7">
        <v>853</v>
      </c>
      <c r="E698" s="7" t="s">
        <v>637</v>
      </c>
      <c r="F698" s="9">
        <f t="shared" si="10"/>
        <v>30366107</v>
      </c>
      <c r="G698" s="9">
        <f>VLOOKUP(A698, localcont!$D$10:$L$1764, 8)</f>
        <v>169506.42223216279</v>
      </c>
      <c r="H698" s="109">
        <f>VLOOKUP(A698, localcont!$D$10:$L$1764, 9)*F698</f>
        <v>118750.59460608536</v>
      </c>
    </row>
    <row r="699" spans="1:8">
      <c r="A699" s="7">
        <v>1727</v>
      </c>
      <c r="B699" s="7">
        <v>346</v>
      </c>
      <c r="C699" s="7" t="s">
        <v>1124</v>
      </c>
      <c r="D699" s="7">
        <v>853</v>
      </c>
      <c r="E699" s="7" t="s">
        <v>637</v>
      </c>
      <c r="F699" s="9">
        <f t="shared" si="10"/>
        <v>30366107</v>
      </c>
      <c r="G699" s="9">
        <f>VLOOKUP(A699, localcont!$D$10:$L$1764, 8)</f>
        <v>966186.60684933886</v>
      </c>
      <c r="H699" s="109">
        <f>VLOOKUP(A699, localcont!$D$10:$L$1764, 9)*F699</f>
        <v>1343377.3073354992</v>
      </c>
    </row>
    <row r="700" spans="1:8">
      <c r="A700" s="7">
        <v>1732</v>
      </c>
      <c r="B700" s="7">
        <v>347</v>
      </c>
      <c r="C700" s="7" t="s">
        <v>1125</v>
      </c>
      <c r="D700" s="7">
        <v>853</v>
      </c>
      <c r="E700" s="7" t="s">
        <v>637</v>
      </c>
      <c r="F700" s="9">
        <f t="shared" si="10"/>
        <v>30366107</v>
      </c>
      <c r="G700" s="9">
        <f>VLOOKUP(A700, localcont!$D$10:$L$1764, 8)</f>
        <v>1779817.4334377092</v>
      </c>
      <c r="H700" s="109">
        <f>VLOOKUP(A700, localcont!$D$10:$L$1764, 9)*F700</f>
        <v>1036144.8987805624</v>
      </c>
    </row>
    <row r="701" spans="1:8">
      <c r="A701" s="7">
        <v>12</v>
      </c>
      <c r="B701" s="7">
        <v>3</v>
      </c>
      <c r="C701" s="7" t="s">
        <v>1166</v>
      </c>
      <c r="D701" s="7">
        <v>855</v>
      </c>
      <c r="E701" s="7" t="s">
        <v>638</v>
      </c>
      <c r="F701" s="9">
        <f t="shared" si="10"/>
        <v>30366107</v>
      </c>
      <c r="G701" s="9">
        <f>VLOOKUP(A701, localcont!$D$10:$L$1764, 8)</f>
        <v>2097655.1649155626</v>
      </c>
      <c r="H701" s="109">
        <f>VLOOKUP(A701, localcont!$D$10:$L$1764, 9)*F701</f>
        <v>4527690.1688388977</v>
      </c>
    </row>
    <row r="702" spans="1:8">
      <c r="A702" s="7">
        <v>257</v>
      </c>
      <c r="B702" s="7">
        <v>52</v>
      </c>
      <c r="C702" s="7" t="s">
        <v>711</v>
      </c>
      <c r="D702" s="7">
        <v>855</v>
      </c>
      <c r="E702" s="7" t="s">
        <v>638</v>
      </c>
      <c r="F702" s="9">
        <f t="shared" si="10"/>
        <v>30366107</v>
      </c>
      <c r="G702" s="9">
        <f>VLOOKUP(A702, localcont!$D$10:$L$1764, 8)</f>
        <v>1429513.1494360899</v>
      </c>
      <c r="H702" s="109">
        <f>VLOOKUP(A702, localcont!$D$10:$L$1764, 9)*F702</f>
        <v>2383575.633213127</v>
      </c>
    </row>
    <row r="703" spans="1:8">
      <c r="A703" s="7">
        <v>728</v>
      </c>
      <c r="B703" s="7">
        <v>146</v>
      </c>
      <c r="C703" s="7" t="s">
        <v>843</v>
      </c>
      <c r="D703" s="7">
        <v>855</v>
      </c>
      <c r="E703" s="7" t="s">
        <v>638</v>
      </c>
      <c r="F703" s="9">
        <f t="shared" si="10"/>
        <v>30366107</v>
      </c>
      <c r="G703" s="9">
        <f>VLOOKUP(A703, localcont!$D$10:$L$1764, 8)</f>
        <v>1942273.3008107627</v>
      </c>
      <c r="H703" s="109">
        <f>VLOOKUP(A703, localcont!$D$10:$L$1764, 9)*F703</f>
        <v>3399645.386670622</v>
      </c>
    </row>
    <row r="704" spans="1:8">
      <c r="A704" s="7">
        <v>863</v>
      </c>
      <c r="B704" s="7">
        <v>173</v>
      </c>
      <c r="C704" s="7" t="s">
        <v>909</v>
      </c>
      <c r="D704" s="7">
        <v>855</v>
      </c>
      <c r="E704" s="7" t="s">
        <v>638</v>
      </c>
      <c r="F704" s="9">
        <f t="shared" si="10"/>
        <v>30366107</v>
      </c>
      <c r="G704" s="9">
        <f>VLOOKUP(A704, localcont!$D$10:$L$1764, 8)</f>
        <v>497221.96502124873</v>
      </c>
      <c r="H704" s="109">
        <f>VLOOKUP(A704, localcont!$D$10:$L$1764, 9)*F704</f>
        <v>1724686.0357259104</v>
      </c>
    </row>
    <row r="705" spans="1:8">
      <c r="A705" s="7">
        <v>1248</v>
      </c>
      <c r="B705" s="7">
        <v>250</v>
      </c>
      <c r="C705" s="7" t="s">
        <v>1020</v>
      </c>
      <c r="D705" s="7">
        <v>855</v>
      </c>
      <c r="E705" s="7" t="s">
        <v>638</v>
      </c>
      <c r="F705" s="9">
        <f t="shared" si="10"/>
        <v>30366107</v>
      </c>
      <c r="G705" s="9">
        <f>VLOOKUP(A705, localcont!$D$10:$L$1764, 8)</f>
        <v>1165363.9805007216</v>
      </c>
      <c r="H705" s="109">
        <f>VLOOKUP(A705, localcont!$D$10:$L$1764, 9)*F705</f>
        <v>3641751.9553767741</v>
      </c>
    </row>
    <row r="706" spans="1:8">
      <c r="A706" s="7">
        <v>117</v>
      </c>
      <c r="B706" s="7">
        <v>24</v>
      </c>
      <c r="C706" s="7" t="s">
        <v>34</v>
      </c>
      <c r="D706" s="7">
        <v>860</v>
      </c>
      <c r="E706" s="7" t="s">
        <v>1141</v>
      </c>
      <c r="F706" s="9">
        <f t="shared" si="10"/>
        <v>30366107</v>
      </c>
      <c r="G706" s="9">
        <f>VLOOKUP(A706, localcont!$D$10:$L$1764, 8)</f>
        <v>1667576.0032636768</v>
      </c>
      <c r="H706" s="109">
        <f>VLOOKUP(A706, localcont!$D$10:$L$1764, 9)*F706</f>
        <v>2024995.4411901087</v>
      </c>
    </row>
    <row r="707" spans="1:8">
      <c r="A707" s="7">
        <v>552</v>
      </c>
      <c r="B707" s="7">
        <v>111</v>
      </c>
      <c r="C707" s="7" t="s">
        <v>801</v>
      </c>
      <c r="D707" s="7">
        <v>860</v>
      </c>
      <c r="E707" s="7" t="s">
        <v>1141</v>
      </c>
      <c r="F707" s="9">
        <f t="shared" si="10"/>
        <v>30366107</v>
      </c>
      <c r="G707" s="9">
        <f>VLOOKUP(A707, localcont!$D$10:$L$1764, 8)</f>
        <v>363234.37697210448</v>
      </c>
      <c r="H707" s="109">
        <f>VLOOKUP(A707, localcont!$D$10:$L$1764, 9)*F707</f>
        <v>1399768.3472951818</v>
      </c>
    </row>
    <row r="708" spans="1:8">
      <c r="A708" s="7">
        <v>618</v>
      </c>
      <c r="B708" s="7">
        <v>124</v>
      </c>
      <c r="C708" s="7" t="s">
        <v>820</v>
      </c>
      <c r="D708" s="7">
        <v>860</v>
      </c>
      <c r="E708" s="7" t="s">
        <v>1141</v>
      </c>
      <c r="F708" s="9">
        <f t="shared" si="10"/>
        <v>30366107</v>
      </c>
      <c r="G708" s="9">
        <f>VLOOKUP(A708, localcont!$D$10:$L$1764, 8)</f>
        <v>330213.06993999809</v>
      </c>
      <c r="H708" s="109">
        <f>VLOOKUP(A708, localcont!$D$10:$L$1764, 9)*F708</f>
        <v>2388362.8675547936</v>
      </c>
    </row>
    <row r="709" spans="1:8">
      <c r="A709" s="7">
        <v>952</v>
      </c>
      <c r="B709" s="7">
        <v>191</v>
      </c>
      <c r="C709" s="7" t="s">
        <v>930</v>
      </c>
      <c r="D709" s="7">
        <v>860</v>
      </c>
      <c r="E709" s="7" t="s">
        <v>1141</v>
      </c>
      <c r="F709" s="9">
        <f t="shared" si="10"/>
        <v>30366107</v>
      </c>
      <c r="G709" s="9">
        <f>VLOOKUP(A709, localcont!$D$10:$L$1764, 8)</f>
        <v>1634554.6962315703</v>
      </c>
      <c r="H709" s="109">
        <f>VLOOKUP(A709, localcont!$D$10:$L$1764, 9)*F709</f>
        <v>4354004.122205399</v>
      </c>
    </row>
    <row r="710" spans="1:8">
      <c r="A710" s="7">
        <v>1008</v>
      </c>
      <c r="B710" s="7">
        <v>202</v>
      </c>
      <c r="C710" s="7" t="s">
        <v>942</v>
      </c>
      <c r="D710" s="7">
        <v>860</v>
      </c>
      <c r="E710" s="7" t="s">
        <v>1141</v>
      </c>
      <c r="F710" s="9">
        <f t="shared" si="10"/>
        <v>30366107</v>
      </c>
      <c r="G710" s="9">
        <f>VLOOKUP(A710, localcont!$D$10:$L$1764, 8)</f>
        <v>148595.88150157908</v>
      </c>
      <c r="H710" s="109">
        <f>VLOOKUP(A710, localcont!$D$10:$L$1764, 9)*F710</f>
        <v>2752300.8888920727</v>
      </c>
    </row>
    <row r="711" spans="1:8">
      <c r="A711" s="7">
        <v>1108</v>
      </c>
      <c r="B711" s="7">
        <v>222</v>
      </c>
      <c r="C711" s="7" t="s">
        <v>971</v>
      </c>
      <c r="D711" s="7">
        <v>860</v>
      </c>
      <c r="E711" s="7" t="s">
        <v>1141</v>
      </c>
      <c r="F711" s="9">
        <f t="shared" si="10"/>
        <v>30366107</v>
      </c>
      <c r="G711" s="9">
        <f>VLOOKUP(A711, localcont!$D$10:$L$1764, 8)</f>
        <v>247659.80250263179</v>
      </c>
      <c r="H711" s="109">
        <f>VLOOKUP(A711, localcont!$D$10:$L$1764, 9)*F711</f>
        <v>2807516.73418942</v>
      </c>
    </row>
    <row r="712" spans="1:8">
      <c r="A712" s="7">
        <v>1132</v>
      </c>
      <c r="B712" s="7">
        <v>227</v>
      </c>
      <c r="C712" s="7" t="s">
        <v>986</v>
      </c>
      <c r="D712" s="7">
        <v>860</v>
      </c>
      <c r="E712" s="7" t="s">
        <v>1141</v>
      </c>
      <c r="F712" s="9">
        <f t="shared" si="10"/>
        <v>30366107</v>
      </c>
      <c r="G712" s="9">
        <f>VLOOKUP(A712, localcont!$D$10:$L$1764, 8)</f>
        <v>2394044.7571126195</v>
      </c>
      <c r="H712" s="109">
        <f>VLOOKUP(A712, localcont!$D$10:$L$1764, 9)*F712</f>
        <v>3965747.5564152016</v>
      </c>
    </row>
    <row r="713" spans="1:8">
      <c r="A713" s="7">
        <v>1542</v>
      </c>
      <c r="B713" s="7">
        <v>309</v>
      </c>
      <c r="C713" s="7" t="s">
        <v>1086</v>
      </c>
      <c r="D713" s="7">
        <v>860</v>
      </c>
      <c r="E713" s="7" t="s">
        <v>1141</v>
      </c>
      <c r="F713" s="9">
        <f t="shared" si="10"/>
        <v>30366107</v>
      </c>
      <c r="G713" s="9">
        <f>VLOOKUP(A713, localcont!$D$10:$L$1764, 8)</f>
        <v>1882214.4987342022</v>
      </c>
      <c r="H713" s="109">
        <f>VLOOKUP(A713, localcont!$D$10:$L$1764, 9)*F713</f>
        <v>3464020.0725466521</v>
      </c>
    </row>
    <row r="714" spans="1:8">
      <c r="A714" s="7">
        <v>1553</v>
      </c>
      <c r="B714" s="7">
        <v>311</v>
      </c>
      <c r="C714" s="7" t="s">
        <v>1088</v>
      </c>
      <c r="D714" s="7">
        <v>860</v>
      </c>
      <c r="E714" s="7" t="s">
        <v>1141</v>
      </c>
      <c r="F714" s="9">
        <f t="shared" ref="F714:F777" si="11">VLOOKUP(D714, town351, 7)</f>
        <v>30366107</v>
      </c>
      <c r="G714" s="9">
        <f>VLOOKUP(A714, localcont!$D$10:$L$1764, 8)</f>
        <v>858553.98188210162</v>
      </c>
      <c r="H714" s="109">
        <f>VLOOKUP(A714, localcont!$D$10:$L$1764, 9)*F714</f>
        <v>2712485.9559791717</v>
      </c>
    </row>
    <row r="715" spans="1:8">
      <c r="A715" s="7">
        <v>112</v>
      </c>
      <c r="B715" s="7">
        <v>23</v>
      </c>
      <c r="C715" s="7" t="s">
        <v>32</v>
      </c>
      <c r="D715" s="7">
        <v>871</v>
      </c>
      <c r="E715" s="7" t="s">
        <v>639</v>
      </c>
      <c r="F715" s="9">
        <f t="shared" si="11"/>
        <v>30366107</v>
      </c>
      <c r="G715" s="9">
        <f>VLOOKUP(A715, localcont!$D$10:$L$1764, 8)</f>
        <v>322765.87184292887</v>
      </c>
      <c r="H715" s="109">
        <f>VLOOKUP(A715, localcont!$D$10:$L$1764, 9)*F715</f>
        <v>359829.58874630841</v>
      </c>
    </row>
    <row r="716" spans="1:8">
      <c r="A716" s="7">
        <v>152</v>
      </c>
      <c r="B716" s="7">
        <v>31</v>
      </c>
      <c r="C716" s="7" t="s">
        <v>48</v>
      </c>
      <c r="D716" s="7">
        <v>871</v>
      </c>
      <c r="E716" s="7" t="s">
        <v>639</v>
      </c>
      <c r="F716" s="9">
        <f t="shared" si="11"/>
        <v>30366107</v>
      </c>
      <c r="G716" s="9">
        <f>VLOOKUP(A716, localcont!$D$10:$L$1764, 8)</f>
        <v>9913523.2058324162</v>
      </c>
      <c r="H716" s="109">
        <f>VLOOKUP(A716, localcont!$D$10:$L$1764, 9)*F716</f>
        <v>5077522.6254681079</v>
      </c>
    </row>
    <row r="717" spans="1:8">
      <c r="A717" s="7">
        <v>237</v>
      </c>
      <c r="B717" s="7">
        <v>48</v>
      </c>
      <c r="C717" s="7" t="s">
        <v>706</v>
      </c>
      <c r="D717" s="7">
        <v>871</v>
      </c>
      <c r="E717" s="7" t="s">
        <v>639</v>
      </c>
      <c r="F717" s="9">
        <f t="shared" si="11"/>
        <v>30366107</v>
      </c>
      <c r="G717" s="9">
        <f>VLOOKUP(A717, localcont!$D$10:$L$1764, 8)</f>
        <v>1982704.6410833634</v>
      </c>
      <c r="H717" s="109">
        <f>VLOOKUP(A717, localcont!$D$10:$L$1764, 9)*F717</f>
        <v>1597735.5195375897</v>
      </c>
    </row>
    <row r="718" spans="1:8">
      <c r="A718" s="7">
        <v>1472</v>
      </c>
      <c r="B718" s="7">
        <v>295</v>
      </c>
      <c r="C718" s="7" t="s">
        <v>1072</v>
      </c>
      <c r="D718" s="7">
        <v>871</v>
      </c>
      <c r="E718" s="7" t="s">
        <v>639</v>
      </c>
      <c r="F718" s="9">
        <f t="shared" si="11"/>
        <v>30366107</v>
      </c>
      <c r="G718" s="9">
        <f>VLOOKUP(A718, localcont!$D$10:$L$1764, 8)</f>
        <v>4872227.6840507267</v>
      </c>
      <c r="H718" s="109">
        <f>VLOOKUP(A718, localcont!$D$10:$L$1764, 9)*F718</f>
        <v>3719889.4905495699</v>
      </c>
    </row>
    <row r="719" spans="1:8">
      <c r="A719" s="7">
        <v>1707</v>
      </c>
      <c r="B719" s="7">
        <v>342</v>
      </c>
      <c r="C719" s="7" t="s">
        <v>1120</v>
      </c>
      <c r="D719" s="7">
        <v>871</v>
      </c>
      <c r="E719" s="7" t="s">
        <v>639</v>
      </c>
      <c r="F719" s="9">
        <f t="shared" si="11"/>
        <v>30366107</v>
      </c>
      <c r="G719" s="9">
        <f>VLOOKUP(A719, localcont!$D$10:$L$1764, 8)</f>
        <v>3688752.8207651875</v>
      </c>
      <c r="H719" s="109">
        <f>VLOOKUP(A719, localcont!$D$10:$L$1764, 9)*F719</f>
        <v>2953252.8700122666</v>
      </c>
    </row>
    <row r="720" spans="1:8">
      <c r="A720" s="7">
        <v>217</v>
      </c>
      <c r="B720" s="7">
        <v>44</v>
      </c>
      <c r="C720" s="7" t="s">
        <v>701</v>
      </c>
      <c r="D720" s="7">
        <v>872</v>
      </c>
      <c r="E720" s="7" t="s">
        <v>640</v>
      </c>
      <c r="F720" s="9">
        <f t="shared" si="11"/>
        <v>30366107</v>
      </c>
      <c r="G720" s="9">
        <f>VLOOKUP(A720, localcont!$D$10:$L$1764, 8)</f>
        <v>15718605.041306825</v>
      </c>
      <c r="H720" s="109">
        <f>VLOOKUP(A720, localcont!$D$10:$L$1764, 9)*F720</f>
        <v>2108489.9369035903</v>
      </c>
    </row>
    <row r="721" spans="1:8">
      <c r="A721" s="7">
        <v>412</v>
      </c>
      <c r="B721" s="7">
        <v>83</v>
      </c>
      <c r="C721" s="7" t="s">
        <v>767</v>
      </c>
      <c r="D721" s="7">
        <v>872</v>
      </c>
      <c r="E721" s="7" t="s">
        <v>640</v>
      </c>
      <c r="F721" s="9">
        <f t="shared" si="11"/>
        <v>30366107</v>
      </c>
      <c r="G721" s="9">
        <f>VLOOKUP(A721, localcont!$D$10:$L$1764, 8)</f>
        <v>1178895.3780980119</v>
      </c>
      <c r="H721" s="109">
        <f>VLOOKUP(A721, localcont!$D$10:$L$1764, 9)*F721</f>
        <v>1606450.8205865535</v>
      </c>
    </row>
    <row r="722" spans="1:8">
      <c r="A722" s="7">
        <v>437</v>
      </c>
      <c r="B722" s="7">
        <v>88</v>
      </c>
      <c r="C722" s="7" t="s">
        <v>773</v>
      </c>
      <c r="D722" s="7">
        <v>872</v>
      </c>
      <c r="E722" s="7" t="s">
        <v>640</v>
      </c>
      <c r="F722" s="9">
        <f t="shared" si="11"/>
        <v>30366107</v>
      </c>
      <c r="G722" s="9">
        <f>VLOOKUP(A722, localcont!$D$10:$L$1764, 8)</f>
        <v>1228016.0187904492</v>
      </c>
      <c r="H722" s="109">
        <f>VLOOKUP(A722, localcont!$D$10:$L$1764, 9)*F722</f>
        <v>1028621.9644046675</v>
      </c>
    </row>
    <row r="723" spans="1:8">
      <c r="A723" s="7">
        <v>492</v>
      </c>
      <c r="B723" s="7">
        <v>99</v>
      </c>
      <c r="C723" s="7" t="s">
        <v>786</v>
      </c>
      <c r="D723" s="7">
        <v>872</v>
      </c>
      <c r="E723" s="7" t="s">
        <v>640</v>
      </c>
      <c r="F723" s="9">
        <f t="shared" si="11"/>
        <v>30366107</v>
      </c>
      <c r="G723" s="9">
        <f>VLOOKUP(A723, localcont!$D$10:$L$1764, 8)</f>
        <v>458459.31378697761</v>
      </c>
      <c r="H723" s="109">
        <f>VLOOKUP(A723, localcont!$D$10:$L$1764, 9)*F723</f>
        <v>514603.03228896734</v>
      </c>
    </row>
    <row r="724" spans="1:8">
      <c r="A724" s="7">
        <v>832</v>
      </c>
      <c r="B724" s="7">
        <v>167</v>
      </c>
      <c r="C724" s="7" t="s">
        <v>902</v>
      </c>
      <c r="D724" s="7">
        <v>872</v>
      </c>
      <c r="E724" s="7" t="s">
        <v>640</v>
      </c>
      <c r="F724" s="9">
        <f t="shared" si="11"/>
        <v>30366107</v>
      </c>
      <c r="G724" s="9">
        <f>VLOOKUP(A724, localcont!$D$10:$L$1764, 8)</f>
        <v>1146148.2842208585</v>
      </c>
      <c r="H724" s="109">
        <f>VLOOKUP(A724, localcont!$D$10:$L$1764, 9)*F724</f>
        <v>835699.52763802453</v>
      </c>
    </row>
    <row r="725" spans="1:8">
      <c r="A725" s="7">
        <v>1087</v>
      </c>
      <c r="B725" s="7">
        <v>218</v>
      </c>
      <c r="C725" s="7" t="s">
        <v>965</v>
      </c>
      <c r="D725" s="7">
        <v>872</v>
      </c>
      <c r="E725" s="7" t="s">
        <v>640</v>
      </c>
      <c r="F725" s="9">
        <f t="shared" si="11"/>
        <v>30366107</v>
      </c>
      <c r="G725" s="9">
        <f>VLOOKUP(A725, localcont!$D$10:$L$1764, 8)</f>
        <v>1440872.1288686541</v>
      </c>
      <c r="H725" s="109">
        <f>VLOOKUP(A725, localcont!$D$10:$L$1764, 9)*F725</f>
        <v>1665835.1092582096</v>
      </c>
    </row>
    <row r="726" spans="1:8">
      <c r="A726" s="7">
        <v>1327</v>
      </c>
      <c r="B726" s="7">
        <v>266</v>
      </c>
      <c r="C726" s="7" t="s">
        <v>1036</v>
      </c>
      <c r="D726" s="7">
        <v>872</v>
      </c>
      <c r="E726" s="7" t="s">
        <v>640</v>
      </c>
      <c r="F726" s="9">
        <f t="shared" si="11"/>
        <v>30366107</v>
      </c>
      <c r="G726" s="9">
        <f>VLOOKUP(A726, localcont!$D$10:$L$1764, 8)</f>
        <v>278350.29758592625</v>
      </c>
      <c r="H726" s="109">
        <f>VLOOKUP(A726, localcont!$D$10:$L$1764, 9)*F726</f>
        <v>252776.97636275439</v>
      </c>
    </row>
    <row r="727" spans="1:8">
      <c r="A727" s="7">
        <v>1422</v>
      </c>
      <c r="B727" s="7">
        <v>285</v>
      </c>
      <c r="C727" s="7" t="s">
        <v>1062</v>
      </c>
      <c r="D727" s="7">
        <v>872</v>
      </c>
      <c r="E727" s="7" t="s">
        <v>640</v>
      </c>
      <c r="F727" s="9">
        <f t="shared" si="11"/>
        <v>30366107</v>
      </c>
      <c r="G727" s="9">
        <f>VLOOKUP(A727, localcont!$D$10:$L$1764, 8)</f>
        <v>2374164.303011308</v>
      </c>
      <c r="H727" s="109">
        <f>VLOOKUP(A727, localcont!$D$10:$L$1764, 9)*F727</f>
        <v>1736473.4425557107</v>
      </c>
    </row>
    <row r="728" spans="1:8">
      <c r="A728" s="7">
        <v>1612</v>
      </c>
      <c r="B728" s="7">
        <v>323</v>
      </c>
      <c r="C728" s="7" t="s">
        <v>1101</v>
      </c>
      <c r="D728" s="7">
        <v>872</v>
      </c>
      <c r="E728" s="7" t="s">
        <v>640</v>
      </c>
      <c r="F728" s="9">
        <f t="shared" si="11"/>
        <v>30366107</v>
      </c>
      <c r="G728" s="9">
        <f>VLOOKUP(A728, localcont!$D$10:$L$1764, 8)</f>
        <v>835050.89275777864</v>
      </c>
      <c r="H728" s="109">
        <f>VLOOKUP(A728, localcont!$D$10:$L$1764, 9)*F728</f>
        <v>2267750.042272557</v>
      </c>
    </row>
    <row r="729" spans="1:8">
      <c r="A729" s="7">
        <v>2</v>
      </c>
      <c r="B729" s="7">
        <v>1</v>
      </c>
      <c r="C729" s="7" t="s">
        <v>1161</v>
      </c>
      <c r="D729" s="7">
        <v>873</v>
      </c>
      <c r="E729" s="7" t="s">
        <v>641</v>
      </c>
      <c r="F729" s="9">
        <f t="shared" si="11"/>
        <v>30366107</v>
      </c>
      <c r="G729" s="9">
        <f>VLOOKUP(A729, localcont!$D$10:$L$1764, 8)</f>
        <v>2342343.5670614364</v>
      </c>
      <c r="H729" s="109">
        <f>VLOOKUP(A729, localcont!$D$10:$L$1764, 9)*F729</f>
        <v>3226998.8028123826</v>
      </c>
    </row>
    <row r="730" spans="1:8">
      <c r="A730" s="7">
        <v>322</v>
      </c>
      <c r="B730" s="7">
        <v>65</v>
      </c>
      <c r="C730" s="7" t="s">
        <v>736</v>
      </c>
      <c r="D730" s="7">
        <v>873</v>
      </c>
      <c r="E730" s="7" t="s">
        <v>641</v>
      </c>
      <c r="F730" s="9">
        <f t="shared" si="11"/>
        <v>30366107</v>
      </c>
      <c r="G730" s="9">
        <f>VLOOKUP(A730, localcont!$D$10:$L$1764, 8)</f>
        <v>65065.099051422927</v>
      </c>
      <c r="H730" s="109">
        <f>VLOOKUP(A730, localcont!$D$10:$L$1764, 9)*F730</f>
        <v>136663.64139739351</v>
      </c>
    </row>
    <row r="731" spans="1:8">
      <c r="A731" s="7">
        <v>607</v>
      </c>
      <c r="B731" s="7">
        <v>122</v>
      </c>
      <c r="C731" s="7" t="s">
        <v>817</v>
      </c>
      <c r="D731" s="7">
        <v>873</v>
      </c>
      <c r="E731" s="7" t="s">
        <v>641</v>
      </c>
      <c r="F731" s="9">
        <f t="shared" si="11"/>
        <v>30366107</v>
      </c>
      <c r="G731" s="9">
        <f>VLOOKUP(A731, localcont!$D$10:$L$1764, 8)</f>
        <v>797047.46373290906</v>
      </c>
      <c r="H731" s="109">
        <f>VLOOKUP(A731, localcont!$D$10:$L$1764, 9)*F731</f>
        <v>966322.81681005447</v>
      </c>
    </row>
    <row r="732" spans="1:8">
      <c r="A732" s="7">
        <v>613</v>
      </c>
      <c r="B732" s="7">
        <v>123</v>
      </c>
      <c r="C732" s="7" t="s">
        <v>818</v>
      </c>
      <c r="D732" s="7">
        <v>873</v>
      </c>
      <c r="E732" s="7" t="s">
        <v>641</v>
      </c>
      <c r="F732" s="9">
        <f t="shared" si="11"/>
        <v>30366107</v>
      </c>
      <c r="G732" s="9">
        <f>VLOOKUP(A732, localcont!$D$10:$L$1764, 8)</f>
        <v>1301301.9816335638</v>
      </c>
      <c r="H732" s="109">
        <f>VLOOKUP(A732, localcont!$D$10:$L$1764, 9)*F732</f>
        <v>2334919.6873903088</v>
      </c>
    </row>
    <row r="733" spans="1:8">
      <c r="A733" s="7">
        <v>1092</v>
      </c>
      <c r="B733" s="7">
        <v>219</v>
      </c>
      <c r="C733" s="7" t="s">
        <v>967</v>
      </c>
      <c r="D733" s="7">
        <v>873</v>
      </c>
      <c r="E733" s="7" t="s">
        <v>641</v>
      </c>
      <c r="F733" s="9">
        <f t="shared" si="11"/>
        <v>30366107</v>
      </c>
      <c r="G733" s="9">
        <f>VLOOKUP(A733, localcont!$D$10:$L$1764, 8)</f>
        <v>243994.12159411234</v>
      </c>
      <c r="H733" s="109">
        <f>VLOOKUP(A733, localcont!$D$10:$L$1764, 9)*F733</f>
        <v>353741.23516119272</v>
      </c>
    </row>
    <row r="734" spans="1:8">
      <c r="A734" s="7">
        <v>1252</v>
      </c>
      <c r="B734" s="7">
        <v>251</v>
      </c>
      <c r="C734" s="7" t="s">
        <v>1021</v>
      </c>
      <c r="D734" s="7">
        <v>873</v>
      </c>
      <c r="E734" s="7" t="s">
        <v>641</v>
      </c>
      <c r="F734" s="9">
        <f t="shared" si="11"/>
        <v>30366107</v>
      </c>
      <c r="G734" s="9">
        <f>VLOOKUP(A734, localcont!$D$10:$L$1764, 8)</f>
        <v>2358609.8417738667</v>
      </c>
      <c r="H734" s="109">
        <f>VLOOKUP(A734, localcont!$D$10:$L$1764, 9)*F734</f>
        <v>2528601.7785382252</v>
      </c>
    </row>
    <row r="735" spans="1:8">
      <c r="A735" s="7">
        <v>1317</v>
      </c>
      <c r="B735" s="7">
        <v>264</v>
      </c>
      <c r="C735" s="7" t="s">
        <v>1034</v>
      </c>
      <c r="D735" s="7">
        <v>873</v>
      </c>
      <c r="E735" s="7" t="s">
        <v>641</v>
      </c>
      <c r="F735" s="9">
        <f t="shared" si="11"/>
        <v>30366107</v>
      </c>
      <c r="G735" s="9">
        <f>VLOOKUP(A735, localcont!$D$10:$L$1764, 8)</f>
        <v>731982.36468148604</v>
      </c>
      <c r="H735" s="109">
        <f>VLOOKUP(A735, localcont!$D$10:$L$1764, 9)*F735</f>
        <v>759420.06121034874</v>
      </c>
    </row>
    <row r="736" spans="1:8">
      <c r="A736" s="7">
        <v>1688</v>
      </c>
      <c r="B736" s="7">
        <v>338</v>
      </c>
      <c r="C736" s="7" t="s">
        <v>1116</v>
      </c>
      <c r="D736" s="7">
        <v>873</v>
      </c>
      <c r="E736" s="7" t="s">
        <v>641</v>
      </c>
      <c r="F736" s="9">
        <f t="shared" si="11"/>
        <v>30366107</v>
      </c>
      <c r="G736" s="9">
        <f>VLOOKUP(A736, localcont!$D$10:$L$1764, 8)</f>
        <v>2244745.9183834512</v>
      </c>
      <c r="H736" s="109">
        <f>VLOOKUP(A736, localcont!$D$10:$L$1764, 9)*F736</f>
        <v>2715980.1455911454</v>
      </c>
    </row>
    <row r="737" spans="1:8">
      <c r="A737" s="7">
        <v>82</v>
      </c>
      <c r="B737" s="7">
        <v>17</v>
      </c>
      <c r="C737" s="7" t="s">
        <v>20</v>
      </c>
      <c r="D737" s="7">
        <v>876</v>
      </c>
      <c r="E737" s="7" t="s">
        <v>642</v>
      </c>
      <c r="F737" s="9">
        <f t="shared" si="11"/>
        <v>30366107</v>
      </c>
      <c r="G737" s="9">
        <f>VLOOKUP(A737, localcont!$D$10:$L$1764, 8)</f>
        <v>1457115.649932211</v>
      </c>
      <c r="H737" s="109">
        <f>VLOOKUP(A737, localcont!$D$10:$L$1764, 9)*F737</f>
        <v>1733700.8144190575</v>
      </c>
    </row>
    <row r="738" spans="1:8">
      <c r="A738" s="7">
        <v>268</v>
      </c>
      <c r="B738" s="7">
        <v>54</v>
      </c>
      <c r="C738" s="7" t="s">
        <v>714</v>
      </c>
      <c r="D738" s="7">
        <v>876</v>
      </c>
      <c r="E738" s="7" t="s">
        <v>642</v>
      </c>
      <c r="F738" s="9">
        <f t="shared" si="11"/>
        <v>30366107</v>
      </c>
      <c r="G738" s="9">
        <f>VLOOKUP(A738, localcont!$D$10:$L$1764, 8)</f>
        <v>2692496.3095863843</v>
      </c>
      <c r="H738" s="109">
        <f>VLOOKUP(A738, localcont!$D$10:$L$1764, 9)*F738</f>
        <v>3623261.1683173585</v>
      </c>
    </row>
    <row r="739" spans="1:8">
      <c r="A739" s="7">
        <v>398</v>
      </c>
      <c r="B739" s="7">
        <v>80</v>
      </c>
      <c r="C739" s="7" t="s">
        <v>763</v>
      </c>
      <c r="D739" s="7">
        <v>876</v>
      </c>
      <c r="E739" s="7" t="s">
        <v>642</v>
      </c>
      <c r="F739" s="9">
        <f t="shared" si="11"/>
        <v>30366107</v>
      </c>
      <c r="G739" s="9">
        <f>VLOOKUP(A739, localcont!$D$10:$L$1764, 8)</f>
        <v>1932262.0574636089</v>
      </c>
      <c r="H739" s="109">
        <f>VLOOKUP(A739, localcont!$D$10:$L$1764, 9)*F739</f>
        <v>2956371.6263439148</v>
      </c>
    </row>
    <row r="740" spans="1:8">
      <c r="A740" s="7">
        <v>1072</v>
      </c>
      <c r="B740" s="7">
        <v>215</v>
      </c>
      <c r="C740" s="7" t="s">
        <v>962</v>
      </c>
      <c r="D740" s="7">
        <v>876</v>
      </c>
      <c r="E740" s="7" t="s">
        <v>642</v>
      </c>
      <c r="F740" s="9">
        <f t="shared" si="11"/>
        <v>30366107</v>
      </c>
      <c r="G740" s="9">
        <f>VLOOKUP(A740, localcont!$D$10:$L$1764, 8)</f>
        <v>712719.61129709682</v>
      </c>
      <c r="H740" s="109">
        <f>VLOOKUP(A740, localcont!$D$10:$L$1764, 9)*F740</f>
        <v>3130983.9784550765</v>
      </c>
    </row>
    <row r="741" spans="1:8">
      <c r="A741" s="7">
        <v>1127</v>
      </c>
      <c r="B741" s="7">
        <v>226</v>
      </c>
      <c r="C741" s="7" t="s">
        <v>985</v>
      </c>
      <c r="D741" s="7">
        <v>876</v>
      </c>
      <c r="E741" s="7" t="s">
        <v>642</v>
      </c>
      <c r="F741" s="9">
        <f t="shared" si="11"/>
        <v>30366107</v>
      </c>
      <c r="G741" s="9">
        <f>VLOOKUP(A741, localcont!$D$10:$L$1764, 8)</f>
        <v>2629143.4552730443</v>
      </c>
      <c r="H741" s="109">
        <f>VLOOKUP(A741, localcont!$D$10:$L$1764, 9)*F741</f>
        <v>3750413.3408947289</v>
      </c>
    </row>
    <row r="742" spans="1:8">
      <c r="A742" s="7">
        <v>1138</v>
      </c>
      <c r="B742" s="7">
        <v>228</v>
      </c>
      <c r="C742" s="7" t="s">
        <v>987</v>
      </c>
      <c r="D742" s="7">
        <v>876</v>
      </c>
      <c r="E742" s="7" t="s">
        <v>642</v>
      </c>
      <c r="F742" s="9">
        <f t="shared" si="11"/>
        <v>30366107</v>
      </c>
      <c r="G742" s="9">
        <f>VLOOKUP(A742, localcont!$D$10:$L$1764, 8)</f>
        <v>253411.41743470772</v>
      </c>
      <c r="H742" s="109">
        <f>VLOOKUP(A742, localcont!$D$10:$L$1764, 9)*F742</f>
        <v>1107068.2070714631</v>
      </c>
    </row>
    <row r="743" spans="1:8">
      <c r="A743" s="7">
        <v>1283</v>
      </c>
      <c r="B743" s="7">
        <v>257</v>
      </c>
      <c r="C743" s="7" t="s">
        <v>1027</v>
      </c>
      <c r="D743" s="7">
        <v>876</v>
      </c>
      <c r="E743" s="7" t="s">
        <v>642</v>
      </c>
      <c r="F743" s="9">
        <f t="shared" si="11"/>
        <v>30366107</v>
      </c>
      <c r="G743" s="9">
        <f>VLOOKUP(A743, localcont!$D$10:$L$1764, 8)</f>
        <v>522661.04835707659</v>
      </c>
      <c r="H743" s="109">
        <f>VLOOKUP(A743, localcont!$D$10:$L$1764, 9)*F743</f>
        <v>979738.91749557678</v>
      </c>
    </row>
    <row r="744" spans="1:8">
      <c r="A744" s="7">
        <v>1382</v>
      </c>
      <c r="B744" s="7">
        <v>277</v>
      </c>
      <c r="C744" s="7" t="s">
        <v>1053</v>
      </c>
      <c r="D744" s="7">
        <v>876</v>
      </c>
      <c r="E744" s="7" t="s">
        <v>642</v>
      </c>
      <c r="F744" s="9">
        <f t="shared" si="11"/>
        <v>30366107</v>
      </c>
      <c r="G744" s="9">
        <f>VLOOKUP(A744, localcont!$D$10:$L$1764, 8)</f>
        <v>3025098.7948220936</v>
      </c>
      <c r="H744" s="109">
        <f>VLOOKUP(A744, localcont!$D$10:$L$1764, 9)*F744</f>
        <v>2913520.3692708467</v>
      </c>
    </row>
    <row r="745" spans="1:8">
      <c r="A745" s="7">
        <v>1398</v>
      </c>
      <c r="B745" s="7">
        <v>280</v>
      </c>
      <c r="C745" s="7" t="s">
        <v>1057</v>
      </c>
      <c r="D745" s="7">
        <v>876</v>
      </c>
      <c r="E745" s="7" t="s">
        <v>642</v>
      </c>
      <c r="F745" s="9">
        <f t="shared" si="11"/>
        <v>30366107</v>
      </c>
      <c r="G745" s="9">
        <f>VLOOKUP(A745, localcont!$D$10:$L$1764, 8)</f>
        <v>2470761.3193083471</v>
      </c>
      <c r="H745" s="109">
        <f>VLOOKUP(A745, localcont!$D$10:$L$1764, 9)*F745</f>
        <v>4401908.0026750974</v>
      </c>
    </row>
    <row r="746" spans="1:8">
      <c r="A746" s="7">
        <v>1577</v>
      </c>
      <c r="B746" s="7">
        <v>316</v>
      </c>
      <c r="C746" s="7" t="s">
        <v>1094</v>
      </c>
      <c r="D746" s="7">
        <v>876</v>
      </c>
      <c r="E746" s="7" t="s">
        <v>642</v>
      </c>
      <c r="F746" s="9">
        <f t="shared" si="11"/>
        <v>30366107</v>
      </c>
      <c r="G746" s="9">
        <f>VLOOKUP(A746, localcont!$D$10:$L$1764, 8)</f>
        <v>2439084.892151677</v>
      </c>
      <c r="H746" s="109">
        <f>VLOOKUP(A746, localcont!$D$10:$L$1764, 9)*F746</f>
        <v>2978696.4054255038</v>
      </c>
    </row>
    <row r="747" spans="1:8">
      <c r="A747" s="7">
        <v>502</v>
      </c>
      <c r="B747" s="7">
        <v>101</v>
      </c>
      <c r="C747" s="7" t="s">
        <v>788</v>
      </c>
      <c r="D747" s="7">
        <v>878</v>
      </c>
      <c r="E747" s="7" t="s">
        <v>643</v>
      </c>
      <c r="F747" s="9">
        <f t="shared" si="11"/>
        <v>30366107</v>
      </c>
      <c r="G747" s="9">
        <f>VLOOKUP(A747, localcont!$D$10:$L$1764, 8)</f>
        <v>3365966.79098754</v>
      </c>
      <c r="H747" s="109">
        <f>VLOOKUP(A747, localcont!$D$10:$L$1764, 9)*F747</f>
        <v>1683527.807244048</v>
      </c>
    </row>
    <row r="748" spans="1:8">
      <c r="A748" s="7">
        <v>872</v>
      </c>
      <c r="B748" s="7">
        <v>175</v>
      </c>
      <c r="C748" s="7" t="s">
        <v>911</v>
      </c>
      <c r="D748" s="7">
        <v>878</v>
      </c>
      <c r="E748" s="7" t="s">
        <v>643</v>
      </c>
      <c r="F748" s="9">
        <f t="shared" si="11"/>
        <v>30366107</v>
      </c>
      <c r="G748" s="9">
        <f>VLOOKUP(A748, localcont!$D$10:$L$1764, 8)</f>
        <v>180612.85218544785</v>
      </c>
      <c r="H748" s="109">
        <f>VLOOKUP(A748, localcont!$D$10:$L$1764, 9)*F748</f>
        <v>227922.2806811881</v>
      </c>
    </row>
    <row r="749" spans="1:8">
      <c r="A749" s="7">
        <v>882</v>
      </c>
      <c r="B749" s="7">
        <v>177</v>
      </c>
      <c r="C749" s="7" t="s">
        <v>915</v>
      </c>
      <c r="D749" s="7">
        <v>878</v>
      </c>
      <c r="E749" s="7" t="s">
        <v>643</v>
      </c>
      <c r="F749" s="9">
        <f t="shared" si="11"/>
        <v>30366107</v>
      </c>
      <c r="G749" s="9">
        <f>VLOOKUP(A749, localcont!$D$10:$L$1764, 8)</f>
        <v>1017999.7124185996</v>
      </c>
      <c r="H749" s="109">
        <f>VLOOKUP(A749, localcont!$D$10:$L$1764, 9)*F749</f>
        <v>1335612.7890759502</v>
      </c>
    </row>
    <row r="750" spans="1:8">
      <c r="A750" s="7">
        <v>932</v>
      </c>
      <c r="B750" s="7">
        <v>187</v>
      </c>
      <c r="C750" s="7" t="s">
        <v>926</v>
      </c>
      <c r="D750" s="7">
        <v>878</v>
      </c>
      <c r="E750" s="7" t="s">
        <v>643</v>
      </c>
      <c r="F750" s="9">
        <f t="shared" si="11"/>
        <v>30366107</v>
      </c>
      <c r="G750" s="9">
        <f>VLOOKUP(A750, localcont!$D$10:$L$1764, 8)</f>
        <v>574677.25698244653</v>
      </c>
      <c r="H750" s="109">
        <f>VLOOKUP(A750, localcont!$D$10:$L$1764, 9)*F750</f>
        <v>1413628.1292045889</v>
      </c>
    </row>
    <row r="751" spans="1:8">
      <c r="A751" s="7">
        <v>1038</v>
      </c>
      <c r="B751" s="7">
        <v>208</v>
      </c>
      <c r="C751" s="7" t="s">
        <v>951</v>
      </c>
      <c r="D751" s="7">
        <v>878</v>
      </c>
      <c r="E751" s="7" t="s">
        <v>643</v>
      </c>
      <c r="F751" s="9">
        <f t="shared" si="11"/>
        <v>30366107</v>
      </c>
      <c r="G751" s="9">
        <f>VLOOKUP(A751, localcont!$D$10:$L$1764, 8)</f>
        <v>525419.20634329214</v>
      </c>
      <c r="H751" s="109">
        <f>VLOOKUP(A751, localcont!$D$10:$L$1764, 9)*F751</f>
        <v>975032.3288256356</v>
      </c>
    </row>
    <row r="752" spans="1:8">
      <c r="A752" s="7">
        <v>1057</v>
      </c>
      <c r="B752" s="7">
        <v>212</v>
      </c>
      <c r="C752" s="7" t="s">
        <v>958</v>
      </c>
      <c r="D752" s="7">
        <v>878</v>
      </c>
      <c r="E752" s="7" t="s">
        <v>643</v>
      </c>
      <c r="F752" s="9">
        <f t="shared" si="11"/>
        <v>30366107</v>
      </c>
      <c r="G752" s="9">
        <f>VLOOKUP(A752, localcont!$D$10:$L$1764, 8)</f>
        <v>5730353.2197695319</v>
      </c>
      <c r="H752" s="109">
        <f>VLOOKUP(A752, localcont!$D$10:$L$1764, 9)*F752</f>
        <v>3618219.3354563536</v>
      </c>
    </row>
    <row r="753" spans="1:8">
      <c r="A753" s="7">
        <v>1188</v>
      </c>
      <c r="B753" s="7">
        <v>238</v>
      </c>
      <c r="C753" s="7" t="s">
        <v>1008</v>
      </c>
      <c r="D753" s="7">
        <v>878</v>
      </c>
      <c r="E753" s="7" t="s">
        <v>643</v>
      </c>
      <c r="F753" s="9">
        <f t="shared" si="11"/>
        <v>30366107</v>
      </c>
      <c r="G753" s="9">
        <f>VLOOKUP(A753, localcont!$D$10:$L$1764, 8)</f>
        <v>1494160.8681227374</v>
      </c>
      <c r="H753" s="109">
        <f>VLOOKUP(A753, localcont!$D$10:$L$1764, 9)*F753</f>
        <v>3263083.8022557395</v>
      </c>
    </row>
    <row r="754" spans="1:8">
      <c r="A754" s="7">
        <v>1322</v>
      </c>
      <c r="B754" s="7">
        <v>265</v>
      </c>
      <c r="C754" s="7" t="s">
        <v>1035</v>
      </c>
      <c r="D754" s="7">
        <v>878</v>
      </c>
      <c r="E754" s="7" t="s">
        <v>643</v>
      </c>
      <c r="F754" s="9">
        <f t="shared" si="11"/>
        <v>30366107</v>
      </c>
      <c r="G754" s="9">
        <f>VLOOKUP(A754, localcont!$D$10:$L$1764, 8)</f>
        <v>1362806.0665764438</v>
      </c>
      <c r="H754" s="109">
        <f>VLOOKUP(A754, localcont!$D$10:$L$1764, 9)*F754</f>
        <v>2052598.3777936141</v>
      </c>
    </row>
    <row r="755" spans="1:8">
      <c r="A755" s="7">
        <v>1343</v>
      </c>
      <c r="B755" s="7">
        <v>269</v>
      </c>
      <c r="C755" s="7" t="s">
        <v>1039</v>
      </c>
      <c r="D755" s="7">
        <v>878</v>
      </c>
      <c r="E755" s="7" t="s">
        <v>643</v>
      </c>
      <c r="F755" s="9">
        <f t="shared" si="11"/>
        <v>30366107</v>
      </c>
      <c r="G755" s="9">
        <f>VLOOKUP(A755, localcont!$D$10:$L$1764, 8)</f>
        <v>0</v>
      </c>
      <c r="H755" s="109">
        <f>VLOOKUP(A755, localcont!$D$10:$L$1764, 9)*F755</f>
        <v>0</v>
      </c>
    </row>
    <row r="756" spans="1:8">
      <c r="A756" s="7">
        <v>1532</v>
      </c>
      <c r="B756" s="7">
        <v>307</v>
      </c>
      <c r="C756" s="7" t="s">
        <v>1084</v>
      </c>
      <c r="D756" s="7">
        <v>878</v>
      </c>
      <c r="E756" s="7" t="s">
        <v>643</v>
      </c>
      <c r="F756" s="9">
        <f t="shared" si="11"/>
        <v>30366107</v>
      </c>
      <c r="G756" s="9">
        <f>VLOOKUP(A756, localcont!$D$10:$L$1764, 8)</f>
        <v>788128.80959399731</v>
      </c>
      <c r="H756" s="109">
        <f>VLOOKUP(A756, localcont!$D$10:$L$1764, 9)*F756</f>
        <v>627811.32056594244</v>
      </c>
    </row>
    <row r="757" spans="1:8">
      <c r="A757" s="7">
        <v>1748</v>
      </c>
      <c r="B757" s="7">
        <v>350</v>
      </c>
      <c r="C757" s="7" t="s">
        <v>1128</v>
      </c>
      <c r="D757" s="7">
        <v>878</v>
      </c>
      <c r="E757" s="7" t="s">
        <v>643</v>
      </c>
      <c r="F757" s="9">
        <f t="shared" si="11"/>
        <v>30366107</v>
      </c>
      <c r="G757" s="9">
        <f>VLOOKUP(A757, localcont!$D$10:$L$1764, 8)</f>
        <v>771709.45938094589</v>
      </c>
      <c r="H757" s="109">
        <f>VLOOKUP(A757, localcont!$D$10:$L$1764, 9)*F757</f>
        <v>1294175.1599093319</v>
      </c>
    </row>
    <row r="758" spans="1:8">
      <c r="A758" s="7">
        <v>177</v>
      </c>
      <c r="B758" s="7">
        <v>36</v>
      </c>
      <c r="C758" s="7" t="s">
        <v>686</v>
      </c>
      <c r="D758" s="7">
        <v>879</v>
      </c>
      <c r="E758" s="7" t="s">
        <v>644</v>
      </c>
      <c r="F758" s="9">
        <f t="shared" si="11"/>
        <v>30366107</v>
      </c>
      <c r="G758" s="9">
        <f>VLOOKUP(A758, localcont!$D$10:$L$1764, 8)</f>
        <v>3050536.2949931249</v>
      </c>
      <c r="H758" s="109">
        <f>VLOOKUP(A758, localcont!$D$10:$L$1764, 9)*F758</f>
        <v>4006874.5919365077</v>
      </c>
    </row>
    <row r="759" spans="1:8">
      <c r="A759" s="7">
        <v>477</v>
      </c>
      <c r="B759" s="7">
        <v>96</v>
      </c>
      <c r="C759" s="7" t="s">
        <v>783</v>
      </c>
      <c r="D759" s="7">
        <v>879</v>
      </c>
      <c r="E759" s="7" t="s">
        <v>644</v>
      </c>
      <c r="F759" s="9">
        <f t="shared" si="11"/>
        <v>30366107</v>
      </c>
      <c r="G759" s="9">
        <f>VLOOKUP(A759, localcont!$D$10:$L$1764, 8)</f>
        <v>2405835.3254903029</v>
      </c>
      <c r="H759" s="109">
        <f>VLOOKUP(A759, localcont!$D$10:$L$1764, 9)*F759</f>
        <v>1913349.3115443115</v>
      </c>
    </row>
    <row r="760" spans="1:8">
      <c r="A760" s="7">
        <v>843</v>
      </c>
      <c r="B760" s="7">
        <v>169</v>
      </c>
      <c r="C760" s="7" t="s">
        <v>904</v>
      </c>
      <c r="D760" s="7">
        <v>879</v>
      </c>
      <c r="E760" s="7" t="s">
        <v>644</v>
      </c>
      <c r="F760" s="9">
        <f t="shared" si="11"/>
        <v>30366107</v>
      </c>
      <c r="G760" s="9">
        <f>VLOOKUP(A760, localcont!$D$10:$L$1764, 8)</f>
        <v>283039.45000292471</v>
      </c>
      <c r="H760" s="109">
        <f>VLOOKUP(A760, localcont!$D$10:$L$1764, 9)*F760</f>
        <v>1074305.7750570271</v>
      </c>
    </row>
    <row r="761" spans="1:8">
      <c r="A761" s="7">
        <v>1302</v>
      </c>
      <c r="B761" s="7">
        <v>261</v>
      </c>
      <c r="C761" s="7" t="s">
        <v>1031</v>
      </c>
      <c r="D761" s="7">
        <v>879</v>
      </c>
      <c r="E761" s="7" t="s">
        <v>644</v>
      </c>
      <c r="F761" s="9">
        <f t="shared" si="11"/>
        <v>30366107</v>
      </c>
      <c r="G761" s="9">
        <f>VLOOKUP(A761, localcont!$D$10:$L$1764, 8)</f>
        <v>1981276.150369555</v>
      </c>
      <c r="H761" s="109">
        <f>VLOOKUP(A761, localcont!$D$10:$L$1764, 9)*F761</f>
        <v>1997267.387293274</v>
      </c>
    </row>
    <row r="762" spans="1:8">
      <c r="A762" s="7">
        <v>1547</v>
      </c>
      <c r="B762" s="7">
        <v>310</v>
      </c>
      <c r="C762" s="7" t="s">
        <v>1087</v>
      </c>
      <c r="D762" s="7">
        <v>879</v>
      </c>
      <c r="E762" s="7" t="s">
        <v>644</v>
      </c>
      <c r="F762" s="9">
        <f t="shared" si="11"/>
        <v>30366107</v>
      </c>
      <c r="G762" s="9">
        <f>VLOOKUP(A762, localcont!$D$10:$L$1764, 8)</f>
        <v>3915379.059110743</v>
      </c>
      <c r="H762" s="109">
        <f>VLOOKUP(A762, localcont!$D$10:$L$1764, 9)*F762</f>
        <v>3459897.3106028079</v>
      </c>
    </row>
    <row r="763" spans="1:8">
      <c r="A763" s="7">
        <v>32</v>
      </c>
      <c r="B763" s="7">
        <v>7</v>
      </c>
      <c r="C763" s="7" t="s">
        <v>1</v>
      </c>
      <c r="D763" s="7">
        <v>885</v>
      </c>
      <c r="E763" s="7" t="s">
        <v>645</v>
      </c>
      <c r="F763" s="9">
        <f t="shared" si="11"/>
        <v>30366107</v>
      </c>
      <c r="G763" s="9">
        <f>VLOOKUP(A763, localcont!$D$10:$L$1764, 8)</f>
        <v>1141685.3913760227</v>
      </c>
      <c r="H763" s="109">
        <f>VLOOKUP(A763, localcont!$D$10:$L$1764, 9)*F763</f>
        <v>1489269.8506130842</v>
      </c>
    </row>
    <row r="764" spans="1:8">
      <c r="A764" s="7">
        <v>522</v>
      </c>
      <c r="B764" s="7">
        <v>105</v>
      </c>
      <c r="C764" s="7" t="s">
        <v>794</v>
      </c>
      <c r="D764" s="7">
        <v>885</v>
      </c>
      <c r="E764" s="7" t="s">
        <v>645</v>
      </c>
      <c r="F764" s="9">
        <f t="shared" si="11"/>
        <v>30366107</v>
      </c>
      <c r="G764" s="9">
        <f>VLOOKUP(A764, localcont!$D$10:$L$1764, 8)</f>
        <v>675363.18934540916</v>
      </c>
      <c r="H764" s="109">
        <f>VLOOKUP(A764, localcont!$D$10:$L$1764, 9)*F764</f>
        <v>1525102.9833124662</v>
      </c>
    </row>
    <row r="765" spans="1:8">
      <c r="A765" s="7">
        <v>578</v>
      </c>
      <c r="B765" s="7">
        <v>116</v>
      </c>
      <c r="C765" s="7" t="s">
        <v>807</v>
      </c>
      <c r="D765" s="7">
        <v>885</v>
      </c>
      <c r="E765" s="7" t="s">
        <v>645</v>
      </c>
      <c r="F765" s="9">
        <f t="shared" si="11"/>
        <v>30366107</v>
      </c>
      <c r="G765" s="9">
        <f>VLOOKUP(A765, localcont!$D$10:$L$1764, 8)</f>
        <v>1109525.2395118426</v>
      </c>
      <c r="H765" s="109">
        <f>VLOOKUP(A765, localcont!$D$10:$L$1764, 9)*F765</f>
        <v>3366873.6735129077</v>
      </c>
    </row>
    <row r="766" spans="1:8">
      <c r="A766" s="7">
        <v>637</v>
      </c>
      <c r="B766" s="7">
        <v>128</v>
      </c>
      <c r="C766" s="7" t="s">
        <v>824</v>
      </c>
      <c r="D766" s="7">
        <v>885</v>
      </c>
      <c r="E766" s="7" t="s">
        <v>645</v>
      </c>
      <c r="F766" s="9">
        <f t="shared" si="11"/>
        <v>30366107</v>
      </c>
      <c r="G766" s="9">
        <f>VLOOKUP(A766, localcont!$D$10:$L$1764, 8)</f>
        <v>12944461.12730879</v>
      </c>
      <c r="H766" s="109">
        <f>VLOOKUP(A766, localcont!$D$10:$L$1764, 9)*F766</f>
        <v>3762248.1364245722</v>
      </c>
    </row>
    <row r="767" spans="1:8">
      <c r="A767" s="7">
        <v>717</v>
      </c>
      <c r="B767" s="7">
        <v>144</v>
      </c>
      <c r="C767" s="7" t="s">
        <v>841</v>
      </c>
      <c r="D767" s="7">
        <v>885</v>
      </c>
      <c r="E767" s="7" t="s">
        <v>645</v>
      </c>
      <c r="F767" s="9">
        <f t="shared" si="11"/>
        <v>30366107</v>
      </c>
      <c r="G767" s="9">
        <f>VLOOKUP(A767, localcont!$D$10:$L$1764, 8)</f>
        <v>450242.12609852344</v>
      </c>
      <c r="H767" s="109">
        <f>VLOOKUP(A767, localcont!$D$10:$L$1764, 9)*F767</f>
        <v>758070.91006993968</v>
      </c>
    </row>
    <row r="768" spans="1:8">
      <c r="A768" s="7">
        <v>898</v>
      </c>
      <c r="B768" s="7">
        <v>180</v>
      </c>
      <c r="C768" s="7" t="s">
        <v>919</v>
      </c>
      <c r="D768" s="7">
        <v>885</v>
      </c>
      <c r="E768" s="7" t="s">
        <v>645</v>
      </c>
      <c r="F768" s="9">
        <f t="shared" si="11"/>
        <v>30366107</v>
      </c>
      <c r="G768" s="9">
        <f>VLOOKUP(A768, localcont!$D$10:$L$1764, 8)</f>
        <v>1109525.2395118426</v>
      </c>
      <c r="H768" s="109">
        <f>VLOOKUP(A768, localcont!$D$10:$L$1764, 9)*F768</f>
        <v>3659369.9829394519</v>
      </c>
    </row>
    <row r="769" spans="1:8">
      <c r="A769" s="7">
        <v>1013</v>
      </c>
      <c r="B769" s="7">
        <v>203</v>
      </c>
      <c r="C769" s="7" t="s">
        <v>943</v>
      </c>
      <c r="D769" s="7">
        <v>885</v>
      </c>
      <c r="E769" s="7" t="s">
        <v>645</v>
      </c>
      <c r="F769" s="9">
        <f t="shared" si="11"/>
        <v>30366107</v>
      </c>
      <c r="G769" s="9">
        <f>VLOOKUP(A769, localcont!$D$10:$L$1764, 8)</f>
        <v>434162.05016643327</v>
      </c>
      <c r="H769" s="109">
        <f>VLOOKUP(A769, localcont!$D$10:$L$1764, 9)*F769</f>
        <v>1718697.5328278355</v>
      </c>
    </row>
    <row r="770" spans="1:8">
      <c r="A770" s="7">
        <v>1017</v>
      </c>
      <c r="B770" s="7">
        <v>204</v>
      </c>
      <c r="C770" s="7" t="s">
        <v>945</v>
      </c>
      <c r="D770" s="7">
        <v>885</v>
      </c>
      <c r="E770" s="7" t="s">
        <v>645</v>
      </c>
      <c r="F770" s="9">
        <f t="shared" si="11"/>
        <v>30366107</v>
      </c>
      <c r="G770" s="9">
        <f>VLOOKUP(A770, localcont!$D$10:$L$1764, 8)</f>
        <v>514562.42982688395</v>
      </c>
      <c r="H770" s="109">
        <f>VLOOKUP(A770, localcont!$D$10:$L$1764, 9)*F770</f>
        <v>676806.1556544886</v>
      </c>
    </row>
    <row r="771" spans="1:8">
      <c r="A771" s="7">
        <v>1268</v>
      </c>
      <c r="B771" s="7">
        <v>254</v>
      </c>
      <c r="C771" s="7" t="s">
        <v>1024</v>
      </c>
      <c r="D771" s="7">
        <v>885</v>
      </c>
      <c r="E771" s="7" t="s">
        <v>645</v>
      </c>
      <c r="F771" s="9">
        <f t="shared" si="11"/>
        <v>30366107</v>
      </c>
      <c r="G771" s="9">
        <f>VLOOKUP(A771, localcont!$D$10:$L$1764, 8)</f>
        <v>305521.44270971231</v>
      </c>
      <c r="H771" s="109">
        <f>VLOOKUP(A771, localcont!$D$10:$L$1764, 9)*F771</f>
        <v>1104190.0038343063</v>
      </c>
    </row>
    <row r="772" spans="1:8">
      <c r="A772" s="7">
        <v>1293</v>
      </c>
      <c r="B772" s="7">
        <v>259</v>
      </c>
      <c r="C772" s="7" t="s">
        <v>1029</v>
      </c>
      <c r="D772" s="7">
        <v>885</v>
      </c>
      <c r="E772" s="7" t="s">
        <v>645</v>
      </c>
      <c r="F772" s="9">
        <f t="shared" si="11"/>
        <v>30366107</v>
      </c>
      <c r="G772" s="9">
        <f>VLOOKUP(A772, localcont!$D$10:$L$1764, 8)</f>
        <v>707523.3412095895</v>
      </c>
      <c r="H772" s="109">
        <f>VLOOKUP(A772, localcont!$D$10:$L$1764, 9)*F772</f>
        <v>2160782.0549558261</v>
      </c>
    </row>
    <row r="773" spans="1:8">
      <c r="A773" s="7">
        <v>1643</v>
      </c>
      <c r="B773" s="7">
        <v>329</v>
      </c>
      <c r="C773" s="7" t="s">
        <v>1107</v>
      </c>
      <c r="D773" s="7">
        <v>885</v>
      </c>
      <c r="E773" s="7" t="s">
        <v>645</v>
      </c>
      <c r="F773" s="9">
        <f t="shared" si="11"/>
        <v>30366107</v>
      </c>
      <c r="G773" s="9">
        <f>VLOOKUP(A773, localcont!$D$10:$L$1764, 8)</f>
        <v>369841.74643807282</v>
      </c>
      <c r="H773" s="109">
        <f>VLOOKUP(A773, localcont!$D$10:$L$1764, 9)*F773</f>
        <v>1770365.112850287</v>
      </c>
    </row>
    <row r="774" spans="1:8">
      <c r="A774" s="7">
        <v>13</v>
      </c>
      <c r="B774" s="7">
        <v>3</v>
      </c>
      <c r="C774" s="7" t="s">
        <v>1166</v>
      </c>
      <c r="D774" s="7">
        <v>910</v>
      </c>
      <c r="E774" s="7" t="s">
        <v>646</v>
      </c>
      <c r="F774" s="9">
        <f t="shared" si="11"/>
        <v>30366107</v>
      </c>
      <c r="G774" s="9">
        <f>VLOOKUP(A774, localcont!$D$10:$L$1764, 8)</f>
        <v>234256.97724740556</v>
      </c>
      <c r="H774" s="109">
        <f>VLOOKUP(A774, localcont!$D$10:$L$1764, 9)*F774</f>
        <v>505632.68482104864</v>
      </c>
    </row>
    <row r="775" spans="1:8">
      <c r="A775" s="7">
        <v>77</v>
      </c>
      <c r="B775" s="7">
        <v>16</v>
      </c>
      <c r="C775" s="7" t="s">
        <v>19</v>
      </c>
      <c r="D775" s="7">
        <v>910</v>
      </c>
      <c r="E775" s="7" t="s">
        <v>646</v>
      </c>
      <c r="F775" s="9">
        <f t="shared" si="11"/>
        <v>30366107</v>
      </c>
      <c r="G775" s="9">
        <f>VLOOKUP(A775, localcont!$D$10:$L$1764, 8)</f>
        <v>546599.61357727973</v>
      </c>
      <c r="H775" s="109">
        <f>VLOOKUP(A775, localcont!$D$10:$L$1764, 9)*F775</f>
        <v>236972.02655900968</v>
      </c>
    </row>
    <row r="776" spans="1:8">
      <c r="A776" s="7">
        <v>134</v>
      </c>
      <c r="B776" s="7">
        <v>27</v>
      </c>
      <c r="C776" s="7" t="s">
        <v>39</v>
      </c>
      <c r="D776" s="7">
        <v>910</v>
      </c>
      <c r="E776" s="7" t="s">
        <v>646</v>
      </c>
      <c r="F776" s="9">
        <f t="shared" si="11"/>
        <v>30366107</v>
      </c>
      <c r="G776" s="9">
        <f>VLOOKUP(A776, localcont!$D$10:$L$1764, 8)</f>
        <v>124937.05454481817</v>
      </c>
      <c r="H776" s="109">
        <f>VLOOKUP(A776, localcont!$D$10:$L$1764, 9)*F776</f>
        <v>316364.9584181995</v>
      </c>
    </row>
    <row r="777" spans="1:8">
      <c r="A777" s="7">
        <v>358</v>
      </c>
      <c r="B777" s="7">
        <v>72</v>
      </c>
      <c r="C777" s="7" t="s">
        <v>744</v>
      </c>
      <c r="D777" s="7">
        <v>910</v>
      </c>
      <c r="E777" s="7" t="s">
        <v>646</v>
      </c>
      <c r="F777" s="9">
        <f t="shared" si="11"/>
        <v>30366107</v>
      </c>
      <c r="G777" s="9">
        <f>VLOOKUP(A777, localcont!$D$10:$L$1764, 8)</f>
        <v>374811.16357011185</v>
      </c>
      <c r="H777" s="109">
        <f>VLOOKUP(A777, localcont!$D$10:$L$1764, 9)*F777</f>
        <v>273606.12940066337</v>
      </c>
    </row>
    <row r="778" spans="1:8">
      <c r="A778" s="7">
        <v>379</v>
      </c>
      <c r="B778" s="7">
        <v>76</v>
      </c>
      <c r="C778" s="7" t="s">
        <v>754</v>
      </c>
      <c r="D778" s="7">
        <v>910</v>
      </c>
      <c r="E778" s="7" t="s">
        <v>646</v>
      </c>
      <c r="F778" s="9">
        <f t="shared" ref="F778:F792" si="12">VLOOKUP(D778, town351, 7)</f>
        <v>30366107</v>
      </c>
      <c r="G778" s="9">
        <f>VLOOKUP(A778, localcont!$D$10:$L$1764, 8)</f>
        <v>406045.42725457338</v>
      </c>
      <c r="H778" s="109">
        <f>VLOOKUP(A778, localcont!$D$10:$L$1764, 9)*F778</f>
        <v>912588.31072336028</v>
      </c>
    </row>
    <row r="779" spans="1:8">
      <c r="A779" s="7">
        <v>438</v>
      </c>
      <c r="B779" s="7">
        <v>88</v>
      </c>
      <c r="C779" s="7" t="s">
        <v>773</v>
      </c>
      <c r="D779" s="7">
        <v>910</v>
      </c>
      <c r="E779" s="7" t="s">
        <v>646</v>
      </c>
      <c r="F779" s="9">
        <f t="shared" si="12"/>
        <v>30366107</v>
      </c>
      <c r="G779" s="9">
        <f>VLOOKUP(A779, localcont!$D$10:$L$1764, 8)</f>
        <v>78085.659082468526</v>
      </c>
      <c r="H779" s="109">
        <f>VLOOKUP(A779, localcont!$D$10:$L$1764, 9)*F779</f>
        <v>65406.821090456797</v>
      </c>
    </row>
    <row r="780" spans="1:8">
      <c r="A780" s="7">
        <v>468</v>
      </c>
      <c r="B780" s="7">
        <v>94</v>
      </c>
      <c r="C780" s="7" t="s">
        <v>780</v>
      </c>
      <c r="D780" s="7">
        <v>910</v>
      </c>
      <c r="E780" s="7" t="s">
        <v>646</v>
      </c>
      <c r="F780" s="9">
        <f t="shared" si="12"/>
        <v>30366107</v>
      </c>
      <c r="G780" s="9">
        <f>VLOOKUP(A780, localcont!$D$10:$L$1764, 8)</f>
        <v>296725.50448764331</v>
      </c>
      <c r="H780" s="109">
        <f>VLOOKUP(A780, localcont!$D$10:$L$1764, 9)*F780</f>
        <v>408275.8948202469</v>
      </c>
    </row>
    <row r="781" spans="1:8">
      <c r="A781" s="7">
        <v>473</v>
      </c>
      <c r="B781" s="7">
        <v>95</v>
      </c>
      <c r="C781" s="7" t="s">
        <v>781</v>
      </c>
      <c r="D781" s="7">
        <v>910</v>
      </c>
      <c r="E781" s="7" t="s">
        <v>646</v>
      </c>
      <c r="F781" s="9">
        <f t="shared" si="12"/>
        <v>30366107</v>
      </c>
      <c r="G781" s="9">
        <f>VLOOKUP(A781, localcont!$D$10:$L$1764, 8)</f>
        <v>874559.38174938445</v>
      </c>
      <c r="H781" s="109">
        <f>VLOOKUP(A781, localcont!$D$10:$L$1764, 9)*F781</f>
        <v>167385.85832881834</v>
      </c>
    </row>
    <row r="782" spans="1:8">
      <c r="A782" s="7">
        <v>508</v>
      </c>
      <c r="B782" s="7">
        <v>102</v>
      </c>
      <c r="C782" s="7" t="s">
        <v>790</v>
      </c>
      <c r="D782" s="7">
        <v>910</v>
      </c>
      <c r="E782" s="7" t="s">
        <v>646</v>
      </c>
      <c r="F782" s="9">
        <f t="shared" si="12"/>
        <v>30366107</v>
      </c>
      <c r="G782" s="9">
        <f>VLOOKUP(A782, localcont!$D$10:$L$1764, 8)</f>
        <v>156171.31816493705</v>
      </c>
      <c r="H782" s="109">
        <f>VLOOKUP(A782, localcont!$D$10:$L$1764, 9)*F782</f>
        <v>360823.13664234715</v>
      </c>
    </row>
    <row r="783" spans="1:8">
      <c r="A783" s="7">
        <v>833</v>
      </c>
      <c r="B783" s="7">
        <v>167</v>
      </c>
      <c r="C783" s="7" t="s">
        <v>902</v>
      </c>
      <c r="D783" s="7">
        <v>910</v>
      </c>
      <c r="E783" s="7" t="s">
        <v>646</v>
      </c>
      <c r="F783" s="9">
        <f t="shared" si="12"/>
        <v>30366107</v>
      </c>
      <c r="G783" s="9">
        <f>VLOOKUP(A783, localcont!$D$10:$L$1764, 8)</f>
        <v>46851.395462349632</v>
      </c>
      <c r="H783" s="109">
        <f>VLOOKUP(A783, localcont!$D$10:$L$1764, 9)*F783</f>
        <v>34161.102534550497</v>
      </c>
    </row>
    <row r="784" spans="1:8">
      <c r="A784" s="7">
        <v>1003</v>
      </c>
      <c r="B784" s="7">
        <v>201</v>
      </c>
      <c r="C784" s="7" t="s">
        <v>941</v>
      </c>
      <c r="D784" s="7">
        <v>910</v>
      </c>
      <c r="E784" s="7" t="s">
        <v>646</v>
      </c>
      <c r="F784" s="9">
        <f t="shared" si="12"/>
        <v>30366107</v>
      </c>
      <c r="G784" s="9">
        <f>VLOOKUP(A784, localcont!$D$10:$L$1764, 8)</f>
        <v>327959.76817210484</v>
      </c>
      <c r="H784" s="109">
        <f>VLOOKUP(A784, localcont!$D$10:$L$1764, 9)*F784</f>
        <v>51701.39962845757</v>
      </c>
    </row>
    <row r="785" spans="1:8">
      <c r="A785" s="7">
        <v>1058</v>
      </c>
      <c r="B785" s="7">
        <v>212</v>
      </c>
      <c r="C785" s="7" t="s">
        <v>958</v>
      </c>
      <c r="D785" s="7">
        <v>910</v>
      </c>
      <c r="E785" s="7" t="s">
        <v>646</v>
      </c>
      <c r="F785" s="9">
        <f t="shared" si="12"/>
        <v>30366107</v>
      </c>
      <c r="G785" s="9">
        <f>VLOOKUP(A785, localcont!$D$10:$L$1764, 8)</f>
        <v>156171.31816493705</v>
      </c>
      <c r="H785" s="109">
        <f>VLOOKUP(A785, localcont!$D$10:$L$1764, 9)*F785</f>
        <v>98608.595553697378</v>
      </c>
    </row>
    <row r="786" spans="1:8">
      <c r="A786" s="7">
        <v>1088</v>
      </c>
      <c r="B786" s="7">
        <v>218</v>
      </c>
      <c r="C786" s="7" t="s">
        <v>965</v>
      </c>
      <c r="D786" s="7">
        <v>910</v>
      </c>
      <c r="E786" s="7" t="s">
        <v>646</v>
      </c>
      <c r="F786" s="9">
        <f t="shared" si="12"/>
        <v>30366107</v>
      </c>
      <c r="G786" s="9">
        <f>VLOOKUP(A786, localcont!$D$10:$L$1764, 8)</f>
        <v>218639.8454051748</v>
      </c>
      <c r="H786" s="109">
        <f>VLOOKUP(A786, localcont!$D$10:$L$1764, 9)*F786</f>
        <v>252776.02603411069</v>
      </c>
    </row>
    <row r="787" spans="1:8">
      <c r="A787" s="7">
        <v>1224</v>
      </c>
      <c r="B787" s="7">
        <v>245</v>
      </c>
      <c r="C787" s="7" t="s">
        <v>1015</v>
      </c>
      <c r="D787" s="7">
        <v>910</v>
      </c>
      <c r="E787" s="7" t="s">
        <v>646</v>
      </c>
      <c r="F787" s="9">
        <f t="shared" si="12"/>
        <v>30366107</v>
      </c>
      <c r="G787" s="9">
        <f>VLOOKUP(A787, localcont!$D$10:$L$1764, 8)</f>
        <v>140554.18632270631</v>
      </c>
      <c r="H787" s="109">
        <f>VLOOKUP(A787, localcont!$D$10:$L$1764, 9)*F787</f>
        <v>179477.00515615987</v>
      </c>
    </row>
    <row r="788" spans="1:8">
      <c r="A788" s="7">
        <v>1234</v>
      </c>
      <c r="B788" s="7">
        <v>247</v>
      </c>
      <c r="C788" s="7" t="s">
        <v>1017</v>
      </c>
      <c r="D788" s="7">
        <v>910</v>
      </c>
      <c r="E788" s="7" t="s">
        <v>646</v>
      </c>
      <c r="F788" s="9">
        <f t="shared" si="12"/>
        <v>30366107</v>
      </c>
      <c r="G788" s="9">
        <f>VLOOKUP(A788, localcont!$D$10:$L$1764, 8)</f>
        <v>546599.61357727973</v>
      </c>
      <c r="H788" s="109">
        <f>VLOOKUP(A788, localcont!$D$10:$L$1764, 9)*F788</f>
        <v>921838.15169523784</v>
      </c>
    </row>
    <row r="789" spans="1:8">
      <c r="A789" s="7">
        <v>1323</v>
      </c>
      <c r="B789" s="7">
        <v>265</v>
      </c>
      <c r="C789" s="7" t="s">
        <v>1035</v>
      </c>
      <c r="D789" s="7">
        <v>910</v>
      </c>
      <c r="E789" s="7" t="s">
        <v>646</v>
      </c>
      <c r="F789" s="9">
        <f t="shared" si="12"/>
        <v>30366107</v>
      </c>
      <c r="G789" s="9">
        <f>VLOOKUP(A789, localcont!$D$10:$L$1764, 8)</f>
        <v>156171.31816493705</v>
      </c>
      <c r="H789" s="109">
        <f>VLOOKUP(A789, localcont!$D$10:$L$1764, 9)*F789</f>
        <v>235218.34998028984</v>
      </c>
    </row>
    <row r="790" spans="1:8">
      <c r="A790" s="7">
        <v>1364</v>
      </c>
      <c r="B790" s="7">
        <v>273</v>
      </c>
      <c r="C790" s="7" t="s">
        <v>1043</v>
      </c>
      <c r="D790" s="7">
        <v>910</v>
      </c>
      <c r="E790" s="7" t="s">
        <v>646</v>
      </c>
      <c r="F790" s="9">
        <f t="shared" si="12"/>
        <v>30366107</v>
      </c>
      <c r="G790" s="9">
        <f>VLOOKUP(A790, localcont!$D$10:$L$1764, 8)</f>
        <v>327959.76817210484</v>
      </c>
      <c r="H790" s="109">
        <f>VLOOKUP(A790, localcont!$D$10:$L$1764, 9)*F790</f>
        <v>371488.52053649025</v>
      </c>
    </row>
    <row r="791" spans="1:8">
      <c r="A791" s="7">
        <v>1458</v>
      </c>
      <c r="B791" s="7">
        <v>292</v>
      </c>
      <c r="C791" s="7" t="s">
        <v>1069</v>
      </c>
      <c r="D791" s="7">
        <v>910</v>
      </c>
      <c r="E791" s="7" t="s">
        <v>646</v>
      </c>
      <c r="F791" s="9">
        <f t="shared" si="12"/>
        <v>30366107</v>
      </c>
      <c r="G791" s="9">
        <f>VLOOKUP(A791, localcont!$D$10:$L$1764, 8)</f>
        <v>343576.89994999295</v>
      </c>
      <c r="H791" s="109">
        <f>VLOOKUP(A791, localcont!$D$10:$L$1764, 9)*F791</f>
        <v>458555.4068296387</v>
      </c>
    </row>
    <row r="792" spans="1:8">
      <c r="A792" s="7">
        <v>1463</v>
      </c>
      <c r="B792" s="7">
        <v>293</v>
      </c>
      <c r="C792" s="7" t="s">
        <v>1070</v>
      </c>
      <c r="D792" s="7">
        <v>910</v>
      </c>
      <c r="E792" s="7" t="s">
        <v>646</v>
      </c>
      <c r="F792" s="9">
        <f t="shared" si="12"/>
        <v>30366107</v>
      </c>
      <c r="G792" s="9">
        <f>VLOOKUP(A792, localcont!$D$10:$L$1764, 8)</f>
        <v>562216.74541951041</v>
      </c>
      <c r="H792" s="109">
        <f>VLOOKUP(A792, localcont!$D$10:$L$1764, 9)*F792</f>
        <v>169728.16660401347</v>
      </c>
    </row>
    <row r="793" spans="1:8">
      <c r="A793" s="7">
        <v>1653</v>
      </c>
      <c r="B793" s="7">
        <v>331</v>
      </c>
      <c r="C793" s="7" t="s">
        <v>1109</v>
      </c>
      <c r="D793" s="7">
        <v>910</v>
      </c>
      <c r="E793" s="7" t="s">
        <v>646</v>
      </c>
      <c r="F793" s="9">
        <f t="shared" ref="F793:F820" si="13">VLOOKUP(D793, town351, 7)</f>
        <v>30366107</v>
      </c>
      <c r="G793" s="9">
        <f>VLOOKUP(A793, localcont!$D$10:$L$1764, 8)</f>
        <v>515365.34995716077</v>
      </c>
      <c r="H793" s="109">
        <f>VLOOKUP(A793, localcont!$D$10:$L$1764, 9)*F793</f>
        <v>893925.28088340512</v>
      </c>
    </row>
    <row r="794" spans="1:8">
      <c r="A794" s="7">
        <v>88</v>
      </c>
      <c r="B794" s="7">
        <v>18</v>
      </c>
      <c r="C794" s="7" t="s">
        <v>22</v>
      </c>
      <c r="D794" s="7">
        <v>915</v>
      </c>
      <c r="E794" s="7" t="s">
        <v>647</v>
      </c>
      <c r="F794" s="9">
        <f t="shared" si="13"/>
        <v>30366107</v>
      </c>
      <c r="G794" s="9">
        <f>VLOOKUP(A794, localcont!$D$10:$L$1764, 8)</f>
        <v>32944.594694734602</v>
      </c>
      <c r="H794" s="109">
        <f>VLOOKUP(A794, localcont!$D$10:$L$1764, 9)*F794</f>
        <v>153347.91073820111</v>
      </c>
    </row>
    <row r="795" spans="1:8">
      <c r="A795" s="7">
        <v>123</v>
      </c>
      <c r="B795" s="7">
        <v>25</v>
      </c>
      <c r="C795" s="7" t="s">
        <v>36</v>
      </c>
      <c r="D795" s="7">
        <v>915</v>
      </c>
      <c r="E795" s="7" t="s">
        <v>647</v>
      </c>
      <c r="F795" s="9">
        <f t="shared" si="13"/>
        <v>30366107</v>
      </c>
      <c r="G795" s="9">
        <f>VLOOKUP(A795, localcont!$D$10:$L$1764, 8)</f>
        <v>181195.27086699803</v>
      </c>
      <c r="H795" s="109">
        <f>VLOOKUP(A795, localcont!$D$10:$L$1764, 9)*F795</f>
        <v>225424.50749308796</v>
      </c>
    </row>
    <row r="796" spans="1:8">
      <c r="A796" s="7">
        <v>198</v>
      </c>
      <c r="B796" s="7">
        <v>40</v>
      </c>
      <c r="C796" s="7" t="s">
        <v>694</v>
      </c>
      <c r="D796" s="7">
        <v>915</v>
      </c>
      <c r="E796" s="7" t="s">
        <v>647</v>
      </c>
      <c r="F796" s="9">
        <f t="shared" si="13"/>
        <v>30366107</v>
      </c>
      <c r="G796" s="9">
        <f>VLOOKUP(A796, localcont!$D$10:$L$1764, 8)</f>
        <v>181195.27086699803</v>
      </c>
      <c r="H796" s="109">
        <f>VLOOKUP(A796, localcont!$D$10:$L$1764, 9)*F796</f>
        <v>90221.826754080263</v>
      </c>
    </row>
    <row r="797" spans="1:8">
      <c r="A797" s="7">
        <v>227</v>
      </c>
      <c r="B797" s="7">
        <v>46</v>
      </c>
      <c r="C797" s="7" t="s">
        <v>704</v>
      </c>
      <c r="D797" s="7">
        <v>915</v>
      </c>
      <c r="E797" s="7" t="s">
        <v>647</v>
      </c>
      <c r="F797" s="9">
        <f t="shared" si="13"/>
        <v>30366107</v>
      </c>
      <c r="G797" s="9">
        <f>VLOOKUP(A797, localcont!$D$10:$L$1764, 8)</f>
        <v>0</v>
      </c>
      <c r="H797" s="109">
        <f>VLOOKUP(A797, localcont!$D$10:$L$1764, 9)*F797</f>
        <v>0</v>
      </c>
    </row>
    <row r="798" spans="1:8">
      <c r="A798" s="7">
        <v>248</v>
      </c>
      <c r="B798" s="7">
        <v>50</v>
      </c>
      <c r="C798" s="7" t="s">
        <v>708</v>
      </c>
      <c r="D798" s="7">
        <v>915</v>
      </c>
      <c r="E798" s="7" t="s">
        <v>647</v>
      </c>
      <c r="F798" s="9">
        <f t="shared" si="13"/>
        <v>30366107</v>
      </c>
      <c r="G798" s="9">
        <f>VLOOKUP(A798, localcont!$D$10:$L$1764, 8)</f>
        <v>115306.0814315711</v>
      </c>
      <c r="H798" s="109">
        <f>VLOOKUP(A798, localcont!$D$10:$L$1764, 9)*F798</f>
        <v>100175.14344904845</v>
      </c>
    </row>
    <row r="799" spans="1:8">
      <c r="A799" s="7">
        <v>323</v>
      </c>
      <c r="B799" s="7">
        <v>65</v>
      </c>
      <c r="C799" s="7" t="s">
        <v>736</v>
      </c>
      <c r="D799" s="7">
        <v>915</v>
      </c>
      <c r="E799" s="7" t="s">
        <v>647</v>
      </c>
      <c r="F799" s="9">
        <f t="shared" si="13"/>
        <v>30366107</v>
      </c>
      <c r="G799" s="9">
        <f>VLOOKUP(A799, localcont!$D$10:$L$1764, 8)</f>
        <v>16472.297347367301</v>
      </c>
      <c r="H799" s="109">
        <f>VLOOKUP(A799, localcont!$D$10:$L$1764, 9)*F799</f>
        <v>34598.643058895184</v>
      </c>
    </row>
    <row r="800" spans="1:8">
      <c r="A800" s="7">
        <v>363</v>
      </c>
      <c r="B800" s="7">
        <v>73</v>
      </c>
      <c r="C800" s="7" t="s">
        <v>746</v>
      </c>
      <c r="D800" s="7">
        <v>915</v>
      </c>
      <c r="E800" s="7" t="s">
        <v>647</v>
      </c>
      <c r="F800" s="9">
        <f t="shared" si="13"/>
        <v>30366107</v>
      </c>
      <c r="G800" s="9">
        <f>VLOOKUP(A800, localcont!$D$10:$L$1764, 8)</f>
        <v>444752.02847083256</v>
      </c>
      <c r="H800" s="109">
        <f>VLOOKUP(A800, localcont!$D$10:$L$1764, 9)*F800</f>
        <v>469929.79321679584</v>
      </c>
    </row>
    <row r="801" spans="1:8">
      <c r="A801" s="7">
        <v>389</v>
      </c>
      <c r="B801" s="7">
        <v>78</v>
      </c>
      <c r="C801" s="7" t="s">
        <v>757</v>
      </c>
      <c r="D801" s="7">
        <v>915</v>
      </c>
      <c r="E801" s="7" t="s">
        <v>647</v>
      </c>
      <c r="F801" s="9">
        <f t="shared" si="13"/>
        <v>30366107</v>
      </c>
      <c r="G801" s="9">
        <f>VLOOKUP(A801, localcont!$D$10:$L$1764, 8)</f>
        <v>32944.594694734602</v>
      </c>
      <c r="H801" s="109">
        <f>VLOOKUP(A801, localcont!$D$10:$L$1764, 9)*F801</f>
        <v>89796.845600921588</v>
      </c>
    </row>
    <row r="802" spans="1:8">
      <c r="A802" s="7">
        <v>493</v>
      </c>
      <c r="B802" s="7">
        <v>99</v>
      </c>
      <c r="C802" s="7" t="s">
        <v>786</v>
      </c>
      <c r="D802" s="7">
        <v>915</v>
      </c>
      <c r="E802" s="7" t="s">
        <v>647</v>
      </c>
      <c r="F802" s="9">
        <f t="shared" si="13"/>
        <v>30366107</v>
      </c>
      <c r="G802" s="9">
        <f>VLOOKUP(A802, localcont!$D$10:$L$1764, 8)</f>
        <v>263556.75760383456</v>
      </c>
      <c r="H802" s="109">
        <f>VLOOKUP(A802, localcont!$D$10:$L$1764, 9)*F802</f>
        <v>295832.37282905442</v>
      </c>
    </row>
    <row r="803" spans="1:8">
      <c r="A803" s="7">
        <v>503</v>
      </c>
      <c r="B803" s="7">
        <v>101</v>
      </c>
      <c r="C803" s="7" t="s">
        <v>788</v>
      </c>
      <c r="D803" s="7">
        <v>915</v>
      </c>
      <c r="E803" s="7" t="s">
        <v>647</v>
      </c>
      <c r="F803" s="9">
        <f t="shared" si="13"/>
        <v>30366107</v>
      </c>
      <c r="G803" s="9">
        <f>VLOOKUP(A803, localcont!$D$10:$L$1764, 8)</f>
        <v>197667.56821436534</v>
      </c>
      <c r="H803" s="109">
        <f>VLOOKUP(A803, localcont!$D$10:$L$1764, 9)*F803</f>
        <v>98865.754876197068</v>
      </c>
    </row>
    <row r="804" spans="1:8">
      <c r="A804" s="7">
        <v>663</v>
      </c>
      <c r="B804" s="7">
        <v>133</v>
      </c>
      <c r="C804" s="7" t="s">
        <v>829</v>
      </c>
      <c r="D804" s="7">
        <v>915</v>
      </c>
      <c r="E804" s="7" t="s">
        <v>647</v>
      </c>
      <c r="F804" s="9">
        <f t="shared" si="13"/>
        <v>30366107</v>
      </c>
      <c r="G804" s="9">
        <f>VLOOKUP(A804, localcont!$D$10:$L$1764, 8)</f>
        <v>230612.16290909992</v>
      </c>
      <c r="H804" s="109">
        <f>VLOOKUP(A804, localcont!$D$10:$L$1764, 9)*F804</f>
        <v>467357.48475862388</v>
      </c>
    </row>
    <row r="805" spans="1:8">
      <c r="A805" s="7">
        <v>873</v>
      </c>
      <c r="B805" s="7">
        <v>175</v>
      </c>
      <c r="C805" s="7" t="s">
        <v>911</v>
      </c>
      <c r="D805" s="7">
        <v>915</v>
      </c>
      <c r="E805" s="7" t="s">
        <v>647</v>
      </c>
      <c r="F805" s="9">
        <f t="shared" si="13"/>
        <v>30366107</v>
      </c>
      <c r="G805" s="9">
        <f>VLOOKUP(A805, localcont!$D$10:$L$1764, 8)</f>
        <v>16472.297347367301</v>
      </c>
      <c r="H805" s="109">
        <f>VLOOKUP(A805, localcont!$D$10:$L$1764, 9)*F805</f>
        <v>20787.023370937808</v>
      </c>
    </row>
    <row r="806" spans="1:8">
      <c r="A806" s="7">
        <v>883</v>
      </c>
      <c r="B806" s="7">
        <v>177</v>
      </c>
      <c r="C806" s="7" t="s">
        <v>915</v>
      </c>
      <c r="D806" s="7">
        <v>915</v>
      </c>
      <c r="E806" s="7" t="s">
        <v>647</v>
      </c>
      <c r="F806" s="9">
        <f t="shared" si="13"/>
        <v>30366107</v>
      </c>
      <c r="G806" s="9">
        <f>VLOOKUP(A806, localcont!$D$10:$L$1764, 8)</f>
        <v>115306.0814315711</v>
      </c>
      <c r="H806" s="109">
        <f>VLOOKUP(A806, localcont!$D$10:$L$1764, 9)*F806</f>
        <v>151281.2578820386</v>
      </c>
    </row>
    <row r="807" spans="1:8">
      <c r="A807" s="7">
        <v>933</v>
      </c>
      <c r="B807" s="7">
        <v>187</v>
      </c>
      <c r="C807" s="7" t="s">
        <v>926</v>
      </c>
      <c r="D807" s="7">
        <v>915</v>
      </c>
      <c r="E807" s="7" t="s">
        <v>647</v>
      </c>
      <c r="F807" s="9">
        <f t="shared" si="13"/>
        <v>30366107</v>
      </c>
      <c r="G807" s="9">
        <f>VLOOKUP(A807, localcont!$D$10:$L$1764, 8)</f>
        <v>32944.594694734602</v>
      </c>
      <c r="H807" s="109">
        <f>VLOOKUP(A807, localcont!$D$10:$L$1764, 9)*F807</f>
        <v>81039.235849111763</v>
      </c>
    </row>
    <row r="808" spans="1:8">
      <c r="A808" s="7">
        <v>943</v>
      </c>
      <c r="B808" s="7">
        <v>189</v>
      </c>
      <c r="C808" s="7" t="s">
        <v>928</v>
      </c>
      <c r="D808" s="7">
        <v>915</v>
      </c>
      <c r="E808" s="7" t="s">
        <v>647</v>
      </c>
      <c r="F808" s="9">
        <f t="shared" si="13"/>
        <v>30366107</v>
      </c>
      <c r="G808" s="9">
        <f>VLOOKUP(A808, localcont!$D$10:$L$1764, 8)</f>
        <v>98833.784084203813</v>
      </c>
      <c r="H808" s="109">
        <f>VLOOKUP(A808, localcont!$D$10:$L$1764, 9)*F808</f>
        <v>74031.467369511083</v>
      </c>
    </row>
    <row r="809" spans="1:8">
      <c r="A809" s="7">
        <v>993</v>
      </c>
      <c r="B809" s="7">
        <v>199</v>
      </c>
      <c r="C809" s="7" t="s">
        <v>939</v>
      </c>
      <c r="D809" s="7">
        <v>915</v>
      </c>
      <c r="E809" s="7" t="s">
        <v>647</v>
      </c>
      <c r="F809" s="9">
        <f t="shared" si="13"/>
        <v>30366107</v>
      </c>
      <c r="G809" s="9">
        <f>VLOOKUP(A809, localcont!$D$10:$L$1764, 8)</f>
        <v>82361.486736836508</v>
      </c>
      <c r="H809" s="109">
        <f>VLOOKUP(A809, localcont!$D$10:$L$1764, 9)*F809</f>
        <v>45916.85813443581</v>
      </c>
    </row>
    <row r="810" spans="1:8">
      <c r="A810" s="7">
        <v>1039</v>
      </c>
      <c r="B810" s="7">
        <v>208</v>
      </c>
      <c r="C810" s="7" t="s">
        <v>951</v>
      </c>
      <c r="D810" s="7">
        <v>915</v>
      </c>
      <c r="E810" s="7" t="s">
        <v>647</v>
      </c>
      <c r="F810" s="9">
        <f t="shared" si="13"/>
        <v>30366107</v>
      </c>
      <c r="G810" s="9">
        <f>VLOOKUP(A810, localcont!$D$10:$L$1764, 8)</f>
        <v>148250.67617226343</v>
      </c>
      <c r="H810" s="109">
        <f>VLOOKUP(A810, localcont!$D$10:$L$1764, 9)*F810</f>
        <v>275112.13958892348</v>
      </c>
    </row>
    <row r="811" spans="1:8">
      <c r="A811" s="7">
        <v>1098</v>
      </c>
      <c r="B811" s="7">
        <v>220</v>
      </c>
      <c r="C811" s="7" t="s">
        <v>968</v>
      </c>
      <c r="D811" s="7">
        <v>915</v>
      </c>
      <c r="E811" s="7" t="s">
        <v>647</v>
      </c>
      <c r="F811" s="9">
        <f t="shared" si="13"/>
        <v>30366107</v>
      </c>
      <c r="G811" s="9">
        <f>VLOOKUP(A811, localcont!$D$10:$L$1764, 8)</f>
        <v>181195.27086699803</v>
      </c>
      <c r="H811" s="109">
        <f>VLOOKUP(A811, localcont!$D$10:$L$1764, 9)*F811</f>
        <v>145936.60894242517</v>
      </c>
    </row>
    <row r="812" spans="1:8">
      <c r="A812" s="7">
        <v>1189</v>
      </c>
      <c r="B812" s="7">
        <v>238</v>
      </c>
      <c r="C812" s="7" t="s">
        <v>1008</v>
      </c>
      <c r="D812" s="7">
        <v>915</v>
      </c>
      <c r="E812" s="7" t="s">
        <v>647</v>
      </c>
      <c r="F812" s="9">
        <f t="shared" si="13"/>
        <v>30366107</v>
      </c>
      <c r="G812" s="9">
        <f>VLOOKUP(A812, localcont!$D$10:$L$1764, 8)</f>
        <v>115306.0814315711</v>
      </c>
      <c r="H812" s="109">
        <f>VLOOKUP(A812, localcont!$D$10:$L$1764, 9)*F812</f>
        <v>251815.86176437981</v>
      </c>
    </row>
    <row r="813" spans="1:8">
      <c r="A813" s="7">
        <v>1212</v>
      </c>
      <c r="B813" s="7">
        <v>243</v>
      </c>
      <c r="C813" s="7" t="s">
        <v>1013</v>
      </c>
      <c r="D813" s="7">
        <v>915</v>
      </c>
      <c r="E813" s="7" t="s">
        <v>647</v>
      </c>
      <c r="F813" s="9">
        <f t="shared" si="13"/>
        <v>30366107</v>
      </c>
      <c r="G813" s="9">
        <f>VLOOKUP(A813, localcont!$D$10:$L$1764, 8)</f>
        <v>362390.54168803839</v>
      </c>
      <c r="H813" s="109">
        <f>VLOOKUP(A813, localcont!$D$10:$L$1764, 9)*F813</f>
        <v>97532.538243851959</v>
      </c>
    </row>
    <row r="814" spans="1:8">
      <c r="A814" s="7">
        <v>1218</v>
      </c>
      <c r="B814" s="7">
        <v>244</v>
      </c>
      <c r="C814" s="7" t="s">
        <v>1014</v>
      </c>
      <c r="D814" s="7">
        <v>915</v>
      </c>
      <c r="E814" s="7" t="s">
        <v>647</v>
      </c>
      <c r="F814" s="9">
        <f t="shared" si="13"/>
        <v>30366107</v>
      </c>
      <c r="G814" s="9">
        <f>VLOOKUP(A814, localcont!$D$10:$L$1764, 8)</f>
        <v>214139.86556173264</v>
      </c>
      <c r="H814" s="109">
        <f>VLOOKUP(A814, localcont!$D$10:$L$1764, 9)*F814</f>
        <v>154546.27205154853</v>
      </c>
    </row>
    <row r="815" spans="1:8">
      <c r="A815" s="7">
        <v>1328</v>
      </c>
      <c r="B815" s="7">
        <v>266</v>
      </c>
      <c r="C815" s="7" t="s">
        <v>1036</v>
      </c>
      <c r="D815" s="7">
        <v>915</v>
      </c>
      <c r="E815" s="7" t="s">
        <v>647</v>
      </c>
      <c r="F815" s="9">
        <f t="shared" si="13"/>
        <v>30366107</v>
      </c>
      <c r="G815" s="9">
        <f>VLOOKUP(A815, localcont!$D$10:$L$1764, 8)</f>
        <v>49416.892042101907</v>
      </c>
      <c r="H815" s="109">
        <f>VLOOKUP(A815, localcont!$D$10:$L$1764, 9)*F815</f>
        <v>44876.735034892816</v>
      </c>
    </row>
    <row r="816" spans="1:8">
      <c r="A816" s="7">
        <v>1423</v>
      </c>
      <c r="B816" s="7">
        <v>285</v>
      </c>
      <c r="C816" s="7" t="s">
        <v>1062</v>
      </c>
      <c r="D816" s="7">
        <v>915</v>
      </c>
      <c r="E816" s="7" t="s">
        <v>647</v>
      </c>
      <c r="F816" s="9">
        <f t="shared" si="13"/>
        <v>30366107</v>
      </c>
      <c r="G816" s="9">
        <f>VLOOKUP(A816, localcont!$D$10:$L$1764, 8)</f>
        <v>312973.6496459365</v>
      </c>
      <c r="H816" s="109">
        <f>VLOOKUP(A816, localcont!$D$10:$L$1764, 9)*F816</f>
        <v>228910.20227226274</v>
      </c>
    </row>
    <row r="817" spans="1:8">
      <c r="A817" s="7">
        <v>1533</v>
      </c>
      <c r="B817" s="7">
        <v>307</v>
      </c>
      <c r="C817" s="7" t="s">
        <v>1084</v>
      </c>
      <c r="D817" s="7">
        <v>915</v>
      </c>
      <c r="E817" s="7" t="s">
        <v>647</v>
      </c>
      <c r="F817" s="9">
        <f t="shared" si="13"/>
        <v>30366107</v>
      </c>
      <c r="G817" s="9">
        <f>VLOOKUP(A817, localcont!$D$10:$L$1764, 8)</f>
        <v>362390.54168803839</v>
      </c>
      <c r="H817" s="109">
        <f>VLOOKUP(A817, localcont!$D$10:$L$1764, 9)*F817</f>
        <v>288674.74677772191</v>
      </c>
    </row>
    <row r="818" spans="1:8">
      <c r="A818" s="7">
        <v>1582</v>
      </c>
      <c r="B818" s="7">
        <v>317</v>
      </c>
      <c r="C818" s="7" t="s">
        <v>1095</v>
      </c>
      <c r="D818" s="7">
        <v>915</v>
      </c>
      <c r="E818" s="7" t="s">
        <v>647</v>
      </c>
      <c r="F818" s="9">
        <f t="shared" si="13"/>
        <v>30366107</v>
      </c>
      <c r="G818" s="9">
        <f>VLOOKUP(A818, localcont!$D$10:$L$1764, 8)</f>
        <v>65889.189389469204</v>
      </c>
      <c r="H818" s="109">
        <f>VLOOKUP(A818, localcont!$D$10:$L$1764, 9)*F818</f>
        <v>40409.74339730604</v>
      </c>
    </row>
    <row r="819" spans="1:8">
      <c r="A819" s="7">
        <v>1673</v>
      </c>
      <c r="B819" s="7">
        <v>335</v>
      </c>
      <c r="C819" s="7" t="s">
        <v>1113</v>
      </c>
      <c r="D819" s="7">
        <v>915</v>
      </c>
      <c r="E819" s="7" t="s">
        <v>647</v>
      </c>
      <c r="F819" s="9">
        <f t="shared" si="13"/>
        <v>30366107</v>
      </c>
      <c r="G819" s="9">
        <f>VLOOKUP(A819, localcont!$D$10:$L$1764, 8)</f>
        <v>65889.189389469204</v>
      </c>
      <c r="H819" s="109">
        <f>VLOOKUP(A819, localcont!$D$10:$L$1764, 9)*F819</f>
        <v>66224.204002573111</v>
      </c>
    </row>
    <row r="820" spans="1:8">
      <c r="A820" s="7">
        <v>1677</v>
      </c>
      <c r="B820" s="7">
        <v>336</v>
      </c>
      <c r="C820" s="7" t="s">
        <v>1114</v>
      </c>
      <c r="D820" s="7">
        <v>915</v>
      </c>
      <c r="E820" s="7" t="s">
        <v>647</v>
      </c>
      <c r="F820" s="9">
        <f t="shared" si="13"/>
        <v>30366107</v>
      </c>
      <c r="G820" s="9">
        <f>VLOOKUP(A820, localcont!$D$10:$L$1764, 8)</f>
        <v>527113.51520766912</v>
      </c>
      <c r="H820" s="109">
        <f>VLOOKUP(A820, localcont!$D$10:$L$1764, 9)*F820</f>
        <v>229647.67714437115</v>
      </c>
    </row>
    <row r="821" spans="1:8">
      <c r="A821" s="7">
        <v>1749</v>
      </c>
      <c r="B821" s="7">
        <v>350</v>
      </c>
      <c r="C821" s="7" t="s">
        <v>1128</v>
      </c>
      <c r="D821" s="7">
        <v>915</v>
      </c>
      <c r="E821" s="7" t="s">
        <v>647</v>
      </c>
      <c r="F821" s="9">
        <f t="shared" ref="F821" si="14">VLOOKUP(D821, town351, 7)</f>
        <v>30366107</v>
      </c>
      <c r="G821" s="9">
        <f>VLOOKUP(A821, localcont!$D$10:$L$1764, 8)</f>
        <v>148250.67617226343</v>
      </c>
      <c r="H821" s="109">
        <f>VLOOKUP(A821, localcont!$D$10:$L$1764, 9)*F821</f>
        <v>248619.91803989906</v>
      </c>
    </row>
  </sheetData>
  <autoFilter ref="A9:H9"/>
  <sortState ref="A10:E821">
    <sortCondition ref="D10:D821"/>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S340"/>
  <sheetViews>
    <sheetView showGridLines="0" zoomScaleNormal="100" workbookViewId="0">
      <pane xSplit="3" ySplit="9" topLeftCell="E10" activePane="bottomRight" state="frozen"/>
      <selection activeCell="D1727" sqref="D1727"/>
      <selection pane="topRight" activeCell="D1727" sqref="D1727"/>
      <selection pane="bottomLeft" activeCell="D1727" sqref="D1727"/>
      <selection pane="bottomRight" activeCell="D10" sqref="D10"/>
    </sheetView>
  </sheetViews>
  <sheetFormatPr defaultColWidth="12.625" defaultRowHeight="12.75"/>
  <cols>
    <col min="1" max="1" width="6" style="7" bestFit="1" customWidth="1"/>
    <col min="2" max="2" width="12.625" style="7"/>
    <col min="3" max="3" width="9.375" style="7" bestFit="1" customWidth="1"/>
    <col min="4" max="5" width="12.625" style="7"/>
    <col min="6" max="6" width="11" style="7" bestFit="1" customWidth="1"/>
    <col min="7" max="8" width="13.5" style="7" bestFit="1" customWidth="1"/>
    <col min="9" max="9" width="10.5" style="7" bestFit="1" customWidth="1"/>
    <col min="10" max="11" width="12.625" style="7"/>
    <col min="12" max="12" width="10.5" style="7" bestFit="1" customWidth="1"/>
    <col min="13" max="14" width="12.625" style="7"/>
    <col min="15" max="15" width="12.125" style="7" customWidth="1"/>
    <col min="16" max="16" width="10.5" style="7" bestFit="1" customWidth="1"/>
    <col min="17" max="17" width="11" style="7" bestFit="1" customWidth="1"/>
    <col min="18" max="16384" width="12.625" style="7"/>
  </cols>
  <sheetData>
    <row r="1" spans="1:19">
      <c r="A1" s="385"/>
      <c r="B1" s="224" t="s">
        <v>107</v>
      </c>
      <c r="C1" s="385"/>
      <c r="D1" s="385"/>
      <c r="E1" s="49"/>
      <c r="F1" s="49"/>
      <c r="G1" s="49"/>
      <c r="H1" s="49"/>
      <c r="I1" s="49"/>
      <c r="J1" s="49"/>
      <c r="K1" s="49"/>
      <c r="L1" s="49"/>
      <c r="M1" s="49"/>
      <c r="Q1" s="564" t="s">
        <v>2802</v>
      </c>
    </row>
    <row r="2" spans="1:19" ht="18.75">
      <c r="A2" s="471" t="s">
        <v>1049</v>
      </c>
      <c r="B2" s="471"/>
      <c r="C2" s="471"/>
      <c r="D2" s="471"/>
      <c r="E2" s="471"/>
      <c r="F2" s="471"/>
      <c r="G2" s="471"/>
      <c r="H2" s="471"/>
      <c r="I2" s="471"/>
      <c r="J2" s="471"/>
      <c r="K2" s="471"/>
      <c r="L2" s="471"/>
      <c r="M2" s="471"/>
    </row>
    <row r="3" spans="1:19" ht="18.75">
      <c r="A3" s="471" t="str">
        <f>CYr&amp;" Chapter 70 Comparison to "&amp;PYr</f>
        <v>FY18 Chapter 70 Comparison to FY17</v>
      </c>
      <c r="B3" s="471"/>
      <c r="C3" s="471"/>
      <c r="D3" s="471"/>
      <c r="E3" s="471"/>
      <c r="F3" s="471"/>
      <c r="G3" s="471"/>
      <c r="H3" s="471"/>
      <c r="I3" s="471"/>
      <c r="J3" s="471"/>
      <c r="K3" s="471"/>
      <c r="L3" s="471"/>
      <c r="M3" s="471"/>
    </row>
    <row r="4" spans="1:19" ht="26.25" hidden="1" customHeight="1">
      <c r="A4" s="603"/>
      <c r="B4" s="603"/>
      <c r="C4" s="603"/>
      <c r="D4" s="603"/>
      <c r="E4" s="603"/>
      <c r="F4" s="603"/>
      <c r="G4" s="603"/>
      <c r="H4" s="603"/>
      <c r="I4" s="603"/>
      <c r="J4" s="603"/>
      <c r="K4" s="603"/>
      <c r="L4" s="603"/>
      <c r="M4" s="603"/>
    </row>
    <row r="5" spans="1:19" hidden="1">
      <c r="A5" s="312"/>
      <c r="B5" s="66"/>
      <c r="C5" s="312"/>
      <c r="D5" s="312"/>
    </row>
    <row r="6" spans="1:19" ht="13.5" hidden="1" customHeight="1">
      <c r="A6" s="312"/>
      <c r="B6" s="312"/>
      <c r="C6" s="312"/>
      <c r="D6" s="312"/>
    </row>
    <row r="7" spans="1:19" s="11" customFormat="1" ht="21.75" customHeight="1">
      <c r="A7" s="312"/>
      <c r="B7" s="312"/>
      <c r="C7" s="312"/>
      <c r="D7" s="312" t="str">
        <f>PYr</f>
        <v>FY17</v>
      </c>
      <c r="E7" s="312" t="str">
        <f>CYr</f>
        <v>FY18</v>
      </c>
      <c r="F7" s="312"/>
      <c r="G7" s="312" t="str">
        <f>PYr</f>
        <v>FY17</v>
      </c>
      <c r="H7" s="312" t="str">
        <f>CYr</f>
        <v>FY18</v>
      </c>
      <c r="I7" s="312"/>
      <c r="J7" s="312" t="str">
        <f>PYr</f>
        <v>FY17</v>
      </c>
      <c r="K7" s="312" t="str">
        <f>CYr</f>
        <v>FY18</v>
      </c>
      <c r="L7" s="312"/>
      <c r="M7" s="312" t="str">
        <f>PYr</f>
        <v>FY17</v>
      </c>
      <c r="N7" s="312" t="str">
        <f>CYr</f>
        <v>FY18</v>
      </c>
      <c r="O7" s="312"/>
      <c r="P7" s="312"/>
      <c r="S7" s="7"/>
    </row>
    <row r="8" spans="1:19" s="11" customFormat="1">
      <c r="A8" s="312"/>
      <c r="B8" s="18" t="s">
        <v>543</v>
      </c>
      <c r="C8" s="312"/>
      <c r="D8" s="312" t="s">
        <v>683</v>
      </c>
      <c r="E8" s="312" t="s">
        <v>683</v>
      </c>
      <c r="F8" s="312"/>
      <c r="G8" s="312" t="s">
        <v>1157</v>
      </c>
      <c r="H8" s="312" t="s">
        <v>1157</v>
      </c>
      <c r="I8" s="312"/>
      <c r="J8" s="312" t="s">
        <v>88</v>
      </c>
      <c r="K8" s="312" t="s">
        <v>88</v>
      </c>
      <c r="L8" s="312"/>
      <c r="M8" s="312" t="s">
        <v>1138</v>
      </c>
      <c r="N8" s="312" t="s">
        <v>1138</v>
      </c>
      <c r="O8" s="312"/>
      <c r="P8" s="312"/>
      <c r="S8" s="7"/>
    </row>
    <row r="9" spans="1:19" s="386" customFormat="1" ht="25.5" customHeight="1">
      <c r="A9" s="386" t="s">
        <v>58</v>
      </c>
      <c r="B9" s="387" t="s">
        <v>542</v>
      </c>
      <c r="C9" s="387" t="s">
        <v>65</v>
      </c>
      <c r="D9" s="100" t="s">
        <v>1158</v>
      </c>
      <c r="E9" s="100" t="s">
        <v>1158</v>
      </c>
      <c r="F9" s="100" t="s">
        <v>90</v>
      </c>
      <c r="G9" s="100" t="s">
        <v>1159</v>
      </c>
      <c r="H9" s="100" t="s">
        <v>1159</v>
      </c>
      <c r="I9" s="100" t="s">
        <v>1047</v>
      </c>
      <c r="J9" s="100" t="s">
        <v>1160</v>
      </c>
      <c r="K9" s="100" t="s">
        <v>1160</v>
      </c>
      <c r="L9" s="100" t="s">
        <v>1047</v>
      </c>
      <c r="M9" s="100" t="s">
        <v>674</v>
      </c>
      <c r="N9" s="100" t="s">
        <v>674</v>
      </c>
      <c r="O9" s="100" t="s">
        <v>90</v>
      </c>
      <c r="P9" s="100" t="s">
        <v>1047</v>
      </c>
      <c r="Q9" s="100" t="s">
        <v>761</v>
      </c>
      <c r="S9" s="7"/>
    </row>
    <row r="10" spans="1:19">
      <c r="A10" s="102">
        <v>1</v>
      </c>
      <c r="B10" s="7" t="s">
        <v>1707</v>
      </c>
      <c r="C10" s="7">
        <v>1</v>
      </c>
      <c r="D10" s="175">
        <f>VLOOKUP(A10,aidcalc,17)</f>
        <v>1956</v>
      </c>
      <c r="E10" s="175">
        <f>VLOOKUP(A10,aidcalc,18)</f>
        <v>1930</v>
      </c>
      <c r="F10" s="37">
        <f>E10-D10</f>
        <v>-26</v>
      </c>
      <c r="G10" s="175">
        <f>VLOOKUP(A10,aidcalc,4)</f>
        <v>19481152.105999999</v>
      </c>
      <c r="H10" s="175">
        <f>VLOOKUP(A10,aidcalc,6)</f>
        <v>19699144.432921756</v>
      </c>
      <c r="I10" s="37">
        <f>(H10-G10)/$E10</f>
        <v>112.94939218743902</v>
      </c>
      <c r="J10" s="175">
        <f>SUMIF(dist1755,A10,pynetmin)</f>
        <v>12843377</v>
      </c>
      <c r="K10" s="175">
        <f>VLOOKUP(A10,aidcalc,7)</f>
        <v>12922903</v>
      </c>
      <c r="L10" s="37">
        <f>(K10-J10)/$E10</f>
        <v>41.205181347150258</v>
      </c>
      <c r="M10" s="175">
        <f t="shared" ref="M10:M73" si="0">VLOOKUP(A10,disthist,43)</f>
        <v>7579849</v>
      </c>
      <c r="N10" s="175">
        <f t="shared" ref="N10:N73" si="1">VLOOKUP(A10,aidcalc,36)</f>
        <v>7637749</v>
      </c>
      <c r="O10" s="37">
        <f>N10-M10</f>
        <v>57900</v>
      </c>
      <c r="P10" s="37">
        <f>(N10-M10)/$E10</f>
        <v>30</v>
      </c>
      <c r="Q10" s="68">
        <f>ROUND(IF(G10&gt;0,(N10-M10)*100/M10,100),2)</f>
        <v>0.76</v>
      </c>
      <c r="R10" s="407"/>
      <c r="S10" s="102"/>
    </row>
    <row r="11" spans="1:19">
      <c r="A11" s="102">
        <v>3</v>
      </c>
      <c r="B11" s="7" t="s">
        <v>1709</v>
      </c>
      <c r="C11" s="7">
        <v>1</v>
      </c>
      <c r="D11" s="175">
        <f t="shared" ref="D11:D70" si="2">VLOOKUP(A11,aidcalc,17)</f>
        <v>1254</v>
      </c>
      <c r="E11" s="175">
        <f t="shared" ref="E11:E70" si="3">VLOOKUP(A11,aidcalc,18)</f>
        <v>1210</v>
      </c>
      <c r="F11" s="37">
        <f t="shared" ref="F11:F70" si="4">E11-D11</f>
        <v>-44</v>
      </c>
      <c r="G11" s="175">
        <f t="shared" ref="G11:G70" si="5">VLOOKUP(A11,aidcalc,4)</f>
        <v>11862468.339999998</v>
      </c>
      <c r="H11" s="175">
        <f t="shared" ref="H11:H70" si="6">VLOOKUP(A11,aidcalc,6)</f>
        <v>11736546.345857544</v>
      </c>
      <c r="I11" s="37">
        <f t="shared" ref="I11:I70" si="7">(H11-G11)/$E11</f>
        <v>-104.06776375409432</v>
      </c>
      <c r="J11" s="175">
        <f t="shared" ref="J11:J70" si="8">SUMIF(dist1755,A11,pynetmin)</f>
        <v>6851396</v>
      </c>
      <c r="K11" s="175">
        <f t="shared" ref="K11:K70" si="9">VLOOKUP(A11,aidcalc,7)</f>
        <v>6867294</v>
      </c>
      <c r="L11" s="37">
        <f t="shared" ref="L11:L70" si="10">(K11-J11)/$E11</f>
        <v>13.138842975206611</v>
      </c>
      <c r="M11" s="175">
        <f t="shared" si="0"/>
        <v>6250222</v>
      </c>
      <c r="N11" s="175">
        <f t="shared" si="1"/>
        <v>6286522</v>
      </c>
      <c r="O11" s="37">
        <f t="shared" ref="O11:O70" si="11">N11-M11</f>
        <v>36300</v>
      </c>
      <c r="P11" s="37">
        <f t="shared" ref="P11:P70" si="12">(N11-M11)/$E11</f>
        <v>30</v>
      </c>
      <c r="Q11" s="68">
        <f t="shared" ref="Q11:Q73" si="13">ROUND(IF(G11&gt;0,(N11-M11)*100/M11,100),2)</f>
        <v>0.57999999999999996</v>
      </c>
      <c r="R11" s="407"/>
      <c r="S11" s="102"/>
    </row>
    <row r="12" spans="1:19">
      <c r="A12" s="102">
        <v>5</v>
      </c>
      <c r="B12" s="7" t="s">
        <v>1711</v>
      </c>
      <c r="C12" s="7">
        <v>1</v>
      </c>
      <c r="D12" s="175">
        <f t="shared" si="2"/>
        <v>3842</v>
      </c>
      <c r="E12" s="175">
        <f t="shared" si="3"/>
        <v>3831</v>
      </c>
      <c r="F12" s="37">
        <f t="shared" si="4"/>
        <v>-11</v>
      </c>
      <c r="G12" s="175">
        <f t="shared" si="5"/>
        <v>39809443.760000005</v>
      </c>
      <c r="H12" s="175">
        <f t="shared" si="6"/>
        <v>40549530.336503848</v>
      </c>
      <c r="I12" s="37">
        <f t="shared" si="7"/>
        <v>193.18365348573298</v>
      </c>
      <c r="J12" s="175">
        <f t="shared" si="8"/>
        <v>22702754</v>
      </c>
      <c r="K12" s="175">
        <f t="shared" si="9"/>
        <v>22135293</v>
      </c>
      <c r="L12" s="37">
        <f t="shared" si="10"/>
        <v>-148.1234664578439</v>
      </c>
      <c r="M12" s="175">
        <f t="shared" si="0"/>
        <v>19138981.812022001</v>
      </c>
      <c r="N12" s="175">
        <f t="shared" si="1"/>
        <v>19253911.812022001</v>
      </c>
      <c r="O12" s="37">
        <f t="shared" si="11"/>
        <v>114930</v>
      </c>
      <c r="P12" s="37">
        <f t="shared" si="12"/>
        <v>30</v>
      </c>
      <c r="Q12" s="68">
        <f t="shared" si="13"/>
        <v>0.6</v>
      </c>
      <c r="R12" s="407"/>
      <c r="S12" s="102"/>
    </row>
    <row r="13" spans="1:19">
      <c r="A13" s="102">
        <v>7</v>
      </c>
      <c r="B13" s="7" t="s">
        <v>1713</v>
      </c>
      <c r="C13" s="7">
        <v>1</v>
      </c>
      <c r="D13" s="175">
        <f t="shared" si="2"/>
        <v>2324</v>
      </c>
      <c r="E13" s="175">
        <f t="shared" si="3"/>
        <v>2217</v>
      </c>
      <c r="F13" s="37">
        <f t="shared" si="4"/>
        <v>-107</v>
      </c>
      <c r="G13" s="175">
        <f t="shared" si="5"/>
        <v>22775372.140000001</v>
      </c>
      <c r="H13" s="175">
        <f t="shared" si="6"/>
        <v>22137199.0502779</v>
      </c>
      <c r="I13" s="37">
        <f t="shared" si="7"/>
        <v>-287.85434809296373</v>
      </c>
      <c r="J13" s="175">
        <f t="shared" si="8"/>
        <v>14489823</v>
      </c>
      <c r="K13" s="175">
        <f t="shared" si="9"/>
        <v>14640237</v>
      </c>
      <c r="L13" s="37">
        <f t="shared" si="10"/>
        <v>67.845737483085244</v>
      </c>
      <c r="M13" s="175">
        <f t="shared" si="0"/>
        <v>8995077</v>
      </c>
      <c r="N13" s="175">
        <f t="shared" si="1"/>
        <v>9061587</v>
      </c>
      <c r="O13" s="37">
        <f t="shared" si="11"/>
        <v>66510</v>
      </c>
      <c r="P13" s="37">
        <f t="shared" si="12"/>
        <v>30</v>
      </c>
      <c r="Q13" s="68">
        <f t="shared" si="13"/>
        <v>0.74</v>
      </c>
      <c r="R13" s="407"/>
      <c r="S13" s="102"/>
    </row>
    <row r="14" spans="1:19">
      <c r="A14" s="102">
        <v>8</v>
      </c>
      <c r="B14" s="7" t="s">
        <v>1714</v>
      </c>
      <c r="C14" s="7">
        <v>1</v>
      </c>
      <c r="D14" s="175">
        <f t="shared" si="2"/>
        <v>1199</v>
      </c>
      <c r="E14" s="175">
        <f t="shared" si="3"/>
        <v>1136</v>
      </c>
      <c r="F14" s="37">
        <f t="shared" si="4"/>
        <v>-63</v>
      </c>
      <c r="G14" s="175">
        <f t="shared" si="5"/>
        <v>12153334.120000001</v>
      </c>
      <c r="H14" s="175">
        <f t="shared" si="6"/>
        <v>11871248.344619127</v>
      </c>
      <c r="I14" s="37">
        <f t="shared" si="7"/>
        <v>-248.31494311696659</v>
      </c>
      <c r="J14" s="175">
        <f t="shared" si="8"/>
        <v>9054116</v>
      </c>
      <c r="K14" s="175">
        <f t="shared" si="9"/>
        <v>8817279</v>
      </c>
      <c r="L14" s="37">
        <f t="shared" si="10"/>
        <v>-208.48327464788733</v>
      </c>
      <c r="M14" s="175">
        <f t="shared" si="0"/>
        <v>6020943</v>
      </c>
      <c r="N14" s="175">
        <f t="shared" si="1"/>
        <v>6055023</v>
      </c>
      <c r="O14" s="37">
        <f t="shared" si="11"/>
        <v>34080</v>
      </c>
      <c r="P14" s="37">
        <f t="shared" si="12"/>
        <v>30</v>
      </c>
      <c r="Q14" s="68">
        <f t="shared" si="13"/>
        <v>0.56999999999999995</v>
      </c>
      <c r="R14" s="407"/>
      <c r="S14" s="102"/>
    </row>
    <row r="15" spans="1:19">
      <c r="A15" s="102">
        <v>9</v>
      </c>
      <c r="B15" s="7" t="s">
        <v>1715</v>
      </c>
      <c r="C15" s="7">
        <v>1</v>
      </c>
      <c r="D15" s="175">
        <f t="shared" si="2"/>
        <v>5980</v>
      </c>
      <c r="E15" s="175">
        <f t="shared" si="3"/>
        <v>5911</v>
      </c>
      <c r="F15" s="37">
        <f t="shared" si="4"/>
        <v>-69</v>
      </c>
      <c r="G15" s="175">
        <f t="shared" si="5"/>
        <v>58523208.186840013</v>
      </c>
      <c r="H15" s="175">
        <f t="shared" si="6"/>
        <v>59213763.705395557</v>
      </c>
      <c r="I15" s="37">
        <f t="shared" si="7"/>
        <v>116.82549797928343</v>
      </c>
      <c r="J15" s="175">
        <f t="shared" si="8"/>
        <v>48754974</v>
      </c>
      <c r="K15" s="175">
        <f t="shared" si="9"/>
        <v>49146929</v>
      </c>
      <c r="L15" s="37">
        <f t="shared" si="10"/>
        <v>66.309423109456944</v>
      </c>
      <c r="M15" s="175">
        <f t="shared" si="0"/>
        <v>9768234</v>
      </c>
      <c r="N15" s="175">
        <f t="shared" si="1"/>
        <v>10066835</v>
      </c>
      <c r="O15" s="37">
        <f t="shared" si="11"/>
        <v>298601</v>
      </c>
      <c r="P15" s="37">
        <f t="shared" si="12"/>
        <v>50.516156318727795</v>
      </c>
      <c r="Q15" s="68">
        <f t="shared" si="13"/>
        <v>3.06</v>
      </c>
      <c r="R15" s="407"/>
      <c r="S15" s="102"/>
    </row>
    <row r="16" spans="1:19">
      <c r="A16" s="102">
        <v>10</v>
      </c>
      <c r="B16" s="7" t="s">
        <v>1716</v>
      </c>
      <c r="C16" s="7">
        <v>1</v>
      </c>
      <c r="D16" s="175">
        <f t="shared" si="2"/>
        <v>5402</v>
      </c>
      <c r="E16" s="175">
        <f t="shared" si="3"/>
        <v>5607</v>
      </c>
      <c r="F16" s="37">
        <f t="shared" si="4"/>
        <v>205</v>
      </c>
      <c r="G16" s="175">
        <f t="shared" si="5"/>
        <v>51156059.770829991</v>
      </c>
      <c r="H16" s="175">
        <f t="shared" si="6"/>
        <v>54501493.562073596</v>
      </c>
      <c r="I16" s="37">
        <f t="shared" si="7"/>
        <v>596.65307494981369</v>
      </c>
      <c r="J16" s="175">
        <f t="shared" si="8"/>
        <v>41761139</v>
      </c>
      <c r="K16" s="175">
        <f t="shared" si="9"/>
        <v>43805119</v>
      </c>
      <c r="L16" s="37">
        <f t="shared" si="10"/>
        <v>364.54075263064027</v>
      </c>
      <c r="M16" s="175">
        <f t="shared" si="0"/>
        <v>11012669</v>
      </c>
      <c r="N16" s="175">
        <f t="shared" si="1"/>
        <v>11180879</v>
      </c>
      <c r="O16" s="37">
        <f t="shared" si="11"/>
        <v>168210</v>
      </c>
      <c r="P16" s="37">
        <f t="shared" si="12"/>
        <v>30</v>
      </c>
      <c r="Q16" s="68">
        <f t="shared" si="13"/>
        <v>1.53</v>
      </c>
      <c r="R16" s="407"/>
      <c r="S16" s="102"/>
    </row>
    <row r="17" spans="1:19">
      <c r="A17" s="102">
        <v>14</v>
      </c>
      <c r="B17" s="7" t="s">
        <v>1720</v>
      </c>
      <c r="C17" s="7">
        <v>1</v>
      </c>
      <c r="D17" s="175">
        <f t="shared" si="2"/>
        <v>2575</v>
      </c>
      <c r="E17" s="175">
        <f t="shared" si="3"/>
        <v>2547</v>
      </c>
      <c r="F17" s="37">
        <f t="shared" si="4"/>
        <v>-28</v>
      </c>
      <c r="G17" s="175">
        <f t="shared" si="5"/>
        <v>24958578.790420003</v>
      </c>
      <c r="H17" s="175">
        <f t="shared" si="6"/>
        <v>24948345.559453651</v>
      </c>
      <c r="I17" s="37">
        <f t="shared" si="7"/>
        <v>-4.017758526247321</v>
      </c>
      <c r="J17" s="175">
        <f t="shared" si="8"/>
        <v>19022776</v>
      </c>
      <c r="K17" s="175">
        <f t="shared" si="9"/>
        <v>19465664</v>
      </c>
      <c r="L17" s="37">
        <f t="shared" si="10"/>
        <v>173.88614055751864</v>
      </c>
      <c r="M17" s="175">
        <f t="shared" si="0"/>
        <v>5935803</v>
      </c>
      <c r="N17" s="175">
        <f t="shared" si="1"/>
        <v>6012213</v>
      </c>
      <c r="O17" s="37">
        <f t="shared" si="11"/>
        <v>76410</v>
      </c>
      <c r="P17" s="37">
        <f t="shared" si="12"/>
        <v>30</v>
      </c>
      <c r="Q17" s="68">
        <f t="shared" si="13"/>
        <v>1.29</v>
      </c>
      <c r="R17" s="407"/>
      <c r="S17" s="102"/>
    </row>
    <row r="18" spans="1:19">
      <c r="A18" s="102">
        <v>16</v>
      </c>
      <c r="B18" s="7" t="s">
        <v>1722</v>
      </c>
      <c r="C18" s="7">
        <v>1</v>
      </c>
      <c r="D18" s="175">
        <f t="shared" si="2"/>
        <v>6257</v>
      </c>
      <c r="E18" s="175">
        <f t="shared" si="3"/>
        <v>6251</v>
      </c>
      <c r="F18" s="37">
        <f t="shared" si="4"/>
        <v>-6</v>
      </c>
      <c r="G18" s="175">
        <f t="shared" si="5"/>
        <v>68466287.280000016</v>
      </c>
      <c r="H18" s="175">
        <f t="shared" si="6"/>
        <v>69495854.734565571</v>
      </c>
      <c r="I18" s="37">
        <f t="shared" si="7"/>
        <v>164.70444002008557</v>
      </c>
      <c r="J18" s="175">
        <f t="shared" si="8"/>
        <v>32806836</v>
      </c>
      <c r="K18" s="175">
        <f t="shared" si="9"/>
        <v>33973326</v>
      </c>
      <c r="L18" s="37">
        <f t="shared" si="10"/>
        <v>186.6085426331787</v>
      </c>
      <c r="M18" s="175">
        <f t="shared" si="0"/>
        <v>35659451</v>
      </c>
      <c r="N18" s="175">
        <f t="shared" si="1"/>
        <v>35846981</v>
      </c>
      <c r="O18" s="37">
        <f t="shared" si="11"/>
        <v>187530</v>
      </c>
      <c r="P18" s="37">
        <f t="shared" si="12"/>
        <v>30</v>
      </c>
      <c r="Q18" s="68">
        <f t="shared" si="13"/>
        <v>0.53</v>
      </c>
      <c r="R18" s="407"/>
      <c r="S18" s="102"/>
    </row>
    <row r="19" spans="1:19">
      <c r="A19" s="102">
        <v>17</v>
      </c>
      <c r="B19" s="7" t="s">
        <v>1723</v>
      </c>
      <c r="C19" s="7">
        <v>1</v>
      </c>
      <c r="D19" s="175">
        <f t="shared" si="2"/>
        <v>2387</v>
      </c>
      <c r="E19" s="175">
        <f t="shared" si="3"/>
        <v>2431</v>
      </c>
      <c r="F19" s="37">
        <f t="shared" si="4"/>
        <v>44</v>
      </c>
      <c r="G19" s="175">
        <f t="shared" si="5"/>
        <v>23122124.420000002</v>
      </c>
      <c r="H19" s="175">
        <f t="shared" si="6"/>
        <v>24064548.393377755</v>
      </c>
      <c r="I19" s="37">
        <f t="shared" si="7"/>
        <v>387.66926095341546</v>
      </c>
      <c r="J19" s="175">
        <f t="shared" si="8"/>
        <v>14141768</v>
      </c>
      <c r="K19" s="175">
        <f t="shared" si="9"/>
        <v>13986014</v>
      </c>
      <c r="L19" s="37">
        <f t="shared" si="10"/>
        <v>-64.069930069930066</v>
      </c>
      <c r="M19" s="175">
        <f t="shared" si="0"/>
        <v>8983238</v>
      </c>
      <c r="N19" s="175">
        <f t="shared" si="1"/>
        <v>10078534</v>
      </c>
      <c r="O19" s="37">
        <f t="shared" si="11"/>
        <v>1095296</v>
      </c>
      <c r="P19" s="37">
        <f t="shared" si="12"/>
        <v>450.55368161250516</v>
      </c>
      <c r="Q19" s="68">
        <f t="shared" si="13"/>
        <v>12.19</v>
      </c>
      <c r="R19" s="407"/>
      <c r="S19" s="102"/>
    </row>
    <row r="20" spans="1:19">
      <c r="A20" s="102">
        <v>18</v>
      </c>
      <c r="B20" s="7" t="s">
        <v>1724</v>
      </c>
      <c r="C20" s="7">
        <v>1</v>
      </c>
      <c r="D20" s="175">
        <f t="shared" si="2"/>
        <v>545</v>
      </c>
      <c r="E20" s="175">
        <f t="shared" si="3"/>
        <v>538</v>
      </c>
      <c r="F20" s="37">
        <f t="shared" si="4"/>
        <v>-7</v>
      </c>
      <c r="G20" s="175">
        <f t="shared" si="5"/>
        <v>5736311.7000000011</v>
      </c>
      <c r="H20" s="175">
        <f t="shared" si="6"/>
        <v>5634205.6633891659</v>
      </c>
      <c r="I20" s="37">
        <f t="shared" si="7"/>
        <v>-189.78817213909895</v>
      </c>
      <c r="J20" s="175">
        <f t="shared" si="8"/>
        <v>4321841</v>
      </c>
      <c r="K20" s="175">
        <f t="shared" si="9"/>
        <v>4254900</v>
      </c>
      <c r="L20" s="37">
        <f t="shared" si="10"/>
        <v>-124.42565055762081</v>
      </c>
      <c r="M20" s="175">
        <f t="shared" si="0"/>
        <v>1414471</v>
      </c>
      <c r="N20" s="175">
        <f t="shared" si="1"/>
        <v>1430611</v>
      </c>
      <c r="O20" s="37">
        <f t="shared" si="11"/>
        <v>16140</v>
      </c>
      <c r="P20" s="37">
        <f>(N20-M20)/$E20</f>
        <v>30</v>
      </c>
      <c r="Q20" s="68">
        <f t="shared" si="13"/>
        <v>1.1399999999999999</v>
      </c>
      <c r="R20" s="407"/>
      <c r="S20" s="102"/>
    </row>
    <row r="21" spans="1:19">
      <c r="A21" s="102">
        <v>20</v>
      </c>
      <c r="B21" s="7" t="s">
        <v>1726</v>
      </c>
      <c r="C21" s="7">
        <v>1</v>
      </c>
      <c r="D21" s="175">
        <f t="shared" si="2"/>
        <v>5490</v>
      </c>
      <c r="E21" s="175">
        <f t="shared" si="3"/>
        <v>5475</v>
      </c>
      <c r="F21" s="37">
        <f t="shared" si="4"/>
        <v>-15</v>
      </c>
      <c r="G21" s="175">
        <f t="shared" si="5"/>
        <v>57300644.839999989</v>
      </c>
      <c r="H21" s="175">
        <f t="shared" si="6"/>
        <v>58000134.653313488</v>
      </c>
      <c r="I21" s="37">
        <f t="shared" si="7"/>
        <v>127.76069649561627</v>
      </c>
      <c r="J21" s="175">
        <f t="shared" si="8"/>
        <v>47453547</v>
      </c>
      <c r="K21" s="175">
        <f t="shared" si="9"/>
        <v>48045485</v>
      </c>
      <c r="L21" s="37">
        <f t="shared" si="10"/>
        <v>108.1165296803653</v>
      </c>
      <c r="M21" s="175">
        <f t="shared" si="0"/>
        <v>9847098</v>
      </c>
      <c r="N21" s="175">
        <f t="shared" si="1"/>
        <v>10011348</v>
      </c>
      <c r="O21" s="37">
        <f t="shared" si="11"/>
        <v>164250</v>
      </c>
      <c r="P21" s="37">
        <f t="shared" si="12"/>
        <v>30</v>
      </c>
      <c r="Q21" s="68">
        <f t="shared" si="13"/>
        <v>1.67</v>
      </c>
      <c r="R21" s="407"/>
      <c r="S21" s="102"/>
    </row>
    <row r="22" spans="1:19">
      <c r="A22" s="102">
        <v>23</v>
      </c>
      <c r="B22" s="7" t="s">
        <v>1729</v>
      </c>
      <c r="C22" s="7">
        <v>1</v>
      </c>
      <c r="D22" s="175">
        <f t="shared" si="2"/>
        <v>2596</v>
      </c>
      <c r="E22" s="175">
        <f t="shared" si="3"/>
        <v>2647</v>
      </c>
      <c r="F22" s="37">
        <f t="shared" si="4"/>
        <v>51</v>
      </c>
      <c r="G22" s="175">
        <f t="shared" si="5"/>
        <v>25950850.370000001</v>
      </c>
      <c r="H22" s="175">
        <f t="shared" si="6"/>
        <v>26915524.993783444</v>
      </c>
      <c r="I22" s="37">
        <f t="shared" si="7"/>
        <v>364.44073433450819</v>
      </c>
      <c r="J22" s="175">
        <f t="shared" si="8"/>
        <v>21694256</v>
      </c>
      <c r="K22" s="175">
        <f t="shared" si="9"/>
        <v>22291183</v>
      </c>
      <c r="L22" s="37">
        <f t="shared" si="10"/>
        <v>225.51076690593123</v>
      </c>
      <c r="M22" s="175">
        <f t="shared" si="0"/>
        <v>4352414.3652098598</v>
      </c>
      <c r="N22" s="175">
        <f t="shared" si="1"/>
        <v>4624342</v>
      </c>
      <c r="O22" s="37">
        <f t="shared" si="11"/>
        <v>271927.6347901402</v>
      </c>
      <c r="P22" s="37">
        <f t="shared" si="12"/>
        <v>102.73050048739714</v>
      </c>
      <c r="Q22" s="68">
        <f t="shared" si="13"/>
        <v>6.25</v>
      </c>
      <c r="R22" s="407"/>
      <c r="S22" s="102"/>
    </row>
    <row r="23" spans="1:19">
      <c r="A23" s="102">
        <v>24</v>
      </c>
      <c r="B23" s="7" t="s">
        <v>1730</v>
      </c>
      <c r="C23" s="7">
        <v>1</v>
      </c>
      <c r="D23" s="175">
        <f t="shared" si="2"/>
        <v>2393</v>
      </c>
      <c r="E23" s="175">
        <f t="shared" si="3"/>
        <v>2374</v>
      </c>
      <c r="F23" s="37">
        <f t="shared" si="4"/>
        <v>-19</v>
      </c>
      <c r="G23" s="175">
        <f t="shared" si="5"/>
        <v>23089848.73</v>
      </c>
      <c r="H23" s="175">
        <f t="shared" si="6"/>
        <v>23338797.006631523</v>
      </c>
      <c r="I23" s="37">
        <f t="shared" si="7"/>
        <v>104.86448046820679</v>
      </c>
      <c r="J23" s="175">
        <f t="shared" si="8"/>
        <v>11282677</v>
      </c>
      <c r="K23" s="175">
        <f t="shared" si="9"/>
        <v>11231898</v>
      </c>
      <c r="L23" s="37">
        <f t="shared" si="10"/>
        <v>-21.389637742207245</v>
      </c>
      <c r="M23" s="175">
        <f t="shared" si="0"/>
        <v>13673306</v>
      </c>
      <c r="N23" s="175">
        <f t="shared" si="1"/>
        <v>13744526</v>
      </c>
      <c r="O23" s="37">
        <f t="shared" si="11"/>
        <v>71220</v>
      </c>
      <c r="P23" s="37">
        <f t="shared" si="12"/>
        <v>30</v>
      </c>
      <c r="Q23" s="68">
        <f t="shared" si="13"/>
        <v>0.52</v>
      </c>
      <c r="R23" s="407"/>
      <c r="S23" s="102"/>
    </row>
    <row r="24" spans="1:19">
      <c r="A24" s="102">
        <v>25</v>
      </c>
      <c r="B24" s="7" t="s">
        <v>1731</v>
      </c>
      <c r="C24" s="7">
        <v>1</v>
      </c>
      <c r="D24" s="175">
        <f t="shared" si="2"/>
        <v>2330</v>
      </c>
      <c r="E24" s="175">
        <f t="shared" si="3"/>
        <v>2332</v>
      </c>
      <c r="F24" s="37">
        <f t="shared" si="4"/>
        <v>2</v>
      </c>
      <c r="G24" s="175">
        <f t="shared" si="5"/>
        <v>22360509.420000002</v>
      </c>
      <c r="H24" s="175">
        <f t="shared" si="6"/>
        <v>22943454.173670746</v>
      </c>
      <c r="I24" s="37">
        <f t="shared" si="7"/>
        <v>249.97630946429871</v>
      </c>
      <c r="J24" s="175">
        <f t="shared" si="8"/>
        <v>15180149</v>
      </c>
      <c r="K24" s="175">
        <f t="shared" si="9"/>
        <v>15348243</v>
      </c>
      <c r="L24" s="37">
        <f t="shared" si="10"/>
        <v>72.081475128644939</v>
      </c>
      <c r="M24" s="175">
        <f t="shared" si="0"/>
        <v>8433985</v>
      </c>
      <c r="N24" s="175">
        <f t="shared" si="1"/>
        <v>8503945</v>
      </c>
      <c r="O24" s="37">
        <f t="shared" si="11"/>
        <v>69960</v>
      </c>
      <c r="P24" s="37">
        <f t="shared" si="12"/>
        <v>30</v>
      </c>
      <c r="Q24" s="68">
        <f t="shared" si="13"/>
        <v>0.83</v>
      </c>
      <c r="R24" s="407"/>
      <c r="S24" s="102"/>
    </row>
    <row r="25" spans="1:19">
      <c r="A25" s="102">
        <v>26</v>
      </c>
      <c r="B25" s="7" t="s">
        <v>1732</v>
      </c>
      <c r="C25" s="7">
        <v>1</v>
      </c>
      <c r="D25" s="175">
        <f t="shared" si="2"/>
        <v>4257</v>
      </c>
      <c r="E25" s="175">
        <f t="shared" si="3"/>
        <v>4355</v>
      </c>
      <c r="F25" s="37">
        <f t="shared" si="4"/>
        <v>98</v>
      </c>
      <c r="G25" s="175">
        <f t="shared" si="5"/>
        <v>40728661.169720002</v>
      </c>
      <c r="H25" s="175">
        <f t="shared" si="6"/>
        <v>42643514.599933475</v>
      </c>
      <c r="I25" s="37">
        <f t="shared" si="7"/>
        <v>439.69079913053361</v>
      </c>
      <c r="J25" s="175">
        <f t="shared" si="8"/>
        <v>33616892</v>
      </c>
      <c r="K25" s="175">
        <f t="shared" si="9"/>
        <v>34843282</v>
      </c>
      <c r="L25" s="37">
        <f t="shared" si="10"/>
        <v>281.60505166475315</v>
      </c>
      <c r="M25" s="175">
        <f t="shared" si="0"/>
        <v>7111769</v>
      </c>
      <c r="N25" s="175">
        <f t="shared" si="1"/>
        <v>7800233</v>
      </c>
      <c r="O25" s="37">
        <f t="shared" si="11"/>
        <v>688464</v>
      </c>
      <c r="P25" s="37">
        <f t="shared" si="12"/>
        <v>158.08587830080367</v>
      </c>
      <c r="Q25" s="68">
        <f t="shared" si="13"/>
        <v>9.68</v>
      </c>
      <c r="R25" s="407"/>
      <c r="S25" s="102"/>
    </row>
    <row r="26" spans="1:19">
      <c r="A26" s="102">
        <v>27</v>
      </c>
      <c r="B26" s="7" t="s">
        <v>1733</v>
      </c>
      <c r="C26" s="7">
        <v>1</v>
      </c>
      <c r="D26" s="175">
        <f t="shared" si="2"/>
        <v>752</v>
      </c>
      <c r="E26" s="175">
        <f t="shared" si="3"/>
        <v>784</v>
      </c>
      <c r="F26" s="37">
        <f t="shared" si="4"/>
        <v>32</v>
      </c>
      <c r="G26" s="175">
        <f t="shared" si="5"/>
        <v>6930346.8399999989</v>
      </c>
      <c r="H26" s="175">
        <f t="shared" si="6"/>
        <v>7359719.0961112287</v>
      </c>
      <c r="I26" s="37">
        <f t="shared" si="7"/>
        <v>547.66869401942574</v>
      </c>
      <c r="J26" s="175">
        <f t="shared" si="8"/>
        <v>3591123</v>
      </c>
      <c r="K26" s="175">
        <f t="shared" si="9"/>
        <v>3696563</v>
      </c>
      <c r="L26" s="37">
        <f t="shared" si="10"/>
        <v>134.48979591836735</v>
      </c>
      <c r="M26" s="175">
        <f t="shared" si="0"/>
        <v>3934448</v>
      </c>
      <c r="N26" s="175">
        <f t="shared" si="1"/>
        <v>3957968</v>
      </c>
      <c r="O26" s="37">
        <f t="shared" si="11"/>
        <v>23520</v>
      </c>
      <c r="P26" s="37">
        <f t="shared" si="12"/>
        <v>30</v>
      </c>
      <c r="Q26" s="68">
        <f t="shared" si="13"/>
        <v>0.6</v>
      </c>
      <c r="R26" s="407"/>
      <c r="S26" s="102"/>
    </row>
    <row r="27" spans="1:19">
      <c r="A27" s="102">
        <v>28</v>
      </c>
      <c r="B27" s="7" t="s">
        <v>1734</v>
      </c>
      <c r="C27" s="7">
        <v>1</v>
      </c>
      <c r="D27" s="175">
        <f t="shared" si="2"/>
        <v>155</v>
      </c>
      <c r="E27" s="175">
        <f t="shared" si="3"/>
        <v>160</v>
      </c>
      <c r="F27" s="37">
        <f t="shared" si="4"/>
        <v>5</v>
      </c>
      <c r="G27" s="175">
        <f t="shared" si="5"/>
        <v>1517885.7034299998</v>
      </c>
      <c r="H27" s="175">
        <f t="shared" si="6"/>
        <v>1603891.1351568666</v>
      </c>
      <c r="I27" s="37">
        <f t="shared" si="7"/>
        <v>537.5339482929179</v>
      </c>
      <c r="J27" s="175">
        <f t="shared" si="8"/>
        <v>1268093</v>
      </c>
      <c r="K27" s="175">
        <f t="shared" si="9"/>
        <v>1339179</v>
      </c>
      <c r="L27" s="37">
        <f t="shared" si="10"/>
        <v>444.28750000000002</v>
      </c>
      <c r="M27" s="175">
        <f t="shared" si="0"/>
        <v>449505</v>
      </c>
      <c r="N27" s="175">
        <f t="shared" si="1"/>
        <v>454305</v>
      </c>
      <c r="O27" s="37">
        <f t="shared" si="11"/>
        <v>4800</v>
      </c>
      <c r="P27" s="37">
        <f t="shared" si="12"/>
        <v>30</v>
      </c>
      <c r="Q27" s="68">
        <f t="shared" si="13"/>
        <v>1.07</v>
      </c>
      <c r="R27" s="407"/>
      <c r="S27" s="102"/>
    </row>
    <row r="28" spans="1:19">
      <c r="A28" s="102">
        <v>30</v>
      </c>
      <c r="B28" s="7" t="s">
        <v>1736</v>
      </c>
      <c r="C28" s="7">
        <v>1</v>
      </c>
      <c r="D28" s="175">
        <f t="shared" si="2"/>
        <v>4449</v>
      </c>
      <c r="E28" s="175">
        <f t="shared" si="3"/>
        <v>4444</v>
      </c>
      <c r="F28" s="37">
        <f t="shared" si="4"/>
        <v>-5</v>
      </c>
      <c r="G28" s="175">
        <f t="shared" si="5"/>
        <v>44666515.990000002</v>
      </c>
      <c r="H28" s="175">
        <f t="shared" si="6"/>
        <v>45588032.85854122</v>
      </c>
      <c r="I28" s="37">
        <f t="shared" si="7"/>
        <v>207.36203162493663</v>
      </c>
      <c r="J28" s="175">
        <f t="shared" si="8"/>
        <v>37114279</v>
      </c>
      <c r="K28" s="175">
        <f t="shared" si="9"/>
        <v>37741029</v>
      </c>
      <c r="L28" s="37">
        <f t="shared" si="10"/>
        <v>141.03285328532854</v>
      </c>
      <c r="M28" s="175">
        <f t="shared" si="0"/>
        <v>7750842</v>
      </c>
      <c r="N28" s="175">
        <f t="shared" si="1"/>
        <v>7884162</v>
      </c>
      <c r="O28" s="37">
        <f t="shared" si="11"/>
        <v>133320</v>
      </c>
      <c r="P28" s="37">
        <f t="shared" si="12"/>
        <v>30</v>
      </c>
      <c r="Q28" s="68">
        <f t="shared" si="13"/>
        <v>1.72</v>
      </c>
      <c r="R28" s="407"/>
      <c r="S28" s="102"/>
    </row>
    <row r="29" spans="1:19">
      <c r="A29" s="102">
        <v>31</v>
      </c>
      <c r="B29" s="7" t="s">
        <v>1737</v>
      </c>
      <c r="C29" s="7">
        <v>1</v>
      </c>
      <c r="D29" s="175">
        <f t="shared" si="2"/>
        <v>5162</v>
      </c>
      <c r="E29" s="175">
        <f t="shared" si="3"/>
        <v>5034</v>
      </c>
      <c r="F29" s="37">
        <f t="shared" si="4"/>
        <v>-128</v>
      </c>
      <c r="G29" s="175">
        <f t="shared" si="5"/>
        <v>49371895.506909996</v>
      </c>
      <c r="H29" s="175">
        <f t="shared" si="6"/>
        <v>49374269.014992416</v>
      </c>
      <c r="I29" s="37">
        <f t="shared" si="7"/>
        <v>0.47149544744132577</v>
      </c>
      <c r="J29" s="175">
        <f t="shared" si="8"/>
        <v>34830635</v>
      </c>
      <c r="K29" s="175">
        <f t="shared" si="9"/>
        <v>35556235</v>
      </c>
      <c r="L29" s="37">
        <f t="shared" si="10"/>
        <v>144.139849026619</v>
      </c>
      <c r="M29" s="175">
        <f t="shared" si="0"/>
        <v>18904494.0465394</v>
      </c>
      <c r="N29" s="175">
        <f t="shared" si="1"/>
        <v>19055514.0465394</v>
      </c>
      <c r="O29" s="37">
        <f t="shared" si="11"/>
        <v>151020</v>
      </c>
      <c r="P29" s="37">
        <f t="shared" si="12"/>
        <v>30</v>
      </c>
      <c r="Q29" s="68">
        <f t="shared" si="13"/>
        <v>0.8</v>
      </c>
      <c r="R29" s="407"/>
      <c r="S29" s="102"/>
    </row>
    <row r="30" spans="1:19">
      <c r="A30" s="102">
        <v>35</v>
      </c>
      <c r="B30" s="7" t="s">
        <v>1741</v>
      </c>
      <c r="C30" s="7">
        <v>1</v>
      </c>
      <c r="D30" s="175">
        <f t="shared" si="2"/>
        <v>64220</v>
      </c>
      <c r="E30" s="175">
        <f t="shared" si="3"/>
        <v>64602</v>
      </c>
      <c r="F30" s="37">
        <f t="shared" si="4"/>
        <v>382</v>
      </c>
      <c r="G30" s="175">
        <f t="shared" si="5"/>
        <v>802914847.56588995</v>
      </c>
      <c r="H30" s="175">
        <f t="shared" si="6"/>
        <v>829896970.52937865</v>
      </c>
      <c r="I30" s="37">
        <f t="shared" si="7"/>
        <v>417.6669911688291</v>
      </c>
      <c r="J30" s="175">
        <f t="shared" si="8"/>
        <v>666445514</v>
      </c>
      <c r="K30" s="175">
        <f t="shared" si="9"/>
        <v>686260642</v>
      </c>
      <c r="L30" s="37">
        <f t="shared" si="10"/>
        <v>306.72623138602518</v>
      </c>
      <c r="M30" s="175">
        <f t="shared" si="0"/>
        <v>216128435</v>
      </c>
      <c r="N30" s="175">
        <f t="shared" si="1"/>
        <v>218066495</v>
      </c>
      <c r="O30" s="37">
        <f t="shared" si="11"/>
        <v>1938060</v>
      </c>
      <c r="P30" s="37">
        <f t="shared" si="12"/>
        <v>30</v>
      </c>
      <c r="Q30" s="68">
        <f t="shared" si="13"/>
        <v>0.9</v>
      </c>
      <c r="R30" s="407"/>
      <c r="S30" s="102"/>
    </row>
    <row r="31" spans="1:19">
      <c r="A31" s="102">
        <v>36</v>
      </c>
      <c r="B31" s="7" t="s">
        <v>1742</v>
      </c>
      <c r="C31" s="7">
        <v>1</v>
      </c>
      <c r="D31" s="175">
        <f t="shared" si="2"/>
        <v>1950</v>
      </c>
      <c r="E31" s="175">
        <f t="shared" si="3"/>
        <v>1981</v>
      </c>
      <c r="F31" s="37">
        <f t="shared" si="4"/>
        <v>31</v>
      </c>
      <c r="G31" s="175">
        <f t="shared" si="5"/>
        <v>19315319.800000001</v>
      </c>
      <c r="H31" s="175">
        <f t="shared" si="6"/>
        <v>20067959.034898311</v>
      </c>
      <c r="I31" s="37">
        <f t="shared" si="7"/>
        <v>379.92894240197381</v>
      </c>
      <c r="J31" s="175">
        <f t="shared" si="8"/>
        <v>16178695</v>
      </c>
      <c r="K31" s="175">
        <f t="shared" si="9"/>
        <v>16608266</v>
      </c>
      <c r="L31" s="37">
        <f t="shared" si="10"/>
        <v>216.84553255931348</v>
      </c>
      <c r="M31" s="175">
        <f t="shared" si="0"/>
        <v>5034613</v>
      </c>
      <c r="N31" s="175">
        <f t="shared" si="1"/>
        <v>5094043</v>
      </c>
      <c r="O31" s="37">
        <f t="shared" si="11"/>
        <v>59430</v>
      </c>
      <c r="P31" s="37">
        <f t="shared" si="12"/>
        <v>30</v>
      </c>
      <c r="Q31" s="68">
        <f t="shared" si="13"/>
        <v>1.18</v>
      </c>
      <c r="R31" s="407"/>
      <c r="S31" s="102"/>
    </row>
    <row r="32" spans="1:19">
      <c r="A32" s="102">
        <v>38</v>
      </c>
      <c r="B32" s="7" t="s">
        <v>1744</v>
      </c>
      <c r="C32" s="7">
        <v>1</v>
      </c>
      <c r="D32" s="175">
        <f t="shared" si="2"/>
        <v>718</v>
      </c>
      <c r="E32" s="175">
        <f t="shared" si="3"/>
        <v>739</v>
      </c>
      <c r="F32" s="37">
        <f t="shared" si="4"/>
        <v>21</v>
      </c>
      <c r="G32" s="175">
        <f t="shared" si="5"/>
        <v>6361983.2980000013</v>
      </c>
      <c r="H32" s="175">
        <f t="shared" si="6"/>
        <v>6728318.9448366938</v>
      </c>
      <c r="I32" s="37">
        <f t="shared" si="7"/>
        <v>495.71806067211429</v>
      </c>
      <c r="J32" s="175">
        <f t="shared" si="8"/>
        <v>5310704</v>
      </c>
      <c r="K32" s="175">
        <f t="shared" si="9"/>
        <v>5579890</v>
      </c>
      <c r="L32" s="37">
        <f t="shared" si="10"/>
        <v>364.2571041948579</v>
      </c>
      <c r="M32" s="175">
        <f t="shared" si="0"/>
        <v>1683463</v>
      </c>
      <c r="N32" s="175">
        <f t="shared" si="1"/>
        <v>1705633</v>
      </c>
      <c r="O32" s="37">
        <f t="shared" si="11"/>
        <v>22170</v>
      </c>
      <c r="P32" s="37">
        <f t="shared" si="12"/>
        <v>30</v>
      </c>
      <c r="Q32" s="68">
        <f t="shared" si="13"/>
        <v>1.32</v>
      </c>
      <c r="R32" s="407"/>
      <c r="S32" s="102"/>
    </row>
    <row r="33" spans="1:19">
      <c r="A33" s="102">
        <v>39</v>
      </c>
      <c r="B33" s="7" t="s">
        <v>1745</v>
      </c>
      <c r="C33" s="7">
        <v>1</v>
      </c>
      <c r="D33" s="175">
        <f t="shared" si="2"/>
        <v>275</v>
      </c>
      <c r="E33" s="175">
        <f t="shared" si="3"/>
        <v>275</v>
      </c>
      <c r="F33" s="37">
        <f t="shared" si="4"/>
        <v>0</v>
      </c>
      <c r="G33" s="175">
        <f t="shared" si="5"/>
        <v>2586705.9099999997</v>
      </c>
      <c r="H33" s="175">
        <f t="shared" si="6"/>
        <v>2629403.7758567845</v>
      </c>
      <c r="I33" s="37">
        <f t="shared" si="7"/>
        <v>155.26496675194494</v>
      </c>
      <c r="J33" s="175">
        <f t="shared" si="8"/>
        <v>2165226</v>
      </c>
      <c r="K33" s="175">
        <f t="shared" si="9"/>
        <v>2172204</v>
      </c>
      <c r="L33" s="37">
        <f t="shared" si="10"/>
        <v>25.374545454545455</v>
      </c>
      <c r="M33" s="175">
        <f t="shared" si="0"/>
        <v>465437.88018750004</v>
      </c>
      <c r="N33" s="175">
        <f t="shared" si="1"/>
        <v>473687.88018750004</v>
      </c>
      <c r="O33" s="37">
        <f t="shared" si="11"/>
        <v>8250</v>
      </c>
      <c r="P33" s="37">
        <f t="shared" si="12"/>
        <v>30</v>
      </c>
      <c r="Q33" s="68">
        <f t="shared" si="13"/>
        <v>1.77</v>
      </c>
      <c r="R33" s="407"/>
      <c r="S33" s="102"/>
    </row>
    <row r="34" spans="1:19">
      <c r="A34" s="102">
        <v>40</v>
      </c>
      <c r="B34" s="7" t="s">
        <v>1746</v>
      </c>
      <c r="C34" s="7">
        <v>1</v>
      </c>
      <c r="D34" s="175">
        <f t="shared" si="2"/>
        <v>5615</v>
      </c>
      <c r="E34" s="175">
        <f t="shared" si="3"/>
        <v>5667</v>
      </c>
      <c r="F34" s="37">
        <f t="shared" si="4"/>
        <v>52</v>
      </c>
      <c r="G34" s="175">
        <f t="shared" si="5"/>
        <v>56110509.381990001</v>
      </c>
      <c r="H34" s="175">
        <f t="shared" si="6"/>
        <v>58118969.896002591</v>
      </c>
      <c r="I34" s="37">
        <f t="shared" si="7"/>
        <v>354.41336051042703</v>
      </c>
      <c r="J34" s="175">
        <f t="shared" si="8"/>
        <v>39512030</v>
      </c>
      <c r="K34" s="175">
        <f t="shared" si="9"/>
        <v>40917885</v>
      </c>
      <c r="L34" s="37">
        <f t="shared" si="10"/>
        <v>248.07746603140993</v>
      </c>
      <c r="M34" s="175">
        <f t="shared" si="0"/>
        <v>16598479</v>
      </c>
      <c r="N34" s="175">
        <f t="shared" si="1"/>
        <v>17201085</v>
      </c>
      <c r="O34" s="37">
        <f t="shared" si="11"/>
        <v>602606</v>
      </c>
      <c r="P34" s="37">
        <f t="shared" si="12"/>
        <v>106.33598023645668</v>
      </c>
      <c r="Q34" s="68">
        <f t="shared" si="13"/>
        <v>3.63</v>
      </c>
      <c r="R34" s="407"/>
      <c r="S34" s="102"/>
    </row>
    <row r="35" spans="1:19">
      <c r="A35" s="102">
        <v>41</v>
      </c>
      <c r="B35" s="7" t="s">
        <v>1747</v>
      </c>
      <c r="C35" s="7">
        <v>1</v>
      </c>
      <c r="D35" s="175">
        <f t="shared" si="2"/>
        <v>486</v>
      </c>
      <c r="E35" s="175">
        <f t="shared" si="3"/>
        <v>490</v>
      </c>
      <c r="F35" s="37">
        <f t="shared" si="4"/>
        <v>4</v>
      </c>
      <c r="G35" s="175">
        <f t="shared" si="5"/>
        <v>4710846.5600000005</v>
      </c>
      <c r="H35" s="175">
        <f t="shared" si="6"/>
        <v>4863009.8651172351</v>
      </c>
      <c r="I35" s="37">
        <f t="shared" si="7"/>
        <v>310.5373573821114</v>
      </c>
      <c r="J35" s="175">
        <f t="shared" si="8"/>
        <v>3929503</v>
      </c>
      <c r="K35" s="175">
        <f t="shared" si="9"/>
        <v>4034625</v>
      </c>
      <c r="L35" s="37">
        <f t="shared" si="10"/>
        <v>214.53469387755101</v>
      </c>
      <c r="M35" s="175">
        <f t="shared" si="0"/>
        <v>968749</v>
      </c>
      <c r="N35" s="175">
        <f t="shared" si="1"/>
        <v>983449</v>
      </c>
      <c r="O35" s="37">
        <f t="shared" si="11"/>
        <v>14700</v>
      </c>
      <c r="P35" s="37">
        <f t="shared" si="12"/>
        <v>30</v>
      </c>
      <c r="Q35" s="68">
        <f t="shared" si="13"/>
        <v>1.52</v>
      </c>
      <c r="R35" s="407"/>
      <c r="S35" s="102"/>
    </row>
    <row r="36" spans="1:19">
      <c r="A36" s="102">
        <v>43</v>
      </c>
      <c r="B36" s="7" t="s">
        <v>1749</v>
      </c>
      <c r="C36" s="7">
        <v>1</v>
      </c>
      <c r="D36" s="175">
        <f t="shared" si="2"/>
        <v>256</v>
      </c>
      <c r="E36" s="175">
        <f t="shared" si="3"/>
        <v>268</v>
      </c>
      <c r="F36" s="37">
        <f t="shared" si="4"/>
        <v>12</v>
      </c>
      <c r="G36" s="175">
        <f t="shared" si="5"/>
        <v>2386674.08</v>
      </c>
      <c r="H36" s="175">
        <f t="shared" si="6"/>
        <v>2534076.5705832485</v>
      </c>
      <c r="I36" s="37">
        <f t="shared" si="7"/>
        <v>550.00929322107629</v>
      </c>
      <c r="J36" s="175">
        <f t="shared" si="8"/>
        <v>1412227</v>
      </c>
      <c r="K36" s="175">
        <f t="shared" si="9"/>
        <v>1459687</v>
      </c>
      <c r="L36" s="37">
        <f t="shared" si="10"/>
        <v>177.08955223880596</v>
      </c>
      <c r="M36" s="175">
        <f t="shared" si="0"/>
        <v>1223352</v>
      </c>
      <c r="N36" s="175">
        <f t="shared" si="1"/>
        <v>1231392</v>
      </c>
      <c r="O36" s="37">
        <f t="shared" si="11"/>
        <v>8040</v>
      </c>
      <c r="P36" s="37">
        <f t="shared" si="12"/>
        <v>30</v>
      </c>
      <c r="Q36" s="68">
        <f t="shared" si="13"/>
        <v>0.66</v>
      </c>
      <c r="R36" s="407"/>
      <c r="S36" s="102"/>
    </row>
    <row r="37" spans="1:19">
      <c r="A37" s="102">
        <v>44</v>
      </c>
      <c r="B37" s="7" t="s">
        <v>1750</v>
      </c>
      <c r="C37" s="7">
        <v>1</v>
      </c>
      <c r="D37" s="175">
        <f t="shared" si="2"/>
        <v>17674</v>
      </c>
      <c r="E37" s="175">
        <f t="shared" si="3"/>
        <v>17888</v>
      </c>
      <c r="F37" s="37">
        <f t="shared" si="4"/>
        <v>214</v>
      </c>
      <c r="G37" s="175">
        <f t="shared" si="5"/>
        <v>202933234.47</v>
      </c>
      <c r="H37" s="175">
        <f t="shared" si="6"/>
        <v>210658023.1896143</v>
      </c>
      <c r="I37" s="37">
        <f t="shared" si="7"/>
        <v>431.84194541672053</v>
      </c>
      <c r="J37" s="175">
        <f t="shared" si="8"/>
        <v>40436538</v>
      </c>
      <c r="K37" s="175">
        <f t="shared" si="9"/>
        <v>42271112</v>
      </c>
      <c r="L37" s="37">
        <f t="shared" si="10"/>
        <v>102.55892218246869</v>
      </c>
      <c r="M37" s="175">
        <f t="shared" si="0"/>
        <v>171012998</v>
      </c>
      <c r="N37" s="175">
        <f t="shared" si="1"/>
        <v>171549638</v>
      </c>
      <c r="O37" s="37">
        <f t="shared" si="11"/>
        <v>536640</v>
      </c>
      <c r="P37" s="37">
        <f t="shared" si="12"/>
        <v>30</v>
      </c>
      <c r="Q37" s="68">
        <f t="shared" si="13"/>
        <v>0.31</v>
      </c>
      <c r="R37" s="407"/>
      <c r="S37" s="102"/>
    </row>
    <row r="38" spans="1:19">
      <c r="A38" s="102">
        <v>45</v>
      </c>
      <c r="B38" s="7" t="s">
        <v>1751</v>
      </c>
      <c r="C38" s="7">
        <v>1</v>
      </c>
      <c r="D38" s="175">
        <f t="shared" si="2"/>
        <v>243</v>
      </c>
      <c r="E38" s="175">
        <f t="shared" si="3"/>
        <v>234</v>
      </c>
      <c r="F38" s="37">
        <f t="shared" si="4"/>
        <v>-9</v>
      </c>
      <c r="G38" s="175">
        <f t="shared" si="5"/>
        <v>2406993.0500000003</v>
      </c>
      <c r="H38" s="175">
        <f t="shared" si="6"/>
        <v>2393041.9473765823</v>
      </c>
      <c r="I38" s="37">
        <f t="shared" si="7"/>
        <v>-59.620096681273388</v>
      </c>
      <c r="J38" s="175">
        <f t="shared" si="8"/>
        <v>1047029</v>
      </c>
      <c r="K38" s="175">
        <f t="shared" si="9"/>
        <v>1030082</v>
      </c>
      <c r="L38" s="37">
        <f t="shared" si="10"/>
        <v>-72.42307692307692</v>
      </c>
      <c r="M38" s="175">
        <f t="shared" si="0"/>
        <v>1419330</v>
      </c>
      <c r="N38" s="175">
        <f t="shared" si="1"/>
        <v>1426350</v>
      </c>
      <c r="O38" s="37">
        <f t="shared" si="11"/>
        <v>7020</v>
      </c>
      <c r="P38" s="37">
        <f t="shared" si="12"/>
        <v>30</v>
      </c>
      <c r="Q38" s="68">
        <f t="shared" si="13"/>
        <v>0.49</v>
      </c>
      <c r="R38" s="407"/>
      <c r="S38" s="102"/>
    </row>
    <row r="39" spans="1:19">
      <c r="A39" s="102">
        <v>46</v>
      </c>
      <c r="B39" s="7" t="s">
        <v>1752</v>
      </c>
      <c r="C39" s="7">
        <v>1</v>
      </c>
      <c r="D39" s="175">
        <f t="shared" si="2"/>
        <v>7502</v>
      </c>
      <c r="E39" s="175">
        <f t="shared" si="3"/>
        <v>7541</v>
      </c>
      <c r="F39" s="37">
        <f t="shared" si="4"/>
        <v>39</v>
      </c>
      <c r="G39" s="175">
        <f t="shared" si="5"/>
        <v>73409265.273400009</v>
      </c>
      <c r="H39" s="175">
        <f t="shared" si="6"/>
        <v>75819883.374121532</v>
      </c>
      <c r="I39" s="37">
        <f t="shared" si="7"/>
        <v>319.66822712127345</v>
      </c>
      <c r="J39" s="175">
        <f t="shared" si="8"/>
        <v>60679638</v>
      </c>
      <c r="K39" s="175">
        <f t="shared" si="9"/>
        <v>62590117</v>
      </c>
      <c r="L39" s="37">
        <f t="shared" si="10"/>
        <v>253.34557750961412</v>
      </c>
      <c r="M39" s="175">
        <f t="shared" si="0"/>
        <v>12729627</v>
      </c>
      <c r="N39" s="175">
        <f t="shared" si="1"/>
        <v>13229766</v>
      </c>
      <c r="O39" s="37">
        <f t="shared" si="11"/>
        <v>500139</v>
      </c>
      <c r="P39" s="37">
        <f t="shared" si="12"/>
        <v>66.322636255138576</v>
      </c>
      <c r="Q39" s="68">
        <f t="shared" si="13"/>
        <v>3.93</v>
      </c>
      <c r="R39" s="407"/>
      <c r="S39" s="102"/>
    </row>
    <row r="40" spans="1:19">
      <c r="A40" s="102">
        <v>48</v>
      </c>
      <c r="B40" s="7" t="s">
        <v>1754</v>
      </c>
      <c r="C40" s="7">
        <v>1</v>
      </c>
      <c r="D40" s="175">
        <f t="shared" si="2"/>
        <v>3458</v>
      </c>
      <c r="E40" s="175">
        <f t="shared" si="3"/>
        <v>3495</v>
      </c>
      <c r="F40" s="37">
        <f t="shared" si="4"/>
        <v>37</v>
      </c>
      <c r="G40" s="175">
        <f t="shared" si="5"/>
        <v>34371376.749679998</v>
      </c>
      <c r="H40" s="175">
        <f t="shared" si="6"/>
        <v>35700016.024699226</v>
      </c>
      <c r="I40" s="37">
        <f t="shared" si="7"/>
        <v>380.15429900407111</v>
      </c>
      <c r="J40" s="175">
        <f t="shared" si="8"/>
        <v>28843485</v>
      </c>
      <c r="K40" s="175">
        <f t="shared" si="9"/>
        <v>29571420</v>
      </c>
      <c r="L40" s="37">
        <f t="shared" si="10"/>
        <v>208.27896995708156</v>
      </c>
      <c r="M40" s="175">
        <f t="shared" si="0"/>
        <v>5961486.2333384063</v>
      </c>
      <c r="N40" s="175">
        <f t="shared" si="1"/>
        <v>6128596</v>
      </c>
      <c r="O40" s="37">
        <f t="shared" si="11"/>
        <v>167109.76666159369</v>
      </c>
      <c r="P40" s="37">
        <f t="shared" si="12"/>
        <v>47.8139532651198</v>
      </c>
      <c r="Q40" s="68">
        <f t="shared" si="13"/>
        <v>2.8</v>
      </c>
      <c r="R40" s="407"/>
      <c r="S40" s="102"/>
    </row>
    <row r="41" spans="1:19">
      <c r="A41" s="102">
        <v>49</v>
      </c>
      <c r="B41" s="7" t="s">
        <v>1755</v>
      </c>
      <c r="C41" s="7">
        <v>1</v>
      </c>
      <c r="D41" s="175">
        <f t="shared" si="2"/>
        <v>7009</v>
      </c>
      <c r="E41" s="175">
        <f t="shared" si="3"/>
        <v>7159</v>
      </c>
      <c r="F41" s="37">
        <f t="shared" si="4"/>
        <v>150</v>
      </c>
      <c r="G41" s="175">
        <f t="shared" si="5"/>
        <v>80655732.60428001</v>
      </c>
      <c r="H41" s="175">
        <f t="shared" si="6"/>
        <v>84055799.773383468</v>
      </c>
      <c r="I41" s="37">
        <f t="shared" si="7"/>
        <v>474.93604820553969</v>
      </c>
      <c r="J41" s="175">
        <f t="shared" si="8"/>
        <v>67464934</v>
      </c>
      <c r="K41" s="175">
        <f t="shared" si="9"/>
        <v>69688258</v>
      </c>
      <c r="L41" s="37">
        <f t="shared" si="10"/>
        <v>310.56348652046375</v>
      </c>
      <c r="M41" s="175">
        <f t="shared" si="0"/>
        <v>13287462</v>
      </c>
      <c r="N41" s="175">
        <f t="shared" si="1"/>
        <v>14474654</v>
      </c>
      <c r="O41" s="37">
        <f t="shared" si="11"/>
        <v>1187192</v>
      </c>
      <c r="P41" s="37">
        <f t="shared" si="12"/>
        <v>165.83209945523117</v>
      </c>
      <c r="Q41" s="68">
        <f t="shared" si="13"/>
        <v>8.93</v>
      </c>
      <c r="R41" s="407"/>
      <c r="S41" s="102"/>
    </row>
    <row r="42" spans="1:19">
      <c r="A42" s="102">
        <v>50</v>
      </c>
      <c r="B42" s="7" t="s">
        <v>1756</v>
      </c>
      <c r="C42" s="7">
        <v>1</v>
      </c>
      <c r="D42" s="175">
        <f t="shared" si="2"/>
        <v>3219</v>
      </c>
      <c r="E42" s="175">
        <f t="shared" si="3"/>
        <v>3340</v>
      </c>
      <c r="F42" s="37">
        <f t="shared" si="4"/>
        <v>121</v>
      </c>
      <c r="G42" s="175">
        <f t="shared" si="5"/>
        <v>31711055.289259996</v>
      </c>
      <c r="H42" s="175">
        <f t="shared" si="6"/>
        <v>33816147.853070647</v>
      </c>
      <c r="I42" s="37">
        <f t="shared" si="7"/>
        <v>630.26723467384738</v>
      </c>
      <c r="J42" s="175">
        <f t="shared" si="8"/>
        <v>26390963</v>
      </c>
      <c r="K42" s="175">
        <f t="shared" si="9"/>
        <v>27788653</v>
      </c>
      <c r="L42" s="37">
        <f t="shared" si="10"/>
        <v>418.47005988023955</v>
      </c>
      <c r="M42" s="175">
        <f t="shared" si="0"/>
        <v>5320092</v>
      </c>
      <c r="N42" s="175">
        <f t="shared" si="1"/>
        <v>6027495</v>
      </c>
      <c r="O42" s="37">
        <f t="shared" si="11"/>
        <v>707403</v>
      </c>
      <c r="P42" s="37">
        <f t="shared" si="12"/>
        <v>211.79730538922155</v>
      </c>
      <c r="Q42" s="68">
        <f t="shared" si="13"/>
        <v>13.3</v>
      </c>
      <c r="R42" s="407"/>
      <c r="S42" s="102"/>
    </row>
    <row r="43" spans="1:19">
      <c r="A43" s="102">
        <v>51</v>
      </c>
      <c r="B43" s="7" t="s">
        <v>1757</v>
      </c>
      <c r="C43" s="7">
        <v>1</v>
      </c>
      <c r="D43" s="175">
        <f t="shared" si="2"/>
        <v>577</v>
      </c>
      <c r="E43" s="175">
        <f t="shared" si="3"/>
        <v>563</v>
      </c>
      <c r="F43" s="37">
        <f t="shared" si="4"/>
        <v>-14</v>
      </c>
      <c r="G43" s="175">
        <f t="shared" si="5"/>
        <v>5096190.4877600009</v>
      </c>
      <c r="H43" s="175">
        <f t="shared" si="6"/>
        <v>5148187.6529762335</v>
      </c>
      <c r="I43" s="37">
        <f t="shared" si="7"/>
        <v>92.35730944268677</v>
      </c>
      <c r="J43" s="175">
        <f t="shared" si="8"/>
        <v>4276513</v>
      </c>
      <c r="K43" s="175">
        <f t="shared" si="9"/>
        <v>4284734</v>
      </c>
      <c r="L43" s="37">
        <f t="shared" si="10"/>
        <v>14.602131438721138</v>
      </c>
      <c r="M43" s="175">
        <f t="shared" si="0"/>
        <v>914282.09694868699</v>
      </c>
      <c r="N43" s="175">
        <f t="shared" si="1"/>
        <v>931172.09694868699</v>
      </c>
      <c r="O43" s="37">
        <f t="shared" si="11"/>
        <v>16890</v>
      </c>
      <c r="P43" s="37">
        <f t="shared" si="12"/>
        <v>30</v>
      </c>
      <c r="Q43" s="68">
        <f t="shared" si="13"/>
        <v>1.85</v>
      </c>
      <c r="R43" s="407"/>
      <c r="S43" s="102"/>
    </row>
    <row r="44" spans="1:19">
      <c r="A44" s="102">
        <v>52</v>
      </c>
      <c r="B44" s="7" t="s">
        <v>1758</v>
      </c>
      <c r="C44" s="7">
        <v>1</v>
      </c>
      <c r="D44" s="175">
        <f t="shared" si="2"/>
        <v>1651</v>
      </c>
      <c r="E44" s="175">
        <f t="shared" si="3"/>
        <v>1651</v>
      </c>
      <c r="F44" s="37">
        <f t="shared" si="4"/>
        <v>0</v>
      </c>
      <c r="G44" s="175">
        <f t="shared" si="5"/>
        <v>16376740.850159999</v>
      </c>
      <c r="H44" s="175">
        <f t="shared" si="6"/>
        <v>16782096.605596974</v>
      </c>
      <c r="I44" s="37">
        <f t="shared" si="7"/>
        <v>245.52135398968838</v>
      </c>
      <c r="J44" s="175">
        <f t="shared" si="8"/>
        <v>8366875</v>
      </c>
      <c r="K44" s="175">
        <f t="shared" si="9"/>
        <v>8454008</v>
      </c>
      <c r="L44" s="37">
        <f t="shared" si="10"/>
        <v>52.775893397940642</v>
      </c>
      <c r="M44" s="175">
        <f t="shared" si="0"/>
        <v>9863519</v>
      </c>
      <c r="N44" s="175">
        <f t="shared" si="1"/>
        <v>9913049</v>
      </c>
      <c r="O44" s="37">
        <f t="shared" si="11"/>
        <v>49530</v>
      </c>
      <c r="P44" s="37">
        <f t="shared" si="12"/>
        <v>30</v>
      </c>
      <c r="Q44" s="68">
        <f t="shared" si="13"/>
        <v>0.5</v>
      </c>
      <c r="R44" s="407"/>
      <c r="S44" s="102"/>
    </row>
    <row r="45" spans="1:19">
      <c r="A45" s="102">
        <v>56</v>
      </c>
      <c r="B45" s="7" t="s">
        <v>1762</v>
      </c>
      <c r="C45" s="7">
        <v>1</v>
      </c>
      <c r="D45" s="175">
        <f t="shared" si="2"/>
        <v>4970</v>
      </c>
      <c r="E45" s="175">
        <f t="shared" si="3"/>
        <v>4932</v>
      </c>
      <c r="F45" s="37">
        <f t="shared" si="4"/>
        <v>-38</v>
      </c>
      <c r="G45" s="175">
        <f t="shared" si="5"/>
        <v>46800513.146480002</v>
      </c>
      <c r="H45" s="175">
        <f t="shared" si="6"/>
        <v>47405594.168949671</v>
      </c>
      <c r="I45" s="37">
        <f t="shared" si="7"/>
        <v>122.68471664024119</v>
      </c>
      <c r="J45" s="175">
        <f t="shared" si="8"/>
        <v>38219600</v>
      </c>
      <c r="K45" s="175">
        <f t="shared" si="9"/>
        <v>37968938</v>
      </c>
      <c r="L45" s="37">
        <f t="shared" si="10"/>
        <v>-50.823600973236012</v>
      </c>
      <c r="M45" s="175">
        <f t="shared" si="0"/>
        <v>10746368</v>
      </c>
      <c r="N45" s="175">
        <f t="shared" si="1"/>
        <v>10894328</v>
      </c>
      <c r="O45" s="37">
        <f t="shared" si="11"/>
        <v>147960</v>
      </c>
      <c r="P45" s="37">
        <f t="shared" si="12"/>
        <v>30</v>
      </c>
      <c r="Q45" s="68">
        <f t="shared" si="13"/>
        <v>1.38</v>
      </c>
      <c r="R45" s="407"/>
      <c r="S45" s="102"/>
    </row>
    <row r="46" spans="1:19">
      <c r="A46" s="102">
        <v>57</v>
      </c>
      <c r="B46" s="7" t="s">
        <v>1763</v>
      </c>
      <c r="C46" s="7">
        <v>1</v>
      </c>
      <c r="D46" s="175">
        <f t="shared" si="2"/>
        <v>7038</v>
      </c>
      <c r="E46" s="175">
        <f t="shared" si="3"/>
        <v>7143</v>
      </c>
      <c r="F46" s="37">
        <f t="shared" si="4"/>
        <v>105</v>
      </c>
      <c r="G46" s="175">
        <f t="shared" si="5"/>
        <v>83654803.231740028</v>
      </c>
      <c r="H46" s="175">
        <f t="shared" si="6"/>
        <v>87574481.054575801</v>
      </c>
      <c r="I46" s="37">
        <f t="shared" si="7"/>
        <v>548.74392031860191</v>
      </c>
      <c r="J46" s="175">
        <f t="shared" si="8"/>
        <v>14735937</v>
      </c>
      <c r="K46" s="175">
        <f t="shared" si="9"/>
        <v>16070465</v>
      </c>
      <c r="L46" s="37">
        <f t="shared" si="10"/>
        <v>186.83018339633207</v>
      </c>
      <c r="M46" s="175">
        <f t="shared" si="0"/>
        <v>71681078</v>
      </c>
      <c r="N46" s="175">
        <f t="shared" si="1"/>
        <v>73109660</v>
      </c>
      <c r="O46" s="37">
        <f t="shared" si="11"/>
        <v>1428582</v>
      </c>
      <c r="P46" s="37">
        <f t="shared" si="12"/>
        <v>199.99748005039899</v>
      </c>
      <c r="Q46" s="68">
        <f t="shared" si="13"/>
        <v>1.99</v>
      </c>
      <c r="R46" s="407"/>
      <c r="S46" s="102"/>
    </row>
    <row r="47" spans="1:19">
      <c r="A47" s="102">
        <v>61</v>
      </c>
      <c r="B47" s="7" t="s">
        <v>1767</v>
      </c>
      <c r="C47" s="7">
        <v>1</v>
      </c>
      <c r="D47" s="175">
        <f t="shared" si="2"/>
        <v>7724</v>
      </c>
      <c r="E47" s="175">
        <f t="shared" si="3"/>
        <v>7758</v>
      </c>
      <c r="F47" s="37">
        <f t="shared" si="4"/>
        <v>34</v>
      </c>
      <c r="G47" s="175">
        <f t="shared" si="5"/>
        <v>89575524.349999979</v>
      </c>
      <c r="H47" s="175">
        <f t="shared" si="6"/>
        <v>91782958.022283211</v>
      </c>
      <c r="I47" s="37">
        <f t="shared" si="7"/>
        <v>284.53643623140402</v>
      </c>
      <c r="J47" s="175">
        <f t="shared" si="8"/>
        <v>30016446</v>
      </c>
      <c r="K47" s="175">
        <f t="shared" si="9"/>
        <v>29420367</v>
      </c>
      <c r="L47" s="37">
        <f t="shared" si="10"/>
        <v>-76.834106728538288</v>
      </c>
      <c r="M47" s="175">
        <f t="shared" si="0"/>
        <v>59936745</v>
      </c>
      <c r="N47" s="175">
        <f t="shared" si="1"/>
        <v>62362591</v>
      </c>
      <c r="O47" s="37">
        <f t="shared" si="11"/>
        <v>2425846</v>
      </c>
      <c r="P47" s="37">
        <f t="shared" si="12"/>
        <v>312.68961072441351</v>
      </c>
      <c r="Q47" s="68">
        <f t="shared" si="13"/>
        <v>4.05</v>
      </c>
      <c r="R47" s="407"/>
      <c r="S47" s="102"/>
    </row>
    <row r="48" spans="1:19">
      <c r="A48" s="102">
        <v>63</v>
      </c>
      <c r="B48" s="7" t="s">
        <v>1769</v>
      </c>
      <c r="C48" s="7">
        <v>1</v>
      </c>
      <c r="D48" s="175">
        <f t="shared" si="2"/>
        <v>175</v>
      </c>
      <c r="E48" s="175">
        <f t="shared" si="3"/>
        <v>180</v>
      </c>
      <c r="F48" s="37">
        <f t="shared" si="4"/>
        <v>5</v>
      </c>
      <c r="G48" s="175">
        <f t="shared" si="5"/>
        <v>1783981.5799999998</v>
      </c>
      <c r="H48" s="175">
        <f t="shared" si="6"/>
        <v>1862062.3235625066</v>
      </c>
      <c r="I48" s="37">
        <f t="shared" si="7"/>
        <v>433.78190868059301</v>
      </c>
      <c r="J48" s="175">
        <f t="shared" si="8"/>
        <v>612660</v>
      </c>
      <c r="K48" s="175">
        <f t="shared" si="9"/>
        <v>641854</v>
      </c>
      <c r="L48" s="37">
        <f t="shared" si="10"/>
        <v>162.1888888888889</v>
      </c>
      <c r="M48" s="175">
        <f t="shared" si="0"/>
        <v>1783225</v>
      </c>
      <c r="N48" s="175">
        <f t="shared" si="1"/>
        <v>1788625</v>
      </c>
      <c r="O48" s="37">
        <f t="shared" si="11"/>
        <v>5400</v>
      </c>
      <c r="P48" s="37">
        <f t="shared" si="12"/>
        <v>30</v>
      </c>
      <c r="Q48" s="68">
        <f t="shared" si="13"/>
        <v>0.3</v>
      </c>
      <c r="R48" s="407"/>
      <c r="S48" s="102"/>
    </row>
    <row r="49" spans="1:19">
      <c r="A49" s="102">
        <v>64</v>
      </c>
      <c r="B49" s="7" t="s">
        <v>1770</v>
      </c>
      <c r="C49" s="7">
        <v>1</v>
      </c>
      <c r="D49" s="175">
        <f t="shared" si="2"/>
        <v>2029</v>
      </c>
      <c r="E49" s="175">
        <f t="shared" si="3"/>
        <v>2026</v>
      </c>
      <c r="F49" s="37">
        <f t="shared" si="4"/>
        <v>-3</v>
      </c>
      <c r="G49" s="175">
        <f t="shared" si="5"/>
        <v>21580495.630000003</v>
      </c>
      <c r="H49" s="175">
        <f t="shared" si="6"/>
        <v>21918110.246938307</v>
      </c>
      <c r="I49" s="37">
        <f t="shared" si="7"/>
        <v>166.64097578396058</v>
      </c>
      <c r="J49" s="175">
        <f t="shared" si="8"/>
        <v>9661218</v>
      </c>
      <c r="K49" s="175">
        <f t="shared" si="9"/>
        <v>9770470</v>
      </c>
      <c r="L49" s="37">
        <f t="shared" si="10"/>
        <v>53.924975320829219</v>
      </c>
      <c r="M49" s="175">
        <f t="shared" si="0"/>
        <v>12016981</v>
      </c>
      <c r="N49" s="175">
        <f t="shared" si="1"/>
        <v>12209651</v>
      </c>
      <c r="O49" s="37">
        <f t="shared" si="11"/>
        <v>192670</v>
      </c>
      <c r="P49" s="37">
        <f t="shared" si="12"/>
        <v>95.098716683119449</v>
      </c>
      <c r="Q49" s="68">
        <f t="shared" si="13"/>
        <v>1.6</v>
      </c>
      <c r="R49" s="407"/>
      <c r="S49" s="102"/>
    </row>
    <row r="50" spans="1:19">
      <c r="A50" s="102">
        <v>65</v>
      </c>
      <c r="B50" s="7" t="s">
        <v>1771</v>
      </c>
      <c r="C50" s="7">
        <v>1</v>
      </c>
      <c r="D50" s="175">
        <f t="shared" si="2"/>
        <v>1586</v>
      </c>
      <c r="E50" s="175">
        <f t="shared" si="3"/>
        <v>1525</v>
      </c>
      <c r="F50" s="37">
        <f t="shared" si="4"/>
        <v>-61</v>
      </c>
      <c r="G50" s="175">
        <f t="shared" si="5"/>
        <v>14622821.151839999</v>
      </c>
      <c r="H50" s="175">
        <f t="shared" si="6"/>
        <v>14375663.798876762</v>
      </c>
      <c r="I50" s="37">
        <f t="shared" si="7"/>
        <v>-162.07039538572923</v>
      </c>
      <c r="J50" s="175">
        <f t="shared" si="8"/>
        <v>12122957</v>
      </c>
      <c r="K50" s="175">
        <f t="shared" si="9"/>
        <v>11992671</v>
      </c>
      <c r="L50" s="37">
        <f t="shared" si="10"/>
        <v>-85.433442622950821</v>
      </c>
      <c r="M50" s="175">
        <f t="shared" si="0"/>
        <v>2499864</v>
      </c>
      <c r="N50" s="175">
        <f t="shared" si="1"/>
        <v>2545614</v>
      </c>
      <c r="O50" s="37">
        <f t="shared" si="11"/>
        <v>45750</v>
      </c>
      <c r="P50" s="37">
        <f t="shared" si="12"/>
        <v>30</v>
      </c>
      <c r="Q50" s="68">
        <f t="shared" si="13"/>
        <v>1.83</v>
      </c>
      <c r="R50" s="407"/>
      <c r="S50" s="102"/>
    </row>
    <row r="51" spans="1:19">
      <c r="A51" s="102">
        <v>67</v>
      </c>
      <c r="B51" s="7" t="s">
        <v>1773</v>
      </c>
      <c r="C51" s="7">
        <v>1</v>
      </c>
      <c r="D51" s="175">
        <f t="shared" si="2"/>
        <v>2011</v>
      </c>
      <c r="E51" s="175">
        <f t="shared" si="3"/>
        <v>2029</v>
      </c>
      <c r="F51" s="37">
        <f t="shared" si="4"/>
        <v>18</v>
      </c>
      <c r="G51" s="175">
        <f t="shared" si="5"/>
        <v>18255708.435599998</v>
      </c>
      <c r="H51" s="175">
        <f t="shared" si="6"/>
        <v>18805576.707899675</v>
      </c>
      <c r="I51" s="37">
        <f t="shared" si="7"/>
        <v>271.00456988648455</v>
      </c>
      <c r="J51" s="175">
        <f t="shared" si="8"/>
        <v>15225394</v>
      </c>
      <c r="K51" s="175">
        <f t="shared" si="9"/>
        <v>15575689</v>
      </c>
      <c r="L51" s="37">
        <f t="shared" si="10"/>
        <v>172.64415968457368</v>
      </c>
      <c r="M51" s="175">
        <f t="shared" si="0"/>
        <v>3030314</v>
      </c>
      <c r="N51" s="175">
        <f t="shared" si="1"/>
        <v>3229888</v>
      </c>
      <c r="O51" s="37">
        <f t="shared" si="11"/>
        <v>199574</v>
      </c>
      <c r="P51" s="37">
        <f t="shared" si="12"/>
        <v>98.360768851651059</v>
      </c>
      <c r="Q51" s="68">
        <f t="shared" si="13"/>
        <v>6.59</v>
      </c>
      <c r="R51" s="407"/>
      <c r="S51" s="102"/>
    </row>
    <row r="52" spans="1:19">
      <c r="A52" s="102">
        <v>68</v>
      </c>
      <c r="B52" s="7" t="s">
        <v>1774</v>
      </c>
      <c r="C52" s="7">
        <v>1</v>
      </c>
      <c r="D52" s="175">
        <f t="shared" si="2"/>
        <v>134</v>
      </c>
      <c r="E52" s="175">
        <f t="shared" si="3"/>
        <v>117</v>
      </c>
      <c r="F52" s="37">
        <f t="shared" si="4"/>
        <v>-17</v>
      </c>
      <c r="G52" s="175">
        <f t="shared" si="5"/>
        <v>1259226.5200000005</v>
      </c>
      <c r="H52" s="175">
        <f t="shared" si="6"/>
        <v>1137791.5559876624</v>
      </c>
      <c r="I52" s="37">
        <f t="shared" si="7"/>
        <v>-1037.9056753191289</v>
      </c>
      <c r="J52" s="175">
        <f t="shared" si="8"/>
        <v>1022166</v>
      </c>
      <c r="K52" s="175">
        <f t="shared" si="9"/>
        <v>909237</v>
      </c>
      <c r="L52" s="37">
        <f t="shared" si="10"/>
        <v>-965.20512820512818</v>
      </c>
      <c r="M52" s="175">
        <f t="shared" si="0"/>
        <v>617374</v>
      </c>
      <c r="N52" s="175">
        <f t="shared" si="1"/>
        <v>620884</v>
      </c>
      <c r="O52" s="37">
        <f t="shared" si="11"/>
        <v>3510</v>
      </c>
      <c r="P52" s="37">
        <f t="shared" si="12"/>
        <v>30</v>
      </c>
      <c r="Q52" s="68">
        <f t="shared" si="13"/>
        <v>0.56999999999999995</v>
      </c>
      <c r="R52" s="407"/>
      <c r="S52" s="102"/>
    </row>
    <row r="53" spans="1:19">
      <c r="A53" s="102">
        <v>71</v>
      </c>
      <c r="B53" s="7" t="s">
        <v>1777</v>
      </c>
      <c r="C53" s="7">
        <v>1</v>
      </c>
      <c r="D53" s="175">
        <f t="shared" si="2"/>
        <v>3689</v>
      </c>
      <c r="E53" s="175">
        <f t="shared" si="3"/>
        <v>3460</v>
      </c>
      <c r="F53" s="37">
        <f t="shared" si="4"/>
        <v>-229</v>
      </c>
      <c r="G53" s="175">
        <f t="shared" si="5"/>
        <v>35588532.009999998</v>
      </c>
      <c r="H53" s="175">
        <f t="shared" si="6"/>
        <v>33833411.73052796</v>
      </c>
      <c r="I53" s="37">
        <f t="shared" si="7"/>
        <v>-507.26019637920177</v>
      </c>
      <c r="J53" s="175">
        <f t="shared" si="8"/>
        <v>29520671</v>
      </c>
      <c r="K53" s="175">
        <f t="shared" si="9"/>
        <v>28261906</v>
      </c>
      <c r="L53" s="37">
        <f t="shared" si="10"/>
        <v>-363.8049132947977</v>
      </c>
      <c r="M53" s="175">
        <f t="shared" si="0"/>
        <v>6629052.4445563704</v>
      </c>
      <c r="N53" s="175">
        <f t="shared" si="1"/>
        <v>6732852.4445563704</v>
      </c>
      <c r="O53" s="37">
        <f t="shared" si="11"/>
        <v>103800</v>
      </c>
      <c r="P53" s="37">
        <f t="shared" si="12"/>
        <v>30</v>
      </c>
      <c r="Q53" s="68">
        <f t="shared" si="13"/>
        <v>1.57</v>
      </c>
      <c r="R53" s="407"/>
      <c r="S53" s="102"/>
    </row>
    <row r="54" spans="1:19">
      <c r="A54" s="102">
        <v>72</v>
      </c>
      <c r="B54" s="7" t="s">
        <v>1778</v>
      </c>
      <c r="C54" s="7">
        <v>1</v>
      </c>
      <c r="D54" s="175">
        <f t="shared" si="2"/>
        <v>3707</v>
      </c>
      <c r="E54" s="175">
        <f t="shared" si="3"/>
        <v>3646</v>
      </c>
      <c r="F54" s="37">
        <f t="shared" si="4"/>
        <v>-61</v>
      </c>
      <c r="G54" s="175">
        <f t="shared" si="5"/>
        <v>36117171.75</v>
      </c>
      <c r="H54" s="175">
        <f t="shared" si="6"/>
        <v>36194408.009417139</v>
      </c>
      <c r="I54" s="37">
        <f t="shared" si="7"/>
        <v>21.183834179138508</v>
      </c>
      <c r="J54" s="175">
        <f t="shared" si="8"/>
        <v>29976096</v>
      </c>
      <c r="K54" s="175">
        <f t="shared" si="9"/>
        <v>30013628</v>
      </c>
      <c r="L54" s="37">
        <f t="shared" si="10"/>
        <v>10.294020844761382</v>
      </c>
      <c r="M54" s="175">
        <f t="shared" si="0"/>
        <v>9622951</v>
      </c>
      <c r="N54" s="175">
        <f t="shared" si="1"/>
        <v>9732331</v>
      </c>
      <c r="O54" s="37">
        <f t="shared" si="11"/>
        <v>109380</v>
      </c>
      <c r="P54" s="37">
        <f t="shared" si="12"/>
        <v>30</v>
      </c>
      <c r="Q54" s="68">
        <f t="shared" si="13"/>
        <v>1.1399999999999999</v>
      </c>
      <c r="R54" s="407"/>
      <c r="S54" s="102"/>
    </row>
    <row r="55" spans="1:19">
      <c r="A55" s="102">
        <v>73</v>
      </c>
      <c r="B55" s="7" t="s">
        <v>1779</v>
      </c>
      <c r="C55" s="7">
        <v>1</v>
      </c>
      <c r="D55" s="175">
        <f t="shared" si="2"/>
        <v>2651</v>
      </c>
      <c r="E55" s="175">
        <f t="shared" si="3"/>
        <v>2612</v>
      </c>
      <c r="F55" s="37">
        <f t="shared" si="4"/>
        <v>-39</v>
      </c>
      <c r="G55" s="175">
        <f t="shared" si="5"/>
        <v>26660498.619539998</v>
      </c>
      <c r="H55" s="175">
        <f t="shared" si="6"/>
        <v>27026023.747824714</v>
      </c>
      <c r="I55" s="37">
        <f t="shared" si="7"/>
        <v>139.9407076128312</v>
      </c>
      <c r="J55" s="175">
        <f t="shared" si="8"/>
        <v>22460566</v>
      </c>
      <c r="K55" s="175">
        <f t="shared" si="9"/>
        <v>22421830</v>
      </c>
      <c r="L55" s="37">
        <f t="shared" si="10"/>
        <v>-14.830015313935682</v>
      </c>
      <c r="M55" s="175">
        <f t="shared" si="0"/>
        <v>4525097.8425356252</v>
      </c>
      <c r="N55" s="175">
        <f t="shared" si="1"/>
        <v>4604194</v>
      </c>
      <c r="O55" s="37">
        <f t="shared" si="11"/>
        <v>79096.157464374788</v>
      </c>
      <c r="P55" s="37">
        <f t="shared" si="12"/>
        <v>30.28183670152174</v>
      </c>
      <c r="Q55" s="68">
        <f t="shared" si="13"/>
        <v>1.75</v>
      </c>
      <c r="R55" s="407"/>
      <c r="S55" s="102"/>
    </row>
    <row r="56" spans="1:19">
      <c r="A56" s="102">
        <v>74</v>
      </c>
      <c r="B56" s="7" t="s">
        <v>1780</v>
      </c>
      <c r="C56" s="7">
        <v>1</v>
      </c>
      <c r="D56" s="175">
        <f t="shared" si="2"/>
        <v>321</v>
      </c>
      <c r="E56" s="175">
        <f t="shared" si="3"/>
        <v>329</v>
      </c>
      <c r="F56" s="37">
        <f t="shared" si="4"/>
        <v>8</v>
      </c>
      <c r="G56" s="175">
        <f t="shared" si="5"/>
        <v>2985824.2499999995</v>
      </c>
      <c r="H56" s="175">
        <f t="shared" si="6"/>
        <v>3148595.0953759653</v>
      </c>
      <c r="I56" s="37">
        <f t="shared" si="7"/>
        <v>494.74421086919699</v>
      </c>
      <c r="J56" s="175">
        <f t="shared" si="8"/>
        <v>2500490</v>
      </c>
      <c r="K56" s="175">
        <f t="shared" si="9"/>
        <v>2614687</v>
      </c>
      <c r="L56" s="37">
        <f t="shared" si="10"/>
        <v>347.10334346504561</v>
      </c>
      <c r="M56" s="175">
        <f t="shared" si="0"/>
        <v>1085623</v>
      </c>
      <c r="N56" s="175">
        <f t="shared" si="1"/>
        <v>1095493</v>
      </c>
      <c r="O56" s="37">
        <f t="shared" si="11"/>
        <v>9870</v>
      </c>
      <c r="P56" s="37">
        <f t="shared" si="12"/>
        <v>30</v>
      </c>
      <c r="Q56" s="68">
        <f t="shared" si="13"/>
        <v>0.91</v>
      </c>
      <c r="R56" s="407"/>
      <c r="S56" s="102"/>
    </row>
    <row r="57" spans="1:19">
      <c r="A57" s="102">
        <v>77</v>
      </c>
      <c r="B57" s="7" t="s">
        <v>1783</v>
      </c>
      <c r="C57" s="7">
        <v>1</v>
      </c>
      <c r="D57" s="175">
        <f t="shared" si="2"/>
        <v>1405</v>
      </c>
      <c r="E57" s="175">
        <f t="shared" si="3"/>
        <v>1328</v>
      </c>
      <c r="F57" s="37">
        <f t="shared" si="4"/>
        <v>-77</v>
      </c>
      <c r="G57" s="175">
        <f t="shared" si="5"/>
        <v>13394369.66</v>
      </c>
      <c r="H57" s="175">
        <f t="shared" si="6"/>
        <v>12935870.449951056</v>
      </c>
      <c r="I57" s="37">
        <f t="shared" si="7"/>
        <v>-345.2554292537227</v>
      </c>
      <c r="J57" s="175">
        <f t="shared" si="8"/>
        <v>6691646</v>
      </c>
      <c r="K57" s="175">
        <f t="shared" si="9"/>
        <v>6783425</v>
      </c>
      <c r="L57" s="37">
        <f t="shared" si="10"/>
        <v>69.110692771084331</v>
      </c>
      <c r="M57" s="175">
        <f t="shared" si="0"/>
        <v>8644415</v>
      </c>
      <c r="N57" s="175">
        <f t="shared" si="1"/>
        <v>8684255</v>
      </c>
      <c r="O57" s="37">
        <f t="shared" si="11"/>
        <v>39840</v>
      </c>
      <c r="P57" s="37">
        <f t="shared" si="12"/>
        <v>30</v>
      </c>
      <c r="Q57" s="68">
        <f t="shared" si="13"/>
        <v>0.46</v>
      </c>
      <c r="R57" s="407"/>
      <c r="S57" s="102"/>
    </row>
    <row r="58" spans="1:19">
      <c r="A58" s="102">
        <v>78</v>
      </c>
      <c r="B58" s="7" t="s">
        <v>1784</v>
      </c>
      <c r="C58" s="7">
        <v>1</v>
      </c>
      <c r="D58" s="175">
        <f t="shared" si="2"/>
        <v>469</v>
      </c>
      <c r="E58" s="175">
        <f t="shared" si="3"/>
        <v>485</v>
      </c>
      <c r="F58" s="37">
        <f t="shared" si="4"/>
        <v>16</v>
      </c>
      <c r="G58" s="175">
        <f t="shared" si="5"/>
        <v>4235362.0299200006</v>
      </c>
      <c r="H58" s="175">
        <f t="shared" si="6"/>
        <v>4468986.3633566014</v>
      </c>
      <c r="I58" s="37">
        <f t="shared" si="7"/>
        <v>481.69965657031105</v>
      </c>
      <c r="J58" s="175">
        <f t="shared" si="8"/>
        <v>3546655</v>
      </c>
      <c r="K58" s="175">
        <f t="shared" si="9"/>
        <v>3701130</v>
      </c>
      <c r="L58" s="37">
        <f t="shared" si="10"/>
        <v>318.50515463917526</v>
      </c>
      <c r="M58" s="175">
        <f t="shared" si="0"/>
        <v>728362</v>
      </c>
      <c r="N58" s="175">
        <f t="shared" si="1"/>
        <v>767856</v>
      </c>
      <c r="O58" s="37">
        <f t="shared" si="11"/>
        <v>39494</v>
      </c>
      <c r="P58" s="37">
        <f t="shared" si="12"/>
        <v>81.430927835051548</v>
      </c>
      <c r="Q58" s="68">
        <f t="shared" si="13"/>
        <v>5.42</v>
      </c>
      <c r="R58" s="407"/>
      <c r="S58" s="102"/>
    </row>
    <row r="59" spans="1:19">
      <c r="A59" s="102">
        <v>79</v>
      </c>
      <c r="B59" s="7" t="s">
        <v>1785</v>
      </c>
      <c r="C59" s="7">
        <v>1</v>
      </c>
      <c r="D59" s="175">
        <f t="shared" si="2"/>
        <v>3827</v>
      </c>
      <c r="E59" s="175">
        <f t="shared" si="3"/>
        <v>3769</v>
      </c>
      <c r="F59" s="37">
        <f t="shared" si="4"/>
        <v>-58</v>
      </c>
      <c r="G59" s="175">
        <f t="shared" si="5"/>
        <v>37207996.850000001</v>
      </c>
      <c r="H59" s="175">
        <f t="shared" si="6"/>
        <v>37300000.771409988</v>
      </c>
      <c r="I59" s="37">
        <f t="shared" si="7"/>
        <v>24.410698171925421</v>
      </c>
      <c r="J59" s="175">
        <f t="shared" si="8"/>
        <v>20566818</v>
      </c>
      <c r="K59" s="175">
        <f t="shared" si="9"/>
        <v>20889283</v>
      </c>
      <c r="L59" s="37">
        <f t="shared" si="10"/>
        <v>85.557176970018574</v>
      </c>
      <c r="M59" s="175">
        <f t="shared" si="0"/>
        <v>19068977</v>
      </c>
      <c r="N59" s="175">
        <f t="shared" si="1"/>
        <v>19182047</v>
      </c>
      <c r="O59" s="37">
        <f t="shared" si="11"/>
        <v>113070</v>
      </c>
      <c r="P59" s="37">
        <f t="shared" si="12"/>
        <v>30</v>
      </c>
      <c r="Q59" s="68">
        <f t="shared" si="13"/>
        <v>0.59</v>
      </c>
      <c r="R59" s="407"/>
      <c r="S59" s="102"/>
    </row>
    <row r="60" spans="1:19">
      <c r="A60" s="102">
        <v>82</v>
      </c>
      <c r="B60" s="7" t="s">
        <v>1788</v>
      </c>
      <c r="C60" s="7">
        <v>1</v>
      </c>
      <c r="D60" s="175">
        <f t="shared" si="2"/>
        <v>3111</v>
      </c>
      <c r="E60" s="175">
        <f t="shared" si="3"/>
        <v>3028</v>
      </c>
      <c r="F60" s="37">
        <f t="shared" si="4"/>
        <v>-83</v>
      </c>
      <c r="G60" s="175">
        <f t="shared" si="5"/>
        <v>29421665.884350002</v>
      </c>
      <c r="H60" s="175">
        <f t="shared" si="6"/>
        <v>29298212.848171137</v>
      </c>
      <c r="I60" s="37">
        <f t="shared" si="7"/>
        <v>-40.770487509532543</v>
      </c>
      <c r="J60" s="175">
        <f t="shared" si="8"/>
        <v>24493520</v>
      </c>
      <c r="K60" s="175">
        <f t="shared" si="9"/>
        <v>24357911</v>
      </c>
      <c r="L60" s="37">
        <f t="shared" si="10"/>
        <v>-44.785006605019817</v>
      </c>
      <c r="M60" s="175">
        <f t="shared" si="0"/>
        <v>5031584.23820375</v>
      </c>
      <c r="N60" s="175">
        <f t="shared" si="1"/>
        <v>5122424.23820375</v>
      </c>
      <c r="O60" s="37">
        <f t="shared" si="11"/>
        <v>90840</v>
      </c>
      <c r="P60" s="37">
        <f t="shared" si="12"/>
        <v>30</v>
      </c>
      <c r="Q60" s="68">
        <f t="shared" si="13"/>
        <v>1.81</v>
      </c>
      <c r="R60" s="407"/>
      <c r="S60" s="102"/>
    </row>
    <row r="61" spans="1:19">
      <c r="A61" s="102">
        <v>83</v>
      </c>
      <c r="B61" s="7" t="s">
        <v>1789</v>
      </c>
      <c r="C61" s="7">
        <v>1</v>
      </c>
      <c r="D61" s="175">
        <f t="shared" si="2"/>
        <v>2145</v>
      </c>
      <c r="E61" s="175">
        <f t="shared" si="3"/>
        <v>2153</v>
      </c>
      <c r="F61" s="37">
        <f t="shared" si="4"/>
        <v>8</v>
      </c>
      <c r="G61" s="175">
        <f t="shared" si="5"/>
        <v>20397715.370000001</v>
      </c>
      <c r="H61" s="175">
        <f t="shared" si="6"/>
        <v>21105299.528073356</v>
      </c>
      <c r="I61" s="37">
        <f t="shared" si="7"/>
        <v>328.65032887754506</v>
      </c>
      <c r="J61" s="175">
        <f t="shared" si="8"/>
        <v>11201362</v>
      </c>
      <c r="K61" s="175">
        <f t="shared" si="9"/>
        <v>11373002</v>
      </c>
      <c r="L61" s="37">
        <f t="shared" si="10"/>
        <v>79.721319089642364</v>
      </c>
      <c r="M61" s="175">
        <f t="shared" si="0"/>
        <v>10479107</v>
      </c>
      <c r="N61" s="175">
        <f t="shared" si="1"/>
        <v>10543697</v>
      </c>
      <c r="O61" s="37">
        <f t="shared" si="11"/>
        <v>64590</v>
      </c>
      <c r="P61" s="37">
        <f t="shared" si="12"/>
        <v>30</v>
      </c>
      <c r="Q61" s="68">
        <f t="shared" si="13"/>
        <v>0.62</v>
      </c>
      <c r="R61" s="407"/>
      <c r="S61" s="102"/>
    </row>
    <row r="62" spans="1:19">
      <c r="A62" s="102">
        <v>85</v>
      </c>
      <c r="B62" s="7" t="s">
        <v>1791</v>
      </c>
      <c r="C62" s="7">
        <v>1</v>
      </c>
      <c r="D62" s="175">
        <f t="shared" si="2"/>
        <v>177</v>
      </c>
      <c r="E62" s="175">
        <f t="shared" si="3"/>
        <v>183</v>
      </c>
      <c r="F62" s="37">
        <f t="shared" si="4"/>
        <v>6</v>
      </c>
      <c r="G62" s="175">
        <f t="shared" si="5"/>
        <v>1797116.2700000003</v>
      </c>
      <c r="H62" s="175">
        <f t="shared" si="6"/>
        <v>1861930.3816340552</v>
      </c>
      <c r="I62" s="37">
        <f t="shared" si="7"/>
        <v>354.17547341013619</v>
      </c>
      <c r="J62" s="175">
        <f t="shared" si="8"/>
        <v>1503602</v>
      </c>
      <c r="K62" s="175">
        <f t="shared" si="9"/>
        <v>1558793</v>
      </c>
      <c r="L62" s="37">
        <f t="shared" si="10"/>
        <v>301.59016393442624</v>
      </c>
      <c r="M62" s="175">
        <f t="shared" si="0"/>
        <v>349191</v>
      </c>
      <c r="N62" s="175">
        <f t="shared" si="1"/>
        <v>354681</v>
      </c>
      <c r="O62" s="37">
        <f t="shared" si="11"/>
        <v>5490</v>
      </c>
      <c r="P62" s="37">
        <f t="shared" si="12"/>
        <v>30</v>
      </c>
      <c r="Q62" s="68">
        <f t="shared" si="13"/>
        <v>1.57</v>
      </c>
      <c r="R62" s="407"/>
      <c r="S62" s="102"/>
    </row>
    <row r="63" spans="1:19">
      <c r="A63" s="102">
        <v>86</v>
      </c>
      <c r="B63" s="7" t="s">
        <v>1792</v>
      </c>
      <c r="C63" s="7">
        <v>1</v>
      </c>
      <c r="D63" s="175">
        <f t="shared" si="2"/>
        <v>1765</v>
      </c>
      <c r="E63" s="175">
        <f t="shared" si="3"/>
        <v>1771</v>
      </c>
      <c r="F63" s="37">
        <f t="shared" si="4"/>
        <v>6</v>
      </c>
      <c r="G63" s="175">
        <f t="shared" si="5"/>
        <v>18091522.210000005</v>
      </c>
      <c r="H63" s="175">
        <f t="shared" si="6"/>
        <v>18534768.099589158</v>
      </c>
      <c r="I63" s="37">
        <f t="shared" si="7"/>
        <v>250.28000541454162</v>
      </c>
      <c r="J63" s="175">
        <f t="shared" si="8"/>
        <v>11897561</v>
      </c>
      <c r="K63" s="175">
        <f t="shared" si="9"/>
        <v>11761853</v>
      </c>
      <c r="L63" s="37">
        <f t="shared" si="10"/>
        <v>-76.627893845285143</v>
      </c>
      <c r="M63" s="175">
        <f t="shared" si="0"/>
        <v>7873092</v>
      </c>
      <c r="N63" s="175">
        <f t="shared" si="1"/>
        <v>7926222</v>
      </c>
      <c r="O63" s="37">
        <f t="shared" si="11"/>
        <v>53130</v>
      </c>
      <c r="P63" s="37">
        <f t="shared" si="12"/>
        <v>30</v>
      </c>
      <c r="Q63" s="68">
        <f t="shared" si="13"/>
        <v>0.67</v>
      </c>
      <c r="R63" s="407"/>
      <c r="S63" s="102"/>
    </row>
    <row r="64" spans="1:19">
      <c r="A64" s="102">
        <v>87</v>
      </c>
      <c r="B64" s="7" t="s">
        <v>1793</v>
      </c>
      <c r="C64" s="7">
        <v>1</v>
      </c>
      <c r="D64" s="175">
        <f t="shared" si="2"/>
        <v>2694</v>
      </c>
      <c r="E64" s="175">
        <f t="shared" si="3"/>
        <v>2678</v>
      </c>
      <c r="F64" s="37">
        <f t="shared" si="4"/>
        <v>-16</v>
      </c>
      <c r="G64" s="175">
        <f t="shared" si="5"/>
        <v>26003641.129999999</v>
      </c>
      <c r="H64" s="175">
        <f t="shared" si="6"/>
        <v>26517601.927612852</v>
      </c>
      <c r="I64" s="37">
        <f t="shared" si="7"/>
        <v>191.91964063213345</v>
      </c>
      <c r="J64" s="175">
        <f t="shared" si="8"/>
        <v>15891476</v>
      </c>
      <c r="K64" s="175">
        <f t="shared" si="9"/>
        <v>15918988</v>
      </c>
      <c r="L64" s="37">
        <f t="shared" si="10"/>
        <v>10.273338312173264</v>
      </c>
      <c r="M64" s="175">
        <f t="shared" si="0"/>
        <v>10115944.219904</v>
      </c>
      <c r="N64" s="175">
        <f t="shared" si="1"/>
        <v>10598614</v>
      </c>
      <c r="O64" s="37">
        <f t="shared" si="11"/>
        <v>482669.78009600006</v>
      </c>
      <c r="P64" s="37">
        <f t="shared" si="12"/>
        <v>180.23516807169531</v>
      </c>
      <c r="Q64" s="68">
        <f t="shared" si="13"/>
        <v>4.7699999999999996</v>
      </c>
      <c r="R64" s="407"/>
      <c r="S64" s="102"/>
    </row>
    <row r="65" spans="1:19">
      <c r="A65" s="102">
        <v>88</v>
      </c>
      <c r="B65" s="7" t="s">
        <v>1794</v>
      </c>
      <c r="C65" s="7">
        <v>1</v>
      </c>
      <c r="D65" s="175">
        <f t="shared" si="2"/>
        <v>3629</v>
      </c>
      <c r="E65" s="175">
        <f t="shared" si="3"/>
        <v>3648</v>
      </c>
      <c r="F65" s="37">
        <f t="shared" si="4"/>
        <v>19</v>
      </c>
      <c r="G65" s="175">
        <f t="shared" si="5"/>
        <v>34160203.240000002</v>
      </c>
      <c r="H65" s="175">
        <f t="shared" si="6"/>
        <v>34946347.827118024</v>
      </c>
      <c r="I65" s="37">
        <f t="shared" si="7"/>
        <v>215.50016094244029</v>
      </c>
      <c r="J65" s="175">
        <f t="shared" si="8"/>
        <v>25837978</v>
      </c>
      <c r="K65" s="175">
        <f t="shared" si="9"/>
        <v>26650276</v>
      </c>
      <c r="L65" s="37">
        <f t="shared" si="10"/>
        <v>222.66940789473685</v>
      </c>
      <c r="M65" s="175">
        <f t="shared" si="0"/>
        <v>9823611</v>
      </c>
      <c r="N65" s="175">
        <f t="shared" si="1"/>
        <v>9933051</v>
      </c>
      <c r="O65" s="37">
        <f t="shared" si="11"/>
        <v>109440</v>
      </c>
      <c r="P65" s="37">
        <f t="shared" si="12"/>
        <v>30</v>
      </c>
      <c r="Q65" s="68">
        <f t="shared" si="13"/>
        <v>1.1100000000000001</v>
      </c>
      <c r="R65" s="407"/>
      <c r="S65" s="102"/>
    </row>
    <row r="66" spans="1:19">
      <c r="A66" s="102">
        <v>89</v>
      </c>
      <c r="B66" s="7" t="s">
        <v>1795</v>
      </c>
      <c r="C66" s="7">
        <v>1</v>
      </c>
      <c r="D66" s="175">
        <f t="shared" si="2"/>
        <v>408</v>
      </c>
      <c r="E66" s="175">
        <f t="shared" si="3"/>
        <v>410</v>
      </c>
      <c r="F66" s="37">
        <f t="shared" si="4"/>
        <v>2</v>
      </c>
      <c r="G66" s="175">
        <f t="shared" si="5"/>
        <v>4012060.0799999996</v>
      </c>
      <c r="H66" s="175">
        <f t="shared" si="6"/>
        <v>4120509.4730720278</v>
      </c>
      <c r="I66" s="37">
        <f t="shared" si="7"/>
        <v>264.51071480982483</v>
      </c>
      <c r="J66" s="175">
        <f t="shared" si="8"/>
        <v>3327566</v>
      </c>
      <c r="K66" s="175">
        <f t="shared" si="9"/>
        <v>3417460</v>
      </c>
      <c r="L66" s="37">
        <f t="shared" si="10"/>
        <v>219.25365853658536</v>
      </c>
      <c r="M66" s="175">
        <f t="shared" si="0"/>
        <v>684494</v>
      </c>
      <c r="N66" s="175">
        <f t="shared" si="1"/>
        <v>703049</v>
      </c>
      <c r="O66" s="37">
        <f t="shared" si="11"/>
        <v>18555</v>
      </c>
      <c r="P66" s="37">
        <f t="shared" si="12"/>
        <v>45.256097560975611</v>
      </c>
      <c r="Q66" s="68">
        <f t="shared" si="13"/>
        <v>2.71</v>
      </c>
      <c r="R66" s="407"/>
      <c r="S66" s="102"/>
    </row>
    <row r="67" spans="1:19">
      <c r="A67" s="102">
        <v>91</v>
      </c>
      <c r="B67" s="7" t="s">
        <v>1797</v>
      </c>
      <c r="C67" s="7">
        <v>1</v>
      </c>
      <c r="D67" s="175">
        <f t="shared" si="2"/>
        <v>235</v>
      </c>
      <c r="E67" s="175">
        <f t="shared" si="3"/>
        <v>226</v>
      </c>
      <c r="F67" s="37">
        <f t="shared" si="4"/>
        <v>-9</v>
      </c>
      <c r="G67" s="175">
        <f t="shared" si="5"/>
        <v>2249261.63</v>
      </c>
      <c r="H67" s="175">
        <f t="shared" si="6"/>
        <v>2174084.4728259463</v>
      </c>
      <c r="I67" s="37">
        <f t="shared" si="7"/>
        <v>-332.64228838076815</v>
      </c>
      <c r="J67" s="175">
        <f t="shared" si="8"/>
        <v>1884292</v>
      </c>
      <c r="K67" s="175">
        <f t="shared" si="9"/>
        <v>1812979</v>
      </c>
      <c r="L67" s="37">
        <f t="shared" si="10"/>
        <v>-315.54424778761063</v>
      </c>
      <c r="M67" s="175">
        <f t="shared" si="0"/>
        <v>451195</v>
      </c>
      <c r="N67" s="175">
        <f t="shared" si="1"/>
        <v>457975</v>
      </c>
      <c r="O67" s="37">
        <f t="shared" si="11"/>
        <v>6780</v>
      </c>
      <c r="P67" s="37">
        <f t="shared" si="12"/>
        <v>30</v>
      </c>
      <c r="Q67" s="68">
        <f t="shared" si="13"/>
        <v>1.5</v>
      </c>
      <c r="R67" s="407"/>
      <c r="S67" s="102"/>
    </row>
    <row r="68" spans="1:19">
      <c r="A68" s="102">
        <v>93</v>
      </c>
      <c r="B68" s="7" t="s">
        <v>1799</v>
      </c>
      <c r="C68" s="7">
        <v>1</v>
      </c>
      <c r="D68" s="175">
        <f t="shared" si="2"/>
        <v>7549</v>
      </c>
      <c r="E68" s="175">
        <f t="shared" si="3"/>
        <v>7635</v>
      </c>
      <c r="F68" s="37">
        <f t="shared" si="4"/>
        <v>86</v>
      </c>
      <c r="G68" s="175">
        <f t="shared" si="5"/>
        <v>87583038.240480021</v>
      </c>
      <c r="H68" s="175">
        <f t="shared" si="6"/>
        <v>90558887.124926507</v>
      </c>
      <c r="I68" s="37">
        <f t="shared" si="7"/>
        <v>389.76409750445146</v>
      </c>
      <c r="J68" s="175">
        <f t="shared" si="8"/>
        <v>26203286</v>
      </c>
      <c r="K68" s="175">
        <f t="shared" si="9"/>
        <v>27455803</v>
      </c>
      <c r="L68" s="37">
        <f t="shared" si="10"/>
        <v>164.04937786509495</v>
      </c>
      <c r="M68" s="175">
        <f t="shared" si="0"/>
        <v>64492532</v>
      </c>
      <c r="N68" s="175">
        <f t="shared" si="1"/>
        <v>65650979</v>
      </c>
      <c r="O68" s="37">
        <f t="shared" si="11"/>
        <v>1158447</v>
      </c>
      <c r="P68" s="37">
        <f t="shared" si="12"/>
        <v>151.72848722986248</v>
      </c>
      <c r="Q68" s="68">
        <f t="shared" si="13"/>
        <v>1.8</v>
      </c>
      <c r="R68" s="407"/>
      <c r="S68" s="102"/>
    </row>
    <row r="69" spans="1:19">
      <c r="A69" s="102">
        <v>94</v>
      </c>
      <c r="B69" s="7" t="s">
        <v>1800</v>
      </c>
      <c r="C69" s="7">
        <v>1</v>
      </c>
      <c r="D69" s="175">
        <f t="shared" si="2"/>
        <v>1794</v>
      </c>
      <c r="E69" s="175">
        <f t="shared" si="3"/>
        <v>1801</v>
      </c>
      <c r="F69" s="37">
        <f t="shared" si="4"/>
        <v>7</v>
      </c>
      <c r="G69" s="175">
        <f t="shared" si="5"/>
        <v>18309668.060000002</v>
      </c>
      <c r="H69" s="175">
        <f t="shared" si="6"/>
        <v>18758475.280269191</v>
      </c>
      <c r="I69" s="37">
        <f t="shared" si="7"/>
        <v>249.19890076023779</v>
      </c>
      <c r="J69" s="175">
        <f t="shared" si="8"/>
        <v>11486709</v>
      </c>
      <c r="K69" s="175">
        <f t="shared" si="9"/>
        <v>11557489</v>
      </c>
      <c r="L69" s="37">
        <f t="shared" si="10"/>
        <v>39.300388672959464</v>
      </c>
      <c r="M69" s="175">
        <f t="shared" si="0"/>
        <v>7526930</v>
      </c>
      <c r="N69" s="175">
        <f t="shared" si="1"/>
        <v>7580960</v>
      </c>
      <c r="O69" s="37">
        <f t="shared" si="11"/>
        <v>54030</v>
      </c>
      <c r="P69" s="37">
        <f t="shared" si="12"/>
        <v>30</v>
      </c>
      <c r="Q69" s="68">
        <f t="shared" si="13"/>
        <v>0.72</v>
      </c>
      <c r="R69" s="407"/>
      <c r="S69" s="102"/>
    </row>
    <row r="70" spans="1:19">
      <c r="A70" s="102">
        <v>95</v>
      </c>
      <c r="B70" s="7" t="s">
        <v>1801</v>
      </c>
      <c r="C70" s="7">
        <v>1</v>
      </c>
      <c r="D70" s="175">
        <f t="shared" si="2"/>
        <v>11443</v>
      </c>
      <c r="E70" s="175">
        <f t="shared" si="3"/>
        <v>11662</v>
      </c>
      <c r="F70" s="37">
        <f t="shared" si="4"/>
        <v>219</v>
      </c>
      <c r="G70" s="175">
        <f t="shared" si="5"/>
        <v>133322500.97999999</v>
      </c>
      <c r="H70" s="175">
        <f t="shared" si="6"/>
        <v>140367627.0677751</v>
      </c>
      <c r="I70" s="37">
        <f t="shared" si="7"/>
        <v>604.10959421841119</v>
      </c>
      <c r="J70" s="175">
        <f t="shared" si="8"/>
        <v>26181193</v>
      </c>
      <c r="K70" s="175">
        <f t="shared" si="9"/>
        <v>27932437</v>
      </c>
      <c r="L70" s="37">
        <f t="shared" si="10"/>
        <v>150.16669524952837</v>
      </c>
      <c r="M70" s="175">
        <f t="shared" si="0"/>
        <v>107141308</v>
      </c>
      <c r="N70" s="175">
        <f t="shared" si="1"/>
        <v>112435190</v>
      </c>
      <c r="O70" s="37">
        <f t="shared" si="11"/>
        <v>5293882</v>
      </c>
      <c r="P70" s="37">
        <f t="shared" si="12"/>
        <v>453.94289144229123</v>
      </c>
      <c r="Q70" s="68">
        <f t="shared" si="13"/>
        <v>4.9400000000000004</v>
      </c>
      <c r="R70" s="407"/>
      <c r="S70" s="102"/>
    </row>
    <row r="71" spans="1:19">
      <c r="A71" s="102">
        <v>96</v>
      </c>
      <c r="B71" s="7" t="s">
        <v>1802</v>
      </c>
      <c r="C71" s="7">
        <v>1</v>
      </c>
      <c r="D71" s="175">
        <f t="shared" ref="D71:D130" si="14">VLOOKUP(A71,aidcalc,17)</f>
        <v>3499</v>
      </c>
      <c r="E71" s="175">
        <f t="shared" ref="E71:E130" si="15">VLOOKUP(A71,aidcalc,18)</f>
        <v>3442</v>
      </c>
      <c r="F71" s="37">
        <f t="shared" ref="F71:F130" si="16">E71-D71</f>
        <v>-57</v>
      </c>
      <c r="G71" s="175">
        <f t="shared" ref="G71:G130" si="17">VLOOKUP(A71,aidcalc,4)</f>
        <v>35716152.020000003</v>
      </c>
      <c r="H71" s="175">
        <f t="shared" ref="H71:H130" si="18">VLOOKUP(A71,aidcalc,6)</f>
        <v>35776347.341015682</v>
      </c>
      <c r="I71" s="37">
        <f t="shared" ref="I71:I130" si="19">(H71-G71)/$E71</f>
        <v>17.488472113793826</v>
      </c>
      <c r="J71" s="175">
        <f t="shared" ref="J71:J130" si="20">SUMIF(dist1755,A71,pynetmin)</f>
        <v>29797870</v>
      </c>
      <c r="K71" s="175">
        <f t="shared" ref="K71:K130" si="21">VLOOKUP(A71,aidcalc,7)</f>
        <v>29665659</v>
      </c>
      <c r="L71" s="37">
        <f t="shared" ref="L71:L130" si="22">(K71-J71)/$E71</f>
        <v>-38.411098198721675</v>
      </c>
      <c r="M71" s="175">
        <f t="shared" si="0"/>
        <v>5918282</v>
      </c>
      <c r="N71" s="175">
        <f t="shared" si="1"/>
        <v>6110688</v>
      </c>
      <c r="O71" s="37">
        <f t="shared" ref="O71:O130" si="23">N71-M71</f>
        <v>192406</v>
      </c>
      <c r="P71" s="37">
        <f t="shared" ref="P71:P130" si="24">(N71-M71)/$E71</f>
        <v>55.899477048227773</v>
      </c>
      <c r="Q71" s="68">
        <f t="shared" si="13"/>
        <v>3.25</v>
      </c>
      <c r="R71" s="407"/>
      <c r="S71" s="102"/>
    </row>
    <row r="72" spans="1:19">
      <c r="A72" s="102">
        <v>97</v>
      </c>
      <c r="B72" s="7" t="s">
        <v>1803</v>
      </c>
      <c r="C72" s="7">
        <v>1</v>
      </c>
      <c r="D72" s="175">
        <f t="shared" si="14"/>
        <v>5646</v>
      </c>
      <c r="E72" s="175">
        <f t="shared" si="15"/>
        <v>5757</v>
      </c>
      <c r="F72" s="37">
        <f t="shared" si="16"/>
        <v>111</v>
      </c>
      <c r="G72" s="175">
        <f t="shared" si="17"/>
        <v>64368039</v>
      </c>
      <c r="H72" s="175">
        <f t="shared" si="18"/>
        <v>66887262.052477211</v>
      </c>
      <c r="I72" s="37">
        <f t="shared" si="19"/>
        <v>437.59302631183095</v>
      </c>
      <c r="J72" s="175">
        <f t="shared" si="20"/>
        <v>16963311</v>
      </c>
      <c r="K72" s="175">
        <f t="shared" si="21"/>
        <v>17058113</v>
      </c>
      <c r="L72" s="37">
        <f t="shared" si="22"/>
        <v>16.467257252040994</v>
      </c>
      <c r="M72" s="175">
        <f t="shared" si="0"/>
        <v>47404728</v>
      </c>
      <c r="N72" s="175">
        <f t="shared" si="1"/>
        <v>49829149</v>
      </c>
      <c r="O72" s="37">
        <f t="shared" si="23"/>
        <v>2424421</v>
      </c>
      <c r="P72" s="37">
        <f t="shared" si="24"/>
        <v>421.12575994441551</v>
      </c>
      <c r="Q72" s="68">
        <f t="shared" si="13"/>
        <v>5.1100000000000003</v>
      </c>
      <c r="R72" s="407"/>
      <c r="S72" s="102"/>
    </row>
    <row r="73" spans="1:19">
      <c r="A73" s="102">
        <v>98</v>
      </c>
      <c r="B73" s="7" t="s">
        <v>1804</v>
      </c>
      <c r="C73" s="7">
        <v>1</v>
      </c>
      <c r="D73" s="175">
        <f t="shared" si="14"/>
        <v>89</v>
      </c>
      <c r="E73" s="175">
        <f t="shared" si="15"/>
        <v>85</v>
      </c>
      <c r="F73" s="37">
        <f t="shared" si="16"/>
        <v>-4</v>
      </c>
      <c r="G73" s="175">
        <f t="shared" si="17"/>
        <v>894111.96999999986</v>
      </c>
      <c r="H73" s="175">
        <f t="shared" si="18"/>
        <v>837564.72544684017</v>
      </c>
      <c r="I73" s="37">
        <f t="shared" si="19"/>
        <v>-665.26170062540814</v>
      </c>
      <c r="J73" s="175">
        <f t="shared" si="20"/>
        <v>487635</v>
      </c>
      <c r="K73" s="175">
        <f t="shared" si="21"/>
        <v>470893</v>
      </c>
      <c r="L73" s="37">
        <f t="shared" si="22"/>
        <v>-196.96470588235294</v>
      </c>
      <c r="M73" s="175">
        <f t="shared" si="0"/>
        <v>544087</v>
      </c>
      <c r="N73" s="175">
        <f t="shared" si="1"/>
        <v>546637</v>
      </c>
      <c r="O73" s="37">
        <f t="shared" si="23"/>
        <v>2550</v>
      </c>
      <c r="P73" s="37">
        <f t="shared" si="24"/>
        <v>30</v>
      </c>
      <c r="Q73" s="68">
        <f t="shared" si="13"/>
        <v>0.47</v>
      </c>
      <c r="R73" s="407"/>
      <c r="S73" s="102"/>
    </row>
    <row r="74" spans="1:19">
      <c r="A74" s="102">
        <v>99</v>
      </c>
      <c r="B74" s="7" t="s">
        <v>1805</v>
      </c>
      <c r="C74" s="7">
        <v>1</v>
      </c>
      <c r="D74" s="175">
        <f t="shared" si="14"/>
        <v>2648</v>
      </c>
      <c r="E74" s="175">
        <f t="shared" si="15"/>
        <v>2597</v>
      </c>
      <c r="F74" s="37">
        <f t="shared" si="16"/>
        <v>-51</v>
      </c>
      <c r="G74" s="175">
        <f t="shared" si="17"/>
        <v>26222277.008499999</v>
      </c>
      <c r="H74" s="175">
        <f t="shared" si="18"/>
        <v>26331117.517189495</v>
      </c>
      <c r="I74" s="37">
        <f t="shared" si="19"/>
        <v>41.910091909702217</v>
      </c>
      <c r="J74" s="175">
        <f t="shared" si="20"/>
        <v>21252070</v>
      </c>
      <c r="K74" s="175">
        <f t="shared" si="21"/>
        <v>21807366</v>
      </c>
      <c r="L74" s="37">
        <f t="shared" si="22"/>
        <v>213.82210242587601</v>
      </c>
      <c r="M74" s="175">
        <f t="shared" ref="M74:M137" si="25">VLOOKUP(A74,disthist,43)</f>
        <v>8810280</v>
      </c>
      <c r="N74" s="175">
        <f t="shared" ref="N74:N137" si="26">VLOOKUP(A74,aidcalc,36)</f>
        <v>8888190</v>
      </c>
      <c r="O74" s="37">
        <f t="shared" si="23"/>
        <v>77910</v>
      </c>
      <c r="P74" s="37">
        <f t="shared" si="24"/>
        <v>30</v>
      </c>
      <c r="Q74" s="68">
        <f t="shared" ref="Q74:Q137" si="27">ROUND(IF(G74&gt;0,(N74-M74)*100/M74,100),2)</f>
        <v>0.88</v>
      </c>
      <c r="R74" s="407"/>
      <c r="S74" s="102"/>
    </row>
    <row r="75" spans="1:19">
      <c r="A75" s="102">
        <v>100</v>
      </c>
      <c r="B75" s="7" t="s">
        <v>1806</v>
      </c>
      <c r="C75" s="7">
        <v>1</v>
      </c>
      <c r="D75" s="175">
        <f t="shared" si="14"/>
        <v>8901</v>
      </c>
      <c r="E75" s="175">
        <f t="shared" si="15"/>
        <v>9061</v>
      </c>
      <c r="F75" s="37">
        <f t="shared" si="16"/>
        <v>160</v>
      </c>
      <c r="G75" s="175">
        <f t="shared" si="17"/>
        <v>97409677.469920009</v>
      </c>
      <c r="H75" s="175">
        <f t="shared" si="18"/>
        <v>100719920.94220732</v>
      </c>
      <c r="I75" s="37">
        <f t="shared" si="19"/>
        <v>365.32871341875205</v>
      </c>
      <c r="J75" s="175">
        <f t="shared" si="20"/>
        <v>56417775</v>
      </c>
      <c r="K75" s="175">
        <f t="shared" si="21"/>
        <v>59331897</v>
      </c>
      <c r="L75" s="37">
        <f t="shared" si="22"/>
        <v>321.61152190707429</v>
      </c>
      <c r="M75" s="175">
        <f t="shared" si="25"/>
        <v>42091391</v>
      </c>
      <c r="N75" s="175">
        <f t="shared" si="26"/>
        <v>42363221</v>
      </c>
      <c r="O75" s="37">
        <f t="shared" si="23"/>
        <v>271830</v>
      </c>
      <c r="P75" s="37">
        <f t="shared" si="24"/>
        <v>30</v>
      </c>
      <c r="Q75" s="68">
        <f t="shared" si="27"/>
        <v>0.65</v>
      </c>
      <c r="R75" s="407"/>
      <c r="S75" s="102"/>
    </row>
    <row r="76" spans="1:19">
      <c r="A76" s="102">
        <v>101</v>
      </c>
      <c r="B76" s="7" t="s">
        <v>1807</v>
      </c>
      <c r="C76" s="7">
        <v>1</v>
      </c>
      <c r="D76" s="175">
        <f t="shared" si="14"/>
        <v>5963</v>
      </c>
      <c r="E76" s="175">
        <f t="shared" si="15"/>
        <v>5818</v>
      </c>
      <c r="F76" s="37">
        <f t="shared" si="16"/>
        <v>-145</v>
      </c>
      <c r="G76" s="175">
        <f t="shared" si="17"/>
        <v>56727033.490920007</v>
      </c>
      <c r="H76" s="175">
        <f t="shared" si="18"/>
        <v>57148940.326983534</v>
      </c>
      <c r="I76" s="37">
        <f t="shared" si="19"/>
        <v>72.517503620406771</v>
      </c>
      <c r="J76" s="175">
        <f t="shared" si="20"/>
        <v>35443923</v>
      </c>
      <c r="K76" s="175">
        <f t="shared" si="21"/>
        <v>36769474</v>
      </c>
      <c r="L76" s="37">
        <f t="shared" si="22"/>
        <v>227.83619800618769</v>
      </c>
      <c r="M76" s="175">
        <f t="shared" si="25"/>
        <v>27903911</v>
      </c>
      <c r="N76" s="175">
        <f t="shared" si="26"/>
        <v>28078451</v>
      </c>
      <c r="O76" s="37">
        <f t="shared" si="23"/>
        <v>174540</v>
      </c>
      <c r="P76" s="37">
        <f t="shared" si="24"/>
        <v>30</v>
      </c>
      <c r="Q76" s="68">
        <f t="shared" si="27"/>
        <v>0.63</v>
      </c>
      <c r="R76" s="407"/>
      <c r="S76" s="102"/>
    </row>
    <row r="77" spans="1:19">
      <c r="A77" s="102">
        <v>103</v>
      </c>
      <c r="B77" s="7" t="s">
        <v>1809</v>
      </c>
      <c r="C77" s="7">
        <v>1</v>
      </c>
      <c r="D77" s="175">
        <f t="shared" si="14"/>
        <v>2533</v>
      </c>
      <c r="E77" s="175">
        <f t="shared" si="15"/>
        <v>2531</v>
      </c>
      <c r="F77" s="37">
        <f t="shared" si="16"/>
        <v>-2</v>
      </c>
      <c r="G77" s="175">
        <f t="shared" si="17"/>
        <v>27651776.550000001</v>
      </c>
      <c r="H77" s="175">
        <f t="shared" si="18"/>
        <v>28300931.482949637</v>
      </c>
      <c r="I77" s="37">
        <f t="shared" si="19"/>
        <v>256.48160132344373</v>
      </c>
      <c r="J77" s="175">
        <f t="shared" si="20"/>
        <v>8469172</v>
      </c>
      <c r="K77" s="175">
        <f t="shared" si="21"/>
        <v>8779067</v>
      </c>
      <c r="L77" s="37">
        <f t="shared" si="22"/>
        <v>122.43974713551955</v>
      </c>
      <c r="M77" s="175">
        <f t="shared" si="25"/>
        <v>19225095</v>
      </c>
      <c r="N77" s="175">
        <f t="shared" si="26"/>
        <v>19521864</v>
      </c>
      <c r="O77" s="37">
        <f t="shared" si="23"/>
        <v>296769</v>
      </c>
      <c r="P77" s="37">
        <f t="shared" si="24"/>
        <v>117.2536546819439</v>
      </c>
      <c r="Q77" s="68">
        <f t="shared" si="27"/>
        <v>1.54</v>
      </c>
      <c r="R77" s="407"/>
      <c r="S77" s="102"/>
    </row>
    <row r="78" spans="1:19">
      <c r="A78" s="102">
        <v>105</v>
      </c>
      <c r="B78" s="7" t="s">
        <v>1810</v>
      </c>
      <c r="C78" s="7">
        <v>1</v>
      </c>
      <c r="D78" s="175">
        <f t="shared" si="14"/>
        <v>1376</v>
      </c>
      <c r="E78" s="175">
        <f t="shared" si="15"/>
        <v>1347</v>
      </c>
      <c r="F78" s="37">
        <f t="shared" si="16"/>
        <v>-29</v>
      </c>
      <c r="G78" s="175">
        <f t="shared" si="17"/>
        <v>12709129.820000002</v>
      </c>
      <c r="H78" s="175">
        <f t="shared" si="18"/>
        <v>12771696.514767833</v>
      </c>
      <c r="I78" s="37">
        <f t="shared" si="19"/>
        <v>46.448919649466141</v>
      </c>
      <c r="J78" s="175">
        <f t="shared" si="20"/>
        <v>9404745</v>
      </c>
      <c r="K78" s="175">
        <f t="shared" si="21"/>
        <v>9356963</v>
      </c>
      <c r="L78" s="37">
        <f t="shared" si="22"/>
        <v>-35.472902746844838</v>
      </c>
      <c r="M78" s="175">
        <f t="shared" si="25"/>
        <v>5407948</v>
      </c>
      <c r="N78" s="175">
        <f t="shared" si="26"/>
        <v>5448358</v>
      </c>
      <c r="O78" s="37">
        <f t="shared" si="23"/>
        <v>40410</v>
      </c>
      <c r="P78" s="37">
        <f t="shared" si="24"/>
        <v>30</v>
      </c>
      <c r="Q78" s="68">
        <f t="shared" si="27"/>
        <v>0.75</v>
      </c>
      <c r="R78" s="407"/>
      <c r="S78" s="102"/>
    </row>
    <row r="79" spans="1:19">
      <c r="A79" s="102">
        <v>107</v>
      </c>
      <c r="B79" s="7" t="s">
        <v>1812</v>
      </c>
      <c r="C79" s="7">
        <v>1</v>
      </c>
      <c r="D79" s="175">
        <f t="shared" si="14"/>
        <v>3179</v>
      </c>
      <c r="E79" s="175">
        <f t="shared" si="15"/>
        <v>3189</v>
      </c>
      <c r="F79" s="37">
        <f t="shared" si="16"/>
        <v>10</v>
      </c>
      <c r="G79" s="175">
        <f t="shared" si="17"/>
        <v>34761401.33839</v>
      </c>
      <c r="H79" s="175">
        <f t="shared" si="18"/>
        <v>35423863.383190274</v>
      </c>
      <c r="I79" s="37">
        <f t="shared" si="19"/>
        <v>207.73347281287991</v>
      </c>
      <c r="J79" s="175">
        <f t="shared" si="20"/>
        <v>29058004</v>
      </c>
      <c r="K79" s="175">
        <f t="shared" si="21"/>
        <v>29347381</v>
      </c>
      <c r="L79" s="37">
        <f t="shared" si="22"/>
        <v>90.74223894637818</v>
      </c>
      <c r="M79" s="175">
        <f t="shared" si="25"/>
        <v>6413737.4910011301</v>
      </c>
      <c r="N79" s="175">
        <f t="shared" si="26"/>
        <v>6509407.4910011301</v>
      </c>
      <c r="O79" s="37">
        <f t="shared" si="23"/>
        <v>95670</v>
      </c>
      <c r="P79" s="37">
        <f t="shared" si="24"/>
        <v>30</v>
      </c>
      <c r="Q79" s="68">
        <f t="shared" si="27"/>
        <v>1.49</v>
      </c>
      <c r="R79" s="407"/>
      <c r="S79" s="102"/>
    </row>
    <row r="80" spans="1:19">
      <c r="A80" s="102">
        <v>110</v>
      </c>
      <c r="B80" s="7" t="s">
        <v>1815</v>
      </c>
      <c r="C80" s="7">
        <v>1</v>
      </c>
      <c r="D80" s="175">
        <f t="shared" si="14"/>
        <v>3217</v>
      </c>
      <c r="E80" s="175">
        <f t="shared" si="15"/>
        <v>3151</v>
      </c>
      <c r="F80" s="37">
        <f t="shared" si="16"/>
        <v>-66</v>
      </c>
      <c r="G80" s="175">
        <f t="shared" si="17"/>
        <v>29937376.269999996</v>
      </c>
      <c r="H80" s="175">
        <f t="shared" si="18"/>
        <v>30005660.380291101</v>
      </c>
      <c r="I80" s="37">
        <f t="shared" si="19"/>
        <v>21.67061576994756</v>
      </c>
      <c r="J80" s="175">
        <f t="shared" si="20"/>
        <v>19574310</v>
      </c>
      <c r="K80" s="175">
        <f t="shared" si="21"/>
        <v>19822623</v>
      </c>
      <c r="L80" s="37">
        <f t="shared" si="22"/>
        <v>78.804506505871146</v>
      </c>
      <c r="M80" s="175">
        <f t="shared" si="25"/>
        <v>10827425</v>
      </c>
      <c r="N80" s="175">
        <f t="shared" si="26"/>
        <v>10921955</v>
      </c>
      <c r="O80" s="37">
        <f t="shared" si="23"/>
        <v>94530</v>
      </c>
      <c r="P80" s="37">
        <f t="shared" si="24"/>
        <v>30</v>
      </c>
      <c r="Q80" s="68">
        <f t="shared" si="27"/>
        <v>0.87</v>
      </c>
      <c r="R80" s="407"/>
      <c r="S80" s="102"/>
    </row>
    <row r="81" spans="1:19">
      <c r="A81" s="102">
        <v>111</v>
      </c>
      <c r="B81" s="7" t="s">
        <v>1816</v>
      </c>
      <c r="C81" s="7">
        <v>1</v>
      </c>
      <c r="D81" s="175">
        <f t="shared" si="14"/>
        <v>777</v>
      </c>
      <c r="E81" s="175">
        <f t="shared" si="15"/>
        <v>742</v>
      </c>
      <c r="F81" s="37">
        <f t="shared" si="16"/>
        <v>-35</v>
      </c>
      <c r="G81" s="175">
        <f t="shared" si="17"/>
        <v>7719354.0099999998</v>
      </c>
      <c r="H81" s="175">
        <f t="shared" si="18"/>
        <v>7516650.875846277</v>
      </c>
      <c r="I81" s="37">
        <f t="shared" si="19"/>
        <v>-273.18481691876389</v>
      </c>
      <c r="J81" s="175">
        <f t="shared" si="20"/>
        <v>4716269</v>
      </c>
      <c r="K81" s="175">
        <f t="shared" si="21"/>
        <v>4649745</v>
      </c>
      <c r="L81" s="37">
        <f t="shared" si="22"/>
        <v>-89.654986522911045</v>
      </c>
      <c r="M81" s="175">
        <f t="shared" si="25"/>
        <v>4600550</v>
      </c>
      <c r="N81" s="175">
        <f t="shared" si="26"/>
        <v>4622810</v>
      </c>
      <c r="O81" s="37">
        <f t="shared" si="23"/>
        <v>22260</v>
      </c>
      <c r="P81" s="37">
        <f t="shared" si="24"/>
        <v>30</v>
      </c>
      <c r="Q81" s="68">
        <f t="shared" si="27"/>
        <v>0.48</v>
      </c>
      <c r="R81" s="407"/>
      <c r="S81" s="102"/>
    </row>
    <row r="82" spans="1:19">
      <c r="A82" s="102">
        <v>114</v>
      </c>
      <c r="B82" s="7" t="s">
        <v>1819</v>
      </c>
      <c r="C82" s="7">
        <v>1</v>
      </c>
      <c r="D82" s="175">
        <f t="shared" si="14"/>
        <v>1909</v>
      </c>
      <c r="E82" s="175">
        <f t="shared" si="15"/>
        <v>1913</v>
      </c>
      <c r="F82" s="37">
        <f t="shared" si="16"/>
        <v>4</v>
      </c>
      <c r="G82" s="175">
        <f t="shared" si="17"/>
        <v>20360058.930000003</v>
      </c>
      <c r="H82" s="175">
        <f t="shared" si="18"/>
        <v>20807903.147397026</v>
      </c>
      <c r="I82" s="37">
        <f t="shared" si="19"/>
        <v>234.10570695087455</v>
      </c>
      <c r="J82" s="175">
        <f t="shared" si="20"/>
        <v>9575385</v>
      </c>
      <c r="K82" s="175">
        <f t="shared" si="21"/>
        <v>9604767</v>
      </c>
      <c r="L82" s="37">
        <f t="shared" si="22"/>
        <v>15.359121798222686</v>
      </c>
      <c r="M82" s="175">
        <f t="shared" si="25"/>
        <v>12140007.357180249</v>
      </c>
      <c r="N82" s="175">
        <f t="shared" si="26"/>
        <v>12197397.357180249</v>
      </c>
      <c r="O82" s="37">
        <f t="shared" si="23"/>
        <v>57390</v>
      </c>
      <c r="P82" s="37">
        <f t="shared" si="24"/>
        <v>30</v>
      </c>
      <c r="Q82" s="68">
        <f t="shared" si="27"/>
        <v>0.47</v>
      </c>
      <c r="R82" s="407"/>
      <c r="S82" s="102"/>
    </row>
    <row r="83" spans="1:19">
      <c r="A83" s="102">
        <v>117</v>
      </c>
      <c r="B83" s="7" t="s">
        <v>1822</v>
      </c>
      <c r="C83" s="7">
        <v>1</v>
      </c>
      <c r="D83" s="175">
        <f t="shared" si="14"/>
        <v>587</v>
      </c>
      <c r="E83" s="175">
        <f t="shared" si="15"/>
        <v>565</v>
      </c>
      <c r="F83" s="37">
        <f t="shared" si="16"/>
        <v>-22</v>
      </c>
      <c r="G83" s="175">
        <f t="shared" si="17"/>
        <v>5790379.5499999998</v>
      </c>
      <c r="H83" s="175">
        <f t="shared" si="18"/>
        <v>5654945.3746561082</v>
      </c>
      <c r="I83" s="37">
        <f t="shared" si="19"/>
        <v>-239.70650503343646</v>
      </c>
      <c r="J83" s="175">
        <f t="shared" si="20"/>
        <v>4888340</v>
      </c>
      <c r="K83" s="175">
        <f t="shared" si="21"/>
        <v>4724445</v>
      </c>
      <c r="L83" s="37">
        <f t="shared" si="22"/>
        <v>-290.07964601769913</v>
      </c>
      <c r="M83" s="175">
        <f t="shared" si="25"/>
        <v>985813.99517187499</v>
      </c>
      <c r="N83" s="175">
        <f t="shared" si="26"/>
        <v>1002763.995171875</v>
      </c>
      <c r="O83" s="37">
        <f t="shared" si="23"/>
        <v>16950</v>
      </c>
      <c r="P83" s="37">
        <f t="shared" si="24"/>
        <v>30</v>
      </c>
      <c r="Q83" s="68">
        <f t="shared" si="27"/>
        <v>1.72</v>
      </c>
      <c r="R83" s="407"/>
      <c r="S83" s="102"/>
    </row>
    <row r="84" spans="1:19">
      <c r="A84" s="102">
        <v>118</v>
      </c>
      <c r="B84" s="7" t="s">
        <v>1823</v>
      </c>
      <c r="C84" s="7">
        <v>1</v>
      </c>
      <c r="D84" s="175">
        <f t="shared" si="14"/>
        <v>579</v>
      </c>
      <c r="E84" s="175">
        <f t="shared" si="15"/>
        <v>633</v>
      </c>
      <c r="F84" s="37">
        <f t="shared" si="16"/>
        <v>54</v>
      </c>
      <c r="G84" s="175">
        <f t="shared" si="17"/>
        <v>5481688.6299299989</v>
      </c>
      <c r="H84" s="175">
        <f t="shared" si="18"/>
        <v>6142874.2903718846</v>
      </c>
      <c r="I84" s="37">
        <f t="shared" si="19"/>
        <v>1044.527109702821</v>
      </c>
      <c r="J84" s="175">
        <f t="shared" si="20"/>
        <v>2891843</v>
      </c>
      <c r="K84" s="175">
        <f t="shared" si="21"/>
        <v>3223996</v>
      </c>
      <c r="L84" s="37">
        <f t="shared" si="22"/>
        <v>524.7282780410743</v>
      </c>
      <c r="M84" s="175">
        <f t="shared" si="25"/>
        <v>2746462</v>
      </c>
      <c r="N84" s="175">
        <f t="shared" si="26"/>
        <v>2923648</v>
      </c>
      <c r="O84" s="37">
        <f t="shared" si="23"/>
        <v>177186</v>
      </c>
      <c r="P84" s="37">
        <f t="shared" si="24"/>
        <v>279.91469194312793</v>
      </c>
      <c r="Q84" s="68">
        <f t="shared" si="27"/>
        <v>6.45</v>
      </c>
      <c r="R84" s="407"/>
      <c r="S84" s="102"/>
    </row>
    <row r="85" spans="1:19">
      <c r="A85" s="102">
        <v>121</v>
      </c>
      <c r="B85" s="7" t="s">
        <v>1826</v>
      </c>
      <c r="C85" s="7">
        <v>1</v>
      </c>
      <c r="D85" s="175">
        <f t="shared" si="14"/>
        <v>74</v>
      </c>
      <c r="E85" s="175">
        <f t="shared" si="15"/>
        <v>70</v>
      </c>
      <c r="F85" s="37">
        <f t="shared" si="16"/>
        <v>-4</v>
      </c>
      <c r="G85" s="175">
        <f t="shared" si="17"/>
        <v>719680.2</v>
      </c>
      <c r="H85" s="175">
        <f t="shared" si="18"/>
        <v>672606.53356161958</v>
      </c>
      <c r="I85" s="37">
        <f t="shared" si="19"/>
        <v>-672.48094911971964</v>
      </c>
      <c r="J85" s="175">
        <f t="shared" si="20"/>
        <v>604602</v>
      </c>
      <c r="K85" s="175">
        <f t="shared" si="21"/>
        <v>562854</v>
      </c>
      <c r="L85" s="37">
        <f t="shared" si="22"/>
        <v>-596.4</v>
      </c>
      <c r="M85" s="175">
        <f t="shared" si="25"/>
        <v>205060</v>
      </c>
      <c r="N85" s="175">
        <f t="shared" si="26"/>
        <v>207160</v>
      </c>
      <c r="O85" s="37">
        <f t="shared" si="23"/>
        <v>2100</v>
      </c>
      <c r="P85" s="37">
        <f t="shared" si="24"/>
        <v>30</v>
      </c>
      <c r="Q85" s="68">
        <f t="shared" si="27"/>
        <v>1.02</v>
      </c>
      <c r="R85" s="407"/>
      <c r="S85" s="102"/>
    </row>
    <row r="86" spans="1:19">
      <c r="A86" s="102">
        <v>122</v>
      </c>
      <c r="B86" s="7" t="s">
        <v>1827</v>
      </c>
      <c r="C86" s="7">
        <v>1</v>
      </c>
      <c r="D86" s="175">
        <f t="shared" si="14"/>
        <v>2557</v>
      </c>
      <c r="E86" s="175">
        <f t="shared" si="15"/>
        <v>2530</v>
      </c>
      <c r="F86" s="37">
        <f t="shared" si="16"/>
        <v>-27</v>
      </c>
      <c r="G86" s="175">
        <f t="shared" si="17"/>
        <v>23962139.080309998</v>
      </c>
      <c r="H86" s="175">
        <f t="shared" si="18"/>
        <v>24249684.484178498</v>
      </c>
      <c r="I86" s="37">
        <f t="shared" si="19"/>
        <v>113.6543098294467</v>
      </c>
      <c r="J86" s="175">
        <f t="shared" si="20"/>
        <v>18266304</v>
      </c>
      <c r="K86" s="175">
        <f t="shared" si="21"/>
        <v>19005451</v>
      </c>
      <c r="L86" s="37">
        <f t="shared" si="22"/>
        <v>292.15296442687747</v>
      </c>
      <c r="M86" s="175">
        <f t="shared" si="25"/>
        <v>6795548.713344737</v>
      </c>
      <c r="N86" s="175">
        <f t="shared" si="26"/>
        <v>6871448.713344737</v>
      </c>
      <c r="O86" s="37">
        <f t="shared" si="23"/>
        <v>75900</v>
      </c>
      <c r="P86" s="37">
        <f t="shared" si="24"/>
        <v>30</v>
      </c>
      <c r="Q86" s="68">
        <f t="shared" si="27"/>
        <v>1.1200000000000001</v>
      </c>
      <c r="R86" s="407"/>
      <c r="S86" s="102"/>
    </row>
    <row r="87" spans="1:19">
      <c r="A87" s="102">
        <v>125</v>
      </c>
      <c r="B87" s="7" t="s">
        <v>1830</v>
      </c>
      <c r="C87" s="7">
        <v>1</v>
      </c>
      <c r="D87" s="175">
        <f t="shared" si="14"/>
        <v>996</v>
      </c>
      <c r="E87" s="175">
        <f t="shared" si="15"/>
        <v>980</v>
      </c>
      <c r="F87" s="37">
        <f t="shared" si="16"/>
        <v>-16</v>
      </c>
      <c r="G87" s="175">
        <f t="shared" si="17"/>
        <v>9175786.1101999991</v>
      </c>
      <c r="H87" s="175">
        <f t="shared" si="18"/>
        <v>9274857.1529690847</v>
      </c>
      <c r="I87" s="37">
        <f t="shared" si="19"/>
        <v>101.09290078478124</v>
      </c>
      <c r="J87" s="175">
        <f t="shared" si="20"/>
        <v>7758081</v>
      </c>
      <c r="K87" s="175">
        <f t="shared" si="21"/>
        <v>7706220</v>
      </c>
      <c r="L87" s="37">
        <f t="shared" si="22"/>
        <v>-52.919387755102044</v>
      </c>
      <c r="M87" s="175">
        <f t="shared" si="25"/>
        <v>1896961</v>
      </c>
      <c r="N87" s="175">
        <f t="shared" si="26"/>
        <v>1926361</v>
      </c>
      <c r="O87" s="37">
        <f t="shared" si="23"/>
        <v>29400</v>
      </c>
      <c r="P87" s="37">
        <f t="shared" si="24"/>
        <v>30</v>
      </c>
      <c r="Q87" s="68">
        <f t="shared" si="27"/>
        <v>1.55</v>
      </c>
      <c r="R87" s="407"/>
      <c r="S87" s="102"/>
    </row>
    <row r="88" spans="1:19">
      <c r="A88" s="102">
        <v>127</v>
      </c>
      <c r="B88" s="7" t="s">
        <v>1832</v>
      </c>
      <c r="C88" s="7">
        <v>1</v>
      </c>
      <c r="D88" s="175">
        <f t="shared" si="14"/>
        <v>350</v>
      </c>
      <c r="E88" s="175">
        <f t="shared" si="15"/>
        <v>354</v>
      </c>
      <c r="F88" s="37">
        <f t="shared" si="16"/>
        <v>4</v>
      </c>
      <c r="G88" s="175">
        <f t="shared" si="17"/>
        <v>3350319.81</v>
      </c>
      <c r="H88" s="175">
        <f t="shared" si="18"/>
        <v>3456804.2799801859</v>
      </c>
      <c r="I88" s="37">
        <f t="shared" si="19"/>
        <v>300.80358751464928</v>
      </c>
      <c r="J88" s="175">
        <f t="shared" si="20"/>
        <v>2835513</v>
      </c>
      <c r="K88" s="175">
        <f t="shared" si="21"/>
        <v>2864170</v>
      </c>
      <c r="L88" s="37">
        <f t="shared" si="22"/>
        <v>80.951977401129938</v>
      </c>
      <c r="M88" s="175">
        <f t="shared" si="25"/>
        <v>814996</v>
      </c>
      <c r="N88" s="175">
        <f t="shared" si="26"/>
        <v>825616</v>
      </c>
      <c r="O88" s="37">
        <f t="shared" si="23"/>
        <v>10620</v>
      </c>
      <c r="P88" s="37">
        <f t="shared" si="24"/>
        <v>30</v>
      </c>
      <c r="Q88" s="68">
        <f t="shared" si="27"/>
        <v>1.3</v>
      </c>
      <c r="R88" s="407"/>
      <c r="S88" s="102"/>
    </row>
    <row r="89" spans="1:19">
      <c r="A89" s="102">
        <v>128</v>
      </c>
      <c r="B89" s="7" t="s">
        <v>1833</v>
      </c>
      <c r="C89" s="7">
        <v>1</v>
      </c>
      <c r="D89" s="175">
        <f t="shared" si="14"/>
        <v>8200</v>
      </c>
      <c r="E89" s="175">
        <f t="shared" si="15"/>
        <v>8304</v>
      </c>
      <c r="F89" s="37">
        <f t="shared" si="16"/>
        <v>104</v>
      </c>
      <c r="G89" s="175">
        <f t="shared" si="17"/>
        <v>87808524.019999996</v>
      </c>
      <c r="H89" s="175">
        <f t="shared" si="18"/>
        <v>91533733.132029355</v>
      </c>
      <c r="I89" s="37">
        <f t="shared" si="19"/>
        <v>448.60418015767806</v>
      </c>
      <c r="J89" s="175">
        <f t="shared" si="20"/>
        <v>38182889</v>
      </c>
      <c r="K89" s="175">
        <f t="shared" si="21"/>
        <v>39059148</v>
      </c>
      <c r="L89" s="37">
        <f t="shared" si="22"/>
        <v>105.52251926782273</v>
      </c>
      <c r="M89" s="175">
        <f t="shared" si="25"/>
        <v>49625635</v>
      </c>
      <c r="N89" s="175">
        <f t="shared" si="26"/>
        <v>52474585</v>
      </c>
      <c r="O89" s="37">
        <f t="shared" si="23"/>
        <v>2848950</v>
      </c>
      <c r="P89" s="37">
        <f t="shared" si="24"/>
        <v>343.08164739884393</v>
      </c>
      <c r="Q89" s="68">
        <f t="shared" si="27"/>
        <v>5.74</v>
      </c>
      <c r="R89" s="407"/>
      <c r="S89" s="102"/>
    </row>
    <row r="90" spans="1:19">
      <c r="A90" s="102">
        <v>131</v>
      </c>
      <c r="B90" s="7" t="s">
        <v>1836</v>
      </c>
      <c r="C90" s="7">
        <v>1</v>
      </c>
      <c r="D90" s="175">
        <f t="shared" si="14"/>
        <v>4332</v>
      </c>
      <c r="E90" s="175">
        <f t="shared" si="15"/>
        <v>4328</v>
      </c>
      <c r="F90" s="37">
        <f t="shared" si="16"/>
        <v>-4</v>
      </c>
      <c r="G90" s="175">
        <f t="shared" si="17"/>
        <v>40329887.992679983</v>
      </c>
      <c r="H90" s="175">
        <f t="shared" si="18"/>
        <v>41440808.001251943</v>
      </c>
      <c r="I90" s="37">
        <f t="shared" si="19"/>
        <v>256.68207222087801</v>
      </c>
      <c r="J90" s="175">
        <f t="shared" si="20"/>
        <v>33379675</v>
      </c>
      <c r="K90" s="175">
        <f t="shared" si="21"/>
        <v>34293632</v>
      </c>
      <c r="L90" s="37">
        <f t="shared" si="22"/>
        <v>211.17305914972275</v>
      </c>
      <c r="M90" s="175">
        <f t="shared" si="25"/>
        <v>6950213</v>
      </c>
      <c r="N90" s="175">
        <f t="shared" si="26"/>
        <v>7147176</v>
      </c>
      <c r="O90" s="37">
        <f t="shared" si="23"/>
        <v>196963</v>
      </c>
      <c r="P90" s="37">
        <f t="shared" si="24"/>
        <v>45.509011090573011</v>
      </c>
      <c r="Q90" s="68">
        <f t="shared" si="27"/>
        <v>2.83</v>
      </c>
      <c r="R90" s="407"/>
      <c r="S90" s="102"/>
    </row>
    <row r="91" spans="1:19">
      <c r="A91" s="102">
        <v>133</v>
      </c>
      <c r="B91" s="7" t="s">
        <v>1838</v>
      </c>
      <c r="C91" s="7">
        <v>1</v>
      </c>
      <c r="D91" s="175">
        <f t="shared" si="14"/>
        <v>1171</v>
      </c>
      <c r="E91" s="175">
        <f t="shared" si="15"/>
        <v>1165</v>
      </c>
      <c r="F91" s="37">
        <f t="shared" si="16"/>
        <v>-6</v>
      </c>
      <c r="G91" s="175">
        <f t="shared" si="17"/>
        <v>12499752.025560001</v>
      </c>
      <c r="H91" s="175">
        <f t="shared" si="18"/>
        <v>12628237.26938205</v>
      </c>
      <c r="I91" s="37">
        <f t="shared" si="19"/>
        <v>110.28776293738142</v>
      </c>
      <c r="J91" s="175">
        <f t="shared" si="20"/>
        <v>6931227</v>
      </c>
      <c r="K91" s="175">
        <f t="shared" si="21"/>
        <v>7152474</v>
      </c>
      <c r="L91" s="37">
        <f t="shared" si="22"/>
        <v>189.91158798283263</v>
      </c>
      <c r="M91" s="175">
        <f t="shared" si="25"/>
        <v>5617684</v>
      </c>
      <c r="N91" s="175">
        <f t="shared" si="26"/>
        <v>5652634</v>
      </c>
      <c r="O91" s="37">
        <f t="shared" si="23"/>
        <v>34950</v>
      </c>
      <c r="P91" s="37">
        <f t="shared" si="24"/>
        <v>30</v>
      </c>
      <c r="Q91" s="68">
        <f t="shared" si="27"/>
        <v>0.62</v>
      </c>
      <c r="R91" s="407"/>
      <c r="S91" s="102"/>
    </row>
    <row r="92" spans="1:19">
      <c r="A92" s="102">
        <v>135</v>
      </c>
      <c r="B92" s="7" t="s">
        <v>1840</v>
      </c>
      <c r="C92" s="7">
        <v>1</v>
      </c>
      <c r="D92" s="175">
        <f t="shared" si="14"/>
        <v>145</v>
      </c>
      <c r="E92" s="175">
        <f t="shared" si="15"/>
        <v>152</v>
      </c>
      <c r="F92" s="37">
        <f t="shared" si="16"/>
        <v>7</v>
      </c>
      <c r="G92" s="175">
        <f t="shared" si="17"/>
        <v>1464807.0700000003</v>
      </c>
      <c r="H92" s="175">
        <f t="shared" si="18"/>
        <v>1612152.0989724461</v>
      </c>
      <c r="I92" s="37">
        <f t="shared" si="19"/>
        <v>969.37519060819579</v>
      </c>
      <c r="J92" s="175">
        <f t="shared" si="20"/>
        <v>854286</v>
      </c>
      <c r="K92" s="175">
        <f t="shared" si="21"/>
        <v>930261</v>
      </c>
      <c r="L92" s="37">
        <f t="shared" si="22"/>
        <v>499.83552631578948</v>
      </c>
      <c r="M92" s="175">
        <f t="shared" si="25"/>
        <v>919098</v>
      </c>
      <c r="N92" s="175">
        <f t="shared" si="26"/>
        <v>923658</v>
      </c>
      <c r="O92" s="37">
        <f t="shared" si="23"/>
        <v>4560</v>
      </c>
      <c r="P92" s="37">
        <f t="shared" si="24"/>
        <v>30</v>
      </c>
      <c r="Q92" s="68">
        <f t="shared" si="27"/>
        <v>0.5</v>
      </c>
      <c r="R92" s="407"/>
      <c r="S92" s="102"/>
    </row>
    <row r="93" spans="1:19">
      <c r="A93" s="102">
        <v>136</v>
      </c>
      <c r="B93" s="7" t="s">
        <v>1841</v>
      </c>
      <c r="C93" s="7">
        <v>1</v>
      </c>
      <c r="D93" s="175">
        <f t="shared" si="14"/>
        <v>2614</v>
      </c>
      <c r="E93" s="175">
        <f t="shared" si="15"/>
        <v>2612</v>
      </c>
      <c r="F93" s="37">
        <f t="shared" si="16"/>
        <v>-2</v>
      </c>
      <c r="G93" s="175">
        <f t="shared" si="17"/>
        <v>24902897.913260002</v>
      </c>
      <c r="H93" s="175">
        <f t="shared" si="18"/>
        <v>25340457.438654266</v>
      </c>
      <c r="I93" s="37">
        <f t="shared" si="19"/>
        <v>167.5189607175592</v>
      </c>
      <c r="J93" s="175">
        <f t="shared" si="20"/>
        <v>17988443</v>
      </c>
      <c r="K93" s="175">
        <f t="shared" si="21"/>
        <v>18649605</v>
      </c>
      <c r="L93" s="37">
        <f t="shared" si="22"/>
        <v>253.12480857580397</v>
      </c>
      <c r="M93" s="175">
        <f t="shared" si="25"/>
        <v>7363119.6612902638</v>
      </c>
      <c r="N93" s="175">
        <f t="shared" si="26"/>
        <v>7441479.6612902638</v>
      </c>
      <c r="O93" s="37">
        <f t="shared" si="23"/>
        <v>78360</v>
      </c>
      <c r="P93" s="37">
        <f t="shared" si="24"/>
        <v>30</v>
      </c>
      <c r="Q93" s="68">
        <f t="shared" si="27"/>
        <v>1.06</v>
      </c>
      <c r="R93" s="407"/>
      <c r="S93" s="102"/>
    </row>
    <row r="94" spans="1:19">
      <c r="A94" s="102">
        <v>137</v>
      </c>
      <c r="B94" s="7" t="s">
        <v>1842</v>
      </c>
      <c r="C94" s="7">
        <v>1</v>
      </c>
      <c r="D94" s="175">
        <f t="shared" si="14"/>
        <v>6479</v>
      </c>
      <c r="E94" s="175">
        <f t="shared" si="15"/>
        <v>6463</v>
      </c>
      <c r="F94" s="37">
        <f t="shared" si="16"/>
        <v>-16</v>
      </c>
      <c r="G94" s="175">
        <f t="shared" si="17"/>
        <v>80344375.670000002</v>
      </c>
      <c r="H94" s="175">
        <f t="shared" si="18"/>
        <v>81981180.868534818</v>
      </c>
      <c r="I94" s="37">
        <f t="shared" si="19"/>
        <v>253.25780574575529</v>
      </c>
      <c r="J94" s="175">
        <f t="shared" si="20"/>
        <v>10380314</v>
      </c>
      <c r="K94" s="175">
        <f t="shared" si="21"/>
        <v>10580654</v>
      </c>
      <c r="L94" s="37">
        <f t="shared" si="22"/>
        <v>30.997988550208881</v>
      </c>
      <c r="M94" s="175">
        <f t="shared" si="25"/>
        <v>70897779</v>
      </c>
      <c r="N94" s="175">
        <f t="shared" si="26"/>
        <v>71400527</v>
      </c>
      <c r="O94" s="37">
        <f t="shared" si="23"/>
        <v>502748</v>
      </c>
      <c r="P94" s="37">
        <f t="shared" si="24"/>
        <v>77.788643045025523</v>
      </c>
      <c r="Q94" s="68">
        <f t="shared" si="27"/>
        <v>0.71</v>
      </c>
      <c r="R94" s="407"/>
      <c r="S94" s="102"/>
    </row>
    <row r="95" spans="1:19">
      <c r="A95" s="102">
        <v>138</v>
      </c>
      <c r="B95" s="7" t="s">
        <v>1843</v>
      </c>
      <c r="C95" s="7">
        <v>1</v>
      </c>
      <c r="D95" s="175">
        <f t="shared" si="14"/>
        <v>1041</v>
      </c>
      <c r="E95" s="175">
        <f t="shared" si="15"/>
        <v>1019</v>
      </c>
      <c r="F95" s="37">
        <f t="shared" si="16"/>
        <v>-22</v>
      </c>
      <c r="G95" s="175">
        <f t="shared" si="17"/>
        <v>10041924.281359999</v>
      </c>
      <c r="H95" s="175">
        <f t="shared" si="18"/>
        <v>9875547.1322113276</v>
      </c>
      <c r="I95" s="37">
        <f t="shared" si="19"/>
        <v>-163.27492556297443</v>
      </c>
      <c r="J95" s="175">
        <f t="shared" si="20"/>
        <v>5468971</v>
      </c>
      <c r="K95" s="175">
        <f t="shared" si="21"/>
        <v>5451538</v>
      </c>
      <c r="L95" s="37">
        <f t="shared" si="22"/>
        <v>-17.107948969578018</v>
      </c>
      <c r="M95" s="175">
        <f t="shared" si="25"/>
        <v>5999100</v>
      </c>
      <c r="N95" s="175">
        <f t="shared" si="26"/>
        <v>6029670</v>
      </c>
      <c r="O95" s="37">
        <f t="shared" si="23"/>
        <v>30570</v>
      </c>
      <c r="P95" s="37">
        <f t="shared" si="24"/>
        <v>30</v>
      </c>
      <c r="Q95" s="68">
        <f t="shared" si="27"/>
        <v>0.51</v>
      </c>
      <c r="R95" s="407"/>
      <c r="S95" s="102"/>
    </row>
    <row r="96" spans="1:19">
      <c r="A96" s="102">
        <v>139</v>
      </c>
      <c r="B96" s="7" t="s">
        <v>1844</v>
      </c>
      <c r="C96" s="7">
        <v>1</v>
      </c>
      <c r="D96" s="175">
        <f t="shared" si="14"/>
        <v>3486</v>
      </c>
      <c r="E96" s="175">
        <f t="shared" si="15"/>
        <v>3471</v>
      </c>
      <c r="F96" s="37">
        <f t="shared" si="16"/>
        <v>-15</v>
      </c>
      <c r="G96" s="175">
        <f t="shared" si="17"/>
        <v>33817637.171700001</v>
      </c>
      <c r="H96" s="175">
        <f t="shared" si="18"/>
        <v>34051687.916279338</v>
      </c>
      <c r="I96" s="37">
        <f t="shared" si="19"/>
        <v>67.430349922021762</v>
      </c>
      <c r="J96" s="175">
        <f t="shared" si="20"/>
        <v>28266492</v>
      </c>
      <c r="K96" s="175">
        <f t="shared" si="21"/>
        <v>28376314</v>
      </c>
      <c r="L96" s="37">
        <f t="shared" si="22"/>
        <v>31.639873235378854</v>
      </c>
      <c r="M96" s="175">
        <f t="shared" si="25"/>
        <v>6152833.4027372804</v>
      </c>
      <c r="N96" s="175">
        <f t="shared" si="26"/>
        <v>6256963.4027372804</v>
      </c>
      <c r="O96" s="37">
        <f t="shared" si="23"/>
        <v>104130</v>
      </c>
      <c r="P96" s="37">
        <f t="shared" si="24"/>
        <v>30</v>
      </c>
      <c r="Q96" s="68">
        <f t="shared" si="27"/>
        <v>1.69</v>
      </c>
      <c r="R96" s="407"/>
      <c r="S96" s="102"/>
    </row>
    <row r="97" spans="1:19">
      <c r="A97" s="102">
        <v>141</v>
      </c>
      <c r="B97" s="7" t="s">
        <v>1846</v>
      </c>
      <c r="C97" s="7">
        <v>1</v>
      </c>
      <c r="D97" s="175">
        <f t="shared" si="14"/>
        <v>2688</v>
      </c>
      <c r="E97" s="175">
        <f t="shared" si="15"/>
        <v>2712</v>
      </c>
      <c r="F97" s="37">
        <f t="shared" si="16"/>
        <v>24</v>
      </c>
      <c r="G97" s="175">
        <f t="shared" si="17"/>
        <v>27512651.906879999</v>
      </c>
      <c r="H97" s="175">
        <f t="shared" si="18"/>
        <v>28097682.163007021</v>
      </c>
      <c r="I97" s="37">
        <f t="shared" si="19"/>
        <v>215.71912099078989</v>
      </c>
      <c r="J97" s="175">
        <f t="shared" si="20"/>
        <v>16516841</v>
      </c>
      <c r="K97" s="175">
        <f t="shared" si="21"/>
        <v>16800420</v>
      </c>
      <c r="L97" s="37">
        <f t="shared" si="22"/>
        <v>104.56452802359883</v>
      </c>
      <c r="M97" s="175">
        <f t="shared" si="25"/>
        <v>11490541</v>
      </c>
      <c r="N97" s="175">
        <f t="shared" si="26"/>
        <v>11571901</v>
      </c>
      <c r="O97" s="37">
        <f t="shared" si="23"/>
        <v>81360</v>
      </c>
      <c r="P97" s="37">
        <f t="shared" si="24"/>
        <v>30</v>
      </c>
      <c r="Q97" s="68">
        <f t="shared" si="27"/>
        <v>0.71</v>
      </c>
      <c r="R97" s="407"/>
      <c r="S97" s="102"/>
    </row>
    <row r="98" spans="1:19">
      <c r="A98" s="102">
        <v>142</v>
      </c>
      <c r="B98" s="7" t="s">
        <v>1847</v>
      </c>
      <c r="C98" s="7">
        <v>1</v>
      </c>
      <c r="D98" s="175">
        <f t="shared" si="14"/>
        <v>1002</v>
      </c>
      <c r="E98" s="175">
        <f t="shared" si="15"/>
        <v>971</v>
      </c>
      <c r="F98" s="37">
        <f t="shared" si="16"/>
        <v>-31</v>
      </c>
      <c r="G98" s="175">
        <f t="shared" si="17"/>
        <v>10359200.878399998</v>
      </c>
      <c r="H98" s="175">
        <f t="shared" si="18"/>
        <v>10207764.981851343</v>
      </c>
      <c r="I98" s="37">
        <f t="shared" si="19"/>
        <v>-155.95869881426867</v>
      </c>
      <c r="J98" s="175">
        <f t="shared" si="20"/>
        <v>8708283</v>
      </c>
      <c r="K98" s="175">
        <f t="shared" si="21"/>
        <v>8510548</v>
      </c>
      <c r="L98" s="37">
        <f t="shared" si="22"/>
        <v>-203.64057672502574</v>
      </c>
      <c r="M98" s="175">
        <f t="shared" si="25"/>
        <v>3789356</v>
      </c>
      <c r="N98" s="175">
        <f t="shared" si="26"/>
        <v>3818486</v>
      </c>
      <c r="O98" s="37">
        <f t="shared" si="23"/>
        <v>29130</v>
      </c>
      <c r="P98" s="37">
        <f t="shared" si="24"/>
        <v>30</v>
      </c>
      <c r="Q98" s="68">
        <f t="shared" si="27"/>
        <v>0.77</v>
      </c>
      <c r="R98" s="407"/>
      <c r="S98" s="102"/>
    </row>
    <row r="99" spans="1:19">
      <c r="A99" s="102">
        <v>144</v>
      </c>
      <c r="B99" s="7" t="s">
        <v>1849</v>
      </c>
      <c r="C99" s="7">
        <v>1</v>
      </c>
      <c r="D99" s="175">
        <f t="shared" si="14"/>
        <v>1802</v>
      </c>
      <c r="E99" s="175">
        <f t="shared" si="15"/>
        <v>1744</v>
      </c>
      <c r="F99" s="37">
        <f t="shared" si="16"/>
        <v>-58</v>
      </c>
      <c r="G99" s="175">
        <f t="shared" si="17"/>
        <v>17848954.323200006</v>
      </c>
      <c r="H99" s="175">
        <f t="shared" si="18"/>
        <v>17585142.68474175</v>
      </c>
      <c r="I99" s="37">
        <f t="shared" si="19"/>
        <v>-151.26814131780716</v>
      </c>
      <c r="J99" s="175">
        <f t="shared" si="20"/>
        <v>14939873</v>
      </c>
      <c r="K99" s="175">
        <f t="shared" si="21"/>
        <v>14661641</v>
      </c>
      <c r="L99" s="37">
        <f t="shared" si="22"/>
        <v>-159.53669724770643</v>
      </c>
      <c r="M99" s="175">
        <f t="shared" si="25"/>
        <v>3178709.52940783</v>
      </c>
      <c r="N99" s="175">
        <f t="shared" si="26"/>
        <v>3231029.52940783</v>
      </c>
      <c r="O99" s="37">
        <f t="shared" si="23"/>
        <v>52320</v>
      </c>
      <c r="P99" s="37">
        <f t="shared" si="24"/>
        <v>30</v>
      </c>
      <c r="Q99" s="68">
        <f t="shared" si="27"/>
        <v>1.65</v>
      </c>
      <c r="R99" s="407"/>
      <c r="S99" s="102"/>
    </row>
    <row r="100" spans="1:19">
      <c r="A100" s="102">
        <v>145</v>
      </c>
      <c r="B100" s="7" t="s">
        <v>1850</v>
      </c>
      <c r="C100" s="7">
        <v>1</v>
      </c>
      <c r="D100" s="175">
        <f t="shared" si="14"/>
        <v>1104</v>
      </c>
      <c r="E100" s="175">
        <f t="shared" si="15"/>
        <v>1046</v>
      </c>
      <c r="F100" s="37">
        <f t="shared" si="16"/>
        <v>-58</v>
      </c>
      <c r="G100" s="175">
        <f t="shared" si="17"/>
        <v>10429935.11328</v>
      </c>
      <c r="H100" s="175">
        <f t="shared" si="18"/>
        <v>10083448.835693419</v>
      </c>
      <c r="I100" s="37">
        <f t="shared" si="19"/>
        <v>-331.2488313447239</v>
      </c>
      <c r="J100" s="175">
        <f t="shared" si="20"/>
        <v>6471707</v>
      </c>
      <c r="K100" s="175">
        <f t="shared" si="21"/>
        <v>6275524</v>
      </c>
      <c r="L100" s="37">
        <f t="shared" si="22"/>
        <v>-187.55544933078394</v>
      </c>
      <c r="M100" s="175">
        <f t="shared" si="25"/>
        <v>4276884.5356259402</v>
      </c>
      <c r="N100" s="175">
        <f t="shared" si="26"/>
        <v>4308264.5356259402</v>
      </c>
      <c r="O100" s="37">
        <f t="shared" si="23"/>
        <v>31380</v>
      </c>
      <c r="P100" s="37">
        <f t="shared" si="24"/>
        <v>30</v>
      </c>
      <c r="Q100" s="68">
        <f t="shared" si="27"/>
        <v>0.73</v>
      </c>
      <c r="R100" s="407"/>
      <c r="S100" s="102"/>
    </row>
    <row r="101" spans="1:19">
      <c r="A101" s="102">
        <v>148</v>
      </c>
      <c r="B101" s="7" t="s">
        <v>1853</v>
      </c>
      <c r="C101" s="7">
        <v>1</v>
      </c>
      <c r="D101" s="175">
        <f t="shared" si="14"/>
        <v>188</v>
      </c>
      <c r="E101" s="175">
        <f t="shared" si="15"/>
        <v>196</v>
      </c>
      <c r="F101" s="37">
        <f t="shared" si="16"/>
        <v>8</v>
      </c>
      <c r="G101" s="175">
        <f t="shared" si="17"/>
        <v>1846691.1099999999</v>
      </c>
      <c r="H101" s="175">
        <f t="shared" si="18"/>
        <v>1897447.2242952588</v>
      </c>
      <c r="I101" s="37">
        <f t="shared" si="19"/>
        <v>258.95976681254535</v>
      </c>
      <c r="J101" s="175">
        <f t="shared" si="20"/>
        <v>1231226</v>
      </c>
      <c r="K101" s="175">
        <f t="shared" si="21"/>
        <v>1143811</v>
      </c>
      <c r="L101" s="37">
        <f t="shared" si="22"/>
        <v>-445.99489795918367</v>
      </c>
      <c r="M101" s="175">
        <f t="shared" si="25"/>
        <v>762663</v>
      </c>
      <c r="N101" s="175">
        <f t="shared" si="26"/>
        <v>768543</v>
      </c>
      <c r="O101" s="37">
        <f t="shared" si="23"/>
        <v>5880</v>
      </c>
      <c r="P101" s="37">
        <f t="shared" si="24"/>
        <v>30</v>
      </c>
      <c r="Q101" s="68">
        <f t="shared" si="27"/>
        <v>0.77</v>
      </c>
      <c r="R101" s="407"/>
      <c r="S101" s="102"/>
    </row>
    <row r="102" spans="1:19">
      <c r="A102" s="102">
        <v>149</v>
      </c>
      <c r="B102" s="7" t="s">
        <v>1854</v>
      </c>
      <c r="C102" s="7">
        <v>1</v>
      </c>
      <c r="D102" s="175">
        <f t="shared" si="14"/>
        <v>15088</v>
      </c>
      <c r="E102" s="175">
        <f t="shared" si="15"/>
        <v>15312</v>
      </c>
      <c r="F102" s="37">
        <f t="shared" si="16"/>
        <v>224</v>
      </c>
      <c r="G102" s="175">
        <f t="shared" si="17"/>
        <v>185788081.69999999</v>
      </c>
      <c r="H102" s="175">
        <f t="shared" si="18"/>
        <v>189722671.68810713</v>
      </c>
      <c r="I102" s="37">
        <f t="shared" si="19"/>
        <v>256.96120611985009</v>
      </c>
      <c r="J102" s="175">
        <f t="shared" si="20"/>
        <v>8809108</v>
      </c>
      <c r="K102" s="175">
        <f t="shared" si="21"/>
        <v>9390191</v>
      </c>
      <c r="L102" s="37">
        <f t="shared" si="22"/>
        <v>37.949516718913273</v>
      </c>
      <c r="M102" s="175">
        <f t="shared" si="25"/>
        <v>178458236</v>
      </c>
      <c r="N102" s="175">
        <f t="shared" si="26"/>
        <v>180602480</v>
      </c>
      <c r="O102" s="37">
        <f t="shared" si="23"/>
        <v>2144244</v>
      </c>
      <c r="P102" s="37">
        <f t="shared" si="24"/>
        <v>140.03683385579939</v>
      </c>
      <c r="Q102" s="68">
        <f t="shared" si="27"/>
        <v>1.2</v>
      </c>
      <c r="R102" s="407"/>
      <c r="S102" s="102"/>
    </row>
    <row r="103" spans="1:19">
      <c r="A103" s="102">
        <v>150</v>
      </c>
      <c r="B103" s="7" t="s">
        <v>1855</v>
      </c>
      <c r="C103" s="7">
        <v>1</v>
      </c>
      <c r="D103" s="175">
        <f t="shared" si="14"/>
        <v>612</v>
      </c>
      <c r="E103" s="175">
        <f t="shared" si="15"/>
        <v>621</v>
      </c>
      <c r="F103" s="37">
        <f t="shared" si="16"/>
        <v>9</v>
      </c>
      <c r="G103" s="175">
        <f t="shared" si="17"/>
        <v>6504171.9400000004</v>
      </c>
      <c r="H103" s="175">
        <f t="shared" si="18"/>
        <v>6757761.9564577993</v>
      </c>
      <c r="I103" s="37">
        <f t="shared" si="19"/>
        <v>408.35751442479693</v>
      </c>
      <c r="J103" s="175">
        <f t="shared" si="20"/>
        <v>5425885</v>
      </c>
      <c r="K103" s="175">
        <f t="shared" si="21"/>
        <v>5587191</v>
      </c>
      <c r="L103" s="37">
        <f t="shared" si="22"/>
        <v>259.75201288244767</v>
      </c>
      <c r="M103" s="175">
        <f t="shared" si="25"/>
        <v>2029359</v>
      </c>
      <c r="N103" s="175">
        <f t="shared" si="26"/>
        <v>2047989</v>
      </c>
      <c r="O103" s="37">
        <f t="shared" si="23"/>
        <v>18630</v>
      </c>
      <c r="P103" s="37">
        <f t="shared" si="24"/>
        <v>30</v>
      </c>
      <c r="Q103" s="68">
        <f t="shared" si="27"/>
        <v>0.92</v>
      </c>
      <c r="R103" s="407"/>
      <c r="S103" s="102"/>
    </row>
    <row r="104" spans="1:19">
      <c r="A104" s="102">
        <v>151</v>
      </c>
      <c r="B104" s="7" t="s">
        <v>1856</v>
      </c>
      <c r="C104" s="7">
        <v>1</v>
      </c>
      <c r="D104" s="175">
        <f t="shared" si="14"/>
        <v>1585</v>
      </c>
      <c r="E104" s="175">
        <f t="shared" si="15"/>
        <v>1572</v>
      </c>
      <c r="F104" s="37">
        <f t="shared" si="16"/>
        <v>-13</v>
      </c>
      <c r="G104" s="175">
        <f t="shared" si="17"/>
        <v>15935660.719999999</v>
      </c>
      <c r="H104" s="175">
        <f t="shared" si="18"/>
        <v>16281458.222080152</v>
      </c>
      <c r="I104" s="37">
        <f t="shared" si="19"/>
        <v>219.97296569984331</v>
      </c>
      <c r="J104" s="175">
        <f t="shared" si="20"/>
        <v>7913187</v>
      </c>
      <c r="K104" s="175">
        <f t="shared" si="21"/>
        <v>7799077</v>
      </c>
      <c r="L104" s="37">
        <f t="shared" si="22"/>
        <v>-72.589058524173026</v>
      </c>
      <c r="M104" s="175">
        <f t="shared" si="25"/>
        <v>9661287</v>
      </c>
      <c r="N104" s="175">
        <f t="shared" si="26"/>
        <v>9708447</v>
      </c>
      <c r="O104" s="37">
        <f t="shared" si="23"/>
        <v>47160</v>
      </c>
      <c r="P104" s="37">
        <f t="shared" si="24"/>
        <v>30</v>
      </c>
      <c r="Q104" s="68">
        <f t="shared" si="27"/>
        <v>0.49</v>
      </c>
      <c r="R104" s="407"/>
      <c r="S104" s="102"/>
    </row>
    <row r="105" spans="1:19">
      <c r="A105" s="102">
        <v>152</v>
      </c>
      <c r="B105" s="7" t="s">
        <v>1857</v>
      </c>
      <c r="C105" s="7">
        <v>1</v>
      </c>
      <c r="D105" s="175">
        <f t="shared" si="14"/>
        <v>523</v>
      </c>
      <c r="E105" s="175">
        <f t="shared" si="15"/>
        <v>521</v>
      </c>
      <c r="F105" s="37">
        <f t="shared" si="16"/>
        <v>-2</v>
      </c>
      <c r="G105" s="175">
        <f t="shared" si="17"/>
        <v>5241794.76</v>
      </c>
      <c r="H105" s="175">
        <f t="shared" si="18"/>
        <v>5339115.7336442946</v>
      </c>
      <c r="I105" s="37">
        <f t="shared" si="19"/>
        <v>186.79649451879996</v>
      </c>
      <c r="J105" s="175">
        <f t="shared" si="20"/>
        <v>4408169</v>
      </c>
      <c r="K105" s="175">
        <f t="shared" si="21"/>
        <v>4429745</v>
      </c>
      <c r="L105" s="37">
        <f t="shared" si="22"/>
        <v>41.412667946257194</v>
      </c>
      <c r="M105" s="175">
        <f t="shared" si="25"/>
        <v>1226895</v>
      </c>
      <c r="N105" s="175">
        <f t="shared" si="26"/>
        <v>1242525</v>
      </c>
      <c r="O105" s="37">
        <f t="shared" si="23"/>
        <v>15630</v>
      </c>
      <c r="P105" s="37">
        <f t="shared" si="24"/>
        <v>30</v>
      </c>
      <c r="Q105" s="68">
        <f t="shared" si="27"/>
        <v>1.27</v>
      </c>
      <c r="R105" s="407"/>
      <c r="S105" s="102"/>
    </row>
    <row r="106" spans="1:19">
      <c r="A106" s="102">
        <v>153</v>
      </c>
      <c r="B106" s="7" t="s">
        <v>1858</v>
      </c>
      <c r="C106" s="7">
        <v>1</v>
      </c>
      <c r="D106" s="175">
        <f t="shared" si="14"/>
        <v>6222</v>
      </c>
      <c r="E106" s="175">
        <f t="shared" si="15"/>
        <v>6123</v>
      </c>
      <c r="F106" s="37">
        <f t="shared" si="16"/>
        <v>-99</v>
      </c>
      <c r="G106" s="175">
        <f t="shared" si="17"/>
        <v>69488787.129999995</v>
      </c>
      <c r="H106" s="175">
        <f t="shared" si="18"/>
        <v>69633698.04886961</v>
      </c>
      <c r="I106" s="37">
        <f t="shared" si="19"/>
        <v>23.666653416562895</v>
      </c>
      <c r="J106" s="175">
        <f t="shared" si="20"/>
        <v>27478840</v>
      </c>
      <c r="K106" s="175">
        <f t="shared" si="21"/>
        <v>27880085</v>
      </c>
      <c r="L106" s="37">
        <f t="shared" si="22"/>
        <v>65.530785562632701</v>
      </c>
      <c r="M106" s="175">
        <f t="shared" si="25"/>
        <v>43889797</v>
      </c>
      <c r="N106" s="175">
        <f t="shared" si="26"/>
        <v>44073487</v>
      </c>
      <c r="O106" s="37">
        <f t="shared" si="23"/>
        <v>183690</v>
      </c>
      <c r="P106" s="37">
        <f t="shared" si="24"/>
        <v>30</v>
      </c>
      <c r="Q106" s="68">
        <f t="shared" si="27"/>
        <v>0.42</v>
      </c>
      <c r="R106" s="407"/>
      <c r="S106" s="102"/>
    </row>
    <row r="107" spans="1:19">
      <c r="A107" s="102">
        <v>154</v>
      </c>
      <c r="B107" s="7" t="s">
        <v>1859</v>
      </c>
      <c r="C107" s="7">
        <v>1</v>
      </c>
      <c r="D107" s="175">
        <f t="shared" si="14"/>
        <v>101</v>
      </c>
      <c r="E107" s="175">
        <f t="shared" si="15"/>
        <v>123</v>
      </c>
      <c r="F107" s="37">
        <f t="shared" si="16"/>
        <v>22</v>
      </c>
      <c r="G107" s="175">
        <f t="shared" si="17"/>
        <v>997887.19000000006</v>
      </c>
      <c r="H107" s="175">
        <f t="shared" si="18"/>
        <v>1195068.007035923</v>
      </c>
      <c r="I107" s="37">
        <f t="shared" si="19"/>
        <v>1603.0960734627877</v>
      </c>
      <c r="J107" s="175">
        <f t="shared" si="20"/>
        <v>837493</v>
      </c>
      <c r="K107" s="175">
        <f t="shared" si="21"/>
        <v>990119</v>
      </c>
      <c r="L107" s="37">
        <f t="shared" si="22"/>
        <v>1240.8617886178861</v>
      </c>
      <c r="M107" s="175">
        <f t="shared" si="25"/>
        <v>285371</v>
      </c>
      <c r="N107" s="175">
        <f t="shared" si="26"/>
        <v>289061</v>
      </c>
      <c r="O107" s="37">
        <f t="shared" si="23"/>
        <v>3690</v>
      </c>
      <c r="P107" s="37">
        <f t="shared" si="24"/>
        <v>30</v>
      </c>
      <c r="Q107" s="68">
        <f t="shared" si="27"/>
        <v>1.29</v>
      </c>
      <c r="R107" s="407"/>
      <c r="S107" s="102"/>
    </row>
    <row r="108" spans="1:19">
      <c r="A108" s="102">
        <v>155</v>
      </c>
      <c r="B108" s="7" t="s">
        <v>1860</v>
      </c>
      <c r="C108" s="7">
        <v>1</v>
      </c>
      <c r="D108" s="175">
        <f t="shared" si="14"/>
        <v>6978</v>
      </c>
      <c r="E108" s="175">
        <f t="shared" si="15"/>
        <v>7126</v>
      </c>
      <c r="F108" s="37">
        <f t="shared" si="16"/>
        <v>148</v>
      </c>
      <c r="G108" s="175">
        <f t="shared" si="17"/>
        <v>69116723.419239998</v>
      </c>
      <c r="H108" s="175">
        <f t="shared" si="18"/>
        <v>74054892.120399058</v>
      </c>
      <c r="I108" s="37">
        <f t="shared" si="19"/>
        <v>692.97904871724108</v>
      </c>
      <c r="J108" s="175">
        <f t="shared" si="20"/>
        <v>57485649</v>
      </c>
      <c r="K108" s="175">
        <f t="shared" si="21"/>
        <v>60055998</v>
      </c>
      <c r="L108" s="37">
        <f t="shared" si="22"/>
        <v>360.70011226494529</v>
      </c>
      <c r="M108" s="175">
        <f t="shared" si="25"/>
        <v>11631074</v>
      </c>
      <c r="N108" s="175">
        <f t="shared" si="26"/>
        <v>13998894</v>
      </c>
      <c r="O108" s="37">
        <f t="shared" si="23"/>
        <v>2367820</v>
      </c>
      <c r="P108" s="37">
        <f t="shared" si="24"/>
        <v>332.27897838899804</v>
      </c>
      <c r="Q108" s="68">
        <f t="shared" si="27"/>
        <v>20.36</v>
      </c>
      <c r="R108" s="407"/>
      <c r="S108" s="102"/>
    </row>
    <row r="109" spans="1:19">
      <c r="A109" s="102">
        <v>157</v>
      </c>
      <c r="B109" s="7" t="s">
        <v>1862</v>
      </c>
      <c r="C109" s="7">
        <v>1</v>
      </c>
      <c r="D109" s="175">
        <f t="shared" si="14"/>
        <v>664</v>
      </c>
      <c r="E109" s="175">
        <f t="shared" si="15"/>
        <v>653</v>
      </c>
      <c r="F109" s="37">
        <f t="shared" si="16"/>
        <v>-11</v>
      </c>
      <c r="G109" s="175">
        <f t="shared" si="17"/>
        <v>6043300.8275599992</v>
      </c>
      <c r="H109" s="175">
        <f t="shared" si="18"/>
        <v>6203608.5789318336</v>
      </c>
      <c r="I109" s="37">
        <f t="shared" si="19"/>
        <v>245.49425937493785</v>
      </c>
      <c r="J109" s="175">
        <f t="shared" si="20"/>
        <v>5030628</v>
      </c>
      <c r="K109" s="175">
        <f t="shared" si="21"/>
        <v>5157876</v>
      </c>
      <c r="L109" s="37">
        <f t="shared" si="22"/>
        <v>194.86676875957122</v>
      </c>
      <c r="M109" s="175">
        <f t="shared" si="25"/>
        <v>1032491</v>
      </c>
      <c r="N109" s="175">
        <f t="shared" si="26"/>
        <v>1052081</v>
      </c>
      <c r="O109" s="37">
        <f t="shared" si="23"/>
        <v>19590</v>
      </c>
      <c r="P109" s="37">
        <f t="shared" si="24"/>
        <v>30</v>
      </c>
      <c r="Q109" s="68">
        <f t="shared" si="27"/>
        <v>1.9</v>
      </c>
      <c r="R109" s="407"/>
      <c r="S109" s="102"/>
    </row>
    <row r="110" spans="1:19">
      <c r="A110" s="102">
        <v>158</v>
      </c>
      <c r="B110" s="7" t="s">
        <v>1863</v>
      </c>
      <c r="C110" s="7">
        <v>1</v>
      </c>
      <c r="D110" s="175">
        <f t="shared" si="14"/>
        <v>1571</v>
      </c>
      <c r="E110" s="175">
        <f t="shared" si="15"/>
        <v>1589</v>
      </c>
      <c r="F110" s="37">
        <f t="shared" si="16"/>
        <v>18</v>
      </c>
      <c r="G110" s="175">
        <f t="shared" si="17"/>
        <v>14722352.576169997</v>
      </c>
      <c r="H110" s="175">
        <f t="shared" si="18"/>
        <v>15312226.682937402</v>
      </c>
      <c r="I110" s="37">
        <f t="shared" si="19"/>
        <v>371.22347814185326</v>
      </c>
      <c r="J110" s="175">
        <f t="shared" si="20"/>
        <v>11622810</v>
      </c>
      <c r="K110" s="175">
        <f t="shared" si="21"/>
        <v>12240112</v>
      </c>
      <c r="L110" s="37">
        <f t="shared" si="22"/>
        <v>388.48458149779736</v>
      </c>
      <c r="M110" s="175">
        <f t="shared" si="25"/>
        <v>3895817.508446292</v>
      </c>
      <c r="N110" s="175">
        <f t="shared" si="26"/>
        <v>3943487.508446292</v>
      </c>
      <c r="O110" s="37">
        <f t="shared" si="23"/>
        <v>47670</v>
      </c>
      <c r="P110" s="37">
        <f t="shared" si="24"/>
        <v>30</v>
      </c>
      <c r="Q110" s="68">
        <f t="shared" si="27"/>
        <v>1.22</v>
      </c>
      <c r="R110" s="407"/>
      <c r="S110" s="102"/>
    </row>
    <row r="111" spans="1:19">
      <c r="A111" s="102">
        <v>159</v>
      </c>
      <c r="B111" s="7" t="s">
        <v>1864</v>
      </c>
      <c r="C111" s="7">
        <v>1</v>
      </c>
      <c r="D111" s="175">
        <f t="shared" si="14"/>
        <v>2791</v>
      </c>
      <c r="E111" s="175">
        <f t="shared" si="15"/>
        <v>2824</v>
      </c>
      <c r="F111" s="37">
        <f t="shared" si="16"/>
        <v>33</v>
      </c>
      <c r="G111" s="175">
        <f t="shared" si="17"/>
        <v>25829656.509999998</v>
      </c>
      <c r="H111" s="175">
        <f t="shared" si="18"/>
        <v>26663231.188728545</v>
      </c>
      <c r="I111" s="37">
        <f t="shared" si="19"/>
        <v>295.17516952144013</v>
      </c>
      <c r="J111" s="175">
        <f t="shared" si="20"/>
        <v>21477556</v>
      </c>
      <c r="K111" s="175">
        <f t="shared" si="21"/>
        <v>22022317</v>
      </c>
      <c r="L111" s="37">
        <f t="shared" si="22"/>
        <v>192.90403682719545</v>
      </c>
      <c r="M111" s="175">
        <f t="shared" si="25"/>
        <v>4587691</v>
      </c>
      <c r="N111" s="175">
        <f t="shared" si="26"/>
        <v>4672411</v>
      </c>
      <c r="O111" s="37">
        <f t="shared" si="23"/>
        <v>84720</v>
      </c>
      <c r="P111" s="37">
        <f t="shared" si="24"/>
        <v>30</v>
      </c>
      <c r="Q111" s="68">
        <f t="shared" si="27"/>
        <v>1.85</v>
      </c>
      <c r="R111" s="407"/>
      <c r="S111" s="102"/>
    </row>
    <row r="112" spans="1:19">
      <c r="A112" s="102">
        <v>160</v>
      </c>
      <c r="B112" s="7" t="s">
        <v>1865</v>
      </c>
      <c r="C112" s="7">
        <v>1</v>
      </c>
      <c r="D112" s="175">
        <f t="shared" si="14"/>
        <v>15616</v>
      </c>
      <c r="E112" s="175">
        <f t="shared" si="15"/>
        <v>16025</v>
      </c>
      <c r="F112" s="37">
        <f t="shared" si="16"/>
        <v>409</v>
      </c>
      <c r="G112" s="175">
        <f t="shared" si="17"/>
        <v>183238361.64999998</v>
      </c>
      <c r="H112" s="175">
        <f t="shared" si="18"/>
        <v>189897176.96033403</v>
      </c>
      <c r="I112" s="37">
        <f t="shared" si="19"/>
        <v>415.52669643270247</v>
      </c>
      <c r="J112" s="175">
        <f t="shared" si="20"/>
        <v>44649981</v>
      </c>
      <c r="K112" s="175">
        <f t="shared" si="21"/>
        <v>45829544</v>
      </c>
      <c r="L112" s="37">
        <f t="shared" si="22"/>
        <v>73.607675507020275</v>
      </c>
      <c r="M112" s="175">
        <f t="shared" si="25"/>
        <v>138588381</v>
      </c>
      <c r="N112" s="175">
        <f t="shared" si="26"/>
        <v>144067633</v>
      </c>
      <c r="O112" s="37">
        <f t="shared" si="23"/>
        <v>5479252</v>
      </c>
      <c r="P112" s="37">
        <f t="shared" si="24"/>
        <v>341.91900156006238</v>
      </c>
      <c r="Q112" s="68">
        <f t="shared" si="27"/>
        <v>3.95</v>
      </c>
      <c r="R112" s="407"/>
      <c r="S112" s="102"/>
    </row>
    <row r="113" spans="1:19">
      <c r="A113" s="102">
        <v>161</v>
      </c>
      <c r="B113" s="7" t="s">
        <v>1866</v>
      </c>
      <c r="C113" s="7">
        <v>1</v>
      </c>
      <c r="D113" s="175">
        <f t="shared" si="14"/>
        <v>2651</v>
      </c>
      <c r="E113" s="175">
        <f t="shared" si="15"/>
        <v>2602</v>
      </c>
      <c r="F113" s="37">
        <f t="shared" si="16"/>
        <v>-49</v>
      </c>
      <c r="G113" s="175">
        <f t="shared" si="17"/>
        <v>27123791.77</v>
      </c>
      <c r="H113" s="175">
        <f t="shared" si="18"/>
        <v>27107617.460779078</v>
      </c>
      <c r="I113" s="37">
        <f t="shared" si="19"/>
        <v>-6.2161065414762673</v>
      </c>
      <c r="J113" s="175">
        <f t="shared" si="20"/>
        <v>15449969</v>
      </c>
      <c r="K113" s="175">
        <f t="shared" si="21"/>
        <v>15438923</v>
      </c>
      <c r="L113" s="37">
        <f t="shared" si="22"/>
        <v>-4.2451960030745584</v>
      </c>
      <c r="M113" s="175">
        <f t="shared" si="25"/>
        <v>13564533</v>
      </c>
      <c r="N113" s="175">
        <f t="shared" si="26"/>
        <v>13642593</v>
      </c>
      <c r="O113" s="37">
        <f t="shared" si="23"/>
        <v>78060</v>
      </c>
      <c r="P113" s="37">
        <f t="shared" si="24"/>
        <v>30</v>
      </c>
      <c r="Q113" s="68">
        <f t="shared" si="27"/>
        <v>0.57999999999999996</v>
      </c>
      <c r="R113" s="407"/>
      <c r="S113" s="102"/>
    </row>
    <row r="114" spans="1:19">
      <c r="A114" s="102">
        <v>162</v>
      </c>
      <c r="B114" s="7" t="s">
        <v>1867</v>
      </c>
      <c r="C114" s="7">
        <v>1</v>
      </c>
      <c r="D114" s="175">
        <f t="shared" si="14"/>
        <v>1632</v>
      </c>
      <c r="E114" s="175">
        <f t="shared" si="15"/>
        <v>1705</v>
      </c>
      <c r="F114" s="37">
        <f t="shared" si="16"/>
        <v>73</v>
      </c>
      <c r="G114" s="175">
        <f t="shared" si="17"/>
        <v>15538424.619999999</v>
      </c>
      <c r="H114" s="175">
        <f t="shared" si="18"/>
        <v>16554528.397230644</v>
      </c>
      <c r="I114" s="37">
        <f t="shared" si="19"/>
        <v>595.95529456342797</v>
      </c>
      <c r="J114" s="175">
        <f t="shared" si="20"/>
        <v>9187168</v>
      </c>
      <c r="K114" s="175">
        <f t="shared" si="21"/>
        <v>9282023</v>
      </c>
      <c r="L114" s="37">
        <f t="shared" si="22"/>
        <v>55.633431085043988</v>
      </c>
      <c r="M114" s="175">
        <f t="shared" si="25"/>
        <v>6351257</v>
      </c>
      <c r="N114" s="175">
        <f t="shared" si="26"/>
        <v>7272505</v>
      </c>
      <c r="O114" s="37">
        <f t="shared" si="23"/>
        <v>921248</v>
      </c>
      <c r="P114" s="37">
        <f t="shared" si="24"/>
        <v>540.32140762463348</v>
      </c>
      <c r="Q114" s="68">
        <f t="shared" si="27"/>
        <v>14.5</v>
      </c>
      <c r="R114" s="407"/>
      <c r="S114" s="102"/>
    </row>
    <row r="115" spans="1:19">
      <c r="A115" s="102">
        <v>163</v>
      </c>
      <c r="B115" s="7" t="s">
        <v>1868</v>
      </c>
      <c r="C115" s="7">
        <v>1</v>
      </c>
      <c r="D115" s="175">
        <f t="shared" si="14"/>
        <v>16463</v>
      </c>
      <c r="E115" s="175">
        <f t="shared" si="15"/>
        <v>16852</v>
      </c>
      <c r="F115" s="37">
        <f t="shared" si="16"/>
        <v>389</v>
      </c>
      <c r="G115" s="175">
        <f t="shared" si="17"/>
        <v>192172422.52999997</v>
      </c>
      <c r="H115" s="175">
        <f t="shared" si="18"/>
        <v>201554686.66682765</v>
      </c>
      <c r="I115" s="37">
        <f t="shared" si="19"/>
        <v>556.74484552739602</v>
      </c>
      <c r="J115" s="175">
        <f t="shared" si="20"/>
        <v>46018423</v>
      </c>
      <c r="K115" s="175">
        <f t="shared" si="21"/>
        <v>48112261</v>
      </c>
      <c r="L115" s="37">
        <f t="shared" si="22"/>
        <v>124.24863517683362</v>
      </c>
      <c r="M115" s="175">
        <f t="shared" si="25"/>
        <v>151448721</v>
      </c>
      <c r="N115" s="175">
        <f t="shared" si="26"/>
        <v>157028802</v>
      </c>
      <c r="O115" s="37">
        <f t="shared" si="23"/>
        <v>5580081</v>
      </c>
      <c r="P115" s="37">
        <f t="shared" si="24"/>
        <v>331.12277474483739</v>
      </c>
      <c r="Q115" s="68">
        <f t="shared" si="27"/>
        <v>3.68</v>
      </c>
      <c r="R115" s="407"/>
      <c r="S115" s="102"/>
    </row>
    <row r="116" spans="1:19">
      <c r="A116" s="102">
        <v>164</v>
      </c>
      <c r="B116" s="7" t="s">
        <v>1869</v>
      </c>
      <c r="C116" s="7">
        <v>1</v>
      </c>
      <c r="D116" s="175">
        <f t="shared" si="14"/>
        <v>2126</v>
      </c>
      <c r="E116" s="175">
        <f t="shared" si="15"/>
        <v>2191</v>
      </c>
      <c r="F116" s="37">
        <f t="shared" si="16"/>
        <v>65</v>
      </c>
      <c r="G116" s="175">
        <f t="shared" si="17"/>
        <v>20021615.672320001</v>
      </c>
      <c r="H116" s="175">
        <f t="shared" si="18"/>
        <v>21073446.154188275</v>
      </c>
      <c r="I116" s="37">
        <f t="shared" si="19"/>
        <v>480.06868182029871</v>
      </c>
      <c r="J116" s="175">
        <f t="shared" si="20"/>
        <v>16786039</v>
      </c>
      <c r="K116" s="175">
        <f t="shared" si="21"/>
        <v>17422551</v>
      </c>
      <c r="L116" s="37">
        <f t="shared" si="22"/>
        <v>290.51209493382015</v>
      </c>
      <c r="M116" s="175">
        <f t="shared" si="25"/>
        <v>4206331</v>
      </c>
      <c r="N116" s="175">
        <f t="shared" si="26"/>
        <v>4272061</v>
      </c>
      <c r="O116" s="37">
        <f t="shared" si="23"/>
        <v>65730</v>
      </c>
      <c r="P116" s="37">
        <f t="shared" si="24"/>
        <v>30</v>
      </c>
      <c r="Q116" s="68">
        <f t="shared" si="27"/>
        <v>1.56</v>
      </c>
      <c r="R116" s="407"/>
      <c r="S116" s="102"/>
    </row>
    <row r="117" spans="1:19">
      <c r="A117" s="102">
        <v>165</v>
      </c>
      <c r="B117" s="7" t="s">
        <v>1870</v>
      </c>
      <c r="C117" s="7">
        <v>1</v>
      </c>
      <c r="D117" s="175">
        <f t="shared" si="14"/>
        <v>7412</v>
      </c>
      <c r="E117" s="175">
        <f t="shared" si="15"/>
        <v>7529</v>
      </c>
      <c r="F117" s="37">
        <f t="shared" si="16"/>
        <v>117</v>
      </c>
      <c r="G117" s="175">
        <f t="shared" si="17"/>
        <v>84148786.035580009</v>
      </c>
      <c r="H117" s="175">
        <f t="shared" si="18"/>
        <v>87320752.243724763</v>
      </c>
      <c r="I117" s="37">
        <f t="shared" si="19"/>
        <v>421.29980185213896</v>
      </c>
      <c r="J117" s="175">
        <f t="shared" si="20"/>
        <v>37450081</v>
      </c>
      <c r="K117" s="175">
        <f t="shared" si="21"/>
        <v>38872647</v>
      </c>
      <c r="L117" s="37">
        <f t="shared" si="22"/>
        <v>188.94487979811396</v>
      </c>
      <c r="M117" s="175">
        <f t="shared" si="25"/>
        <v>48846419</v>
      </c>
      <c r="N117" s="175">
        <f t="shared" si="26"/>
        <v>49072289</v>
      </c>
      <c r="O117" s="37">
        <f t="shared" si="23"/>
        <v>225870</v>
      </c>
      <c r="P117" s="37">
        <f t="shared" si="24"/>
        <v>30</v>
      </c>
      <c r="Q117" s="68">
        <f t="shared" si="27"/>
        <v>0.46</v>
      </c>
      <c r="R117" s="407"/>
      <c r="S117" s="102"/>
    </row>
    <row r="118" spans="1:19">
      <c r="A118" s="102">
        <v>167</v>
      </c>
      <c r="B118" s="7" t="s">
        <v>1872</v>
      </c>
      <c r="C118" s="7">
        <v>1</v>
      </c>
      <c r="D118" s="175">
        <f t="shared" si="14"/>
        <v>4034</v>
      </c>
      <c r="E118" s="175">
        <f t="shared" si="15"/>
        <v>3932</v>
      </c>
      <c r="F118" s="37">
        <f t="shared" si="16"/>
        <v>-102</v>
      </c>
      <c r="G118" s="175">
        <f t="shared" si="17"/>
        <v>40048769.469539993</v>
      </c>
      <c r="H118" s="175">
        <f t="shared" si="18"/>
        <v>40453621.247440323</v>
      </c>
      <c r="I118" s="37">
        <f t="shared" si="19"/>
        <v>102.96332093090813</v>
      </c>
      <c r="J118" s="175">
        <f t="shared" si="20"/>
        <v>26489859</v>
      </c>
      <c r="K118" s="175">
        <f t="shared" si="21"/>
        <v>27314680</v>
      </c>
      <c r="L118" s="37">
        <f t="shared" si="22"/>
        <v>209.77136317395727</v>
      </c>
      <c r="M118" s="175">
        <f t="shared" si="25"/>
        <v>18610109</v>
      </c>
      <c r="N118" s="175">
        <f t="shared" si="26"/>
        <v>18728069</v>
      </c>
      <c r="O118" s="37">
        <f t="shared" si="23"/>
        <v>117960</v>
      </c>
      <c r="P118" s="37">
        <f t="shared" si="24"/>
        <v>30</v>
      </c>
      <c r="Q118" s="68">
        <f t="shared" si="27"/>
        <v>0.63</v>
      </c>
      <c r="R118" s="407"/>
      <c r="S118" s="102"/>
    </row>
    <row r="119" spans="1:19">
      <c r="A119" s="102">
        <v>168</v>
      </c>
      <c r="B119" s="7" t="s">
        <v>1873</v>
      </c>
      <c r="C119" s="7">
        <v>1</v>
      </c>
      <c r="D119" s="175">
        <f t="shared" si="14"/>
        <v>3283</v>
      </c>
      <c r="E119" s="175">
        <f t="shared" si="15"/>
        <v>3233</v>
      </c>
      <c r="F119" s="37">
        <f t="shared" si="16"/>
        <v>-50</v>
      </c>
      <c r="G119" s="175">
        <f t="shared" si="17"/>
        <v>30713624.370000001</v>
      </c>
      <c r="H119" s="175">
        <f t="shared" si="18"/>
        <v>30825074.044045713</v>
      </c>
      <c r="I119" s="37">
        <f t="shared" si="19"/>
        <v>34.472525222923522</v>
      </c>
      <c r="J119" s="175">
        <f t="shared" si="20"/>
        <v>25564980</v>
      </c>
      <c r="K119" s="175">
        <f t="shared" si="21"/>
        <v>25552661</v>
      </c>
      <c r="L119" s="37">
        <f t="shared" si="22"/>
        <v>-3.8103928240024745</v>
      </c>
      <c r="M119" s="175">
        <f t="shared" si="25"/>
        <v>5644629</v>
      </c>
      <c r="N119" s="175">
        <f t="shared" si="26"/>
        <v>5741619</v>
      </c>
      <c r="O119" s="37">
        <f t="shared" si="23"/>
        <v>96990</v>
      </c>
      <c r="P119" s="37">
        <f t="shared" si="24"/>
        <v>30</v>
      </c>
      <c r="Q119" s="68">
        <f t="shared" si="27"/>
        <v>1.72</v>
      </c>
      <c r="R119" s="407"/>
      <c r="S119" s="102"/>
    </row>
    <row r="120" spans="1:19">
      <c r="A120" s="102">
        <v>169</v>
      </c>
      <c r="B120" s="7" t="s">
        <v>1874</v>
      </c>
      <c r="C120" s="7">
        <v>1</v>
      </c>
      <c r="D120" s="175">
        <f t="shared" si="14"/>
        <v>445</v>
      </c>
      <c r="E120" s="175">
        <f t="shared" si="15"/>
        <v>455</v>
      </c>
      <c r="F120" s="37">
        <f t="shared" si="16"/>
        <v>10</v>
      </c>
      <c r="G120" s="175">
        <f t="shared" si="17"/>
        <v>4098862.3900000006</v>
      </c>
      <c r="H120" s="175">
        <f t="shared" si="18"/>
        <v>4343663.5149533721</v>
      </c>
      <c r="I120" s="37">
        <f t="shared" si="19"/>
        <v>538.02445044697026</v>
      </c>
      <c r="J120" s="175">
        <f t="shared" si="20"/>
        <v>3406086</v>
      </c>
      <c r="K120" s="175">
        <f t="shared" si="21"/>
        <v>3510380</v>
      </c>
      <c r="L120" s="37">
        <f t="shared" si="22"/>
        <v>229.21758241758241</v>
      </c>
      <c r="M120" s="175">
        <f t="shared" si="25"/>
        <v>694733</v>
      </c>
      <c r="N120" s="175">
        <f t="shared" si="26"/>
        <v>833284</v>
      </c>
      <c r="O120" s="37">
        <f t="shared" si="23"/>
        <v>138551</v>
      </c>
      <c r="P120" s="37">
        <f t="shared" si="24"/>
        <v>304.50769230769231</v>
      </c>
      <c r="Q120" s="68">
        <f t="shared" si="27"/>
        <v>19.940000000000001</v>
      </c>
      <c r="R120" s="407"/>
      <c r="S120" s="102"/>
    </row>
    <row r="121" spans="1:19">
      <c r="A121" s="102">
        <v>170</v>
      </c>
      <c r="B121" s="7" t="s">
        <v>1875</v>
      </c>
      <c r="C121" s="7">
        <v>1</v>
      </c>
      <c r="D121" s="175">
        <f t="shared" si="14"/>
        <v>5023</v>
      </c>
      <c r="E121" s="175">
        <f t="shared" si="15"/>
        <v>5081</v>
      </c>
      <c r="F121" s="37">
        <f t="shared" si="16"/>
        <v>58</v>
      </c>
      <c r="G121" s="175">
        <f t="shared" si="17"/>
        <v>54854523.918049991</v>
      </c>
      <c r="H121" s="175">
        <f t="shared" si="18"/>
        <v>56761909.559497736</v>
      </c>
      <c r="I121" s="37">
        <f t="shared" si="19"/>
        <v>375.39571766340197</v>
      </c>
      <c r="J121" s="175">
        <f t="shared" si="20"/>
        <v>31931943</v>
      </c>
      <c r="K121" s="175">
        <f t="shared" si="21"/>
        <v>32073087</v>
      </c>
      <c r="L121" s="37">
        <f t="shared" si="22"/>
        <v>27.778783703995277</v>
      </c>
      <c r="M121" s="175">
        <f t="shared" si="25"/>
        <v>24140701</v>
      </c>
      <c r="N121" s="175">
        <f t="shared" si="26"/>
        <v>24972052</v>
      </c>
      <c r="O121" s="37">
        <f t="shared" si="23"/>
        <v>831351</v>
      </c>
      <c r="P121" s="37">
        <f t="shared" si="24"/>
        <v>163.61956307813423</v>
      </c>
      <c r="Q121" s="68">
        <f t="shared" si="27"/>
        <v>3.44</v>
      </c>
      <c r="R121" s="407"/>
      <c r="S121" s="102"/>
    </row>
    <row r="122" spans="1:19">
      <c r="A122" s="102">
        <v>171</v>
      </c>
      <c r="B122" s="7" t="s">
        <v>1876</v>
      </c>
      <c r="C122" s="7">
        <v>1</v>
      </c>
      <c r="D122" s="175">
        <f t="shared" si="14"/>
        <v>4166</v>
      </c>
      <c r="E122" s="175">
        <f t="shared" si="15"/>
        <v>4128</v>
      </c>
      <c r="F122" s="37">
        <f t="shared" si="16"/>
        <v>-38</v>
      </c>
      <c r="G122" s="175">
        <f t="shared" si="17"/>
        <v>40243211.142080009</v>
      </c>
      <c r="H122" s="175">
        <f t="shared" si="18"/>
        <v>41036767.216783047</v>
      </c>
      <c r="I122" s="37">
        <f t="shared" si="19"/>
        <v>192.23742119744131</v>
      </c>
      <c r="J122" s="175">
        <f t="shared" si="20"/>
        <v>32421451</v>
      </c>
      <c r="K122" s="175">
        <f t="shared" si="21"/>
        <v>33760457</v>
      </c>
      <c r="L122" s="37">
        <f t="shared" si="22"/>
        <v>324.3716085271318</v>
      </c>
      <c r="M122" s="175">
        <f t="shared" si="25"/>
        <v>14297323</v>
      </c>
      <c r="N122" s="175">
        <f t="shared" si="26"/>
        <v>14421163</v>
      </c>
      <c r="O122" s="37">
        <f t="shared" si="23"/>
        <v>123840</v>
      </c>
      <c r="P122" s="37">
        <f t="shared" si="24"/>
        <v>30</v>
      </c>
      <c r="Q122" s="68">
        <f t="shared" si="27"/>
        <v>0.87</v>
      </c>
      <c r="R122" s="407"/>
      <c r="S122" s="102"/>
    </row>
    <row r="123" spans="1:19">
      <c r="A123" s="102">
        <v>172</v>
      </c>
      <c r="B123" s="7" t="s">
        <v>1877</v>
      </c>
      <c r="C123" s="7">
        <v>1</v>
      </c>
      <c r="D123" s="175">
        <f t="shared" si="14"/>
        <v>1663</v>
      </c>
      <c r="E123" s="175">
        <f t="shared" si="15"/>
        <v>1590</v>
      </c>
      <c r="F123" s="37">
        <f t="shared" si="16"/>
        <v>-73</v>
      </c>
      <c r="G123" s="175">
        <f t="shared" si="17"/>
        <v>16891753.790000003</v>
      </c>
      <c r="H123" s="175">
        <f t="shared" si="18"/>
        <v>16431104.565356754</v>
      </c>
      <c r="I123" s="37">
        <f t="shared" si="19"/>
        <v>-289.71649348632019</v>
      </c>
      <c r="J123" s="175">
        <f t="shared" si="20"/>
        <v>14087772</v>
      </c>
      <c r="K123" s="175">
        <f t="shared" si="21"/>
        <v>13722805</v>
      </c>
      <c r="L123" s="37">
        <f t="shared" si="22"/>
        <v>-229.53899371069181</v>
      </c>
      <c r="M123" s="175">
        <f t="shared" si="25"/>
        <v>4493526</v>
      </c>
      <c r="N123" s="175">
        <f t="shared" si="26"/>
        <v>4541226</v>
      </c>
      <c r="O123" s="37">
        <f t="shared" si="23"/>
        <v>47700</v>
      </c>
      <c r="P123" s="37">
        <f t="shared" si="24"/>
        <v>30</v>
      </c>
      <c r="Q123" s="68">
        <f t="shared" si="27"/>
        <v>1.06</v>
      </c>
      <c r="R123" s="407"/>
      <c r="S123" s="102"/>
    </row>
    <row r="124" spans="1:19">
      <c r="A124" s="102">
        <v>173</v>
      </c>
      <c r="B124" s="7" t="s">
        <v>1878</v>
      </c>
      <c r="C124" s="7">
        <v>1</v>
      </c>
      <c r="D124" s="175">
        <f t="shared" si="14"/>
        <v>490</v>
      </c>
      <c r="E124" s="175">
        <f t="shared" si="15"/>
        <v>451</v>
      </c>
      <c r="F124" s="37">
        <f t="shared" si="16"/>
        <v>-39</v>
      </c>
      <c r="G124" s="175">
        <f t="shared" si="17"/>
        <v>4517988.9499999983</v>
      </c>
      <c r="H124" s="175">
        <f t="shared" si="18"/>
        <v>4222689.9150018794</v>
      </c>
      <c r="I124" s="37">
        <f t="shared" si="19"/>
        <v>-654.76504434172705</v>
      </c>
      <c r="J124" s="175">
        <f t="shared" si="20"/>
        <v>3760023</v>
      </c>
      <c r="K124" s="175">
        <f t="shared" si="21"/>
        <v>3517981</v>
      </c>
      <c r="L124" s="37">
        <f t="shared" si="22"/>
        <v>-536.6784922394678</v>
      </c>
      <c r="M124" s="175">
        <f t="shared" si="25"/>
        <v>799465</v>
      </c>
      <c r="N124" s="175">
        <f t="shared" si="26"/>
        <v>812995</v>
      </c>
      <c r="O124" s="37">
        <f t="shared" si="23"/>
        <v>13530</v>
      </c>
      <c r="P124" s="37">
        <f t="shared" si="24"/>
        <v>30</v>
      </c>
      <c r="Q124" s="68">
        <f t="shared" si="27"/>
        <v>1.69</v>
      </c>
      <c r="R124" s="407"/>
      <c r="S124" s="102"/>
    </row>
    <row r="125" spans="1:19">
      <c r="A125" s="102">
        <v>174</v>
      </c>
      <c r="B125" s="7" t="s">
        <v>1879</v>
      </c>
      <c r="C125" s="7">
        <v>1</v>
      </c>
      <c r="D125" s="175">
        <f t="shared" si="14"/>
        <v>1405</v>
      </c>
      <c r="E125" s="175">
        <f t="shared" si="15"/>
        <v>1429</v>
      </c>
      <c r="F125" s="37">
        <f t="shared" si="16"/>
        <v>24</v>
      </c>
      <c r="G125" s="175">
        <f t="shared" si="17"/>
        <v>14059518.789270002</v>
      </c>
      <c r="H125" s="175">
        <f t="shared" si="18"/>
        <v>14745073.193424072</v>
      </c>
      <c r="I125" s="37">
        <f t="shared" si="19"/>
        <v>479.74415965995081</v>
      </c>
      <c r="J125" s="175">
        <f t="shared" si="20"/>
        <v>9349998</v>
      </c>
      <c r="K125" s="175">
        <f t="shared" si="21"/>
        <v>9744969</v>
      </c>
      <c r="L125" s="37">
        <f t="shared" si="22"/>
        <v>276.39678096571026</v>
      </c>
      <c r="M125" s="175">
        <f t="shared" si="25"/>
        <v>4733058</v>
      </c>
      <c r="N125" s="175">
        <f t="shared" si="26"/>
        <v>5000104</v>
      </c>
      <c r="O125" s="37">
        <f t="shared" si="23"/>
        <v>267046</v>
      </c>
      <c r="P125" s="37">
        <f t="shared" si="24"/>
        <v>186.87613715885234</v>
      </c>
      <c r="Q125" s="68">
        <f t="shared" si="27"/>
        <v>5.64</v>
      </c>
      <c r="R125" s="407"/>
      <c r="S125" s="102"/>
    </row>
    <row r="126" spans="1:19">
      <c r="A126" s="102">
        <v>175</v>
      </c>
      <c r="B126" s="7" t="s">
        <v>1880</v>
      </c>
      <c r="C126" s="7">
        <v>1</v>
      </c>
      <c r="D126" s="175">
        <f t="shared" si="14"/>
        <v>2495</v>
      </c>
      <c r="E126" s="175">
        <f t="shared" si="15"/>
        <v>2490</v>
      </c>
      <c r="F126" s="37">
        <f t="shared" si="16"/>
        <v>-5</v>
      </c>
      <c r="G126" s="175">
        <f t="shared" si="17"/>
        <v>23253777.20984</v>
      </c>
      <c r="H126" s="175">
        <f t="shared" si="18"/>
        <v>23865982.219953917</v>
      </c>
      <c r="I126" s="37">
        <f t="shared" si="19"/>
        <v>245.86546590920372</v>
      </c>
      <c r="J126" s="175">
        <f t="shared" si="20"/>
        <v>19507465</v>
      </c>
      <c r="K126" s="175">
        <f t="shared" si="21"/>
        <v>19763909</v>
      </c>
      <c r="L126" s="37">
        <f t="shared" si="22"/>
        <v>102.98955823293173</v>
      </c>
      <c r="M126" s="175">
        <f t="shared" si="25"/>
        <v>6063084</v>
      </c>
      <c r="N126" s="175">
        <f t="shared" si="26"/>
        <v>6137784</v>
      </c>
      <c r="O126" s="37">
        <f t="shared" si="23"/>
        <v>74700</v>
      </c>
      <c r="P126" s="37">
        <f t="shared" si="24"/>
        <v>30</v>
      </c>
      <c r="Q126" s="68">
        <f t="shared" si="27"/>
        <v>1.23</v>
      </c>
      <c r="R126" s="407"/>
      <c r="S126" s="102"/>
    </row>
    <row r="127" spans="1:19">
      <c r="A127" s="102">
        <v>176</v>
      </c>
      <c r="B127" s="7" t="s">
        <v>1881</v>
      </c>
      <c r="C127" s="7">
        <v>1</v>
      </c>
      <c r="D127" s="175">
        <f t="shared" si="14"/>
        <v>4817</v>
      </c>
      <c r="E127" s="175">
        <f t="shared" si="15"/>
        <v>4847</v>
      </c>
      <c r="F127" s="37">
        <f t="shared" si="16"/>
        <v>30</v>
      </c>
      <c r="G127" s="175">
        <f t="shared" si="17"/>
        <v>53575422.423319995</v>
      </c>
      <c r="H127" s="175">
        <f t="shared" si="18"/>
        <v>54710623.722724512</v>
      </c>
      <c r="I127" s="37">
        <f t="shared" si="19"/>
        <v>234.20699389406164</v>
      </c>
      <c r="J127" s="175">
        <f t="shared" si="20"/>
        <v>44545699</v>
      </c>
      <c r="K127" s="175">
        <f t="shared" si="21"/>
        <v>45337673</v>
      </c>
      <c r="L127" s="37">
        <f t="shared" si="22"/>
        <v>163.39467711986796</v>
      </c>
      <c r="M127" s="175">
        <f t="shared" si="25"/>
        <v>11719376</v>
      </c>
      <c r="N127" s="175">
        <f t="shared" si="26"/>
        <v>11864786</v>
      </c>
      <c r="O127" s="37">
        <f t="shared" si="23"/>
        <v>145410</v>
      </c>
      <c r="P127" s="37">
        <f t="shared" si="24"/>
        <v>30</v>
      </c>
      <c r="Q127" s="68">
        <f t="shared" si="27"/>
        <v>1.24</v>
      </c>
      <c r="R127" s="407"/>
      <c r="S127" s="102"/>
    </row>
    <row r="128" spans="1:19">
      <c r="A128" s="102">
        <v>177</v>
      </c>
      <c r="B128" s="7" t="s">
        <v>1882</v>
      </c>
      <c r="C128" s="7">
        <v>1</v>
      </c>
      <c r="D128" s="175">
        <f t="shared" si="14"/>
        <v>2290</v>
      </c>
      <c r="E128" s="175">
        <f t="shared" si="15"/>
        <v>2248</v>
      </c>
      <c r="F128" s="37">
        <f t="shared" si="16"/>
        <v>-42</v>
      </c>
      <c r="G128" s="175">
        <f t="shared" si="17"/>
        <v>21801549.408149999</v>
      </c>
      <c r="H128" s="175">
        <f t="shared" si="18"/>
        <v>22011641.938089047</v>
      </c>
      <c r="I128" s="37">
        <f t="shared" si="19"/>
        <v>93.457531111676147</v>
      </c>
      <c r="J128" s="175">
        <f t="shared" si="20"/>
        <v>14412519</v>
      </c>
      <c r="K128" s="175">
        <f t="shared" si="21"/>
        <v>14975709</v>
      </c>
      <c r="L128" s="37">
        <f t="shared" si="22"/>
        <v>250.52935943060498</v>
      </c>
      <c r="M128" s="175">
        <f t="shared" si="25"/>
        <v>10301469</v>
      </c>
      <c r="N128" s="175">
        <f t="shared" si="26"/>
        <v>10368909</v>
      </c>
      <c r="O128" s="37">
        <f t="shared" si="23"/>
        <v>67440</v>
      </c>
      <c r="P128" s="37">
        <f t="shared" si="24"/>
        <v>30</v>
      </c>
      <c r="Q128" s="68">
        <f t="shared" si="27"/>
        <v>0.65</v>
      </c>
      <c r="R128" s="407"/>
      <c r="S128" s="102"/>
    </row>
    <row r="129" spans="1:19">
      <c r="A129" s="102">
        <v>178</v>
      </c>
      <c r="B129" s="7" t="s">
        <v>1883</v>
      </c>
      <c r="C129" s="7">
        <v>1</v>
      </c>
      <c r="D129" s="175">
        <f t="shared" si="14"/>
        <v>3736</v>
      </c>
      <c r="E129" s="175">
        <f t="shared" si="15"/>
        <v>3799</v>
      </c>
      <c r="F129" s="37">
        <f t="shared" si="16"/>
        <v>63</v>
      </c>
      <c r="G129" s="175">
        <f t="shared" si="17"/>
        <v>36017412.116479993</v>
      </c>
      <c r="H129" s="175">
        <f t="shared" si="18"/>
        <v>37544107.266331017</v>
      </c>
      <c r="I129" s="37">
        <f t="shared" si="19"/>
        <v>401.86763618084342</v>
      </c>
      <c r="J129" s="175">
        <f t="shared" si="20"/>
        <v>29811821</v>
      </c>
      <c r="K129" s="175">
        <f t="shared" si="21"/>
        <v>31014280</v>
      </c>
      <c r="L129" s="37">
        <f t="shared" si="22"/>
        <v>316.51987365096079</v>
      </c>
      <c r="M129" s="175">
        <f t="shared" si="25"/>
        <v>8166076</v>
      </c>
      <c r="N129" s="175">
        <f t="shared" si="26"/>
        <v>8280046</v>
      </c>
      <c r="O129" s="37">
        <f t="shared" si="23"/>
        <v>113970</v>
      </c>
      <c r="P129" s="37">
        <f t="shared" si="24"/>
        <v>30</v>
      </c>
      <c r="Q129" s="68">
        <f t="shared" si="27"/>
        <v>1.4</v>
      </c>
      <c r="R129" s="407"/>
      <c r="S129" s="102"/>
    </row>
    <row r="130" spans="1:19">
      <c r="A130" s="102">
        <v>181</v>
      </c>
      <c r="B130" s="7" t="s">
        <v>1886</v>
      </c>
      <c r="C130" s="7">
        <v>1</v>
      </c>
      <c r="D130" s="175">
        <f t="shared" si="14"/>
        <v>7155</v>
      </c>
      <c r="E130" s="175">
        <f t="shared" si="15"/>
        <v>7088</v>
      </c>
      <c r="F130" s="37">
        <f t="shared" si="16"/>
        <v>-67</v>
      </c>
      <c r="G130" s="175">
        <f t="shared" si="17"/>
        <v>76096298.539999992</v>
      </c>
      <c r="H130" s="175">
        <f t="shared" si="18"/>
        <v>76802334.286958128</v>
      </c>
      <c r="I130" s="37">
        <f t="shared" si="19"/>
        <v>99.610009446689702</v>
      </c>
      <c r="J130" s="175">
        <f t="shared" si="20"/>
        <v>34166160</v>
      </c>
      <c r="K130" s="175">
        <f t="shared" si="21"/>
        <v>35661626</v>
      </c>
      <c r="L130" s="37">
        <f t="shared" si="22"/>
        <v>210.98560948081263</v>
      </c>
      <c r="M130" s="175">
        <f t="shared" si="25"/>
        <v>42147523</v>
      </c>
      <c r="N130" s="175">
        <f t="shared" si="26"/>
        <v>42360163</v>
      </c>
      <c r="O130" s="37">
        <f t="shared" si="23"/>
        <v>212640</v>
      </c>
      <c r="P130" s="37">
        <f t="shared" si="24"/>
        <v>30</v>
      </c>
      <c r="Q130" s="68">
        <f t="shared" si="27"/>
        <v>0.5</v>
      </c>
      <c r="R130" s="407"/>
      <c r="S130" s="102"/>
    </row>
    <row r="131" spans="1:19">
      <c r="A131" s="102">
        <v>182</v>
      </c>
      <c r="B131" s="7" t="s">
        <v>1887</v>
      </c>
      <c r="C131" s="7">
        <v>1</v>
      </c>
      <c r="D131" s="175">
        <f t="shared" ref="D131:D193" si="28">VLOOKUP(A131,aidcalc,17)</f>
        <v>3096</v>
      </c>
      <c r="E131" s="175">
        <f t="shared" ref="E131:E193" si="29">VLOOKUP(A131,aidcalc,18)</f>
        <v>2870</v>
      </c>
      <c r="F131" s="37">
        <f t="shared" ref="F131:F193" si="30">E131-D131</f>
        <v>-226</v>
      </c>
      <c r="G131" s="175">
        <f t="shared" ref="G131:G193" si="31">VLOOKUP(A131,aidcalc,4)</f>
        <v>31055481.599999998</v>
      </c>
      <c r="H131" s="175">
        <f t="shared" ref="H131:H193" si="32">VLOOKUP(A131,aidcalc,6)</f>
        <v>29289460.260108851</v>
      </c>
      <c r="I131" s="37">
        <f t="shared" ref="I131:I193" si="33">(H131-G131)/$E131</f>
        <v>-615.33844595510345</v>
      </c>
      <c r="J131" s="175">
        <f t="shared" ref="J131:J193" si="34">SUMIF(dist1755,A131,pynetmin)</f>
        <v>15735683</v>
      </c>
      <c r="K131" s="175">
        <f t="shared" ref="K131:K193" si="35">VLOOKUP(A131,aidcalc,7)</f>
        <v>15577573</v>
      </c>
      <c r="L131" s="37">
        <f t="shared" ref="L131:L193" si="36">(K131-J131)/$E131</f>
        <v>-55.090592334494772</v>
      </c>
      <c r="M131" s="175">
        <f t="shared" si="25"/>
        <v>17709989</v>
      </c>
      <c r="N131" s="175">
        <f t="shared" si="26"/>
        <v>17796089</v>
      </c>
      <c r="O131" s="37">
        <f t="shared" ref="O131:O193" si="37">N131-M131</f>
        <v>86100</v>
      </c>
      <c r="P131" s="37">
        <f t="shared" ref="P131:P193" si="38">(N131-M131)/$E131</f>
        <v>30</v>
      </c>
      <c r="Q131" s="68">
        <f t="shared" si="27"/>
        <v>0.49</v>
      </c>
      <c r="R131" s="407"/>
      <c r="S131" s="102"/>
    </row>
    <row r="132" spans="1:19">
      <c r="A132" s="102">
        <v>184</v>
      </c>
      <c r="B132" s="7" t="s">
        <v>1889</v>
      </c>
      <c r="C132" s="7">
        <v>1</v>
      </c>
      <c r="D132" s="175">
        <f t="shared" si="28"/>
        <v>686</v>
      </c>
      <c r="E132" s="175">
        <f t="shared" si="29"/>
        <v>666</v>
      </c>
      <c r="F132" s="37">
        <f t="shared" si="30"/>
        <v>-20</v>
      </c>
      <c r="G132" s="175">
        <f t="shared" si="31"/>
        <v>6306838.4600999998</v>
      </c>
      <c r="H132" s="175">
        <f t="shared" si="32"/>
        <v>6172360.6719304342</v>
      </c>
      <c r="I132" s="37">
        <f t="shared" si="33"/>
        <v>-201.91860085520361</v>
      </c>
      <c r="J132" s="175">
        <f t="shared" si="34"/>
        <v>5269521</v>
      </c>
      <c r="K132" s="175">
        <f t="shared" si="35"/>
        <v>5171627</v>
      </c>
      <c r="L132" s="37">
        <f t="shared" si="36"/>
        <v>-146.98798798798799</v>
      </c>
      <c r="M132" s="175">
        <f t="shared" si="25"/>
        <v>1606481</v>
      </c>
      <c r="N132" s="175">
        <f t="shared" si="26"/>
        <v>1626461</v>
      </c>
      <c r="O132" s="37">
        <f t="shared" si="37"/>
        <v>19980</v>
      </c>
      <c r="P132" s="37">
        <f t="shared" si="38"/>
        <v>30</v>
      </c>
      <c r="Q132" s="68">
        <f t="shared" si="27"/>
        <v>1.24</v>
      </c>
      <c r="R132" s="407"/>
      <c r="S132" s="102"/>
    </row>
    <row r="133" spans="1:19">
      <c r="A133" s="102">
        <v>185</v>
      </c>
      <c r="B133" s="7" t="s">
        <v>1890</v>
      </c>
      <c r="C133" s="7">
        <v>1</v>
      </c>
      <c r="D133" s="175">
        <f t="shared" si="28"/>
        <v>4187</v>
      </c>
      <c r="E133" s="175">
        <f t="shared" si="29"/>
        <v>4244</v>
      </c>
      <c r="F133" s="37">
        <f t="shared" si="30"/>
        <v>57</v>
      </c>
      <c r="G133" s="175">
        <f t="shared" si="31"/>
        <v>45013216.029600002</v>
      </c>
      <c r="H133" s="175">
        <f t="shared" si="32"/>
        <v>46388900.526972406</v>
      </c>
      <c r="I133" s="37">
        <f t="shared" si="33"/>
        <v>324.14809080405365</v>
      </c>
      <c r="J133" s="175">
        <f t="shared" si="34"/>
        <v>22766643</v>
      </c>
      <c r="K133" s="175">
        <f t="shared" si="35"/>
        <v>23243232</v>
      </c>
      <c r="L133" s="37">
        <f t="shared" si="36"/>
        <v>112.29712535344015</v>
      </c>
      <c r="M133" s="175">
        <f t="shared" si="25"/>
        <v>22246573</v>
      </c>
      <c r="N133" s="175">
        <f t="shared" si="26"/>
        <v>23145669</v>
      </c>
      <c r="O133" s="37">
        <f t="shared" si="37"/>
        <v>899096</v>
      </c>
      <c r="P133" s="37">
        <f t="shared" si="38"/>
        <v>211.85108388312912</v>
      </c>
      <c r="Q133" s="68">
        <f t="shared" si="27"/>
        <v>4.04</v>
      </c>
      <c r="R133" s="407"/>
      <c r="S133" s="102"/>
    </row>
    <row r="134" spans="1:19">
      <c r="A134" s="102">
        <v>186</v>
      </c>
      <c r="B134" s="7" t="s">
        <v>1891</v>
      </c>
      <c r="C134" s="7">
        <v>1</v>
      </c>
      <c r="D134" s="175">
        <f t="shared" si="28"/>
        <v>1753</v>
      </c>
      <c r="E134" s="175">
        <f t="shared" si="29"/>
        <v>1748</v>
      </c>
      <c r="F134" s="37">
        <f t="shared" si="30"/>
        <v>-5</v>
      </c>
      <c r="G134" s="175">
        <f t="shared" si="31"/>
        <v>17429845.489999998</v>
      </c>
      <c r="H134" s="175">
        <f t="shared" si="32"/>
        <v>17780962.153000448</v>
      </c>
      <c r="I134" s="37">
        <f t="shared" si="33"/>
        <v>200.86765617874687</v>
      </c>
      <c r="J134" s="175">
        <f t="shared" si="34"/>
        <v>10473626</v>
      </c>
      <c r="K134" s="175">
        <f t="shared" si="35"/>
        <v>10630390</v>
      </c>
      <c r="L134" s="37">
        <f t="shared" si="36"/>
        <v>89.681922196796336</v>
      </c>
      <c r="M134" s="175">
        <f t="shared" si="25"/>
        <v>7019397.8450512495</v>
      </c>
      <c r="N134" s="175">
        <f t="shared" si="26"/>
        <v>7150572</v>
      </c>
      <c r="O134" s="37">
        <f t="shared" si="37"/>
        <v>131174.15494875051</v>
      </c>
      <c r="P134" s="37">
        <f t="shared" si="38"/>
        <v>75.042422739559782</v>
      </c>
      <c r="Q134" s="68">
        <f t="shared" si="27"/>
        <v>1.87</v>
      </c>
      <c r="R134" s="407"/>
      <c r="S134" s="102"/>
    </row>
    <row r="135" spans="1:19">
      <c r="A135" s="102">
        <v>187</v>
      </c>
      <c r="B135" s="7" t="s">
        <v>1892</v>
      </c>
      <c r="C135" s="7">
        <v>1</v>
      </c>
      <c r="D135" s="175">
        <f t="shared" si="28"/>
        <v>1241</v>
      </c>
      <c r="E135" s="175">
        <f t="shared" si="29"/>
        <v>1199</v>
      </c>
      <c r="F135" s="37">
        <f t="shared" si="30"/>
        <v>-42</v>
      </c>
      <c r="G135" s="175">
        <f t="shared" si="31"/>
        <v>11856222.087119998</v>
      </c>
      <c r="H135" s="175">
        <f t="shared" si="32"/>
        <v>11737004.51467457</v>
      </c>
      <c r="I135" s="37">
        <f t="shared" si="33"/>
        <v>-99.430836067913262</v>
      </c>
      <c r="J135" s="175">
        <f t="shared" si="34"/>
        <v>8128057</v>
      </c>
      <c r="K135" s="175">
        <f t="shared" si="35"/>
        <v>8397650</v>
      </c>
      <c r="L135" s="37">
        <f t="shared" si="36"/>
        <v>224.84820683903251</v>
      </c>
      <c r="M135" s="175">
        <f t="shared" si="25"/>
        <v>4725651.5320735266</v>
      </c>
      <c r="N135" s="175">
        <f t="shared" si="26"/>
        <v>4761621.5320735266</v>
      </c>
      <c r="O135" s="37">
        <f t="shared" si="37"/>
        <v>35970</v>
      </c>
      <c r="P135" s="37">
        <f t="shared" si="38"/>
        <v>30</v>
      </c>
      <c r="Q135" s="68">
        <f t="shared" si="27"/>
        <v>0.76</v>
      </c>
      <c r="R135" s="407"/>
      <c r="S135" s="102"/>
    </row>
    <row r="136" spans="1:19">
      <c r="A136" s="102">
        <v>189</v>
      </c>
      <c r="B136" s="7" t="s">
        <v>1894</v>
      </c>
      <c r="C136" s="7">
        <v>1</v>
      </c>
      <c r="D136" s="175">
        <f t="shared" si="28"/>
        <v>3917</v>
      </c>
      <c r="E136" s="175">
        <f t="shared" si="29"/>
        <v>4093</v>
      </c>
      <c r="F136" s="37">
        <f t="shared" si="30"/>
        <v>176</v>
      </c>
      <c r="G136" s="175">
        <f t="shared" si="31"/>
        <v>37238061.294160001</v>
      </c>
      <c r="H136" s="175">
        <f t="shared" si="32"/>
        <v>39699383.469837926</v>
      </c>
      <c r="I136" s="37">
        <f t="shared" si="33"/>
        <v>601.34917558708173</v>
      </c>
      <c r="J136" s="175">
        <f t="shared" si="34"/>
        <v>30828228</v>
      </c>
      <c r="K136" s="175">
        <f t="shared" si="35"/>
        <v>32142381</v>
      </c>
      <c r="L136" s="37">
        <f t="shared" si="36"/>
        <v>321.07329587099929</v>
      </c>
      <c r="M136" s="175">
        <f t="shared" si="25"/>
        <v>6409833</v>
      </c>
      <c r="N136" s="175">
        <f t="shared" si="26"/>
        <v>7557002</v>
      </c>
      <c r="O136" s="37">
        <f t="shared" si="37"/>
        <v>1147169</v>
      </c>
      <c r="P136" s="37">
        <f t="shared" si="38"/>
        <v>280.27583679452727</v>
      </c>
      <c r="Q136" s="68">
        <f t="shared" si="27"/>
        <v>17.899999999999999</v>
      </c>
      <c r="R136" s="407"/>
      <c r="S136" s="102"/>
    </row>
    <row r="137" spans="1:19">
      <c r="A137" s="102">
        <v>191</v>
      </c>
      <c r="B137" s="7" t="s">
        <v>1896</v>
      </c>
      <c r="C137" s="7">
        <v>1</v>
      </c>
      <c r="D137" s="175">
        <f t="shared" si="28"/>
        <v>1028</v>
      </c>
      <c r="E137" s="175">
        <f t="shared" si="29"/>
        <v>967</v>
      </c>
      <c r="F137" s="37">
        <f t="shared" si="30"/>
        <v>-61</v>
      </c>
      <c r="G137" s="175">
        <f t="shared" si="31"/>
        <v>10115062.609999999</v>
      </c>
      <c r="H137" s="175">
        <f t="shared" si="32"/>
        <v>9765311.1307165027</v>
      </c>
      <c r="I137" s="37">
        <f t="shared" si="33"/>
        <v>-361.68715541209588</v>
      </c>
      <c r="J137" s="175">
        <f t="shared" si="34"/>
        <v>5426446</v>
      </c>
      <c r="K137" s="175">
        <f t="shared" si="35"/>
        <v>5261486</v>
      </c>
      <c r="L137" s="37">
        <f t="shared" si="36"/>
        <v>-170.58945191313342</v>
      </c>
      <c r="M137" s="175">
        <f t="shared" si="25"/>
        <v>7455965</v>
      </c>
      <c r="N137" s="175">
        <f t="shared" si="26"/>
        <v>7484975</v>
      </c>
      <c r="O137" s="37">
        <f t="shared" si="37"/>
        <v>29010</v>
      </c>
      <c r="P137" s="37">
        <f t="shared" si="38"/>
        <v>30</v>
      </c>
      <c r="Q137" s="68">
        <f t="shared" si="27"/>
        <v>0.39</v>
      </c>
      <c r="R137" s="407"/>
      <c r="S137" s="102"/>
    </row>
    <row r="138" spans="1:19">
      <c r="A138" s="102">
        <v>196</v>
      </c>
      <c r="B138" s="7" t="s">
        <v>1901</v>
      </c>
      <c r="C138" s="7">
        <v>1</v>
      </c>
      <c r="D138" s="175">
        <f t="shared" si="28"/>
        <v>272</v>
      </c>
      <c r="E138" s="175">
        <f t="shared" si="29"/>
        <v>270</v>
      </c>
      <c r="F138" s="37">
        <f t="shared" si="30"/>
        <v>-2</v>
      </c>
      <c r="G138" s="175">
        <f t="shared" si="31"/>
        <v>2541982.4700000002</v>
      </c>
      <c r="H138" s="175">
        <f t="shared" si="32"/>
        <v>2576635.3961993451</v>
      </c>
      <c r="I138" s="37">
        <f t="shared" si="33"/>
        <v>128.34417110868489</v>
      </c>
      <c r="J138" s="175">
        <f t="shared" si="34"/>
        <v>2138805</v>
      </c>
      <c r="K138" s="175">
        <f t="shared" si="35"/>
        <v>2132494</v>
      </c>
      <c r="L138" s="37">
        <f t="shared" si="36"/>
        <v>-23.374074074074073</v>
      </c>
      <c r="M138" s="175">
        <f t="shared" ref="M138:M201" si="39">VLOOKUP(A138,disthist,43)</f>
        <v>499903</v>
      </c>
      <c r="N138" s="175">
        <f t="shared" ref="N138:N201" si="40">VLOOKUP(A138,aidcalc,36)</f>
        <v>508003</v>
      </c>
      <c r="O138" s="37">
        <f t="shared" si="37"/>
        <v>8100</v>
      </c>
      <c r="P138" s="37">
        <f t="shared" si="38"/>
        <v>30</v>
      </c>
      <c r="Q138" s="68">
        <f t="shared" ref="Q138:Q201" si="41">ROUND(IF(G138&gt;0,(N138-M138)*100/M138,100),2)</f>
        <v>1.62</v>
      </c>
      <c r="R138" s="407"/>
      <c r="S138" s="102"/>
    </row>
    <row r="139" spans="1:19">
      <c r="A139" s="102">
        <v>197</v>
      </c>
      <c r="B139" s="7" t="s">
        <v>1902</v>
      </c>
      <c r="C139" s="7">
        <v>1</v>
      </c>
      <c r="D139" s="175">
        <f t="shared" si="28"/>
        <v>1566</v>
      </c>
      <c r="E139" s="175">
        <f t="shared" si="29"/>
        <v>1583</v>
      </c>
      <c r="F139" s="37">
        <f t="shared" si="30"/>
        <v>17</v>
      </c>
      <c r="G139" s="175">
        <f t="shared" si="31"/>
        <v>15743715.589999998</v>
      </c>
      <c r="H139" s="175">
        <f t="shared" si="32"/>
        <v>16351990.158213655</v>
      </c>
      <c r="I139" s="37">
        <f t="shared" si="33"/>
        <v>384.25430714697194</v>
      </c>
      <c r="J139" s="175">
        <f t="shared" si="34"/>
        <v>12702303</v>
      </c>
      <c r="K139" s="175">
        <f t="shared" si="35"/>
        <v>13342499</v>
      </c>
      <c r="L139" s="37">
        <f t="shared" si="36"/>
        <v>404.41945672773215</v>
      </c>
      <c r="M139" s="175">
        <f t="shared" si="39"/>
        <v>3067074</v>
      </c>
      <c r="N139" s="175">
        <f t="shared" si="40"/>
        <v>3114564</v>
      </c>
      <c r="O139" s="37">
        <f t="shared" si="37"/>
        <v>47490</v>
      </c>
      <c r="P139" s="37">
        <f t="shared" si="38"/>
        <v>30</v>
      </c>
      <c r="Q139" s="68">
        <f t="shared" si="41"/>
        <v>1.55</v>
      </c>
      <c r="R139" s="407"/>
      <c r="S139" s="102"/>
    </row>
    <row r="140" spans="1:19">
      <c r="A140" s="102">
        <v>198</v>
      </c>
      <c r="B140" s="7" t="s">
        <v>1903</v>
      </c>
      <c r="C140" s="7">
        <v>1</v>
      </c>
      <c r="D140" s="175">
        <f t="shared" si="28"/>
        <v>5476</v>
      </c>
      <c r="E140" s="175">
        <f t="shared" si="29"/>
        <v>5466</v>
      </c>
      <c r="F140" s="37">
        <f t="shared" si="30"/>
        <v>-10</v>
      </c>
      <c r="G140" s="175">
        <f t="shared" si="31"/>
        <v>52558195.004939988</v>
      </c>
      <c r="H140" s="175">
        <f t="shared" si="32"/>
        <v>53048542.559902228</v>
      </c>
      <c r="I140" s="37">
        <f t="shared" si="33"/>
        <v>89.708663549623154</v>
      </c>
      <c r="J140" s="175">
        <f t="shared" si="34"/>
        <v>43516697</v>
      </c>
      <c r="K140" s="175">
        <f t="shared" si="35"/>
        <v>43988233</v>
      </c>
      <c r="L140" s="37">
        <f t="shared" si="36"/>
        <v>86.267105744603001</v>
      </c>
      <c r="M140" s="175">
        <f t="shared" si="39"/>
        <v>9117845</v>
      </c>
      <c r="N140" s="175">
        <f t="shared" si="40"/>
        <v>9281825</v>
      </c>
      <c r="O140" s="37">
        <f t="shared" si="37"/>
        <v>163980</v>
      </c>
      <c r="P140" s="37">
        <f t="shared" si="38"/>
        <v>30</v>
      </c>
      <c r="Q140" s="68">
        <f t="shared" si="41"/>
        <v>1.8</v>
      </c>
      <c r="R140" s="407"/>
      <c r="S140" s="102"/>
    </row>
    <row r="141" spans="1:19">
      <c r="A141" s="102">
        <v>199</v>
      </c>
      <c r="B141" s="7" t="s">
        <v>1904</v>
      </c>
      <c r="C141" s="7">
        <v>1</v>
      </c>
      <c r="D141" s="175">
        <f t="shared" si="28"/>
        <v>5411</v>
      </c>
      <c r="E141" s="175">
        <f t="shared" si="29"/>
        <v>5447</v>
      </c>
      <c r="F141" s="37">
        <f t="shared" si="30"/>
        <v>36</v>
      </c>
      <c r="G141" s="175">
        <f t="shared" si="31"/>
        <v>52228570.584080003</v>
      </c>
      <c r="H141" s="175">
        <f t="shared" si="32"/>
        <v>54000176.557778552</v>
      </c>
      <c r="I141" s="37">
        <f t="shared" si="33"/>
        <v>325.24434986204312</v>
      </c>
      <c r="J141" s="175">
        <f t="shared" si="34"/>
        <v>43661684</v>
      </c>
      <c r="K141" s="175">
        <f t="shared" si="35"/>
        <v>44833817</v>
      </c>
      <c r="L141" s="37">
        <f t="shared" si="36"/>
        <v>215.18872774004038</v>
      </c>
      <c r="M141" s="175">
        <f t="shared" si="39"/>
        <v>8671394.7644304372</v>
      </c>
      <c r="N141" s="175">
        <f t="shared" si="40"/>
        <v>9166360</v>
      </c>
      <c r="O141" s="37">
        <f t="shared" si="37"/>
        <v>494965.23556956276</v>
      </c>
      <c r="P141" s="37">
        <f t="shared" si="38"/>
        <v>90.869329092998484</v>
      </c>
      <c r="Q141" s="68">
        <f t="shared" si="41"/>
        <v>5.71</v>
      </c>
      <c r="R141" s="407"/>
      <c r="S141" s="102"/>
    </row>
    <row r="142" spans="1:19">
      <c r="A142" s="102">
        <v>201</v>
      </c>
      <c r="B142" s="7" t="s">
        <v>1906</v>
      </c>
      <c r="C142" s="7">
        <v>1</v>
      </c>
      <c r="D142" s="175">
        <f t="shared" si="28"/>
        <v>13469</v>
      </c>
      <c r="E142" s="175">
        <f t="shared" si="29"/>
        <v>13624</v>
      </c>
      <c r="F142" s="37">
        <f t="shared" si="30"/>
        <v>155</v>
      </c>
      <c r="G142" s="175">
        <f t="shared" si="31"/>
        <v>157744521.90000004</v>
      </c>
      <c r="H142" s="175">
        <f t="shared" si="32"/>
        <v>165003222.23219585</v>
      </c>
      <c r="I142" s="37">
        <f t="shared" si="33"/>
        <v>532.78775192276998</v>
      </c>
      <c r="J142" s="175">
        <f t="shared" si="34"/>
        <v>25358897</v>
      </c>
      <c r="K142" s="175">
        <f t="shared" si="35"/>
        <v>27078190</v>
      </c>
      <c r="L142" s="37">
        <f t="shared" si="36"/>
        <v>126.19590428655314</v>
      </c>
      <c r="M142" s="175">
        <f t="shared" si="39"/>
        <v>132385625</v>
      </c>
      <c r="N142" s="175">
        <f t="shared" si="40"/>
        <v>137925032</v>
      </c>
      <c r="O142" s="37">
        <f t="shared" si="37"/>
        <v>5539407</v>
      </c>
      <c r="P142" s="37">
        <f t="shared" si="38"/>
        <v>406.59182325308279</v>
      </c>
      <c r="Q142" s="68">
        <f t="shared" si="41"/>
        <v>4.18</v>
      </c>
      <c r="R142" s="407"/>
      <c r="S142" s="102"/>
    </row>
    <row r="143" spans="1:19">
      <c r="A143" s="102">
        <v>204</v>
      </c>
      <c r="B143" s="7" t="s">
        <v>1909</v>
      </c>
      <c r="C143" s="7">
        <v>1</v>
      </c>
      <c r="D143" s="175">
        <f t="shared" si="28"/>
        <v>2385</v>
      </c>
      <c r="E143" s="175">
        <f t="shared" si="29"/>
        <v>2395</v>
      </c>
      <c r="F143" s="37">
        <f t="shared" si="30"/>
        <v>10</v>
      </c>
      <c r="G143" s="175">
        <f t="shared" si="31"/>
        <v>22075387.820000004</v>
      </c>
      <c r="H143" s="175">
        <f t="shared" si="32"/>
        <v>22572192.428649735</v>
      </c>
      <c r="I143" s="37">
        <f t="shared" si="33"/>
        <v>207.43407459278944</v>
      </c>
      <c r="J143" s="175">
        <f t="shared" si="34"/>
        <v>18475881</v>
      </c>
      <c r="K143" s="175">
        <f t="shared" si="35"/>
        <v>18688498</v>
      </c>
      <c r="L143" s="37">
        <f t="shared" si="36"/>
        <v>88.775365344467644</v>
      </c>
      <c r="M143" s="175">
        <f t="shared" si="39"/>
        <v>3851291.6660889401</v>
      </c>
      <c r="N143" s="175">
        <f t="shared" si="40"/>
        <v>3923141.6660889401</v>
      </c>
      <c r="O143" s="37">
        <f t="shared" si="37"/>
        <v>71850</v>
      </c>
      <c r="P143" s="37">
        <f t="shared" si="38"/>
        <v>30</v>
      </c>
      <c r="Q143" s="68">
        <f t="shared" si="41"/>
        <v>1.87</v>
      </c>
      <c r="R143" s="407"/>
      <c r="S143" s="102"/>
    </row>
    <row r="144" spans="1:19">
      <c r="A144" s="102">
        <v>207</v>
      </c>
      <c r="B144" s="7" t="s">
        <v>1912</v>
      </c>
      <c r="C144" s="7">
        <v>1</v>
      </c>
      <c r="D144" s="175">
        <f t="shared" si="28"/>
        <v>12730</v>
      </c>
      <c r="E144" s="175">
        <f t="shared" si="29"/>
        <v>12857</v>
      </c>
      <c r="F144" s="37">
        <f t="shared" si="30"/>
        <v>127</v>
      </c>
      <c r="G144" s="175">
        <f t="shared" si="31"/>
        <v>126430397.79993999</v>
      </c>
      <c r="H144" s="175">
        <f t="shared" si="32"/>
        <v>131452274.44548996</v>
      </c>
      <c r="I144" s="37">
        <f t="shared" si="33"/>
        <v>390.59474570661649</v>
      </c>
      <c r="J144" s="175">
        <f t="shared" si="34"/>
        <v>105306467</v>
      </c>
      <c r="K144" s="175">
        <f t="shared" si="35"/>
        <v>108662422</v>
      </c>
      <c r="L144" s="37">
        <f t="shared" si="36"/>
        <v>261.02162246247178</v>
      </c>
      <c r="M144" s="175">
        <f t="shared" si="39"/>
        <v>21180365</v>
      </c>
      <c r="N144" s="175">
        <f t="shared" si="40"/>
        <v>22789852</v>
      </c>
      <c r="O144" s="37">
        <f t="shared" si="37"/>
        <v>1609487</v>
      </c>
      <c r="P144" s="37">
        <f t="shared" si="38"/>
        <v>125.18371315236836</v>
      </c>
      <c r="Q144" s="68">
        <f t="shared" si="41"/>
        <v>7.6</v>
      </c>
      <c r="R144" s="407"/>
      <c r="S144" s="102"/>
    </row>
    <row r="145" spans="1:19">
      <c r="A145" s="102">
        <v>208</v>
      </c>
      <c r="B145" s="7" t="s">
        <v>1913</v>
      </c>
      <c r="C145" s="7">
        <v>1</v>
      </c>
      <c r="D145" s="175">
        <f t="shared" si="28"/>
        <v>865</v>
      </c>
      <c r="E145" s="175">
        <f t="shared" si="29"/>
        <v>892</v>
      </c>
      <c r="F145" s="37">
        <f t="shared" si="30"/>
        <v>27</v>
      </c>
      <c r="G145" s="175">
        <f t="shared" si="31"/>
        <v>7797859.3176300004</v>
      </c>
      <c r="H145" s="175">
        <f t="shared" si="32"/>
        <v>8254868.1418577991</v>
      </c>
      <c r="I145" s="37">
        <f t="shared" si="33"/>
        <v>512.34173119708373</v>
      </c>
      <c r="J145" s="175">
        <f t="shared" si="34"/>
        <v>6475611</v>
      </c>
      <c r="K145" s="175">
        <f t="shared" si="35"/>
        <v>6844844</v>
      </c>
      <c r="L145" s="37">
        <f t="shared" si="36"/>
        <v>413.93834080717488</v>
      </c>
      <c r="M145" s="175">
        <f t="shared" si="39"/>
        <v>3380055</v>
      </c>
      <c r="N145" s="175">
        <f t="shared" si="40"/>
        <v>3406815</v>
      </c>
      <c r="O145" s="37">
        <f t="shared" si="37"/>
        <v>26760</v>
      </c>
      <c r="P145" s="37">
        <f t="shared" si="38"/>
        <v>30</v>
      </c>
      <c r="Q145" s="68">
        <f t="shared" si="41"/>
        <v>0.79</v>
      </c>
      <c r="R145" s="407"/>
      <c r="S145" s="102"/>
    </row>
    <row r="146" spans="1:19">
      <c r="A146" s="102">
        <v>209</v>
      </c>
      <c r="B146" s="7" t="s">
        <v>1914</v>
      </c>
      <c r="C146" s="7">
        <v>1</v>
      </c>
      <c r="D146" s="175">
        <f t="shared" si="28"/>
        <v>1477</v>
      </c>
      <c r="E146" s="175">
        <f t="shared" si="29"/>
        <v>1506</v>
      </c>
      <c r="F146" s="37">
        <f t="shared" si="30"/>
        <v>29</v>
      </c>
      <c r="G146" s="175">
        <f t="shared" si="31"/>
        <v>16484834.819999997</v>
      </c>
      <c r="H146" s="175">
        <f t="shared" si="32"/>
        <v>17145309.629568465</v>
      </c>
      <c r="I146" s="37">
        <f t="shared" si="33"/>
        <v>438.56229055011187</v>
      </c>
      <c r="J146" s="175">
        <f t="shared" si="34"/>
        <v>5063315</v>
      </c>
      <c r="K146" s="175">
        <f t="shared" si="35"/>
        <v>5100302</v>
      </c>
      <c r="L146" s="37">
        <f t="shared" si="36"/>
        <v>24.5597609561753</v>
      </c>
      <c r="M146" s="175">
        <f t="shared" si="39"/>
        <v>13676653</v>
      </c>
      <c r="N146" s="175">
        <f t="shared" si="40"/>
        <v>13721833</v>
      </c>
      <c r="O146" s="37">
        <f t="shared" si="37"/>
        <v>45180</v>
      </c>
      <c r="P146" s="37">
        <f t="shared" si="38"/>
        <v>30</v>
      </c>
      <c r="Q146" s="68">
        <f t="shared" si="41"/>
        <v>0.33</v>
      </c>
      <c r="R146" s="407"/>
      <c r="S146" s="102"/>
    </row>
    <row r="147" spans="1:19">
      <c r="A147" s="102">
        <v>210</v>
      </c>
      <c r="B147" s="7" t="s">
        <v>1915</v>
      </c>
      <c r="C147" s="7">
        <v>1</v>
      </c>
      <c r="D147" s="175">
        <f t="shared" si="28"/>
        <v>2742</v>
      </c>
      <c r="E147" s="175">
        <f t="shared" si="29"/>
        <v>2746</v>
      </c>
      <c r="F147" s="37">
        <f t="shared" si="30"/>
        <v>4</v>
      </c>
      <c r="G147" s="175">
        <f t="shared" si="31"/>
        <v>27410585.139999997</v>
      </c>
      <c r="H147" s="175">
        <f t="shared" si="32"/>
        <v>27919380.14575414</v>
      </c>
      <c r="I147" s="37">
        <f t="shared" si="33"/>
        <v>185.28587245234633</v>
      </c>
      <c r="J147" s="175">
        <f t="shared" si="34"/>
        <v>22747409</v>
      </c>
      <c r="K147" s="175">
        <f t="shared" si="35"/>
        <v>23143930</v>
      </c>
      <c r="L147" s="37">
        <f t="shared" si="36"/>
        <v>144.39949016751638</v>
      </c>
      <c r="M147" s="175">
        <f t="shared" si="39"/>
        <v>7313539</v>
      </c>
      <c r="N147" s="175">
        <f t="shared" si="40"/>
        <v>7395919</v>
      </c>
      <c r="O147" s="37">
        <f t="shared" si="37"/>
        <v>82380</v>
      </c>
      <c r="P147" s="37">
        <f t="shared" si="38"/>
        <v>30</v>
      </c>
      <c r="Q147" s="68">
        <f t="shared" si="41"/>
        <v>1.1299999999999999</v>
      </c>
      <c r="R147" s="407"/>
      <c r="S147" s="102"/>
    </row>
    <row r="148" spans="1:19">
      <c r="A148" s="102">
        <v>211</v>
      </c>
      <c r="B148" s="7" t="s">
        <v>1916</v>
      </c>
      <c r="C148" s="7">
        <v>1</v>
      </c>
      <c r="D148" s="175">
        <f t="shared" si="28"/>
        <v>4736</v>
      </c>
      <c r="E148" s="175">
        <f t="shared" si="29"/>
        <v>4811</v>
      </c>
      <c r="F148" s="37">
        <f t="shared" si="30"/>
        <v>75</v>
      </c>
      <c r="G148" s="175">
        <f t="shared" si="31"/>
        <v>44605186.620000005</v>
      </c>
      <c r="H148" s="175">
        <f t="shared" si="32"/>
        <v>46314260.801910989</v>
      </c>
      <c r="I148" s="37">
        <f t="shared" si="33"/>
        <v>355.24302263790986</v>
      </c>
      <c r="J148" s="175">
        <f t="shared" si="34"/>
        <v>37087784</v>
      </c>
      <c r="K148" s="175">
        <f t="shared" si="35"/>
        <v>38259940</v>
      </c>
      <c r="L148" s="37">
        <f t="shared" si="36"/>
        <v>243.64082311369776</v>
      </c>
      <c r="M148" s="175">
        <f t="shared" si="39"/>
        <v>8181977</v>
      </c>
      <c r="N148" s="175">
        <f t="shared" si="40"/>
        <v>8326307</v>
      </c>
      <c r="O148" s="37">
        <f t="shared" si="37"/>
        <v>144330</v>
      </c>
      <c r="P148" s="37">
        <f t="shared" si="38"/>
        <v>30</v>
      </c>
      <c r="Q148" s="68">
        <f t="shared" si="41"/>
        <v>1.76</v>
      </c>
      <c r="R148" s="407"/>
      <c r="S148" s="102"/>
    </row>
    <row r="149" spans="1:19">
      <c r="A149" s="102">
        <v>212</v>
      </c>
      <c r="B149" s="7" t="s">
        <v>1917</v>
      </c>
      <c r="C149" s="7">
        <v>1</v>
      </c>
      <c r="D149" s="175">
        <f t="shared" si="28"/>
        <v>4395</v>
      </c>
      <c r="E149" s="175">
        <f t="shared" si="29"/>
        <v>4346</v>
      </c>
      <c r="F149" s="37">
        <f t="shared" si="30"/>
        <v>-49</v>
      </c>
      <c r="G149" s="175">
        <f t="shared" si="31"/>
        <v>41721975.079999998</v>
      </c>
      <c r="H149" s="175">
        <f t="shared" si="32"/>
        <v>42205783.552439779</v>
      </c>
      <c r="I149" s="37">
        <f t="shared" si="33"/>
        <v>111.3227041969123</v>
      </c>
      <c r="J149" s="175">
        <f t="shared" si="34"/>
        <v>25316072</v>
      </c>
      <c r="K149" s="175">
        <f t="shared" si="35"/>
        <v>25945113</v>
      </c>
      <c r="L149" s="37">
        <f t="shared" si="36"/>
        <v>144.74022089277497</v>
      </c>
      <c r="M149" s="175">
        <f t="shared" si="39"/>
        <v>20297411</v>
      </c>
      <c r="N149" s="175">
        <f t="shared" si="40"/>
        <v>20427791</v>
      </c>
      <c r="O149" s="37">
        <f t="shared" si="37"/>
        <v>130380</v>
      </c>
      <c r="P149" s="37">
        <f t="shared" si="38"/>
        <v>30</v>
      </c>
      <c r="Q149" s="68">
        <f t="shared" si="41"/>
        <v>0.64</v>
      </c>
      <c r="R149" s="407"/>
      <c r="S149" s="102"/>
    </row>
    <row r="150" spans="1:19">
      <c r="A150" s="102">
        <v>213</v>
      </c>
      <c r="B150" s="7" t="s">
        <v>1918</v>
      </c>
      <c r="C150" s="7">
        <v>1</v>
      </c>
      <c r="D150" s="175">
        <f t="shared" si="28"/>
        <v>1697</v>
      </c>
      <c r="E150" s="175">
        <f t="shared" si="29"/>
        <v>1642</v>
      </c>
      <c r="F150" s="37">
        <f t="shared" si="30"/>
        <v>-55</v>
      </c>
      <c r="G150" s="175">
        <f t="shared" si="31"/>
        <v>15196910.26</v>
      </c>
      <c r="H150" s="175">
        <f t="shared" si="32"/>
        <v>15015400.577264598</v>
      </c>
      <c r="I150" s="37">
        <f t="shared" si="33"/>
        <v>-110.54182870609144</v>
      </c>
      <c r="J150" s="175">
        <f t="shared" si="34"/>
        <v>12701763</v>
      </c>
      <c r="K150" s="175">
        <f t="shared" si="35"/>
        <v>12501814</v>
      </c>
      <c r="L150" s="37">
        <f t="shared" si="36"/>
        <v>-121.77161997563947</v>
      </c>
      <c r="M150" s="175">
        <f t="shared" si="39"/>
        <v>3849770.0384160001</v>
      </c>
      <c r="N150" s="175">
        <f t="shared" si="40"/>
        <v>3899030.0384160001</v>
      </c>
      <c r="O150" s="37">
        <f t="shared" si="37"/>
        <v>49260</v>
      </c>
      <c r="P150" s="37">
        <f t="shared" si="38"/>
        <v>30</v>
      </c>
      <c r="Q150" s="68">
        <f t="shared" si="41"/>
        <v>1.28</v>
      </c>
      <c r="R150" s="407"/>
      <c r="S150" s="102"/>
    </row>
    <row r="151" spans="1:19">
      <c r="A151" s="102">
        <v>214</v>
      </c>
      <c r="B151" s="7" t="s">
        <v>1919</v>
      </c>
      <c r="C151" s="7">
        <v>1</v>
      </c>
      <c r="D151" s="175">
        <f t="shared" si="28"/>
        <v>2342</v>
      </c>
      <c r="E151" s="175">
        <f t="shared" si="29"/>
        <v>2305</v>
      </c>
      <c r="F151" s="37">
        <f t="shared" si="30"/>
        <v>-37</v>
      </c>
      <c r="G151" s="175">
        <f t="shared" si="31"/>
        <v>23427188.930000003</v>
      </c>
      <c r="H151" s="175">
        <f t="shared" si="32"/>
        <v>23615219.37740108</v>
      </c>
      <c r="I151" s="37">
        <f t="shared" si="33"/>
        <v>81.575031410445362</v>
      </c>
      <c r="J151" s="175">
        <f t="shared" si="34"/>
        <v>10848805</v>
      </c>
      <c r="K151" s="175">
        <f t="shared" si="35"/>
        <v>11369969</v>
      </c>
      <c r="L151" s="37">
        <f t="shared" si="36"/>
        <v>226.10151843817786</v>
      </c>
      <c r="M151" s="175">
        <f t="shared" si="39"/>
        <v>15403891</v>
      </c>
      <c r="N151" s="175">
        <f t="shared" si="40"/>
        <v>15473041</v>
      </c>
      <c r="O151" s="37">
        <f t="shared" si="37"/>
        <v>69150</v>
      </c>
      <c r="P151" s="37">
        <f t="shared" si="38"/>
        <v>30</v>
      </c>
      <c r="Q151" s="68">
        <f t="shared" si="41"/>
        <v>0.45</v>
      </c>
      <c r="R151" s="407"/>
      <c r="S151" s="102"/>
    </row>
    <row r="152" spans="1:19">
      <c r="A152" s="102">
        <v>215</v>
      </c>
      <c r="B152" s="7" t="s">
        <v>1920</v>
      </c>
      <c r="C152" s="7">
        <v>1</v>
      </c>
      <c r="D152" s="175">
        <f t="shared" si="28"/>
        <v>606</v>
      </c>
      <c r="E152" s="175">
        <f t="shared" si="29"/>
        <v>596</v>
      </c>
      <c r="F152" s="37">
        <f t="shared" si="30"/>
        <v>-10</v>
      </c>
      <c r="G152" s="175">
        <f t="shared" si="31"/>
        <v>6192391.8499999996</v>
      </c>
      <c r="H152" s="175">
        <f t="shared" si="32"/>
        <v>6199650.4699848695</v>
      </c>
      <c r="I152" s="37">
        <f t="shared" si="33"/>
        <v>12.178892592063498</v>
      </c>
      <c r="J152" s="175">
        <f t="shared" si="34"/>
        <v>2909397</v>
      </c>
      <c r="K152" s="175">
        <f t="shared" si="35"/>
        <v>2812304</v>
      </c>
      <c r="L152" s="37">
        <f t="shared" si="36"/>
        <v>-162.90771812080536</v>
      </c>
      <c r="M152" s="175">
        <f t="shared" si="39"/>
        <v>4236418</v>
      </c>
      <c r="N152" s="175">
        <f t="shared" si="40"/>
        <v>4254298</v>
      </c>
      <c r="O152" s="37">
        <f t="shared" si="37"/>
        <v>17880</v>
      </c>
      <c r="P152" s="37">
        <f t="shared" si="38"/>
        <v>30</v>
      </c>
      <c r="Q152" s="68">
        <f t="shared" si="41"/>
        <v>0.42</v>
      </c>
      <c r="R152" s="407"/>
      <c r="S152" s="102"/>
    </row>
    <row r="153" spans="1:19">
      <c r="A153" s="102">
        <v>217</v>
      </c>
      <c r="B153" s="7" t="s">
        <v>1922</v>
      </c>
      <c r="C153" s="7">
        <v>1</v>
      </c>
      <c r="D153" s="175">
        <f t="shared" si="28"/>
        <v>2466</v>
      </c>
      <c r="E153" s="175">
        <f t="shared" si="29"/>
        <v>2426</v>
      </c>
      <c r="F153" s="37">
        <f t="shared" si="30"/>
        <v>-40</v>
      </c>
      <c r="G153" s="175">
        <f t="shared" si="31"/>
        <v>23635143.14844</v>
      </c>
      <c r="H153" s="175">
        <f t="shared" si="32"/>
        <v>23960205.841541711</v>
      </c>
      <c r="I153" s="37">
        <f t="shared" si="33"/>
        <v>133.99121727193386</v>
      </c>
      <c r="J153" s="175">
        <f t="shared" si="34"/>
        <v>19692373</v>
      </c>
      <c r="K153" s="175">
        <f t="shared" si="35"/>
        <v>19895201</v>
      </c>
      <c r="L153" s="37">
        <f t="shared" si="36"/>
        <v>83.605935696619952</v>
      </c>
      <c r="M153" s="175">
        <f t="shared" si="39"/>
        <v>6937937</v>
      </c>
      <c r="N153" s="175">
        <f t="shared" si="40"/>
        <v>7010717</v>
      </c>
      <c r="O153" s="37">
        <f t="shared" si="37"/>
        <v>72780</v>
      </c>
      <c r="P153" s="37">
        <f t="shared" si="38"/>
        <v>30</v>
      </c>
      <c r="Q153" s="68">
        <f t="shared" si="41"/>
        <v>1.05</v>
      </c>
      <c r="R153" s="407"/>
      <c r="S153" s="102"/>
    </row>
    <row r="154" spans="1:19">
      <c r="A154" s="102">
        <v>218</v>
      </c>
      <c r="B154" s="7" t="s">
        <v>1923</v>
      </c>
      <c r="C154" s="7">
        <v>1</v>
      </c>
      <c r="D154" s="175">
        <f t="shared" si="28"/>
        <v>2583</v>
      </c>
      <c r="E154" s="175">
        <f t="shared" si="29"/>
        <v>2517</v>
      </c>
      <c r="F154" s="37">
        <f t="shared" si="30"/>
        <v>-66</v>
      </c>
      <c r="G154" s="175">
        <f t="shared" si="31"/>
        <v>24673640</v>
      </c>
      <c r="H154" s="175">
        <f t="shared" si="32"/>
        <v>24605799.037226401</v>
      </c>
      <c r="I154" s="37">
        <f t="shared" si="33"/>
        <v>-26.953104002224368</v>
      </c>
      <c r="J154" s="175">
        <f t="shared" si="34"/>
        <v>15870288</v>
      </c>
      <c r="K154" s="175">
        <f t="shared" si="35"/>
        <v>16138030</v>
      </c>
      <c r="L154" s="37">
        <f t="shared" si="36"/>
        <v>106.37346046881208</v>
      </c>
      <c r="M154" s="175">
        <f t="shared" si="39"/>
        <v>12603140</v>
      </c>
      <c r="N154" s="175">
        <f t="shared" si="40"/>
        <v>12678650</v>
      </c>
      <c r="O154" s="37">
        <f t="shared" si="37"/>
        <v>75510</v>
      </c>
      <c r="P154" s="37">
        <f t="shared" si="38"/>
        <v>30</v>
      </c>
      <c r="Q154" s="68">
        <f t="shared" si="41"/>
        <v>0.6</v>
      </c>
      <c r="R154" s="407"/>
      <c r="S154" s="102"/>
    </row>
    <row r="155" spans="1:19">
      <c r="A155" s="102">
        <v>219</v>
      </c>
      <c r="B155" s="7" t="s">
        <v>1924</v>
      </c>
      <c r="C155" s="7">
        <v>1</v>
      </c>
      <c r="D155" s="175">
        <f t="shared" si="28"/>
        <v>2151</v>
      </c>
      <c r="E155" s="175">
        <f t="shared" si="29"/>
        <v>2145</v>
      </c>
      <c r="F155" s="37">
        <f t="shared" si="30"/>
        <v>-6</v>
      </c>
      <c r="G155" s="175">
        <f t="shared" si="31"/>
        <v>20258808.089429993</v>
      </c>
      <c r="H155" s="175">
        <f t="shared" si="32"/>
        <v>20701123.007093545</v>
      </c>
      <c r="I155" s="37">
        <f t="shared" si="33"/>
        <v>206.2074208221687</v>
      </c>
      <c r="J155" s="175">
        <f t="shared" si="34"/>
        <v>16921990</v>
      </c>
      <c r="K155" s="175">
        <f t="shared" si="35"/>
        <v>17167966</v>
      </c>
      <c r="L155" s="37">
        <f t="shared" si="36"/>
        <v>114.67412587412588</v>
      </c>
      <c r="M155" s="175">
        <f t="shared" si="39"/>
        <v>3535957.9436770314</v>
      </c>
      <c r="N155" s="175">
        <f t="shared" si="40"/>
        <v>3600307.9436770314</v>
      </c>
      <c r="O155" s="37">
        <f t="shared" si="37"/>
        <v>64350</v>
      </c>
      <c r="P155" s="37">
        <f t="shared" si="38"/>
        <v>30</v>
      </c>
      <c r="Q155" s="68">
        <f t="shared" si="41"/>
        <v>1.82</v>
      </c>
      <c r="R155" s="407"/>
      <c r="S155" s="102"/>
    </row>
    <row r="156" spans="1:19">
      <c r="A156" s="102">
        <v>220</v>
      </c>
      <c r="B156" s="7" t="s">
        <v>1925</v>
      </c>
      <c r="C156" s="7">
        <v>1</v>
      </c>
      <c r="D156" s="175">
        <f t="shared" si="28"/>
        <v>3470</v>
      </c>
      <c r="E156" s="175">
        <f t="shared" si="29"/>
        <v>3442</v>
      </c>
      <c r="F156" s="37">
        <f t="shared" si="30"/>
        <v>-28</v>
      </c>
      <c r="G156" s="175">
        <f t="shared" si="31"/>
        <v>36087087.065760002</v>
      </c>
      <c r="H156" s="175">
        <f t="shared" si="32"/>
        <v>36598980.152771384</v>
      </c>
      <c r="I156" s="37">
        <f t="shared" si="33"/>
        <v>148.71966502364381</v>
      </c>
      <c r="J156" s="175">
        <f t="shared" si="34"/>
        <v>30230754</v>
      </c>
      <c r="K156" s="175">
        <f t="shared" si="35"/>
        <v>30391526</v>
      </c>
      <c r="L156" s="37">
        <f t="shared" si="36"/>
        <v>46.708890180127831</v>
      </c>
      <c r="M156" s="175">
        <f t="shared" si="39"/>
        <v>5941876.3884928748</v>
      </c>
      <c r="N156" s="175">
        <f t="shared" si="40"/>
        <v>6207454</v>
      </c>
      <c r="O156" s="37">
        <f t="shared" si="37"/>
        <v>265577.6115071252</v>
      </c>
      <c r="P156" s="37">
        <f t="shared" si="38"/>
        <v>77.157934778362929</v>
      </c>
      <c r="Q156" s="68">
        <f t="shared" si="41"/>
        <v>4.47</v>
      </c>
      <c r="R156" s="407"/>
      <c r="S156" s="102"/>
    </row>
    <row r="157" spans="1:19">
      <c r="A157" s="102">
        <v>221</v>
      </c>
      <c r="B157" s="7" t="s">
        <v>1926</v>
      </c>
      <c r="C157" s="7">
        <v>1</v>
      </c>
      <c r="D157" s="175">
        <f t="shared" si="28"/>
        <v>445</v>
      </c>
      <c r="E157" s="175">
        <f t="shared" si="29"/>
        <v>459</v>
      </c>
      <c r="F157" s="37">
        <f t="shared" si="30"/>
        <v>14</v>
      </c>
      <c r="G157" s="175">
        <f t="shared" si="31"/>
        <v>4345993.05</v>
      </c>
      <c r="H157" s="175">
        <f t="shared" si="32"/>
        <v>4614741.4748551529</v>
      </c>
      <c r="I157" s="37">
        <f t="shared" si="33"/>
        <v>585.50855088268645</v>
      </c>
      <c r="J157" s="175">
        <f t="shared" si="34"/>
        <v>3494124</v>
      </c>
      <c r="K157" s="175">
        <f t="shared" si="35"/>
        <v>3814150</v>
      </c>
      <c r="L157" s="37">
        <f t="shared" si="36"/>
        <v>697.22440087145969</v>
      </c>
      <c r="M157" s="175">
        <f t="shared" si="39"/>
        <v>910282</v>
      </c>
      <c r="N157" s="175">
        <f t="shared" si="40"/>
        <v>924052</v>
      </c>
      <c r="O157" s="37">
        <f t="shared" si="37"/>
        <v>13770</v>
      </c>
      <c r="P157" s="37">
        <f t="shared" si="38"/>
        <v>30</v>
      </c>
      <c r="Q157" s="68">
        <f t="shared" si="41"/>
        <v>1.51</v>
      </c>
      <c r="R157" s="407"/>
      <c r="S157" s="102"/>
    </row>
    <row r="158" spans="1:19">
      <c r="A158" s="102">
        <v>223</v>
      </c>
      <c r="B158" s="7" t="s">
        <v>1928</v>
      </c>
      <c r="C158" s="7">
        <v>1</v>
      </c>
      <c r="D158" s="175">
        <f t="shared" si="28"/>
        <v>596</v>
      </c>
      <c r="E158" s="175">
        <f t="shared" si="29"/>
        <v>615</v>
      </c>
      <c r="F158" s="37">
        <f t="shared" si="30"/>
        <v>19</v>
      </c>
      <c r="G158" s="175">
        <f t="shared" si="31"/>
        <v>6410831.3199999994</v>
      </c>
      <c r="H158" s="175">
        <f t="shared" si="32"/>
        <v>6801556.0005172687</v>
      </c>
      <c r="I158" s="37">
        <f t="shared" si="33"/>
        <v>635.32468376791758</v>
      </c>
      <c r="J158" s="175">
        <f t="shared" si="34"/>
        <v>1858029</v>
      </c>
      <c r="K158" s="175">
        <f t="shared" si="35"/>
        <v>1896835</v>
      </c>
      <c r="L158" s="37">
        <f t="shared" si="36"/>
        <v>63.099186991869921</v>
      </c>
      <c r="M158" s="175">
        <f t="shared" si="39"/>
        <v>5222159</v>
      </c>
      <c r="N158" s="175">
        <f t="shared" si="40"/>
        <v>5240609</v>
      </c>
      <c r="O158" s="37">
        <f t="shared" si="37"/>
        <v>18450</v>
      </c>
      <c r="P158" s="37">
        <f t="shared" si="38"/>
        <v>30</v>
      </c>
      <c r="Q158" s="68">
        <f t="shared" si="41"/>
        <v>0.35</v>
      </c>
      <c r="R158" s="407"/>
      <c r="S158" s="102"/>
    </row>
    <row r="159" spans="1:19">
      <c r="A159" s="102">
        <v>224</v>
      </c>
      <c r="B159" s="7" t="s">
        <v>1929</v>
      </c>
      <c r="C159" s="7">
        <v>1</v>
      </c>
      <c r="D159" s="175">
        <f t="shared" si="28"/>
        <v>217</v>
      </c>
      <c r="E159" s="175">
        <f t="shared" si="29"/>
        <v>220</v>
      </c>
      <c r="F159" s="37">
        <f t="shared" si="30"/>
        <v>3</v>
      </c>
      <c r="G159" s="175">
        <f t="shared" si="31"/>
        <v>2091738.9399999997</v>
      </c>
      <c r="H159" s="175">
        <f t="shared" si="32"/>
        <v>2186402.5084648258</v>
      </c>
      <c r="I159" s="37">
        <f t="shared" si="33"/>
        <v>430.28894756739135</v>
      </c>
      <c r="J159" s="175">
        <f t="shared" si="34"/>
        <v>1737899</v>
      </c>
      <c r="K159" s="175">
        <f t="shared" si="35"/>
        <v>1814388</v>
      </c>
      <c r="L159" s="37">
        <f t="shared" si="36"/>
        <v>347.67727272727274</v>
      </c>
      <c r="M159" s="175">
        <f t="shared" si="39"/>
        <v>353840</v>
      </c>
      <c r="N159" s="175">
        <f t="shared" si="40"/>
        <v>372015</v>
      </c>
      <c r="O159" s="37">
        <f t="shared" si="37"/>
        <v>18175</v>
      </c>
      <c r="P159" s="37">
        <f t="shared" si="38"/>
        <v>82.61363636363636</v>
      </c>
      <c r="Q159" s="68">
        <f t="shared" si="41"/>
        <v>5.14</v>
      </c>
      <c r="R159" s="407"/>
      <c r="S159" s="102"/>
    </row>
    <row r="160" spans="1:19">
      <c r="A160" s="102">
        <v>226</v>
      </c>
      <c r="B160" s="7" t="s">
        <v>1931</v>
      </c>
      <c r="C160" s="7">
        <v>1</v>
      </c>
      <c r="D160" s="175">
        <f t="shared" si="28"/>
        <v>1849</v>
      </c>
      <c r="E160" s="175">
        <f t="shared" si="29"/>
        <v>1785</v>
      </c>
      <c r="F160" s="37">
        <f t="shared" si="30"/>
        <v>-64</v>
      </c>
      <c r="G160" s="175">
        <f t="shared" si="31"/>
        <v>18814492.639999997</v>
      </c>
      <c r="H160" s="175">
        <f t="shared" si="32"/>
        <v>18658337.210024625</v>
      </c>
      <c r="I160" s="37">
        <f t="shared" si="33"/>
        <v>-87.482033599648076</v>
      </c>
      <c r="J160" s="175">
        <f t="shared" si="34"/>
        <v>9045951</v>
      </c>
      <c r="K160" s="175">
        <f t="shared" si="35"/>
        <v>8970216</v>
      </c>
      <c r="L160" s="37">
        <f t="shared" si="36"/>
        <v>-42.428571428571431</v>
      </c>
      <c r="M160" s="175">
        <f t="shared" si="39"/>
        <v>10408194</v>
      </c>
      <c r="N160" s="175">
        <f t="shared" si="40"/>
        <v>10461744</v>
      </c>
      <c r="O160" s="37">
        <f t="shared" si="37"/>
        <v>53550</v>
      </c>
      <c r="P160" s="37">
        <f t="shared" si="38"/>
        <v>30</v>
      </c>
      <c r="Q160" s="68">
        <f t="shared" si="41"/>
        <v>0.51</v>
      </c>
      <c r="R160" s="407"/>
      <c r="S160" s="102"/>
    </row>
    <row r="161" spans="1:19">
      <c r="A161" s="102">
        <v>227</v>
      </c>
      <c r="B161" s="7" t="s">
        <v>1932</v>
      </c>
      <c r="C161" s="7">
        <v>1</v>
      </c>
      <c r="D161" s="175">
        <f t="shared" si="28"/>
        <v>1494</v>
      </c>
      <c r="E161" s="175">
        <f t="shared" si="29"/>
        <v>1495</v>
      </c>
      <c r="F161" s="37">
        <f t="shared" si="30"/>
        <v>1</v>
      </c>
      <c r="G161" s="175">
        <f t="shared" si="31"/>
        <v>15564758.360000001</v>
      </c>
      <c r="H161" s="175">
        <f t="shared" si="32"/>
        <v>15937384.115527295</v>
      </c>
      <c r="I161" s="37">
        <f t="shared" si="33"/>
        <v>249.24799700822294</v>
      </c>
      <c r="J161" s="175">
        <f t="shared" si="34"/>
        <v>6592394</v>
      </c>
      <c r="K161" s="175">
        <f t="shared" si="35"/>
        <v>6595198</v>
      </c>
      <c r="L161" s="37">
        <f t="shared" si="36"/>
        <v>1.8755852842809364</v>
      </c>
      <c r="M161" s="175">
        <f t="shared" si="39"/>
        <v>10784150</v>
      </c>
      <c r="N161" s="175">
        <f t="shared" si="40"/>
        <v>10829000</v>
      </c>
      <c r="O161" s="37">
        <f t="shared" si="37"/>
        <v>44850</v>
      </c>
      <c r="P161" s="37">
        <f t="shared" si="38"/>
        <v>30</v>
      </c>
      <c r="Q161" s="68">
        <f t="shared" si="41"/>
        <v>0.42</v>
      </c>
      <c r="R161" s="407"/>
      <c r="S161" s="102"/>
    </row>
    <row r="162" spans="1:19">
      <c r="A162" s="102">
        <v>229</v>
      </c>
      <c r="B162" s="7" t="s">
        <v>1934</v>
      </c>
      <c r="C162" s="7">
        <v>1</v>
      </c>
      <c r="D162" s="175">
        <f t="shared" si="28"/>
        <v>5877</v>
      </c>
      <c r="E162" s="175">
        <f t="shared" si="29"/>
        <v>5892</v>
      </c>
      <c r="F162" s="37">
        <f t="shared" si="30"/>
        <v>15</v>
      </c>
      <c r="G162" s="175">
        <f t="shared" si="31"/>
        <v>62459203.560000002</v>
      </c>
      <c r="H162" s="175">
        <f t="shared" si="32"/>
        <v>63749465.754188508</v>
      </c>
      <c r="I162" s="37">
        <f t="shared" si="33"/>
        <v>218.98543689553725</v>
      </c>
      <c r="J162" s="175">
        <f t="shared" si="34"/>
        <v>44792470</v>
      </c>
      <c r="K162" s="175">
        <f t="shared" si="35"/>
        <v>45449042</v>
      </c>
      <c r="L162" s="37">
        <f t="shared" si="36"/>
        <v>111.43448744059742</v>
      </c>
      <c r="M162" s="175">
        <f t="shared" si="39"/>
        <v>19070452</v>
      </c>
      <c r="N162" s="175">
        <f t="shared" si="40"/>
        <v>19247212</v>
      </c>
      <c r="O162" s="37">
        <f t="shared" si="37"/>
        <v>176760</v>
      </c>
      <c r="P162" s="37">
        <f t="shared" si="38"/>
        <v>30</v>
      </c>
      <c r="Q162" s="68">
        <f t="shared" si="41"/>
        <v>0.93</v>
      </c>
      <c r="R162" s="407"/>
      <c r="S162" s="102"/>
    </row>
    <row r="163" spans="1:19">
      <c r="A163" s="102">
        <v>230</v>
      </c>
      <c r="B163" s="7" t="s">
        <v>1935</v>
      </c>
      <c r="C163" s="7">
        <v>1</v>
      </c>
      <c r="D163" s="175">
        <f t="shared" si="28"/>
        <v>74</v>
      </c>
      <c r="E163" s="175">
        <f t="shared" si="29"/>
        <v>81</v>
      </c>
      <c r="F163" s="37">
        <f t="shared" si="30"/>
        <v>7</v>
      </c>
      <c r="G163" s="175">
        <f t="shared" si="31"/>
        <v>724220.01</v>
      </c>
      <c r="H163" s="175">
        <f t="shared" si="32"/>
        <v>830020.58176676114</v>
      </c>
      <c r="I163" s="37">
        <f t="shared" si="33"/>
        <v>1306.1798983550757</v>
      </c>
      <c r="J163" s="175">
        <f t="shared" si="34"/>
        <v>609074</v>
      </c>
      <c r="K163" s="175">
        <f t="shared" si="35"/>
        <v>620333</v>
      </c>
      <c r="L163" s="37">
        <f t="shared" si="36"/>
        <v>139</v>
      </c>
      <c r="M163" s="175">
        <f t="shared" si="39"/>
        <v>228151</v>
      </c>
      <c r="N163" s="175">
        <f t="shared" si="40"/>
        <v>230581</v>
      </c>
      <c r="O163" s="37">
        <f t="shared" si="37"/>
        <v>2430</v>
      </c>
      <c r="P163" s="37">
        <f t="shared" si="38"/>
        <v>30</v>
      </c>
      <c r="Q163" s="68">
        <f t="shared" si="41"/>
        <v>1.07</v>
      </c>
      <c r="R163" s="407"/>
      <c r="S163" s="102"/>
    </row>
    <row r="164" spans="1:19">
      <c r="A164" s="102">
        <v>231</v>
      </c>
      <c r="B164" s="7" t="s">
        <v>1936</v>
      </c>
      <c r="C164" s="7">
        <v>1</v>
      </c>
      <c r="D164" s="175">
        <f t="shared" si="28"/>
        <v>3091</v>
      </c>
      <c r="E164" s="175">
        <f t="shared" si="29"/>
        <v>3005</v>
      </c>
      <c r="F164" s="37">
        <f t="shared" si="30"/>
        <v>-86</v>
      </c>
      <c r="G164" s="175">
        <f t="shared" si="31"/>
        <v>30278155.873739995</v>
      </c>
      <c r="H164" s="175">
        <f t="shared" si="32"/>
        <v>30076801.769575488</v>
      </c>
      <c r="I164" s="37">
        <f t="shared" si="33"/>
        <v>-67.006357459070628</v>
      </c>
      <c r="J164" s="175">
        <f t="shared" si="34"/>
        <v>18592537</v>
      </c>
      <c r="K164" s="175">
        <f t="shared" si="35"/>
        <v>18988785</v>
      </c>
      <c r="L164" s="37">
        <f t="shared" si="36"/>
        <v>131.86289517470883</v>
      </c>
      <c r="M164" s="175">
        <f t="shared" si="39"/>
        <v>13344512.304039083</v>
      </c>
      <c r="N164" s="175">
        <f t="shared" si="40"/>
        <v>13434662.304039083</v>
      </c>
      <c r="O164" s="37">
        <f t="shared" si="37"/>
        <v>90150</v>
      </c>
      <c r="P164" s="37">
        <f t="shared" si="38"/>
        <v>30</v>
      </c>
      <c r="Q164" s="68">
        <f t="shared" si="41"/>
        <v>0.68</v>
      </c>
      <c r="R164" s="407"/>
      <c r="S164" s="102"/>
    </row>
    <row r="165" spans="1:19">
      <c r="A165" s="102">
        <v>234</v>
      </c>
      <c r="B165" s="7" t="s">
        <v>1939</v>
      </c>
      <c r="C165" s="7">
        <v>1</v>
      </c>
      <c r="D165" s="175">
        <f t="shared" si="28"/>
        <v>63</v>
      </c>
      <c r="E165" s="175">
        <f t="shared" si="29"/>
        <v>70</v>
      </c>
      <c r="F165" s="37">
        <f t="shared" si="30"/>
        <v>7</v>
      </c>
      <c r="G165" s="175">
        <f t="shared" si="31"/>
        <v>627194.55000000005</v>
      </c>
      <c r="H165" s="175">
        <f t="shared" si="32"/>
        <v>716629.18602344103</v>
      </c>
      <c r="I165" s="37">
        <f t="shared" si="33"/>
        <v>1277.6376574777282</v>
      </c>
      <c r="J165" s="175">
        <f t="shared" si="34"/>
        <v>512362</v>
      </c>
      <c r="K165" s="175">
        <f t="shared" si="35"/>
        <v>573272</v>
      </c>
      <c r="L165" s="37">
        <f t="shared" si="36"/>
        <v>870.14285714285711</v>
      </c>
      <c r="M165" s="175">
        <f t="shared" si="39"/>
        <v>429223</v>
      </c>
      <c r="N165" s="175">
        <f t="shared" si="40"/>
        <v>431323</v>
      </c>
      <c r="O165" s="37">
        <f t="shared" si="37"/>
        <v>2100</v>
      </c>
      <c r="P165" s="37">
        <f t="shared" si="38"/>
        <v>30</v>
      </c>
      <c r="Q165" s="68">
        <f t="shared" si="41"/>
        <v>0.49</v>
      </c>
      <c r="R165" s="407"/>
      <c r="S165" s="102"/>
    </row>
    <row r="166" spans="1:19">
      <c r="A166" s="102">
        <v>236</v>
      </c>
      <c r="B166" s="7" t="s">
        <v>1941</v>
      </c>
      <c r="C166" s="7">
        <v>1</v>
      </c>
      <c r="D166" s="175">
        <f t="shared" si="28"/>
        <v>6115</v>
      </c>
      <c r="E166" s="175">
        <f t="shared" si="29"/>
        <v>6026</v>
      </c>
      <c r="F166" s="37">
        <f t="shared" si="30"/>
        <v>-89</v>
      </c>
      <c r="G166" s="175">
        <f t="shared" si="31"/>
        <v>68494174.319999993</v>
      </c>
      <c r="H166" s="175">
        <f t="shared" si="32"/>
        <v>68570957.773763955</v>
      </c>
      <c r="I166" s="37">
        <f t="shared" si="33"/>
        <v>12.742026844334848</v>
      </c>
      <c r="J166" s="175">
        <f t="shared" si="34"/>
        <v>28442404</v>
      </c>
      <c r="K166" s="175">
        <f t="shared" si="35"/>
        <v>28025316</v>
      </c>
      <c r="L166" s="37">
        <f t="shared" si="36"/>
        <v>-69.214736143378687</v>
      </c>
      <c r="M166" s="175">
        <f t="shared" si="39"/>
        <v>40155219</v>
      </c>
      <c r="N166" s="175">
        <f t="shared" si="40"/>
        <v>40545642</v>
      </c>
      <c r="O166" s="37">
        <f t="shared" si="37"/>
        <v>390423</v>
      </c>
      <c r="P166" s="37">
        <f t="shared" si="38"/>
        <v>64.789744440756721</v>
      </c>
      <c r="Q166" s="68">
        <f t="shared" si="41"/>
        <v>0.97</v>
      </c>
      <c r="R166" s="407"/>
      <c r="S166" s="102"/>
    </row>
    <row r="167" spans="1:19">
      <c r="A167" s="102">
        <v>238</v>
      </c>
      <c r="B167" s="7" t="s">
        <v>1943</v>
      </c>
      <c r="C167" s="7">
        <v>1</v>
      </c>
      <c r="D167" s="175">
        <f t="shared" si="28"/>
        <v>734</v>
      </c>
      <c r="E167" s="175">
        <f t="shared" si="29"/>
        <v>701</v>
      </c>
      <c r="F167" s="37">
        <f t="shared" si="30"/>
        <v>-33</v>
      </c>
      <c r="G167" s="175">
        <f t="shared" si="31"/>
        <v>6794336.419999999</v>
      </c>
      <c r="H167" s="175">
        <f t="shared" si="32"/>
        <v>6634193.2430846673</v>
      </c>
      <c r="I167" s="37">
        <f t="shared" si="33"/>
        <v>-228.44961043556597</v>
      </c>
      <c r="J167" s="175">
        <f t="shared" si="34"/>
        <v>4700337</v>
      </c>
      <c r="K167" s="175">
        <f t="shared" si="35"/>
        <v>4712959</v>
      </c>
      <c r="L167" s="37">
        <f t="shared" si="36"/>
        <v>18.005706134094151</v>
      </c>
      <c r="M167" s="175">
        <f t="shared" si="39"/>
        <v>2864950.59601</v>
      </c>
      <c r="N167" s="175">
        <f t="shared" si="40"/>
        <v>2885980.59601</v>
      </c>
      <c r="O167" s="37">
        <f t="shared" si="37"/>
        <v>21030</v>
      </c>
      <c r="P167" s="37">
        <f t="shared" si="38"/>
        <v>30</v>
      </c>
      <c r="Q167" s="68">
        <f t="shared" si="41"/>
        <v>0.73</v>
      </c>
      <c r="R167" s="407"/>
      <c r="S167" s="102"/>
    </row>
    <row r="168" spans="1:19">
      <c r="A168" s="102">
        <v>239</v>
      </c>
      <c r="B168" s="7" t="s">
        <v>1944</v>
      </c>
      <c r="C168" s="7">
        <v>1</v>
      </c>
      <c r="D168" s="175">
        <f t="shared" si="28"/>
        <v>8046</v>
      </c>
      <c r="E168" s="175">
        <f t="shared" si="29"/>
        <v>8212</v>
      </c>
      <c r="F168" s="37">
        <f t="shared" si="30"/>
        <v>166</v>
      </c>
      <c r="G168" s="175">
        <f t="shared" si="31"/>
        <v>84727196.122590005</v>
      </c>
      <c r="H168" s="175">
        <f t="shared" si="32"/>
        <v>88349686.529343486</v>
      </c>
      <c r="I168" s="37">
        <f t="shared" si="33"/>
        <v>441.1215790006674</v>
      </c>
      <c r="J168" s="175">
        <f t="shared" si="34"/>
        <v>61058495</v>
      </c>
      <c r="K168" s="175">
        <f t="shared" si="35"/>
        <v>62464730</v>
      </c>
      <c r="L168" s="37">
        <f t="shared" si="36"/>
        <v>171.241475888943</v>
      </c>
      <c r="M168" s="175">
        <f t="shared" si="39"/>
        <v>24315046.509499453</v>
      </c>
      <c r="N168" s="175">
        <f t="shared" si="40"/>
        <v>25884957</v>
      </c>
      <c r="O168" s="37">
        <f t="shared" si="37"/>
        <v>1569910.490500547</v>
      </c>
      <c r="P168" s="37">
        <f t="shared" si="38"/>
        <v>191.17273386514211</v>
      </c>
      <c r="Q168" s="68">
        <f t="shared" si="41"/>
        <v>6.46</v>
      </c>
      <c r="R168" s="407"/>
      <c r="S168" s="102"/>
    </row>
    <row r="169" spans="1:19">
      <c r="A169" s="102">
        <v>240</v>
      </c>
      <c r="B169" s="7" t="s">
        <v>1945</v>
      </c>
      <c r="C169" s="7">
        <v>1</v>
      </c>
      <c r="D169" s="175">
        <f t="shared" si="28"/>
        <v>232</v>
      </c>
      <c r="E169" s="175">
        <f t="shared" si="29"/>
        <v>221</v>
      </c>
      <c r="F169" s="37">
        <f t="shared" si="30"/>
        <v>-11</v>
      </c>
      <c r="G169" s="175">
        <f t="shared" si="31"/>
        <v>2281485.7581900004</v>
      </c>
      <c r="H169" s="175">
        <f t="shared" si="32"/>
        <v>2208586.3887203764</v>
      </c>
      <c r="I169" s="37">
        <f t="shared" si="33"/>
        <v>-329.86140031504078</v>
      </c>
      <c r="J169" s="175">
        <f t="shared" si="34"/>
        <v>1667056</v>
      </c>
      <c r="K169" s="175">
        <f t="shared" si="35"/>
        <v>1594867</v>
      </c>
      <c r="L169" s="37">
        <f t="shared" si="36"/>
        <v>-326.64705882352939</v>
      </c>
      <c r="M169" s="175">
        <f t="shared" si="39"/>
        <v>721030.25887999998</v>
      </c>
      <c r="N169" s="175">
        <f t="shared" si="40"/>
        <v>727660.25887999998</v>
      </c>
      <c r="O169" s="37">
        <f t="shared" si="37"/>
        <v>6630</v>
      </c>
      <c r="P169" s="37">
        <f t="shared" si="38"/>
        <v>30</v>
      </c>
      <c r="Q169" s="68">
        <f t="shared" si="41"/>
        <v>0.92</v>
      </c>
      <c r="R169" s="407"/>
      <c r="S169" s="102"/>
    </row>
    <row r="170" spans="1:19">
      <c r="A170" s="102">
        <v>242</v>
      </c>
      <c r="B170" s="7" t="s">
        <v>1947</v>
      </c>
      <c r="C170" s="7">
        <v>1</v>
      </c>
      <c r="D170" s="175">
        <f t="shared" si="28"/>
        <v>137</v>
      </c>
      <c r="E170" s="175">
        <f t="shared" si="29"/>
        <v>115</v>
      </c>
      <c r="F170" s="37">
        <f t="shared" si="30"/>
        <v>-22</v>
      </c>
      <c r="G170" s="175">
        <f t="shared" si="31"/>
        <v>1411461.41</v>
      </c>
      <c r="H170" s="175">
        <f t="shared" si="32"/>
        <v>1300534.3107840288</v>
      </c>
      <c r="I170" s="37">
        <f t="shared" si="33"/>
        <v>-964.5834714432267</v>
      </c>
      <c r="J170" s="175">
        <f t="shared" si="34"/>
        <v>1172251</v>
      </c>
      <c r="K170" s="175">
        <f t="shared" si="35"/>
        <v>1090154</v>
      </c>
      <c r="L170" s="37">
        <f t="shared" si="36"/>
        <v>-713.88695652173908</v>
      </c>
      <c r="M170" s="175">
        <f t="shared" si="39"/>
        <v>280401</v>
      </c>
      <c r="N170" s="175">
        <f t="shared" si="40"/>
        <v>283851</v>
      </c>
      <c r="O170" s="37">
        <f t="shared" si="37"/>
        <v>3450</v>
      </c>
      <c r="P170" s="37">
        <f t="shared" si="38"/>
        <v>30</v>
      </c>
      <c r="Q170" s="68">
        <f t="shared" si="41"/>
        <v>1.23</v>
      </c>
      <c r="R170" s="407"/>
      <c r="S170" s="102"/>
    </row>
    <row r="171" spans="1:19">
      <c r="A171" s="102">
        <v>243</v>
      </c>
      <c r="B171" s="7" t="s">
        <v>1948</v>
      </c>
      <c r="C171" s="7">
        <v>1</v>
      </c>
      <c r="D171" s="175">
        <f t="shared" si="28"/>
        <v>9211</v>
      </c>
      <c r="E171" s="175">
        <f t="shared" si="29"/>
        <v>9321</v>
      </c>
      <c r="F171" s="37">
        <f t="shared" si="30"/>
        <v>110</v>
      </c>
      <c r="G171" s="175">
        <f t="shared" si="31"/>
        <v>109074296.63971998</v>
      </c>
      <c r="H171" s="175">
        <f t="shared" si="32"/>
        <v>112465494.00668323</v>
      </c>
      <c r="I171" s="37">
        <f t="shared" si="33"/>
        <v>363.82334159030711</v>
      </c>
      <c r="J171" s="175">
        <f t="shared" si="34"/>
        <v>85429167</v>
      </c>
      <c r="K171" s="175">
        <f t="shared" si="35"/>
        <v>87353305</v>
      </c>
      <c r="L171" s="37">
        <f t="shared" si="36"/>
        <v>206.43042591996567</v>
      </c>
      <c r="M171" s="175">
        <f t="shared" si="39"/>
        <v>26763766.287227817</v>
      </c>
      <c r="N171" s="175">
        <f t="shared" si="40"/>
        <v>27043396.287227817</v>
      </c>
      <c r="O171" s="37">
        <f t="shared" si="37"/>
        <v>279630</v>
      </c>
      <c r="P171" s="37">
        <f t="shared" si="38"/>
        <v>30</v>
      </c>
      <c r="Q171" s="68">
        <f t="shared" si="41"/>
        <v>1.04</v>
      </c>
      <c r="R171" s="407"/>
      <c r="S171" s="102"/>
    </row>
    <row r="172" spans="1:19">
      <c r="A172" s="102">
        <v>244</v>
      </c>
      <c r="B172" s="7" t="s">
        <v>1949</v>
      </c>
      <c r="C172" s="7">
        <v>1</v>
      </c>
      <c r="D172" s="175">
        <f t="shared" si="28"/>
        <v>3263</v>
      </c>
      <c r="E172" s="175">
        <f t="shared" si="29"/>
        <v>3266</v>
      </c>
      <c r="F172" s="37">
        <f t="shared" si="30"/>
        <v>3</v>
      </c>
      <c r="G172" s="175">
        <f t="shared" si="31"/>
        <v>35981002.85723</v>
      </c>
      <c r="H172" s="175">
        <f t="shared" si="32"/>
        <v>37100685.939180903</v>
      </c>
      <c r="I172" s="37">
        <f t="shared" si="33"/>
        <v>342.83009245281778</v>
      </c>
      <c r="J172" s="175">
        <f t="shared" si="34"/>
        <v>20358913</v>
      </c>
      <c r="K172" s="175">
        <f t="shared" si="35"/>
        <v>20804157</v>
      </c>
      <c r="L172" s="37">
        <f t="shared" si="36"/>
        <v>136.32700551132885</v>
      </c>
      <c r="M172" s="175">
        <f t="shared" si="39"/>
        <v>15693730</v>
      </c>
      <c r="N172" s="175">
        <f t="shared" si="40"/>
        <v>16296529</v>
      </c>
      <c r="O172" s="37">
        <f t="shared" si="37"/>
        <v>602799</v>
      </c>
      <c r="P172" s="37">
        <f t="shared" si="38"/>
        <v>184.56797305572564</v>
      </c>
      <c r="Q172" s="68">
        <f t="shared" si="41"/>
        <v>3.84</v>
      </c>
      <c r="R172" s="407"/>
      <c r="S172" s="102"/>
    </row>
    <row r="173" spans="1:19">
      <c r="A173" s="102">
        <v>246</v>
      </c>
      <c r="B173" s="7" t="s">
        <v>1951</v>
      </c>
      <c r="C173" s="7">
        <v>1</v>
      </c>
      <c r="D173" s="175">
        <f t="shared" si="28"/>
        <v>4234</v>
      </c>
      <c r="E173" s="175">
        <f t="shared" si="29"/>
        <v>4191</v>
      </c>
      <c r="F173" s="37">
        <f t="shared" si="30"/>
        <v>-43</v>
      </c>
      <c r="G173" s="175">
        <f t="shared" si="31"/>
        <v>39861932.613879994</v>
      </c>
      <c r="H173" s="175">
        <f t="shared" si="32"/>
        <v>40268620.860512272</v>
      </c>
      <c r="I173" s="37">
        <f t="shared" si="33"/>
        <v>97.038474500662844</v>
      </c>
      <c r="J173" s="175">
        <f t="shared" si="34"/>
        <v>32924851</v>
      </c>
      <c r="K173" s="175">
        <f t="shared" si="35"/>
        <v>33365588</v>
      </c>
      <c r="L173" s="37">
        <f t="shared" si="36"/>
        <v>105.16272965879266</v>
      </c>
      <c r="M173" s="175">
        <f t="shared" si="39"/>
        <v>10465569</v>
      </c>
      <c r="N173" s="175">
        <f t="shared" si="40"/>
        <v>10591299</v>
      </c>
      <c r="O173" s="37">
        <f t="shared" si="37"/>
        <v>125730</v>
      </c>
      <c r="P173" s="37">
        <f t="shared" si="38"/>
        <v>30</v>
      </c>
      <c r="Q173" s="68">
        <f t="shared" si="41"/>
        <v>1.2</v>
      </c>
      <c r="R173" s="407"/>
      <c r="S173" s="102"/>
    </row>
    <row r="174" spans="1:19">
      <c r="A174" s="102">
        <v>248</v>
      </c>
      <c r="B174" s="7" t="s">
        <v>1953</v>
      </c>
      <c r="C174" s="7">
        <v>1</v>
      </c>
      <c r="D174" s="175">
        <f t="shared" si="28"/>
        <v>7305</v>
      </c>
      <c r="E174" s="175">
        <f t="shared" si="29"/>
        <v>7655</v>
      </c>
      <c r="F174" s="37">
        <f t="shared" si="30"/>
        <v>350</v>
      </c>
      <c r="G174" s="175">
        <f t="shared" si="31"/>
        <v>82249270.676439986</v>
      </c>
      <c r="H174" s="175">
        <f t="shared" si="32"/>
        <v>88195564.570087463</v>
      </c>
      <c r="I174" s="37">
        <f t="shared" si="33"/>
        <v>776.78561641377883</v>
      </c>
      <c r="J174" s="175">
        <f t="shared" si="34"/>
        <v>30306709</v>
      </c>
      <c r="K174" s="175">
        <f t="shared" si="35"/>
        <v>31495119</v>
      </c>
      <c r="L174" s="37">
        <f t="shared" si="36"/>
        <v>155.2462442847812</v>
      </c>
      <c r="M174" s="175">
        <f t="shared" si="39"/>
        <v>56509506</v>
      </c>
      <c r="N174" s="175">
        <f t="shared" si="40"/>
        <v>60824236</v>
      </c>
      <c r="O174" s="37">
        <f t="shared" si="37"/>
        <v>4314730</v>
      </c>
      <c r="P174" s="37">
        <f t="shared" si="38"/>
        <v>563.64859568909208</v>
      </c>
      <c r="Q174" s="68">
        <f t="shared" si="41"/>
        <v>7.64</v>
      </c>
      <c r="R174" s="407"/>
      <c r="S174" s="102"/>
    </row>
    <row r="175" spans="1:19">
      <c r="A175" s="102">
        <v>249</v>
      </c>
      <c r="B175" s="7" t="s">
        <v>1954</v>
      </c>
      <c r="C175" s="7">
        <v>1</v>
      </c>
      <c r="D175" s="175">
        <f t="shared" si="28"/>
        <v>119</v>
      </c>
      <c r="E175" s="175">
        <f t="shared" si="29"/>
        <v>123</v>
      </c>
      <c r="F175" s="37">
        <f t="shared" si="30"/>
        <v>4</v>
      </c>
      <c r="G175" s="175">
        <f t="shared" si="31"/>
        <v>1203251.3800000001</v>
      </c>
      <c r="H175" s="175">
        <f t="shared" si="32"/>
        <v>1268580.5002314509</v>
      </c>
      <c r="I175" s="37">
        <f t="shared" si="33"/>
        <v>531.13105879228272</v>
      </c>
      <c r="J175" s="175">
        <f t="shared" si="34"/>
        <v>1015683</v>
      </c>
      <c r="K175" s="175">
        <f t="shared" si="35"/>
        <v>1047475</v>
      </c>
      <c r="L175" s="37">
        <f t="shared" si="36"/>
        <v>258.47154471544718</v>
      </c>
      <c r="M175" s="175">
        <f t="shared" si="39"/>
        <v>353789</v>
      </c>
      <c r="N175" s="175">
        <f t="shared" si="40"/>
        <v>357479</v>
      </c>
      <c r="O175" s="37">
        <f t="shared" si="37"/>
        <v>3690</v>
      </c>
      <c r="P175" s="37">
        <f t="shared" si="38"/>
        <v>30</v>
      </c>
      <c r="Q175" s="68">
        <f t="shared" si="41"/>
        <v>1.04</v>
      </c>
      <c r="R175" s="407"/>
      <c r="S175" s="102"/>
    </row>
    <row r="176" spans="1:19">
      <c r="A176" s="102">
        <v>250</v>
      </c>
      <c r="B176" s="7" t="s">
        <v>1955</v>
      </c>
      <c r="C176" s="7">
        <v>1</v>
      </c>
      <c r="D176" s="175">
        <f t="shared" si="28"/>
        <v>480</v>
      </c>
      <c r="E176" s="175">
        <f t="shared" si="29"/>
        <v>467</v>
      </c>
      <c r="F176" s="37">
        <f t="shared" si="30"/>
        <v>-13</v>
      </c>
      <c r="G176" s="175">
        <f t="shared" si="31"/>
        <v>4400657.959999999</v>
      </c>
      <c r="H176" s="175">
        <f t="shared" si="32"/>
        <v>4319981.4040858541</v>
      </c>
      <c r="I176" s="37">
        <f t="shared" si="33"/>
        <v>-172.75493771765517</v>
      </c>
      <c r="J176" s="175">
        <f t="shared" si="34"/>
        <v>2745493</v>
      </c>
      <c r="K176" s="175">
        <f t="shared" si="35"/>
        <v>2706641</v>
      </c>
      <c r="L176" s="37">
        <f t="shared" si="36"/>
        <v>-83.194860813704494</v>
      </c>
      <c r="M176" s="175">
        <f t="shared" si="39"/>
        <v>1788722</v>
      </c>
      <c r="N176" s="175">
        <f t="shared" si="40"/>
        <v>1802732</v>
      </c>
      <c r="O176" s="37">
        <f t="shared" si="37"/>
        <v>14010</v>
      </c>
      <c r="P176" s="37">
        <f t="shared" si="38"/>
        <v>30</v>
      </c>
      <c r="Q176" s="68">
        <f t="shared" si="41"/>
        <v>0.78</v>
      </c>
      <c r="R176" s="407"/>
      <c r="S176" s="102"/>
    </row>
    <row r="177" spans="1:19">
      <c r="A177" s="102">
        <v>251</v>
      </c>
      <c r="B177" s="7" t="s">
        <v>1956</v>
      </c>
      <c r="C177" s="7">
        <v>1</v>
      </c>
      <c r="D177" s="175">
        <f t="shared" si="28"/>
        <v>2396</v>
      </c>
      <c r="E177" s="175">
        <f t="shared" si="29"/>
        <v>2361</v>
      </c>
      <c r="F177" s="37">
        <f t="shared" si="30"/>
        <v>-35</v>
      </c>
      <c r="G177" s="175">
        <f t="shared" si="31"/>
        <v>25814155.980160002</v>
      </c>
      <c r="H177" s="175">
        <f t="shared" si="32"/>
        <v>25966055.368246898</v>
      </c>
      <c r="I177" s="37">
        <f t="shared" si="33"/>
        <v>64.336886102031514</v>
      </c>
      <c r="J177" s="175">
        <f t="shared" si="34"/>
        <v>12429362</v>
      </c>
      <c r="K177" s="175">
        <f t="shared" si="35"/>
        <v>12806197</v>
      </c>
      <c r="L177" s="37">
        <f t="shared" si="36"/>
        <v>159.60821685726387</v>
      </c>
      <c r="M177" s="175">
        <f t="shared" si="39"/>
        <v>13635665</v>
      </c>
      <c r="N177" s="175">
        <f t="shared" si="40"/>
        <v>13706495</v>
      </c>
      <c r="O177" s="37">
        <f t="shared" si="37"/>
        <v>70830</v>
      </c>
      <c r="P177" s="37">
        <f t="shared" si="38"/>
        <v>30</v>
      </c>
      <c r="Q177" s="68">
        <f t="shared" si="41"/>
        <v>0.52</v>
      </c>
      <c r="R177" s="407"/>
      <c r="S177" s="102"/>
    </row>
    <row r="178" spans="1:19">
      <c r="A178" s="102">
        <v>252</v>
      </c>
      <c r="B178" s="7" t="s">
        <v>1957</v>
      </c>
      <c r="C178" s="7">
        <v>1</v>
      </c>
      <c r="D178" s="175">
        <f t="shared" si="28"/>
        <v>758</v>
      </c>
      <c r="E178" s="175">
        <f t="shared" si="29"/>
        <v>735</v>
      </c>
      <c r="F178" s="37">
        <f t="shared" si="30"/>
        <v>-23</v>
      </c>
      <c r="G178" s="175">
        <f t="shared" si="31"/>
        <v>7673923.8114000009</v>
      </c>
      <c r="H178" s="175">
        <f t="shared" si="32"/>
        <v>7549140.3215470212</v>
      </c>
      <c r="I178" s="37">
        <f t="shared" si="33"/>
        <v>-169.77345558228541</v>
      </c>
      <c r="J178" s="175">
        <f t="shared" si="34"/>
        <v>6409651</v>
      </c>
      <c r="K178" s="175">
        <f t="shared" si="35"/>
        <v>6289613</v>
      </c>
      <c r="L178" s="37">
        <f t="shared" si="36"/>
        <v>-163.3170068027211</v>
      </c>
      <c r="M178" s="175">
        <f t="shared" si="39"/>
        <v>1439096</v>
      </c>
      <c r="N178" s="175">
        <f t="shared" si="40"/>
        <v>1461146</v>
      </c>
      <c r="O178" s="37">
        <f t="shared" si="37"/>
        <v>22050</v>
      </c>
      <c r="P178" s="37">
        <f t="shared" si="38"/>
        <v>30</v>
      </c>
      <c r="Q178" s="68">
        <f t="shared" si="41"/>
        <v>1.53</v>
      </c>
      <c r="R178" s="407"/>
      <c r="S178" s="102"/>
    </row>
    <row r="179" spans="1:19">
      <c r="A179" s="102">
        <v>253</v>
      </c>
      <c r="B179" s="7" t="s">
        <v>1958</v>
      </c>
      <c r="C179" s="7">
        <v>1</v>
      </c>
      <c r="D179" s="175">
        <f t="shared" si="28"/>
        <v>66</v>
      </c>
      <c r="E179" s="175">
        <f t="shared" si="29"/>
        <v>64</v>
      </c>
      <c r="F179" s="37">
        <f t="shared" si="30"/>
        <v>-2</v>
      </c>
      <c r="G179" s="175">
        <f t="shared" si="31"/>
        <v>642285.43000000005</v>
      </c>
      <c r="H179" s="175">
        <f t="shared" si="32"/>
        <v>637861.27157375612</v>
      </c>
      <c r="I179" s="37">
        <f t="shared" si="33"/>
        <v>-69.127475410061379</v>
      </c>
      <c r="J179" s="175">
        <f t="shared" si="34"/>
        <v>535088</v>
      </c>
      <c r="K179" s="175">
        <f t="shared" si="35"/>
        <v>530325</v>
      </c>
      <c r="L179" s="37">
        <f t="shared" si="36"/>
        <v>-74.421875</v>
      </c>
      <c r="M179" s="175">
        <f t="shared" si="39"/>
        <v>134795</v>
      </c>
      <c r="N179" s="175">
        <f t="shared" si="40"/>
        <v>136715</v>
      </c>
      <c r="O179" s="37">
        <f t="shared" si="37"/>
        <v>1920</v>
      </c>
      <c r="P179" s="37">
        <f t="shared" si="38"/>
        <v>30</v>
      </c>
      <c r="Q179" s="68">
        <f t="shared" si="41"/>
        <v>1.42</v>
      </c>
      <c r="R179" s="407"/>
      <c r="S179" s="102"/>
    </row>
    <row r="180" spans="1:19">
      <c r="A180" s="102">
        <v>258</v>
      </c>
      <c r="B180" s="7" t="s">
        <v>1963</v>
      </c>
      <c r="C180" s="7">
        <v>1</v>
      </c>
      <c r="D180" s="175">
        <f t="shared" si="28"/>
        <v>4586</v>
      </c>
      <c r="E180" s="175">
        <f t="shared" si="29"/>
        <v>4537</v>
      </c>
      <c r="F180" s="37">
        <f t="shared" si="30"/>
        <v>-49</v>
      </c>
      <c r="G180" s="175">
        <f t="shared" si="31"/>
        <v>52561026.710000008</v>
      </c>
      <c r="H180" s="175">
        <f t="shared" si="32"/>
        <v>52768572.013673805</v>
      </c>
      <c r="I180" s="37">
        <f t="shared" si="33"/>
        <v>45.74505260608251</v>
      </c>
      <c r="J180" s="175">
        <f t="shared" si="34"/>
        <v>31386760</v>
      </c>
      <c r="K180" s="175">
        <f t="shared" si="35"/>
        <v>32317455</v>
      </c>
      <c r="L180" s="37">
        <f t="shared" si="36"/>
        <v>205.1344500771435</v>
      </c>
      <c r="M180" s="175">
        <f t="shared" si="39"/>
        <v>21600632.191162799</v>
      </c>
      <c r="N180" s="175">
        <f t="shared" si="40"/>
        <v>21736742.191162799</v>
      </c>
      <c r="O180" s="37">
        <f t="shared" si="37"/>
        <v>136110</v>
      </c>
      <c r="P180" s="37">
        <f t="shared" si="38"/>
        <v>30</v>
      </c>
      <c r="Q180" s="68">
        <f t="shared" si="41"/>
        <v>0.63</v>
      </c>
      <c r="R180" s="407"/>
      <c r="S180" s="102"/>
    </row>
    <row r="181" spans="1:19">
      <c r="A181" s="102">
        <v>261</v>
      </c>
      <c r="B181" s="7" t="s">
        <v>1966</v>
      </c>
      <c r="C181" s="7">
        <v>1</v>
      </c>
      <c r="D181" s="175">
        <f t="shared" si="28"/>
        <v>2960</v>
      </c>
      <c r="E181" s="175">
        <f t="shared" si="29"/>
        <v>2886</v>
      </c>
      <c r="F181" s="37">
        <f t="shared" si="30"/>
        <v>-74</v>
      </c>
      <c r="G181" s="175">
        <f t="shared" si="31"/>
        <v>27982398.590000007</v>
      </c>
      <c r="H181" s="175">
        <f t="shared" si="32"/>
        <v>28141702.856564838</v>
      </c>
      <c r="I181" s="37">
        <f t="shared" si="33"/>
        <v>55.198983563697553</v>
      </c>
      <c r="J181" s="175">
        <f t="shared" si="34"/>
        <v>23359532</v>
      </c>
      <c r="K181" s="175">
        <f t="shared" si="35"/>
        <v>23400169</v>
      </c>
      <c r="L181" s="37">
        <f t="shared" si="36"/>
        <v>14.08073458073458</v>
      </c>
      <c r="M181" s="175">
        <f t="shared" si="39"/>
        <v>6902818</v>
      </c>
      <c r="N181" s="175">
        <f t="shared" si="40"/>
        <v>6989398</v>
      </c>
      <c r="O181" s="37">
        <f t="shared" si="37"/>
        <v>86580</v>
      </c>
      <c r="P181" s="37">
        <f t="shared" si="38"/>
        <v>30</v>
      </c>
      <c r="Q181" s="68">
        <f t="shared" si="41"/>
        <v>1.25</v>
      </c>
      <c r="R181" s="407"/>
      <c r="S181" s="102"/>
    </row>
    <row r="182" spans="1:19">
      <c r="A182" s="102">
        <v>262</v>
      </c>
      <c r="B182" s="7" t="s">
        <v>1967</v>
      </c>
      <c r="C182" s="7">
        <v>1</v>
      </c>
      <c r="D182" s="175">
        <f t="shared" si="28"/>
        <v>2742</v>
      </c>
      <c r="E182" s="175">
        <f t="shared" si="29"/>
        <v>2678</v>
      </c>
      <c r="F182" s="37">
        <f t="shared" si="30"/>
        <v>-64</v>
      </c>
      <c r="G182" s="175">
        <f t="shared" si="31"/>
        <v>27795391.629999999</v>
      </c>
      <c r="H182" s="175">
        <f t="shared" si="32"/>
        <v>27708148.930856943</v>
      </c>
      <c r="I182" s="37">
        <f t="shared" si="33"/>
        <v>-32.5775575590201</v>
      </c>
      <c r="J182" s="175">
        <f t="shared" si="34"/>
        <v>23261068</v>
      </c>
      <c r="K182" s="175">
        <f t="shared" si="35"/>
        <v>23048854</v>
      </c>
      <c r="L182" s="37">
        <f t="shared" si="36"/>
        <v>-79.243465272591493</v>
      </c>
      <c r="M182" s="175">
        <f t="shared" si="39"/>
        <v>5488812.0180176003</v>
      </c>
      <c r="N182" s="175">
        <f t="shared" si="40"/>
        <v>5569152.0180176003</v>
      </c>
      <c r="O182" s="37">
        <f t="shared" si="37"/>
        <v>80340</v>
      </c>
      <c r="P182" s="37">
        <f t="shared" si="38"/>
        <v>30</v>
      </c>
      <c r="Q182" s="68">
        <f t="shared" si="41"/>
        <v>1.46</v>
      </c>
      <c r="R182" s="407"/>
      <c r="S182" s="102"/>
    </row>
    <row r="183" spans="1:19">
      <c r="A183" s="102">
        <v>263</v>
      </c>
      <c r="B183" s="7" t="s">
        <v>1968</v>
      </c>
      <c r="C183" s="7">
        <v>1</v>
      </c>
      <c r="D183" s="175">
        <f t="shared" si="28"/>
        <v>66</v>
      </c>
      <c r="E183" s="175">
        <f t="shared" si="29"/>
        <v>60</v>
      </c>
      <c r="F183" s="37">
        <f t="shared" si="30"/>
        <v>-6</v>
      </c>
      <c r="G183" s="175">
        <f t="shared" si="31"/>
        <v>644284.77</v>
      </c>
      <c r="H183" s="175">
        <f t="shared" si="32"/>
        <v>634366.34950279677</v>
      </c>
      <c r="I183" s="37">
        <f t="shared" si="33"/>
        <v>-165.30700828672076</v>
      </c>
      <c r="J183" s="175">
        <f t="shared" si="34"/>
        <v>314279</v>
      </c>
      <c r="K183" s="175">
        <f t="shared" si="35"/>
        <v>316323</v>
      </c>
      <c r="L183" s="37">
        <f t="shared" si="36"/>
        <v>34.06666666666667</v>
      </c>
      <c r="M183" s="175">
        <f t="shared" si="39"/>
        <v>510509</v>
      </c>
      <c r="N183" s="175">
        <f t="shared" si="40"/>
        <v>512309</v>
      </c>
      <c r="O183" s="37">
        <f t="shared" si="37"/>
        <v>1800</v>
      </c>
      <c r="P183" s="37">
        <f t="shared" si="38"/>
        <v>30</v>
      </c>
      <c r="Q183" s="68">
        <f t="shared" si="41"/>
        <v>0.35</v>
      </c>
      <c r="R183" s="407"/>
      <c r="S183" s="102"/>
    </row>
    <row r="184" spans="1:19">
      <c r="A184" s="102">
        <v>264</v>
      </c>
      <c r="B184" s="7" t="s">
        <v>1969</v>
      </c>
      <c r="C184" s="7">
        <v>1</v>
      </c>
      <c r="D184" s="175">
        <f t="shared" si="28"/>
        <v>2918</v>
      </c>
      <c r="E184" s="175">
        <f t="shared" si="29"/>
        <v>2932</v>
      </c>
      <c r="F184" s="37">
        <f t="shared" si="30"/>
        <v>14</v>
      </c>
      <c r="G184" s="175">
        <f t="shared" si="31"/>
        <v>27740691.55742</v>
      </c>
      <c r="H184" s="175">
        <f t="shared" si="32"/>
        <v>28537003.198598668</v>
      </c>
      <c r="I184" s="37">
        <f t="shared" si="33"/>
        <v>271.59332918781297</v>
      </c>
      <c r="J184" s="175">
        <f t="shared" si="34"/>
        <v>23172735</v>
      </c>
      <c r="K184" s="175">
        <f t="shared" si="35"/>
        <v>23614603</v>
      </c>
      <c r="L184" s="37">
        <f t="shared" si="36"/>
        <v>150.70532060027284</v>
      </c>
      <c r="M184" s="175">
        <f t="shared" si="39"/>
        <v>5346391</v>
      </c>
      <c r="N184" s="175">
        <f t="shared" si="40"/>
        <v>5434351</v>
      </c>
      <c r="O184" s="37">
        <f t="shared" si="37"/>
        <v>87960</v>
      </c>
      <c r="P184" s="37">
        <f t="shared" si="38"/>
        <v>30</v>
      </c>
      <c r="Q184" s="68">
        <f t="shared" si="41"/>
        <v>1.65</v>
      </c>
      <c r="R184" s="407"/>
      <c r="S184" s="102"/>
    </row>
    <row r="185" spans="1:19">
      <c r="A185" s="102">
        <v>265</v>
      </c>
      <c r="B185" s="7" t="s">
        <v>1970</v>
      </c>
      <c r="C185" s="7">
        <v>1</v>
      </c>
      <c r="D185" s="175">
        <f t="shared" si="28"/>
        <v>1940</v>
      </c>
      <c r="E185" s="175">
        <f t="shared" si="29"/>
        <v>1912</v>
      </c>
      <c r="F185" s="37">
        <f t="shared" si="30"/>
        <v>-28</v>
      </c>
      <c r="G185" s="175">
        <f t="shared" si="31"/>
        <v>18466575.149999999</v>
      </c>
      <c r="H185" s="175">
        <f t="shared" si="32"/>
        <v>18642353.387814865</v>
      </c>
      <c r="I185" s="37">
        <f t="shared" si="33"/>
        <v>91.934224798570085</v>
      </c>
      <c r="J185" s="175">
        <f t="shared" si="34"/>
        <v>14127909</v>
      </c>
      <c r="K185" s="175">
        <f t="shared" si="35"/>
        <v>14172922</v>
      </c>
      <c r="L185" s="37">
        <f t="shared" si="36"/>
        <v>23.542364016736403</v>
      </c>
      <c r="M185" s="175">
        <f t="shared" si="39"/>
        <v>5086214.9737716876</v>
      </c>
      <c r="N185" s="175">
        <f t="shared" si="40"/>
        <v>5143574.9737716876</v>
      </c>
      <c r="O185" s="37">
        <f t="shared" si="37"/>
        <v>57360</v>
      </c>
      <c r="P185" s="37">
        <f t="shared" si="38"/>
        <v>30</v>
      </c>
      <c r="Q185" s="68">
        <f t="shared" si="41"/>
        <v>1.1299999999999999</v>
      </c>
      <c r="R185" s="407"/>
      <c r="S185" s="102"/>
    </row>
    <row r="186" spans="1:19">
      <c r="A186" s="102">
        <v>266</v>
      </c>
      <c r="B186" s="7" t="s">
        <v>1971</v>
      </c>
      <c r="C186" s="7">
        <v>1</v>
      </c>
      <c r="D186" s="175">
        <f t="shared" si="28"/>
        <v>3418</v>
      </c>
      <c r="E186" s="175">
        <f t="shared" si="29"/>
        <v>3401</v>
      </c>
      <c r="F186" s="37">
        <f t="shared" si="30"/>
        <v>-17</v>
      </c>
      <c r="G186" s="175">
        <f t="shared" si="31"/>
        <v>32581200.061299995</v>
      </c>
      <c r="H186" s="175">
        <f t="shared" si="32"/>
        <v>33110463.782192025</v>
      </c>
      <c r="I186" s="37">
        <f t="shared" si="33"/>
        <v>155.62002966540157</v>
      </c>
      <c r="J186" s="175">
        <f t="shared" si="34"/>
        <v>26421487</v>
      </c>
      <c r="K186" s="175">
        <f t="shared" si="35"/>
        <v>27317316</v>
      </c>
      <c r="L186" s="37">
        <f t="shared" si="36"/>
        <v>263.40164657453693</v>
      </c>
      <c r="M186" s="175">
        <f t="shared" si="39"/>
        <v>7138517</v>
      </c>
      <c r="N186" s="175">
        <f t="shared" si="40"/>
        <v>7240547</v>
      </c>
      <c r="O186" s="37">
        <f t="shared" si="37"/>
        <v>102030</v>
      </c>
      <c r="P186" s="37">
        <f t="shared" si="38"/>
        <v>30</v>
      </c>
      <c r="Q186" s="68">
        <f t="shared" si="41"/>
        <v>1.43</v>
      </c>
      <c r="R186" s="407"/>
      <c r="S186" s="102"/>
    </row>
    <row r="187" spans="1:19">
      <c r="A187" s="102">
        <v>269</v>
      </c>
      <c r="B187" s="7" t="s">
        <v>1974</v>
      </c>
      <c r="C187" s="7">
        <v>1</v>
      </c>
      <c r="D187" s="175">
        <f t="shared" si="28"/>
        <v>383</v>
      </c>
      <c r="E187" s="175">
        <f t="shared" si="29"/>
        <v>415</v>
      </c>
      <c r="F187" s="37">
        <f t="shared" si="30"/>
        <v>32</v>
      </c>
      <c r="G187" s="175">
        <f t="shared" si="31"/>
        <v>3478451.7794499998</v>
      </c>
      <c r="H187" s="175">
        <f t="shared" si="32"/>
        <v>3806638.9460125784</v>
      </c>
      <c r="I187" s="37">
        <f t="shared" si="33"/>
        <v>790.81244954838223</v>
      </c>
      <c r="J187" s="175">
        <f t="shared" si="34"/>
        <v>2909277</v>
      </c>
      <c r="K187" s="175">
        <f t="shared" si="35"/>
        <v>3143918</v>
      </c>
      <c r="L187" s="37">
        <f t="shared" si="36"/>
        <v>565.4</v>
      </c>
      <c r="M187" s="175">
        <f t="shared" si="39"/>
        <v>575738</v>
      </c>
      <c r="N187" s="175">
        <f t="shared" si="40"/>
        <v>662721</v>
      </c>
      <c r="O187" s="37">
        <f t="shared" si="37"/>
        <v>86983</v>
      </c>
      <c r="P187" s="37">
        <f t="shared" si="38"/>
        <v>209.59759036144578</v>
      </c>
      <c r="Q187" s="68">
        <f t="shared" si="41"/>
        <v>15.11</v>
      </c>
      <c r="R187" s="407"/>
      <c r="S187" s="102"/>
    </row>
    <row r="188" spans="1:19">
      <c r="A188" s="102">
        <v>271</v>
      </c>
      <c r="B188" s="7" t="s">
        <v>1976</v>
      </c>
      <c r="C188" s="7">
        <v>1</v>
      </c>
      <c r="D188" s="175">
        <f t="shared" si="28"/>
        <v>5986</v>
      </c>
      <c r="E188" s="175">
        <f t="shared" si="29"/>
        <v>6039</v>
      </c>
      <c r="F188" s="37">
        <f t="shared" si="30"/>
        <v>53</v>
      </c>
      <c r="G188" s="175">
        <f t="shared" si="31"/>
        <v>56301993.68999999</v>
      </c>
      <c r="H188" s="175">
        <f t="shared" si="32"/>
        <v>58194036.86341849</v>
      </c>
      <c r="I188" s="37">
        <f t="shared" si="33"/>
        <v>313.30405256143393</v>
      </c>
      <c r="J188" s="175">
        <f t="shared" si="34"/>
        <v>42573214</v>
      </c>
      <c r="K188" s="175">
        <f t="shared" si="35"/>
        <v>44655044</v>
      </c>
      <c r="L188" s="37">
        <f t="shared" si="36"/>
        <v>344.73091571452227</v>
      </c>
      <c r="M188" s="175">
        <f t="shared" si="39"/>
        <v>19524868</v>
      </c>
      <c r="N188" s="175">
        <f t="shared" si="40"/>
        <v>19706038</v>
      </c>
      <c r="O188" s="37">
        <f t="shared" si="37"/>
        <v>181170</v>
      </c>
      <c r="P188" s="37">
        <f t="shared" si="38"/>
        <v>30</v>
      </c>
      <c r="Q188" s="68">
        <f t="shared" si="41"/>
        <v>0.93</v>
      </c>
      <c r="R188" s="407"/>
      <c r="S188" s="102"/>
    </row>
    <row r="189" spans="1:19">
      <c r="A189" s="102">
        <v>272</v>
      </c>
      <c r="B189" s="7" t="s">
        <v>1977</v>
      </c>
      <c r="C189" s="7">
        <v>1</v>
      </c>
      <c r="D189" s="175">
        <f t="shared" si="28"/>
        <v>118</v>
      </c>
      <c r="E189" s="175">
        <f t="shared" si="29"/>
        <v>116</v>
      </c>
      <c r="F189" s="37">
        <f t="shared" si="30"/>
        <v>-2</v>
      </c>
      <c r="G189" s="175">
        <f t="shared" si="31"/>
        <v>1115064.6000000001</v>
      </c>
      <c r="H189" s="175">
        <f t="shared" si="32"/>
        <v>1157848.556575418</v>
      </c>
      <c r="I189" s="37">
        <f t="shared" si="33"/>
        <v>368.82721185705077</v>
      </c>
      <c r="J189" s="175">
        <f t="shared" si="34"/>
        <v>624029</v>
      </c>
      <c r="K189" s="175">
        <f t="shared" si="35"/>
        <v>680124</v>
      </c>
      <c r="L189" s="37">
        <f t="shared" si="36"/>
        <v>483.57758620689657</v>
      </c>
      <c r="M189" s="175">
        <f t="shared" si="39"/>
        <v>619856</v>
      </c>
      <c r="N189" s="175">
        <f t="shared" si="40"/>
        <v>623336</v>
      </c>
      <c r="O189" s="37">
        <f t="shared" si="37"/>
        <v>3480</v>
      </c>
      <c r="P189" s="37">
        <f t="shared" si="38"/>
        <v>30</v>
      </c>
      <c r="Q189" s="68">
        <f t="shared" si="41"/>
        <v>0.56000000000000005</v>
      </c>
      <c r="R189" s="407"/>
      <c r="S189" s="102"/>
    </row>
    <row r="190" spans="1:19">
      <c r="A190" s="102">
        <v>273</v>
      </c>
      <c r="B190" s="7" t="s">
        <v>1978</v>
      </c>
      <c r="C190" s="7">
        <v>1</v>
      </c>
      <c r="D190" s="175">
        <f t="shared" si="28"/>
        <v>1778</v>
      </c>
      <c r="E190" s="175">
        <f t="shared" si="29"/>
        <v>1804</v>
      </c>
      <c r="F190" s="37">
        <f t="shared" si="30"/>
        <v>26</v>
      </c>
      <c r="G190" s="175">
        <f t="shared" si="31"/>
        <v>16558627.16</v>
      </c>
      <c r="H190" s="175">
        <f t="shared" si="32"/>
        <v>17125371.876508925</v>
      </c>
      <c r="I190" s="37">
        <f t="shared" si="33"/>
        <v>314.16004241071226</v>
      </c>
      <c r="J190" s="175">
        <f t="shared" si="34"/>
        <v>10170448</v>
      </c>
      <c r="K190" s="175">
        <f t="shared" si="35"/>
        <v>9582995</v>
      </c>
      <c r="L190" s="37">
        <f t="shared" si="36"/>
        <v>-325.6391352549889</v>
      </c>
      <c r="M190" s="175">
        <f t="shared" si="39"/>
        <v>6388179</v>
      </c>
      <c r="N190" s="175">
        <f t="shared" si="40"/>
        <v>7542377</v>
      </c>
      <c r="O190" s="37">
        <f t="shared" si="37"/>
        <v>1154198</v>
      </c>
      <c r="P190" s="37">
        <f t="shared" si="38"/>
        <v>639.79933481152989</v>
      </c>
      <c r="Q190" s="68">
        <f t="shared" si="41"/>
        <v>18.07</v>
      </c>
      <c r="R190" s="407"/>
      <c r="S190" s="102"/>
    </row>
    <row r="191" spans="1:19">
      <c r="A191" s="102">
        <v>274</v>
      </c>
      <c r="B191" s="7" t="s">
        <v>1979</v>
      </c>
      <c r="C191" s="7">
        <v>1</v>
      </c>
      <c r="D191" s="175">
        <f t="shared" si="28"/>
        <v>5322</v>
      </c>
      <c r="E191" s="175">
        <f t="shared" si="29"/>
        <v>5353</v>
      </c>
      <c r="F191" s="37">
        <f t="shared" si="30"/>
        <v>31</v>
      </c>
      <c r="G191" s="175">
        <f t="shared" si="31"/>
        <v>62011654.562320009</v>
      </c>
      <c r="H191" s="175">
        <f t="shared" si="32"/>
        <v>64130648.10950844</v>
      </c>
      <c r="I191" s="37">
        <f t="shared" si="33"/>
        <v>395.8515873694061</v>
      </c>
      <c r="J191" s="175">
        <f t="shared" si="34"/>
        <v>51954315</v>
      </c>
      <c r="K191" s="175">
        <f t="shared" si="35"/>
        <v>53229236</v>
      </c>
      <c r="L191" s="37">
        <f t="shared" si="36"/>
        <v>238.16943769848683</v>
      </c>
      <c r="M191" s="175">
        <f t="shared" si="39"/>
        <v>20010098</v>
      </c>
      <c r="N191" s="175">
        <f t="shared" si="40"/>
        <v>20170688</v>
      </c>
      <c r="O191" s="37">
        <f t="shared" si="37"/>
        <v>160590</v>
      </c>
      <c r="P191" s="37">
        <f t="shared" si="38"/>
        <v>30</v>
      </c>
      <c r="Q191" s="68">
        <f t="shared" si="41"/>
        <v>0.8</v>
      </c>
      <c r="R191" s="407"/>
      <c r="S191" s="102"/>
    </row>
    <row r="192" spans="1:19">
      <c r="A192" s="102">
        <v>275</v>
      </c>
      <c r="B192" s="7" t="s">
        <v>1980</v>
      </c>
      <c r="C192" s="7">
        <v>1</v>
      </c>
      <c r="D192" s="175">
        <f t="shared" si="28"/>
        <v>492</v>
      </c>
      <c r="E192" s="175">
        <f t="shared" si="29"/>
        <v>492</v>
      </c>
      <c r="F192" s="37">
        <f t="shared" si="30"/>
        <v>0</v>
      </c>
      <c r="G192" s="175">
        <f t="shared" si="31"/>
        <v>4702769.24</v>
      </c>
      <c r="H192" s="175">
        <f t="shared" si="32"/>
        <v>4863203.5231375461</v>
      </c>
      <c r="I192" s="37">
        <f t="shared" si="33"/>
        <v>326.08594133647546</v>
      </c>
      <c r="J192" s="175">
        <f t="shared" si="34"/>
        <v>3078158</v>
      </c>
      <c r="K192" s="175">
        <f t="shared" si="35"/>
        <v>3146804</v>
      </c>
      <c r="L192" s="37">
        <f t="shared" si="36"/>
        <v>139.52439024390245</v>
      </c>
      <c r="M192" s="175">
        <f t="shared" si="39"/>
        <v>2507986</v>
      </c>
      <c r="N192" s="175">
        <f t="shared" si="40"/>
        <v>2522746</v>
      </c>
      <c r="O192" s="37">
        <f t="shared" si="37"/>
        <v>14760</v>
      </c>
      <c r="P192" s="37">
        <f t="shared" si="38"/>
        <v>30</v>
      </c>
      <c r="Q192" s="68">
        <f t="shared" si="41"/>
        <v>0.59</v>
      </c>
      <c r="R192" s="407"/>
      <c r="S192" s="102"/>
    </row>
    <row r="193" spans="1:19">
      <c r="A193" s="102">
        <v>276</v>
      </c>
      <c r="B193" s="7" t="s">
        <v>1981</v>
      </c>
      <c r="C193" s="7">
        <v>1</v>
      </c>
      <c r="D193" s="175">
        <f t="shared" si="28"/>
        <v>1234</v>
      </c>
      <c r="E193" s="175">
        <f t="shared" si="29"/>
        <v>1235</v>
      </c>
      <c r="F193" s="37">
        <f t="shared" si="30"/>
        <v>1</v>
      </c>
      <c r="G193" s="175">
        <f t="shared" si="31"/>
        <v>11260409.134279998</v>
      </c>
      <c r="H193" s="175">
        <f t="shared" si="32"/>
        <v>11409894.389389778</v>
      </c>
      <c r="I193" s="37">
        <f t="shared" si="33"/>
        <v>121.04069239658261</v>
      </c>
      <c r="J193" s="175">
        <f t="shared" si="34"/>
        <v>9485040</v>
      </c>
      <c r="K193" s="175">
        <f t="shared" si="35"/>
        <v>9486965</v>
      </c>
      <c r="L193" s="37">
        <f t="shared" si="36"/>
        <v>1.5587044534412955</v>
      </c>
      <c r="M193" s="175">
        <f t="shared" si="39"/>
        <v>2877481</v>
      </c>
      <c r="N193" s="175">
        <f t="shared" si="40"/>
        <v>2914531</v>
      </c>
      <c r="O193" s="37">
        <f t="shared" si="37"/>
        <v>37050</v>
      </c>
      <c r="P193" s="37">
        <f t="shared" si="38"/>
        <v>30</v>
      </c>
      <c r="Q193" s="68">
        <f t="shared" si="41"/>
        <v>1.29</v>
      </c>
      <c r="R193" s="407"/>
      <c r="S193" s="102"/>
    </row>
    <row r="194" spans="1:19">
      <c r="A194" s="102">
        <v>277</v>
      </c>
      <c r="B194" s="7" t="s">
        <v>1982</v>
      </c>
      <c r="C194" s="7">
        <v>1</v>
      </c>
      <c r="D194" s="175">
        <f t="shared" ref="D194:D259" si="42">VLOOKUP(A194,aidcalc,17)</f>
        <v>2411</v>
      </c>
      <c r="E194" s="175">
        <f t="shared" ref="E194:E259" si="43">VLOOKUP(A194,aidcalc,18)</f>
        <v>2380</v>
      </c>
      <c r="F194" s="37">
        <f t="shared" ref="F194:F259" si="44">E194-D194</f>
        <v>-31</v>
      </c>
      <c r="G194" s="175">
        <f t="shared" ref="G194:G259" si="45">VLOOKUP(A194,aidcalc,4)</f>
        <v>27951569.609999992</v>
      </c>
      <c r="H194" s="175">
        <f t="shared" ref="H194:H259" si="46">VLOOKUP(A194,aidcalc,6)</f>
        <v>28503932.0841102</v>
      </c>
      <c r="I194" s="37">
        <f t="shared" ref="I194:I259" si="47">(H194-G194)/$E194</f>
        <v>232.08507315554976</v>
      </c>
      <c r="J194" s="175">
        <f t="shared" ref="J194:J259" si="48">SUMIF(dist1755,A194,pynetmin)</f>
        <v>7518500</v>
      </c>
      <c r="K194" s="175">
        <f t="shared" ref="K194:K259" si="49">VLOOKUP(A194,aidcalc,7)</f>
        <v>7316033</v>
      </c>
      <c r="L194" s="37">
        <f t="shared" ref="L194:L259" si="50">(K194-J194)/$E194</f>
        <v>-85.070168067226888</v>
      </c>
      <c r="M194" s="175">
        <f t="shared" si="39"/>
        <v>20433070</v>
      </c>
      <c r="N194" s="175">
        <f t="shared" si="40"/>
        <v>21187899</v>
      </c>
      <c r="O194" s="37">
        <f t="shared" ref="O194:O244" si="51">N194-M194</f>
        <v>754829</v>
      </c>
      <c r="P194" s="37">
        <f t="shared" ref="P194:P244" si="52">(N194-M194)/$E194</f>
        <v>317.1550420168067</v>
      </c>
      <c r="Q194" s="68">
        <f t="shared" si="41"/>
        <v>3.69</v>
      </c>
      <c r="R194" s="407"/>
      <c r="S194" s="102"/>
    </row>
    <row r="195" spans="1:19">
      <c r="A195" s="102">
        <v>278</v>
      </c>
      <c r="B195" s="7" t="s">
        <v>1983</v>
      </c>
      <c r="C195" s="7">
        <v>1</v>
      </c>
      <c r="D195" s="175">
        <f t="shared" si="42"/>
        <v>1891</v>
      </c>
      <c r="E195" s="175">
        <f t="shared" si="43"/>
        <v>1900</v>
      </c>
      <c r="F195" s="37">
        <f t="shared" si="44"/>
        <v>9</v>
      </c>
      <c r="G195" s="175">
        <f t="shared" si="45"/>
        <v>19049378.099999998</v>
      </c>
      <c r="H195" s="175">
        <f t="shared" si="46"/>
        <v>19637074.331034068</v>
      </c>
      <c r="I195" s="37">
        <f t="shared" si="47"/>
        <v>309.3138058074054</v>
      </c>
      <c r="J195" s="175">
        <f t="shared" si="48"/>
        <v>12973564</v>
      </c>
      <c r="K195" s="175">
        <f t="shared" si="49"/>
        <v>12896757</v>
      </c>
      <c r="L195" s="37">
        <f t="shared" si="50"/>
        <v>-40.424736842105261</v>
      </c>
      <c r="M195" s="175">
        <f t="shared" si="39"/>
        <v>7876784</v>
      </c>
      <c r="N195" s="175">
        <f t="shared" si="40"/>
        <v>7933784</v>
      </c>
      <c r="O195" s="37">
        <f t="shared" si="51"/>
        <v>57000</v>
      </c>
      <c r="P195" s="37">
        <f t="shared" si="52"/>
        <v>30</v>
      </c>
      <c r="Q195" s="68">
        <f t="shared" si="41"/>
        <v>0.72</v>
      </c>
      <c r="R195" s="407"/>
      <c r="S195" s="102"/>
    </row>
    <row r="196" spans="1:19">
      <c r="A196" s="102">
        <v>281</v>
      </c>
      <c r="B196" s="7" t="s">
        <v>1986</v>
      </c>
      <c r="C196" s="7">
        <v>1</v>
      </c>
      <c r="D196" s="175">
        <f t="shared" si="42"/>
        <v>29109</v>
      </c>
      <c r="E196" s="175">
        <f t="shared" si="43"/>
        <v>29533</v>
      </c>
      <c r="F196" s="37">
        <f t="shared" si="44"/>
        <v>424</v>
      </c>
      <c r="G196" s="175">
        <f t="shared" si="45"/>
        <v>356553651.79000002</v>
      </c>
      <c r="H196" s="175">
        <f t="shared" si="46"/>
        <v>370375982.61382222</v>
      </c>
      <c r="I196" s="37">
        <f t="shared" si="47"/>
        <v>468.03002823357599</v>
      </c>
      <c r="J196" s="175">
        <f t="shared" si="48"/>
        <v>36682622</v>
      </c>
      <c r="K196" s="175">
        <f t="shared" si="49"/>
        <v>37357582</v>
      </c>
      <c r="L196" s="37">
        <f t="shared" si="50"/>
        <v>22.854434022957371</v>
      </c>
      <c r="M196" s="175">
        <f t="shared" si="39"/>
        <v>319871030</v>
      </c>
      <c r="N196" s="175">
        <f t="shared" si="40"/>
        <v>333018401</v>
      </c>
      <c r="O196" s="37">
        <f t="shared" si="51"/>
        <v>13147371</v>
      </c>
      <c r="P196" s="37">
        <f t="shared" si="52"/>
        <v>445.17560017607423</v>
      </c>
      <c r="Q196" s="68">
        <f t="shared" si="41"/>
        <v>4.1100000000000003</v>
      </c>
      <c r="R196" s="407"/>
      <c r="S196" s="102"/>
    </row>
    <row r="197" spans="1:19">
      <c r="A197" s="102">
        <v>284</v>
      </c>
      <c r="B197" s="7" t="s">
        <v>1989</v>
      </c>
      <c r="C197" s="7">
        <v>1</v>
      </c>
      <c r="D197" s="175">
        <f t="shared" si="42"/>
        <v>2415</v>
      </c>
      <c r="E197" s="175">
        <f t="shared" si="43"/>
        <v>2425</v>
      </c>
      <c r="F197" s="37">
        <f t="shared" si="44"/>
        <v>10</v>
      </c>
      <c r="G197" s="175">
        <f t="shared" si="45"/>
        <v>23858093.313949995</v>
      </c>
      <c r="H197" s="175">
        <f t="shared" si="46"/>
        <v>24538424.857372392</v>
      </c>
      <c r="I197" s="37">
        <f t="shared" si="47"/>
        <v>280.54909007109165</v>
      </c>
      <c r="J197" s="175">
        <f t="shared" si="48"/>
        <v>19851817</v>
      </c>
      <c r="K197" s="175">
        <f t="shared" si="49"/>
        <v>20290210</v>
      </c>
      <c r="L197" s="37">
        <f t="shared" si="50"/>
        <v>180.78061855670103</v>
      </c>
      <c r="M197" s="175">
        <f t="shared" si="39"/>
        <v>4059406</v>
      </c>
      <c r="N197" s="175">
        <f t="shared" si="40"/>
        <v>4269807</v>
      </c>
      <c r="O197" s="37">
        <f t="shared" si="51"/>
        <v>210401</v>
      </c>
      <c r="P197" s="37">
        <f t="shared" si="52"/>
        <v>86.763298969072167</v>
      </c>
      <c r="Q197" s="68">
        <f t="shared" si="41"/>
        <v>5.18</v>
      </c>
      <c r="R197" s="407"/>
      <c r="S197" s="102"/>
    </row>
    <row r="198" spans="1:19">
      <c r="A198" s="102">
        <v>285</v>
      </c>
      <c r="B198" s="7" t="s">
        <v>1990</v>
      </c>
      <c r="C198" s="7">
        <v>1</v>
      </c>
      <c r="D198" s="175">
        <f t="shared" si="42"/>
        <v>3684</v>
      </c>
      <c r="E198" s="175">
        <f t="shared" si="43"/>
        <v>3651</v>
      </c>
      <c r="F198" s="37">
        <f t="shared" si="44"/>
        <v>-33</v>
      </c>
      <c r="G198" s="175">
        <f t="shared" si="45"/>
        <v>38325837.797450006</v>
      </c>
      <c r="H198" s="175">
        <f t="shared" si="46"/>
        <v>38830414.515473194</v>
      </c>
      <c r="I198" s="37">
        <f t="shared" si="47"/>
        <v>138.20233306578703</v>
      </c>
      <c r="J198" s="175">
        <f t="shared" si="48"/>
        <v>22995806</v>
      </c>
      <c r="K198" s="175">
        <f t="shared" si="49"/>
        <v>23973760</v>
      </c>
      <c r="L198" s="37">
        <f t="shared" si="50"/>
        <v>267.85921665297178</v>
      </c>
      <c r="M198" s="175">
        <f t="shared" si="39"/>
        <v>15330032</v>
      </c>
      <c r="N198" s="175">
        <f t="shared" si="40"/>
        <v>15439562</v>
      </c>
      <c r="O198" s="37">
        <f t="shared" si="51"/>
        <v>109530</v>
      </c>
      <c r="P198" s="37">
        <f t="shared" si="52"/>
        <v>30</v>
      </c>
      <c r="Q198" s="68">
        <f t="shared" si="41"/>
        <v>0.71</v>
      </c>
      <c r="R198" s="407"/>
      <c r="S198" s="102"/>
    </row>
    <row r="199" spans="1:19">
      <c r="A199" s="102">
        <v>287</v>
      </c>
      <c r="B199" s="7" t="s">
        <v>1992</v>
      </c>
      <c r="C199" s="7">
        <v>1</v>
      </c>
      <c r="D199" s="175">
        <f t="shared" si="42"/>
        <v>933</v>
      </c>
      <c r="E199" s="175">
        <f t="shared" si="43"/>
        <v>871</v>
      </c>
      <c r="F199" s="37">
        <f t="shared" si="44"/>
        <v>-62</v>
      </c>
      <c r="G199" s="175">
        <f t="shared" si="45"/>
        <v>8568351.209999999</v>
      </c>
      <c r="H199" s="175">
        <f t="shared" si="46"/>
        <v>8170415.9676968697</v>
      </c>
      <c r="I199" s="37">
        <f t="shared" si="47"/>
        <v>-456.87169035950552</v>
      </c>
      <c r="J199" s="175">
        <f t="shared" si="48"/>
        <v>4799267</v>
      </c>
      <c r="K199" s="175">
        <f t="shared" si="49"/>
        <v>4697967</v>
      </c>
      <c r="L199" s="37">
        <f t="shared" si="50"/>
        <v>-116.30309988518944</v>
      </c>
      <c r="M199" s="175">
        <f t="shared" si="39"/>
        <v>3769084</v>
      </c>
      <c r="N199" s="175">
        <f t="shared" si="40"/>
        <v>3795214</v>
      </c>
      <c r="O199" s="37">
        <f t="shared" si="51"/>
        <v>26130</v>
      </c>
      <c r="P199" s="37">
        <f t="shared" si="52"/>
        <v>30</v>
      </c>
      <c r="Q199" s="68">
        <f t="shared" si="41"/>
        <v>0.69</v>
      </c>
      <c r="R199" s="407"/>
      <c r="S199" s="102"/>
    </row>
    <row r="200" spans="1:19">
      <c r="A200" s="102">
        <v>288</v>
      </c>
      <c r="B200" s="7" t="s">
        <v>1993</v>
      </c>
      <c r="C200" s="7">
        <v>1</v>
      </c>
      <c r="D200" s="175">
        <f t="shared" si="42"/>
        <v>2803</v>
      </c>
      <c r="E200" s="175">
        <f t="shared" si="43"/>
        <v>2788</v>
      </c>
      <c r="F200" s="37">
        <f t="shared" si="44"/>
        <v>-15</v>
      </c>
      <c r="G200" s="175">
        <f t="shared" si="45"/>
        <v>25153175.96328</v>
      </c>
      <c r="H200" s="175">
        <f t="shared" si="46"/>
        <v>25474395.707632355</v>
      </c>
      <c r="I200" s="37">
        <f t="shared" si="47"/>
        <v>115.21511633872151</v>
      </c>
      <c r="J200" s="175">
        <f t="shared" si="48"/>
        <v>20930012</v>
      </c>
      <c r="K200" s="175">
        <f t="shared" si="49"/>
        <v>21173624</v>
      </c>
      <c r="L200" s="37">
        <f t="shared" si="50"/>
        <v>87.378766140602579</v>
      </c>
      <c r="M200" s="175">
        <f t="shared" si="39"/>
        <v>4745538</v>
      </c>
      <c r="N200" s="175">
        <f t="shared" si="40"/>
        <v>4829178</v>
      </c>
      <c r="O200" s="37">
        <f t="shared" si="51"/>
        <v>83640</v>
      </c>
      <c r="P200" s="37">
        <f t="shared" si="52"/>
        <v>30</v>
      </c>
      <c r="Q200" s="68">
        <f t="shared" si="41"/>
        <v>1.76</v>
      </c>
      <c r="R200" s="407"/>
      <c r="S200" s="102"/>
    </row>
    <row r="201" spans="1:19">
      <c r="A201" s="102">
        <v>289</v>
      </c>
      <c r="B201" s="7" t="s">
        <v>1994</v>
      </c>
      <c r="C201" s="7">
        <v>1</v>
      </c>
      <c r="D201" s="175">
        <f t="shared" si="42"/>
        <v>181</v>
      </c>
      <c r="E201" s="175">
        <f t="shared" si="43"/>
        <v>197</v>
      </c>
      <c r="F201" s="37">
        <f t="shared" si="44"/>
        <v>16</v>
      </c>
      <c r="G201" s="175">
        <f t="shared" si="45"/>
        <v>1863761.3099999998</v>
      </c>
      <c r="H201" s="175">
        <f t="shared" si="46"/>
        <v>2030461.9982605327</v>
      </c>
      <c r="I201" s="37">
        <f t="shared" si="47"/>
        <v>846.19638710930417</v>
      </c>
      <c r="J201" s="175">
        <f t="shared" si="48"/>
        <v>1490797</v>
      </c>
      <c r="K201" s="175">
        <f t="shared" si="49"/>
        <v>1547169</v>
      </c>
      <c r="L201" s="37">
        <f t="shared" si="50"/>
        <v>286.15228426395942</v>
      </c>
      <c r="M201" s="175">
        <f t="shared" si="39"/>
        <v>855618</v>
      </c>
      <c r="N201" s="175">
        <f t="shared" si="40"/>
        <v>861528</v>
      </c>
      <c r="O201" s="37">
        <f t="shared" si="51"/>
        <v>5910</v>
      </c>
      <c r="P201" s="37">
        <f t="shared" si="52"/>
        <v>30</v>
      </c>
      <c r="Q201" s="68">
        <f t="shared" si="41"/>
        <v>0.69</v>
      </c>
      <c r="R201" s="407"/>
      <c r="S201" s="102"/>
    </row>
    <row r="202" spans="1:19">
      <c r="A202" s="102">
        <v>290</v>
      </c>
      <c r="B202" s="7" t="s">
        <v>1995</v>
      </c>
      <c r="C202" s="7">
        <v>1</v>
      </c>
      <c r="D202" s="175">
        <f t="shared" si="42"/>
        <v>1441</v>
      </c>
      <c r="E202" s="175">
        <f t="shared" si="43"/>
        <v>1422</v>
      </c>
      <c r="F202" s="37">
        <f t="shared" si="44"/>
        <v>-19</v>
      </c>
      <c r="G202" s="175">
        <f t="shared" si="45"/>
        <v>13322264.810000002</v>
      </c>
      <c r="H202" s="175">
        <f t="shared" si="46"/>
        <v>13414412.031556375</v>
      </c>
      <c r="I202" s="37">
        <f t="shared" si="47"/>
        <v>64.801140335002074</v>
      </c>
      <c r="J202" s="175">
        <f t="shared" si="48"/>
        <v>9795149</v>
      </c>
      <c r="K202" s="175">
        <f t="shared" si="49"/>
        <v>9713548</v>
      </c>
      <c r="L202" s="37">
        <f t="shared" si="50"/>
        <v>-57.384669479606188</v>
      </c>
      <c r="M202" s="175">
        <f t="shared" ref="M202:M265" si="53">VLOOKUP(A202,disthist,43)</f>
        <v>5355735</v>
      </c>
      <c r="N202" s="175">
        <f t="shared" ref="N202:N265" si="54">VLOOKUP(A202,aidcalc,36)</f>
        <v>5398395</v>
      </c>
      <c r="O202" s="37">
        <f t="shared" si="51"/>
        <v>42660</v>
      </c>
      <c r="P202" s="37">
        <f t="shared" si="52"/>
        <v>30</v>
      </c>
      <c r="Q202" s="68">
        <f t="shared" ref="Q202:Q244" si="55">ROUND(IF(G202&gt;0,(N202-M202)*100/M202,100),2)</f>
        <v>0.8</v>
      </c>
      <c r="R202" s="407"/>
      <c r="S202" s="102"/>
    </row>
    <row r="203" spans="1:19">
      <c r="A203" s="102">
        <v>291</v>
      </c>
      <c r="B203" s="7" t="s">
        <v>1996</v>
      </c>
      <c r="C203" s="7">
        <v>1</v>
      </c>
      <c r="D203" s="175">
        <f t="shared" si="42"/>
        <v>2134</v>
      </c>
      <c r="E203" s="175">
        <f t="shared" si="43"/>
        <v>2119</v>
      </c>
      <c r="F203" s="37">
        <f t="shared" si="44"/>
        <v>-15</v>
      </c>
      <c r="G203" s="175">
        <f t="shared" si="45"/>
        <v>20368467.029999997</v>
      </c>
      <c r="H203" s="175">
        <f t="shared" si="46"/>
        <v>20655963.815009337</v>
      </c>
      <c r="I203" s="37">
        <f t="shared" si="47"/>
        <v>135.67568900865476</v>
      </c>
      <c r="J203" s="175">
        <f t="shared" si="48"/>
        <v>16975480</v>
      </c>
      <c r="K203" s="175">
        <f t="shared" si="49"/>
        <v>17159833</v>
      </c>
      <c r="L203" s="37">
        <f t="shared" si="50"/>
        <v>87</v>
      </c>
      <c r="M203" s="175">
        <f t="shared" si="53"/>
        <v>3392987</v>
      </c>
      <c r="N203" s="175">
        <f t="shared" si="54"/>
        <v>3496131</v>
      </c>
      <c r="O203" s="37">
        <f t="shared" si="51"/>
        <v>103144</v>
      </c>
      <c r="P203" s="37">
        <f t="shared" si="52"/>
        <v>48.675790467201509</v>
      </c>
      <c r="Q203" s="68">
        <f t="shared" si="55"/>
        <v>3.04</v>
      </c>
      <c r="R203" s="407"/>
      <c r="S203" s="102"/>
    </row>
    <row r="204" spans="1:19">
      <c r="A204" s="102">
        <v>292</v>
      </c>
      <c r="B204" s="7" t="s">
        <v>1997</v>
      </c>
      <c r="C204" s="7">
        <v>1</v>
      </c>
      <c r="D204" s="175">
        <f t="shared" si="42"/>
        <v>2035</v>
      </c>
      <c r="E204" s="175">
        <f t="shared" si="43"/>
        <v>2049</v>
      </c>
      <c r="F204" s="37">
        <f t="shared" si="44"/>
        <v>14</v>
      </c>
      <c r="G204" s="175">
        <f t="shared" si="45"/>
        <v>19920849.289999999</v>
      </c>
      <c r="H204" s="175">
        <f t="shared" si="46"/>
        <v>20221515.14252951</v>
      </c>
      <c r="I204" s="37">
        <f t="shared" si="47"/>
        <v>146.73784896511023</v>
      </c>
      <c r="J204" s="175">
        <f t="shared" si="48"/>
        <v>12860612</v>
      </c>
      <c r="K204" s="175">
        <f t="shared" si="49"/>
        <v>12930499</v>
      </c>
      <c r="L204" s="37">
        <f t="shared" si="50"/>
        <v>34.107857491459249</v>
      </c>
      <c r="M204" s="175">
        <f t="shared" si="53"/>
        <v>7327857</v>
      </c>
      <c r="N204" s="175">
        <f t="shared" si="54"/>
        <v>7716864</v>
      </c>
      <c r="O204" s="37">
        <f t="shared" si="51"/>
        <v>389007</v>
      </c>
      <c r="P204" s="37">
        <f t="shared" si="52"/>
        <v>189.85212298682285</v>
      </c>
      <c r="Q204" s="68">
        <f t="shared" si="55"/>
        <v>5.31</v>
      </c>
      <c r="R204" s="407"/>
      <c r="S204" s="102"/>
    </row>
    <row r="205" spans="1:19">
      <c r="A205" s="102">
        <v>293</v>
      </c>
      <c r="B205" s="7" t="s">
        <v>1998</v>
      </c>
      <c r="C205" s="7">
        <v>1</v>
      </c>
      <c r="D205" s="175">
        <f t="shared" si="42"/>
        <v>8061</v>
      </c>
      <c r="E205" s="175">
        <f t="shared" si="43"/>
        <v>8012</v>
      </c>
      <c r="F205" s="37">
        <f t="shared" si="44"/>
        <v>-49</v>
      </c>
      <c r="G205" s="175">
        <f t="shared" si="45"/>
        <v>89152710</v>
      </c>
      <c r="H205" s="175">
        <f t="shared" si="46"/>
        <v>91224275.812842891</v>
      </c>
      <c r="I205" s="37">
        <f t="shared" si="47"/>
        <v>258.55788977070529</v>
      </c>
      <c r="J205" s="175">
        <f t="shared" si="48"/>
        <v>33343214</v>
      </c>
      <c r="K205" s="175">
        <f t="shared" si="49"/>
        <v>33052858</v>
      </c>
      <c r="L205" s="37">
        <f t="shared" si="50"/>
        <v>-36.240139790314529</v>
      </c>
      <c r="M205" s="175">
        <f t="shared" si="53"/>
        <v>55809496</v>
      </c>
      <c r="N205" s="175">
        <f t="shared" si="54"/>
        <v>58171418</v>
      </c>
      <c r="O205" s="37">
        <f t="shared" si="51"/>
        <v>2361922</v>
      </c>
      <c r="P205" s="37">
        <f t="shared" si="52"/>
        <v>294.79805292061906</v>
      </c>
      <c r="Q205" s="68">
        <f t="shared" si="55"/>
        <v>4.2300000000000004</v>
      </c>
      <c r="R205" s="407"/>
      <c r="S205" s="102"/>
    </row>
    <row r="206" spans="1:19">
      <c r="A206" s="102">
        <v>295</v>
      </c>
      <c r="B206" s="7" t="s">
        <v>2000</v>
      </c>
      <c r="C206" s="7">
        <v>1</v>
      </c>
      <c r="D206" s="175">
        <f t="shared" si="42"/>
        <v>3523</v>
      </c>
      <c r="E206" s="175">
        <f t="shared" si="43"/>
        <v>3595</v>
      </c>
      <c r="F206" s="37">
        <f t="shared" si="44"/>
        <v>72</v>
      </c>
      <c r="G206" s="175">
        <f t="shared" si="45"/>
        <v>33549032.422599997</v>
      </c>
      <c r="H206" s="175">
        <f t="shared" si="46"/>
        <v>34900617.062578723</v>
      </c>
      <c r="I206" s="37">
        <f t="shared" si="47"/>
        <v>375.96234769922825</v>
      </c>
      <c r="J206" s="175">
        <f t="shared" si="48"/>
        <v>26824591</v>
      </c>
      <c r="K206" s="175">
        <f t="shared" si="49"/>
        <v>27764062</v>
      </c>
      <c r="L206" s="37">
        <f t="shared" si="50"/>
        <v>261.32712100139082</v>
      </c>
      <c r="M206" s="175">
        <f t="shared" si="53"/>
        <v>13012055</v>
      </c>
      <c r="N206" s="175">
        <f t="shared" si="54"/>
        <v>13119905</v>
      </c>
      <c r="O206" s="37">
        <f t="shared" si="51"/>
        <v>107850</v>
      </c>
      <c r="P206" s="37">
        <f t="shared" si="52"/>
        <v>30</v>
      </c>
      <c r="Q206" s="68">
        <f t="shared" si="55"/>
        <v>0.83</v>
      </c>
      <c r="R206" s="407"/>
      <c r="S206" s="102"/>
    </row>
    <row r="207" spans="1:19">
      <c r="A207" s="102">
        <v>296</v>
      </c>
      <c r="B207" s="7" t="s">
        <v>2001</v>
      </c>
      <c r="C207" s="7">
        <v>1</v>
      </c>
      <c r="D207" s="175">
        <f t="shared" si="42"/>
        <v>373</v>
      </c>
      <c r="E207" s="175">
        <f t="shared" si="43"/>
        <v>365</v>
      </c>
      <c r="F207" s="37">
        <f t="shared" si="44"/>
        <v>-8</v>
      </c>
      <c r="G207" s="175">
        <f t="shared" si="45"/>
        <v>3769019.7499999991</v>
      </c>
      <c r="H207" s="175">
        <f t="shared" si="46"/>
        <v>3760490.3019716195</v>
      </c>
      <c r="I207" s="37">
        <f t="shared" si="47"/>
        <v>-23.368350762683797</v>
      </c>
      <c r="J207" s="175">
        <f t="shared" si="48"/>
        <v>3133723</v>
      </c>
      <c r="K207" s="175">
        <f t="shared" si="49"/>
        <v>3062266</v>
      </c>
      <c r="L207" s="37">
        <f t="shared" si="50"/>
        <v>-195.77260273972604</v>
      </c>
      <c r="M207" s="175">
        <f t="shared" si="53"/>
        <v>635297</v>
      </c>
      <c r="N207" s="175">
        <f t="shared" si="54"/>
        <v>698224</v>
      </c>
      <c r="O207" s="37">
        <f t="shared" si="51"/>
        <v>62927</v>
      </c>
      <c r="P207" s="37">
        <f t="shared" si="52"/>
        <v>172.40273972602739</v>
      </c>
      <c r="Q207" s="68">
        <f t="shared" si="55"/>
        <v>9.91</v>
      </c>
      <c r="R207" s="407"/>
      <c r="S207" s="102"/>
    </row>
    <row r="208" spans="1:19">
      <c r="A208" s="102">
        <v>298</v>
      </c>
      <c r="B208" s="7" t="s">
        <v>2003</v>
      </c>
      <c r="C208" s="7">
        <v>1</v>
      </c>
      <c r="D208" s="175">
        <f t="shared" si="42"/>
        <v>586</v>
      </c>
      <c r="E208" s="175">
        <f t="shared" si="43"/>
        <v>576</v>
      </c>
      <c r="F208" s="37">
        <f t="shared" si="44"/>
        <v>-10</v>
      </c>
      <c r="G208" s="175">
        <f t="shared" si="45"/>
        <v>5219302.4780799998</v>
      </c>
      <c r="H208" s="175">
        <f t="shared" si="46"/>
        <v>5307497.2466114936</v>
      </c>
      <c r="I208" s="37">
        <f t="shared" si="47"/>
        <v>153.11591758939903</v>
      </c>
      <c r="J208" s="175">
        <f t="shared" si="48"/>
        <v>4362303</v>
      </c>
      <c r="K208" s="175">
        <f t="shared" si="49"/>
        <v>4411689</v>
      </c>
      <c r="L208" s="37">
        <f t="shared" si="50"/>
        <v>85.739583333333329</v>
      </c>
      <c r="M208" s="175">
        <f t="shared" si="53"/>
        <v>1140038</v>
      </c>
      <c r="N208" s="175">
        <f t="shared" si="54"/>
        <v>1157318</v>
      </c>
      <c r="O208" s="37">
        <f t="shared" si="51"/>
        <v>17280</v>
      </c>
      <c r="P208" s="37">
        <f t="shared" si="52"/>
        <v>30</v>
      </c>
      <c r="Q208" s="68">
        <f t="shared" si="55"/>
        <v>1.52</v>
      </c>
      <c r="R208" s="407"/>
      <c r="S208" s="102"/>
    </row>
    <row r="209" spans="1:19">
      <c r="A209" s="102">
        <v>300</v>
      </c>
      <c r="B209" s="7" t="s">
        <v>2005</v>
      </c>
      <c r="C209" s="7">
        <v>1</v>
      </c>
      <c r="D209" s="175">
        <f t="shared" si="42"/>
        <v>199</v>
      </c>
      <c r="E209" s="175">
        <f t="shared" si="43"/>
        <v>209</v>
      </c>
      <c r="F209" s="37">
        <f t="shared" si="44"/>
        <v>10</v>
      </c>
      <c r="G209" s="175">
        <f t="shared" si="45"/>
        <v>1912666.2499999995</v>
      </c>
      <c r="H209" s="175">
        <f t="shared" si="46"/>
        <v>2003679.8419243183</v>
      </c>
      <c r="I209" s="37">
        <f t="shared" si="47"/>
        <v>435.47173169530532</v>
      </c>
      <c r="J209" s="175">
        <f t="shared" si="48"/>
        <v>1596786</v>
      </c>
      <c r="K209" s="175">
        <f t="shared" si="49"/>
        <v>1618203</v>
      </c>
      <c r="L209" s="37">
        <f t="shared" si="50"/>
        <v>102.47368421052632</v>
      </c>
      <c r="M209" s="175">
        <f t="shared" si="53"/>
        <v>315880</v>
      </c>
      <c r="N209" s="175">
        <f t="shared" si="54"/>
        <v>394659</v>
      </c>
      <c r="O209" s="37">
        <f t="shared" si="51"/>
        <v>78779</v>
      </c>
      <c r="P209" s="37">
        <f t="shared" si="52"/>
        <v>376.93301435406698</v>
      </c>
      <c r="Q209" s="68">
        <f t="shared" si="55"/>
        <v>24.94</v>
      </c>
      <c r="R209" s="407"/>
      <c r="S209" s="102"/>
    </row>
    <row r="210" spans="1:19">
      <c r="A210" s="102">
        <v>301</v>
      </c>
      <c r="B210" s="7" t="s">
        <v>2006</v>
      </c>
      <c r="C210" s="7">
        <v>1</v>
      </c>
      <c r="D210" s="175">
        <f t="shared" si="42"/>
        <v>1692</v>
      </c>
      <c r="E210" s="175">
        <f t="shared" si="43"/>
        <v>1678</v>
      </c>
      <c r="F210" s="37">
        <f t="shared" si="44"/>
        <v>-14</v>
      </c>
      <c r="G210" s="175">
        <f t="shared" si="45"/>
        <v>15994837.789999999</v>
      </c>
      <c r="H210" s="175">
        <f t="shared" si="46"/>
        <v>16426722.369211081</v>
      </c>
      <c r="I210" s="37">
        <f t="shared" si="47"/>
        <v>257.38055972054963</v>
      </c>
      <c r="J210" s="175">
        <f t="shared" si="48"/>
        <v>11008609</v>
      </c>
      <c r="K210" s="175">
        <f t="shared" si="49"/>
        <v>11396682</v>
      </c>
      <c r="L210" s="37">
        <f t="shared" si="50"/>
        <v>231.27115613825984</v>
      </c>
      <c r="M210" s="175">
        <f t="shared" si="53"/>
        <v>7262434</v>
      </c>
      <c r="N210" s="175">
        <f t="shared" si="54"/>
        <v>7312774</v>
      </c>
      <c r="O210" s="37">
        <f t="shared" si="51"/>
        <v>50340</v>
      </c>
      <c r="P210" s="37">
        <f t="shared" si="52"/>
        <v>30</v>
      </c>
      <c r="Q210" s="68">
        <f t="shared" si="55"/>
        <v>0.69</v>
      </c>
      <c r="R210" s="407"/>
      <c r="S210" s="102"/>
    </row>
    <row r="211" spans="1:19">
      <c r="A211" s="102">
        <v>304</v>
      </c>
      <c r="B211" s="7" t="s">
        <v>2009</v>
      </c>
      <c r="C211" s="7">
        <v>1</v>
      </c>
      <c r="D211" s="175">
        <f t="shared" si="42"/>
        <v>1904</v>
      </c>
      <c r="E211" s="175">
        <f t="shared" si="43"/>
        <v>1869</v>
      </c>
      <c r="F211" s="37">
        <f t="shared" si="44"/>
        <v>-35</v>
      </c>
      <c r="G211" s="175">
        <f t="shared" si="45"/>
        <v>18410939.780000005</v>
      </c>
      <c r="H211" s="175">
        <f t="shared" si="46"/>
        <v>18455125.454438496</v>
      </c>
      <c r="I211" s="37">
        <f t="shared" si="47"/>
        <v>23.641345338946742</v>
      </c>
      <c r="J211" s="175">
        <f t="shared" si="48"/>
        <v>10786060</v>
      </c>
      <c r="K211" s="175">
        <f t="shared" si="49"/>
        <v>11060991</v>
      </c>
      <c r="L211" s="37">
        <f t="shared" si="50"/>
        <v>147.10058855002674</v>
      </c>
      <c r="M211" s="175">
        <f t="shared" si="53"/>
        <v>9275834</v>
      </c>
      <c r="N211" s="175">
        <f t="shared" si="54"/>
        <v>9331904</v>
      </c>
      <c r="O211" s="37">
        <f t="shared" si="51"/>
        <v>56070</v>
      </c>
      <c r="P211" s="37">
        <f t="shared" si="52"/>
        <v>30</v>
      </c>
      <c r="Q211" s="68">
        <f t="shared" si="55"/>
        <v>0.6</v>
      </c>
      <c r="R211" s="407"/>
      <c r="S211" s="102"/>
    </row>
    <row r="212" spans="1:19">
      <c r="A212" s="102">
        <v>305</v>
      </c>
      <c r="B212" s="7" t="s">
        <v>2010</v>
      </c>
      <c r="C212" s="7">
        <v>1</v>
      </c>
      <c r="D212" s="175">
        <f t="shared" si="42"/>
        <v>3477</v>
      </c>
      <c r="E212" s="175">
        <f t="shared" si="43"/>
        <v>3535</v>
      </c>
      <c r="F212" s="37">
        <f t="shared" si="44"/>
        <v>58</v>
      </c>
      <c r="G212" s="175">
        <f t="shared" si="45"/>
        <v>34230683.749200001</v>
      </c>
      <c r="H212" s="175">
        <f t="shared" si="46"/>
        <v>35673992.74237927</v>
      </c>
      <c r="I212" s="37">
        <f t="shared" si="47"/>
        <v>408.29108717942552</v>
      </c>
      <c r="J212" s="175">
        <f t="shared" si="48"/>
        <v>28386107</v>
      </c>
      <c r="K212" s="175">
        <f t="shared" si="49"/>
        <v>29443005</v>
      </c>
      <c r="L212" s="37">
        <f t="shared" si="50"/>
        <v>298.98104667609618</v>
      </c>
      <c r="M212" s="175">
        <f t="shared" si="53"/>
        <v>5844577</v>
      </c>
      <c r="N212" s="175">
        <f t="shared" si="54"/>
        <v>6230988</v>
      </c>
      <c r="O212" s="37">
        <f t="shared" si="51"/>
        <v>386411</v>
      </c>
      <c r="P212" s="37">
        <f t="shared" si="52"/>
        <v>109.31004243281471</v>
      </c>
      <c r="Q212" s="68">
        <f t="shared" si="55"/>
        <v>6.61</v>
      </c>
      <c r="R212" s="407"/>
      <c r="S212" s="102"/>
    </row>
    <row r="213" spans="1:19">
      <c r="A213" s="102">
        <v>306</v>
      </c>
      <c r="B213" s="7" t="s">
        <v>2011</v>
      </c>
      <c r="C213" s="7">
        <v>1</v>
      </c>
      <c r="D213" s="175">
        <f t="shared" si="42"/>
        <v>156</v>
      </c>
      <c r="E213" s="175">
        <f t="shared" si="43"/>
        <v>157</v>
      </c>
      <c r="F213" s="37">
        <f t="shared" si="44"/>
        <v>1</v>
      </c>
      <c r="G213" s="175">
        <f t="shared" si="45"/>
        <v>1585577.72</v>
      </c>
      <c r="H213" s="175">
        <f t="shared" si="46"/>
        <v>1580013.0996064784</v>
      </c>
      <c r="I213" s="37">
        <f t="shared" si="47"/>
        <v>-35.443441996952984</v>
      </c>
      <c r="J213" s="175">
        <f t="shared" si="48"/>
        <v>646690</v>
      </c>
      <c r="K213" s="175">
        <f t="shared" si="49"/>
        <v>594640</v>
      </c>
      <c r="L213" s="37">
        <f t="shared" si="50"/>
        <v>-331.52866242038215</v>
      </c>
      <c r="M213" s="175">
        <f t="shared" si="53"/>
        <v>938888</v>
      </c>
      <c r="N213" s="175">
        <f t="shared" si="54"/>
        <v>985373</v>
      </c>
      <c r="O213" s="37">
        <f t="shared" si="51"/>
        <v>46485</v>
      </c>
      <c r="P213" s="37">
        <f t="shared" si="52"/>
        <v>296.08280254777071</v>
      </c>
      <c r="Q213" s="68">
        <f t="shared" si="55"/>
        <v>4.95</v>
      </c>
      <c r="R213" s="407"/>
      <c r="S213" s="102"/>
    </row>
    <row r="214" spans="1:19">
      <c r="A214" s="102">
        <v>307</v>
      </c>
      <c r="B214" s="7" t="s">
        <v>2012</v>
      </c>
      <c r="C214" s="7">
        <v>1</v>
      </c>
      <c r="D214" s="175">
        <f t="shared" si="42"/>
        <v>3818</v>
      </c>
      <c r="E214" s="175">
        <f t="shared" si="43"/>
        <v>3744</v>
      </c>
      <c r="F214" s="37">
        <f t="shared" si="44"/>
        <v>-74</v>
      </c>
      <c r="G214" s="175">
        <f t="shared" si="45"/>
        <v>36843723.371769994</v>
      </c>
      <c r="H214" s="175">
        <f t="shared" si="46"/>
        <v>36969856.911350518</v>
      </c>
      <c r="I214" s="37">
        <f t="shared" si="47"/>
        <v>33.689513776849353</v>
      </c>
      <c r="J214" s="175">
        <f t="shared" si="48"/>
        <v>30659945</v>
      </c>
      <c r="K214" s="175">
        <f t="shared" si="49"/>
        <v>30718767</v>
      </c>
      <c r="L214" s="37">
        <f t="shared" si="50"/>
        <v>15.711004273504274</v>
      </c>
      <c r="M214" s="175">
        <f t="shared" si="53"/>
        <v>7848820.7103260532</v>
      </c>
      <c r="N214" s="175">
        <f t="shared" si="54"/>
        <v>7961140.7103260532</v>
      </c>
      <c r="O214" s="37">
        <f t="shared" si="51"/>
        <v>112320</v>
      </c>
      <c r="P214" s="37">
        <f t="shared" si="52"/>
        <v>30</v>
      </c>
      <c r="Q214" s="68">
        <f t="shared" si="55"/>
        <v>1.43</v>
      </c>
      <c r="R214" s="407"/>
      <c r="S214" s="102"/>
    </row>
    <row r="215" spans="1:19">
      <c r="A215" s="102">
        <v>308</v>
      </c>
      <c r="B215" s="7" t="s">
        <v>2013</v>
      </c>
      <c r="C215" s="7">
        <v>1</v>
      </c>
      <c r="D215" s="175">
        <f t="shared" si="42"/>
        <v>5432</v>
      </c>
      <c r="E215" s="175">
        <f t="shared" si="43"/>
        <v>5498</v>
      </c>
      <c r="F215" s="37">
        <f t="shared" si="44"/>
        <v>66</v>
      </c>
      <c r="G215" s="175">
        <f t="shared" si="45"/>
        <v>62274785.537900016</v>
      </c>
      <c r="H215" s="175">
        <f t="shared" si="46"/>
        <v>65721454.701030053</v>
      </c>
      <c r="I215" s="37">
        <f t="shared" si="47"/>
        <v>626.89508241724945</v>
      </c>
      <c r="J215" s="175">
        <f t="shared" si="48"/>
        <v>51887299</v>
      </c>
      <c r="K215" s="175">
        <f t="shared" si="49"/>
        <v>54285104</v>
      </c>
      <c r="L215" s="37">
        <f t="shared" si="50"/>
        <v>436.12313568570391</v>
      </c>
      <c r="M215" s="175">
        <f t="shared" si="53"/>
        <v>10863166</v>
      </c>
      <c r="N215" s="175">
        <f t="shared" si="54"/>
        <v>12031585</v>
      </c>
      <c r="O215" s="37">
        <f t="shared" si="51"/>
        <v>1168419</v>
      </c>
      <c r="P215" s="37">
        <f t="shared" si="52"/>
        <v>212.51709712622772</v>
      </c>
      <c r="Q215" s="68">
        <f t="shared" si="55"/>
        <v>10.76</v>
      </c>
      <c r="R215" s="407"/>
      <c r="S215" s="102"/>
    </row>
    <row r="216" spans="1:19">
      <c r="A216" s="102">
        <v>309</v>
      </c>
      <c r="B216" s="7" t="s">
        <v>2014</v>
      </c>
      <c r="C216" s="7">
        <v>1</v>
      </c>
      <c r="D216" s="175">
        <f t="shared" si="42"/>
        <v>1393</v>
      </c>
      <c r="E216" s="175">
        <f t="shared" si="43"/>
        <v>1341</v>
      </c>
      <c r="F216" s="37">
        <f t="shared" si="44"/>
        <v>-52</v>
      </c>
      <c r="G216" s="175">
        <f t="shared" si="45"/>
        <v>14839037.079999998</v>
      </c>
      <c r="H216" s="175">
        <f t="shared" si="46"/>
        <v>14617553.305294422</v>
      </c>
      <c r="I216" s="37">
        <f t="shared" si="47"/>
        <v>-165.16314295717805</v>
      </c>
      <c r="J216" s="175">
        <f t="shared" si="48"/>
        <v>5469680</v>
      </c>
      <c r="K216" s="175">
        <f t="shared" si="49"/>
        <v>5149596</v>
      </c>
      <c r="L216" s="37">
        <f t="shared" si="50"/>
        <v>-238.69052945563013</v>
      </c>
      <c r="M216" s="175">
        <f t="shared" si="53"/>
        <v>9369357</v>
      </c>
      <c r="N216" s="175">
        <f t="shared" si="54"/>
        <v>9467957</v>
      </c>
      <c r="O216" s="37">
        <f t="shared" si="51"/>
        <v>98600</v>
      </c>
      <c r="P216" s="37">
        <f t="shared" si="52"/>
        <v>73.527218493661451</v>
      </c>
      <c r="Q216" s="68">
        <f t="shared" si="55"/>
        <v>1.05</v>
      </c>
      <c r="R216" s="407"/>
      <c r="S216" s="102"/>
    </row>
    <row r="217" spans="1:19">
      <c r="A217" s="102">
        <v>310</v>
      </c>
      <c r="B217" s="7" t="s">
        <v>2015</v>
      </c>
      <c r="C217" s="7">
        <v>1</v>
      </c>
      <c r="D217" s="175">
        <f t="shared" si="42"/>
        <v>2717</v>
      </c>
      <c r="E217" s="175">
        <f t="shared" si="43"/>
        <v>2680</v>
      </c>
      <c r="F217" s="37">
        <f t="shared" si="44"/>
        <v>-37</v>
      </c>
      <c r="G217" s="175">
        <f t="shared" si="45"/>
        <v>29850414.400000002</v>
      </c>
      <c r="H217" s="175">
        <f t="shared" si="46"/>
        <v>30448305.403478537</v>
      </c>
      <c r="I217" s="37">
        <f t="shared" si="47"/>
        <v>223.09365801437855</v>
      </c>
      <c r="J217" s="175">
        <f t="shared" si="48"/>
        <v>17354464</v>
      </c>
      <c r="K217" s="175">
        <f t="shared" si="49"/>
        <v>17216125</v>
      </c>
      <c r="L217" s="37">
        <f t="shared" si="50"/>
        <v>-51.619029850746266</v>
      </c>
      <c r="M217" s="175">
        <f t="shared" si="53"/>
        <v>12708042.138633749</v>
      </c>
      <c r="N217" s="175">
        <f t="shared" si="54"/>
        <v>13232180</v>
      </c>
      <c r="O217" s="37">
        <f t="shared" si="51"/>
        <v>524137.86136625148</v>
      </c>
      <c r="P217" s="37">
        <f t="shared" si="52"/>
        <v>195.57382886800428</v>
      </c>
      <c r="Q217" s="68">
        <f t="shared" si="55"/>
        <v>4.12</v>
      </c>
      <c r="R217" s="407"/>
      <c r="S217" s="102"/>
    </row>
    <row r="218" spans="1:19">
      <c r="A218" s="102">
        <v>314</v>
      </c>
      <c r="B218" s="7" t="s">
        <v>2019</v>
      </c>
      <c r="C218" s="7">
        <v>1</v>
      </c>
      <c r="D218" s="175">
        <f t="shared" si="42"/>
        <v>2570</v>
      </c>
      <c r="E218" s="175">
        <f t="shared" si="43"/>
        <v>2634</v>
      </c>
      <c r="F218" s="37">
        <f t="shared" si="44"/>
        <v>64</v>
      </c>
      <c r="G218" s="175">
        <f t="shared" si="45"/>
        <v>27574866.376769997</v>
      </c>
      <c r="H218" s="175">
        <f t="shared" si="46"/>
        <v>28658582.599711496</v>
      </c>
      <c r="I218" s="37">
        <f t="shared" si="47"/>
        <v>411.43364576366713</v>
      </c>
      <c r="J218" s="175">
        <f t="shared" si="48"/>
        <v>23092613</v>
      </c>
      <c r="K218" s="175">
        <f t="shared" si="49"/>
        <v>23755394</v>
      </c>
      <c r="L218" s="37">
        <f t="shared" si="50"/>
        <v>251.62528473804099</v>
      </c>
      <c r="M218" s="175">
        <f t="shared" si="53"/>
        <v>4540881</v>
      </c>
      <c r="N218" s="175">
        <f t="shared" si="54"/>
        <v>4903189</v>
      </c>
      <c r="O218" s="37">
        <f t="shared" si="51"/>
        <v>362308</v>
      </c>
      <c r="P218" s="37">
        <f t="shared" si="52"/>
        <v>137.55049354593774</v>
      </c>
      <c r="Q218" s="68">
        <f t="shared" si="55"/>
        <v>7.98</v>
      </c>
      <c r="R218" s="407"/>
      <c r="S218" s="102"/>
    </row>
    <row r="219" spans="1:19">
      <c r="A219" s="102">
        <v>315</v>
      </c>
      <c r="B219" s="7" t="s">
        <v>2020</v>
      </c>
      <c r="C219" s="7">
        <v>1</v>
      </c>
      <c r="D219" s="175">
        <f t="shared" si="42"/>
        <v>2637</v>
      </c>
      <c r="E219" s="175">
        <f t="shared" si="43"/>
        <v>2602</v>
      </c>
      <c r="F219" s="37">
        <f t="shared" si="44"/>
        <v>-35</v>
      </c>
      <c r="G219" s="175">
        <f t="shared" si="45"/>
        <v>24640382.589680005</v>
      </c>
      <c r="H219" s="175">
        <f t="shared" si="46"/>
        <v>25043290.042167287</v>
      </c>
      <c r="I219" s="37">
        <f t="shared" si="47"/>
        <v>154.84529303892484</v>
      </c>
      <c r="J219" s="175">
        <f t="shared" si="48"/>
        <v>20643819</v>
      </c>
      <c r="K219" s="175">
        <f t="shared" si="49"/>
        <v>20778238</v>
      </c>
      <c r="L219" s="37">
        <f t="shared" si="50"/>
        <v>51.65987701767871</v>
      </c>
      <c r="M219" s="175">
        <f t="shared" si="53"/>
        <v>4059803</v>
      </c>
      <c r="N219" s="175">
        <f t="shared" si="54"/>
        <v>4265052</v>
      </c>
      <c r="O219" s="37">
        <f t="shared" si="51"/>
        <v>205249</v>
      </c>
      <c r="P219" s="37">
        <f t="shared" si="52"/>
        <v>78.881245196003078</v>
      </c>
      <c r="Q219" s="68">
        <f t="shared" si="55"/>
        <v>5.0599999999999996</v>
      </c>
      <c r="R219" s="407"/>
      <c r="S219" s="102"/>
    </row>
    <row r="220" spans="1:19">
      <c r="A220" s="102">
        <v>316</v>
      </c>
      <c r="B220" s="7" t="s">
        <v>2021</v>
      </c>
      <c r="C220" s="7">
        <v>1</v>
      </c>
      <c r="D220" s="175">
        <f t="shared" si="42"/>
        <v>2004</v>
      </c>
      <c r="E220" s="175">
        <f t="shared" si="43"/>
        <v>1989</v>
      </c>
      <c r="F220" s="37">
        <f t="shared" si="44"/>
        <v>-15</v>
      </c>
      <c r="G220" s="175">
        <f t="shared" si="45"/>
        <v>22136766.249999996</v>
      </c>
      <c r="H220" s="175">
        <f t="shared" si="46"/>
        <v>22425991.213709842</v>
      </c>
      <c r="I220" s="37">
        <f t="shared" si="47"/>
        <v>145.41224922566423</v>
      </c>
      <c r="J220" s="175">
        <f t="shared" si="48"/>
        <v>10147763</v>
      </c>
      <c r="K220" s="175">
        <f t="shared" si="49"/>
        <v>10170354</v>
      </c>
      <c r="L220" s="37">
        <f t="shared" si="50"/>
        <v>11.357968828557064</v>
      </c>
      <c r="M220" s="175">
        <f t="shared" si="53"/>
        <v>11989003</v>
      </c>
      <c r="N220" s="175">
        <f t="shared" si="54"/>
        <v>12255637</v>
      </c>
      <c r="O220" s="37">
        <f t="shared" si="51"/>
        <v>266634</v>
      </c>
      <c r="P220" s="37">
        <f t="shared" si="52"/>
        <v>134.05429864253395</v>
      </c>
      <c r="Q220" s="68">
        <f t="shared" si="55"/>
        <v>2.2200000000000002</v>
      </c>
      <c r="R220" s="407"/>
      <c r="S220" s="102"/>
    </row>
    <row r="221" spans="1:19">
      <c r="A221" s="102">
        <v>317</v>
      </c>
      <c r="B221" s="7" t="s">
        <v>2022</v>
      </c>
      <c r="C221" s="7">
        <v>1</v>
      </c>
      <c r="D221" s="175">
        <f t="shared" si="42"/>
        <v>5095</v>
      </c>
      <c r="E221" s="175">
        <f t="shared" si="43"/>
        <v>5030</v>
      </c>
      <c r="F221" s="37">
        <f t="shared" si="44"/>
        <v>-65</v>
      </c>
      <c r="G221" s="175">
        <f t="shared" si="45"/>
        <v>49005990.891000003</v>
      </c>
      <c r="H221" s="175">
        <f t="shared" si="46"/>
        <v>49446876.963866338</v>
      </c>
      <c r="I221" s="37">
        <f t="shared" si="47"/>
        <v>87.651306732869884</v>
      </c>
      <c r="J221" s="175">
        <f t="shared" si="48"/>
        <v>40807164</v>
      </c>
      <c r="K221" s="175">
        <f t="shared" si="49"/>
        <v>41046916</v>
      </c>
      <c r="L221" s="37">
        <f t="shared" si="50"/>
        <v>47.664413518886683</v>
      </c>
      <c r="M221" s="175">
        <f t="shared" si="53"/>
        <v>8198827</v>
      </c>
      <c r="N221" s="175">
        <f t="shared" si="54"/>
        <v>8399961</v>
      </c>
      <c r="O221" s="37">
        <f t="shared" si="51"/>
        <v>201134</v>
      </c>
      <c r="P221" s="37">
        <f t="shared" si="52"/>
        <v>39.986878727634192</v>
      </c>
      <c r="Q221" s="68">
        <f t="shared" si="55"/>
        <v>2.4500000000000002</v>
      </c>
      <c r="R221" s="407"/>
      <c r="S221" s="102"/>
    </row>
    <row r="222" spans="1:19">
      <c r="A222" s="102">
        <v>318</v>
      </c>
      <c r="B222" s="7" t="s">
        <v>2023</v>
      </c>
      <c r="C222" s="7">
        <v>1</v>
      </c>
      <c r="D222" s="175">
        <f t="shared" si="42"/>
        <v>108</v>
      </c>
      <c r="E222" s="175">
        <f t="shared" si="43"/>
        <v>110</v>
      </c>
      <c r="F222" s="37">
        <f t="shared" si="44"/>
        <v>2</v>
      </c>
      <c r="G222" s="175">
        <f t="shared" si="45"/>
        <v>1067714.3400000001</v>
      </c>
      <c r="H222" s="175">
        <f t="shared" si="46"/>
        <v>1107735.4422992696</v>
      </c>
      <c r="I222" s="37">
        <f t="shared" si="47"/>
        <v>363.82820272063202</v>
      </c>
      <c r="J222" s="175">
        <f t="shared" si="48"/>
        <v>892056</v>
      </c>
      <c r="K222" s="175">
        <f t="shared" si="49"/>
        <v>917147</v>
      </c>
      <c r="L222" s="37">
        <f t="shared" si="50"/>
        <v>228.1</v>
      </c>
      <c r="M222" s="175">
        <f t="shared" si="53"/>
        <v>185664</v>
      </c>
      <c r="N222" s="175">
        <f t="shared" si="54"/>
        <v>190588</v>
      </c>
      <c r="O222" s="37">
        <f t="shared" si="51"/>
        <v>4924</v>
      </c>
      <c r="P222" s="37">
        <f t="shared" si="52"/>
        <v>44.763636363636365</v>
      </c>
      <c r="Q222" s="68">
        <f t="shared" si="55"/>
        <v>2.65</v>
      </c>
      <c r="R222" s="407"/>
      <c r="S222" s="102"/>
    </row>
    <row r="223" spans="1:19">
      <c r="A223" s="102">
        <v>321</v>
      </c>
      <c r="B223" s="7" t="s">
        <v>2026</v>
      </c>
      <c r="C223" s="7">
        <v>1</v>
      </c>
      <c r="D223" s="175">
        <f t="shared" si="42"/>
        <v>3563</v>
      </c>
      <c r="E223" s="175">
        <f t="shared" si="43"/>
        <v>3849</v>
      </c>
      <c r="F223" s="37">
        <f t="shared" si="44"/>
        <v>286</v>
      </c>
      <c r="G223" s="175">
        <f t="shared" si="45"/>
        <v>33283538.019999992</v>
      </c>
      <c r="H223" s="175">
        <f t="shared" si="46"/>
        <v>36606246.041138574</v>
      </c>
      <c r="I223" s="37">
        <f t="shared" si="47"/>
        <v>863.26526919682578</v>
      </c>
      <c r="J223" s="175">
        <f t="shared" si="48"/>
        <v>27451731</v>
      </c>
      <c r="K223" s="175">
        <f t="shared" si="49"/>
        <v>28766772</v>
      </c>
      <c r="L223" s="37">
        <f t="shared" si="50"/>
        <v>341.65783320342945</v>
      </c>
      <c r="M223" s="175">
        <f t="shared" si="53"/>
        <v>5881737</v>
      </c>
      <c r="N223" s="175">
        <f t="shared" si="54"/>
        <v>7878155</v>
      </c>
      <c r="O223" s="37">
        <f t="shared" si="51"/>
        <v>1996418</v>
      </c>
      <c r="P223" s="37">
        <f t="shared" si="52"/>
        <v>518.68485320862567</v>
      </c>
      <c r="Q223" s="68">
        <f t="shared" si="55"/>
        <v>33.94</v>
      </c>
      <c r="R223" s="407"/>
      <c r="S223" s="102"/>
    </row>
    <row r="224" spans="1:19">
      <c r="A224" s="102">
        <v>322</v>
      </c>
      <c r="B224" s="7" t="s">
        <v>2027</v>
      </c>
      <c r="C224" s="7">
        <v>1</v>
      </c>
      <c r="D224" s="175">
        <f t="shared" si="42"/>
        <v>868</v>
      </c>
      <c r="E224" s="175">
        <f t="shared" si="43"/>
        <v>862</v>
      </c>
      <c r="F224" s="37">
        <f t="shared" si="44"/>
        <v>-6</v>
      </c>
      <c r="G224" s="175">
        <f t="shared" si="45"/>
        <v>8692760.0099999998</v>
      </c>
      <c r="H224" s="175">
        <f t="shared" si="46"/>
        <v>8877321.1119815204</v>
      </c>
      <c r="I224" s="37">
        <f t="shared" si="47"/>
        <v>214.10800693911909</v>
      </c>
      <c r="J224" s="175">
        <f t="shared" si="48"/>
        <v>6831386</v>
      </c>
      <c r="K224" s="175">
        <f t="shared" si="49"/>
        <v>6760095</v>
      </c>
      <c r="L224" s="37">
        <f t="shared" si="50"/>
        <v>-82.704176334106734</v>
      </c>
      <c r="M224" s="175">
        <f t="shared" si="53"/>
        <v>2957025</v>
      </c>
      <c r="N224" s="175">
        <f t="shared" si="54"/>
        <v>2982885</v>
      </c>
      <c r="O224" s="37">
        <f t="shared" si="51"/>
        <v>25860</v>
      </c>
      <c r="P224" s="37">
        <f t="shared" si="52"/>
        <v>30</v>
      </c>
      <c r="Q224" s="68">
        <f t="shared" si="55"/>
        <v>0.87</v>
      </c>
      <c r="R224" s="407"/>
      <c r="S224" s="102"/>
    </row>
    <row r="225" spans="1:19">
      <c r="A225" s="102">
        <v>323</v>
      </c>
      <c r="B225" s="7" t="s">
        <v>2028</v>
      </c>
      <c r="C225" s="7">
        <v>1</v>
      </c>
      <c r="D225" s="175">
        <f t="shared" si="42"/>
        <v>1050</v>
      </c>
      <c r="E225" s="175">
        <f t="shared" si="43"/>
        <v>1052</v>
      </c>
      <c r="F225" s="37">
        <f t="shared" si="44"/>
        <v>2</v>
      </c>
      <c r="G225" s="175">
        <f t="shared" si="45"/>
        <v>10285489.059999999</v>
      </c>
      <c r="H225" s="175">
        <f t="shared" si="46"/>
        <v>10346624.462660685</v>
      </c>
      <c r="I225" s="37">
        <f t="shared" si="47"/>
        <v>58.113500628029016</v>
      </c>
      <c r="J225" s="175">
        <f t="shared" si="48"/>
        <v>6653790</v>
      </c>
      <c r="K225" s="175">
        <f t="shared" si="49"/>
        <v>6795040</v>
      </c>
      <c r="L225" s="37">
        <f t="shared" si="50"/>
        <v>134.26806083650189</v>
      </c>
      <c r="M225" s="175">
        <f t="shared" si="53"/>
        <v>3631699</v>
      </c>
      <c r="N225" s="175">
        <f t="shared" si="54"/>
        <v>3663259</v>
      </c>
      <c r="O225" s="37">
        <f t="shared" si="51"/>
        <v>31560</v>
      </c>
      <c r="P225" s="37">
        <f t="shared" si="52"/>
        <v>30</v>
      </c>
      <c r="Q225" s="68">
        <f t="shared" si="55"/>
        <v>0.87</v>
      </c>
      <c r="R225" s="407"/>
      <c r="S225" s="102"/>
    </row>
    <row r="226" spans="1:19">
      <c r="A226" s="102">
        <v>325</v>
      </c>
      <c r="B226" s="7" t="s">
        <v>2030</v>
      </c>
      <c r="C226" s="7">
        <v>1</v>
      </c>
      <c r="D226" s="175">
        <f t="shared" si="42"/>
        <v>5504</v>
      </c>
      <c r="E226" s="175">
        <f t="shared" si="43"/>
        <v>5474</v>
      </c>
      <c r="F226" s="37">
        <f t="shared" si="44"/>
        <v>-30</v>
      </c>
      <c r="G226" s="175">
        <f t="shared" si="45"/>
        <v>59795241.399999999</v>
      </c>
      <c r="H226" s="175">
        <f t="shared" si="46"/>
        <v>60917916.743617475</v>
      </c>
      <c r="I226" s="37">
        <f t="shared" si="47"/>
        <v>205.09231706566982</v>
      </c>
      <c r="J226" s="175">
        <f t="shared" si="48"/>
        <v>26781337</v>
      </c>
      <c r="K226" s="175">
        <f t="shared" si="49"/>
        <v>26596469</v>
      </c>
      <c r="L226" s="37">
        <f t="shared" si="50"/>
        <v>-33.772013153087322</v>
      </c>
      <c r="M226" s="175">
        <f t="shared" si="53"/>
        <v>33656694.488095999</v>
      </c>
      <c r="N226" s="175">
        <f t="shared" si="54"/>
        <v>34321448</v>
      </c>
      <c r="O226" s="37">
        <f t="shared" si="51"/>
        <v>664753.51190400124</v>
      </c>
      <c r="P226" s="37">
        <f t="shared" si="52"/>
        <v>121.43834707782266</v>
      </c>
      <c r="Q226" s="68">
        <f t="shared" si="55"/>
        <v>1.98</v>
      </c>
      <c r="R226" s="407"/>
      <c r="S226" s="102"/>
    </row>
    <row r="227" spans="1:19">
      <c r="A227" s="102">
        <v>326</v>
      </c>
      <c r="B227" s="7" t="s">
        <v>2031</v>
      </c>
      <c r="C227" s="7">
        <v>1</v>
      </c>
      <c r="D227" s="175">
        <f t="shared" si="42"/>
        <v>4908</v>
      </c>
      <c r="E227" s="175">
        <f t="shared" si="43"/>
        <v>4883</v>
      </c>
      <c r="F227" s="37">
        <f t="shared" si="44"/>
        <v>-25</v>
      </c>
      <c r="G227" s="175">
        <f t="shared" si="45"/>
        <v>45233495.410999998</v>
      </c>
      <c r="H227" s="175">
        <f t="shared" si="46"/>
        <v>46319271.278671294</v>
      </c>
      <c r="I227" s="37">
        <f t="shared" si="47"/>
        <v>222.35835913809052</v>
      </c>
      <c r="J227" s="175">
        <f t="shared" si="48"/>
        <v>33677123</v>
      </c>
      <c r="K227" s="175">
        <f t="shared" si="49"/>
        <v>35059135</v>
      </c>
      <c r="L227" s="37">
        <f t="shared" si="50"/>
        <v>283.02518943272577</v>
      </c>
      <c r="M227" s="175">
        <f t="shared" si="53"/>
        <v>16706565</v>
      </c>
      <c r="N227" s="175">
        <f t="shared" si="54"/>
        <v>16853055</v>
      </c>
      <c r="O227" s="37">
        <f t="shared" si="51"/>
        <v>146490</v>
      </c>
      <c r="P227" s="37">
        <f t="shared" si="52"/>
        <v>30</v>
      </c>
      <c r="Q227" s="68">
        <f t="shared" si="55"/>
        <v>0.88</v>
      </c>
      <c r="R227" s="407"/>
      <c r="S227" s="102"/>
    </row>
    <row r="228" spans="1:19">
      <c r="A228" s="102">
        <v>327</v>
      </c>
      <c r="B228" s="7" t="s">
        <v>2032</v>
      </c>
      <c r="C228" s="7">
        <v>1</v>
      </c>
      <c r="D228" s="175">
        <f t="shared" si="42"/>
        <v>140</v>
      </c>
      <c r="E228" s="175">
        <f t="shared" si="43"/>
        <v>131</v>
      </c>
      <c r="F228" s="37">
        <f t="shared" si="44"/>
        <v>-9</v>
      </c>
      <c r="G228" s="175">
        <f t="shared" si="45"/>
        <v>1360673</v>
      </c>
      <c r="H228" s="175">
        <f t="shared" si="46"/>
        <v>1297572.8942240474</v>
      </c>
      <c r="I228" s="37">
        <f t="shared" si="47"/>
        <v>-481.68019676299673</v>
      </c>
      <c r="J228" s="175">
        <f t="shared" si="48"/>
        <v>968330</v>
      </c>
      <c r="K228" s="175">
        <f t="shared" si="49"/>
        <v>918872</v>
      </c>
      <c r="L228" s="37">
        <f t="shared" si="50"/>
        <v>-377.5419847328244</v>
      </c>
      <c r="M228" s="175">
        <f t="shared" si="53"/>
        <v>465470</v>
      </c>
      <c r="N228" s="175">
        <f t="shared" si="54"/>
        <v>469400</v>
      </c>
      <c r="O228" s="37">
        <f t="shared" si="51"/>
        <v>3930</v>
      </c>
      <c r="P228" s="37">
        <f t="shared" si="52"/>
        <v>30</v>
      </c>
      <c r="Q228" s="68">
        <f t="shared" si="55"/>
        <v>0.84</v>
      </c>
      <c r="R228" s="407"/>
      <c r="S228" s="102"/>
    </row>
    <row r="229" spans="1:19">
      <c r="A229" s="102">
        <v>330</v>
      </c>
      <c r="B229" s="7" t="s">
        <v>2035</v>
      </c>
      <c r="C229" s="7">
        <v>1</v>
      </c>
      <c r="D229" s="175">
        <f t="shared" si="42"/>
        <v>2181</v>
      </c>
      <c r="E229" s="175">
        <f t="shared" si="43"/>
        <v>2159</v>
      </c>
      <c r="F229" s="37">
        <f t="shared" si="44"/>
        <v>-22</v>
      </c>
      <c r="G229" s="175">
        <f t="shared" si="45"/>
        <v>20900052.866529997</v>
      </c>
      <c r="H229" s="175">
        <f t="shared" si="46"/>
        <v>21251738.294267315</v>
      </c>
      <c r="I229" s="37">
        <f t="shared" si="47"/>
        <v>162.89274096216673</v>
      </c>
      <c r="J229" s="175">
        <f t="shared" si="48"/>
        <v>17600265</v>
      </c>
      <c r="K229" s="175">
        <f t="shared" si="49"/>
        <v>17672626</v>
      </c>
      <c r="L229" s="37">
        <f t="shared" si="50"/>
        <v>33.515979620194535</v>
      </c>
      <c r="M229" s="175">
        <f t="shared" si="53"/>
        <v>3317129</v>
      </c>
      <c r="N229" s="175">
        <f t="shared" si="54"/>
        <v>3579112</v>
      </c>
      <c r="O229" s="37">
        <f t="shared" si="51"/>
        <v>261983</v>
      </c>
      <c r="P229" s="37">
        <f t="shared" si="52"/>
        <v>121.34460398332561</v>
      </c>
      <c r="Q229" s="68">
        <f t="shared" si="55"/>
        <v>7.9</v>
      </c>
      <c r="R229" s="407"/>
      <c r="S229" s="102"/>
    </row>
    <row r="230" spans="1:19">
      <c r="A230" s="102">
        <v>331</v>
      </c>
      <c r="B230" s="7" t="s">
        <v>2036</v>
      </c>
      <c r="C230" s="7">
        <v>1</v>
      </c>
      <c r="D230" s="175">
        <f t="shared" si="42"/>
        <v>1522</v>
      </c>
      <c r="E230" s="175">
        <f t="shared" si="43"/>
        <v>1491</v>
      </c>
      <c r="F230" s="37">
        <f t="shared" si="44"/>
        <v>-31</v>
      </c>
      <c r="G230" s="175">
        <f t="shared" si="45"/>
        <v>14911266.000000002</v>
      </c>
      <c r="H230" s="175">
        <f t="shared" si="46"/>
        <v>14885291.294271678</v>
      </c>
      <c r="I230" s="37">
        <f t="shared" si="47"/>
        <v>-17.420996464335431</v>
      </c>
      <c r="J230" s="175">
        <f t="shared" si="48"/>
        <v>12467729</v>
      </c>
      <c r="K230" s="175">
        <f t="shared" si="49"/>
        <v>12354601</v>
      </c>
      <c r="L230" s="37">
        <f t="shared" si="50"/>
        <v>-75.873910127431259</v>
      </c>
      <c r="M230" s="175">
        <f t="shared" si="53"/>
        <v>4425482</v>
      </c>
      <c r="N230" s="175">
        <f t="shared" si="54"/>
        <v>4470212</v>
      </c>
      <c r="O230" s="37">
        <f t="shared" si="51"/>
        <v>44730</v>
      </c>
      <c r="P230" s="37">
        <f t="shared" si="52"/>
        <v>30</v>
      </c>
      <c r="Q230" s="68">
        <f t="shared" si="55"/>
        <v>1.01</v>
      </c>
      <c r="R230" s="407"/>
      <c r="S230" s="102"/>
    </row>
    <row r="231" spans="1:19">
      <c r="A231" s="102">
        <v>332</v>
      </c>
      <c r="B231" s="7" t="s">
        <v>2037</v>
      </c>
      <c r="C231" s="7">
        <v>1</v>
      </c>
      <c r="D231" s="175">
        <f t="shared" si="42"/>
        <v>3980</v>
      </c>
      <c r="E231" s="175">
        <f t="shared" si="43"/>
        <v>4082</v>
      </c>
      <c r="F231" s="37">
        <f t="shared" si="44"/>
        <v>102</v>
      </c>
      <c r="G231" s="175">
        <f t="shared" si="45"/>
        <v>44295065.429999992</v>
      </c>
      <c r="H231" s="175">
        <f t="shared" si="46"/>
        <v>46379224.347272687</v>
      </c>
      <c r="I231" s="37">
        <f t="shared" si="47"/>
        <v>510.57298316332543</v>
      </c>
      <c r="J231" s="175">
        <f t="shared" si="48"/>
        <v>20212569</v>
      </c>
      <c r="K231" s="175">
        <f t="shared" si="49"/>
        <v>20257037</v>
      </c>
      <c r="L231" s="37">
        <f t="shared" si="50"/>
        <v>10.893679568838804</v>
      </c>
      <c r="M231" s="175">
        <f t="shared" si="53"/>
        <v>24082496</v>
      </c>
      <c r="N231" s="175">
        <f t="shared" si="54"/>
        <v>26122187</v>
      </c>
      <c r="O231" s="37">
        <f t="shared" si="51"/>
        <v>2039691</v>
      </c>
      <c r="P231" s="37">
        <f t="shared" si="52"/>
        <v>499.67932386085255</v>
      </c>
      <c r="Q231" s="68">
        <f t="shared" si="55"/>
        <v>8.4700000000000006</v>
      </c>
      <c r="R231" s="407"/>
      <c r="S231" s="102"/>
    </row>
    <row r="232" spans="1:19">
      <c r="A232" s="102">
        <v>335</v>
      </c>
      <c r="B232" s="7" t="s">
        <v>2040</v>
      </c>
      <c r="C232" s="7">
        <v>1</v>
      </c>
      <c r="D232" s="175">
        <f t="shared" si="42"/>
        <v>3063</v>
      </c>
      <c r="E232" s="175">
        <f t="shared" si="43"/>
        <v>3077</v>
      </c>
      <c r="F232" s="37">
        <f t="shared" si="44"/>
        <v>14</v>
      </c>
      <c r="G232" s="175">
        <f t="shared" si="45"/>
        <v>29301469.672719996</v>
      </c>
      <c r="H232" s="175">
        <f t="shared" si="46"/>
        <v>30014821.710917722</v>
      </c>
      <c r="I232" s="37">
        <f t="shared" si="47"/>
        <v>231.8336165738466</v>
      </c>
      <c r="J232" s="175">
        <f t="shared" si="48"/>
        <v>24485112</v>
      </c>
      <c r="K232" s="175">
        <f t="shared" si="49"/>
        <v>24903789</v>
      </c>
      <c r="L232" s="37">
        <f t="shared" si="50"/>
        <v>136.06662333441665</v>
      </c>
      <c r="M232" s="175">
        <f t="shared" si="53"/>
        <v>4971877.9092836883</v>
      </c>
      <c r="N232" s="175">
        <f t="shared" si="54"/>
        <v>5111033</v>
      </c>
      <c r="O232" s="37">
        <f t="shared" si="51"/>
        <v>139155.09071631171</v>
      </c>
      <c r="P232" s="37">
        <f t="shared" si="52"/>
        <v>45.22427387595441</v>
      </c>
      <c r="Q232" s="68">
        <f t="shared" si="55"/>
        <v>2.8</v>
      </c>
      <c r="R232" s="407"/>
      <c r="S232" s="102"/>
    </row>
    <row r="233" spans="1:19">
      <c r="A233" s="102">
        <v>336</v>
      </c>
      <c r="B233" s="7" t="s">
        <v>2041</v>
      </c>
      <c r="C233" s="7">
        <v>1</v>
      </c>
      <c r="D233" s="175">
        <f t="shared" si="42"/>
        <v>6428</v>
      </c>
      <c r="E233" s="175">
        <f t="shared" si="43"/>
        <v>6263</v>
      </c>
      <c r="F233" s="37">
        <f t="shared" si="44"/>
        <v>-165</v>
      </c>
      <c r="G233" s="175">
        <f t="shared" si="45"/>
        <v>69159899.607649997</v>
      </c>
      <c r="H233" s="175">
        <f t="shared" si="46"/>
        <v>69172635.260738254</v>
      </c>
      <c r="I233" s="37">
        <f t="shared" si="47"/>
        <v>2.033474866398965</v>
      </c>
      <c r="J233" s="175">
        <f t="shared" si="48"/>
        <v>47454854</v>
      </c>
      <c r="K233" s="175">
        <f t="shared" si="49"/>
        <v>49020130</v>
      </c>
      <c r="L233" s="37">
        <f t="shared" si="50"/>
        <v>249.92431741976688</v>
      </c>
      <c r="M233" s="175">
        <f t="shared" si="53"/>
        <v>27883625</v>
      </c>
      <c r="N233" s="175">
        <f t="shared" si="54"/>
        <v>28071515</v>
      </c>
      <c r="O233" s="37">
        <f t="shared" si="51"/>
        <v>187890</v>
      </c>
      <c r="P233" s="37">
        <f t="shared" si="52"/>
        <v>30</v>
      </c>
      <c r="Q233" s="68">
        <f t="shared" si="55"/>
        <v>0.67</v>
      </c>
      <c r="R233" s="407"/>
      <c r="S233" s="102"/>
    </row>
    <row r="234" spans="1:19">
      <c r="A234" s="102">
        <v>337</v>
      </c>
      <c r="B234" s="7" t="s">
        <v>2042</v>
      </c>
      <c r="C234" s="7">
        <v>1</v>
      </c>
      <c r="D234" s="175">
        <f t="shared" si="42"/>
        <v>82</v>
      </c>
      <c r="E234" s="175">
        <f t="shared" si="43"/>
        <v>83</v>
      </c>
      <c r="F234" s="37">
        <f t="shared" si="44"/>
        <v>1</v>
      </c>
      <c r="G234" s="175">
        <f t="shared" si="45"/>
        <v>852415.71000000008</v>
      </c>
      <c r="H234" s="175">
        <f t="shared" si="46"/>
        <v>869184.11954740097</v>
      </c>
      <c r="I234" s="37">
        <f t="shared" si="47"/>
        <v>202.02903069157702</v>
      </c>
      <c r="J234" s="175">
        <f t="shared" si="48"/>
        <v>714075</v>
      </c>
      <c r="K234" s="175">
        <f t="shared" si="49"/>
        <v>720991</v>
      </c>
      <c r="L234" s="37">
        <f t="shared" si="50"/>
        <v>83.325301204819283</v>
      </c>
      <c r="M234" s="175">
        <f t="shared" si="53"/>
        <v>256850.0875275</v>
      </c>
      <c r="N234" s="175">
        <f t="shared" si="54"/>
        <v>259340.0875275</v>
      </c>
      <c r="O234" s="37">
        <f t="shared" si="51"/>
        <v>2490</v>
      </c>
      <c r="P234" s="37">
        <f t="shared" si="52"/>
        <v>30</v>
      </c>
      <c r="Q234" s="68">
        <f t="shared" si="55"/>
        <v>0.97</v>
      </c>
      <c r="R234" s="407"/>
      <c r="S234" s="102"/>
    </row>
    <row r="235" spans="1:19">
      <c r="A235" s="102">
        <v>340</v>
      </c>
      <c r="B235" s="7" t="s">
        <v>2045</v>
      </c>
      <c r="C235" s="7">
        <v>1</v>
      </c>
      <c r="D235" s="175">
        <f t="shared" si="42"/>
        <v>176</v>
      </c>
      <c r="E235" s="175">
        <f t="shared" si="43"/>
        <v>171</v>
      </c>
      <c r="F235" s="37">
        <f t="shared" si="44"/>
        <v>-5</v>
      </c>
      <c r="G235" s="175">
        <f t="shared" si="45"/>
        <v>1665309.4700000002</v>
      </c>
      <c r="H235" s="175">
        <f t="shared" si="46"/>
        <v>1640814.868103652</v>
      </c>
      <c r="I235" s="37">
        <f t="shared" si="47"/>
        <v>-143.2432859435566</v>
      </c>
      <c r="J235" s="175">
        <f t="shared" si="48"/>
        <v>1295778</v>
      </c>
      <c r="K235" s="175">
        <f t="shared" si="49"/>
        <v>1224301</v>
      </c>
      <c r="L235" s="37">
        <f t="shared" si="50"/>
        <v>-417.99415204678365</v>
      </c>
      <c r="M235" s="175">
        <f t="shared" si="53"/>
        <v>528925.14508649998</v>
      </c>
      <c r="N235" s="175">
        <f t="shared" si="54"/>
        <v>534055.14508649998</v>
      </c>
      <c r="O235" s="37">
        <f t="shared" si="51"/>
        <v>5130</v>
      </c>
      <c r="P235" s="37">
        <f t="shared" si="52"/>
        <v>30</v>
      </c>
      <c r="Q235" s="68">
        <f t="shared" si="55"/>
        <v>0.97</v>
      </c>
      <c r="R235" s="407"/>
      <c r="S235" s="102"/>
    </row>
    <row r="236" spans="1:19">
      <c r="A236" s="102">
        <v>341</v>
      </c>
      <c r="B236" s="7" t="s">
        <v>2046</v>
      </c>
      <c r="C236" s="7">
        <v>1</v>
      </c>
      <c r="D236" s="175">
        <f t="shared" si="42"/>
        <v>404</v>
      </c>
      <c r="E236" s="175">
        <f t="shared" si="43"/>
        <v>394</v>
      </c>
      <c r="F236" s="37">
        <f t="shared" si="44"/>
        <v>-10</v>
      </c>
      <c r="G236" s="175">
        <f t="shared" si="45"/>
        <v>3780882.2300000004</v>
      </c>
      <c r="H236" s="175">
        <f t="shared" si="46"/>
        <v>3766818.1625702963</v>
      </c>
      <c r="I236" s="37">
        <f t="shared" si="47"/>
        <v>-35.695602613462249</v>
      </c>
      <c r="J236" s="175">
        <f t="shared" si="48"/>
        <v>3127725</v>
      </c>
      <c r="K236" s="175">
        <f t="shared" si="49"/>
        <v>3122141</v>
      </c>
      <c r="L236" s="37">
        <f t="shared" si="50"/>
        <v>-14.17258883248731</v>
      </c>
      <c r="M236" s="175">
        <f t="shared" si="53"/>
        <v>960921</v>
      </c>
      <c r="N236" s="175">
        <f t="shared" si="54"/>
        <v>972741</v>
      </c>
      <c r="O236" s="37">
        <f t="shared" si="51"/>
        <v>11820</v>
      </c>
      <c r="P236" s="37">
        <f t="shared" si="52"/>
        <v>30</v>
      </c>
      <c r="Q236" s="68">
        <f t="shared" si="55"/>
        <v>1.23</v>
      </c>
      <c r="R236" s="407"/>
      <c r="S236" s="102"/>
    </row>
    <row r="237" spans="1:19">
      <c r="A237" s="102">
        <v>342</v>
      </c>
      <c r="B237" s="7" t="s">
        <v>2047</v>
      </c>
      <c r="C237" s="7">
        <v>1</v>
      </c>
      <c r="D237" s="175">
        <f t="shared" si="42"/>
        <v>3426</v>
      </c>
      <c r="E237" s="175">
        <f t="shared" si="43"/>
        <v>3439</v>
      </c>
      <c r="F237" s="37">
        <f t="shared" si="44"/>
        <v>13</v>
      </c>
      <c r="G237" s="175">
        <f t="shared" si="45"/>
        <v>33396838.325240005</v>
      </c>
      <c r="H237" s="175">
        <f t="shared" si="46"/>
        <v>34239954.195590727</v>
      </c>
      <c r="I237" s="37">
        <f t="shared" si="47"/>
        <v>245.16309111681366</v>
      </c>
      <c r="J237" s="175">
        <f t="shared" si="48"/>
        <v>24739359</v>
      </c>
      <c r="K237" s="175">
        <f t="shared" si="49"/>
        <v>25512508</v>
      </c>
      <c r="L237" s="37">
        <f t="shared" si="50"/>
        <v>224.81797034021517</v>
      </c>
      <c r="M237" s="175">
        <f t="shared" si="53"/>
        <v>11167159.755806601</v>
      </c>
      <c r="N237" s="175">
        <f t="shared" si="54"/>
        <v>11270329.755806601</v>
      </c>
      <c r="O237" s="37">
        <f t="shared" si="51"/>
        <v>103170</v>
      </c>
      <c r="P237" s="37">
        <f t="shared" si="52"/>
        <v>30</v>
      </c>
      <c r="Q237" s="68">
        <f t="shared" si="55"/>
        <v>0.92</v>
      </c>
      <c r="R237" s="407"/>
      <c r="S237" s="102"/>
    </row>
    <row r="238" spans="1:19">
      <c r="A238" s="102">
        <v>343</v>
      </c>
      <c r="B238" s="7" t="s">
        <v>2048</v>
      </c>
      <c r="C238" s="7">
        <v>1</v>
      </c>
      <c r="D238" s="175">
        <f t="shared" si="42"/>
        <v>1429</v>
      </c>
      <c r="E238" s="175">
        <f t="shared" si="43"/>
        <v>1373</v>
      </c>
      <c r="F238" s="37">
        <f t="shared" si="44"/>
        <v>-56</v>
      </c>
      <c r="G238" s="175">
        <f t="shared" si="45"/>
        <v>14883842.210000001</v>
      </c>
      <c r="H238" s="175">
        <f t="shared" si="46"/>
        <v>14578929.593496464</v>
      </c>
      <c r="I238" s="37">
        <f t="shared" si="47"/>
        <v>-222.07765222398885</v>
      </c>
      <c r="J238" s="175">
        <f t="shared" si="48"/>
        <v>4860783</v>
      </c>
      <c r="K238" s="175">
        <f t="shared" si="49"/>
        <v>4751326</v>
      </c>
      <c r="L238" s="37">
        <f t="shared" si="50"/>
        <v>-79.721048798251999</v>
      </c>
      <c r="M238" s="175">
        <f t="shared" si="53"/>
        <v>11366930</v>
      </c>
      <c r="N238" s="175">
        <f t="shared" si="54"/>
        <v>11408120</v>
      </c>
      <c r="O238" s="37">
        <f t="shared" si="51"/>
        <v>41190</v>
      </c>
      <c r="P238" s="37">
        <f t="shared" si="52"/>
        <v>30</v>
      </c>
      <c r="Q238" s="68">
        <f t="shared" si="55"/>
        <v>0.36</v>
      </c>
      <c r="R238" s="407"/>
      <c r="S238" s="102"/>
    </row>
    <row r="239" spans="1:19">
      <c r="A239" s="102">
        <v>344</v>
      </c>
      <c r="B239" s="7" t="s">
        <v>2049</v>
      </c>
      <c r="C239" s="7">
        <v>1</v>
      </c>
      <c r="D239" s="175">
        <f t="shared" si="42"/>
        <v>4433</v>
      </c>
      <c r="E239" s="175">
        <f t="shared" si="43"/>
        <v>4484</v>
      </c>
      <c r="F239" s="37">
        <f t="shared" si="44"/>
        <v>51</v>
      </c>
      <c r="G239" s="175">
        <f t="shared" si="45"/>
        <v>41694755.431160003</v>
      </c>
      <c r="H239" s="175">
        <f t="shared" si="46"/>
        <v>43175541.000589445</v>
      </c>
      <c r="I239" s="37">
        <f t="shared" si="47"/>
        <v>330.23763814215931</v>
      </c>
      <c r="J239" s="175">
        <f t="shared" si="48"/>
        <v>34474073</v>
      </c>
      <c r="K239" s="175">
        <f t="shared" si="49"/>
        <v>35662566</v>
      </c>
      <c r="L239" s="37">
        <f t="shared" si="50"/>
        <v>265.0519625334523</v>
      </c>
      <c r="M239" s="175">
        <f t="shared" si="53"/>
        <v>7924363</v>
      </c>
      <c r="N239" s="175">
        <f t="shared" si="54"/>
        <v>8058883</v>
      </c>
      <c r="O239" s="37">
        <f t="shared" si="51"/>
        <v>134520</v>
      </c>
      <c r="P239" s="37">
        <f t="shared" si="52"/>
        <v>30</v>
      </c>
      <c r="Q239" s="68">
        <f t="shared" si="55"/>
        <v>1.7</v>
      </c>
      <c r="R239" s="407"/>
      <c r="S239" s="102"/>
    </row>
    <row r="240" spans="1:19">
      <c r="A240" s="102">
        <v>346</v>
      </c>
      <c r="B240" s="7" t="s">
        <v>2051</v>
      </c>
      <c r="C240" s="7">
        <v>1</v>
      </c>
      <c r="D240" s="175">
        <f t="shared" si="42"/>
        <v>1888</v>
      </c>
      <c r="E240" s="175">
        <f t="shared" si="43"/>
        <v>1968</v>
      </c>
      <c r="F240" s="37">
        <f t="shared" si="44"/>
        <v>80</v>
      </c>
      <c r="G240" s="175">
        <f t="shared" si="45"/>
        <v>19355380.740320001</v>
      </c>
      <c r="H240" s="175">
        <f t="shared" si="46"/>
        <v>20873787.706656512</v>
      </c>
      <c r="I240" s="37">
        <f t="shared" si="47"/>
        <v>771.54825525229217</v>
      </c>
      <c r="J240" s="175">
        <f t="shared" si="48"/>
        <v>13740113</v>
      </c>
      <c r="K240" s="175">
        <f t="shared" si="49"/>
        <v>14619405</v>
      </c>
      <c r="L240" s="37">
        <f t="shared" si="50"/>
        <v>446.79471544715449</v>
      </c>
      <c r="M240" s="175">
        <f t="shared" si="53"/>
        <v>6450815</v>
      </c>
      <c r="N240" s="175">
        <f t="shared" si="54"/>
        <v>6509855</v>
      </c>
      <c r="O240" s="37">
        <f t="shared" si="51"/>
        <v>59040</v>
      </c>
      <c r="P240" s="37">
        <f t="shared" si="52"/>
        <v>30</v>
      </c>
      <c r="Q240" s="68">
        <f t="shared" si="55"/>
        <v>0.92</v>
      </c>
      <c r="R240" s="407"/>
      <c r="S240" s="102"/>
    </row>
    <row r="241" spans="1:19">
      <c r="A241" s="102">
        <v>347</v>
      </c>
      <c r="B241" s="7" t="s">
        <v>1613</v>
      </c>
      <c r="C241" s="7">
        <v>1</v>
      </c>
      <c r="D241" s="175">
        <f t="shared" si="42"/>
        <v>4758</v>
      </c>
      <c r="E241" s="175">
        <f t="shared" si="43"/>
        <v>4685</v>
      </c>
      <c r="F241" s="37">
        <f t="shared" si="44"/>
        <v>-73</v>
      </c>
      <c r="G241" s="175">
        <f t="shared" si="45"/>
        <v>49930543.991250016</v>
      </c>
      <c r="H241" s="175">
        <f t="shared" si="46"/>
        <v>50380963.059562519</v>
      </c>
      <c r="I241" s="37">
        <f t="shared" si="47"/>
        <v>96.140676267343309</v>
      </c>
      <c r="J241" s="175">
        <f t="shared" si="48"/>
        <v>41567504</v>
      </c>
      <c r="K241" s="175">
        <f t="shared" si="49"/>
        <v>41884963</v>
      </c>
      <c r="L241" s="37">
        <f t="shared" si="50"/>
        <v>67.760725720384201</v>
      </c>
      <c r="M241" s="175">
        <f t="shared" si="53"/>
        <v>8583684.03757165</v>
      </c>
      <c r="N241" s="175">
        <f t="shared" si="54"/>
        <v>8724234.03757165</v>
      </c>
      <c r="O241" s="37">
        <f t="shared" si="51"/>
        <v>140550</v>
      </c>
      <c r="P241" s="37">
        <f t="shared" si="52"/>
        <v>30</v>
      </c>
      <c r="Q241" s="68">
        <f t="shared" si="55"/>
        <v>1.64</v>
      </c>
      <c r="R241" s="407"/>
      <c r="S241" s="102"/>
    </row>
    <row r="242" spans="1:19">
      <c r="A242" s="102">
        <v>348</v>
      </c>
      <c r="B242" s="7" t="s">
        <v>2052</v>
      </c>
      <c r="C242" s="7">
        <v>1</v>
      </c>
      <c r="D242" s="175">
        <f t="shared" si="42"/>
        <v>27381</v>
      </c>
      <c r="E242" s="175">
        <f t="shared" si="43"/>
        <v>27751</v>
      </c>
      <c r="F242" s="37">
        <f t="shared" si="44"/>
        <v>370</v>
      </c>
      <c r="G242" s="175">
        <f t="shared" si="45"/>
        <v>332590291.94999999</v>
      </c>
      <c r="H242" s="175">
        <f t="shared" si="46"/>
        <v>342886580.84977067</v>
      </c>
      <c r="I242" s="37">
        <f t="shared" si="47"/>
        <v>371.02406759290392</v>
      </c>
      <c r="J242" s="175">
        <f t="shared" si="48"/>
        <v>97188059</v>
      </c>
      <c r="K242" s="175">
        <f t="shared" si="49"/>
        <v>97679398</v>
      </c>
      <c r="L242" s="37">
        <f t="shared" si="50"/>
        <v>17.70527188209434</v>
      </c>
      <c r="M242" s="175">
        <f t="shared" si="53"/>
        <v>235402233</v>
      </c>
      <c r="N242" s="175">
        <f t="shared" si="54"/>
        <v>245207183</v>
      </c>
      <c r="O242" s="37">
        <f t="shared" si="51"/>
        <v>9804950</v>
      </c>
      <c r="P242" s="37">
        <f t="shared" si="52"/>
        <v>353.31879932254691</v>
      </c>
      <c r="Q242" s="68">
        <f t="shared" si="55"/>
        <v>4.17</v>
      </c>
      <c r="R242" s="407"/>
      <c r="S242" s="102"/>
    </row>
    <row r="243" spans="1:19">
      <c r="A243" s="102">
        <v>349</v>
      </c>
      <c r="B243" s="7" t="s">
        <v>1615</v>
      </c>
      <c r="C243" s="7">
        <v>1</v>
      </c>
      <c r="D243" s="175">
        <f t="shared" ref="D243" si="56">VLOOKUP(A243,aidcalc,17)</f>
        <v>122</v>
      </c>
      <c r="E243" s="175">
        <f t="shared" ref="E243" si="57">VLOOKUP(A243,aidcalc,18)</f>
        <v>109</v>
      </c>
      <c r="F243" s="37">
        <f t="shared" ref="F243" si="58">E243-D243</f>
        <v>-13</v>
      </c>
      <c r="G243" s="175">
        <f t="shared" ref="G243" si="59">VLOOKUP(A243,aidcalc,4)</f>
        <v>1206120.8500000003</v>
      </c>
      <c r="H243" s="175">
        <f t="shared" ref="H243" si="60">VLOOKUP(A243,aidcalc,6)</f>
        <v>1160346.2789760442</v>
      </c>
      <c r="I243" s="37">
        <f t="shared" ref="I243" si="61">(H243-G243)/$E243</f>
        <v>-419.95019288033188</v>
      </c>
      <c r="J243" s="175">
        <f t="shared" ref="J243" si="62">SUMIF(dist1755,A243,pynetmin)</f>
        <v>969030</v>
      </c>
      <c r="K243" s="175">
        <f t="shared" ref="K243" si="63">VLOOKUP(A243,aidcalc,7)</f>
        <v>967158</v>
      </c>
      <c r="L243" s="37">
        <f t="shared" ref="L243" si="64">(K243-J243)/$E243</f>
        <v>-17.174311926605505</v>
      </c>
      <c r="M243" s="175">
        <f t="shared" si="53"/>
        <v>237091</v>
      </c>
      <c r="N243" s="175">
        <f t="shared" si="54"/>
        <v>240361</v>
      </c>
      <c r="O243" s="37">
        <f t="shared" ref="O243" si="65">N243-M243</f>
        <v>3270</v>
      </c>
      <c r="P243" s="37">
        <f t="shared" ref="P243" si="66">(N243-M243)/$E243</f>
        <v>30</v>
      </c>
      <c r="Q243" s="68">
        <f t="shared" ref="Q243" si="67">ROUND(IF(G243&gt;0,(N243-M243)*100/M243,100),2)</f>
        <v>1.38</v>
      </c>
      <c r="R243" s="407"/>
      <c r="S243" s="102"/>
    </row>
    <row r="244" spans="1:19">
      <c r="A244" s="102">
        <v>350</v>
      </c>
      <c r="B244" s="7" t="s">
        <v>2054</v>
      </c>
      <c r="C244" s="7">
        <v>1</v>
      </c>
      <c r="D244" s="175">
        <f t="shared" si="42"/>
        <v>966</v>
      </c>
      <c r="E244" s="175">
        <f t="shared" si="43"/>
        <v>923</v>
      </c>
      <c r="F244" s="37">
        <f t="shared" si="44"/>
        <v>-43</v>
      </c>
      <c r="G244" s="175">
        <f t="shared" si="45"/>
        <v>8711771.7903999984</v>
      </c>
      <c r="H244" s="175">
        <f t="shared" si="46"/>
        <v>8596118.8600556906</v>
      </c>
      <c r="I244" s="37">
        <f t="shared" si="47"/>
        <v>-125.3011162993584</v>
      </c>
      <c r="J244" s="175">
        <f t="shared" si="48"/>
        <v>6915585</v>
      </c>
      <c r="K244" s="175">
        <f t="shared" si="49"/>
        <v>7106012</v>
      </c>
      <c r="L244" s="37">
        <f t="shared" si="50"/>
        <v>206.31310942578548</v>
      </c>
      <c r="M244" s="175">
        <f t="shared" si="53"/>
        <v>3709903</v>
      </c>
      <c r="N244" s="175">
        <f t="shared" si="54"/>
        <v>3737593</v>
      </c>
      <c r="O244" s="37">
        <f t="shared" si="51"/>
        <v>27690</v>
      </c>
      <c r="P244" s="37">
        <f t="shared" si="52"/>
        <v>30</v>
      </c>
      <c r="Q244" s="68">
        <f t="shared" si="55"/>
        <v>0.75</v>
      </c>
      <c r="R244" s="407"/>
      <c r="S244" s="102"/>
    </row>
    <row r="245" spans="1:19">
      <c r="A245" s="102">
        <v>406</v>
      </c>
      <c r="B245" s="7" t="s">
        <v>2056</v>
      </c>
      <c r="C245" s="7">
        <v>1</v>
      </c>
      <c r="D245" s="175">
        <f t="shared" si="42"/>
        <v>103</v>
      </c>
      <c r="E245" s="175">
        <f t="shared" si="43"/>
        <v>106</v>
      </c>
      <c r="F245" s="37">
        <f t="shared" si="44"/>
        <v>3</v>
      </c>
      <c r="G245" s="175">
        <f t="shared" si="45"/>
        <v>2177668</v>
      </c>
      <c r="H245" s="175">
        <f t="shared" si="46"/>
        <v>2248554.7171424888</v>
      </c>
      <c r="I245" s="37">
        <f t="shared" si="47"/>
        <v>668.74261455178123</v>
      </c>
      <c r="J245" s="175">
        <f t="shared" si="48"/>
        <v>1807196</v>
      </c>
      <c r="K245" s="175">
        <f t="shared" si="49"/>
        <v>1863952</v>
      </c>
      <c r="L245" s="37">
        <f t="shared" si="50"/>
        <v>535.43396226415098</v>
      </c>
      <c r="M245" s="175">
        <f t="shared" si="53"/>
        <v>903575</v>
      </c>
      <c r="N245" s="175">
        <f t="shared" ca="1" si="54"/>
        <v>906755</v>
      </c>
      <c r="O245" s="37">
        <f t="shared" ref="O245:O276" ca="1" si="68">N245-M245</f>
        <v>3180</v>
      </c>
      <c r="P245" s="37">
        <f t="shared" ref="P245:P276" ca="1" si="69">(N245-M245)/$E245</f>
        <v>30</v>
      </c>
      <c r="Q245" s="68">
        <f t="shared" ref="Q245:Q276" ca="1" si="70">ROUND(IF(G245&gt;0,(N245-M245)*100/M245,100),2)</f>
        <v>0.35</v>
      </c>
      <c r="R245" s="407"/>
      <c r="S245" s="102"/>
    </row>
    <row r="246" spans="1:19">
      <c r="A246" s="102">
        <v>600</v>
      </c>
      <c r="B246" s="7" t="s">
        <v>2057</v>
      </c>
      <c r="C246" s="7">
        <v>1</v>
      </c>
      <c r="D246" s="175">
        <f t="shared" si="42"/>
        <v>5509</v>
      </c>
      <c r="E246" s="175">
        <f t="shared" si="43"/>
        <v>5443</v>
      </c>
      <c r="F246" s="37">
        <f t="shared" si="44"/>
        <v>-66</v>
      </c>
      <c r="G246" s="175">
        <f t="shared" si="45"/>
        <v>52547574</v>
      </c>
      <c r="H246" s="175">
        <f t="shared" si="46"/>
        <v>53421566.907991789</v>
      </c>
      <c r="I246" s="37">
        <f t="shared" si="47"/>
        <v>160.57191034205204</v>
      </c>
      <c r="J246" s="175">
        <f t="shared" si="48"/>
        <v>40653492</v>
      </c>
      <c r="K246" s="175">
        <f t="shared" si="49"/>
        <v>42045809</v>
      </c>
      <c r="L246" s="37">
        <f t="shared" si="50"/>
        <v>255.79955906669116</v>
      </c>
      <c r="M246" s="175">
        <f t="shared" si="53"/>
        <v>14696070.561999999</v>
      </c>
      <c r="N246" s="175">
        <f t="shared" ca="1" si="54"/>
        <v>14859360.561999999</v>
      </c>
      <c r="O246" s="37">
        <f t="shared" ca="1" si="68"/>
        <v>163290</v>
      </c>
      <c r="P246" s="37">
        <f t="shared" ca="1" si="69"/>
        <v>30</v>
      </c>
      <c r="Q246" s="68">
        <f t="shared" ca="1" si="70"/>
        <v>1.1100000000000001</v>
      </c>
      <c r="R246" s="407"/>
      <c r="S246" s="102"/>
    </row>
    <row r="247" spans="1:19">
      <c r="A247" s="102">
        <v>603</v>
      </c>
      <c r="B247" s="7" t="s">
        <v>2058</v>
      </c>
      <c r="C247" s="7">
        <v>1</v>
      </c>
      <c r="D247" s="175">
        <f t="shared" si="42"/>
        <v>1415</v>
      </c>
      <c r="E247" s="175">
        <f t="shared" si="43"/>
        <v>1377</v>
      </c>
      <c r="F247" s="37">
        <f t="shared" si="44"/>
        <v>-38</v>
      </c>
      <c r="G247" s="175">
        <f t="shared" si="45"/>
        <v>15296780</v>
      </c>
      <c r="H247" s="175">
        <f t="shared" si="46"/>
        <v>15055572.515187521</v>
      </c>
      <c r="I247" s="37">
        <f t="shared" si="47"/>
        <v>-175.16883428647748</v>
      </c>
      <c r="J247" s="175">
        <f t="shared" si="48"/>
        <v>5502583</v>
      </c>
      <c r="K247" s="175">
        <f t="shared" si="49"/>
        <v>5538278</v>
      </c>
      <c r="L247" s="37">
        <f t="shared" si="50"/>
        <v>25.922294843863472</v>
      </c>
      <c r="M247" s="175">
        <f t="shared" si="53"/>
        <v>10234243</v>
      </c>
      <c r="N247" s="175">
        <f t="shared" ca="1" si="54"/>
        <v>10275553</v>
      </c>
      <c r="O247" s="37">
        <f t="shared" ca="1" si="68"/>
        <v>41310</v>
      </c>
      <c r="P247" s="37">
        <f t="shared" ca="1" si="69"/>
        <v>30</v>
      </c>
      <c r="Q247" s="68">
        <f t="shared" ca="1" si="70"/>
        <v>0.4</v>
      </c>
      <c r="R247" s="407"/>
      <c r="S247" s="102"/>
    </row>
    <row r="248" spans="1:19">
      <c r="A248" s="102">
        <v>605</v>
      </c>
      <c r="B248" s="7" t="s">
        <v>2059</v>
      </c>
      <c r="C248" s="7">
        <v>1</v>
      </c>
      <c r="D248" s="175">
        <f t="shared" si="42"/>
        <v>1496</v>
      </c>
      <c r="E248" s="175">
        <f t="shared" si="43"/>
        <v>1489.9999999851</v>
      </c>
      <c r="F248" s="37">
        <f t="shared" si="44"/>
        <v>-6.0000000149000243</v>
      </c>
      <c r="G248" s="175">
        <f t="shared" si="45"/>
        <v>15535447</v>
      </c>
      <c r="H248" s="175">
        <f t="shared" si="46"/>
        <v>15847416.836753655</v>
      </c>
      <c r="I248" s="37">
        <f t="shared" si="47"/>
        <v>209.37572936696304</v>
      </c>
      <c r="J248" s="175">
        <f t="shared" si="48"/>
        <v>11457106</v>
      </c>
      <c r="K248" s="175">
        <f t="shared" si="49"/>
        <v>11645169</v>
      </c>
      <c r="L248" s="37">
        <f t="shared" si="50"/>
        <v>126.2167785247521</v>
      </c>
      <c r="M248" s="175">
        <f t="shared" si="53"/>
        <v>9431797</v>
      </c>
      <c r="N248" s="175">
        <f t="shared" ca="1" si="54"/>
        <v>9476496.999999553</v>
      </c>
      <c r="O248" s="37">
        <f t="shared" ca="1" si="68"/>
        <v>44699.999999552965</v>
      </c>
      <c r="P248" s="37">
        <f t="shared" ca="1" si="69"/>
        <v>29.999999999999979</v>
      </c>
      <c r="Q248" s="68">
        <f t="shared" ca="1" si="70"/>
        <v>0.47</v>
      </c>
      <c r="R248" s="407"/>
      <c r="S248" s="102"/>
    </row>
    <row r="249" spans="1:19">
      <c r="A249" s="102">
        <v>610</v>
      </c>
      <c r="B249" s="7" t="s">
        <v>2060</v>
      </c>
      <c r="C249" s="7">
        <v>1</v>
      </c>
      <c r="D249" s="175">
        <f t="shared" si="42"/>
        <v>2206</v>
      </c>
      <c r="E249" s="175">
        <f t="shared" si="43"/>
        <v>2208</v>
      </c>
      <c r="F249" s="37">
        <f t="shared" si="44"/>
        <v>2</v>
      </c>
      <c r="G249" s="175">
        <f t="shared" si="45"/>
        <v>21190453</v>
      </c>
      <c r="H249" s="175">
        <f t="shared" si="46"/>
        <v>21596182.828853481</v>
      </c>
      <c r="I249" s="37">
        <f t="shared" si="47"/>
        <v>183.7544514734966</v>
      </c>
      <c r="J249" s="175">
        <f t="shared" si="48"/>
        <v>11043254</v>
      </c>
      <c r="K249" s="175">
        <f t="shared" si="49"/>
        <v>11367955</v>
      </c>
      <c r="L249" s="37">
        <f t="shared" si="50"/>
        <v>147.05661231884059</v>
      </c>
      <c r="M249" s="175">
        <f t="shared" si="53"/>
        <v>10675483</v>
      </c>
      <c r="N249" s="175">
        <f t="shared" ca="1" si="54"/>
        <v>10741723</v>
      </c>
      <c r="O249" s="37">
        <f t="shared" ca="1" si="68"/>
        <v>66240</v>
      </c>
      <c r="P249" s="37">
        <f t="shared" ca="1" si="69"/>
        <v>30</v>
      </c>
      <c r="Q249" s="68">
        <f t="shared" ca="1" si="70"/>
        <v>0.62</v>
      </c>
      <c r="R249" s="407"/>
      <c r="S249" s="102"/>
    </row>
    <row r="250" spans="1:19">
      <c r="A250" s="102">
        <v>615</v>
      </c>
      <c r="B250" s="7" t="s">
        <v>2061</v>
      </c>
      <c r="C250" s="7">
        <v>1</v>
      </c>
      <c r="D250" s="175">
        <f t="shared" si="42"/>
        <v>1726</v>
      </c>
      <c r="E250" s="175">
        <f t="shared" si="43"/>
        <v>1729.0000000000002</v>
      </c>
      <c r="F250" s="37">
        <f t="shared" si="44"/>
        <v>3.0000000000002274</v>
      </c>
      <c r="G250" s="175">
        <f t="shared" si="45"/>
        <v>18244828</v>
      </c>
      <c r="H250" s="175">
        <f t="shared" si="46"/>
        <v>18603786.772762485</v>
      </c>
      <c r="I250" s="37">
        <f t="shared" si="47"/>
        <v>207.61062623625494</v>
      </c>
      <c r="J250" s="175">
        <f t="shared" si="48"/>
        <v>2897520</v>
      </c>
      <c r="K250" s="175">
        <f t="shared" si="49"/>
        <v>3090653</v>
      </c>
      <c r="L250" s="37">
        <f t="shared" si="50"/>
        <v>111.70213996529785</v>
      </c>
      <c r="M250" s="175">
        <f t="shared" si="53"/>
        <v>17267570</v>
      </c>
      <c r="N250" s="175">
        <f t="shared" ca="1" si="54"/>
        <v>17319440</v>
      </c>
      <c r="O250" s="37">
        <f t="shared" ca="1" si="68"/>
        <v>51870</v>
      </c>
      <c r="P250" s="37">
        <f t="shared" ca="1" si="69"/>
        <v>29.999999999999996</v>
      </c>
      <c r="Q250" s="68">
        <f t="shared" ca="1" si="70"/>
        <v>0.3</v>
      </c>
      <c r="R250" s="407"/>
      <c r="S250" s="102"/>
    </row>
    <row r="251" spans="1:19">
      <c r="A251" s="102">
        <v>616</v>
      </c>
      <c r="B251" s="7" t="s">
        <v>1626</v>
      </c>
      <c r="C251" s="7">
        <v>1</v>
      </c>
      <c r="D251" s="175">
        <f>VLOOKUP(A251,aidcalc,17)</f>
        <v>1758</v>
      </c>
      <c r="E251" s="175">
        <f>VLOOKUP(A251,aidcalc,18)</f>
        <v>1771</v>
      </c>
      <c r="F251" s="37">
        <f>E251-D251</f>
        <v>13</v>
      </c>
      <c r="G251" s="175">
        <f>VLOOKUP(A251,aidcalc,4)</f>
        <v>17539418</v>
      </c>
      <c r="H251" s="175">
        <f>VLOOKUP(A251,aidcalc,6)</f>
        <v>17859764.734966867</v>
      </c>
      <c r="I251" s="37">
        <f>(H251-G251)/$E251</f>
        <v>180.88466118964803</v>
      </c>
      <c r="J251" s="175">
        <f>SUMIF(dist1755,A251,pynetmin)</f>
        <v>10906245</v>
      </c>
      <c r="K251" s="175">
        <f>VLOOKUP(A251,aidcalc,7)</f>
        <v>11291639</v>
      </c>
      <c r="L251" s="37">
        <f>(K251-J251)/$E251</f>
        <v>217.613777526821</v>
      </c>
      <c r="M251" s="175">
        <f t="shared" si="53"/>
        <v>8144051</v>
      </c>
      <c r="N251" s="175">
        <f t="shared" ca="1" si="54"/>
        <v>8197181</v>
      </c>
      <c r="O251" s="37">
        <f t="shared" ca="1" si="68"/>
        <v>53130</v>
      </c>
      <c r="P251" s="37">
        <f t="shared" ca="1" si="69"/>
        <v>30</v>
      </c>
      <c r="Q251" s="68">
        <f t="shared" ca="1" si="70"/>
        <v>0.65</v>
      </c>
      <c r="R251" s="407"/>
      <c r="S251" s="102"/>
    </row>
    <row r="252" spans="1:19">
      <c r="A252" s="102">
        <v>618</v>
      </c>
      <c r="B252" s="7" t="s">
        <v>2062</v>
      </c>
      <c r="C252" s="7">
        <v>1</v>
      </c>
      <c r="D252" s="175">
        <f t="shared" si="42"/>
        <v>1063</v>
      </c>
      <c r="E252" s="175">
        <f t="shared" si="43"/>
        <v>1079</v>
      </c>
      <c r="F252" s="37">
        <f t="shared" si="44"/>
        <v>16</v>
      </c>
      <c r="G252" s="175">
        <f t="shared" si="45"/>
        <v>11414759</v>
      </c>
      <c r="H252" s="175">
        <f t="shared" si="46"/>
        <v>11592012.389038036</v>
      </c>
      <c r="I252" s="37">
        <f t="shared" si="47"/>
        <v>164.27561541986623</v>
      </c>
      <c r="J252" s="175">
        <f t="shared" si="48"/>
        <v>9456019</v>
      </c>
      <c r="K252" s="175">
        <f t="shared" si="49"/>
        <v>9603359</v>
      </c>
      <c r="L252" s="37">
        <f t="shared" si="50"/>
        <v>136.55236329935124</v>
      </c>
      <c r="M252" s="175">
        <f t="shared" si="53"/>
        <v>2839128</v>
      </c>
      <c r="N252" s="175">
        <f t="shared" ca="1" si="54"/>
        <v>2871498</v>
      </c>
      <c r="O252" s="37">
        <f t="shared" ca="1" si="68"/>
        <v>32370</v>
      </c>
      <c r="P252" s="37">
        <f t="shared" ca="1" si="69"/>
        <v>30</v>
      </c>
      <c r="Q252" s="68">
        <f t="shared" ca="1" si="70"/>
        <v>1.1399999999999999</v>
      </c>
      <c r="R252" s="407"/>
      <c r="S252" s="102"/>
    </row>
    <row r="253" spans="1:19">
      <c r="A253" s="102">
        <v>620</v>
      </c>
      <c r="B253" s="7" t="s">
        <v>2063</v>
      </c>
      <c r="C253" s="7">
        <v>1</v>
      </c>
      <c r="D253" s="175">
        <f t="shared" si="42"/>
        <v>528</v>
      </c>
      <c r="E253" s="175">
        <f t="shared" si="43"/>
        <v>540</v>
      </c>
      <c r="F253" s="37">
        <f t="shared" si="44"/>
        <v>12</v>
      </c>
      <c r="G253" s="175">
        <f t="shared" si="45"/>
        <v>5023757</v>
      </c>
      <c r="H253" s="175">
        <f t="shared" si="46"/>
        <v>5247616.0529560801</v>
      </c>
      <c r="I253" s="37">
        <f t="shared" si="47"/>
        <v>414.55380177051865</v>
      </c>
      <c r="J253" s="175">
        <f t="shared" si="48"/>
        <v>4202073</v>
      </c>
      <c r="K253" s="175">
        <f t="shared" si="49"/>
        <v>4352079</v>
      </c>
      <c r="L253" s="37">
        <f t="shared" si="50"/>
        <v>277.78888888888889</v>
      </c>
      <c r="M253" s="175">
        <f t="shared" si="53"/>
        <v>1091688</v>
      </c>
      <c r="N253" s="175">
        <f t="shared" ca="1" si="54"/>
        <v>1107888</v>
      </c>
      <c r="O253" s="37">
        <f t="shared" ca="1" si="68"/>
        <v>16200</v>
      </c>
      <c r="P253" s="37">
        <f t="shared" ca="1" si="69"/>
        <v>30</v>
      </c>
      <c r="Q253" s="68">
        <f t="shared" ca="1" si="70"/>
        <v>1.48</v>
      </c>
      <c r="R253" s="407"/>
      <c r="S253" s="102"/>
    </row>
    <row r="254" spans="1:19">
      <c r="A254" s="102">
        <v>622</v>
      </c>
      <c r="B254" s="7" t="s">
        <v>2064</v>
      </c>
      <c r="C254" s="7">
        <v>1</v>
      </c>
      <c r="D254" s="175">
        <f t="shared" si="42"/>
        <v>1767</v>
      </c>
      <c r="E254" s="175">
        <f t="shared" si="43"/>
        <v>1783</v>
      </c>
      <c r="F254" s="37">
        <f t="shared" si="44"/>
        <v>16</v>
      </c>
      <c r="G254" s="175">
        <f t="shared" si="45"/>
        <v>17055908</v>
      </c>
      <c r="H254" s="175">
        <f t="shared" si="46"/>
        <v>17728142.592629228</v>
      </c>
      <c r="I254" s="37">
        <f t="shared" si="47"/>
        <v>377.02444903490061</v>
      </c>
      <c r="J254" s="175">
        <f t="shared" si="48"/>
        <v>8133559</v>
      </c>
      <c r="K254" s="175">
        <f t="shared" si="49"/>
        <v>8280761</v>
      </c>
      <c r="L254" s="37">
        <f t="shared" si="50"/>
        <v>82.558609085810431</v>
      </c>
      <c r="M254" s="175">
        <f t="shared" si="53"/>
        <v>10826779</v>
      </c>
      <c r="N254" s="175">
        <f t="shared" ca="1" si="54"/>
        <v>10880269</v>
      </c>
      <c r="O254" s="37">
        <f t="shared" ca="1" si="68"/>
        <v>53490</v>
      </c>
      <c r="P254" s="37">
        <f t="shared" ca="1" si="69"/>
        <v>30</v>
      </c>
      <c r="Q254" s="68">
        <f t="shared" ca="1" si="70"/>
        <v>0.49</v>
      </c>
      <c r="R254" s="407"/>
      <c r="S254" s="102"/>
    </row>
    <row r="255" spans="1:19">
      <c r="A255" s="102">
        <v>625</v>
      </c>
      <c r="B255" s="7" t="s">
        <v>2065</v>
      </c>
      <c r="C255" s="7">
        <v>1</v>
      </c>
      <c r="D255" s="175">
        <f t="shared" si="42"/>
        <v>5398</v>
      </c>
      <c r="E255" s="175">
        <f t="shared" si="43"/>
        <v>5445</v>
      </c>
      <c r="F255" s="37">
        <f t="shared" si="44"/>
        <v>47</v>
      </c>
      <c r="G255" s="175">
        <f t="shared" si="45"/>
        <v>51178987</v>
      </c>
      <c r="H255" s="175">
        <f t="shared" si="46"/>
        <v>52866849.261870295</v>
      </c>
      <c r="I255" s="37">
        <f t="shared" si="47"/>
        <v>309.98388647755644</v>
      </c>
      <c r="J255" s="175">
        <f t="shared" si="48"/>
        <v>31816877</v>
      </c>
      <c r="K255" s="175">
        <f t="shared" si="49"/>
        <v>32583398</v>
      </c>
      <c r="L255" s="37">
        <f t="shared" si="50"/>
        <v>140.77520661157024</v>
      </c>
      <c r="M255" s="175">
        <f t="shared" si="53"/>
        <v>20968661</v>
      </c>
      <c r="N255" s="175">
        <f t="shared" ca="1" si="54"/>
        <v>21132011</v>
      </c>
      <c r="O255" s="37">
        <f t="shared" ca="1" si="68"/>
        <v>163350</v>
      </c>
      <c r="P255" s="37">
        <f t="shared" ca="1" si="69"/>
        <v>30</v>
      </c>
      <c r="Q255" s="68">
        <f t="shared" ca="1" si="70"/>
        <v>0.78</v>
      </c>
      <c r="R255" s="407"/>
      <c r="S255" s="102"/>
    </row>
    <row r="256" spans="1:19">
      <c r="A256" s="102">
        <v>632</v>
      </c>
      <c r="B256" s="7" t="s">
        <v>1631</v>
      </c>
      <c r="C256" s="7">
        <v>1</v>
      </c>
      <c r="D256" s="175">
        <f t="shared" si="42"/>
        <v>124</v>
      </c>
      <c r="E256" s="175">
        <f t="shared" si="43"/>
        <v>122</v>
      </c>
      <c r="F256" s="37">
        <f t="shared" si="44"/>
        <v>-2</v>
      </c>
      <c r="G256" s="175">
        <f t="shared" si="45"/>
        <v>1239669</v>
      </c>
      <c r="H256" s="175">
        <f t="shared" si="46"/>
        <v>1195139.8127151553</v>
      </c>
      <c r="I256" s="37">
        <f t="shared" si="47"/>
        <v>-364.99333840036633</v>
      </c>
      <c r="J256" s="175">
        <f t="shared" si="48"/>
        <v>767824</v>
      </c>
      <c r="K256" s="175">
        <f t="shared" si="49"/>
        <v>763068</v>
      </c>
      <c r="L256" s="37">
        <f t="shared" si="50"/>
        <v>-38.983606557377051</v>
      </c>
      <c r="M256" s="175">
        <f t="shared" si="53"/>
        <v>741100</v>
      </c>
      <c r="N256" s="175">
        <f t="shared" ca="1" si="54"/>
        <v>744760</v>
      </c>
      <c r="O256" s="37">
        <f t="shared" ca="1" si="68"/>
        <v>3660</v>
      </c>
      <c r="P256" s="37">
        <f t="shared" ca="1" si="69"/>
        <v>30</v>
      </c>
      <c r="Q256" s="68">
        <f t="shared" ca="1" si="70"/>
        <v>0.49</v>
      </c>
      <c r="R256" s="407"/>
      <c r="S256" s="102"/>
    </row>
    <row r="257" spans="1:19">
      <c r="A257" s="102">
        <v>635</v>
      </c>
      <c r="B257" s="7" t="s">
        <v>2066</v>
      </c>
      <c r="C257" s="7">
        <v>1</v>
      </c>
      <c r="D257" s="175">
        <f t="shared" si="42"/>
        <v>1612</v>
      </c>
      <c r="E257" s="175">
        <f t="shared" si="43"/>
        <v>1622.9999999999998</v>
      </c>
      <c r="F257" s="37">
        <f t="shared" si="44"/>
        <v>10.999999999999773</v>
      </c>
      <c r="G257" s="175">
        <f t="shared" si="45"/>
        <v>16389265</v>
      </c>
      <c r="H257" s="175">
        <f t="shared" si="46"/>
        <v>16770478.528573444</v>
      </c>
      <c r="I257" s="37">
        <f t="shared" si="47"/>
        <v>234.88202623132727</v>
      </c>
      <c r="J257" s="175">
        <f t="shared" si="48"/>
        <v>10548832</v>
      </c>
      <c r="K257" s="175">
        <f t="shared" si="49"/>
        <v>10582972</v>
      </c>
      <c r="L257" s="37">
        <f t="shared" si="50"/>
        <v>21.035120147874309</v>
      </c>
      <c r="M257" s="175">
        <f t="shared" si="53"/>
        <v>8629219</v>
      </c>
      <c r="N257" s="175">
        <f t="shared" ca="1" si="54"/>
        <v>8677909</v>
      </c>
      <c r="O257" s="37">
        <f t="shared" ca="1" si="68"/>
        <v>48690</v>
      </c>
      <c r="P257" s="37">
        <f t="shared" ca="1" si="69"/>
        <v>30.000000000000004</v>
      </c>
      <c r="Q257" s="68">
        <f t="shared" ca="1" si="70"/>
        <v>0.56000000000000005</v>
      </c>
      <c r="R257" s="407"/>
      <c r="S257" s="102"/>
    </row>
    <row r="258" spans="1:19">
      <c r="A258" s="102">
        <v>640</v>
      </c>
      <c r="B258" s="7" t="s">
        <v>2067</v>
      </c>
      <c r="C258" s="7">
        <v>1</v>
      </c>
      <c r="D258" s="175">
        <f t="shared" si="42"/>
        <v>1340</v>
      </c>
      <c r="E258" s="175">
        <f t="shared" si="43"/>
        <v>1321</v>
      </c>
      <c r="F258" s="37">
        <f t="shared" si="44"/>
        <v>-19</v>
      </c>
      <c r="G258" s="175">
        <f t="shared" si="45"/>
        <v>14101517</v>
      </c>
      <c r="H258" s="175">
        <f t="shared" si="46"/>
        <v>14235386.188628448</v>
      </c>
      <c r="I258" s="37">
        <f t="shared" si="47"/>
        <v>101.33927980957469</v>
      </c>
      <c r="J258" s="175">
        <f t="shared" si="48"/>
        <v>11779839</v>
      </c>
      <c r="K258" s="175">
        <f t="shared" si="49"/>
        <v>11805585</v>
      </c>
      <c r="L258" s="37">
        <f t="shared" si="50"/>
        <v>19.489780469341408</v>
      </c>
      <c r="M258" s="175">
        <f t="shared" si="53"/>
        <v>2321678</v>
      </c>
      <c r="N258" s="175">
        <f t="shared" ca="1" si="54"/>
        <v>2429801</v>
      </c>
      <c r="O258" s="37">
        <f t="shared" ca="1" si="68"/>
        <v>108123</v>
      </c>
      <c r="P258" s="37">
        <f t="shared" ca="1" si="69"/>
        <v>81.84935654806965</v>
      </c>
      <c r="Q258" s="68">
        <f t="shared" ca="1" si="70"/>
        <v>4.66</v>
      </c>
      <c r="R258" s="407"/>
      <c r="S258" s="102"/>
    </row>
    <row r="259" spans="1:19">
      <c r="A259" s="102">
        <v>645</v>
      </c>
      <c r="B259" s="7" t="s">
        <v>2068</v>
      </c>
      <c r="C259" s="7">
        <v>1</v>
      </c>
      <c r="D259" s="175">
        <f t="shared" si="42"/>
        <v>3465</v>
      </c>
      <c r="E259" s="175">
        <f t="shared" si="43"/>
        <v>3395</v>
      </c>
      <c r="F259" s="37">
        <f t="shared" si="44"/>
        <v>-70</v>
      </c>
      <c r="G259" s="175">
        <f t="shared" si="45"/>
        <v>36706251</v>
      </c>
      <c r="H259" s="175">
        <f t="shared" si="46"/>
        <v>36833288.857110716</v>
      </c>
      <c r="I259" s="37">
        <f t="shared" si="47"/>
        <v>37.419103714496728</v>
      </c>
      <c r="J259" s="175">
        <f t="shared" si="48"/>
        <v>30483143</v>
      </c>
      <c r="K259" s="175">
        <f t="shared" si="49"/>
        <v>30597193</v>
      </c>
      <c r="L259" s="37">
        <f t="shared" si="50"/>
        <v>33.593519882179677</v>
      </c>
      <c r="M259" s="175">
        <f t="shared" si="53"/>
        <v>6993814</v>
      </c>
      <c r="N259" s="175">
        <f t="shared" ca="1" si="54"/>
        <v>7095664</v>
      </c>
      <c r="O259" s="37">
        <f t="shared" ca="1" si="68"/>
        <v>101850</v>
      </c>
      <c r="P259" s="37">
        <f t="shared" ca="1" si="69"/>
        <v>30</v>
      </c>
      <c r="Q259" s="68">
        <f t="shared" ca="1" si="70"/>
        <v>1.46</v>
      </c>
      <c r="R259" s="407"/>
      <c r="S259" s="102"/>
    </row>
    <row r="260" spans="1:19">
      <c r="A260" s="102">
        <v>650</v>
      </c>
      <c r="B260" s="7" t="s">
        <v>2069</v>
      </c>
      <c r="C260" s="7">
        <v>1</v>
      </c>
      <c r="D260" s="175">
        <f t="shared" ref="D260:D325" si="71">VLOOKUP(A260,aidcalc,17)</f>
        <v>2922</v>
      </c>
      <c r="E260" s="175">
        <f t="shared" ref="E260:E325" si="72">VLOOKUP(A260,aidcalc,18)</f>
        <v>2877</v>
      </c>
      <c r="F260" s="37">
        <f t="shared" ref="F260:F325" si="73">E260-D260</f>
        <v>-45</v>
      </c>
      <c r="G260" s="175">
        <f t="shared" ref="G260:G325" si="74">VLOOKUP(A260,aidcalc,4)</f>
        <v>29000399</v>
      </c>
      <c r="H260" s="175">
        <f t="shared" ref="H260:H325" si="75">VLOOKUP(A260,aidcalc,6)</f>
        <v>28781591.615531329</v>
      </c>
      <c r="I260" s="37">
        <f t="shared" ref="I260:I325" si="76">(H260-G260)/$E260</f>
        <v>-76.054009200094171</v>
      </c>
      <c r="J260" s="175">
        <f t="shared" ref="J260:J325" si="77">SUMIF(dist1755,A260,pynetmin)</f>
        <v>17773340</v>
      </c>
      <c r="K260" s="175">
        <f t="shared" ref="K260:K325" si="78">VLOOKUP(A260,aidcalc,7)</f>
        <v>18150262</v>
      </c>
      <c r="L260" s="37">
        <f t="shared" ref="L260:L325" si="79">(K260-J260)/$E260</f>
        <v>131.01216545012164</v>
      </c>
      <c r="M260" s="175">
        <f t="shared" si="53"/>
        <v>12696956</v>
      </c>
      <c r="N260" s="175">
        <f t="shared" ca="1" si="54"/>
        <v>12783266</v>
      </c>
      <c r="O260" s="37">
        <f t="shared" ca="1" si="68"/>
        <v>86310</v>
      </c>
      <c r="P260" s="37">
        <f t="shared" ca="1" si="69"/>
        <v>30</v>
      </c>
      <c r="Q260" s="68">
        <f t="shared" ca="1" si="70"/>
        <v>0.68</v>
      </c>
      <c r="R260" s="407"/>
      <c r="S260" s="102"/>
    </row>
    <row r="261" spans="1:19">
      <c r="A261" s="102">
        <v>655</v>
      </c>
      <c r="B261" s="7" t="s">
        <v>2070</v>
      </c>
      <c r="C261" s="7">
        <v>1</v>
      </c>
      <c r="D261" s="175">
        <f t="shared" si="71"/>
        <v>1213</v>
      </c>
      <c r="E261" s="175">
        <f t="shared" si="72"/>
        <v>1207</v>
      </c>
      <c r="F261" s="37">
        <f t="shared" si="73"/>
        <v>-6</v>
      </c>
      <c r="G261" s="175">
        <f t="shared" si="74"/>
        <v>11702650</v>
      </c>
      <c r="H261" s="175">
        <f t="shared" si="75"/>
        <v>11848628.162153138</v>
      </c>
      <c r="I261" s="37">
        <f t="shared" si="76"/>
        <v>120.94296781535861</v>
      </c>
      <c r="J261" s="175">
        <f t="shared" si="77"/>
        <v>9794356</v>
      </c>
      <c r="K261" s="175">
        <f t="shared" si="78"/>
        <v>9800905</v>
      </c>
      <c r="L261" s="37">
        <f t="shared" si="79"/>
        <v>5.4258492129246063</v>
      </c>
      <c r="M261" s="175">
        <f t="shared" si="53"/>
        <v>1908294</v>
      </c>
      <c r="N261" s="175">
        <f t="shared" ca="1" si="54"/>
        <v>2047723</v>
      </c>
      <c r="O261" s="37">
        <f t="shared" ca="1" si="68"/>
        <v>139429</v>
      </c>
      <c r="P261" s="37">
        <f t="shared" ca="1" si="69"/>
        <v>115.51698425849213</v>
      </c>
      <c r="Q261" s="68">
        <f t="shared" ca="1" si="70"/>
        <v>7.31</v>
      </c>
      <c r="R261" s="407"/>
      <c r="S261" s="102"/>
    </row>
    <row r="262" spans="1:19">
      <c r="A262" s="102">
        <v>658</v>
      </c>
      <c r="B262" s="7" t="s">
        <v>2071</v>
      </c>
      <c r="C262" s="7">
        <v>1</v>
      </c>
      <c r="D262" s="175">
        <f t="shared" si="71"/>
        <v>3862</v>
      </c>
      <c r="E262" s="175">
        <f t="shared" si="72"/>
        <v>3802</v>
      </c>
      <c r="F262" s="37">
        <f t="shared" si="73"/>
        <v>-60</v>
      </c>
      <c r="G262" s="175">
        <f t="shared" si="74"/>
        <v>37500027</v>
      </c>
      <c r="H262" s="175">
        <f t="shared" si="75"/>
        <v>37720695.5316194</v>
      </c>
      <c r="I262" s="37">
        <f t="shared" si="76"/>
        <v>58.040118784692211</v>
      </c>
      <c r="J262" s="175">
        <f t="shared" si="77"/>
        <v>15535167</v>
      </c>
      <c r="K262" s="175">
        <f t="shared" si="78"/>
        <v>16113609</v>
      </c>
      <c r="L262" s="37">
        <f t="shared" si="79"/>
        <v>152.14150447133088</v>
      </c>
      <c r="M262" s="175">
        <f t="shared" si="53"/>
        <v>24151183</v>
      </c>
      <c r="N262" s="175">
        <f t="shared" ca="1" si="54"/>
        <v>24265243</v>
      </c>
      <c r="O262" s="37">
        <f t="shared" ca="1" si="68"/>
        <v>114060</v>
      </c>
      <c r="P262" s="37">
        <f t="shared" ca="1" si="69"/>
        <v>30</v>
      </c>
      <c r="Q262" s="68">
        <f t="shared" ca="1" si="70"/>
        <v>0.47</v>
      </c>
      <c r="R262" s="407"/>
      <c r="S262" s="102"/>
    </row>
    <row r="263" spans="1:19">
      <c r="A263" s="102">
        <v>660</v>
      </c>
      <c r="B263" s="7" t="s">
        <v>2072</v>
      </c>
      <c r="C263" s="7">
        <v>1</v>
      </c>
      <c r="D263" s="175">
        <f t="shared" si="71"/>
        <v>1235</v>
      </c>
      <c r="E263" s="175">
        <f t="shared" si="72"/>
        <v>1183.00000001183</v>
      </c>
      <c r="F263" s="37">
        <f t="shared" si="73"/>
        <v>-51.999999988169975</v>
      </c>
      <c r="G263" s="175">
        <f t="shared" si="74"/>
        <v>12935106</v>
      </c>
      <c r="H263" s="175">
        <f t="shared" si="75"/>
        <v>12490516.601979394</v>
      </c>
      <c r="I263" s="37">
        <f t="shared" si="76"/>
        <v>-375.81521387672069</v>
      </c>
      <c r="J263" s="175">
        <f t="shared" si="77"/>
        <v>10790864</v>
      </c>
      <c r="K263" s="175">
        <f t="shared" si="78"/>
        <v>10380459</v>
      </c>
      <c r="L263" s="37">
        <f t="shared" si="79"/>
        <v>-346.91885037691964</v>
      </c>
      <c r="M263" s="175">
        <f t="shared" si="53"/>
        <v>3421279</v>
      </c>
      <c r="N263" s="175">
        <f t="shared" ca="1" si="54"/>
        <v>3456769.0000003548</v>
      </c>
      <c r="O263" s="37">
        <f t="shared" ca="1" si="68"/>
        <v>35490.000000354834</v>
      </c>
      <c r="P263" s="37">
        <f t="shared" ca="1" si="69"/>
        <v>29.999999999999943</v>
      </c>
      <c r="Q263" s="68">
        <f t="shared" ca="1" si="70"/>
        <v>1.04</v>
      </c>
      <c r="R263" s="407"/>
      <c r="S263" s="102"/>
    </row>
    <row r="264" spans="1:19">
      <c r="A264" s="102">
        <v>662</v>
      </c>
      <c r="B264" s="7" t="s">
        <v>1639</v>
      </c>
      <c r="C264" s="7">
        <v>1</v>
      </c>
      <c r="D264" s="175">
        <f t="shared" si="71"/>
        <v>248</v>
      </c>
      <c r="E264" s="175">
        <f t="shared" si="72"/>
        <v>238</v>
      </c>
      <c r="F264" s="37">
        <f t="shared" si="73"/>
        <v>-10</v>
      </c>
      <c r="G264" s="175">
        <f t="shared" si="74"/>
        <v>2464478</v>
      </c>
      <c r="H264" s="175">
        <f t="shared" si="75"/>
        <v>2368941.0110670594</v>
      </c>
      <c r="I264" s="37">
        <f t="shared" si="76"/>
        <v>-401.41591988630523</v>
      </c>
      <c r="J264" s="175">
        <f t="shared" si="77"/>
        <v>2057324</v>
      </c>
      <c r="K264" s="175">
        <f t="shared" si="78"/>
        <v>1978521</v>
      </c>
      <c r="L264" s="37">
        <f t="shared" si="79"/>
        <v>-331.10504201680675</v>
      </c>
      <c r="M264" s="175">
        <f t="shared" si="53"/>
        <v>427060</v>
      </c>
      <c r="N264" s="175">
        <f t="shared" ca="1" si="54"/>
        <v>434200</v>
      </c>
      <c r="O264" s="37">
        <f t="shared" ca="1" si="68"/>
        <v>7140</v>
      </c>
      <c r="P264" s="37">
        <f t="shared" ca="1" si="69"/>
        <v>30</v>
      </c>
      <c r="Q264" s="68">
        <f t="shared" ca="1" si="70"/>
        <v>1.67</v>
      </c>
      <c r="R264" s="407"/>
      <c r="S264" s="102"/>
    </row>
    <row r="265" spans="1:19">
      <c r="A265" s="102">
        <v>665</v>
      </c>
      <c r="B265" s="7" t="s">
        <v>2073</v>
      </c>
      <c r="C265" s="7">
        <v>1</v>
      </c>
      <c r="D265" s="175">
        <f t="shared" si="71"/>
        <v>2855</v>
      </c>
      <c r="E265" s="175">
        <f t="shared" si="72"/>
        <v>2788</v>
      </c>
      <c r="F265" s="37">
        <f t="shared" si="73"/>
        <v>-67</v>
      </c>
      <c r="G265" s="175">
        <f t="shared" si="74"/>
        <v>27153763</v>
      </c>
      <c r="H265" s="175">
        <f t="shared" si="75"/>
        <v>26949047.128918782</v>
      </c>
      <c r="I265" s="37">
        <f t="shared" si="76"/>
        <v>-73.427500387811378</v>
      </c>
      <c r="J265" s="175">
        <f t="shared" si="77"/>
        <v>17863322</v>
      </c>
      <c r="K265" s="175">
        <f t="shared" si="78"/>
        <v>17944798</v>
      </c>
      <c r="L265" s="37">
        <f t="shared" si="79"/>
        <v>29.223816355810616</v>
      </c>
      <c r="M265" s="175">
        <f t="shared" si="53"/>
        <v>10849513</v>
      </c>
      <c r="N265" s="175">
        <f t="shared" ca="1" si="54"/>
        <v>10933153</v>
      </c>
      <c r="O265" s="37">
        <f t="shared" ca="1" si="68"/>
        <v>83640</v>
      </c>
      <c r="P265" s="37">
        <f t="shared" ca="1" si="69"/>
        <v>30</v>
      </c>
      <c r="Q265" s="68">
        <f t="shared" ca="1" si="70"/>
        <v>0.77</v>
      </c>
      <c r="R265" s="407"/>
      <c r="S265" s="102"/>
    </row>
    <row r="266" spans="1:19">
      <c r="A266" s="102">
        <v>670</v>
      </c>
      <c r="B266" s="7" t="s">
        <v>2074</v>
      </c>
      <c r="C266" s="7">
        <v>1</v>
      </c>
      <c r="D266" s="175">
        <f t="shared" si="71"/>
        <v>584</v>
      </c>
      <c r="E266" s="175">
        <f t="shared" si="72"/>
        <v>550.99999999449005</v>
      </c>
      <c r="F266" s="37">
        <f t="shared" si="73"/>
        <v>-33.000000005509946</v>
      </c>
      <c r="G266" s="175">
        <f t="shared" si="74"/>
        <v>5886720</v>
      </c>
      <c r="H266" s="175">
        <f t="shared" si="75"/>
        <v>5732224.0889145313</v>
      </c>
      <c r="I266" s="37">
        <f t="shared" si="76"/>
        <v>-280.39185315247488</v>
      </c>
      <c r="J266" s="175">
        <f t="shared" si="77"/>
        <v>4852262</v>
      </c>
      <c r="K266" s="175">
        <f t="shared" si="78"/>
        <v>4635171</v>
      </c>
      <c r="L266" s="37">
        <f t="shared" si="79"/>
        <v>-393.99455535784188</v>
      </c>
      <c r="M266" s="175">
        <f t="shared" ref="M266:M332" si="80">VLOOKUP(A266,disthist,43)</f>
        <v>2804715</v>
      </c>
      <c r="N266" s="175">
        <f t="shared" ref="N266:N332" ca="1" si="81">VLOOKUP(A266,aidcalc,36)</f>
        <v>2821244.9999998347</v>
      </c>
      <c r="O266" s="37">
        <f t="shared" ca="1" si="68"/>
        <v>16529.99999983469</v>
      </c>
      <c r="P266" s="37">
        <f t="shared" ca="1" si="69"/>
        <v>29.999999999999979</v>
      </c>
      <c r="Q266" s="68">
        <f t="shared" ca="1" si="70"/>
        <v>0.59</v>
      </c>
      <c r="R266" s="407"/>
      <c r="S266" s="102"/>
    </row>
    <row r="267" spans="1:19">
      <c r="A267" s="102">
        <v>672</v>
      </c>
      <c r="B267" s="7" t="s">
        <v>2075</v>
      </c>
      <c r="C267" s="7">
        <v>1</v>
      </c>
      <c r="D267" s="175">
        <f t="shared" si="71"/>
        <v>893</v>
      </c>
      <c r="E267" s="175">
        <f t="shared" si="72"/>
        <v>880.00000000000011</v>
      </c>
      <c r="F267" s="37">
        <f t="shared" si="73"/>
        <v>-12.999999999999886</v>
      </c>
      <c r="G267" s="175">
        <f t="shared" si="74"/>
        <v>9151021</v>
      </c>
      <c r="H267" s="175">
        <f t="shared" si="75"/>
        <v>9186465.9257388338</v>
      </c>
      <c r="I267" s="37">
        <f t="shared" si="76"/>
        <v>40.278324703220271</v>
      </c>
      <c r="J267" s="175">
        <f t="shared" si="77"/>
        <v>5435268</v>
      </c>
      <c r="K267" s="175">
        <f t="shared" si="78"/>
        <v>5185242</v>
      </c>
      <c r="L267" s="37">
        <f t="shared" si="79"/>
        <v>-284.12045454545449</v>
      </c>
      <c r="M267" s="175">
        <f t="shared" si="80"/>
        <v>5580489</v>
      </c>
      <c r="N267" s="175">
        <f t="shared" ca="1" si="81"/>
        <v>5606889</v>
      </c>
      <c r="O267" s="37">
        <f t="shared" ca="1" si="68"/>
        <v>26400</v>
      </c>
      <c r="P267" s="37">
        <f t="shared" ca="1" si="69"/>
        <v>29.999999999999996</v>
      </c>
      <c r="Q267" s="68">
        <f t="shared" ca="1" si="70"/>
        <v>0.47</v>
      </c>
      <c r="R267" s="407"/>
      <c r="S267" s="102"/>
    </row>
    <row r="268" spans="1:19">
      <c r="A268" s="102">
        <v>673</v>
      </c>
      <c r="B268" s="7" t="s">
        <v>2076</v>
      </c>
      <c r="C268" s="7">
        <v>1</v>
      </c>
      <c r="D268" s="175">
        <f t="shared" si="71"/>
        <v>2380</v>
      </c>
      <c r="E268" s="175">
        <f t="shared" si="72"/>
        <v>2385</v>
      </c>
      <c r="F268" s="37">
        <f t="shared" si="73"/>
        <v>5</v>
      </c>
      <c r="G268" s="175">
        <f t="shared" si="74"/>
        <v>21908747</v>
      </c>
      <c r="H268" s="175">
        <f t="shared" si="75"/>
        <v>22374529.724943254</v>
      </c>
      <c r="I268" s="37">
        <f t="shared" si="76"/>
        <v>195.29674001813592</v>
      </c>
      <c r="J268" s="175">
        <f t="shared" si="77"/>
        <v>18375113</v>
      </c>
      <c r="K268" s="175">
        <f t="shared" si="78"/>
        <v>18540836</v>
      </c>
      <c r="L268" s="37">
        <f t="shared" si="79"/>
        <v>69.485534591194963</v>
      </c>
      <c r="M268" s="175">
        <f t="shared" si="80"/>
        <v>10706573</v>
      </c>
      <c r="N268" s="175">
        <f t="shared" ca="1" si="81"/>
        <v>10778123</v>
      </c>
      <c r="O268" s="37">
        <f t="shared" ca="1" si="68"/>
        <v>71550</v>
      </c>
      <c r="P268" s="37">
        <f t="shared" ca="1" si="69"/>
        <v>30</v>
      </c>
      <c r="Q268" s="68">
        <f t="shared" ca="1" si="70"/>
        <v>0.67</v>
      </c>
      <c r="R268" s="407"/>
      <c r="S268" s="102"/>
    </row>
    <row r="269" spans="1:19">
      <c r="A269" s="102">
        <v>674</v>
      </c>
      <c r="B269" s="7" t="s">
        <v>2077</v>
      </c>
      <c r="C269" s="7">
        <v>1</v>
      </c>
      <c r="D269" s="175">
        <f t="shared" si="71"/>
        <v>1091</v>
      </c>
      <c r="E269" s="175">
        <f t="shared" si="72"/>
        <v>1078</v>
      </c>
      <c r="F269" s="37">
        <f t="shared" si="73"/>
        <v>-13</v>
      </c>
      <c r="G269" s="175">
        <f t="shared" si="74"/>
        <v>11388880</v>
      </c>
      <c r="H269" s="175">
        <f t="shared" si="75"/>
        <v>11605184.313327502</v>
      </c>
      <c r="I269" s="37">
        <f t="shared" si="76"/>
        <v>200.65335188080005</v>
      </c>
      <c r="J269" s="175">
        <f t="shared" si="77"/>
        <v>6051487</v>
      </c>
      <c r="K269" s="175">
        <f t="shared" si="78"/>
        <v>6037197</v>
      </c>
      <c r="L269" s="37">
        <f t="shared" si="79"/>
        <v>-13.256029684601113</v>
      </c>
      <c r="M269" s="175">
        <f t="shared" si="80"/>
        <v>6152674</v>
      </c>
      <c r="N269" s="175">
        <f t="shared" ca="1" si="81"/>
        <v>6185014</v>
      </c>
      <c r="O269" s="37">
        <f t="shared" ca="1" si="68"/>
        <v>32340</v>
      </c>
      <c r="P269" s="37">
        <f t="shared" ca="1" si="69"/>
        <v>30</v>
      </c>
      <c r="Q269" s="68">
        <f t="shared" ca="1" si="70"/>
        <v>0.53</v>
      </c>
      <c r="R269" s="407"/>
      <c r="S269" s="102"/>
    </row>
    <row r="270" spans="1:19">
      <c r="A270" s="102">
        <v>675</v>
      </c>
      <c r="B270" s="7" t="s">
        <v>2078</v>
      </c>
      <c r="C270" s="7">
        <v>1</v>
      </c>
      <c r="D270" s="175">
        <f t="shared" si="71"/>
        <v>1758</v>
      </c>
      <c r="E270" s="175">
        <f t="shared" si="72"/>
        <v>1735</v>
      </c>
      <c r="F270" s="37">
        <f t="shared" si="73"/>
        <v>-23</v>
      </c>
      <c r="G270" s="175">
        <f t="shared" si="74"/>
        <v>16651753</v>
      </c>
      <c r="H270" s="175">
        <f t="shared" si="75"/>
        <v>16696408.934955347</v>
      </c>
      <c r="I270" s="37">
        <f t="shared" si="76"/>
        <v>25.738291040546009</v>
      </c>
      <c r="J270" s="175">
        <f t="shared" si="77"/>
        <v>13827676</v>
      </c>
      <c r="K270" s="175">
        <f t="shared" si="78"/>
        <v>13868580</v>
      </c>
      <c r="L270" s="37">
        <f t="shared" si="79"/>
        <v>23.575792507204611</v>
      </c>
      <c r="M270" s="175">
        <f t="shared" si="80"/>
        <v>3554656</v>
      </c>
      <c r="N270" s="175">
        <f t="shared" ca="1" si="81"/>
        <v>3606706</v>
      </c>
      <c r="O270" s="37">
        <f t="shared" ca="1" si="68"/>
        <v>52050</v>
      </c>
      <c r="P270" s="37">
        <f t="shared" ca="1" si="69"/>
        <v>30</v>
      </c>
      <c r="Q270" s="68">
        <f t="shared" ca="1" si="70"/>
        <v>1.46</v>
      </c>
      <c r="R270" s="407"/>
      <c r="S270" s="102"/>
    </row>
    <row r="271" spans="1:19">
      <c r="A271" s="102">
        <v>680</v>
      </c>
      <c r="B271" s="7" t="s">
        <v>2079</v>
      </c>
      <c r="C271" s="7">
        <v>1</v>
      </c>
      <c r="D271" s="175">
        <f t="shared" si="71"/>
        <v>3056</v>
      </c>
      <c r="E271" s="175">
        <f t="shared" si="72"/>
        <v>3016</v>
      </c>
      <c r="F271" s="37">
        <f t="shared" si="73"/>
        <v>-40</v>
      </c>
      <c r="G271" s="175">
        <f t="shared" si="74"/>
        <v>29402188</v>
      </c>
      <c r="H271" s="175">
        <f t="shared" si="75"/>
        <v>29683317.843047649</v>
      </c>
      <c r="I271" s="37">
        <f t="shared" si="76"/>
        <v>93.212812681581127</v>
      </c>
      <c r="J271" s="175">
        <f t="shared" si="77"/>
        <v>20490243</v>
      </c>
      <c r="K271" s="175">
        <f t="shared" si="78"/>
        <v>20807570</v>
      </c>
      <c r="L271" s="37">
        <f t="shared" si="79"/>
        <v>105.2145225464191</v>
      </c>
      <c r="M271" s="175">
        <f t="shared" si="80"/>
        <v>11651894</v>
      </c>
      <c r="N271" s="175">
        <f t="shared" ca="1" si="81"/>
        <v>11742374</v>
      </c>
      <c r="O271" s="37">
        <f t="shared" ca="1" si="68"/>
        <v>90480</v>
      </c>
      <c r="P271" s="37">
        <f t="shared" ca="1" si="69"/>
        <v>30</v>
      </c>
      <c r="Q271" s="68">
        <f t="shared" ca="1" si="70"/>
        <v>0.78</v>
      </c>
      <c r="R271" s="407"/>
      <c r="S271" s="102"/>
    </row>
    <row r="272" spans="1:19">
      <c r="A272" s="102">
        <v>683</v>
      </c>
      <c r="B272" s="7" t="s">
        <v>2080</v>
      </c>
      <c r="C272" s="7">
        <v>1</v>
      </c>
      <c r="D272" s="175">
        <f t="shared" si="71"/>
        <v>724</v>
      </c>
      <c r="E272" s="175">
        <f t="shared" si="72"/>
        <v>704.00000000704006</v>
      </c>
      <c r="F272" s="37">
        <f t="shared" si="73"/>
        <v>-19.999999992959943</v>
      </c>
      <c r="G272" s="175">
        <f t="shared" si="74"/>
        <v>7226816</v>
      </c>
      <c r="H272" s="175">
        <f t="shared" si="75"/>
        <v>7135055.1371439751</v>
      </c>
      <c r="I272" s="37">
        <f t="shared" si="76"/>
        <v>-130.34213473736827</v>
      </c>
      <c r="J272" s="175">
        <f t="shared" si="77"/>
        <v>4870971</v>
      </c>
      <c r="K272" s="175">
        <f t="shared" si="78"/>
        <v>4768992</v>
      </c>
      <c r="L272" s="37">
        <f t="shared" si="79"/>
        <v>-144.85653408946052</v>
      </c>
      <c r="M272" s="175">
        <f t="shared" si="80"/>
        <v>3210153</v>
      </c>
      <c r="N272" s="175">
        <f t="shared" ca="1" si="81"/>
        <v>3231273.0000002114</v>
      </c>
      <c r="O272" s="37">
        <f t="shared" ca="1" si="68"/>
        <v>21120.00000021141</v>
      </c>
      <c r="P272" s="37">
        <f t="shared" ca="1" si="69"/>
        <v>30.000000000000295</v>
      </c>
      <c r="Q272" s="68">
        <f t="shared" ca="1" si="70"/>
        <v>0.66</v>
      </c>
      <c r="R272" s="407"/>
      <c r="S272" s="102"/>
    </row>
    <row r="273" spans="1:19">
      <c r="A273" s="102">
        <v>685</v>
      </c>
      <c r="B273" s="7" t="s">
        <v>2081</v>
      </c>
      <c r="C273" s="7">
        <v>1</v>
      </c>
      <c r="D273" s="175">
        <f t="shared" si="71"/>
        <v>89</v>
      </c>
      <c r="E273" s="175">
        <f t="shared" si="72"/>
        <v>82</v>
      </c>
      <c r="F273" s="37">
        <f t="shared" si="73"/>
        <v>-7</v>
      </c>
      <c r="G273" s="175">
        <f t="shared" si="74"/>
        <v>966196</v>
      </c>
      <c r="H273" s="175">
        <f t="shared" si="75"/>
        <v>948610.29681259417</v>
      </c>
      <c r="I273" s="37">
        <f t="shared" si="76"/>
        <v>-214.45979496836378</v>
      </c>
      <c r="J273" s="175">
        <f t="shared" si="77"/>
        <v>536672</v>
      </c>
      <c r="K273" s="175">
        <f t="shared" si="78"/>
        <v>528435</v>
      </c>
      <c r="L273" s="37">
        <f t="shared" si="79"/>
        <v>-100.45121951219512</v>
      </c>
      <c r="M273" s="175">
        <f t="shared" si="80"/>
        <v>619422</v>
      </c>
      <c r="N273" s="175">
        <f t="shared" ca="1" si="81"/>
        <v>621882</v>
      </c>
      <c r="O273" s="37">
        <f t="shared" ca="1" si="68"/>
        <v>2460</v>
      </c>
      <c r="P273" s="37">
        <f t="shared" ca="1" si="69"/>
        <v>30</v>
      </c>
      <c r="Q273" s="68">
        <f t="shared" ca="1" si="70"/>
        <v>0.4</v>
      </c>
      <c r="R273" s="407"/>
      <c r="S273" s="102"/>
    </row>
    <row r="274" spans="1:19">
      <c r="A274" s="102">
        <v>690</v>
      </c>
      <c r="B274" s="7" t="s">
        <v>2082</v>
      </c>
      <c r="C274" s="7">
        <v>1</v>
      </c>
      <c r="D274" s="175">
        <f t="shared" si="71"/>
        <v>2206</v>
      </c>
      <c r="E274" s="175">
        <f t="shared" si="72"/>
        <v>2175.9999999782399</v>
      </c>
      <c r="F274" s="37">
        <f t="shared" si="73"/>
        <v>-30.000000021760115</v>
      </c>
      <c r="G274" s="175">
        <f t="shared" si="74"/>
        <v>21464344</v>
      </c>
      <c r="H274" s="175">
        <f t="shared" si="75"/>
        <v>21686949.863603115</v>
      </c>
      <c r="I274" s="37">
        <f t="shared" si="76"/>
        <v>102.30048878921927</v>
      </c>
      <c r="J274" s="175">
        <f t="shared" si="77"/>
        <v>16747910</v>
      </c>
      <c r="K274" s="175">
        <f t="shared" si="78"/>
        <v>17288364</v>
      </c>
      <c r="L274" s="37">
        <f t="shared" si="79"/>
        <v>248.37040441424841</v>
      </c>
      <c r="M274" s="175">
        <f t="shared" si="80"/>
        <v>7399780</v>
      </c>
      <c r="N274" s="175">
        <f t="shared" ca="1" si="81"/>
        <v>7465059.9999993471</v>
      </c>
      <c r="O274" s="37">
        <f t="shared" ca="1" si="68"/>
        <v>65279.999999347143</v>
      </c>
      <c r="P274" s="37">
        <f t="shared" ca="1" si="69"/>
        <v>29.999999999999975</v>
      </c>
      <c r="Q274" s="68">
        <f t="shared" ca="1" si="70"/>
        <v>0.88</v>
      </c>
      <c r="R274" s="407"/>
      <c r="S274" s="102"/>
    </row>
    <row r="275" spans="1:19">
      <c r="A275" s="102">
        <v>695</v>
      </c>
      <c r="B275" s="7" t="s">
        <v>2083</v>
      </c>
      <c r="C275" s="7">
        <v>1</v>
      </c>
      <c r="D275" s="175">
        <f t="shared" si="71"/>
        <v>1667</v>
      </c>
      <c r="E275" s="175">
        <f t="shared" si="72"/>
        <v>1633</v>
      </c>
      <c r="F275" s="37">
        <f t="shared" si="73"/>
        <v>-34</v>
      </c>
      <c r="G275" s="175">
        <f t="shared" si="74"/>
        <v>17527242</v>
      </c>
      <c r="H275" s="175">
        <f t="shared" si="75"/>
        <v>17315388.091420949</v>
      </c>
      <c r="I275" s="37">
        <f t="shared" si="76"/>
        <v>-129.73295075263411</v>
      </c>
      <c r="J275" s="175">
        <f t="shared" si="77"/>
        <v>14585219</v>
      </c>
      <c r="K275" s="175">
        <f t="shared" si="78"/>
        <v>14392659</v>
      </c>
      <c r="L275" s="37">
        <f t="shared" si="79"/>
        <v>-117.91794243723209</v>
      </c>
      <c r="M275" s="175">
        <f t="shared" si="80"/>
        <v>2953706.1578124999</v>
      </c>
      <c r="N275" s="175">
        <f t="shared" ca="1" si="81"/>
        <v>3002696.1578124999</v>
      </c>
      <c r="O275" s="37">
        <f t="shared" ca="1" si="68"/>
        <v>48990</v>
      </c>
      <c r="P275" s="37">
        <f t="shared" ca="1" si="69"/>
        <v>30</v>
      </c>
      <c r="Q275" s="68">
        <f t="shared" ca="1" si="70"/>
        <v>1.66</v>
      </c>
      <c r="R275" s="407"/>
      <c r="S275" s="102"/>
    </row>
    <row r="276" spans="1:19">
      <c r="A276" s="102">
        <v>698</v>
      </c>
      <c r="B276" s="7" t="s">
        <v>1651</v>
      </c>
      <c r="C276" s="7">
        <v>1</v>
      </c>
      <c r="D276" s="175">
        <f t="shared" si="71"/>
        <v>1394</v>
      </c>
      <c r="E276" s="175">
        <f t="shared" si="72"/>
        <v>1351</v>
      </c>
      <c r="F276" s="37">
        <f t="shared" si="73"/>
        <v>-43</v>
      </c>
      <c r="G276" s="175">
        <f t="shared" si="74"/>
        <v>13222782</v>
      </c>
      <c r="H276" s="175">
        <f t="shared" si="75"/>
        <v>13044522.634690613</v>
      </c>
      <c r="I276" s="37">
        <f t="shared" si="76"/>
        <v>-131.94623635039781</v>
      </c>
      <c r="J276" s="175">
        <f t="shared" si="77"/>
        <v>11043112</v>
      </c>
      <c r="K276" s="175">
        <f t="shared" si="78"/>
        <v>10860009</v>
      </c>
      <c r="L276" s="37">
        <f t="shared" si="79"/>
        <v>-135.53145817912656</v>
      </c>
      <c r="M276" s="175">
        <f t="shared" si="80"/>
        <v>2926838</v>
      </c>
      <c r="N276" s="175">
        <f t="shared" ca="1" si="81"/>
        <v>2967368</v>
      </c>
      <c r="O276" s="37">
        <f t="shared" ca="1" si="68"/>
        <v>40530</v>
      </c>
      <c r="P276" s="37">
        <f t="shared" ca="1" si="69"/>
        <v>30</v>
      </c>
      <c r="Q276" s="68">
        <f t="shared" ca="1" si="70"/>
        <v>1.38</v>
      </c>
      <c r="R276" s="407"/>
      <c r="S276" s="102"/>
    </row>
    <row r="277" spans="1:19">
      <c r="A277" s="102">
        <v>700</v>
      </c>
      <c r="B277" s="7" t="s">
        <v>2084</v>
      </c>
      <c r="C277" s="7">
        <v>1</v>
      </c>
      <c r="D277" s="175">
        <f t="shared" si="71"/>
        <v>705</v>
      </c>
      <c r="E277" s="175">
        <f t="shared" si="72"/>
        <v>704</v>
      </c>
      <c r="F277" s="37">
        <f t="shared" si="73"/>
        <v>-1</v>
      </c>
      <c r="G277" s="175">
        <f t="shared" si="74"/>
        <v>8366347</v>
      </c>
      <c r="H277" s="175">
        <f t="shared" si="75"/>
        <v>8775465.4854839947</v>
      </c>
      <c r="I277" s="37">
        <f t="shared" si="76"/>
        <v>581.13421233521979</v>
      </c>
      <c r="J277" s="175">
        <f t="shared" si="77"/>
        <v>6863098</v>
      </c>
      <c r="K277" s="175">
        <f t="shared" si="78"/>
        <v>7160292</v>
      </c>
      <c r="L277" s="37">
        <f t="shared" si="79"/>
        <v>422.15056818181819</v>
      </c>
      <c r="M277" s="175">
        <f t="shared" si="80"/>
        <v>2814000</v>
      </c>
      <c r="N277" s="175">
        <f t="shared" ca="1" si="81"/>
        <v>2835120</v>
      </c>
      <c r="O277" s="37">
        <f t="shared" ref="O277:O308" ca="1" si="82">N277-M277</f>
        <v>21120</v>
      </c>
      <c r="P277" s="37">
        <f t="shared" ref="P277:P308" ca="1" si="83">(N277-M277)/$E277</f>
        <v>30</v>
      </c>
      <c r="Q277" s="68">
        <f t="shared" ref="Q277:Q308" ca="1" si="84">ROUND(IF(G277&gt;0,(N277-M277)*100/M277,100),2)</f>
        <v>0.75</v>
      </c>
      <c r="R277" s="407"/>
      <c r="S277" s="102"/>
    </row>
    <row r="278" spans="1:19">
      <c r="A278" s="102">
        <v>705</v>
      </c>
      <c r="B278" s="7" t="s">
        <v>2085</v>
      </c>
      <c r="C278" s="7">
        <v>1</v>
      </c>
      <c r="D278" s="175">
        <f t="shared" si="71"/>
        <v>1977</v>
      </c>
      <c r="E278" s="175">
        <f t="shared" si="72"/>
        <v>1882</v>
      </c>
      <c r="F278" s="37">
        <f t="shared" si="73"/>
        <v>-95</v>
      </c>
      <c r="G278" s="175">
        <f t="shared" si="74"/>
        <v>19430987</v>
      </c>
      <c r="H278" s="175">
        <f t="shared" si="75"/>
        <v>18987857.036568414</v>
      </c>
      <c r="I278" s="37">
        <f t="shared" si="76"/>
        <v>-235.45694124951413</v>
      </c>
      <c r="J278" s="175">
        <f t="shared" si="77"/>
        <v>16230896</v>
      </c>
      <c r="K278" s="175">
        <f t="shared" si="78"/>
        <v>15814213</v>
      </c>
      <c r="L278" s="37">
        <f t="shared" si="79"/>
        <v>-221.40435706695004</v>
      </c>
      <c r="M278" s="175">
        <f t="shared" si="80"/>
        <v>5034459</v>
      </c>
      <c r="N278" s="175">
        <f t="shared" ca="1" si="81"/>
        <v>5090919</v>
      </c>
      <c r="O278" s="37">
        <f t="shared" ca="1" si="82"/>
        <v>56460</v>
      </c>
      <c r="P278" s="37">
        <f t="shared" ca="1" si="83"/>
        <v>30</v>
      </c>
      <c r="Q278" s="68">
        <f t="shared" ca="1" si="84"/>
        <v>1.1200000000000001</v>
      </c>
      <c r="R278" s="407"/>
      <c r="S278" s="102"/>
    </row>
    <row r="279" spans="1:19">
      <c r="A279" s="102">
        <v>710</v>
      </c>
      <c r="B279" s="7" t="s">
        <v>2086</v>
      </c>
      <c r="C279" s="7">
        <v>1</v>
      </c>
      <c r="D279" s="175">
        <f t="shared" si="71"/>
        <v>2211</v>
      </c>
      <c r="E279" s="175">
        <f t="shared" si="72"/>
        <v>2143</v>
      </c>
      <c r="F279" s="37">
        <f t="shared" si="73"/>
        <v>-68</v>
      </c>
      <c r="G279" s="175">
        <f t="shared" si="74"/>
        <v>20452434</v>
      </c>
      <c r="H279" s="175">
        <f t="shared" si="75"/>
        <v>20207384.356621977</v>
      </c>
      <c r="I279" s="37">
        <f t="shared" si="76"/>
        <v>-114.34887698461179</v>
      </c>
      <c r="J279" s="175">
        <f t="shared" si="77"/>
        <v>13459709</v>
      </c>
      <c r="K279" s="175">
        <f t="shared" si="78"/>
        <v>13867755</v>
      </c>
      <c r="L279" s="37">
        <f t="shared" si="79"/>
        <v>190.40877274848344</v>
      </c>
      <c r="M279" s="175">
        <f t="shared" si="80"/>
        <v>12253186</v>
      </c>
      <c r="N279" s="175">
        <f t="shared" ca="1" si="81"/>
        <v>12317476</v>
      </c>
      <c r="O279" s="37">
        <f t="shared" ca="1" si="82"/>
        <v>64290</v>
      </c>
      <c r="P279" s="37">
        <f t="shared" ca="1" si="83"/>
        <v>30</v>
      </c>
      <c r="Q279" s="68">
        <f t="shared" ca="1" si="84"/>
        <v>0.52</v>
      </c>
      <c r="R279" s="407"/>
      <c r="S279" s="102"/>
    </row>
    <row r="280" spans="1:19">
      <c r="A280" s="102">
        <v>712</v>
      </c>
      <c r="B280" s="7" t="s">
        <v>1655</v>
      </c>
      <c r="C280" s="7">
        <v>1</v>
      </c>
      <c r="D280" s="175">
        <f>VLOOKUP(A280,aidcalc,17)</f>
        <v>1881</v>
      </c>
      <c r="E280" s="175">
        <f>VLOOKUP(A280,aidcalc,18)</f>
        <v>1867</v>
      </c>
      <c r="F280" s="37">
        <f>E280-D280</f>
        <v>-14</v>
      </c>
      <c r="G280" s="175">
        <f>VLOOKUP(A280,aidcalc,4)</f>
        <v>19086298</v>
      </c>
      <c r="H280" s="175">
        <f>VLOOKUP(A280,aidcalc,6)</f>
        <v>19283171.949603103</v>
      </c>
      <c r="I280" s="37">
        <f>(H280-G280)/$E280</f>
        <v>105.44935704504719</v>
      </c>
      <c r="J280" s="175">
        <f>SUMIF(dist1755,A280,pynetmin)</f>
        <v>15841935</v>
      </c>
      <c r="K280" s="175">
        <f>VLOOKUP(A280,aidcalc,7)</f>
        <v>15996456</v>
      </c>
      <c r="L280" s="37">
        <f>(K280-J280)/$E280</f>
        <v>82.764327798607397</v>
      </c>
      <c r="M280" s="175">
        <f t="shared" si="80"/>
        <v>3244363</v>
      </c>
      <c r="N280" s="175">
        <f t="shared" ca="1" si="81"/>
        <v>3300373</v>
      </c>
      <c r="O280" s="37">
        <f t="shared" ca="1" si="82"/>
        <v>56010</v>
      </c>
      <c r="P280" s="37">
        <f t="shared" ca="1" si="83"/>
        <v>30</v>
      </c>
      <c r="Q280" s="68">
        <f t="shared" ca="1" si="84"/>
        <v>1.73</v>
      </c>
      <c r="R280" s="407"/>
      <c r="S280" s="102"/>
    </row>
    <row r="281" spans="1:19">
      <c r="A281" s="102">
        <v>715</v>
      </c>
      <c r="B281" s="7" t="s">
        <v>2087</v>
      </c>
      <c r="C281" s="7">
        <v>1</v>
      </c>
      <c r="D281" s="175">
        <f t="shared" si="71"/>
        <v>494</v>
      </c>
      <c r="E281" s="175">
        <f t="shared" si="72"/>
        <v>500</v>
      </c>
      <c r="F281" s="37">
        <f t="shared" si="73"/>
        <v>6</v>
      </c>
      <c r="G281" s="175">
        <f t="shared" si="74"/>
        <v>4960436</v>
      </c>
      <c r="H281" s="175">
        <f t="shared" si="75"/>
        <v>5175933.9315482499</v>
      </c>
      <c r="I281" s="37">
        <f t="shared" si="76"/>
        <v>430.99586309649982</v>
      </c>
      <c r="J281" s="175">
        <f t="shared" si="77"/>
        <v>3813364</v>
      </c>
      <c r="K281" s="175">
        <f t="shared" si="78"/>
        <v>3845508</v>
      </c>
      <c r="L281" s="37">
        <f t="shared" si="79"/>
        <v>64.287999999999997</v>
      </c>
      <c r="M281" s="175">
        <f t="shared" si="80"/>
        <v>1733153</v>
      </c>
      <c r="N281" s="175">
        <f t="shared" ca="1" si="81"/>
        <v>1748153</v>
      </c>
      <c r="O281" s="37">
        <f t="shared" ca="1" si="82"/>
        <v>15000</v>
      </c>
      <c r="P281" s="37">
        <f t="shared" ca="1" si="83"/>
        <v>30</v>
      </c>
      <c r="Q281" s="68">
        <f t="shared" ca="1" si="84"/>
        <v>0.87</v>
      </c>
      <c r="R281" s="407"/>
      <c r="S281" s="102"/>
    </row>
    <row r="282" spans="1:19">
      <c r="A282" s="102">
        <v>717</v>
      </c>
      <c r="B282" s="7" t="s">
        <v>2088</v>
      </c>
      <c r="C282" s="7">
        <v>1</v>
      </c>
      <c r="D282" s="175">
        <f t="shared" si="71"/>
        <v>948</v>
      </c>
      <c r="E282" s="175">
        <f t="shared" si="72"/>
        <v>934</v>
      </c>
      <c r="F282" s="37">
        <f t="shared" si="73"/>
        <v>-14</v>
      </c>
      <c r="G282" s="175">
        <f t="shared" si="74"/>
        <v>9915353</v>
      </c>
      <c r="H282" s="175">
        <f t="shared" si="75"/>
        <v>9838051.3509327304</v>
      </c>
      <c r="I282" s="37">
        <f t="shared" si="76"/>
        <v>-82.764078230481417</v>
      </c>
      <c r="J282" s="175">
        <f t="shared" si="77"/>
        <v>6433157</v>
      </c>
      <c r="K282" s="175">
        <f t="shared" si="78"/>
        <v>6364738</v>
      </c>
      <c r="L282" s="37">
        <f t="shared" si="79"/>
        <v>-73.253747323340477</v>
      </c>
      <c r="M282" s="175">
        <f t="shared" si="80"/>
        <v>5973434</v>
      </c>
      <c r="N282" s="175">
        <f t="shared" ca="1" si="81"/>
        <v>6001454</v>
      </c>
      <c r="O282" s="37">
        <f t="shared" ca="1" si="82"/>
        <v>28020</v>
      </c>
      <c r="P282" s="37">
        <f t="shared" ca="1" si="83"/>
        <v>30</v>
      </c>
      <c r="Q282" s="68">
        <f t="shared" ca="1" si="84"/>
        <v>0.47</v>
      </c>
      <c r="R282" s="407"/>
      <c r="S282" s="102"/>
    </row>
    <row r="283" spans="1:19">
      <c r="A283" s="102">
        <v>720</v>
      </c>
      <c r="B283" s="7" t="s">
        <v>2089</v>
      </c>
      <c r="C283" s="7">
        <v>1</v>
      </c>
      <c r="D283" s="175">
        <f t="shared" si="71"/>
        <v>1286</v>
      </c>
      <c r="E283" s="175">
        <f t="shared" si="72"/>
        <v>1304</v>
      </c>
      <c r="F283" s="37">
        <f t="shared" si="73"/>
        <v>18</v>
      </c>
      <c r="G283" s="175">
        <f t="shared" si="74"/>
        <v>13256830</v>
      </c>
      <c r="H283" s="175">
        <f t="shared" si="75"/>
        <v>13504485.349651586</v>
      </c>
      <c r="I283" s="37">
        <f t="shared" si="76"/>
        <v>189.9197466653269</v>
      </c>
      <c r="J283" s="175">
        <f t="shared" si="77"/>
        <v>5303181</v>
      </c>
      <c r="K283" s="175">
        <f t="shared" si="78"/>
        <v>5366791</v>
      </c>
      <c r="L283" s="37">
        <f t="shared" si="79"/>
        <v>48.780674846625764</v>
      </c>
      <c r="M283" s="175">
        <f t="shared" si="80"/>
        <v>9834774</v>
      </c>
      <c r="N283" s="175">
        <f t="shared" ca="1" si="81"/>
        <v>9873894</v>
      </c>
      <c r="O283" s="37">
        <f t="shared" ca="1" si="82"/>
        <v>39120</v>
      </c>
      <c r="P283" s="37">
        <f t="shared" ca="1" si="83"/>
        <v>30</v>
      </c>
      <c r="Q283" s="68">
        <f t="shared" ca="1" si="84"/>
        <v>0.4</v>
      </c>
      <c r="R283" s="407"/>
      <c r="S283" s="102"/>
    </row>
    <row r="284" spans="1:19">
      <c r="A284" s="102">
        <v>725</v>
      </c>
      <c r="B284" s="7" t="s">
        <v>2090</v>
      </c>
      <c r="C284" s="7">
        <v>1</v>
      </c>
      <c r="D284" s="175">
        <f t="shared" si="71"/>
        <v>3306</v>
      </c>
      <c r="E284" s="175">
        <f t="shared" si="72"/>
        <v>3203</v>
      </c>
      <c r="F284" s="37">
        <f t="shared" si="73"/>
        <v>-103</v>
      </c>
      <c r="G284" s="175">
        <f t="shared" si="74"/>
        <v>31260414</v>
      </c>
      <c r="H284" s="175">
        <f t="shared" si="75"/>
        <v>31083245.77955449</v>
      </c>
      <c r="I284" s="37">
        <f t="shared" si="76"/>
        <v>-55.313212752266622</v>
      </c>
      <c r="J284" s="175">
        <f t="shared" si="77"/>
        <v>24600261</v>
      </c>
      <c r="K284" s="175">
        <f t="shared" si="78"/>
        <v>24524720</v>
      </c>
      <c r="L284" s="37">
        <f t="shared" si="79"/>
        <v>-23.584452076178582</v>
      </c>
      <c r="M284" s="175">
        <f t="shared" si="80"/>
        <v>6756060.0653249994</v>
      </c>
      <c r="N284" s="175">
        <f t="shared" ca="1" si="81"/>
        <v>6852150.0653249994</v>
      </c>
      <c r="O284" s="37">
        <f t="shared" ca="1" si="82"/>
        <v>96090</v>
      </c>
      <c r="P284" s="37">
        <f t="shared" ca="1" si="83"/>
        <v>30</v>
      </c>
      <c r="Q284" s="68">
        <f t="shared" ca="1" si="84"/>
        <v>1.42</v>
      </c>
      <c r="R284" s="407"/>
      <c r="S284" s="102"/>
    </row>
    <row r="285" spans="1:19">
      <c r="A285" s="102">
        <v>728</v>
      </c>
      <c r="B285" s="7" t="s">
        <v>2091</v>
      </c>
      <c r="C285" s="7">
        <v>1</v>
      </c>
      <c r="D285" s="175">
        <f t="shared" si="71"/>
        <v>135</v>
      </c>
      <c r="E285" s="175">
        <f t="shared" si="72"/>
        <v>137</v>
      </c>
      <c r="F285" s="37">
        <f t="shared" si="73"/>
        <v>2</v>
      </c>
      <c r="G285" s="175">
        <f t="shared" si="74"/>
        <v>1416772</v>
      </c>
      <c r="H285" s="175">
        <f t="shared" si="75"/>
        <v>1424931.186973576</v>
      </c>
      <c r="I285" s="37">
        <f t="shared" si="76"/>
        <v>59.556109296174952</v>
      </c>
      <c r="J285" s="175">
        <f t="shared" si="77"/>
        <v>739591</v>
      </c>
      <c r="K285" s="175">
        <f t="shared" si="78"/>
        <v>745274</v>
      </c>
      <c r="L285" s="37">
        <f t="shared" si="79"/>
        <v>41.481751824817515</v>
      </c>
      <c r="M285" s="175">
        <f t="shared" si="80"/>
        <v>677181</v>
      </c>
      <c r="N285" s="175">
        <f t="shared" ca="1" si="81"/>
        <v>694961</v>
      </c>
      <c r="O285" s="37">
        <f t="shared" ca="1" si="82"/>
        <v>17780</v>
      </c>
      <c r="P285" s="37">
        <f t="shared" ca="1" si="83"/>
        <v>129.78102189781021</v>
      </c>
      <c r="Q285" s="68">
        <f t="shared" ca="1" si="84"/>
        <v>2.63</v>
      </c>
      <c r="R285" s="407"/>
      <c r="S285" s="102"/>
    </row>
    <row r="286" spans="1:19">
      <c r="A286" s="102">
        <v>730</v>
      </c>
      <c r="B286" s="7" t="s">
        <v>2092</v>
      </c>
      <c r="C286" s="7">
        <v>1</v>
      </c>
      <c r="D286" s="175">
        <f t="shared" si="71"/>
        <v>1494</v>
      </c>
      <c r="E286" s="175">
        <f t="shared" si="72"/>
        <v>1473</v>
      </c>
      <c r="F286" s="37">
        <f t="shared" si="73"/>
        <v>-21</v>
      </c>
      <c r="G286" s="175">
        <f t="shared" si="74"/>
        <v>15182003</v>
      </c>
      <c r="H286" s="175">
        <f t="shared" si="75"/>
        <v>15250791.830538824</v>
      </c>
      <c r="I286" s="37">
        <f t="shared" si="76"/>
        <v>46.699817066411541</v>
      </c>
      <c r="J286" s="175">
        <f t="shared" si="77"/>
        <v>12730046</v>
      </c>
      <c r="K286" s="175">
        <f t="shared" si="78"/>
        <v>12690623</v>
      </c>
      <c r="L286" s="37">
        <f t="shared" si="79"/>
        <v>-26.763747454175153</v>
      </c>
      <c r="M286" s="175">
        <f t="shared" si="80"/>
        <v>3034083.6458749999</v>
      </c>
      <c r="N286" s="175">
        <f t="shared" ca="1" si="81"/>
        <v>3078273.6458749999</v>
      </c>
      <c r="O286" s="37">
        <f t="shared" ca="1" si="82"/>
        <v>44190</v>
      </c>
      <c r="P286" s="37">
        <f t="shared" ca="1" si="83"/>
        <v>30</v>
      </c>
      <c r="Q286" s="68">
        <f t="shared" ca="1" si="84"/>
        <v>1.46</v>
      </c>
      <c r="R286" s="407"/>
      <c r="S286" s="102"/>
    </row>
    <row r="287" spans="1:19">
      <c r="A287" s="102">
        <v>735</v>
      </c>
      <c r="B287" s="7" t="s">
        <v>2093</v>
      </c>
      <c r="C287" s="7">
        <v>1</v>
      </c>
      <c r="D287" s="175">
        <f t="shared" si="71"/>
        <v>3300</v>
      </c>
      <c r="E287" s="175">
        <f t="shared" si="72"/>
        <v>3208.0000000320797</v>
      </c>
      <c r="F287" s="37">
        <f t="shared" si="73"/>
        <v>-91.999999967920303</v>
      </c>
      <c r="G287" s="175">
        <f t="shared" si="74"/>
        <v>31685058</v>
      </c>
      <c r="H287" s="175">
        <f t="shared" si="75"/>
        <v>31435627.826777488</v>
      </c>
      <c r="I287" s="37">
        <f t="shared" si="76"/>
        <v>-77.75254776185092</v>
      </c>
      <c r="J287" s="175">
        <f t="shared" si="77"/>
        <v>17154907</v>
      </c>
      <c r="K287" s="175">
        <f t="shared" si="78"/>
        <v>17200693</v>
      </c>
      <c r="L287" s="37">
        <f t="shared" si="79"/>
        <v>14.272443890131591</v>
      </c>
      <c r="M287" s="175">
        <f t="shared" si="80"/>
        <v>20107493</v>
      </c>
      <c r="N287" s="175">
        <f t="shared" ca="1" si="81"/>
        <v>20203733.000000961</v>
      </c>
      <c r="O287" s="37">
        <f t="shared" ca="1" si="82"/>
        <v>96240.000000961125</v>
      </c>
      <c r="P287" s="37">
        <f t="shared" ca="1" si="83"/>
        <v>29.999999999999606</v>
      </c>
      <c r="Q287" s="68">
        <f t="shared" ca="1" si="84"/>
        <v>0.48</v>
      </c>
      <c r="R287" s="407"/>
      <c r="S287" s="102"/>
    </row>
    <row r="288" spans="1:19">
      <c r="A288" s="102">
        <v>740</v>
      </c>
      <c r="B288" s="7" t="s">
        <v>2094</v>
      </c>
      <c r="C288" s="7">
        <v>1</v>
      </c>
      <c r="D288" s="175">
        <f t="shared" si="71"/>
        <v>1171</v>
      </c>
      <c r="E288" s="175">
        <f t="shared" si="72"/>
        <v>1179.9999999882</v>
      </c>
      <c r="F288" s="37">
        <f t="shared" si="73"/>
        <v>8.9999999881999884</v>
      </c>
      <c r="G288" s="175">
        <f t="shared" si="74"/>
        <v>11377043</v>
      </c>
      <c r="H288" s="175">
        <f t="shared" si="75"/>
        <v>11640017.384192124</v>
      </c>
      <c r="I288" s="37">
        <f t="shared" si="76"/>
        <v>222.85964762267267</v>
      </c>
      <c r="J288" s="175">
        <f t="shared" si="77"/>
        <v>8557549</v>
      </c>
      <c r="K288" s="175">
        <f t="shared" si="78"/>
        <v>8739091</v>
      </c>
      <c r="L288" s="37">
        <f t="shared" si="79"/>
        <v>153.84915254391137</v>
      </c>
      <c r="M288" s="175">
        <f t="shared" si="80"/>
        <v>2819494</v>
      </c>
      <c r="N288" s="175">
        <f t="shared" ca="1" si="81"/>
        <v>2900926</v>
      </c>
      <c r="O288" s="37">
        <f t="shared" ca="1" si="82"/>
        <v>81432</v>
      </c>
      <c r="P288" s="37">
        <f t="shared" ca="1" si="83"/>
        <v>69.010169492215525</v>
      </c>
      <c r="Q288" s="68">
        <f t="shared" ca="1" si="84"/>
        <v>2.89</v>
      </c>
      <c r="R288" s="407"/>
      <c r="S288" s="102"/>
    </row>
    <row r="289" spans="1:19">
      <c r="A289" s="102">
        <v>745</v>
      </c>
      <c r="B289" s="7" t="s">
        <v>2095</v>
      </c>
      <c r="C289" s="7">
        <v>1</v>
      </c>
      <c r="D289" s="175">
        <f t="shared" si="71"/>
        <v>2426</v>
      </c>
      <c r="E289" s="175">
        <f t="shared" si="72"/>
        <v>2394.0000000239402</v>
      </c>
      <c r="F289" s="37">
        <f t="shared" si="73"/>
        <v>-31.999999976059826</v>
      </c>
      <c r="G289" s="175">
        <f t="shared" si="74"/>
        <v>22548383</v>
      </c>
      <c r="H289" s="175">
        <f t="shared" si="75"/>
        <v>22740652.535892259</v>
      </c>
      <c r="I289" s="37">
        <f t="shared" si="76"/>
        <v>80.313089344334429</v>
      </c>
      <c r="J289" s="175">
        <f t="shared" si="77"/>
        <v>15627476</v>
      </c>
      <c r="K289" s="175">
        <f t="shared" si="78"/>
        <v>15945385</v>
      </c>
      <c r="L289" s="37">
        <f t="shared" si="79"/>
        <v>132.79406850326686</v>
      </c>
      <c r="M289" s="175">
        <f t="shared" si="80"/>
        <v>12968282</v>
      </c>
      <c r="N289" s="175">
        <f t="shared" ca="1" si="81"/>
        <v>13040102.000000719</v>
      </c>
      <c r="O289" s="37">
        <f t="shared" ca="1" si="82"/>
        <v>71820.000000718981</v>
      </c>
      <c r="P289" s="37">
        <f t="shared" ca="1" si="83"/>
        <v>30.000000000000323</v>
      </c>
      <c r="Q289" s="68">
        <f t="shared" ca="1" si="84"/>
        <v>0.55000000000000004</v>
      </c>
      <c r="R289" s="407"/>
      <c r="S289" s="102"/>
    </row>
    <row r="290" spans="1:19">
      <c r="A290" s="102">
        <v>750</v>
      </c>
      <c r="B290" s="7" t="s">
        <v>2096</v>
      </c>
      <c r="C290" s="7">
        <v>1</v>
      </c>
      <c r="D290" s="175">
        <f t="shared" si="71"/>
        <v>720</v>
      </c>
      <c r="E290" s="175">
        <f t="shared" si="72"/>
        <v>723.99999999275997</v>
      </c>
      <c r="F290" s="37">
        <f t="shared" si="73"/>
        <v>3.9999999927599674</v>
      </c>
      <c r="G290" s="175">
        <f t="shared" si="74"/>
        <v>7219392</v>
      </c>
      <c r="H290" s="175">
        <f t="shared" si="75"/>
        <v>7406666.4166055983</v>
      </c>
      <c r="I290" s="37">
        <f t="shared" si="76"/>
        <v>258.66632128103737</v>
      </c>
      <c r="J290" s="175">
        <f t="shared" si="77"/>
        <v>4777146</v>
      </c>
      <c r="K290" s="175">
        <f t="shared" si="78"/>
        <v>4744769</v>
      </c>
      <c r="L290" s="37">
        <f t="shared" si="79"/>
        <v>-44.719613260115707</v>
      </c>
      <c r="M290" s="175">
        <f t="shared" si="80"/>
        <v>4107161</v>
      </c>
      <c r="N290" s="175">
        <f t="shared" ca="1" si="81"/>
        <v>4128880.999999783</v>
      </c>
      <c r="O290" s="37">
        <f t="shared" ca="1" si="82"/>
        <v>21719.999999783002</v>
      </c>
      <c r="P290" s="37">
        <f t="shared" ca="1" si="83"/>
        <v>30.000000000000281</v>
      </c>
      <c r="Q290" s="68">
        <f t="shared" ca="1" si="84"/>
        <v>0.53</v>
      </c>
      <c r="R290" s="407"/>
      <c r="S290" s="102"/>
    </row>
    <row r="291" spans="1:19">
      <c r="A291" s="102">
        <v>753</v>
      </c>
      <c r="B291" s="7" t="s">
        <v>2097</v>
      </c>
      <c r="C291" s="7">
        <v>1</v>
      </c>
      <c r="D291" s="175">
        <f t="shared" si="71"/>
        <v>2200</v>
      </c>
      <c r="E291" s="175">
        <f t="shared" si="72"/>
        <v>2073.9999999792603</v>
      </c>
      <c r="F291" s="37">
        <f t="shared" si="73"/>
        <v>-126.00000002073966</v>
      </c>
      <c r="G291" s="175">
        <f t="shared" si="74"/>
        <v>22002910</v>
      </c>
      <c r="H291" s="175">
        <f t="shared" si="75"/>
        <v>21204474.702048939</v>
      </c>
      <c r="I291" s="37">
        <f t="shared" si="76"/>
        <v>-384.97362485971337</v>
      </c>
      <c r="J291" s="175">
        <f t="shared" si="77"/>
        <v>10064723</v>
      </c>
      <c r="K291" s="175">
        <f t="shared" si="78"/>
        <v>9931036</v>
      </c>
      <c r="L291" s="37">
        <f t="shared" si="79"/>
        <v>-64.458534234010045</v>
      </c>
      <c r="M291" s="175">
        <f t="shared" si="80"/>
        <v>16463038</v>
      </c>
      <c r="N291" s="175">
        <f t="shared" ca="1" si="81"/>
        <v>16525257.999999378</v>
      </c>
      <c r="O291" s="37">
        <f t="shared" ca="1" si="82"/>
        <v>62219.999999377877</v>
      </c>
      <c r="P291" s="37">
        <f t="shared" ca="1" si="83"/>
        <v>30.000000000000032</v>
      </c>
      <c r="Q291" s="68">
        <f t="shared" ca="1" si="84"/>
        <v>0.38</v>
      </c>
      <c r="R291" s="407"/>
      <c r="S291" s="102"/>
    </row>
    <row r="292" spans="1:19">
      <c r="A292" s="102">
        <v>755</v>
      </c>
      <c r="B292" s="7" t="s">
        <v>2098</v>
      </c>
      <c r="C292" s="7">
        <v>1</v>
      </c>
      <c r="D292" s="175">
        <f t="shared" si="71"/>
        <v>658</v>
      </c>
      <c r="E292" s="175">
        <f t="shared" si="72"/>
        <v>637</v>
      </c>
      <c r="F292" s="37">
        <f t="shared" si="73"/>
        <v>-21</v>
      </c>
      <c r="G292" s="175">
        <f t="shared" si="74"/>
        <v>7427448</v>
      </c>
      <c r="H292" s="175">
        <f t="shared" si="75"/>
        <v>7313027.7024783818</v>
      </c>
      <c r="I292" s="37">
        <f t="shared" si="76"/>
        <v>-179.62370097585273</v>
      </c>
      <c r="J292" s="175">
        <f t="shared" si="77"/>
        <v>2738987</v>
      </c>
      <c r="K292" s="175">
        <f t="shared" si="78"/>
        <v>2601573</v>
      </c>
      <c r="L292" s="37">
        <f t="shared" si="79"/>
        <v>-215.72056514913658</v>
      </c>
      <c r="M292" s="175">
        <f t="shared" si="80"/>
        <v>5375880</v>
      </c>
      <c r="N292" s="175">
        <f t="shared" ca="1" si="81"/>
        <v>5394990</v>
      </c>
      <c r="O292" s="37">
        <f t="shared" ca="1" si="82"/>
        <v>19110</v>
      </c>
      <c r="P292" s="37">
        <f t="shared" ca="1" si="83"/>
        <v>30</v>
      </c>
      <c r="Q292" s="68">
        <f t="shared" ca="1" si="84"/>
        <v>0.36</v>
      </c>
      <c r="R292" s="407"/>
      <c r="S292" s="102"/>
    </row>
    <row r="293" spans="1:19">
      <c r="A293" s="102">
        <v>760</v>
      </c>
      <c r="B293" s="7" t="s">
        <v>2099</v>
      </c>
      <c r="C293" s="7">
        <v>1</v>
      </c>
      <c r="D293" s="175">
        <f t="shared" si="71"/>
        <v>1867</v>
      </c>
      <c r="E293" s="175">
        <f t="shared" si="72"/>
        <v>1833</v>
      </c>
      <c r="F293" s="37">
        <f t="shared" si="73"/>
        <v>-34</v>
      </c>
      <c r="G293" s="175">
        <f t="shared" si="74"/>
        <v>20069649</v>
      </c>
      <c r="H293" s="175">
        <f t="shared" si="75"/>
        <v>20138841.102995191</v>
      </c>
      <c r="I293" s="37">
        <f t="shared" si="76"/>
        <v>37.748010362897311</v>
      </c>
      <c r="J293" s="175">
        <f t="shared" si="77"/>
        <v>12089575</v>
      </c>
      <c r="K293" s="175">
        <f t="shared" si="78"/>
        <v>12153382</v>
      </c>
      <c r="L293" s="37">
        <f t="shared" si="79"/>
        <v>34.810147299509005</v>
      </c>
      <c r="M293" s="175">
        <f t="shared" si="80"/>
        <v>7980074</v>
      </c>
      <c r="N293" s="175">
        <f t="shared" ca="1" si="81"/>
        <v>8035064</v>
      </c>
      <c r="O293" s="37">
        <f t="shared" ca="1" si="82"/>
        <v>54990</v>
      </c>
      <c r="P293" s="37">
        <f t="shared" ca="1" si="83"/>
        <v>30</v>
      </c>
      <c r="Q293" s="68">
        <f t="shared" ca="1" si="84"/>
        <v>0.69</v>
      </c>
      <c r="R293" s="407"/>
      <c r="S293" s="102"/>
    </row>
    <row r="294" spans="1:19">
      <c r="A294" s="102">
        <v>763</v>
      </c>
      <c r="B294" s="7" t="s">
        <v>1669</v>
      </c>
      <c r="C294" s="7">
        <v>1</v>
      </c>
      <c r="D294" s="175">
        <f>VLOOKUP(A294,aidcalc,17)</f>
        <v>928</v>
      </c>
      <c r="E294" s="175">
        <f>VLOOKUP(A294,aidcalc,18)</f>
        <v>979</v>
      </c>
      <c r="F294" s="37">
        <f>E294-D294</f>
        <v>51</v>
      </c>
      <c r="G294" s="175">
        <f>VLOOKUP(A294,aidcalc,4)</f>
        <v>10019595</v>
      </c>
      <c r="H294" s="175">
        <f>VLOOKUP(A294,aidcalc,6)</f>
        <v>10632804.845514916</v>
      </c>
      <c r="I294" s="37">
        <f>(H294-G294)/$E294</f>
        <v>626.36347856477619</v>
      </c>
      <c r="J294" s="175">
        <f>SUMIF(dist1755,A294,pynetmin)</f>
        <v>5882456</v>
      </c>
      <c r="K294" s="175">
        <f>VLOOKUP(A294,aidcalc,7)</f>
        <v>5777303</v>
      </c>
      <c r="L294" s="37">
        <f>(K294-J294)/$E294</f>
        <v>-107.40858018386108</v>
      </c>
      <c r="M294" s="175">
        <f t="shared" si="80"/>
        <v>4137139</v>
      </c>
      <c r="N294" s="175">
        <f t="shared" ca="1" si="81"/>
        <v>4855502</v>
      </c>
      <c r="O294" s="37">
        <f t="shared" ca="1" si="82"/>
        <v>718363</v>
      </c>
      <c r="P294" s="37">
        <f t="shared" ca="1" si="83"/>
        <v>733.77221654749746</v>
      </c>
      <c r="Q294" s="68">
        <f t="shared" ca="1" si="84"/>
        <v>17.36</v>
      </c>
      <c r="R294" s="407"/>
      <c r="S294" s="102"/>
    </row>
    <row r="295" spans="1:19">
      <c r="A295" s="102">
        <v>765</v>
      </c>
      <c r="B295" s="7" t="s">
        <v>2100</v>
      </c>
      <c r="C295" s="7">
        <v>1</v>
      </c>
      <c r="D295" s="175">
        <f t="shared" si="71"/>
        <v>715</v>
      </c>
      <c r="E295" s="175">
        <f t="shared" si="72"/>
        <v>662.00000000661998</v>
      </c>
      <c r="F295" s="37">
        <f t="shared" si="73"/>
        <v>-52.999999993380015</v>
      </c>
      <c r="G295" s="175">
        <f t="shared" si="74"/>
        <v>7411694</v>
      </c>
      <c r="H295" s="175">
        <f t="shared" si="75"/>
        <v>7039960.838086525</v>
      </c>
      <c r="I295" s="37">
        <f t="shared" si="76"/>
        <v>-561.53045605703585</v>
      </c>
      <c r="J295" s="175">
        <f t="shared" si="77"/>
        <v>6160497</v>
      </c>
      <c r="K295" s="175">
        <f t="shared" si="78"/>
        <v>5901594</v>
      </c>
      <c r="L295" s="37">
        <f t="shared" si="79"/>
        <v>-391.09214501119482</v>
      </c>
      <c r="M295" s="175">
        <f t="shared" si="80"/>
        <v>1927571</v>
      </c>
      <c r="N295" s="175">
        <f t="shared" ca="1" si="81"/>
        <v>1947431.0000001986</v>
      </c>
      <c r="O295" s="37">
        <f t="shared" ca="1" si="82"/>
        <v>19860.000000198605</v>
      </c>
      <c r="P295" s="37">
        <f t="shared" ca="1" si="83"/>
        <v>30.000000000000007</v>
      </c>
      <c r="Q295" s="68">
        <f t="shared" ca="1" si="84"/>
        <v>1.03</v>
      </c>
      <c r="R295" s="407"/>
      <c r="S295" s="102"/>
    </row>
    <row r="296" spans="1:19">
      <c r="A296" s="102">
        <v>766</v>
      </c>
      <c r="B296" s="7" t="s">
        <v>1671</v>
      </c>
      <c r="C296" s="7">
        <v>1</v>
      </c>
      <c r="D296" s="175">
        <f t="shared" si="71"/>
        <v>1576</v>
      </c>
      <c r="E296" s="175">
        <f t="shared" si="72"/>
        <v>1484.00000001484</v>
      </c>
      <c r="F296" s="37">
        <f t="shared" si="73"/>
        <v>-91.999999985160002</v>
      </c>
      <c r="G296" s="175">
        <f t="shared" si="74"/>
        <v>16154792</v>
      </c>
      <c r="H296" s="175">
        <f t="shared" si="75"/>
        <v>15643746.01680854</v>
      </c>
      <c r="I296" s="37">
        <f t="shared" si="76"/>
        <v>-344.37060861613878</v>
      </c>
      <c r="J296" s="175">
        <f t="shared" si="77"/>
        <v>10380318</v>
      </c>
      <c r="K296" s="175">
        <f t="shared" si="78"/>
        <v>10452364</v>
      </c>
      <c r="L296" s="37">
        <f t="shared" si="79"/>
        <v>48.548517519730147</v>
      </c>
      <c r="M296" s="175">
        <f t="shared" si="80"/>
        <v>9715578</v>
      </c>
      <c r="N296" s="175">
        <f t="shared" ca="1" si="81"/>
        <v>9760098.0000004452</v>
      </c>
      <c r="O296" s="37">
        <f t="shared" ca="1" si="82"/>
        <v>44520.000000445172</v>
      </c>
      <c r="P296" s="37">
        <f t="shared" ca="1" si="83"/>
        <v>29.999999999999982</v>
      </c>
      <c r="Q296" s="68">
        <f t="shared" ca="1" si="84"/>
        <v>0.46</v>
      </c>
      <c r="R296" s="407"/>
      <c r="S296" s="102"/>
    </row>
    <row r="297" spans="1:19">
      <c r="A297" s="102">
        <v>767</v>
      </c>
      <c r="B297" s="7" t="s">
        <v>2101</v>
      </c>
      <c r="C297" s="7">
        <v>1</v>
      </c>
      <c r="D297" s="175">
        <f t="shared" si="71"/>
        <v>1749</v>
      </c>
      <c r="E297" s="175">
        <f t="shared" si="72"/>
        <v>1592</v>
      </c>
      <c r="F297" s="37">
        <f t="shared" si="73"/>
        <v>-157</v>
      </c>
      <c r="G297" s="175">
        <f t="shared" si="74"/>
        <v>18292027</v>
      </c>
      <c r="H297" s="175">
        <f t="shared" si="75"/>
        <v>17851020.249539986</v>
      </c>
      <c r="I297" s="37">
        <f t="shared" si="76"/>
        <v>-277.0142904899584</v>
      </c>
      <c r="J297" s="175">
        <f t="shared" si="77"/>
        <v>7540396</v>
      </c>
      <c r="K297" s="175">
        <f t="shared" si="78"/>
        <v>7818739</v>
      </c>
      <c r="L297" s="37">
        <f t="shared" si="79"/>
        <v>174.83856783919597</v>
      </c>
      <c r="M297" s="175">
        <f t="shared" si="80"/>
        <v>13553834</v>
      </c>
      <c r="N297" s="175">
        <f t="shared" ca="1" si="81"/>
        <v>13601594</v>
      </c>
      <c r="O297" s="37">
        <f t="shared" ca="1" si="82"/>
        <v>47760</v>
      </c>
      <c r="P297" s="37">
        <f t="shared" ca="1" si="83"/>
        <v>30</v>
      </c>
      <c r="Q297" s="68">
        <f t="shared" ca="1" si="84"/>
        <v>0.35</v>
      </c>
      <c r="R297" s="407"/>
      <c r="S297" s="102"/>
    </row>
    <row r="298" spans="1:19">
      <c r="A298" s="102">
        <v>770</v>
      </c>
      <c r="B298" s="7" t="s">
        <v>2102</v>
      </c>
      <c r="C298" s="7">
        <v>1</v>
      </c>
      <c r="D298" s="175">
        <f t="shared" si="71"/>
        <v>1624</v>
      </c>
      <c r="E298" s="175">
        <f t="shared" si="72"/>
        <v>1631.0000000163102</v>
      </c>
      <c r="F298" s="37">
        <f t="shared" si="73"/>
        <v>7.0000000163101959</v>
      </c>
      <c r="G298" s="175">
        <f t="shared" si="74"/>
        <v>18521079</v>
      </c>
      <c r="H298" s="175">
        <f t="shared" si="75"/>
        <v>18792623.115065213</v>
      </c>
      <c r="I298" s="37">
        <f t="shared" si="76"/>
        <v>166.48934093347506</v>
      </c>
      <c r="J298" s="175">
        <f t="shared" si="77"/>
        <v>9975508</v>
      </c>
      <c r="K298" s="175">
        <f t="shared" si="78"/>
        <v>10112568</v>
      </c>
      <c r="L298" s="37">
        <f t="shared" si="79"/>
        <v>84.034334763108149</v>
      </c>
      <c r="M298" s="175">
        <f t="shared" si="80"/>
        <v>8545571</v>
      </c>
      <c r="N298" s="175">
        <f t="shared" ca="1" si="81"/>
        <v>8680055</v>
      </c>
      <c r="O298" s="37">
        <f t="shared" ca="1" si="82"/>
        <v>134484</v>
      </c>
      <c r="P298" s="37">
        <f t="shared" ca="1" si="83"/>
        <v>82.454935621493036</v>
      </c>
      <c r="Q298" s="68">
        <f t="shared" ca="1" si="84"/>
        <v>1.57</v>
      </c>
      <c r="R298" s="407"/>
      <c r="S298" s="102"/>
    </row>
    <row r="299" spans="1:19">
      <c r="A299" s="102">
        <v>773</v>
      </c>
      <c r="B299" s="7" t="s">
        <v>2103</v>
      </c>
      <c r="C299" s="7">
        <v>1</v>
      </c>
      <c r="D299" s="175">
        <f t="shared" si="71"/>
        <v>2484</v>
      </c>
      <c r="E299" s="175">
        <f t="shared" si="72"/>
        <v>2390</v>
      </c>
      <c r="F299" s="37">
        <f t="shared" si="73"/>
        <v>-94</v>
      </c>
      <c r="G299" s="175">
        <f t="shared" si="74"/>
        <v>24821868</v>
      </c>
      <c r="H299" s="175">
        <f t="shared" si="75"/>
        <v>24376762.312073089</v>
      </c>
      <c r="I299" s="37">
        <f t="shared" si="76"/>
        <v>-186.23668950916772</v>
      </c>
      <c r="J299" s="175">
        <f t="shared" si="77"/>
        <v>20787254</v>
      </c>
      <c r="K299" s="175">
        <f t="shared" si="78"/>
        <v>20355041</v>
      </c>
      <c r="L299" s="37">
        <f t="shared" si="79"/>
        <v>-180.84225941422594</v>
      </c>
      <c r="M299" s="175">
        <f t="shared" si="80"/>
        <v>8564841</v>
      </c>
      <c r="N299" s="175">
        <f t="shared" ca="1" si="81"/>
        <v>8636541</v>
      </c>
      <c r="O299" s="37">
        <f t="shared" ca="1" si="82"/>
        <v>71700</v>
      </c>
      <c r="P299" s="37">
        <f t="shared" ca="1" si="83"/>
        <v>30</v>
      </c>
      <c r="Q299" s="68">
        <f t="shared" ca="1" si="84"/>
        <v>0.84</v>
      </c>
      <c r="R299" s="407"/>
      <c r="S299" s="102"/>
    </row>
    <row r="300" spans="1:19">
      <c r="A300" s="102">
        <v>774</v>
      </c>
      <c r="B300" s="7" t="s">
        <v>1675</v>
      </c>
      <c r="C300" s="7">
        <v>1</v>
      </c>
      <c r="D300" s="175">
        <f t="shared" si="71"/>
        <v>376</v>
      </c>
      <c r="E300" s="175">
        <f t="shared" si="72"/>
        <v>392</v>
      </c>
      <c r="F300" s="37">
        <f t="shared" si="73"/>
        <v>16</v>
      </c>
      <c r="G300" s="175">
        <f t="shared" si="74"/>
        <v>3590852</v>
      </c>
      <c r="H300" s="175">
        <f t="shared" si="75"/>
        <v>3842627.4814848243</v>
      </c>
      <c r="I300" s="37">
        <f t="shared" si="76"/>
        <v>642.28439154291925</v>
      </c>
      <c r="J300" s="175">
        <f t="shared" si="77"/>
        <v>2932767</v>
      </c>
      <c r="K300" s="175">
        <f t="shared" si="78"/>
        <v>3031561</v>
      </c>
      <c r="L300" s="37">
        <f t="shared" si="79"/>
        <v>252.02551020408163</v>
      </c>
      <c r="M300" s="175">
        <f t="shared" si="80"/>
        <v>842602</v>
      </c>
      <c r="N300" s="175">
        <f t="shared" ca="1" si="81"/>
        <v>854362</v>
      </c>
      <c r="O300" s="37">
        <f t="shared" ca="1" si="82"/>
        <v>11760</v>
      </c>
      <c r="P300" s="37">
        <f t="shared" ca="1" si="83"/>
        <v>30</v>
      </c>
      <c r="Q300" s="68">
        <f t="shared" ca="1" si="84"/>
        <v>1.4</v>
      </c>
      <c r="R300" s="407"/>
      <c r="S300" s="102"/>
    </row>
    <row r="301" spans="1:19">
      <c r="A301" s="102">
        <v>775</v>
      </c>
      <c r="B301" s="7" t="s">
        <v>2104</v>
      </c>
      <c r="C301" s="7">
        <v>1</v>
      </c>
      <c r="D301" s="175">
        <f t="shared" si="71"/>
        <v>7100</v>
      </c>
      <c r="E301" s="175">
        <f t="shared" si="72"/>
        <v>7066</v>
      </c>
      <c r="F301" s="37">
        <f t="shared" si="73"/>
        <v>-34</v>
      </c>
      <c r="G301" s="175">
        <f t="shared" si="74"/>
        <v>65958496</v>
      </c>
      <c r="H301" s="175">
        <f t="shared" si="75"/>
        <v>67325906.778581902</v>
      </c>
      <c r="I301" s="37">
        <f t="shared" si="76"/>
        <v>193.51978185421771</v>
      </c>
      <c r="J301" s="175">
        <f t="shared" si="77"/>
        <v>39859181</v>
      </c>
      <c r="K301" s="175">
        <f t="shared" si="78"/>
        <v>40480754</v>
      </c>
      <c r="L301" s="37">
        <f t="shared" si="79"/>
        <v>87.966742145485426</v>
      </c>
      <c r="M301" s="175">
        <f t="shared" si="80"/>
        <v>26385616</v>
      </c>
      <c r="N301" s="175">
        <f t="shared" ca="1" si="81"/>
        <v>26845153</v>
      </c>
      <c r="O301" s="37">
        <f t="shared" ca="1" si="82"/>
        <v>459537</v>
      </c>
      <c r="P301" s="37">
        <f t="shared" ca="1" si="83"/>
        <v>65.034956127936596</v>
      </c>
      <c r="Q301" s="68">
        <f t="shared" ca="1" si="84"/>
        <v>1.74</v>
      </c>
      <c r="R301" s="407"/>
      <c r="S301" s="102"/>
    </row>
    <row r="302" spans="1:19">
      <c r="A302" s="102">
        <v>778</v>
      </c>
      <c r="B302" s="7" t="s">
        <v>1677</v>
      </c>
      <c r="C302" s="7">
        <v>1</v>
      </c>
      <c r="D302" s="175">
        <f t="shared" si="71"/>
        <v>1292</v>
      </c>
      <c r="E302" s="175">
        <f t="shared" si="72"/>
        <v>1307</v>
      </c>
      <c r="F302" s="37">
        <f t="shared" si="73"/>
        <v>15</v>
      </c>
      <c r="G302" s="175">
        <f t="shared" si="74"/>
        <v>13599319</v>
      </c>
      <c r="H302" s="175">
        <f t="shared" si="75"/>
        <v>14168290.710392267</v>
      </c>
      <c r="I302" s="37">
        <f t="shared" si="76"/>
        <v>435.32648078979838</v>
      </c>
      <c r="J302" s="175">
        <f t="shared" si="77"/>
        <v>5113624</v>
      </c>
      <c r="K302" s="175">
        <f t="shared" si="78"/>
        <v>5082901</v>
      </c>
      <c r="L302" s="37">
        <f t="shared" si="79"/>
        <v>-23.506503442999236</v>
      </c>
      <c r="M302" s="175">
        <f t="shared" si="80"/>
        <v>8615171</v>
      </c>
      <c r="N302" s="175">
        <f t="shared" ca="1" si="81"/>
        <v>9085390</v>
      </c>
      <c r="O302" s="37">
        <f t="shared" ca="1" si="82"/>
        <v>470219</v>
      </c>
      <c r="P302" s="37">
        <f t="shared" ca="1" si="83"/>
        <v>359.76970160673295</v>
      </c>
      <c r="Q302" s="68">
        <f t="shared" ca="1" si="84"/>
        <v>5.46</v>
      </c>
      <c r="R302" s="407"/>
      <c r="S302" s="102"/>
    </row>
    <row r="303" spans="1:19">
      <c r="A303" s="102">
        <v>780</v>
      </c>
      <c r="B303" s="7" t="s">
        <v>2105</v>
      </c>
      <c r="C303" s="7">
        <v>1</v>
      </c>
      <c r="D303" s="175">
        <f t="shared" si="71"/>
        <v>3939</v>
      </c>
      <c r="E303" s="175">
        <f t="shared" si="72"/>
        <v>3860</v>
      </c>
      <c r="F303" s="37">
        <f t="shared" si="73"/>
        <v>-79</v>
      </c>
      <c r="G303" s="175">
        <f t="shared" si="74"/>
        <v>38333512</v>
      </c>
      <c r="H303" s="175">
        <f t="shared" si="75"/>
        <v>38233603.852514476</v>
      </c>
      <c r="I303" s="37">
        <f t="shared" si="76"/>
        <v>-25.882939763089226</v>
      </c>
      <c r="J303" s="175">
        <f t="shared" si="77"/>
        <v>16774824</v>
      </c>
      <c r="K303" s="175">
        <f t="shared" si="78"/>
        <v>17627386</v>
      </c>
      <c r="L303" s="37">
        <f t="shared" si="79"/>
        <v>220.87098445595856</v>
      </c>
      <c r="M303" s="175">
        <f t="shared" si="80"/>
        <v>24436230</v>
      </c>
      <c r="N303" s="175">
        <f t="shared" ca="1" si="81"/>
        <v>24552030</v>
      </c>
      <c r="O303" s="37">
        <f t="shared" ca="1" si="82"/>
        <v>115800</v>
      </c>
      <c r="P303" s="37">
        <f t="shared" ca="1" si="83"/>
        <v>30</v>
      </c>
      <c r="Q303" s="68">
        <f t="shared" ca="1" si="84"/>
        <v>0.47</v>
      </c>
      <c r="R303" s="407"/>
      <c r="S303" s="102"/>
    </row>
    <row r="304" spans="1:19">
      <c r="A304" s="102">
        <v>801</v>
      </c>
      <c r="B304" s="7" t="s">
        <v>2106</v>
      </c>
      <c r="C304" s="7">
        <v>1</v>
      </c>
      <c r="D304" s="175">
        <f t="shared" si="71"/>
        <v>759</v>
      </c>
      <c r="E304" s="175">
        <f t="shared" si="72"/>
        <v>798.99999999999989</v>
      </c>
      <c r="F304" s="37">
        <f t="shared" si="73"/>
        <v>39.999999999999886</v>
      </c>
      <c r="G304" s="175">
        <f t="shared" si="74"/>
        <v>12802558</v>
      </c>
      <c r="H304" s="175">
        <f t="shared" si="75"/>
        <v>13483457.122205222</v>
      </c>
      <c r="I304" s="37">
        <f t="shared" si="76"/>
        <v>852.18913918050328</v>
      </c>
      <c r="J304" s="175">
        <f t="shared" si="77"/>
        <v>8119414</v>
      </c>
      <c r="K304" s="175">
        <f t="shared" si="78"/>
        <v>8363523</v>
      </c>
      <c r="L304" s="37">
        <f t="shared" si="79"/>
        <v>305.51814768460582</v>
      </c>
      <c r="M304" s="175">
        <f t="shared" si="80"/>
        <v>4744172</v>
      </c>
      <c r="N304" s="175">
        <f t="shared" ca="1" si="81"/>
        <v>5119934</v>
      </c>
      <c r="O304" s="37">
        <f t="shared" ca="1" si="82"/>
        <v>375762</v>
      </c>
      <c r="P304" s="37">
        <f t="shared" ca="1" si="83"/>
        <v>470.29036295369218</v>
      </c>
      <c r="Q304" s="68">
        <f t="shared" ca="1" si="84"/>
        <v>7.92</v>
      </c>
      <c r="R304" s="407"/>
      <c r="S304" s="102"/>
    </row>
    <row r="305" spans="1:19">
      <c r="A305" s="102">
        <v>805</v>
      </c>
      <c r="B305" s="7" t="s">
        <v>2107</v>
      </c>
      <c r="C305" s="7">
        <v>1</v>
      </c>
      <c r="D305" s="175">
        <f t="shared" si="71"/>
        <v>1221</v>
      </c>
      <c r="E305" s="175">
        <f t="shared" si="72"/>
        <v>1227.0000000122702</v>
      </c>
      <c r="F305" s="37">
        <f t="shared" si="73"/>
        <v>6.0000000122702204</v>
      </c>
      <c r="G305" s="175">
        <f t="shared" si="74"/>
        <v>18149119</v>
      </c>
      <c r="H305" s="175">
        <f t="shared" si="75"/>
        <v>18527694.600344807</v>
      </c>
      <c r="I305" s="37">
        <f t="shared" si="76"/>
        <v>308.53757159007421</v>
      </c>
      <c r="J305" s="175">
        <f t="shared" si="77"/>
        <v>10436837</v>
      </c>
      <c r="K305" s="175">
        <f t="shared" si="78"/>
        <v>10824531</v>
      </c>
      <c r="L305" s="37">
        <f t="shared" si="79"/>
        <v>315.96903015168948</v>
      </c>
      <c r="M305" s="175">
        <f t="shared" si="80"/>
        <v>8153324</v>
      </c>
      <c r="N305" s="175">
        <f t="shared" ca="1" si="81"/>
        <v>8190134.0000003679</v>
      </c>
      <c r="O305" s="37">
        <f t="shared" ca="1" si="82"/>
        <v>36810.000000367872</v>
      </c>
      <c r="P305" s="37">
        <f t="shared" ca="1" si="83"/>
        <v>29.999999999999808</v>
      </c>
      <c r="Q305" s="68">
        <f t="shared" ca="1" si="84"/>
        <v>0.45</v>
      </c>
      <c r="R305" s="407"/>
      <c r="S305" s="102"/>
    </row>
    <row r="306" spans="1:19">
      <c r="A306" s="102">
        <v>806</v>
      </c>
      <c r="B306" s="7" t="s">
        <v>2108</v>
      </c>
      <c r="C306" s="7">
        <v>1</v>
      </c>
      <c r="D306" s="175">
        <f t="shared" si="71"/>
        <v>896</v>
      </c>
      <c r="E306" s="175">
        <f t="shared" si="72"/>
        <v>881</v>
      </c>
      <c r="F306" s="37">
        <f t="shared" si="73"/>
        <v>-15</v>
      </c>
      <c r="G306" s="175">
        <f t="shared" si="74"/>
        <v>14501647</v>
      </c>
      <c r="H306" s="175">
        <f t="shared" si="75"/>
        <v>14512296.336987162</v>
      </c>
      <c r="I306" s="37">
        <f t="shared" si="76"/>
        <v>12.087783186335992</v>
      </c>
      <c r="J306" s="175">
        <f t="shared" si="77"/>
        <v>9816982</v>
      </c>
      <c r="K306" s="175">
        <f t="shared" si="78"/>
        <v>9777318</v>
      </c>
      <c r="L306" s="37">
        <f t="shared" si="79"/>
        <v>-45.021566401816116</v>
      </c>
      <c r="M306" s="175">
        <f t="shared" si="80"/>
        <v>4689160</v>
      </c>
      <c r="N306" s="175">
        <f t="shared" ca="1" si="81"/>
        <v>4734978</v>
      </c>
      <c r="O306" s="37">
        <f t="shared" ca="1" si="82"/>
        <v>45818</v>
      </c>
      <c r="P306" s="37">
        <f t="shared" ca="1" si="83"/>
        <v>52.006810442678777</v>
      </c>
      <c r="Q306" s="68">
        <f t="shared" ca="1" si="84"/>
        <v>0.98</v>
      </c>
      <c r="R306" s="407"/>
      <c r="S306" s="102"/>
    </row>
    <row r="307" spans="1:19">
      <c r="A307" s="102">
        <v>810</v>
      </c>
      <c r="B307" s="7" t="s">
        <v>2109</v>
      </c>
      <c r="C307" s="7">
        <v>1</v>
      </c>
      <c r="D307" s="175">
        <f t="shared" si="71"/>
        <v>1335</v>
      </c>
      <c r="E307" s="175">
        <f t="shared" si="72"/>
        <v>1341.00000001341</v>
      </c>
      <c r="F307" s="37">
        <f t="shared" si="73"/>
        <v>6.0000000134100446</v>
      </c>
      <c r="G307" s="175">
        <f t="shared" si="74"/>
        <v>20622505</v>
      </c>
      <c r="H307" s="175">
        <f t="shared" si="75"/>
        <v>21211911.426807255</v>
      </c>
      <c r="I307" s="37">
        <f t="shared" si="76"/>
        <v>439.52753676462379</v>
      </c>
      <c r="J307" s="175">
        <f t="shared" si="77"/>
        <v>9983312</v>
      </c>
      <c r="K307" s="175">
        <f t="shared" si="78"/>
        <v>10210686</v>
      </c>
      <c r="L307" s="37">
        <f t="shared" si="79"/>
        <v>169.55555555385999</v>
      </c>
      <c r="M307" s="175">
        <f t="shared" si="80"/>
        <v>10847624</v>
      </c>
      <c r="N307" s="175">
        <f t="shared" ca="1" si="81"/>
        <v>11001225</v>
      </c>
      <c r="O307" s="37">
        <f t="shared" ca="1" si="82"/>
        <v>153601</v>
      </c>
      <c r="P307" s="37">
        <f t="shared" ca="1" si="83"/>
        <v>114.54213273561818</v>
      </c>
      <c r="Q307" s="68">
        <f t="shared" ca="1" si="84"/>
        <v>1.42</v>
      </c>
      <c r="R307" s="407"/>
      <c r="S307" s="102"/>
    </row>
    <row r="308" spans="1:19">
      <c r="A308" s="102">
        <v>815</v>
      </c>
      <c r="B308" s="7" t="s">
        <v>2110</v>
      </c>
      <c r="C308" s="7">
        <v>1</v>
      </c>
      <c r="D308" s="175">
        <f t="shared" si="71"/>
        <v>618</v>
      </c>
      <c r="E308" s="175">
        <f t="shared" si="72"/>
        <v>623</v>
      </c>
      <c r="F308" s="37">
        <f t="shared" si="73"/>
        <v>5</v>
      </c>
      <c r="G308" s="175">
        <f t="shared" si="74"/>
        <v>9867056</v>
      </c>
      <c r="H308" s="175">
        <f t="shared" si="75"/>
        <v>10216575.999388266</v>
      </c>
      <c r="I308" s="37">
        <f t="shared" si="76"/>
        <v>561.02728633750621</v>
      </c>
      <c r="J308" s="175">
        <f t="shared" si="77"/>
        <v>8195699</v>
      </c>
      <c r="K308" s="175">
        <f t="shared" si="78"/>
        <v>8480852</v>
      </c>
      <c r="L308" s="37">
        <f t="shared" si="79"/>
        <v>457.70947030497592</v>
      </c>
      <c r="M308" s="175">
        <f t="shared" si="80"/>
        <v>2130477</v>
      </c>
      <c r="N308" s="175">
        <f t="shared" ca="1" si="81"/>
        <v>2149167</v>
      </c>
      <c r="O308" s="37">
        <f t="shared" ca="1" si="82"/>
        <v>18690</v>
      </c>
      <c r="P308" s="37">
        <f t="shared" ca="1" si="83"/>
        <v>30</v>
      </c>
      <c r="Q308" s="68">
        <f t="shared" ca="1" si="84"/>
        <v>0.88</v>
      </c>
      <c r="R308" s="407"/>
      <c r="S308" s="102"/>
    </row>
    <row r="309" spans="1:19">
      <c r="A309" s="102">
        <v>817</v>
      </c>
      <c r="B309" s="7" t="s">
        <v>1684</v>
      </c>
      <c r="C309" s="7">
        <v>1</v>
      </c>
      <c r="D309" s="175">
        <f t="shared" si="71"/>
        <v>912</v>
      </c>
      <c r="E309" s="175">
        <f t="shared" si="72"/>
        <v>1014.0000000101398</v>
      </c>
      <c r="F309" s="37">
        <f t="shared" si="73"/>
        <v>102.00000001013984</v>
      </c>
      <c r="G309" s="175">
        <f t="shared" si="74"/>
        <v>14380155</v>
      </c>
      <c r="H309" s="175">
        <f t="shared" si="75"/>
        <v>16129989.412692271</v>
      </c>
      <c r="I309" s="37">
        <f t="shared" si="76"/>
        <v>1725.6749631901116</v>
      </c>
      <c r="J309" s="175">
        <f t="shared" si="77"/>
        <v>10925830</v>
      </c>
      <c r="K309" s="175">
        <f t="shared" si="78"/>
        <v>12242834</v>
      </c>
      <c r="L309" s="37">
        <f t="shared" si="79"/>
        <v>1298.8205128075249</v>
      </c>
      <c r="M309" s="175">
        <f t="shared" si="80"/>
        <v>3454325</v>
      </c>
      <c r="N309" s="175">
        <f t="shared" ca="1" si="81"/>
        <v>3887155</v>
      </c>
      <c r="O309" s="37">
        <f t="shared" ref="O309:O332" ca="1" si="85">N309-M309</f>
        <v>432830</v>
      </c>
      <c r="P309" s="37">
        <f t="shared" ref="P309:P332" ca="1" si="86">(N309-M309)/$E309</f>
        <v>426.85404338823645</v>
      </c>
      <c r="Q309" s="68">
        <f t="shared" ref="Q309:Q331" ca="1" si="87">ROUND(IF(G309&gt;0,(N309-M309)*100/M309,100),2)</f>
        <v>12.53</v>
      </c>
      <c r="R309" s="407"/>
      <c r="S309" s="102"/>
    </row>
    <row r="310" spans="1:19">
      <c r="A310" s="102">
        <v>818</v>
      </c>
      <c r="B310" s="7" t="s">
        <v>2111</v>
      </c>
      <c r="C310" s="7">
        <v>1</v>
      </c>
      <c r="D310" s="175">
        <f t="shared" si="71"/>
        <v>463</v>
      </c>
      <c r="E310" s="175">
        <f t="shared" si="72"/>
        <v>437.00000001310997</v>
      </c>
      <c r="F310" s="37">
        <f t="shared" si="73"/>
        <v>-25.999999986890032</v>
      </c>
      <c r="G310" s="175">
        <f t="shared" si="74"/>
        <v>7510077</v>
      </c>
      <c r="H310" s="175">
        <f t="shared" si="75"/>
        <v>7241932.8547982732</v>
      </c>
      <c r="I310" s="37">
        <f t="shared" si="76"/>
        <v>-613.60216291460529</v>
      </c>
      <c r="J310" s="175">
        <f t="shared" si="77"/>
        <v>4120671</v>
      </c>
      <c r="K310" s="175">
        <f t="shared" si="78"/>
        <v>3955977</v>
      </c>
      <c r="L310" s="37">
        <f t="shared" si="79"/>
        <v>-376.87414186512399</v>
      </c>
      <c r="M310" s="175">
        <f t="shared" si="80"/>
        <v>3475025.8843999999</v>
      </c>
      <c r="N310" s="175">
        <f t="shared" ca="1" si="81"/>
        <v>3488135.8844003933</v>
      </c>
      <c r="O310" s="37">
        <f t="shared" ca="1" si="85"/>
        <v>13110.000000393484</v>
      </c>
      <c r="P310" s="37">
        <f t="shared" ca="1" si="86"/>
        <v>30.000000000000423</v>
      </c>
      <c r="Q310" s="68">
        <f t="shared" ca="1" si="87"/>
        <v>0.38</v>
      </c>
      <c r="R310" s="407"/>
      <c r="S310" s="102"/>
    </row>
    <row r="311" spans="1:19">
      <c r="A311" s="102">
        <v>821</v>
      </c>
      <c r="B311" s="7" t="s">
        <v>2112</v>
      </c>
      <c r="C311" s="7">
        <v>1</v>
      </c>
      <c r="D311" s="175">
        <f t="shared" si="71"/>
        <v>1480</v>
      </c>
      <c r="E311" s="175">
        <f t="shared" si="72"/>
        <v>1447</v>
      </c>
      <c r="F311" s="37">
        <f t="shared" si="73"/>
        <v>-33</v>
      </c>
      <c r="G311" s="175">
        <f t="shared" si="74"/>
        <v>23332972</v>
      </c>
      <c r="H311" s="175">
        <f t="shared" si="75"/>
        <v>23441355.209892597</v>
      </c>
      <c r="I311" s="37">
        <f t="shared" si="76"/>
        <v>74.902010983135483</v>
      </c>
      <c r="J311" s="175">
        <f t="shared" si="77"/>
        <v>7431313</v>
      </c>
      <c r="K311" s="175">
        <f t="shared" si="78"/>
        <v>7581869</v>
      </c>
      <c r="L311" s="37">
        <f t="shared" si="79"/>
        <v>104.04699378023497</v>
      </c>
      <c r="M311" s="175">
        <f t="shared" si="80"/>
        <v>15901659</v>
      </c>
      <c r="N311" s="175">
        <f t="shared" ca="1" si="81"/>
        <v>15945069</v>
      </c>
      <c r="O311" s="37">
        <f t="shared" ca="1" si="85"/>
        <v>43410</v>
      </c>
      <c r="P311" s="37">
        <f t="shared" ca="1" si="86"/>
        <v>30</v>
      </c>
      <c r="Q311" s="68">
        <f t="shared" ca="1" si="87"/>
        <v>0.27</v>
      </c>
      <c r="R311" s="407"/>
      <c r="S311" s="102"/>
    </row>
    <row r="312" spans="1:19">
      <c r="A312" s="102">
        <v>823</v>
      </c>
      <c r="B312" s="7" t="s">
        <v>2113</v>
      </c>
      <c r="C312" s="7">
        <v>1</v>
      </c>
      <c r="D312" s="175">
        <f t="shared" si="71"/>
        <v>1518</v>
      </c>
      <c r="E312" s="175">
        <f t="shared" si="72"/>
        <v>1555.0000000155501</v>
      </c>
      <c r="F312" s="37">
        <f t="shared" si="73"/>
        <v>37.000000015550086</v>
      </c>
      <c r="G312" s="175">
        <f t="shared" si="74"/>
        <v>27130809</v>
      </c>
      <c r="H312" s="175">
        <f t="shared" si="75"/>
        <v>28198339.274539281</v>
      </c>
      <c r="I312" s="37">
        <f t="shared" si="76"/>
        <v>686.5146459991031</v>
      </c>
      <c r="J312" s="175">
        <f t="shared" si="77"/>
        <v>4613664</v>
      </c>
      <c r="K312" s="175">
        <f t="shared" si="78"/>
        <v>4675584</v>
      </c>
      <c r="L312" s="37">
        <f t="shared" si="79"/>
        <v>39.819935690920126</v>
      </c>
      <c r="M312" s="175">
        <f t="shared" si="80"/>
        <v>22517145</v>
      </c>
      <c r="N312" s="175">
        <f t="shared" ca="1" si="81"/>
        <v>23522755</v>
      </c>
      <c r="O312" s="37">
        <f t="shared" ca="1" si="85"/>
        <v>1005610</v>
      </c>
      <c r="P312" s="37">
        <f t="shared" ca="1" si="86"/>
        <v>646.6945337555909</v>
      </c>
      <c r="Q312" s="68">
        <f t="shared" ca="1" si="87"/>
        <v>4.47</v>
      </c>
      <c r="R312" s="407"/>
      <c r="S312" s="102"/>
    </row>
    <row r="313" spans="1:19">
      <c r="A313" s="102">
        <v>825</v>
      </c>
      <c r="B313" s="7" t="s">
        <v>2114</v>
      </c>
      <c r="C313" s="7">
        <v>1</v>
      </c>
      <c r="D313" s="175">
        <f t="shared" si="71"/>
        <v>2175</v>
      </c>
      <c r="E313" s="175">
        <f t="shared" si="72"/>
        <v>2156.99999997843</v>
      </c>
      <c r="F313" s="37">
        <f t="shared" si="73"/>
        <v>-18.000000021570031</v>
      </c>
      <c r="G313" s="175">
        <f t="shared" si="74"/>
        <v>34911179</v>
      </c>
      <c r="H313" s="175">
        <f t="shared" si="75"/>
        <v>35334771.991298027</v>
      </c>
      <c r="I313" s="37">
        <f t="shared" si="76"/>
        <v>196.38061720086384</v>
      </c>
      <c r="J313" s="175">
        <f t="shared" si="77"/>
        <v>10102835</v>
      </c>
      <c r="K313" s="175">
        <f t="shared" si="78"/>
        <v>10506130</v>
      </c>
      <c r="L313" s="37">
        <f t="shared" si="79"/>
        <v>186.97032916274128</v>
      </c>
      <c r="M313" s="175">
        <f t="shared" si="80"/>
        <v>24808344</v>
      </c>
      <c r="N313" s="175">
        <f t="shared" ca="1" si="81"/>
        <v>24873053.999999352</v>
      </c>
      <c r="O313" s="37">
        <f t="shared" ca="1" si="85"/>
        <v>64709.999999351799</v>
      </c>
      <c r="P313" s="37">
        <f t="shared" ca="1" si="86"/>
        <v>29.999999999999492</v>
      </c>
      <c r="Q313" s="68">
        <f t="shared" ca="1" si="87"/>
        <v>0.26</v>
      </c>
      <c r="R313" s="407"/>
      <c r="S313" s="102"/>
    </row>
    <row r="314" spans="1:19">
      <c r="A314" s="102">
        <v>828</v>
      </c>
      <c r="B314" s="7" t="s">
        <v>2115</v>
      </c>
      <c r="C314" s="7">
        <v>1</v>
      </c>
      <c r="D314" s="175">
        <f t="shared" si="71"/>
        <v>2187</v>
      </c>
      <c r="E314" s="175">
        <f t="shared" si="72"/>
        <v>2252</v>
      </c>
      <c r="F314" s="37">
        <f t="shared" si="73"/>
        <v>65</v>
      </c>
      <c r="G314" s="175">
        <f t="shared" si="74"/>
        <v>35531900</v>
      </c>
      <c r="H314" s="175">
        <f t="shared" si="75"/>
        <v>37509502.791465104</v>
      </c>
      <c r="I314" s="37">
        <f t="shared" si="76"/>
        <v>878.15399265768372</v>
      </c>
      <c r="J314" s="175">
        <f t="shared" si="77"/>
        <v>11891870</v>
      </c>
      <c r="K314" s="175">
        <f t="shared" si="78"/>
        <v>12482002</v>
      </c>
      <c r="L314" s="37">
        <f t="shared" si="79"/>
        <v>262.04795737122555</v>
      </c>
      <c r="M314" s="175">
        <f t="shared" si="80"/>
        <v>23860787</v>
      </c>
      <c r="N314" s="175">
        <f t="shared" ca="1" si="81"/>
        <v>25027501</v>
      </c>
      <c r="O314" s="37">
        <f t="shared" ca="1" si="85"/>
        <v>1166714</v>
      </c>
      <c r="P314" s="37">
        <f t="shared" ca="1" si="86"/>
        <v>518.07904085257553</v>
      </c>
      <c r="Q314" s="68">
        <f t="shared" ca="1" si="87"/>
        <v>4.8899999999999997</v>
      </c>
      <c r="R314" s="407"/>
      <c r="S314" s="102"/>
    </row>
    <row r="315" spans="1:19">
      <c r="A315" s="102">
        <v>829</v>
      </c>
      <c r="B315" s="7" t="s">
        <v>2116</v>
      </c>
      <c r="C315" s="7">
        <v>1</v>
      </c>
      <c r="D315" s="175">
        <f t="shared" si="71"/>
        <v>707</v>
      </c>
      <c r="E315" s="175">
        <f t="shared" si="72"/>
        <v>716.00000000716</v>
      </c>
      <c r="F315" s="37">
        <f t="shared" si="73"/>
        <v>9.000000007159997</v>
      </c>
      <c r="G315" s="175">
        <f t="shared" si="74"/>
        <v>11942604</v>
      </c>
      <c r="H315" s="175">
        <f t="shared" si="75"/>
        <v>12170547.123704944</v>
      </c>
      <c r="I315" s="37">
        <f t="shared" si="76"/>
        <v>318.35631802048096</v>
      </c>
      <c r="J315" s="175">
        <f t="shared" si="77"/>
        <v>7592237</v>
      </c>
      <c r="K315" s="175">
        <f t="shared" si="78"/>
        <v>7850604</v>
      </c>
      <c r="L315" s="37">
        <f t="shared" si="79"/>
        <v>360.84776535952</v>
      </c>
      <c r="M315" s="175">
        <f t="shared" si="80"/>
        <v>4386161</v>
      </c>
      <c r="N315" s="175">
        <f t="shared" ca="1" si="81"/>
        <v>4407641.0000002151</v>
      </c>
      <c r="O315" s="37">
        <f t="shared" ca="1" si="85"/>
        <v>21480.000000215136</v>
      </c>
      <c r="P315" s="37">
        <f t="shared" ca="1" si="86"/>
        <v>30.000000000000469</v>
      </c>
      <c r="Q315" s="68">
        <f t="shared" ca="1" si="87"/>
        <v>0.49</v>
      </c>
      <c r="R315" s="407"/>
      <c r="S315" s="102"/>
    </row>
    <row r="316" spans="1:19">
      <c r="A316" s="102">
        <v>830</v>
      </c>
      <c r="B316" s="7" t="s">
        <v>2117</v>
      </c>
      <c r="C316" s="7">
        <v>1</v>
      </c>
      <c r="D316" s="175">
        <f t="shared" si="71"/>
        <v>386</v>
      </c>
      <c r="E316" s="175">
        <f t="shared" si="72"/>
        <v>346</v>
      </c>
      <c r="F316" s="37">
        <f t="shared" si="73"/>
        <v>-40</v>
      </c>
      <c r="G316" s="175">
        <f t="shared" si="74"/>
        <v>6744963</v>
      </c>
      <c r="H316" s="175">
        <f t="shared" si="75"/>
        <v>6331977.4709823718</v>
      </c>
      <c r="I316" s="37">
        <f t="shared" si="76"/>
        <v>-1193.5997948486363</v>
      </c>
      <c r="J316" s="175">
        <f t="shared" si="77"/>
        <v>5436063</v>
      </c>
      <c r="K316" s="175">
        <f t="shared" si="78"/>
        <v>5038148</v>
      </c>
      <c r="L316" s="37">
        <f t="shared" si="79"/>
        <v>-1150.0433526011561</v>
      </c>
      <c r="M316" s="175">
        <f t="shared" si="80"/>
        <v>2064483</v>
      </c>
      <c r="N316" s="175">
        <f t="shared" ca="1" si="81"/>
        <v>2074863</v>
      </c>
      <c r="O316" s="37">
        <f t="shared" ca="1" si="85"/>
        <v>10380</v>
      </c>
      <c r="P316" s="37">
        <f t="shared" ca="1" si="86"/>
        <v>30</v>
      </c>
      <c r="Q316" s="68">
        <f t="shared" ca="1" si="87"/>
        <v>0.5</v>
      </c>
      <c r="R316" s="407"/>
      <c r="S316" s="102"/>
    </row>
    <row r="317" spans="1:19">
      <c r="A317" s="102">
        <v>832</v>
      </c>
      <c r="B317" s="7" t="s">
        <v>2118</v>
      </c>
      <c r="C317" s="7">
        <v>1</v>
      </c>
      <c r="D317" s="175">
        <f t="shared" si="71"/>
        <v>1500</v>
      </c>
      <c r="E317" s="175">
        <f t="shared" si="72"/>
        <v>1496</v>
      </c>
      <c r="F317" s="37">
        <f t="shared" si="73"/>
        <v>-4</v>
      </c>
      <c r="G317" s="175">
        <f t="shared" si="74"/>
        <v>22983366</v>
      </c>
      <c r="H317" s="175">
        <f t="shared" si="75"/>
        <v>23339671.662662312</v>
      </c>
      <c r="I317" s="37">
        <f t="shared" si="76"/>
        <v>238.17223439994143</v>
      </c>
      <c r="J317" s="175">
        <f t="shared" si="77"/>
        <v>9077316</v>
      </c>
      <c r="K317" s="175">
        <f t="shared" si="78"/>
        <v>9194861</v>
      </c>
      <c r="L317" s="37">
        <f t="shared" si="79"/>
        <v>78.57286096256685</v>
      </c>
      <c r="M317" s="175">
        <f t="shared" si="80"/>
        <v>13920325</v>
      </c>
      <c r="N317" s="175">
        <f t="shared" ca="1" si="81"/>
        <v>14144811</v>
      </c>
      <c r="O317" s="37">
        <f t="shared" ca="1" si="85"/>
        <v>224486</v>
      </c>
      <c r="P317" s="37">
        <f t="shared" ca="1" si="86"/>
        <v>150.05748663101605</v>
      </c>
      <c r="Q317" s="68">
        <f t="shared" ca="1" si="87"/>
        <v>1.61</v>
      </c>
      <c r="R317" s="407"/>
      <c r="S317" s="102"/>
    </row>
    <row r="318" spans="1:19">
      <c r="A318" s="102">
        <v>851</v>
      </c>
      <c r="B318" s="7" t="s">
        <v>2119</v>
      </c>
      <c r="C318" s="7">
        <v>1</v>
      </c>
      <c r="D318" s="175">
        <f t="shared" si="71"/>
        <v>456</v>
      </c>
      <c r="E318" s="175">
        <f t="shared" si="72"/>
        <v>456</v>
      </c>
      <c r="F318" s="37">
        <f t="shared" si="73"/>
        <v>0</v>
      </c>
      <c r="G318" s="175">
        <f t="shared" si="74"/>
        <v>7221555</v>
      </c>
      <c r="H318" s="175">
        <f t="shared" si="75"/>
        <v>7333874.6106536184</v>
      </c>
      <c r="I318" s="37">
        <f t="shared" si="76"/>
        <v>246.3149356438999</v>
      </c>
      <c r="J318" s="175">
        <f t="shared" si="77"/>
        <v>2766472</v>
      </c>
      <c r="K318" s="175">
        <f t="shared" si="78"/>
        <v>2825783</v>
      </c>
      <c r="L318" s="37">
        <f t="shared" si="79"/>
        <v>130.06798245614036</v>
      </c>
      <c r="M318" s="175">
        <f t="shared" si="80"/>
        <v>4666196</v>
      </c>
      <c r="N318" s="175">
        <f t="shared" ca="1" si="81"/>
        <v>4679876</v>
      </c>
      <c r="O318" s="37">
        <f t="shared" ca="1" si="85"/>
        <v>13680</v>
      </c>
      <c r="P318" s="37">
        <f t="shared" ca="1" si="86"/>
        <v>30</v>
      </c>
      <c r="Q318" s="68">
        <f t="shared" ca="1" si="87"/>
        <v>0.28999999999999998</v>
      </c>
      <c r="R318" s="407"/>
      <c r="S318" s="102"/>
    </row>
    <row r="319" spans="1:19">
      <c r="A319" s="102">
        <v>852</v>
      </c>
      <c r="B319" s="7" t="s">
        <v>2120</v>
      </c>
      <c r="C319" s="7">
        <v>1</v>
      </c>
      <c r="D319" s="175">
        <f t="shared" si="71"/>
        <v>686</v>
      </c>
      <c r="E319" s="175">
        <f t="shared" si="72"/>
        <v>675</v>
      </c>
      <c r="F319" s="37">
        <f t="shared" si="73"/>
        <v>-11</v>
      </c>
      <c r="G319" s="175">
        <f t="shared" si="74"/>
        <v>10716963</v>
      </c>
      <c r="H319" s="175">
        <f t="shared" si="75"/>
        <v>10765279.843473723</v>
      </c>
      <c r="I319" s="37">
        <f t="shared" si="76"/>
        <v>71.580508849960239</v>
      </c>
      <c r="J319" s="175">
        <f t="shared" si="77"/>
        <v>7187884</v>
      </c>
      <c r="K319" s="175">
        <f t="shared" si="78"/>
        <v>7259409</v>
      </c>
      <c r="L319" s="37">
        <f t="shared" si="79"/>
        <v>105.96296296296296</v>
      </c>
      <c r="M319" s="175">
        <f t="shared" si="80"/>
        <v>3658183.8408499998</v>
      </c>
      <c r="N319" s="175">
        <f t="shared" ca="1" si="81"/>
        <v>3678433.8408499998</v>
      </c>
      <c r="O319" s="37">
        <f t="shared" ca="1" si="85"/>
        <v>20250</v>
      </c>
      <c r="P319" s="37">
        <f t="shared" ca="1" si="86"/>
        <v>30</v>
      </c>
      <c r="Q319" s="68">
        <f t="shared" ca="1" si="87"/>
        <v>0.55000000000000004</v>
      </c>
      <c r="R319" s="407"/>
      <c r="S319" s="102"/>
    </row>
    <row r="320" spans="1:19">
      <c r="A320" s="102">
        <v>853</v>
      </c>
      <c r="B320" s="7" t="s">
        <v>2121</v>
      </c>
      <c r="C320" s="7">
        <v>1</v>
      </c>
      <c r="D320" s="175">
        <f t="shared" si="71"/>
        <v>1231</v>
      </c>
      <c r="E320" s="175">
        <f t="shared" si="72"/>
        <v>1239</v>
      </c>
      <c r="F320" s="37">
        <f t="shared" si="73"/>
        <v>8</v>
      </c>
      <c r="G320" s="175">
        <f t="shared" si="74"/>
        <v>20458840</v>
      </c>
      <c r="H320" s="175">
        <f t="shared" si="75"/>
        <v>21001845.715027004</v>
      </c>
      <c r="I320" s="37">
        <f t="shared" si="76"/>
        <v>438.26127120823605</v>
      </c>
      <c r="J320" s="175">
        <f t="shared" si="77"/>
        <v>11667126</v>
      </c>
      <c r="K320" s="175">
        <f t="shared" si="78"/>
        <v>11813188</v>
      </c>
      <c r="L320" s="37">
        <f t="shared" si="79"/>
        <v>117.88700564971751</v>
      </c>
      <c r="M320" s="175">
        <f t="shared" si="80"/>
        <v>8818904</v>
      </c>
      <c r="N320" s="175">
        <f t="shared" ca="1" si="81"/>
        <v>9188658</v>
      </c>
      <c r="O320" s="37">
        <f t="shared" ca="1" si="85"/>
        <v>369754</v>
      </c>
      <c r="P320" s="37">
        <f t="shared" ca="1" si="86"/>
        <v>298.42937853107344</v>
      </c>
      <c r="Q320" s="68">
        <f t="shared" ca="1" si="87"/>
        <v>4.1900000000000004</v>
      </c>
      <c r="R320" s="407"/>
      <c r="S320" s="102"/>
    </row>
    <row r="321" spans="1:19">
      <c r="A321" s="102">
        <v>855</v>
      </c>
      <c r="B321" s="7" t="s">
        <v>2122</v>
      </c>
      <c r="C321" s="7">
        <v>1</v>
      </c>
      <c r="D321" s="175">
        <f t="shared" si="71"/>
        <v>459</v>
      </c>
      <c r="E321" s="175">
        <f t="shared" si="72"/>
        <v>459</v>
      </c>
      <c r="F321" s="37">
        <f t="shared" si="73"/>
        <v>0</v>
      </c>
      <c r="G321" s="175">
        <f t="shared" si="74"/>
        <v>7070588</v>
      </c>
      <c r="H321" s="175">
        <f t="shared" si="75"/>
        <v>7132027.5606843857</v>
      </c>
      <c r="I321" s="37">
        <f t="shared" si="76"/>
        <v>133.85525203569873</v>
      </c>
      <c r="J321" s="175">
        <f t="shared" si="77"/>
        <v>4320680</v>
      </c>
      <c r="K321" s="175">
        <f t="shared" si="78"/>
        <v>4376933</v>
      </c>
      <c r="L321" s="37">
        <f t="shared" si="79"/>
        <v>122.55555555555556</v>
      </c>
      <c r="M321" s="175">
        <f t="shared" si="80"/>
        <v>3240924</v>
      </c>
      <c r="N321" s="175">
        <f t="shared" ca="1" si="81"/>
        <v>3254694</v>
      </c>
      <c r="O321" s="37">
        <f t="shared" ca="1" si="85"/>
        <v>13770</v>
      </c>
      <c r="P321" s="37">
        <f t="shared" ca="1" si="86"/>
        <v>30</v>
      </c>
      <c r="Q321" s="68">
        <f t="shared" ca="1" si="87"/>
        <v>0.42</v>
      </c>
      <c r="R321" s="407"/>
      <c r="S321" s="102"/>
    </row>
    <row r="322" spans="1:19">
      <c r="A322" s="102">
        <v>860</v>
      </c>
      <c r="B322" s="7" t="s">
        <v>2123</v>
      </c>
      <c r="C322" s="7">
        <v>1</v>
      </c>
      <c r="D322" s="175">
        <f t="shared" si="71"/>
        <v>577</v>
      </c>
      <c r="E322" s="175">
        <f t="shared" si="72"/>
        <v>577.00000001154001</v>
      </c>
      <c r="F322" s="37">
        <f t="shared" si="73"/>
        <v>1.1540009836608078E-8</v>
      </c>
      <c r="G322" s="175">
        <f t="shared" si="74"/>
        <v>9305841</v>
      </c>
      <c r="H322" s="175">
        <f t="shared" si="75"/>
        <v>9526647.0681404825</v>
      </c>
      <c r="I322" s="37">
        <f t="shared" si="76"/>
        <v>382.67949416995913</v>
      </c>
      <c r="J322" s="175">
        <f t="shared" si="77"/>
        <v>4136686</v>
      </c>
      <c r="K322" s="175">
        <f t="shared" si="78"/>
        <v>4148472</v>
      </c>
      <c r="L322" s="37">
        <f t="shared" si="79"/>
        <v>20.426343153837575</v>
      </c>
      <c r="M322" s="175">
        <f t="shared" si="80"/>
        <v>5422744.7480999995</v>
      </c>
      <c r="N322" s="175">
        <f t="shared" ca="1" si="81"/>
        <v>5440054.748100346</v>
      </c>
      <c r="O322" s="37">
        <f t="shared" ca="1" si="85"/>
        <v>17310.000000346452</v>
      </c>
      <c r="P322" s="37">
        <f t="shared" ca="1" si="86"/>
        <v>30.000000000000437</v>
      </c>
      <c r="Q322" s="68">
        <f t="shared" ca="1" si="87"/>
        <v>0.32</v>
      </c>
      <c r="R322" s="407"/>
      <c r="S322" s="102"/>
    </row>
    <row r="323" spans="1:19">
      <c r="A323" s="102">
        <v>871</v>
      </c>
      <c r="B323" s="7" t="s">
        <v>2124</v>
      </c>
      <c r="C323" s="7">
        <v>1</v>
      </c>
      <c r="D323" s="175">
        <f t="shared" si="71"/>
        <v>1361</v>
      </c>
      <c r="E323" s="175">
        <f t="shared" si="72"/>
        <v>1351.9999999999998</v>
      </c>
      <c r="F323" s="37">
        <f t="shared" si="73"/>
        <v>-9.0000000000002274</v>
      </c>
      <c r="G323" s="175">
        <f t="shared" si="74"/>
        <v>20610764</v>
      </c>
      <c r="H323" s="175">
        <f t="shared" si="75"/>
        <v>20779974.22357462</v>
      </c>
      <c r="I323" s="37">
        <f t="shared" si="76"/>
        <v>125.15549080963001</v>
      </c>
      <c r="J323" s="175">
        <f t="shared" si="77"/>
        <v>15409506</v>
      </c>
      <c r="K323" s="175">
        <f t="shared" si="78"/>
        <v>15673209</v>
      </c>
      <c r="L323" s="37">
        <f t="shared" si="79"/>
        <v>195.04659763313612</v>
      </c>
      <c r="M323" s="175">
        <f t="shared" si="80"/>
        <v>6350690.7275124993</v>
      </c>
      <c r="N323" s="175">
        <f t="shared" ca="1" si="81"/>
        <v>6391250.7275124993</v>
      </c>
      <c r="O323" s="37">
        <f t="shared" ca="1" si="85"/>
        <v>40560</v>
      </c>
      <c r="P323" s="37">
        <f t="shared" ca="1" si="86"/>
        <v>30.000000000000004</v>
      </c>
      <c r="Q323" s="68">
        <f t="shared" ca="1" si="87"/>
        <v>0.64</v>
      </c>
      <c r="R323" s="407"/>
      <c r="S323" s="102"/>
    </row>
    <row r="324" spans="1:19">
      <c r="A324" s="102">
        <v>872</v>
      </c>
      <c r="B324" s="7" t="s">
        <v>2125</v>
      </c>
      <c r="C324" s="7">
        <v>1</v>
      </c>
      <c r="D324" s="175">
        <f t="shared" si="71"/>
        <v>1468</v>
      </c>
      <c r="E324" s="175">
        <f t="shared" si="72"/>
        <v>1508.9999999849099</v>
      </c>
      <c r="F324" s="37">
        <f t="shared" si="73"/>
        <v>40.999999984909891</v>
      </c>
      <c r="G324" s="175">
        <f t="shared" si="74"/>
        <v>23532615</v>
      </c>
      <c r="H324" s="175">
        <f t="shared" si="75"/>
        <v>24658561.658426791</v>
      </c>
      <c r="I324" s="37">
        <f t="shared" si="76"/>
        <v>746.15418054211466</v>
      </c>
      <c r="J324" s="175">
        <f t="shared" si="77"/>
        <v>8586706</v>
      </c>
      <c r="K324" s="175">
        <f t="shared" si="78"/>
        <v>9068356</v>
      </c>
      <c r="L324" s="37">
        <f t="shared" si="79"/>
        <v>319.18489065925547</v>
      </c>
      <c r="M324" s="175">
        <f t="shared" si="80"/>
        <v>14945909</v>
      </c>
      <c r="N324" s="175">
        <f t="shared" ca="1" si="81"/>
        <v>15590206</v>
      </c>
      <c r="O324" s="37">
        <f t="shared" ca="1" si="85"/>
        <v>644297</v>
      </c>
      <c r="P324" s="37">
        <f t="shared" ca="1" si="86"/>
        <v>426.96951624018755</v>
      </c>
      <c r="Q324" s="68">
        <f t="shared" ca="1" si="87"/>
        <v>4.3099999999999996</v>
      </c>
      <c r="R324" s="407"/>
      <c r="S324" s="102"/>
    </row>
    <row r="325" spans="1:19">
      <c r="A325" s="102">
        <v>873</v>
      </c>
      <c r="B325" s="7" t="s">
        <v>2126</v>
      </c>
      <c r="C325" s="7">
        <v>1</v>
      </c>
      <c r="D325" s="175">
        <f t="shared" si="71"/>
        <v>622</v>
      </c>
      <c r="E325" s="175">
        <f t="shared" si="72"/>
        <v>619.99999999379997</v>
      </c>
      <c r="F325" s="37">
        <f t="shared" si="73"/>
        <v>-2.0000000062000254</v>
      </c>
      <c r="G325" s="175">
        <f t="shared" si="74"/>
        <v>9836290</v>
      </c>
      <c r="H325" s="175">
        <f t="shared" si="75"/>
        <v>10085090.357912248</v>
      </c>
      <c r="I325" s="37">
        <f t="shared" si="76"/>
        <v>401.29089986247743</v>
      </c>
      <c r="J325" s="175">
        <f t="shared" si="77"/>
        <v>5547660</v>
      </c>
      <c r="K325" s="175">
        <f t="shared" si="78"/>
        <v>5811066</v>
      </c>
      <c r="L325" s="37">
        <f t="shared" si="79"/>
        <v>424.84838710102269</v>
      </c>
      <c r="M325" s="175">
        <f t="shared" si="80"/>
        <v>4288630</v>
      </c>
      <c r="N325" s="175">
        <f t="shared" ca="1" si="81"/>
        <v>4307229.9999998137</v>
      </c>
      <c r="O325" s="37">
        <f t="shared" ca="1" si="85"/>
        <v>18599.999999813735</v>
      </c>
      <c r="P325" s="37">
        <f t="shared" ca="1" si="86"/>
        <v>29.999999999999574</v>
      </c>
      <c r="Q325" s="68">
        <f t="shared" ca="1" si="87"/>
        <v>0.43</v>
      </c>
      <c r="R325" s="407"/>
      <c r="S325" s="102"/>
    </row>
    <row r="326" spans="1:19">
      <c r="A326" s="102">
        <v>876</v>
      </c>
      <c r="B326" s="7" t="s">
        <v>2127</v>
      </c>
      <c r="C326" s="7">
        <v>1</v>
      </c>
      <c r="D326" s="175">
        <f t="shared" ref="D326:D331" si="88">VLOOKUP(A326,aidcalc,17)</f>
        <v>1136</v>
      </c>
      <c r="E326" s="175">
        <f t="shared" ref="E326:E331" si="89">VLOOKUP(A326,aidcalc,18)</f>
        <v>1144.9999999885499</v>
      </c>
      <c r="F326" s="37">
        <f t="shared" ref="F326:F331" si="90">E326-D326</f>
        <v>8.9999999885499165</v>
      </c>
      <c r="G326" s="175">
        <f t="shared" ref="G326:G332" si="91">VLOOKUP(A326,aidcalc,4)</f>
        <v>17712277</v>
      </c>
      <c r="H326" s="175">
        <f t="shared" ref="H326:H332" si="92">VLOOKUP(A326,aidcalc,6)</f>
        <v>18134754.555626247</v>
      </c>
      <c r="I326" s="37">
        <f t="shared" ref="I326:I332" si="93">(H326-G326)/$E326</f>
        <v>368.97603111831603</v>
      </c>
      <c r="J326" s="175">
        <f t="shared" ref="J326:J331" si="94">SUMIF(dist1755,A326,pynetmin)</f>
        <v>7652484</v>
      </c>
      <c r="K326" s="175">
        <f t="shared" ref="K326:K332" si="95">VLOOKUP(A326,aidcalc,7)</f>
        <v>7810739</v>
      </c>
      <c r="L326" s="37">
        <f t="shared" ref="L326:L331" si="96">(K326-J326)/$E326</f>
        <v>138.2139738005088</v>
      </c>
      <c r="M326" s="175">
        <f t="shared" si="80"/>
        <v>10147042</v>
      </c>
      <c r="N326" s="175">
        <f t="shared" ca="1" si="81"/>
        <v>10324016</v>
      </c>
      <c r="O326" s="37">
        <f t="shared" ca="1" si="85"/>
        <v>176974</v>
      </c>
      <c r="P326" s="37">
        <f t="shared" ca="1" si="86"/>
        <v>154.56244541639279</v>
      </c>
      <c r="Q326" s="68">
        <f t="shared" ca="1" si="87"/>
        <v>1.74</v>
      </c>
      <c r="R326" s="407"/>
      <c r="S326" s="102"/>
    </row>
    <row r="327" spans="1:19">
      <c r="A327" s="102">
        <v>878</v>
      </c>
      <c r="B327" s="7" t="s">
        <v>2128</v>
      </c>
      <c r="C327" s="7">
        <v>1</v>
      </c>
      <c r="D327" s="175">
        <f t="shared" si="88"/>
        <v>957</v>
      </c>
      <c r="E327" s="175">
        <f t="shared" si="89"/>
        <v>962.99999999037004</v>
      </c>
      <c r="F327" s="37">
        <f t="shared" si="90"/>
        <v>5.9999999903700427</v>
      </c>
      <c r="G327" s="175">
        <f t="shared" si="91"/>
        <v>15221337</v>
      </c>
      <c r="H327" s="175">
        <f t="shared" si="92"/>
        <v>15811834.242360983</v>
      </c>
      <c r="I327" s="37">
        <f t="shared" si="93"/>
        <v>613.18509072366351</v>
      </c>
      <c r="J327" s="175">
        <f t="shared" si="94"/>
        <v>10205482</v>
      </c>
      <c r="K327" s="175">
        <f t="shared" si="95"/>
        <v>10767622</v>
      </c>
      <c r="L327" s="37">
        <f t="shared" si="96"/>
        <v>583.73831776284669</v>
      </c>
      <c r="M327" s="175">
        <f t="shared" si="80"/>
        <v>5630378</v>
      </c>
      <c r="N327" s="175">
        <f t="shared" ca="1" si="81"/>
        <v>5659267.9999997113</v>
      </c>
      <c r="O327" s="37">
        <f t="shared" ca="1" si="85"/>
        <v>28889.99999971129</v>
      </c>
      <c r="P327" s="37">
        <f t="shared" ca="1" si="86"/>
        <v>30.000000000000195</v>
      </c>
      <c r="Q327" s="68">
        <f t="shared" ca="1" si="87"/>
        <v>0.51</v>
      </c>
      <c r="R327" s="407"/>
      <c r="S327" s="102"/>
    </row>
    <row r="328" spans="1:19">
      <c r="A328" s="102">
        <v>879</v>
      </c>
      <c r="B328" s="7" t="s">
        <v>2129</v>
      </c>
      <c r="C328" s="7">
        <v>1</v>
      </c>
      <c r="D328" s="175">
        <f t="shared" si="88"/>
        <v>741</v>
      </c>
      <c r="E328" s="175">
        <f t="shared" si="89"/>
        <v>739</v>
      </c>
      <c r="F328" s="37">
        <f t="shared" si="90"/>
        <v>-2</v>
      </c>
      <c r="G328" s="175">
        <f t="shared" si="91"/>
        <v>11535664</v>
      </c>
      <c r="H328" s="175">
        <f t="shared" si="92"/>
        <v>11636066.279966651</v>
      </c>
      <c r="I328" s="37">
        <f t="shared" si="93"/>
        <v>135.86235448802506</v>
      </c>
      <c r="J328" s="175">
        <f t="shared" si="94"/>
        <v>8638647</v>
      </c>
      <c r="K328" s="175">
        <f t="shared" si="95"/>
        <v>8609575</v>
      </c>
      <c r="L328" s="37">
        <f t="shared" si="96"/>
        <v>-39.339648173207038</v>
      </c>
      <c r="M328" s="175">
        <f t="shared" si="80"/>
        <v>2968265</v>
      </c>
      <c r="N328" s="175">
        <f t="shared" ca="1" si="81"/>
        <v>3026491</v>
      </c>
      <c r="O328" s="37">
        <f t="shared" ca="1" si="85"/>
        <v>58226</v>
      </c>
      <c r="P328" s="37">
        <f t="shared" ca="1" si="86"/>
        <v>78.790257104194865</v>
      </c>
      <c r="Q328" s="68">
        <f t="shared" ca="1" si="87"/>
        <v>1.96</v>
      </c>
      <c r="R328" s="407"/>
      <c r="S328" s="102"/>
    </row>
    <row r="329" spans="1:19">
      <c r="A329" s="102">
        <v>885</v>
      </c>
      <c r="B329" s="7" t="s">
        <v>2130</v>
      </c>
      <c r="C329" s="7">
        <v>1</v>
      </c>
      <c r="D329" s="175">
        <f t="shared" si="88"/>
        <v>1224</v>
      </c>
      <c r="E329" s="175">
        <f t="shared" si="89"/>
        <v>1227.9999999999998</v>
      </c>
      <c r="F329" s="37">
        <f t="shared" si="90"/>
        <v>3.9999999999997726</v>
      </c>
      <c r="G329" s="175">
        <f t="shared" si="91"/>
        <v>19322789</v>
      </c>
      <c r="H329" s="175">
        <f t="shared" si="92"/>
        <v>19762413.323503122</v>
      </c>
      <c r="I329" s="37">
        <f t="shared" si="93"/>
        <v>358.00026343902425</v>
      </c>
      <c r="J329" s="175">
        <f t="shared" si="94"/>
        <v>10384757</v>
      </c>
      <c r="K329" s="175">
        <f t="shared" si="95"/>
        <v>10544137</v>
      </c>
      <c r="L329" s="37">
        <f t="shared" si="96"/>
        <v>129.78827361563521</v>
      </c>
      <c r="M329" s="175">
        <f t="shared" si="80"/>
        <v>8938032</v>
      </c>
      <c r="N329" s="175">
        <f t="shared" ca="1" si="81"/>
        <v>9218276</v>
      </c>
      <c r="O329" s="37">
        <f t="shared" ca="1" si="85"/>
        <v>280244</v>
      </c>
      <c r="P329" s="37">
        <f t="shared" ca="1" si="86"/>
        <v>228.21172638436485</v>
      </c>
      <c r="Q329" s="68">
        <f t="shared" ca="1" si="87"/>
        <v>3.14</v>
      </c>
      <c r="R329" s="407"/>
      <c r="S329" s="102"/>
    </row>
    <row r="330" spans="1:19">
      <c r="A330" s="102">
        <v>910</v>
      </c>
      <c r="B330" s="7" t="s">
        <v>2131</v>
      </c>
      <c r="C330" s="7">
        <v>1</v>
      </c>
      <c r="D330" s="175">
        <f t="shared" si="88"/>
        <v>410</v>
      </c>
      <c r="E330" s="175">
        <f t="shared" si="89"/>
        <v>411.99999999999994</v>
      </c>
      <c r="F330" s="37">
        <f t="shared" si="90"/>
        <v>1.9999999999999432</v>
      </c>
      <c r="G330" s="175">
        <f t="shared" si="91"/>
        <v>6281807</v>
      </c>
      <c r="H330" s="175">
        <f t="shared" si="92"/>
        <v>6434258.3084468814</v>
      </c>
      <c r="I330" s="37">
        <f t="shared" si="93"/>
        <v>370.02744768660529</v>
      </c>
      <c r="J330" s="175">
        <f t="shared" si="94"/>
        <v>3336386</v>
      </c>
      <c r="K330" s="175">
        <f t="shared" si="95"/>
        <v>3461793</v>
      </c>
      <c r="L330" s="37">
        <f t="shared" si="96"/>
        <v>304.38592233009712</v>
      </c>
      <c r="M330" s="175">
        <f t="shared" si="80"/>
        <v>3015502</v>
      </c>
      <c r="N330" s="175">
        <f t="shared" ca="1" si="81"/>
        <v>3027862</v>
      </c>
      <c r="O330" s="37">
        <f t="shared" ca="1" si="85"/>
        <v>12360</v>
      </c>
      <c r="P330" s="37">
        <f t="shared" ca="1" si="86"/>
        <v>30.000000000000004</v>
      </c>
      <c r="Q330" s="68">
        <f t="shared" ca="1" si="87"/>
        <v>0.41</v>
      </c>
      <c r="R330" s="407"/>
      <c r="S330" s="102"/>
    </row>
    <row r="331" spans="1:19">
      <c r="A331" s="102">
        <v>915</v>
      </c>
      <c r="B331" s="7" t="s">
        <v>2132</v>
      </c>
      <c r="C331" s="7">
        <v>1</v>
      </c>
      <c r="D331" s="175">
        <f t="shared" si="88"/>
        <v>286</v>
      </c>
      <c r="E331" s="175">
        <f t="shared" si="89"/>
        <v>278.99999999163009</v>
      </c>
      <c r="F331" s="37">
        <f t="shared" si="90"/>
        <v>-7.0000000083699092</v>
      </c>
      <c r="G331" s="175">
        <f t="shared" si="91"/>
        <v>4615273</v>
      </c>
      <c r="H331" s="175">
        <f t="shared" si="92"/>
        <v>4595770.9606507998</v>
      </c>
      <c r="I331" s="37">
        <f t="shared" si="93"/>
        <v>-69.899782615717768</v>
      </c>
      <c r="J331" s="175">
        <f t="shared" si="94"/>
        <v>3398333</v>
      </c>
      <c r="K331" s="175">
        <f t="shared" si="95"/>
        <v>3415991</v>
      </c>
      <c r="L331" s="37">
        <f t="shared" si="96"/>
        <v>63.290322582543851</v>
      </c>
      <c r="M331" s="175">
        <f t="shared" si="80"/>
        <v>1216940</v>
      </c>
      <c r="N331" s="175">
        <f t="shared" ca="1" si="81"/>
        <v>1225309.999999749</v>
      </c>
      <c r="O331" s="37">
        <f t="shared" ca="1" si="85"/>
        <v>8369.9999997490086</v>
      </c>
      <c r="P331" s="37">
        <f t="shared" ca="1" si="86"/>
        <v>30.00000000000038</v>
      </c>
      <c r="Q331" s="68">
        <f t="shared" ca="1" si="87"/>
        <v>0.69</v>
      </c>
      <c r="R331" s="407"/>
      <c r="S331" s="102"/>
    </row>
    <row r="332" spans="1:19" s="11" customFormat="1" ht="19.5" customHeight="1">
      <c r="A332" s="104">
        <v>999</v>
      </c>
      <c r="B332" s="11" t="s">
        <v>2133</v>
      </c>
      <c r="C332" s="11">
        <v>1</v>
      </c>
      <c r="D332" s="388">
        <f>VLOOKUP(A332,aidcalc,17)</f>
        <v>940103</v>
      </c>
      <c r="E332" s="388">
        <f>VLOOKUP(A332,aidcalc,18)</f>
        <v>941303.00000004179</v>
      </c>
      <c r="F332" s="137">
        <f>E332-D332</f>
        <v>1200.0000000417931</v>
      </c>
      <c r="G332" s="388">
        <f t="shared" si="91"/>
        <v>10128238382.975546</v>
      </c>
      <c r="H332" s="388">
        <f t="shared" si="92"/>
        <v>10379173843.167685</v>
      </c>
      <c r="I332" s="137">
        <f t="shared" si="93"/>
        <v>266.58308769028412</v>
      </c>
      <c r="J332" s="388">
        <f>localcont!O1765</f>
        <v>5926185567</v>
      </c>
      <c r="K332" s="388">
        <f t="shared" si="95"/>
        <v>6046916786</v>
      </c>
      <c r="L332" s="137">
        <f>(K332-J332)/$E332</f>
        <v>128.25967727713035</v>
      </c>
      <c r="M332" s="388">
        <f t="shared" si="80"/>
        <v>4627705061.1446953</v>
      </c>
      <c r="N332" s="388">
        <f t="shared" ca="1" si="81"/>
        <v>4745645155.949439</v>
      </c>
      <c r="O332" s="137">
        <f t="shared" ca="1" si="85"/>
        <v>117940094.80474377</v>
      </c>
      <c r="P332" s="137">
        <f t="shared" ca="1" si="86"/>
        <v>125.29450644982384</v>
      </c>
      <c r="Q332" s="281">
        <f ca="1">(N332-M332)*100/M332</f>
        <v>2.5485655037741419</v>
      </c>
      <c r="R332" s="407"/>
      <c r="S332" s="104"/>
    </row>
    <row r="333" spans="1:19">
      <c r="A333" s="104"/>
      <c r="B333" s="11"/>
      <c r="C333" s="11"/>
      <c r="D333" s="11"/>
      <c r="E333" s="10"/>
      <c r="F333" s="10"/>
      <c r="H333" s="10">
        <f>H332-G332</f>
        <v>250935460.19213867</v>
      </c>
      <c r="K333" s="10">
        <f>K332-J332</f>
        <v>120731219</v>
      </c>
      <c r="N333" s="70"/>
      <c r="O333" s="10"/>
    </row>
    <row r="334" spans="1:19">
      <c r="A334" s="102"/>
      <c r="H334" s="10"/>
      <c r="I334" s="10"/>
      <c r="J334" s="10"/>
      <c r="K334" s="10"/>
      <c r="L334" s="10"/>
    </row>
    <row r="335" spans="1:19">
      <c r="B335" s="7" t="s">
        <v>1048</v>
      </c>
      <c r="F335" s="7">
        <f>COUNTIF(F10:F331,"&gt;0")</f>
        <v>142</v>
      </c>
      <c r="H335" s="10"/>
      <c r="I335" s="7">
        <f>COUNTIF(I10:I331,"&gt;.5")</f>
        <v>245</v>
      </c>
      <c r="J335" s="10"/>
      <c r="K335" s="10"/>
      <c r="L335" s="7">
        <f>COUNTIF(L10:L331,"&gt;.5")</f>
        <v>233</v>
      </c>
      <c r="O335" s="7">
        <f ca="1">COUNTIF(O10:O331,"&gt;.5")</f>
        <v>322</v>
      </c>
      <c r="P335" s="7">
        <f ca="1">COUNTIF(P10:P331,"&gt;.5")</f>
        <v>322</v>
      </c>
    </row>
    <row r="336" spans="1:19">
      <c r="B336" s="7" t="s">
        <v>1051</v>
      </c>
      <c r="F336" s="7">
        <f>COUNTIF(F10:F331,"&lt;.00")</f>
        <v>175</v>
      </c>
      <c r="I336" s="7">
        <f>COUNTIF(I10:I331,"&lt;-.5")</f>
        <v>76</v>
      </c>
      <c r="L336" s="7">
        <f>COUNTIF(L10:L331,"&lt;-.5")</f>
        <v>89</v>
      </c>
      <c r="O336" s="7">
        <f ca="1">COUNTIF(O10:O331,"&lt;-.5")</f>
        <v>0</v>
      </c>
      <c r="P336" s="7">
        <f ca="1">COUNTIF(P10:P331,"&lt;-.5")</f>
        <v>0</v>
      </c>
    </row>
    <row r="337" spans="2:16">
      <c r="B337" s="7" t="s">
        <v>1052</v>
      </c>
      <c r="F337" s="7">
        <f>322-F335-F336</f>
        <v>5</v>
      </c>
      <c r="I337" s="7">
        <f>322-I335-I336</f>
        <v>1</v>
      </c>
      <c r="L337" s="7">
        <f>322-L335-L336</f>
        <v>0</v>
      </c>
      <c r="O337" s="7">
        <f ca="1">322-O335-O336</f>
        <v>0</v>
      </c>
      <c r="P337" s="7">
        <f ca="1">322-P335-P336</f>
        <v>0</v>
      </c>
    </row>
    <row r="338" spans="2:16">
      <c r="F338" s="406"/>
      <c r="M338" s="10"/>
    </row>
    <row r="339" spans="2:16">
      <c r="F339" s="406"/>
      <c r="M339" s="10"/>
    </row>
    <row r="340" spans="2:16">
      <c r="M340" s="10"/>
    </row>
  </sheetData>
  <autoFilter ref="A9:S333"/>
  <sortState ref="A10:B331">
    <sortCondition ref="A10:A331"/>
  </sortState>
  <mergeCells count="1">
    <mergeCell ref="A4:M4"/>
  </mergeCells>
  <phoneticPr fontId="0" type="noConversion"/>
  <hyperlinks>
    <hyperlink ref="B1" location="Index!A10" display="Return to Index"/>
    <hyperlink ref="Q1" location="MoreAboutData!A4" display="More about the data"/>
  </hyperlinks>
  <pageMargins left="0.17" right="0.16" top="0.3" bottom="0.75" header="0.18" footer="0.4"/>
  <pageSetup scale="65" fitToHeight="50" orientation="landscape" r:id="rId1"/>
  <headerFooter alignWithMargins="0">
    <oddFooter>&amp;C&amp;"Calibri,Regular"Page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Q283"/>
  <sheetViews>
    <sheetView showGridLines="0" zoomScaleNormal="100" workbookViewId="0"/>
  </sheetViews>
  <sheetFormatPr defaultColWidth="10.125" defaultRowHeight="15.75"/>
  <cols>
    <col min="1" max="1" width="5.875" style="90" customWidth="1"/>
    <col min="2" max="2" width="35.25" style="90" customWidth="1"/>
    <col min="3" max="14" width="13.5" style="152" customWidth="1"/>
    <col min="15" max="16384" width="10.125" style="90"/>
  </cols>
  <sheetData>
    <row r="1" spans="1:43" ht="20.25" customHeight="1">
      <c r="A1" s="313" t="s">
        <v>2227</v>
      </c>
      <c r="B1" s="142"/>
    </row>
    <row r="2" spans="1:43">
      <c r="B2" s="143"/>
      <c r="D2" s="153"/>
    </row>
    <row r="3" spans="1:43" ht="26.25">
      <c r="A3" s="538" t="s">
        <v>1049</v>
      </c>
      <c r="B3" s="580"/>
      <c r="C3" s="580"/>
      <c r="D3" s="580"/>
      <c r="E3" s="580"/>
      <c r="F3" s="580"/>
      <c r="G3" s="580"/>
      <c r="H3" s="580"/>
      <c r="I3" s="580"/>
      <c r="J3" s="580"/>
      <c r="K3" s="580"/>
      <c r="L3" s="580"/>
      <c r="M3" s="580"/>
      <c r="N3" s="580"/>
    </row>
    <row r="4" spans="1:43" ht="21">
      <c r="A4" s="539" t="s">
        <v>559</v>
      </c>
      <c r="B4" s="581"/>
      <c r="C4" s="581"/>
      <c r="D4" s="581"/>
      <c r="E4" s="581"/>
      <c r="F4" s="581"/>
      <c r="G4" s="581"/>
      <c r="H4" s="581"/>
      <c r="I4" s="581"/>
      <c r="J4" s="581"/>
      <c r="K4" s="581"/>
      <c r="L4" s="581"/>
      <c r="M4" s="581"/>
      <c r="N4" s="581"/>
    </row>
    <row r="5" spans="1:43" ht="26.25">
      <c r="A5" s="540"/>
    </row>
    <row r="6" spans="1:43" ht="26.25">
      <c r="A6" s="538" t="str">
        <f>"Foundation Budget Rates Per Pupil, "&amp; CYr &amp;" Chapter 70"</f>
        <v>Foundation Budget Rates Per Pupil, FY18 Chapter 70</v>
      </c>
      <c r="B6" s="580"/>
      <c r="C6" s="580"/>
      <c r="D6" s="580"/>
      <c r="E6" s="580"/>
      <c r="F6" s="580"/>
      <c r="G6" s="580"/>
      <c r="H6" s="580"/>
      <c r="I6" s="580"/>
      <c r="J6" s="580"/>
      <c r="K6" s="580"/>
      <c r="L6" s="580"/>
      <c r="M6" s="580"/>
      <c r="N6" s="580"/>
    </row>
    <row r="8" spans="1:43" s="151" customFormat="1" ht="33.75">
      <c r="C8" s="308" t="s">
        <v>648</v>
      </c>
      <c r="D8" s="308" t="s">
        <v>190</v>
      </c>
      <c r="E8" s="308" t="s">
        <v>664</v>
      </c>
      <c r="F8" s="308" t="s">
        <v>192</v>
      </c>
      <c r="G8" s="308" t="s">
        <v>193</v>
      </c>
      <c r="H8" s="308" t="s">
        <v>2192</v>
      </c>
      <c r="I8" s="308" t="s">
        <v>2193</v>
      </c>
      <c r="J8" s="308" t="s">
        <v>197</v>
      </c>
      <c r="K8" s="308" t="s">
        <v>2194</v>
      </c>
      <c r="L8" s="308" t="s">
        <v>2195</v>
      </c>
      <c r="M8" s="308" t="s">
        <v>2196</v>
      </c>
      <c r="N8" s="308" t="s">
        <v>2197</v>
      </c>
    </row>
    <row r="9" spans="1:43" ht="6" customHeight="1"/>
    <row r="10" spans="1:43">
      <c r="A10" s="90">
        <v>1</v>
      </c>
      <c r="B10" s="90" t="s">
        <v>666</v>
      </c>
      <c r="C10" s="429">
        <v>184.03</v>
      </c>
      <c r="D10" s="429">
        <v>332.37</v>
      </c>
      <c r="E10" s="429">
        <v>1523.99</v>
      </c>
      <c r="F10" s="429">
        <v>390.86</v>
      </c>
      <c r="G10" s="429">
        <v>60.27</v>
      </c>
      <c r="H10" s="429">
        <v>220.58</v>
      </c>
      <c r="I10" s="429">
        <v>110.88</v>
      </c>
      <c r="J10" s="429">
        <v>44.1</v>
      </c>
      <c r="K10" s="429">
        <v>423.2</v>
      </c>
      <c r="L10" s="592">
        <v>432.23974717892111</v>
      </c>
      <c r="M10" s="429">
        <v>0</v>
      </c>
      <c r="N10" s="429">
        <v>3722.5197471789206</v>
      </c>
      <c r="AF10" s="144"/>
      <c r="AG10" s="144"/>
      <c r="AH10" s="144"/>
      <c r="AI10" s="144"/>
      <c r="AJ10" s="144"/>
      <c r="AK10" s="144"/>
      <c r="AL10" s="144"/>
      <c r="AM10" s="144"/>
      <c r="AN10" s="144"/>
      <c r="AO10" s="144"/>
      <c r="AP10" s="144"/>
      <c r="AQ10" s="144"/>
    </row>
    <row r="11" spans="1:43">
      <c r="A11" s="90">
        <v>2</v>
      </c>
      <c r="B11" s="90" t="s">
        <v>667</v>
      </c>
      <c r="C11" s="429">
        <v>184.03</v>
      </c>
      <c r="D11" s="429">
        <v>332.37</v>
      </c>
      <c r="E11" s="429">
        <v>1523.99</v>
      </c>
      <c r="F11" s="429">
        <v>390.86</v>
      </c>
      <c r="G11" s="429">
        <v>60.27</v>
      </c>
      <c r="H11" s="429">
        <v>220.58</v>
      </c>
      <c r="I11" s="429">
        <v>110.88</v>
      </c>
      <c r="J11" s="429">
        <v>44.1</v>
      </c>
      <c r="K11" s="429">
        <v>423.2</v>
      </c>
      <c r="L11" s="592">
        <v>432.23974717892111</v>
      </c>
      <c r="M11" s="429">
        <v>0</v>
      </c>
      <c r="N11" s="429">
        <v>3722.5197471789206</v>
      </c>
      <c r="AF11" s="144"/>
      <c r="AG11" s="144"/>
      <c r="AH11" s="144"/>
      <c r="AI11" s="144"/>
      <c r="AJ11" s="144"/>
      <c r="AK11" s="144"/>
      <c r="AL11" s="144"/>
      <c r="AM11" s="144"/>
      <c r="AN11" s="144"/>
      <c r="AO11" s="144"/>
      <c r="AP11" s="144"/>
      <c r="AQ11" s="144"/>
    </row>
    <row r="12" spans="1:43">
      <c r="A12" s="90">
        <v>3</v>
      </c>
      <c r="B12" s="90" t="s">
        <v>668</v>
      </c>
      <c r="C12" s="429">
        <v>368.04</v>
      </c>
      <c r="D12" s="429">
        <v>664.72</v>
      </c>
      <c r="E12" s="429">
        <v>3047.97</v>
      </c>
      <c r="F12" s="429">
        <v>781.74</v>
      </c>
      <c r="G12" s="429">
        <v>120.6</v>
      </c>
      <c r="H12" s="429">
        <v>441.15</v>
      </c>
      <c r="I12" s="429">
        <v>221.79</v>
      </c>
      <c r="J12" s="429">
        <v>88.24</v>
      </c>
      <c r="K12" s="429">
        <v>846.38</v>
      </c>
      <c r="L12" s="592">
        <v>864.45399435784225</v>
      </c>
      <c r="M12" s="429">
        <v>0</v>
      </c>
      <c r="N12" s="429">
        <v>7445.0839943578412</v>
      </c>
      <c r="AF12" s="144"/>
      <c r="AG12" s="144"/>
      <c r="AH12" s="144"/>
      <c r="AI12" s="144"/>
      <c r="AJ12" s="144"/>
      <c r="AK12" s="144"/>
      <c r="AL12" s="144"/>
      <c r="AM12" s="144"/>
      <c r="AN12" s="144"/>
      <c r="AO12" s="144"/>
      <c r="AP12" s="144"/>
      <c r="AQ12" s="144"/>
    </row>
    <row r="13" spans="1:43">
      <c r="A13" s="90">
        <v>4</v>
      </c>
      <c r="B13" s="90" t="s">
        <v>562</v>
      </c>
      <c r="C13" s="429">
        <v>368.04</v>
      </c>
      <c r="D13" s="429">
        <v>664.72</v>
      </c>
      <c r="E13" s="429">
        <v>3047.93</v>
      </c>
      <c r="F13" s="429">
        <v>781.74</v>
      </c>
      <c r="G13" s="429">
        <v>120.62</v>
      </c>
      <c r="H13" s="429">
        <v>441.15</v>
      </c>
      <c r="I13" s="429">
        <v>221.79</v>
      </c>
      <c r="J13" s="429">
        <v>132.35</v>
      </c>
      <c r="K13" s="429">
        <v>846.38</v>
      </c>
      <c r="L13" s="592">
        <v>864.49649435784215</v>
      </c>
      <c r="M13" s="429">
        <v>0</v>
      </c>
      <c r="N13" s="429">
        <v>7489.2164943578418</v>
      </c>
      <c r="AF13" s="144"/>
      <c r="AG13" s="144"/>
      <c r="AH13" s="144"/>
      <c r="AI13" s="144"/>
      <c r="AJ13" s="144"/>
      <c r="AK13" s="144"/>
      <c r="AL13" s="144"/>
      <c r="AM13" s="144"/>
      <c r="AN13" s="144"/>
      <c r="AO13" s="144"/>
      <c r="AP13" s="144"/>
      <c r="AQ13" s="144"/>
    </row>
    <row r="14" spans="1:43">
      <c r="A14" s="90">
        <v>5</v>
      </c>
      <c r="B14" s="90" t="s">
        <v>669</v>
      </c>
      <c r="C14" s="429">
        <v>368.04</v>
      </c>
      <c r="D14" s="429">
        <v>664.72</v>
      </c>
      <c r="E14" s="429">
        <v>2682.2</v>
      </c>
      <c r="F14" s="429">
        <v>562.73</v>
      </c>
      <c r="G14" s="429">
        <v>130.76</v>
      </c>
      <c r="H14" s="429">
        <v>441.15</v>
      </c>
      <c r="I14" s="429">
        <v>295.23</v>
      </c>
      <c r="J14" s="429">
        <v>216.18</v>
      </c>
      <c r="K14" s="429">
        <v>917.59</v>
      </c>
      <c r="L14" s="592">
        <v>854.68479301185857</v>
      </c>
      <c r="M14" s="429">
        <v>0</v>
      </c>
      <c r="N14" s="429">
        <v>7133.2847930118587</v>
      </c>
      <c r="AF14" s="144"/>
      <c r="AG14" s="144"/>
      <c r="AH14" s="144"/>
      <c r="AI14" s="144"/>
      <c r="AJ14" s="144"/>
      <c r="AK14" s="144"/>
      <c r="AL14" s="144"/>
      <c r="AM14" s="144"/>
      <c r="AN14" s="144"/>
      <c r="AO14" s="144"/>
      <c r="AP14" s="144"/>
      <c r="AQ14" s="144"/>
    </row>
    <row r="15" spans="1:43">
      <c r="A15" s="90">
        <v>6</v>
      </c>
      <c r="B15" s="90" t="s">
        <v>670</v>
      </c>
      <c r="C15" s="429">
        <v>368.04</v>
      </c>
      <c r="D15" s="429">
        <v>664.72</v>
      </c>
      <c r="E15" s="429">
        <v>3944.39</v>
      </c>
      <c r="F15" s="429">
        <v>468.48</v>
      </c>
      <c r="G15" s="429">
        <v>126.78</v>
      </c>
      <c r="H15" s="429">
        <v>705.85</v>
      </c>
      <c r="I15" s="429">
        <v>370.08</v>
      </c>
      <c r="J15" s="429">
        <v>498.5</v>
      </c>
      <c r="K15" s="429">
        <v>889.7</v>
      </c>
      <c r="L15" s="592">
        <v>795.92306894446801</v>
      </c>
      <c r="M15" s="429">
        <v>0</v>
      </c>
      <c r="N15" s="429">
        <v>8832.4630689444675</v>
      </c>
      <c r="AF15" s="144"/>
      <c r="AG15" s="144"/>
      <c r="AH15" s="144"/>
      <c r="AI15" s="144"/>
      <c r="AJ15" s="144"/>
      <c r="AK15" s="144"/>
      <c r="AL15" s="144"/>
      <c r="AM15" s="144"/>
      <c r="AN15" s="144"/>
      <c r="AO15" s="144"/>
      <c r="AP15" s="144"/>
      <c r="AQ15" s="144"/>
    </row>
    <row r="16" spans="1:43">
      <c r="A16" s="90">
        <v>7</v>
      </c>
      <c r="B16" s="90" t="s">
        <v>671</v>
      </c>
      <c r="C16" s="429">
        <v>2540.15</v>
      </c>
      <c r="D16" s="429">
        <v>0</v>
      </c>
      <c r="E16" s="429">
        <v>8381.85</v>
      </c>
      <c r="F16" s="429">
        <v>7826.02</v>
      </c>
      <c r="G16" s="429">
        <v>404.34</v>
      </c>
      <c r="H16" s="429">
        <v>352.92</v>
      </c>
      <c r="I16" s="429">
        <v>0</v>
      </c>
      <c r="J16" s="429">
        <v>0</v>
      </c>
      <c r="K16" s="429">
        <v>2837.47</v>
      </c>
      <c r="L16" s="592">
        <v>3288.9325443992948</v>
      </c>
      <c r="M16" s="429">
        <v>0</v>
      </c>
      <c r="N16" s="429">
        <v>25631.682544399293</v>
      </c>
      <c r="AF16" s="144"/>
      <c r="AG16" s="144"/>
      <c r="AH16" s="144"/>
      <c r="AI16" s="144"/>
      <c r="AJ16" s="144"/>
      <c r="AK16" s="144"/>
      <c r="AL16" s="144"/>
      <c r="AM16" s="144"/>
      <c r="AN16" s="144"/>
      <c r="AO16" s="144"/>
      <c r="AP16" s="144"/>
      <c r="AQ16" s="144"/>
    </row>
    <row r="17" spans="1:43">
      <c r="A17" s="143">
        <v>8</v>
      </c>
      <c r="B17" s="143" t="s">
        <v>672</v>
      </c>
      <c r="C17" s="429">
        <v>2540.15</v>
      </c>
      <c r="D17" s="429">
        <v>0</v>
      </c>
      <c r="E17" s="429">
        <v>0</v>
      </c>
      <c r="F17" s="429">
        <v>38.81</v>
      </c>
      <c r="G17" s="429">
        <v>0</v>
      </c>
      <c r="H17" s="429">
        <v>0</v>
      </c>
      <c r="I17" s="429">
        <v>0</v>
      </c>
      <c r="J17" s="429">
        <v>0</v>
      </c>
      <c r="K17" s="429">
        <v>0</v>
      </c>
      <c r="L17" s="592">
        <v>0</v>
      </c>
      <c r="M17" s="429">
        <v>24117.38</v>
      </c>
      <c r="N17" s="429">
        <v>26696.34</v>
      </c>
      <c r="O17" s="145"/>
      <c r="AF17" s="144"/>
      <c r="AG17" s="144"/>
      <c r="AH17" s="144"/>
      <c r="AI17" s="144"/>
      <c r="AJ17" s="144"/>
      <c r="AK17" s="144"/>
      <c r="AL17" s="144"/>
      <c r="AM17" s="144"/>
      <c r="AN17" s="144"/>
      <c r="AO17" s="144"/>
      <c r="AP17" s="144"/>
      <c r="AQ17" s="144"/>
    </row>
    <row r="18" spans="1:43">
      <c r="A18" s="90">
        <v>9</v>
      </c>
      <c r="B18" s="90" t="s">
        <v>1254</v>
      </c>
      <c r="C18" s="429">
        <v>184.04</v>
      </c>
      <c r="D18" s="429">
        <v>332.37</v>
      </c>
      <c r="E18" s="429">
        <v>2295.1799999999998</v>
      </c>
      <c r="F18" s="429">
        <v>312.54000000000002</v>
      </c>
      <c r="G18" s="429">
        <v>81.650000000000006</v>
      </c>
      <c r="H18" s="429">
        <v>220.58</v>
      </c>
      <c r="I18" s="429">
        <v>147.6</v>
      </c>
      <c r="J18" s="429">
        <v>66.17</v>
      </c>
      <c r="K18" s="429">
        <v>572.92999999999995</v>
      </c>
      <c r="L18" s="592">
        <v>520.04883769550804</v>
      </c>
      <c r="M18" s="429">
        <v>0</v>
      </c>
      <c r="N18" s="429">
        <v>4733.1088376955076</v>
      </c>
      <c r="AF18" s="144"/>
      <c r="AG18" s="144"/>
      <c r="AH18" s="144"/>
      <c r="AI18" s="144"/>
      <c r="AJ18" s="144"/>
      <c r="AK18" s="144"/>
      <c r="AL18" s="144"/>
      <c r="AM18" s="144"/>
      <c r="AN18" s="144"/>
      <c r="AO18" s="144"/>
      <c r="AP18" s="144"/>
      <c r="AQ18" s="144"/>
    </row>
    <row r="19" spans="1:43">
      <c r="A19" s="90">
        <v>10</v>
      </c>
      <c r="B19" s="90" t="s">
        <v>1255</v>
      </c>
      <c r="C19" s="429">
        <v>184.04</v>
      </c>
      <c r="D19" s="429">
        <v>332.37</v>
      </c>
      <c r="E19" s="429">
        <v>2295.1799999999998</v>
      </c>
      <c r="F19" s="429">
        <v>312.54000000000002</v>
      </c>
      <c r="G19" s="429">
        <v>81.650000000000006</v>
      </c>
      <c r="H19" s="429">
        <v>220.58</v>
      </c>
      <c r="I19" s="429">
        <v>147.6</v>
      </c>
      <c r="J19" s="429">
        <v>66.17</v>
      </c>
      <c r="K19" s="429">
        <v>572.92999999999995</v>
      </c>
      <c r="L19" s="592">
        <v>520.04883769550804</v>
      </c>
      <c r="M19" s="429">
        <v>0</v>
      </c>
      <c r="N19" s="429">
        <v>4733.1088376955076</v>
      </c>
      <c r="AF19" s="144"/>
      <c r="AG19" s="144"/>
      <c r="AH19" s="144"/>
      <c r="AI19" s="144"/>
      <c r="AJ19" s="144"/>
      <c r="AK19" s="144"/>
      <c r="AL19" s="144"/>
      <c r="AM19" s="144"/>
      <c r="AN19" s="144"/>
      <c r="AO19" s="144"/>
      <c r="AP19" s="144"/>
      <c r="AQ19" s="144"/>
    </row>
    <row r="20" spans="1:43">
      <c r="A20" s="90">
        <v>11</v>
      </c>
      <c r="B20" s="90" t="s">
        <v>1256</v>
      </c>
      <c r="C20" s="429">
        <v>368.04</v>
      </c>
      <c r="D20" s="429">
        <v>664.72</v>
      </c>
      <c r="E20" s="429">
        <v>4590.33</v>
      </c>
      <c r="F20" s="429">
        <v>625.08000000000004</v>
      </c>
      <c r="G20" s="429">
        <v>163.26</v>
      </c>
      <c r="H20" s="429">
        <v>441.15</v>
      </c>
      <c r="I20" s="429">
        <v>295.23</v>
      </c>
      <c r="J20" s="429">
        <v>132.35</v>
      </c>
      <c r="K20" s="429">
        <v>1145.81</v>
      </c>
      <c r="L20" s="592">
        <v>1025.7983655128796</v>
      </c>
      <c r="M20" s="429">
        <v>0</v>
      </c>
      <c r="N20" s="429">
        <v>9451.7683655128785</v>
      </c>
      <c r="AF20" s="144"/>
      <c r="AG20" s="144"/>
      <c r="AH20" s="144"/>
      <c r="AI20" s="144"/>
      <c r="AJ20" s="144"/>
      <c r="AK20" s="144"/>
      <c r="AL20" s="144"/>
      <c r="AM20" s="144"/>
      <c r="AN20" s="144"/>
      <c r="AO20" s="144"/>
      <c r="AP20" s="144"/>
      <c r="AQ20" s="144"/>
    </row>
    <row r="21" spans="1:43">
      <c r="A21" s="90">
        <v>12</v>
      </c>
      <c r="B21" s="90" t="s">
        <v>673</v>
      </c>
      <c r="C21" s="429">
        <v>368.04</v>
      </c>
      <c r="D21" s="429">
        <v>664.72</v>
      </c>
      <c r="E21" s="429">
        <v>6705.5</v>
      </c>
      <c r="F21" s="429">
        <v>468.48</v>
      </c>
      <c r="G21" s="429">
        <v>209.61</v>
      </c>
      <c r="H21" s="429">
        <v>1235.22</v>
      </c>
      <c r="I21" s="429">
        <v>370.08</v>
      </c>
      <c r="J21" s="429">
        <v>498.5</v>
      </c>
      <c r="K21" s="429">
        <v>1665.1</v>
      </c>
      <c r="L21" s="592">
        <v>1231.5833435895474</v>
      </c>
      <c r="M21" s="429">
        <v>0</v>
      </c>
      <c r="N21" s="429">
        <v>13416.833343589547</v>
      </c>
      <c r="AF21" s="144"/>
      <c r="AG21" s="144"/>
      <c r="AH21" s="144"/>
      <c r="AI21" s="144"/>
      <c r="AJ21" s="144"/>
      <c r="AK21" s="144"/>
      <c r="AL21" s="144"/>
      <c r="AM21" s="144"/>
      <c r="AN21" s="144"/>
      <c r="AO21" s="144"/>
      <c r="AP21" s="144"/>
      <c r="AQ21" s="144"/>
    </row>
    <row r="22" spans="1:43">
      <c r="A22" s="90">
        <v>13</v>
      </c>
      <c r="B22" s="90" t="s">
        <v>2174</v>
      </c>
      <c r="C22" s="429">
        <v>0</v>
      </c>
      <c r="D22" s="429">
        <v>0</v>
      </c>
      <c r="E22" s="429">
        <v>2986.71</v>
      </c>
      <c r="F22" s="429">
        <v>0</v>
      </c>
      <c r="G22" s="429">
        <v>65.73</v>
      </c>
      <c r="H22" s="429">
        <v>0</v>
      </c>
      <c r="I22" s="429">
        <v>0</v>
      </c>
      <c r="J22" s="429">
        <v>0</v>
      </c>
      <c r="K22" s="429">
        <v>461.27</v>
      </c>
      <c r="L22" s="429">
        <v>303.18</v>
      </c>
      <c r="M22" s="429">
        <v>0</v>
      </c>
      <c r="N22" s="429">
        <v>3816.89</v>
      </c>
      <c r="AF22" s="144"/>
      <c r="AG22" s="144"/>
      <c r="AH22" s="144"/>
      <c r="AI22" s="144"/>
      <c r="AJ22" s="144"/>
      <c r="AK22" s="144"/>
      <c r="AL22" s="144"/>
      <c r="AM22" s="144"/>
      <c r="AN22" s="144"/>
      <c r="AO22" s="144"/>
      <c r="AP22" s="144"/>
      <c r="AQ22" s="144"/>
    </row>
    <row r="23" spans="1:43">
      <c r="A23" s="90">
        <v>14</v>
      </c>
      <c r="B23" s="90" t="s">
        <v>2175</v>
      </c>
      <c r="C23" s="429">
        <v>0</v>
      </c>
      <c r="D23" s="429">
        <v>0</v>
      </c>
      <c r="E23" s="429">
        <v>3018.36</v>
      </c>
      <c r="F23" s="429">
        <v>0</v>
      </c>
      <c r="G23" s="429">
        <v>66.430000000000007</v>
      </c>
      <c r="H23" s="429">
        <v>0</v>
      </c>
      <c r="I23" s="429">
        <v>0</v>
      </c>
      <c r="J23" s="429">
        <v>0</v>
      </c>
      <c r="K23" s="429">
        <v>466.17</v>
      </c>
      <c r="L23" s="429">
        <v>306.39</v>
      </c>
      <c r="M23" s="429">
        <v>0</v>
      </c>
      <c r="N23" s="429">
        <v>3857.35</v>
      </c>
      <c r="O23" s="286"/>
      <c r="AF23" s="144"/>
      <c r="AG23" s="144"/>
      <c r="AH23" s="144"/>
      <c r="AI23" s="144"/>
      <c r="AJ23" s="144"/>
      <c r="AK23" s="144"/>
      <c r="AL23" s="144"/>
      <c r="AM23" s="144"/>
      <c r="AN23" s="144"/>
      <c r="AO23" s="144"/>
      <c r="AP23" s="144"/>
      <c r="AQ23" s="144"/>
    </row>
    <row r="24" spans="1:43">
      <c r="A24" s="90">
        <v>15</v>
      </c>
      <c r="B24" s="90" t="s">
        <v>2176</v>
      </c>
      <c r="C24" s="429">
        <v>0</v>
      </c>
      <c r="D24" s="429">
        <v>0</v>
      </c>
      <c r="E24" s="429">
        <v>3050</v>
      </c>
      <c r="F24" s="429">
        <v>0</v>
      </c>
      <c r="G24" s="429">
        <v>67.13</v>
      </c>
      <c r="H24" s="429">
        <v>0</v>
      </c>
      <c r="I24" s="429">
        <v>0</v>
      </c>
      <c r="J24" s="429">
        <v>0</v>
      </c>
      <c r="K24" s="429">
        <v>471.05</v>
      </c>
      <c r="L24" s="429">
        <v>309.60000000000002</v>
      </c>
      <c r="M24" s="429">
        <v>0</v>
      </c>
      <c r="N24" s="429">
        <v>3897.78</v>
      </c>
      <c r="O24" s="286"/>
      <c r="AF24" s="144"/>
      <c r="AG24" s="144"/>
      <c r="AH24" s="144"/>
      <c r="AI24" s="144"/>
      <c r="AJ24" s="144"/>
      <c r="AK24" s="144"/>
      <c r="AL24" s="144"/>
      <c r="AM24" s="144"/>
      <c r="AN24" s="144"/>
      <c r="AO24" s="144"/>
      <c r="AP24" s="144"/>
      <c r="AQ24" s="144"/>
    </row>
    <row r="25" spans="1:43">
      <c r="A25" s="90">
        <v>16</v>
      </c>
      <c r="B25" s="90" t="s">
        <v>2177</v>
      </c>
      <c r="C25" s="429">
        <v>0</v>
      </c>
      <c r="D25" s="429">
        <v>0</v>
      </c>
      <c r="E25" s="429">
        <v>3081.65</v>
      </c>
      <c r="F25" s="429">
        <v>0</v>
      </c>
      <c r="G25" s="429">
        <v>67.819999999999993</v>
      </c>
      <c r="H25" s="429">
        <v>0</v>
      </c>
      <c r="I25" s="429">
        <v>0</v>
      </c>
      <c r="J25" s="429">
        <v>0</v>
      </c>
      <c r="K25" s="429">
        <v>475.94</v>
      </c>
      <c r="L25" s="429">
        <v>312.81</v>
      </c>
      <c r="M25" s="429">
        <v>0</v>
      </c>
      <c r="N25" s="429">
        <v>3938.2200000000003</v>
      </c>
      <c r="O25" s="286"/>
      <c r="AF25" s="144"/>
      <c r="AG25" s="144"/>
      <c r="AH25" s="144"/>
      <c r="AI25" s="144"/>
      <c r="AJ25" s="144"/>
      <c r="AK25" s="144"/>
      <c r="AL25" s="144"/>
      <c r="AM25" s="144"/>
      <c r="AN25" s="144"/>
      <c r="AO25" s="144"/>
      <c r="AP25" s="144"/>
      <c r="AQ25" s="144"/>
    </row>
    <row r="26" spans="1:43">
      <c r="A26" s="90">
        <v>17</v>
      </c>
      <c r="B26" s="90" t="s">
        <v>2178</v>
      </c>
      <c r="C26" s="429">
        <v>0</v>
      </c>
      <c r="D26" s="429">
        <v>0</v>
      </c>
      <c r="E26" s="429">
        <v>3113.3</v>
      </c>
      <c r="F26" s="429">
        <v>0</v>
      </c>
      <c r="G26" s="429">
        <v>68.52</v>
      </c>
      <c r="H26" s="429">
        <v>0</v>
      </c>
      <c r="I26" s="429">
        <v>0</v>
      </c>
      <c r="J26" s="429">
        <v>0</v>
      </c>
      <c r="K26" s="429">
        <v>480.83</v>
      </c>
      <c r="L26" s="429">
        <v>316.02999999999997</v>
      </c>
      <c r="M26" s="429">
        <v>0</v>
      </c>
      <c r="N26" s="429">
        <v>3978.6800000000003</v>
      </c>
      <c r="O26" s="286"/>
      <c r="AF26" s="144"/>
      <c r="AG26" s="144"/>
      <c r="AH26" s="144"/>
      <c r="AI26" s="144"/>
      <c r="AJ26" s="144"/>
      <c r="AK26" s="144"/>
      <c r="AL26" s="144"/>
      <c r="AM26" s="144"/>
      <c r="AN26" s="144"/>
      <c r="AO26" s="144"/>
      <c r="AP26" s="144"/>
      <c r="AQ26" s="144"/>
    </row>
    <row r="27" spans="1:43">
      <c r="A27" s="90">
        <v>18</v>
      </c>
      <c r="B27" s="90" t="s">
        <v>2179</v>
      </c>
      <c r="C27" s="429">
        <v>0</v>
      </c>
      <c r="D27" s="429">
        <v>0</v>
      </c>
      <c r="E27" s="429">
        <v>3144.95</v>
      </c>
      <c r="F27" s="429">
        <v>0</v>
      </c>
      <c r="G27" s="429">
        <v>69.209999999999994</v>
      </c>
      <c r="H27" s="429">
        <v>0</v>
      </c>
      <c r="I27" s="429">
        <v>0</v>
      </c>
      <c r="J27" s="429">
        <v>0</v>
      </c>
      <c r="K27" s="429">
        <v>485.71</v>
      </c>
      <c r="L27" s="429">
        <v>319.24</v>
      </c>
      <c r="M27" s="429">
        <v>0</v>
      </c>
      <c r="N27" s="429">
        <v>4019.1099999999997</v>
      </c>
      <c r="O27" s="286"/>
      <c r="AF27" s="144"/>
      <c r="AG27" s="144"/>
      <c r="AH27" s="144"/>
      <c r="AI27" s="144"/>
      <c r="AJ27" s="144"/>
      <c r="AK27" s="144"/>
      <c r="AL27" s="144"/>
      <c r="AM27" s="144"/>
      <c r="AN27" s="144"/>
      <c r="AO27" s="144"/>
      <c r="AP27" s="144"/>
      <c r="AQ27" s="144"/>
    </row>
    <row r="28" spans="1:43">
      <c r="A28" s="90">
        <v>19</v>
      </c>
      <c r="B28" s="90" t="s">
        <v>2180</v>
      </c>
      <c r="C28" s="429">
        <v>0</v>
      </c>
      <c r="D28" s="429">
        <v>0</v>
      </c>
      <c r="E28" s="429">
        <v>3176.59</v>
      </c>
      <c r="F28" s="429">
        <v>0</v>
      </c>
      <c r="G28" s="429">
        <v>69.91</v>
      </c>
      <c r="H28" s="429">
        <v>0</v>
      </c>
      <c r="I28" s="429">
        <v>0</v>
      </c>
      <c r="J28" s="429">
        <v>0</v>
      </c>
      <c r="K28" s="429">
        <v>490.61</v>
      </c>
      <c r="L28" s="429">
        <v>322.45</v>
      </c>
      <c r="M28" s="429">
        <v>0</v>
      </c>
      <c r="N28" s="429">
        <v>4059.56</v>
      </c>
      <c r="O28" s="286"/>
      <c r="AF28" s="144"/>
      <c r="AG28" s="144"/>
      <c r="AH28" s="144"/>
      <c r="AI28" s="144"/>
      <c r="AJ28" s="144"/>
      <c r="AK28" s="144"/>
      <c r="AL28" s="144"/>
      <c r="AM28" s="144"/>
      <c r="AN28" s="144"/>
      <c r="AO28" s="144"/>
      <c r="AP28" s="144"/>
      <c r="AQ28" s="144"/>
    </row>
    <row r="29" spans="1:43">
      <c r="A29" s="90">
        <v>20</v>
      </c>
      <c r="B29" s="90" t="s">
        <v>2181</v>
      </c>
      <c r="C29" s="429">
        <v>0</v>
      </c>
      <c r="D29" s="429">
        <v>0</v>
      </c>
      <c r="E29" s="429">
        <v>3208.24</v>
      </c>
      <c r="F29" s="429">
        <v>0</v>
      </c>
      <c r="G29" s="429">
        <v>70.61</v>
      </c>
      <c r="H29" s="429">
        <v>0</v>
      </c>
      <c r="I29" s="429">
        <v>0</v>
      </c>
      <c r="J29" s="429">
        <v>0</v>
      </c>
      <c r="K29" s="429">
        <v>495.49</v>
      </c>
      <c r="L29" s="429">
        <v>325.67</v>
      </c>
      <c r="M29" s="429">
        <v>0</v>
      </c>
      <c r="N29" s="429">
        <v>4100.01</v>
      </c>
      <c r="O29" s="286"/>
      <c r="AF29" s="144"/>
      <c r="AG29" s="144"/>
      <c r="AH29" s="144"/>
      <c r="AI29" s="144"/>
      <c r="AJ29" s="144"/>
      <c r="AK29" s="144"/>
      <c r="AL29" s="144"/>
      <c r="AM29" s="144"/>
      <c r="AN29" s="144"/>
      <c r="AO29" s="144"/>
      <c r="AP29" s="144"/>
      <c r="AQ29" s="144"/>
    </row>
    <row r="30" spans="1:43">
      <c r="A30" s="90">
        <v>21</v>
      </c>
      <c r="B30" s="90" t="s">
        <v>2182</v>
      </c>
      <c r="C30" s="429">
        <v>0</v>
      </c>
      <c r="D30" s="429">
        <v>0</v>
      </c>
      <c r="E30" s="429">
        <v>3239.89</v>
      </c>
      <c r="F30" s="429">
        <v>0</v>
      </c>
      <c r="G30" s="429">
        <v>71.3</v>
      </c>
      <c r="H30" s="429">
        <v>0</v>
      </c>
      <c r="I30" s="429">
        <v>0</v>
      </c>
      <c r="J30" s="429">
        <v>0</v>
      </c>
      <c r="K30" s="429">
        <v>500.38</v>
      </c>
      <c r="L30" s="429">
        <v>328.88</v>
      </c>
      <c r="M30" s="429">
        <v>0</v>
      </c>
      <c r="N30" s="429">
        <v>4140.45</v>
      </c>
      <c r="O30" s="286"/>
      <c r="AF30" s="144"/>
      <c r="AG30" s="144"/>
      <c r="AH30" s="144"/>
      <c r="AI30" s="144"/>
      <c r="AJ30" s="144"/>
      <c r="AK30" s="144"/>
      <c r="AL30" s="144"/>
      <c r="AM30" s="144"/>
      <c r="AN30" s="144"/>
      <c r="AO30" s="144"/>
      <c r="AP30" s="144"/>
      <c r="AQ30" s="144"/>
    </row>
    <row r="31" spans="1:43">
      <c r="A31" s="90">
        <v>22</v>
      </c>
      <c r="B31" s="90" t="s">
        <v>2183</v>
      </c>
      <c r="C31" s="429">
        <v>0</v>
      </c>
      <c r="D31" s="429">
        <v>0</v>
      </c>
      <c r="E31" s="429">
        <v>3271.54</v>
      </c>
      <c r="F31" s="429">
        <v>0</v>
      </c>
      <c r="G31" s="429">
        <v>72</v>
      </c>
      <c r="H31" s="429">
        <v>0</v>
      </c>
      <c r="I31" s="429">
        <v>0</v>
      </c>
      <c r="J31" s="429">
        <v>0</v>
      </c>
      <c r="K31" s="429">
        <v>505.27</v>
      </c>
      <c r="L31" s="429">
        <v>332.1</v>
      </c>
      <c r="M31" s="429">
        <v>0</v>
      </c>
      <c r="N31" s="429">
        <v>4180.91</v>
      </c>
      <c r="O31" s="286"/>
      <c r="AF31" s="144"/>
      <c r="AG31" s="144"/>
      <c r="AH31" s="144"/>
      <c r="AI31" s="144"/>
      <c r="AJ31" s="144"/>
      <c r="AK31" s="144"/>
      <c r="AL31" s="144"/>
      <c r="AM31" s="144"/>
      <c r="AN31" s="144"/>
      <c r="AO31" s="144"/>
      <c r="AP31" s="144"/>
      <c r="AQ31" s="144"/>
    </row>
    <row r="32" spans="1:43">
      <c r="C32" s="284"/>
      <c r="D32" s="284"/>
      <c r="E32" s="284"/>
      <c r="F32" s="284"/>
      <c r="G32" s="284"/>
      <c r="H32" s="284"/>
      <c r="I32" s="284"/>
      <c r="J32" s="284"/>
      <c r="K32" s="284"/>
      <c r="L32" s="284"/>
      <c r="M32" s="284"/>
      <c r="N32" s="284"/>
    </row>
    <row r="33" spans="2:14">
      <c r="B33" s="72" t="s">
        <v>2226</v>
      </c>
      <c r="C33" s="154"/>
      <c r="D33" s="154"/>
      <c r="E33" s="154"/>
      <c r="F33" s="154"/>
      <c r="G33" s="154"/>
      <c r="H33" s="154"/>
      <c r="I33" s="154"/>
      <c r="J33" s="154"/>
      <c r="K33" s="154"/>
      <c r="L33" s="154"/>
      <c r="M33" s="154"/>
      <c r="N33" s="285"/>
    </row>
    <row r="34" spans="2:14">
      <c r="C34" s="154"/>
      <c r="D34" s="154"/>
      <c r="E34" s="154"/>
      <c r="F34" s="154"/>
      <c r="G34" s="154"/>
      <c r="H34" s="154"/>
      <c r="I34" s="154"/>
      <c r="J34" s="154"/>
      <c r="K34" s="154"/>
      <c r="L34" s="154"/>
      <c r="M34" s="154"/>
      <c r="N34" s="154"/>
    </row>
    <row r="35" spans="2:14">
      <c r="C35" s="154"/>
      <c r="D35" s="154"/>
      <c r="E35" s="154"/>
      <c r="F35" s="155"/>
      <c r="G35" s="156"/>
      <c r="H35" s="154"/>
      <c r="I35" s="154"/>
      <c r="J35" s="154"/>
      <c r="K35" s="154"/>
      <c r="L35" s="154"/>
      <c r="M35" s="154"/>
      <c r="N35" s="154"/>
    </row>
    <row r="36" spans="2:14">
      <c r="C36" s="157"/>
      <c r="D36" s="157"/>
      <c r="E36" s="157"/>
      <c r="F36" s="155"/>
      <c r="G36" s="156"/>
      <c r="H36" s="157"/>
      <c r="I36" s="157"/>
      <c r="J36" s="157"/>
      <c r="K36" s="157"/>
      <c r="L36" s="157"/>
      <c r="M36" s="157"/>
      <c r="N36" s="157"/>
    </row>
    <row r="37" spans="2:14">
      <c r="C37" s="157"/>
      <c r="D37" s="157"/>
      <c r="E37" s="157"/>
      <c r="F37" s="155"/>
      <c r="G37" s="156"/>
      <c r="H37" s="157"/>
      <c r="I37" s="157"/>
      <c r="J37" s="157"/>
      <c r="K37" s="157"/>
      <c r="L37" s="157"/>
      <c r="M37" s="157"/>
      <c r="N37" s="157"/>
    </row>
    <row r="38" spans="2:14">
      <c r="C38" s="157"/>
      <c r="D38" s="157"/>
      <c r="E38" s="157"/>
      <c r="F38" s="155"/>
      <c r="G38" s="156"/>
      <c r="H38" s="157"/>
      <c r="I38" s="157"/>
      <c r="J38" s="157"/>
      <c r="K38" s="157"/>
      <c r="L38" s="157"/>
      <c r="M38" s="157"/>
      <c r="N38" s="157"/>
    </row>
    <row r="39" spans="2:14">
      <c r="C39" s="157"/>
      <c r="D39" s="157"/>
      <c r="E39" s="157"/>
      <c r="F39" s="155"/>
      <c r="G39" s="156"/>
      <c r="H39" s="157"/>
      <c r="I39" s="157"/>
      <c r="J39" s="157"/>
      <c r="K39" s="157"/>
      <c r="L39" s="157"/>
      <c r="M39" s="157"/>
      <c r="N39" s="157"/>
    </row>
    <row r="40" spans="2:14">
      <c r="C40" s="157"/>
      <c r="D40" s="157"/>
      <c r="E40" s="157"/>
      <c r="F40" s="155"/>
      <c r="G40" s="156"/>
      <c r="H40" s="157"/>
      <c r="I40" s="157"/>
      <c r="J40" s="157"/>
      <c r="K40" s="157"/>
      <c r="L40" s="157"/>
      <c r="M40" s="157"/>
      <c r="N40" s="157"/>
    </row>
    <row r="41" spans="2:14">
      <c r="C41" s="157"/>
      <c r="D41" s="157"/>
      <c r="E41" s="157"/>
      <c r="F41" s="155"/>
      <c r="G41" s="156"/>
      <c r="H41" s="157"/>
      <c r="I41" s="157"/>
      <c r="J41" s="157"/>
      <c r="K41" s="157"/>
      <c r="L41" s="157"/>
      <c r="M41" s="157"/>
      <c r="N41" s="157"/>
    </row>
    <row r="42" spans="2:14">
      <c r="C42" s="157"/>
      <c r="D42" s="157"/>
      <c r="E42" s="157"/>
      <c r="F42" s="155"/>
      <c r="G42" s="156"/>
      <c r="H42" s="157"/>
      <c r="I42" s="157"/>
      <c r="J42" s="157"/>
      <c r="K42" s="157"/>
      <c r="L42" s="157"/>
      <c r="M42" s="157"/>
      <c r="N42" s="157"/>
    </row>
    <row r="43" spans="2:14">
      <c r="C43" s="157"/>
      <c r="D43" s="157"/>
      <c r="E43" s="157"/>
      <c r="F43" s="155"/>
      <c r="G43" s="156"/>
      <c r="H43" s="157"/>
      <c r="I43" s="157"/>
      <c r="J43" s="157"/>
      <c r="K43" s="157"/>
      <c r="L43" s="157"/>
      <c r="M43" s="157"/>
      <c r="N43" s="157"/>
    </row>
    <row r="44" spans="2:14">
      <c r="F44" s="155"/>
      <c r="G44" s="156"/>
    </row>
    <row r="45" spans="2:14">
      <c r="F45" s="90"/>
      <c r="G45" s="160"/>
    </row>
    <row r="46" spans="2:14">
      <c r="F46" s="90"/>
      <c r="G46" s="160"/>
    </row>
    <row r="47" spans="2:14">
      <c r="F47" s="90"/>
      <c r="G47" s="160"/>
    </row>
    <row r="48" spans="2:14">
      <c r="F48" s="90"/>
      <c r="G48" s="160"/>
    </row>
    <row r="49" spans="6:7">
      <c r="F49" s="90"/>
      <c r="G49" s="160"/>
    </row>
    <row r="50" spans="6:7">
      <c r="F50" s="90"/>
      <c r="G50" s="160"/>
    </row>
    <row r="51" spans="6:7">
      <c r="F51" s="90"/>
      <c r="G51" s="160"/>
    </row>
    <row r="52" spans="6:7">
      <c r="F52" s="90"/>
      <c r="G52" s="160"/>
    </row>
    <row r="53" spans="6:7">
      <c r="F53" s="90"/>
      <c r="G53" s="160"/>
    </row>
    <row r="54" spans="6:7">
      <c r="F54" s="90"/>
      <c r="G54" s="160"/>
    </row>
    <row r="257" spans="3:14">
      <c r="K257" s="158"/>
    </row>
    <row r="259" spans="3:14">
      <c r="C259" s="159"/>
      <c r="D259" s="159"/>
      <c r="E259" s="159"/>
      <c r="F259" s="159"/>
      <c r="G259" s="159"/>
      <c r="H259" s="159"/>
      <c r="I259" s="159"/>
      <c r="J259" s="159"/>
      <c r="K259" s="159"/>
      <c r="L259" s="159"/>
      <c r="M259" s="159"/>
      <c r="N259" s="159"/>
    </row>
    <row r="260" spans="3:14">
      <c r="C260" s="159"/>
      <c r="D260" s="159"/>
      <c r="E260" s="159"/>
      <c r="F260" s="159"/>
      <c r="G260" s="159"/>
      <c r="H260" s="159"/>
      <c r="I260" s="159"/>
      <c r="J260" s="159"/>
      <c r="K260" s="159"/>
      <c r="L260" s="159"/>
      <c r="M260" s="159"/>
      <c r="N260" s="159"/>
    </row>
    <row r="261" spans="3:14">
      <c r="C261" s="159"/>
      <c r="D261" s="159"/>
      <c r="E261" s="159"/>
      <c r="F261" s="159"/>
      <c r="G261" s="159"/>
      <c r="H261" s="159"/>
      <c r="I261" s="159"/>
      <c r="J261" s="159"/>
      <c r="K261" s="159"/>
      <c r="L261" s="159"/>
      <c r="M261" s="159"/>
      <c r="N261" s="159"/>
    </row>
    <row r="262" spans="3:14">
      <c r="C262" s="159"/>
      <c r="D262" s="159"/>
      <c r="E262" s="159"/>
      <c r="F262" s="159"/>
      <c r="G262" s="159"/>
      <c r="H262" s="159"/>
      <c r="I262" s="159"/>
      <c r="J262" s="159"/>
      <c r="K262" s="159"/>
      <c r="L262" s="159"/>
      <c r="M262" s="159"/>
      <c r="N262" s="159"/>
    </row>
    <row r="263" spans="3:14">
      <c r="C263" s="159"/>
      <c r="D263" s="159"/>
      <c r="E263" s="159"/>
      <c r="F263" s="159"/>
      <c r="G263" s="159"/>
      <c r="H263" s="159"/>
      <c r="I263" s="159"/>
      <c r="J263" s="159"/>
      <c r="K263" s="159"/>
      <c r="L263" s="159"/>
      <c r="M263" s="159"/>
      <c r="N263" s="159"/>
    </row>
    <row r="264" spans="3:14">
      <c r="C264" s="159"/>
      <c r="D264" s="159"/>
      <c r="E264" s="159"/>
      <c r="F264" s="159"/>
      <c r="G264" s="159"/>
      <c r="H264" s="159"/>
      <c r="I264" s="159"/>
      <c r="J264" s="159"/>
      <c r="K264" s="159"/>
      <c r="L264" s="159"/>
      <c r="M264" s="159"/>
      <c r="N264" s="159"/>
    </row>
    <row r="265" spans="3:14">
      <c r="C265" s="159"/>
      <c r="D265" s="159"/>
      <c r="E265" s="159"/>
      <c r="F265" s="159"/>
      <c r="G265" s="159"/>
      <c r="H265" s="159"/>
      <c r="I265" s="159"/>
      <c r="J265" s="159"/>
      <c r="K265" s="159"/>
      <c r="L265" s="159"/>
      <c r="M265" s="159"/>
      <c r="N265" s="159"/>
    </row>
    <row r="266" spans="3:14">
      <c r="C266" s="159"/>
      <c r="D266" s="159"/>
      <c r="E266" s="159"/>
      <c r="F266" s="159"/>
      <c r="G266" s="159"/>
      <c r="H266" s="159"/>
      <c r="I266" s="159"/>
      <c r="J266" s="159"/>
      <c r="K266" s="159"/>
      <c r="L266" s="159"/>
      <c r="M266" s="159"/>
      <c r="N266" s="159"/>
    </row>
    <row r="267" spans="3:14">
      <c r="C267" s="159"/>
      <c r="D267" s="159"/>
      <c r="E267" s="159"/>
      <c r="F267" s="159"/>
      <c r="G267" s="159"/>
      <c r="H267" s="159"/>
      <c r="I267" s="159"/>
      <c r="J267" s="159"/>
      <c r="K267" s="159"/>
      <c r="L267" s="159"/>
      <c r="M267" s="159"/>
      <c r="N267" s="159"/>
    </row>
    <row r="268" spans="3:14">
      <c r="C268" s="159"/>
      <c r="D268" s="159"/>
      <c r="E268" s="159"/>
      <c r="F268" s="159"/>
      <c r="G268" s="159"/>
      <c r="H268" s="159"/>
      <c r="I268" s="159"/>
      <c r="J268" s="159"/>
      <c r="K268" s="159"/>
      <c r="L268" s="159"/>
      <c r="M268" s="159"/>
      <c r="N268" s="159"/>
    </row>
    <row r="269" spans="3:14">
      <c r="C269" s="159"/>
      <c r="D269" s="159"/>
      <c r="E269" s="159"/>
      <c r="F269" s="159"/>
      <c r="G269" s="159"/>
      <c r="H269" s="159"/>
      <c r="I269" s="159"/>
      <c r="J269" s="159"/>
      <c r="K269" s="159"/>
      <c r="L269" s="159"/>
      <c r="M269" s="159"/>
      <c r="N269" s="159"/>
    </row>
    <row r="270" spans="3:14">
      <c r="C270" s="159"/>
      <c r="D270" s="159"/>
      <c r="E270" s="159"/>
      <c r="F270" s="159"/>
      <c r="G270" s="159"/>
      <c r="H270" s="159"/>
      <c r="I270" s="159"/>
      <c r="J270" s="159"/>
      <c r="K270" s="159"/>
      <c r="L270" s="159"/>
      <c r="M270" s="159"/>
      <c r="N270" s="159"/>
    </row>
    <row r="272" spans="3:14">
      <c r="C272" s="159"/>
      <c r="D272" s="159"/>
      <c r="E272" s="159"/>
      <c r="F272" s="159"/>
      <c r="G272" s="159"/>
      <c r="H272" s="159"/>
      <c r="I272" s="159"/>
      <c r="J272" s="159"/>
      <c r="K272" s="159"/>
      <c r="L272" s="159"/>
      <c r="M272" s="159"/>
      <c r="N272" s="159"/>
    </row>
    <row r="273" spans="3:14">
      <c r="C273" s="159"/>
      <c r="D273" s="159"/>
      <c r="E273" s="159"/>
      <c r="F273" s="159"/>
      <c r="G273" s="159"/>
      <c r="H273" s="159"/>
      <c r="I273" s="159"/>
      <c r="J273" s="159"/>
      <c r="K273" s="159"/>
      <c r="L273" s="159"/>
      <c r="M273" s="159"/>
      <c r="N273" s="159"/>
    </row>
    <row r="274" spans="3:14">
      <c r="C274" s="159"/>
      <c r="D274" s="159"/>
      <c r="E274" s="159"/>
      <c r="F274" s="159"/>
      <c r="G274" s="159"/>
      <c r="H274" s="159"/>
      <c r="I274" s="159"/>
      <c r="J274" s="159"/>
      <c r="K274" s="159"/>
      <c r="L274" s="159"/>
      <c r="M274" s="159"/>
      <c r="N274" s="159"/>
    </row>
    <row r="275" spans="3:14">
      <c r="C275" s="159"/>
      <c r="D275" s="159"/>
      <c r="E275" s="159"/>
      <c r="F275" s="159"/>
      <c r="G275" s="159"/>
      <c r="H275" s="159"/>
      <c r="I275" s="159"/>
      <c r="J275" s="159"/>
      <c r="K275" s="159"/>
      <c r="L275" s="159"/>
      <c r="M275" s="159"/>
      <c r="N275" s="159"/>
    </row>
    <row r="276" spans="3:14">
      <c r="C276" s="159"/>
      <c r="D276" s="159"/>
      <c r="E276" s="159"/>
      <c r="F276" s="159"/>
      <c r="G276" s="159"/>
      <c r="H276" s="159"/>
      <c r="I276" s="159"/>
      <c r="J276" s="159"/>
      <c r="K276" s="159"/>
      <c r="L276" s="159"/>
      <c r="M276" s="159"/>
      <c r="N276" s="159"/>
    </row>
    <row r="277" spans="3:14">
      <c r="C277" s="159"/>
      <c r="D277" s="159"/>
      <c r="E277" s="159"/>
      <c r="F277" s="159"/>
      <c r="G277" s="159"/>
      <c r="H277" s="159"/>
      <c r="I277" s="159"/>
      <c r="J277" s="159"/>
      <c r="K277" s="159"/>
      <c r="L277" s="159"/>
      <c r="M277" s="159"/>
      <c r="N277" s="159"/>
    </row>
    <row r="278" spans="3:14">
      <c r="C278" s="159"/>
      <c r="D278" s="159"/>
      <c r="E278" s="159"/>
      <c r="F278" s="159"/>
      <c r="G278" s="159"/>
      <c r="H278" s="159"/>
      <c r="I278" s="159"/>
      <c r="J278" s="159"/>
      <c r="K278" s="159"/>
      <c r="L278" s="159"/>
      <c r="M278" s="159"/>
      <c r="N278" s="159"/>
    </row>
    <row r="279" spans="3:14">
      <c r="C279" s="159"/>
      <c r="D279" s="159"/>
      <c r="E279" s="159"/>
      <c r="F279" s="159"/>
      <c r="G279" s="159"/>
      <c r="H279" s="159"/>
      <c r="I279" s="159"/>
      <c r="J279" s="159"/>
      <c r="K279" s="159"/>
      <c r="L279" s="159"/>
      <c r="M279" s="159"/>
      <c r="N279" s="159"/>
    </row>
    <row r="280" spans="3:14">
      <c r="C280" s="159"/>
      <c r="D280" s="159"/>
      <c r="E280" s="159"/>
      <c r="F280" s="159"/>
      <c r="G280" s="159"/>
      <c r="H280" s="159"/>
      <c r="I280" s="159"/>
      <c r="J280" s="159"/>
      <c r="K280" s="159"/>
      <c r="L280" s="159"/>
      <c r="M280" s="159"/>
      <c r="N280" s="159"/>
    </row>
    <row r="281" spans="3:14">
      <c r="C281" s="159"/>
      <c r="D281" s="159"/>
      <c r="E281" s="159"/>
      <c r="F281" s="159"/>
      <c r="G281" s="159"/>
      <c r="H281" s="159"/>
      <c r="I281" s="159"/>
      <c r="J281" s="159"/>
      <c r="K281" s="159"/>
      <c r="L281" s="159"/>
      <c r="M281" s="159"/>
      <c r="N281" s="159"/>
    </row>
    <row r="282" spans="3:14">
      <c r="C282" s="159"/>
      <c r="D282" s="159"/>
      <c r="E282" s="159"/>
      <c r="F282" s="159"/>
      <c r="G282" s="159"/>
      <c r="H282" s="159"/>
      <c r="I282" s="159"/>
      <c r="J282" s="159"/>
      <c r="K282" s="159"/>
      <c r="L282" s="159"/>
      <c r="M282" s="159"/>
      <c r="N282" s="159"/>
    </row>
    <row r="283" spans="3:14">
      <c r="C283" s="159"/>
      <c r="D283" s="159"/>
      <c r="E283" s="159"/>
      <c r="F283" s="159"/>
      <c r="G283" s="159"/>
      <c r="H283" s="159"/>
      <c r="I283" s="159"/>
      <c r="J283" s="159"/>
      <c r="K283" s="159"/>
      <c r="L283" s="159"/>
      <c r="M283" s="159"/>
      <c r="N283" s="159"/>
    </row>
  </sheetData>
  <phoneticPr fontId="10" type="noConversion"/>
  <pageMargins left="0.17" right="0.17" top="0.66" bottom="1" header="0.5" footer="0.5"/>
  <pageSetup scale="62" fitToHeight="2" orientation="landscape" r:id="rId1"/>
  <headerFooter alignWithMargins="0"/>
  <rowBreaks count="1" manualBreakCount="1">
    <brk id="32" max="1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N368"/>
  <sheetViews>
    <sheetView showGridLines="0" zoomScaleNormal="100" workbookViewId="0">
      <pane xSplit="2" ySplit="9" topLeftCell="C10" activePane="bottomRight" state="frozen"/>
      <selection pane="topRight" activeCell="C1" sqref="C1"/>
      <selection pane="bottomLeft" activeCell="A10" sqref="A10"/>
      <selection pane="bottomRight" activeCell="C10" sqref="C10"/>
    </sheetView>
  </sheetViews>
  <sheetFormatPr defaultColWidth="9" defaultRowHeight="12.75" customHeight="1"/>
  <cols>
    <col min="1" max="1" width="4.375" style="7" customWidth="1"/>
    <col min="2" max="2" width="17.375" style="7" customWidth="1"/>
    <col min="3" max="3" width="16" style="7" bestFit="1" customWidth="1"/>
    <col min="4" max="4" width="13.125" style="7" customWidth="1"/>
    <col min="5" max="5" width="14.875" style="7" bestFit="1" customWidth="1"/>
    <col min="6" max="7" width="13.125" style="7" customWidth="1"/>
    <col min="8" max="8" width="13.625" style="7" bestFit="1" customWidth="1"/>
    <col min="9" max="9" width="14.625" style="7" bestFit="1" customWidth="1"/>
    <col min="10" max="10" width="16.375" style="7" bestFit="1" customWidth="1"/>
    <col min="11" max="11" width="9.625" style="7" bestFit="1" customWidth="1"/>
    <col min="12" max="12" width="4.125" style="7" customWidth="1"/>
    <col min="13" max="13" width="13.125" style="7" customWidth="1"/>
    <col min="14" max="14" width="9.125" style="7" bestFit="1" customWidth="1"/>
    <col min="15" max="15" width="13" style="7" customWidth="1"/>
    <col min="16" max="16" width="12" style="7" customWidth="1"/>
    <col min="17" max="18" width="8.875" style="7" customWidth="1"/>
    <col min="19" max="19" width="10.375" style="7" customWidth="1"/>
    <col min="20" max="20" width="11.5" style="7" customWidth="1"/>
    <col min="21" max="21" width="10.625" style="7" customWidth="1"/>
    <col min="22" max="22" width="12.625" style="199" customWidth="1"/>
    <col min="23" max="23" width="10.875" style="7" customWidth="1"/>
    <col min="24" max="24" width="2.875" style="7" customWidth="1"/>
    <col min="25" max="25" width="11.5" style="7" customWidth="1"/>
    <col min="26" max="26" width="10.75" style="7" bestFit="1" customWidth="1"/>
    <col min="27" max="27" width="10.75" style="7" customWidth="1"/>
    <col min="28" max="28" width="10.625" style="7" bestFit="1" customWidth="1"/>
    <col min="29" max="29" width="9" style="7" hidden="1" customWidth="1"/>
    <col min="30" max="30" width="10.375" style="7" hidden="1" customWidth="1"/>
    <col min="31" max="31" width="12.125" style="7" hidden="1" customWidth="1"/>
    <col min="32" max="32" width="10.25" style="7" hidden="1" customWidth="1"/>
    <col min="33" max="33" width="9" style="7"/>
    <col min="34" max="34" width="8.25" style="7" customWidth="1"/>
    <col min="35" max="35" width="8.125" style="7" customWidth="1"/>
    <col min="36" max="37" width="6" style="7" customWidth="1"/>
    <col min="38" max="38" width="9" style="7"/>
    <col min="39" max="39" width="11.625" style="7" customWidth="1"/>
    <col min="40" max="40" width="13.625" style="7" customWidth="1"/>
    <col min="41" max="16384" width="9" style="7"/>
  </cols>
  <sheetData>
    <row r="1" spans="1:40" s="306" customFormat="1" ht="45">
      <c r="A1" s="306">
        <v>1</v>
      </c>
      <c r="B1" s="306">
        <v>2</v>
      </c>
      <c r="C1" s="306" t="s">
        <v>2220</v>
      </c>
      <c r="D1" s="306">
        <v>4</v>
      </c>
      <c r="E1" s="306" t="s">
        <v>2225</v>
      </c>
      <c r="F1" s="306">
        <v>6</v>
      </c>
      <c r="G1" s="306">
        <v>7</v>
      </c>
      <c r="H1" s="306">
        <v>8</v>
      </c>
      <c r="I1" s="306">
        <v>9</v>
      </c>
      <c r="J1" s="306">
        <v>10</v>
      </c>
      <c r="K1" s="306">
        <v>11</v>
      </c>
      <c r="L1" s="306">
        <v>12</v>
      </c>
      <c r="M1" s="306">
        <v>13</v>
      </c>
      <c r="N1" s="306" t="s">
        <v>2250</v>
      </c>
      <c r="O1" s="306">
        <v>15</v>
      </c>
      <c r="P1" s="306">
        <v>16</v>
      </c>
      <c r="Q1" s="306">
        <v>17</v>
      </c>
      <c r="R1" s="306">
        <v>18</v>
      </c>
      <c r="S1" s="306">
        <v>19</v>
      </c>
      <c r="T1" s="306">
        <v>20</v>
      </c>
      <c r="U1" s="306">
        <v>21</v>
      </c>
      <c r="V1" s="306">
        <v>22</v>
      </c>
      <c r="W1" s="306">
        <v>23</v>
      </c>
      <c r="X1" s="306">
        <v>24</v>
      </c>
      <c r="Y1" s="306">
        <v>25</v>
      </c>
      <c r="Z1" s="306">
        <v>26</v>
      </c>
      <c r="AA1" s="306">
        <v>27</v>
      </c>
      <c r="AB1" s="306">
        <v>28</v>
      </c>
      <c r="AC1" s="306">
        <v>29</v>
      </c>
      <c r="AD1" s="306">
        <v>30</v>
      </c>
      <c r="AE1" s="306">
        <v>31</v>
      </c>
      <c r="AF1" s="306">
        <v>32</v>
      </c>
      <c r="AH1" s="307" t="s">
        <v>2337</v>
      </c>
      <c r="AI1" s="420"/>
      <c r="AJ1" s="420"/>
      <c r="AK1" s="307"/>
    </row>
    <row r="2" spans="1:40" s="223" customFormat="1" ht="12">
      <c r="B2" s="224" t="s">
        <v>107</v>
      </c>
      <c r="C2" s="606" t="s">
        <v>2211</v>
      </c>
      <c r="D2" s="606"/>
      <c r="E2" s="606"/>
      <c r="F2" s="606"/>
      <c r="G2" s="606"/>
      <c r="H2" s="606"/>
      <c r="I2" s="606"/>
      <c r="J2" s="606"/>
      <c r="K2" s="606"/>
      <c r="M2" s="606" t="s">
        <v>2212</v>
      </c>
      <c r="N2" s="606"/>
      <c r="O2" s="606"/>
      <c r="P2" s="606"/>
      <c r="Q2" s="606"/>
      <c r="R2" s="606"/>
      <c r="S2" s="606"/>
      <c r="T2" s="606"/>
      <c r="U2" s="606"/>
      <c r="V2" s="606"/>
      <c r="W2" s="606"/>
      <c r="Y2" s="607" t="s">
        <v>2213</v>
      </c>
      <c r="Z2" s="607"/>
      <c r="AA2" s="607"/>
      <c r="AB2" s="607"/>
      <c r="AC2" s="170"/>
      <c r="AD2" s="170"/>
      <c r="AI2" s="270"/>
      <c r="AJ2" s="225"/>
      <c r="AK2" s="225"/>
    </row>
    <row r="3" spans="1:40" s="170" customFormat="1" ht="12.75" customHeight="1">
      <c r="B3" s="565" t="s">
        <v>2802</v>
      </c>
      <c r="E3" s="226"/>
      <c r="H3" s="227"/>
      <c r="N3" s="226"/>
      <c r="R3" s="403" t="s">
        <v>2228</v>
      </c>
      <c r="S3" s="403" t="s">
        <v>2229</v>
      </c>
      <c r="V3" s="228"/>
      <c r="AH3" s="225"/>
    </row>
    <row r="4" spans="1:40" s="170" customFormat="1" ht="12.75" customHeight="1">
      <c r="D4" s="166" t="s">
        <v>549</v>
      </c>
      <c r="E4" s="226"/>
      <c r="F4" s="166" t="s">
        <v>550</v>
      </c>
      <c r="G4" s="223"/>
      <c r="N4" s="168" t="s">
        <v>1174</v>
      </c>
      <c r="R4" s="192">
        <f>parameters!C18</f>
        <v>0.01</v>
      </c>
      <c r="S4" s="229">
        <f>parameters!C16</f>
        <v>2.5</v>
      </c>
      <c r="U4" s="200" t="s">
        <v>2230</v>
      </c>
      <c r="V4" s="230"/>
      <c r="AF4" s="193">
        <v>-0.05</v>
      </c>
    </row>
    <row r="5" spans="1:40" s="166" customFormat="1" ht="12.75" customHeight="1">
      <c r="D5" s="231">
        <f>parameters!C29</f>
        <v>3.5495896839999297E-3</v>
      </c>
      <c r="E5" s="168"/>
      <c r="F5" s="231">
        <f>parameters!C30</f>
        <v>1.4247902676067894E-2</v>
      </c>
      <c r="G5" s="223"/>
      <c r="I5" s="232"/>
      <c r="N5" s="233">
        <f>mrgfvers</f>
        <v>1</v>
      </c>
      <c r="R5" s="192">
        <f>parameters!C19</f>
        <v>0.02</v>
      </c>
      <c r="S5" s="229">
        <f>parameters!C17</f>
        <v>7.5</v>
      </c>
      <c r="U5" s="193">
        <f>effortred</f>
        <v>0.85</v>
      </c>
      <c r="V5" s="170"/>
      <c r="AC5" s="170"/>
      <c r="AD5" s="170"/>
      <c r="AF5" s="193">
        <v>-0.1</v>
      </c>
    </row>
    <row r="6" spans="1:40" s="166" customFormat="1" ht="12.75" customHeight="1">
      <c r="E6" s="168"/>
      <c r="I6" s="166" t="s">
        <v>216</v>
      </c>
      <c r="J6" s="166" t="s">
        <v>220</v>
      </c>
      <c r="M6" s="166" t="s">
        <v>544</v>
      </c>
      <c r="P6" s="166" t="s">
        <v>545</v>
      </c>
      <c r="R6" s="166" t="s">
        <v>681</v>
      </c>
      <c r="S6" s="166" t="s">
        <v>889</v>
      </c>
      <c r="V6" s="234"/>
      <c r="AC6" s="170"/>
      <c r="AD6" s="170"/>
      <c r="AF6" s="193">
        <v>0.02</v>
      </c>
    </row>
    <row r="7" spans="1:40" s="166" customFormat="1" ht="12.75" customHeight="1">
      <c r="C7" s="168"/>
      <c r="D7" s="166" t="s">
        <v>513</v>
      </c>
      <c r="E7" s="168" t="s">
        <v>547</v>
      </c>
      <c r="F7" s="166" t="s">
        <v>513</v>
      </c>
      <c r="G7" s="166" t="s">
        <v>511</v>
      </c>
      <c r="I7" s="166" t="s">
        <v>217</v>
      </c>
      <c r="J7" s="166" t="s">
        <v>518</v>
      </c>
      <c r="K7" s="166" t="s">
        <v>218</v>
      </c>
      <c r="M7" s="166" t="s">
        <v>215</v>
      </c>
      <c r="N7" s="168"/>
      <c r="O7" s="166" t="s">
        <v>545</v>
      </c>
      <c r="P7" s="166" t="s">
        <v>518</v>
      </c>
      <c r="Q7" s="166" t="s">
        <v>885</v>
      </c>
      <c r="R7" s="166" t="s">
        <v>729</v>
      </c>
      <c r="S7" s="166" t="s">
        <v>729</v>
      </c>
      <c r="U7" s="166" t="s">
        <v>226</v>
      </c>
      <c r="V7" s="234" t="s">
        <v>544</v>
      </c>
      <c r="Y7" s="166" t="s">
        <v>1230</v>
      </c>
      <c r="Z7" s="605" t="s">
        <v>1231</v>
      </c>
      <c r="AA7" s="605"/>
      <c r="AC7" s="170"/>
      <c r="AD7" s="170"/>
      <c r="AF7" s="193">
        <v>0.01</v>
      </c>
      <c r="AH7" s="166">
        <v>1</v>
      </c>
      <c r="AI7" s="166">
        <v>2</v>
      </c>
      <c r="AJ7" s="166">
        <v>3</v>
      </c>
      <c r="AK7" s="166">
        <v>4</v>
      </c>
    </row>
    <row r="8" spans="1:40" s="166" customFormat="1" ht="12.75" customHeight="1">
      <c r="C8" s="168" t="s">
        <v>516</v>
      </c>
      <c r="D8" s="166" t="s">
        <v>515</v>
      </c>
      <c r="E8" s="168" t="s">
        <v>517</v>
      </c>
      <c r="F8" s="166" t="s">
        <v>514</v>
      </c>
      <c r="G8" s="166" t="s">
        <v>676</v>
      </c>
      <c r="H8" s="166" t="str">
        <f>CYr</f>
        <v>FY18</v>
      </c>
      <c r="I8" s="166" t="s">
        <v>555</v>
      </c>
      <c r="J8" s="166" t="s">
        <v>221</v>
      </c>
      <c r="K8" s="166" t="s">
        <v>219</v>
      </c>
      <c r="M8" s="166" t="s">
        <v>518</v>
      </c>
      <c r="N8" s="235" t="s">
        <v>195</v>
      </c>
      <c r="O8" s="166" t="s">
        <v>518</v>
      </c>
      <c r="P8" s="197" t="s">
        <v>884</v>
      </c>
      <c r="Q8" s="197" t="s">
        <v>886</v>
      </c>
      <c r="R8" s="197" t="s">
        <v>888</v>
      </c>
      <c r="S8" s="197" t="s">
        <v>888</v>
      </c>
      <c r="T8" s="166" t="s">
        <v>890</v>
      </c>
      <c r="U8" s="166" t="s">
        <v>227</v>
      </c>
      <c r="V8" s="234" t="s">
        <v>518</v>
      </c>
      <c r="W8" s="234" t="s">
        <v>892</v>
      </c>
      <c r="Y8" s="166" t="s">
        <v>1232</v>
      </c>
      <c r="Z8" s="166" t="s">
        <v>1232</v>
      </c>
      <c r="AA8" s="166" t="s">
        <v>1233</v>
      </c>
      <c r="AB8" s="166" t="s">
        <v>1234</v>
      </c>
      <c r="AC8" s="170"/>
      <c r="AD8" s="235" t="s">
        <v>1187</v>
      </c>
      <c r="AE8" s="166" t="s">
        <v>1188</v>
      </c>
      <c r="AF8" s="166" t="s">
        <v>1193</v>
      </c>
      <c r="AH8" s="166" t="s">
        <v>1201</v>
      </c>
      <c r="AI8" s="235" t="s">
        <v>195</v>
      </c>
      <c r="AJ8" s="235" t="s">
        <v>195</v>
      </c>
      <c r="AK8" s="235" t="s">
        <v>195</v>
      </c>
    </row>
    <row r="9" spans="1:40" s="197" customFormat="1" ht="12.75" customHeight="1">
      <c r="A9" s="197" t="s">
        <v>108</v>
      </c>
      <c r="B9" s="236" t="s">
        <v>1133</v>
      </c>
      <c r="C9" s="393" t="s">
        <v>2219</v>
      </c>
      <c r="D9" s="197" t="s">
        <v>510</v>
      </c>
      <c r="E9" s="235">
        <v>2014</v>
      </c>
      <c r="F9" s="197" t="s">
        <v>510</v>
      </c>
      <c r="G9" s="166" t="s">
        <v>548</v>
      </c>
      <c r="H9" s="197" t="s">
        <v>512</v>
      </c>
      <c r="I9" s="237">
        <f>maxloc</f>
        <v>0.82499999999999996</v>
      </c>
      <c r="J9" s="234" t="s">
        <v>222</v>
      </c>
      <c r="K9" s="197" t="s">
        <v>225</v>
      </c>
      <c r="M9" s="197" t="str">
        <f>PYr</f>
        <v>FY17</v>
      </c>
      <c r="N9" s="235" t="str">
        <f>CYr</f>
        <v>FY18</v>
      </c>
      <c r="O9" s="197" t="str">
        <f>CYr</f>
        <v>FY18</v>
      </c>
      <c r="P9" s="197" t="s">
        <v>512</v>
      </c>
      <c r="Q9" s="197" t="s">
        <v>887</v>
      </c>
      <c r="R9" s="197" t="s">
        <v>218</v>
      </c>
      <c r="S9" s="197" t="s">
        <v>218</v>
      </c>
      <c r="T9" s="166" t="s">
        <v>891</v>
      </c>
      <c r="U9" s="197" t="s">
        <v>228</v>
      </c>
      <c r="V9" s="197" t="str">
        <f>CYr</f>
        <v>FY18</v>
      </c>
      <c r="W9" s="238" t="s">
        <v>893</v>
      </c>
      <c r="Y9" s="197" t="s">
        <v>885</v>
      </c>
      <c r="Z9" s="197" t="s">
        <v>885</v>
      </c>
      <c r="AA9" s="197" t="s">
        <v>890</v>
      </c>
      <c r="AB9" s="166" t="s">
        <v>218</v>
      </c>
      <c r="AC9" s="170"/>
      <c r="AD9" s="235" t="s">
        <v>886</v>
      </c>
      <c r="AE9" s="197" t="s">
        <v>886</v>
      </c>
      <c r="AF9" s="197" t="s">
        <v>1192</v>
      </c>
      <c r="AH9" s="236"/>
      <c r="AI9" s="239"/>
      <c r="AJ9" s="235"/>
    </row>
    <row r="10" spans="1:40" ht="12.75" customHeight="1">
      <c r="A10" s="201">
        <v>1</v>
      </c>
      <c r="B10" s="201" t="s">
        <v>1267</v>
      </c>
      <c r="C10" s="202">
        <v>1892537300</v>
      </c>
      <c r="D10" s="202">
        <f t="shared" ref="D10:D74" si="0">D$5*C10</f>
        <v>6717730.87666508</v>
      </c>
      <c r="E10" s="202">
        <v>537854000</v>
      </c>
      <c r="F10" s="202">
        <f>E10*F$5</f>
        <v>7663291.4459338216</v>
      </c>
      <c r="G10" s="202">
        <f t="shared" ref="G10:G74" si="1">ROUND(D10+F10,0)</f>
        <v>14381022</v>
      </c>
      <c r="H10" s="203">
        <f>(SUMIF(town1755,A10,found1755)/2)</f>
        <v>22041487.999983191</v>
      </c>
      <c r="I10" s="204">
        <f>ROUND(H10*maxloc,0)</f>
        <v>18184228</v>
      </c>
      <c r="J10" s="204">
        <f>MIN(G10,I10)</f>
        <v>14381022</v>
      </c>
      <c r="K10" s="198">
        <f>IF(H10&gt;0, ROUND((J10*100/H10), 2), 0)</f>
        <v>65.25</v>
      </c>
      <c r="L10" s="205"/>
      <c r="M10" s="206">
        <v>14386381</v>
      </c>
      <c r="N10" s="207">
        <f>IF($N$5=1,AH10, IF( $N$5=2,AI10, IF( $N$5=3, AJ10, IF($N$5=4, AK10, 0))))</f>
        <v>3.5999999999999997E-2</v>
      </c>
      <c r="O10" s="204">
        <f>ROUND(M10*(1+N10),0)</f>
        <v>14904291</v>
      </c>
      <c r="P10" s="208">
        <f>O10*100/H10</f>
        <v>67.619259643502133</v>
      </c>
      <c r="Q10" s="208">
        <f>IF(K10&gt;P10,K10-P10,0)</f>
        <v>0</v>
      </c>
      <c r="R10" s="209">
        <f>IF(AND(Q10&gt;$S$4,Q10&lt;=$S$5),$R$4,IF(Q10&gt;$S$5,$R$5,0))</f>
        <v>0</v>
      </c>
      <c r="S10" s="204">
        <f>ROUND(R10*M10,0)</f>
        <v>0</v>
      </c>
      <c r="T10" s="210">
        <f>MAX(O10-J10,0)</f>
        <v>523269</v>
      </c>
      <c r="U10" s="210">
        <f t="shared" ref="U10:U73" si="2">MAX(T10*(U$5),0)</f>
        <v>444778.64999999997</v>
      </c>
      <c r="V10" s="203">
        <f>MIN(H10*parameters!C$22,ROUND(O10+S10-U10,0))</f>
        <v>14459512</v>
      </c>
      <c r="W10" s="211">
        <f>V10*100/H10</f>
        <v>65.601342341365637</v>
      </c>
      <c r="X10" s="208"/>
      <c r="Y10" s="212">
        <f>IF(P10&lt;K10, O10-J10, 0)</f>
        <v>0</v>
      </c>
      <c r="Z10" s="212">
        <f t="shared" ref="Z10:Z73" si="3">MAX(J10-(O10+S10),0)</f>
        <v>0</v>
      </c>
      <c r="AA10" s="212">
        <f>IF(P10&gt;K10, V10-J10,0)</f>
        <v>78490</v>
      </c>
      <c r="AB10" s="68">
        <f>W10-K10</f>
        <v>0.35134234136563691</v>
      </c>
      <c r="AD10" s="207">
        <f t="shared" ref="AD10:AD73" si="4">(O10-J10)/J10</f>
        <v>3.6386078819711141E-2</v>
      </c>
      <c r="AE10" s="213">
        <f>P10-K10</f>
        <v>2.3692596435021329</v>
      </c>
      <c r="AF10" s="10">
        <f t="shared" ref="AF10:AF73" si="5">IF(AD10&lt;$AF$5, $AF$6*(M10), IF(AND(AD10&lt;$AF$4, AD10&gt;$AF$5), $AF$7*(M10), 0))</f>
        <v>0</v>
      </c>
      <c r="AG10" s="214"/>
      <c r="AH10" s="214">
        <v>3.5999999999999997E-2</v>
      </c>
      <c r="AI10" s="181"/>
      <c r="AJ10" s="214"/>
      <c r="AK10" s="214"/>
      <c r="AL10" s="214"/>
      <c r="AM10" s="10"/>
      <c r="AN10" s="10"/>
    </row>
    <row r="11" spans="1:40" ht="12.75" customHeight="1">
      <c r="A11" s="201">
        <v>2</v>
      </c>
      <c r="B11" s="201" t="s">
        <v>1268</v>
      </c>
      <c r="C11" s="202">
        <v>4306412900</v>
      </c>
      <c r="D11" s="202">
        <f t="shared" si="0"/>
        <v>15285998.804884221</v>
      </c>
      <c r="E11" s="202">
        <v>1438171000</v>
      </c>
      <c r="F11" s="202">
        <f>E11*F$5</f>
        <v>20490920.43954324</v>
      </c>
      <c r="G11" s="202">
        <f t="shared" si="1"/>
        <v>35776919</v>
      </c>
      <c r="H11" s="203">
        <f t="shared" ref="H11:H74" si="6">(SUMIF(town1755,A11,found1755)/2)</f>
        <v>45937475.010517828</v>
      </c>
      <c r="I11" s="204">
        <f t="shared" ref="I11:I74" si="7">ROUND(H11*maxloc,0)</f>
        <v>37898417</v>
      </c>
      <c r="J11" s="204">
        <f t="shared" ref="J11:J74" si="8">MIN(G11,I11)</f>
        <v>35776919</v>
      </c>
      <c r="K11" s="198">
        <f t="shared" ref="K11:K74" si="9">IF(H11&gt;0, ROUND((J11*100/H11), 2), 0)</f>
        <v>77.88</v>
      </c>
      <c r="L11" s="205"/>
      <c r="M11" s="206">
        <v>34324556</v>
      </c>
      <c r="N11" s="207">
        <f t="shared" ref="N11:N74" si="10">IF($N$5=1,AH11, IF( $N$5=2,AI11, IF( $N$5=3, AJ11, IF($N$5=4, AK11, 0))))</f>
        <v>4.53E-2</v>
      </c>
      <c r="O11" s="204">
        <f t="shared" ref="O11:O74" si="11">ROUND(M11*(1+N11),0)</f>
        <v>35879458</v>
      </c>
      <c r="P11" s="208">
        <f t="shared" ref="P11:P74" si="12">O11*100/H11</f>
        <v>78.104985073265453</v>
      </c>
      <c r="Q11" s="208">
        <f t="shared" ref="Q11:Q74" si="13">IF(K11&gt;P11,K11-P11,0)</f>
        <v>0</v>
      </c>
      <c r="R11" s="209">
        <f t="shared" ref="R11:R74" si="14">IF(AND(Q11&gt;$S$4,Q11&lt;=$S$5),$R$4,IF(Q11&gt;$S$5,$R$5,0))</f>
        <v>0</v>
      </c>
      <c r="S11" s="204">
        <f t="shared" ref="S11:S74" si="15">ROUND(R11*M11,0)</f>
        <v>0</v>
      </c>
      <c r="T11" s="210">
        <f t="shared" ref="T11:T74" si="16">MAX(O11-J11,0)</f>
        <v>102539</v>
      </c>
      <c r="U11" s="210">
        <f t="shared" si="2"/>
        <v>87158.15</v>
      </c>
      <c r="V11" s="203">
        <f>MIN(H11*parameters!C$22,ROUND(O11+S11-U11,0))</f>
        <v>35792300</v>
      </c>
      <c r="W11" s="211">
        <f t="shared" ref="W11:W74" si="17">V11*100/H11</f>
        <v>77.915253269373224</v>
      </c>
      <c r="X11" s="208"/>
      <c r="Y11" s="212">
        <f t="shared" ref="Y11:Y74" si="18">IF(P11&lt;K11, O11-J11, 0)</f>
        <v>0</v>
      </c>
      <c r="Z11" s="212">
        <f t="shared" si="3"/>
        <v>0</v>
      </c>
      <c r="AA11" s="212">
        <f t="shared" ref="AA11:AA74" si="19">IF(P11&gt;K11, V11-J11,0)</f>
        <v>15381</v>
      </c>
      <c r="AB11" s="68">
        <f t="shared" ref="AB11:AB74" si="20">W11-K11</f>
        <v>3.5253269373228591E-2</v>
      </c>
      <c r="AD11" s="207">
        <f t="shared" si="4"/>
        <v>2.8660656888872963E-3</v>
      </c>
      <c r="AE11" s="213">
        <f t="shared" ref="AE11:AE74" si="21">P11-K11</f>
        <v>0.22498507326545791</v>
      </c>
      <c r="AF11" s="10">
        <f t="shared" si="5"/>
        <v>0</v>
      </c>
      <c r="AG11" s="214"/>
      <c r="AH11" s="214">
        <v>4.53E-2</v>
      </c>
      <c r="AI11" s="181"/>
      <c r="AJ11" s="214"/>
      <c r="AK11" s="214"/>
      <c r="AL11" s="214"/>
      <c r="AM11" s="10"/>
      <c r="AN11" s="10"/>
    </row>
    <row r="12" spans="1:40" ht="12.75" customHeight="1">
      <c r="A12" s="201">
        <v>3</v>
      </c>
      <c r="B12" s="201" t="s">
        <v>1269</v>
      </c>
      <c r="C12" s="202">
        <v>1105676500</v>
      </c>
      <c r="D12" s="202">
        <f t="shared" si="0"/>
        <v>3924697.8982411483</v>
      </c>
      <c r="E12" s="202">
        <v>298916000</v>
      </c>
      <c r="F12" s="202">
        <f t="shared" ref="F12:F75" si="22">E12*F$5</f>
        <v>4258926.076319511</v>
      </c>
      <c r="G12" s="202">
        <f t="shared" si="1"/>
        <v>8183624</v>
      </c>
      <c r="H12" s="203">
        <f t="shared" si="6"/>
        <v>14068458.488020513</v>
      </c>
      <c r="I12" s="204">
        <f t="shared" si="7"/>
        <v>11606478</v>
      </c>
      <c r="J12" s="204">
        <f t="shared" si="8"/>
        <v>8183624</v>
      </c>
      <c r="K12" s="198">
        <f t="shared" si="9"/>
        <v>58.17</v>
      </c>
      <c r="L12" s="205"/>
      <c r="M12" s="206">
        <v>8212073</v>
      </c>
      <c r="N12" s="207">
        <f t="shared" si="10"/>
        <v>3.56E-2</v>
      </c>
      <c r="O12" s="204">
        <f t="shared" si="11"/>
        <v>8504423</v>
      </c>
      <c r="P12" s="208">
        <f t="shared" si="12"/>
        <v>60.450283215048998</v>
      </c>
      <c r="Q12" s="208">
        <f t="shared" si="13"/>
        <v>0</v>
      </c>
      <c r="R12" s="209">
        <f t="shared" si="14"/>
        <v>0</v>
      </c>
      <c r="S12" s="204">
        <f t="shared" si="15"/>
        <v>0</v>
      </c>
      <c r="T12" s="210">
        <f t="shared" si="16"/>
        <v>320799</v>
      </c>
      <c r="U12" s="210">
        <f t="shared" si="2"/>
        <v>272679.14999999997</v>
      </c>
      <c r="V12" s="203">
        <f>MIN(H12*parameters!C$22,ROUND(O12+S12-U12,0))</f>
        <v>8231744</v>
      </c>
      <c r="W12" s="211">
        <f t="shared" si="17"/>
        <v>58.512053804682608</v>
      </c>
      <c r="X12" s="208"/>
      <c r="Y12" s="212">
        <f t="shared" si="18"/>
        <v>0</v>
      </c>
      <c r="Z12" s="212">
        <f t="shared" si="3"/>
        <v>0</v>
      </c>
      <c r="AA12" s="212">
        <f t="shared" si="19"/>
        <v>48120</v>
      </c>
      <c r="AB12" s="68">
        <f t="shared" si="20"/>
        <v>0.34205380468260671</v>
      </c>
      <c r="AD12" s="207">
        <f t="shared" si="4"/>
        <v>3.920011476578103E-2</v>
      </c>
      <c r="AE12" s="213">
        <f t="shared" si="21"/>
        <v>2.2802832150489962</v>
      </c>
      <c r="AF12" s="10">
        <f t="shared" si="5"/>
        <v>0</v>
      </c>
      <c r="AG12" s="214"/>
      <c r="AH12" s="214">
        <v>3.56E-2</v>
      </c>
      <c r="AI12" s="181"/>
      <c r="AJ12" s="214"/>
      <c r="AK12" s="214"/>
      <c r="AL12" s="214"/>
      <c r="AM12" s="10"/>
      <c r="AN12" s="10"/>
    </row>
    <row r="13" spans="1:40" ht="12.75" customHeight="1">
      <c r="A13" s="201">
        <v>4</v>
      </c>
      <c r="B13" s="201" t="s">
        <v>1270</v>
      </c>
      <c r="C13" s="202">
        <v>497127100</v>
      </c>
      <c r="D13" s="202">
        <f t="shared" si="0"/>
        <v>1764597.2257968015</v>
      </c>
      <c r="E13" s="202">
        <v>179034000</v>
      </c>
      <c r="F13" s="202">
        <f t="shared" si="22"/>
        <v>2550859.0077071395</v>
      </c>
      <c r="G13" s="202">
        <f t="shared" si="1"/>
        <v>4315456</v>
      </c>
      <c r="H13" s="203">
        <f t="shared" si="6"/>
        <v>13179924.661438003</v>
      </c>
      <c r="I13" s="204">
        <f t="shared" si="7"/>
        <v>10873438</v>
      </c>
      <c r="J13" s="204">
        <f t="shared" si="8"/>
        <v>4315456</v>
      </c>
      <c r="K13" s="198">
        <f t="shared" si="9"/>
        <v>32.74</v>
      </c>
      <c r="L13" s="205"/>
      <c r="M13" s="206">
        <v>4158819</v>
      </c>
      <c r="N13" s="207">
        <f t="shared" si="10"/>
        <v>3.5000000000000003E-2</v>
      </c>
      <c r="O13" s="204">
        <f t="shared" si="11"/>
        <v>4304378</v>
      </c>
      <c r="P13" s="208">
        <f t="shared" si="12"/>
        <v>32.658593357470437</v>
      </c>
      <c r="Q13" s="208">
        <f t="shared" si="13"/>
        <v>8.1406642529564976E-2</v>
      </c>
      <c r="R13" s="209">
        <f t="shared" si="14"/>
        <v>0</v>
      </c>
      <c r="S13" s="204">
        <f t="shared" si="15"/>
        <v>0</v>
      </c>
      <c r="T13" s="210">
        <f t="shared" si="16"/>
        <v>0</v>
      </c>
      <c r="U13" s="210">
        <f t="shared" si="2"/>
        <v>0</v>
      </c>
      <c r="V13" s="203">
        <f>MIN(H13*parameters!C$22,ROUND(O13+S13-U13,0))</f>
        <v>4304378</v>
      </c>
      <c r="W13" s="211">
        <f t="shared" si="17"/>
        <v>32.658593357470437</v>
      </c>
      <c r="X13" s="208"/>
      <c r="Y13" s="212">
        <f t="shared" si="18"/>
        <v>-11078</v>
      </c>
      <c r="Z13" s="212">
        <f t="shared" si="3"/>
        <v>11078</v>
      </c>
      <c r="AA13" s="212">
        <f t="shared" si="19"/>
        <v>0</v>
      </c>
      <c r="AB13" s="68">
        <f t="shared" si="20"/>
        <v>-8.1406642529564976E-2</v>
      </c>
      <c r="AD13" s="207">
        <f t="shared" si="4"/>
        <v>-2.5670520102626464E-3</v>
      </c>
      <c r="AE13" s="213">
        <f t="shared" si="21"/>
        <v>-8.1406642529564976E-2</v>
      </c>
      <c r="AF13" s="10">
        <f t="shared" si="5"/>
        <v>0</v>
      </c>
      <c r="AG13" s="214"/>
      <c r="AH13" s="214">
        <v>3.5000000000000003E-2</v>
      </c>
      <c r="AI13" s="181"/>
      <c r="AJ13" s="214"/>
      <c r="AK13" s="214"/>
      <c r="AL13" s="214"/>
      <c r="AM13" s="10"/>
      <c r="AN13" s="10"/>
    </row>
    <row r="14" spans="1:40" ht="12.75" customHeight="1">
      <c r="A14" s="201">
        <v>5</v>
      </c>
      <c r="B14" s="201" t="s">
        <v>1271</v>
      </c>
      <c r="C14" s="202">
        <v>2949078000</v>
      </c>
      <c r="D14" s="202">
        <f t="shared" si="0"/>
        <v>10468016.846111145</v>
      </c>
      <c r="E14" s="202">
        <v>800179000</v>
      </c>
      <c r="F14" s="202">
        <f t="shared" si="22"/>
        <v>11400872.515433332</v>
      </c>
      <c r="G14" s="202">
        <f t="shared" si="1"/>
        <v>21868889</v>
      </c>
      <c r="H14" s="203">
        <f t="shared" si="6"/>
        <v>40549530.336503848</v>
      </c>
      <c r="I14" s="204">
        <f t="shared" si="7"/>
        <v>33453363</v>
      </c>
      <c r="J14" s="204">
        <f t="shared" si="8"/>
        <v>21868889</v>
      </c>
      <c r="K14" s="198">
        <f t="shared" si="9"/>
        <v>53.93</v>
      </c>
      <c r="L14" s="205"/>
      <c r="M14" s="206">
        <v>22702754</v>
      </c>
      <c r="N14" s="207">
        <f t="shared" si="10"/>
        <v>4.1500000000000002E-2</v>
      </c>
      <c r="O14" s="204">
        <f t="shared" si="11"/>
        <v>23644918</v>
      </c>
      <c r="P14" s="208">
        <f t="shared" si="12"/>
        <v>58.31120065702504</v>
      </c>
      <c r="Q14" s="208">
        <f t="shared" si="13"/>
        <v>0</v>
      </c>
      <c r="R14" s="209">
        <f t="shared" si="14"/>
        <v>0</v>
      </c>
      <c r="S14" s="204">
        <f t="shared" si="15"/>
        <v>0</v>
      </c>
      <c r="T14" s="210">
        <f t="shared" si="16"/>
        <v>1776029</v>
      </c>
      <c r="U14" s="210">
        <f t="shared" si="2"/>
        <v>1509624.65</v>
      </c>
      <c r="V14" s="203">
        <f>MIN(H14*parameters!C$22,ROUND(O14+S14-U14,0))</f>
        <v>22135293</v>
      </c>
      <c r="W14" s="211">
        <f t="shared" si="17"/>
        <v>54.588284540679808</v>
      </c>
      <c r="X14" s="208"/>
      <c r="Y14" s="212">
        <f t="shared" si="18"/>
        <v>0</v>
      </c>
      <c r="Z14" s="212">
        <f t="shared" si="3"/>
        <v>0</v>
      </c>
      <c r="AA14" s="212">
        <f t="shared" si="19"/>
        <v>266404</v>
      </c>
      <c r="AB14" s="68">
        <f t="shared" si="20"/>
        <v>0.65828454067980857</v>
      </c>
      <c r="AD14" s="207">
        <f t="shared" si="4"/>
        <v>8.1212584690516287E-2</v>
      </c>
      <c r="AE14" s="213">
        <f t="shared" si="21"/>
        <v>4.3812006570250404</v>
      </c>
      <c r="AF14" s="10">
        <f t="shared" si="5"/>
        <v>0</v>
      </c>
      <c r="AG14" s="214"/>
      <c r="AH14" s="214">
        <v>4.1500000000000002E-2</v>
      </c>
      <c r="AI14" s="181"/>
      <c r="AJ14" s="214"/>
      <c r="AK14" s="214"/>
      <c r="AL14" s="214"/>
      <c r="AM14" s="10"/>
      <c r="AN14" s="10"/>
    </row>
    <row r="15" spans="1:40" ht="12.75" customHeight="1">
      <c r="A15" s="201">
        <v>6</v>
      </c>
      <c r="B15" s="201" t="s">
        <v>1272</v>
      </c>
      <c r="C15" s="202">
        <v>297724600</v>
      </c>
      <c r="D15" s="202">
        <f t="shared" si="0"/>
        <v>1056800.1688330055</v>
      </c>
      <c r="E15" s="202">
        <v>29436000</v>
      </c>
      <c r="F15" s="202">
        <f t="shared" si="22"/>
        <v>419401.26317273453</v>
      </c>
      <c r="G15" s="202">
        <f t="shared" si="1"/>
        <v>1476201</v>
      </c>
      <c r="H15" s="203">
        <f t="shared" si="6"/>
        <v>206450.46448272493</v>
      </c>
      <c r="I15" s="204">
        <f t="shared" si="7"/>
        <v>170322</v>
      </c>
      <c r="J15" s="204">
        <f t="shared" si="8"/>
        <v>170322</v>
      </c>
      <c r="K15" s="198">
        <f t="shared" si="9"/>
        <v>82.5</v>
      </c>
      <c r="L15" s="205"/>
      <c r="M15" s="206">
        <v>201656</v>
      </c>
      <c r="N15" s="207">
        <f t="shared" si="10"/>
        <v>3.0700000000000002E-2</v>
      </c>
      <c r="O15" s="204">
        <f t="shared" si="11"/>
        <v>207847</v>
      </c>
      <c r="P15" s="208">
        <f t="shared" si="12"/>
        <v>100.67645065404632</v>
      </c>
      <c r="Q15" s="208">
        <f t="shared" si="13"/>
        <v>0</v>
      </c>
      <c r="R15" s="209">
        <f t="shared" si="14"/>
        <v>0</v>
      </c>
      <c r="S15" s="204">
        <f t="shared" si="15"/>
        <v>0</v>
      </c>
      <c r="T15" s="210">
        <f t="shared" si="16"/>
        <v>37525</v>
      </c>
      <c r="U15" s="210">
        <f t="shared" si="2"/>
        <v>31896.25</v>
      </c>
      <c r="V15" s="203">
        <f>MIN(H15*parameters!C$22,ROUND(O15+S15-U15,0))</f>
        <v>175951</v>
      </c>
      <c r="W15" s="211">
        <f t="shared" si="17"/>
        <v>85.226739712529437</v>
      </c>
      <c r="X15" s="208"/>
      <c r="Y15" s="212">
        <f t="shared" si="18"/>
        <v>0</v>
      </c>
      <c r="Z15" s="212">
        <f t="shared" si="3"/>
        <v>0</v>
      </c>
      <c r="AA15" s="212">
        <f t="shared" si="19"/>
        <v>5629</v>
      </c>
      <c r="AB15" s="68">
        <f t="shared" si="20"/>
        <v>2.7267397125294366</v>
      </c>
      <c r="AD15" s="207">
        <f t="shared" si="4"/>
        <v>0.2203179859325278</v>
      </c>
      <c r="AE15" s="213">
        <f t="shared" si="21"/>
        <v>18.17645065404632</v>
      </c>
      <c r="AF15" s="10">
        <f t="shared" si="5"/>
        <v>0</v>
      </c>
      <c r="AG15" s="214"/>
      <c r="AH15" s="214">
        <v>3.0700000000000002E-2</v>
      </c>
      <c r="AI15" s="181"/>
      <c r="AJ15" s="214"/>
      <c r="AK15" s="214"/>
      <c r="AL15" s="214"/>
      <c r="AM15" s="10"/>
      <c r="AN15" s="10"/>
    </row>
    <row r="16" spans="1:40" ht="12.75" customHeight="1">
      <c r="A16" s="201">
        <v>7</v>
      </c>
      <c r="B16" s="201" t="s">
        <v>1273</v>
      </c>
      <c r="C16" s="202">
        <v>2035493900</v>
      </c>
      <c r="D16" s="202">
        <f t="shared" si="0"/>
        <v>7225168.1492847847</v>
      </c>
      <c r="E16" s="202">
        <v>568521000</v>
      </c>
      <c r="F16" s="202">
        <f t="shared" si="22"/>
        <v>8100231.8773007952</v>
      </c>
      <c r="G16" s="202">
        <f t="shared" si="1"/>
        <v>15325400</v>
      </c>
      <c r="H16" s="203">
        <f t="shared" si="6"/>
        <v>23278884.441653922</v>
      </c>
      <c r="I16" s="204">
        <f t="shared" si="7"/>
        <v>19205080</v>
      </c>
      <c r="J16" s="204">
        <f t="shared" si="8"/>
        <v>15325400</v>
      </c>
      <c r="K16" s="198">
        <f t="shared" si="9"/>
        <v>65.83</v>
      </c>
      <c r="L16" s="205"/>
      <c r="M16" s="206">
        <v>15202913</v>
      </c>
      <c r="N16" s="207">
        <f t="shared" si="10"/>
        <v>3.8699999999999998E-2</v>
      </c>
      <c r="O16" s="204">
        <f t="shared" si="11"/>
        <v>15791266</v>
      </c>
      <c r="P16" s="208">
        <f t="shared" si="12"/>
        <v>67.835149229677</v>
      </c>
      <c r="Q16" s="208">
        <f t="shared" si="13"/>
        <v>0</v>
      </c>
      <c r="R16" s="209">
        <f t="shared" si="14"/>
        <v>0</v>
      </c>
      <c r="S16" s="204">
        <f t="shared" si="15"/>
        <v>0</v>
      </c>
      <c r="T16" s="210">
        <f t="shared" si="16"/>
        <v>465866</v>
      </c>
      <c r="U16" s="210">
        <f t="shared" si="2"/>
        <v>395986.1</v>
      </c>
      <c r="V16" s="203">
        <f>MIN(H16*parameters!C$22,ROUND(O16+S16-U16,0))</f>
        <v>15395280</v>
      </c>
      <c r="W16" s="211">
        <f t="shared" si="17"/>
        <v>66.134096926279483</v>
      </c>
      <c r="X16" s="208"/>
      <c r="Y16" s="212">
        <f t="shared" si="18"/>
        <v>0</v>
      </c>
      <c r="Z16" s="212">
        <f t="shared" si="3"/>
        <v>0</v>
      </c>
      <c r="AA16" s="212">
        <f t="shared" si="19"/>
        <v>69880</v>
      </c>
      <c r="AB16" s="68">
        <f t="shared" si="20"/>
        <v>0.30409692627948459</v>
      </c>
      <c r="AD16" s="207">
        <f t="shared" si="4"/>
        <v>3.0398293029871976E-2</v>
      </c>
      <c r="AE16" s="213">
        <f t="shared" si="21"/>
        <v>2.0051492296770022</v>
      </c>
      <c r="AF16" s="10">
        <f t="shared" si="5"/>
        <v>0</v>
      </c>
      <c r="AG16" s="214"/>
      <c r="AH16" s="214">
        <v>3.8699999999999998E-2</v>
      </c>
      <c r="AI16" s="181"/>
      <c r="AJ16" s="214"/>
      <c r="AK16" s="214"/>
      <c r="AL16" s="214"/>
      <c r="AM16" s="10"/>
      <c r="AN16" s="10"/>
    </row>
    <row r="17" spans="1:40" ht="12.75" customHeight="1">
      <c r="A17" s="201">
        <v>8</v>
      </c>
      <c r="B17" s="201" t="s">
        <v>1274</v>
      </c>
      <c r="C17" s="202">
        <v>2348821000</v>
      </c>
      <c r="D17" s="202">
        <f t="shared" si="0"/>
        <v>8337350.7911623986</v>
      </c>
      <c r="E17" s="202">
        <v>697913000</v>
      </c>
      <c r="F17" s="202">
        <f t="shared" si="22"/>
        <v>9943796.5003625713</v>
      </c>
      <c r="G17" s="202">
        <f t="shared" si="1"/>
        <v>18281147</v>
      </c>
      <c r="H17" s="203">
        <f t="shared" si="6"/>
        <v>24754162.310051866</v>
      </c>
      <c r="I17" s="204">
        <f t="shared" si="7"/>
        <v>20422184</v>
      </c>
      <c r="J17" s="204">
        <f t="shared" si="8"/>
        <v>18281147</v>
      </c>
      <c r="K17" s="198">
        <f t="shared" si="9"/>
        <v>73.849999999999994</v>
      </c>
      <c r="L17" s="205"/>
      <c r="M17" s="206">
        <v>18299196</v>
      </c>
      <c r="N17" s="207">
        <f t="shared" si="10"/>
        <v>3.7199999999999997E-2</v>
      </c>
      <c r="O17" s="204">
        <f t="shared" si="11"/>
        <v>18979926</v>
      </c>
      <c r="P17" s="208">
        <f t="shared" si="12"/>
        <v>76.673675167318692</v>
      </c>
      <c r="Q17" s="208">
        <f t="shared" si="13"/>
        <v>0</v>
      </c>
      <c r="R17" s="209">
        <f t="shared" si="14"/>
        <v>0</v>
      </c>
      <c r="S17" s="204">
        <f t="shared" si="15"/>
        <v>0</v>
      </c>
      <c r="T17" s="210">
        <f t="shared" si="16"/>
        <v>698779</v>
      </c>
      <c r="U17" s="210">
        <f t="shared" si="2"/>
        <v>593962.15</v>
      </c>
      <c r="V17" s="203">
        <f>MIN(H17*parameters!C$22,ROUND(O17+S17-U17,0))</f>
        <v>18385964</v>
      </c>
      <c r="W17" s="211">
        <f t="shared" si="17"/>
        <v>74.27423222693362</v>
      </c>
      <c r="X17" s="208"/>
      <c r="Y17" s="212">
        <f t="shared" si="18"/>
        <v>0</v>
      </c>
      <c r="Z17" s="212">
        <f t="shared" si="3"/>
        <v>0</v>
      </c>
      <c r="AA17" s="212">
        <f t="shared" si="19"/>
        <v>104817</v>
      </c>
      <c r="AB17" s="68">
        <f t="shared" si="20"/>
        <v>0.42423222693362561</v>
      </c>
      <c r="AD17" s="207">
        <f t="shared" si="4"/>
        <v>3.8224023908346672E-2</v>
      </c>
      <c r="AE17" s="213">
        <f t="shared" si="21"/>
        <v>2.8236751673186973</v>
      </c>
      <c r="AF17" s="10">
        <f t="shared" si="5"/>
        <v>0</v>
      </c>
      <c r="AG17" s="214"/>
      <c r="AH17" s="214">
        <v>3.7199999999999997E-2</v>
      </c>
      <c r="AI17" s="181"/>
      <c r="AJ17" s="214"/>
      <c r="AK17" s="214"/>
      <c r="AL17" s="214"/>
      <c r="AM17" s="10"/>
      <c r="AN17" s="10"/>
    </row>
    <row r="18" spans="1:40" ht="12.75" customHeight="1">
      <c r="A18" s="201">
        <v>9</v>
      </c>
      <c r="B18" s="201" t="s">
        <v>1275</v>
      </c>
      <c r="C18" s="202">
        <v>7972993500</v>
      </c>
      <c r="D18" s="202">
        <f t="shared" si="0"/>
        <v>28300855.478198495</v>
      </c>
      <c r="E18" s="202">
        <v>2678633000</v>
      </c>
      <c r="F18" s="202">
        <f t="shared" si="22"/>
        <v>38164902.288903773</v>
      </c>
      <c r="G18" s="202">
        <f t="shared" si="1"/>
        <v>66465758</v>
      </c>
      <c r="H18" s="203">
        <f t="shared" si="6"/>
        <v>59794051.07323695</v>
      </c>
      <c r="I18" s="204">
        <f t="shared" si="7"/>
        <v>49330092</v>
      </c>
      <c r="J18" s="204">
        <f t="shared" si="8"/>
        <v>49330092</v>
      </c>
      <c r="K18" s="198">
        <f t="shared" si="9"/>
        <v>82.5</v>
      </c>
      <c r="L18" s="205"/>
      <c r="M18" s="206">
        <v>49156992</v>
      </c>
      <c r="N18" s="207">
        <f t="shared" si="10"/>
        <v>4.3999999999999997E-2</v>
      </c>
      <c r="O18" s="204">
        <f t="shared" si="11"/>
        <v>51319900</v>
      </c>
      <c r="P18" s="208">
        <f t="shared" si="12"/>
        <v>85.827768948356351</v>
      </c>
      <c r="Q18" s="208">
        <f t="shared" si="13"/>
        <v>0</v>
      </c>
      <c r="R18" s="209">
        <f t="shared" si="14"/>
        <v>0</v>
      </c>
      <c r="S18" s="204">
        <f t="shared" si="15"/>
        <v>0</v>
      </c>
      <c r="T18" s="210">
        <f t="shared" si="16"/>
        <v>1989808</v>
      </c>
      <c r="U18" s="210">
        <f t="shared" si="2"/>
        <v>1691336.8</v>
      </c>
      <c r="V18" s="203">
        <f>MIN(H18*parameters!C$22,ROUND(O18+S18-U18,0))</f>
        <v>49628563</v>
      </c>
      <c r="W18" s="211">
        <f t="shared" si="17"/>
        <v>82.999164815265559</v>
      </c>
      <c r="X18" s="208"/>
      <c r="Y18" s="212">
        <f t="shared" si="18"/>
        <v>0</v>
      </c>
      <c r="Z18" s="212">
        <f t="shared" si="3"/>
        <v>0</v>
      </c>
      <c r="AA18" s="212">
        <f t="shared" si="19"/>
        <v>298471</v>
      </c>
      <c r="AB18" s="68">
        <f t="shared" si="20"/>
        <v>0.49916481526555856</v>
      </c>
      <c r="AD18" s="207">
        <f t="shared" si="4"/>
        <v>4.0336596169332099E-2</v>
      </c>
      <c r="AE18" s="213">
        <f t="shared" si="21"/>
        <v>3.3277689483563506</v>
      </c>
      <c r="AF18" s="10">
        <f t="shared" si="5"/>
        <v>0</v>
      </c>
      <c r="AG18" s="214"/>
      <c r="AH18" s="214">
        <v>4.3999999999999997E-2</v>
      </c>
      <c r="AI18" s="181"/>
      <c r="AJ18" s="214"/>
      <c r="AK18" s="214"/>
      <c r="AL18" s="214"/>
      <c r="AM18" s="10"/>
      <c r="AN18" s="10"/>
    </row>
    <row r="19" spans="1:40" ht="12.75" customHeight="1">
      <c r="A19" s="201">
        <v>10</v>
      </c>
      <c r="B19" s="201" t="s">
        <v>1276</v>
      </c>
      <c r="C19" s="202">
        <v>9073201400</v>
      </c>
      <c r="D19" s="202">
        <f t="shared" si="0"/>
        <v>32206142.09029372</v>
      </c>
      <c r="E19" s="202">
        <v>2428958000</v>
      </c>
      <c r="F19" s="202">
        <f t="shared" si="22"/>
        <v>34607557.188256517</v>
      </c>
      <c r="G19" s="202">
        <f t="shared" si="1"/>
        <v>66813699</v>
      </c>
      <c r="H19" s="203">
        <f t="shared" si="6"/>
        <v>56722274.066381812</v>
      </c>
      <c r="I19" s="204">
        <f t="shared" si="7"/>
        <v>46795876</v>
      </c>
      <c r="J19" s="204">
        <f t="shared" si="8"/>
        <v>46795876</v>
      </c>
      <c r="K19" s="198">
        <f t="shared" si="9"/>
        <v>82.5</v>
      </c>
      <c r="L19" s="205"/>
      <c r="M19" s="206">
        <v>43472922</v>
      </c>
      <c r="N19" s="207">
        <f t="shared" si="10"/>
        <v>3.8699999999999998E-2</v>
      </c>
      <c r="O19" s="204">
        <f t="shared" si="11"/>
        <v>45155324</v>
      </c>
      <c r="P19" s="208">
        <f t="shared" si="12"/>
        <v>79.607746239431336</v>
      </c>
      <c r="Q19" s="208">
        <f t="shared" si="13"/>
        <v>2.8922537605686642</v>
      </c>
      <c r="R19" s="209">
        <f t="shared" si="14"/>
        <v>0.01</v>
      </c>
      <c r="S19" s="204">
        <f t="shared" si="15"/>
        <v>434729</v>
      </c>
      <c r="T19" s="210">
        <f t="shared" si="16"/>
        <v>0</v>
      </c>
      <c r="U19" s="210">
        <f t="shared" si="2"/>
        <v>0</v>
      </c>
      <c r="V19" s="203">
        <f>MIN(H19*parameters!C$22,ROUND(O19+S19-U19,0))</f>
        <v>45590053</v>
      </c>
      <c r="W19" s="211">
        <f t="shared" si="17"/>
        <v>80.374162972814119</v>
      </c>
      <c r="X19" s="208"/>
      <c r="Y19" s="212">
        <f t="shared" si="18"/>
        <v>-1640552</v>
      </c>
      <c r="Z19" s="212">
        <f t="shared" si="3"/>
        <v>1205823</v>
      </c>
      <c r="AA19" s="212">
        <f t="shared" si="19"/>
        <v>0</v>
      </c>
      <c r="AB19" s="68">
        <f t="shared" si="20"/>
        <v>-2.1258370271858809</v>
      </c>
      <c r="AD19" s="207">
        <f t="shared" si="4"/>
        <v>-3.5057619179946542E-2</v>
      </c>
      <c r="AE19" s="213">
        <f t="shared" si="21"/>
        <v>-2.8922537605686642</v>
      </c>
      <c r="AF19" s="10">
        <f t="shared" si="5"/>
        <v>0</v>
      </c>
      <c r="AG19" s="214"/>
      <c r="AH19" s="214">
        <v>3.8699999999999998E-2</v>
      </c>
      <c r="AI19" s="181"/>
      <c r="AJ19" s="214"/>
      <c r="AK19" s="214"/>
      <c r="AL19" s="214"/>
      <c r="AM19" s="10"/>
      <c r="AN19" s="10"/>
    </row>
    <row r="20" spans="1:40" ht="12.75" customHeight="1">
      <c r="A20" s="201">
        <v>11</v>
      </c>
      <c r="B20" s="201" t="s">
        <v>1277</v>
      </c>
      <c r="C20" s="202">
        <v>600324900</v>
      </c>
      <c r="D20" s="202">
        <f t="shared" si="0"/>
        <v>2130907.0720882895</v>
      </c>
      <c r="E20" s="202">
        <v>198573000</v>
      </c>
      <c r="F20" s="202">
        <f t="shared" si="22"/>
        <v>2829248.77809483</v>
      </c>
      <c r="G20" s="202">
        <f t="shared" si="1"/>
        <v>4960156</v>
      </c>
      <c r="H20" s="203">
        <f t="shared" si="6"/>
        <v>11176958.675521726</v>
      </c>
      <c r="I20" s="204">
        <f t="shared" si="7"/>
        <v>9220991</v>
      </c>
      <c r="J20" s="204">
        <f t="shared" si="8"/>
        <v>4960156</v>
      </c>
      <c r="K20" s="198">
        <f t="shared" si="9"/>
        <v>44.38</v>
      </c>
      <c r="L20" s="205"/>
      <c r="M20" s="206">
        <v>5021818</v>
      </c>
      <c r="N20" s="207">
        <f t="shared" si="10"/>
        <v>3.9699999999999999E-2</v>
      </c>
      <c r="O20" s="204">
        <f t="shared" si="11"/>
        <v>5221184</v>
      </c>
      <c r="P20" s="208">
        <f t="shared" si="12"/>
        <v>46.713816804518892</v>
      </c>
      <c r="Q20" s="208">
        <f t="shared" si="13"/>
        <v>0</v>
      </c>
      <c r="R20" s="209">
        <f t="shared" si="14"/>
        <v>0</v>
      </c>
      <c r="S20" s="204">
        <f t="shared" si="15"/>
        <v>0</v>
      </c>
      <c r="T20" s="210">
        <f t="shared" si="16"/>
        <v>261028</v>
      </c>
      <c r="U20" s="210">
        <f t="shared" si="2"/>
        <v>221873.8</v>
      </c>
      <c r="V20" s="203">
        <f>MIN(H20*parameters!C$22,ROUND(O20+S20-U20,0))</f>
        <v>4999310</v>
      </c>
      <c r="W20" s="211">
        <f t="shared" si="17"/>
        <v>44.728715074779849</v>
      </c>
      <c r="X20" s="208"/>
      <c r="Y20" s="212">
        <f t="shared" si="18"/>
        <v>0</v>
      </c>
      <c r="Z20" s="212">
        <f t="shared" si="3"/>
        <v>0</v>
      </c>
      <c r="AA20" s="212">
        <f t="shared" si="19"/>
        <v>39154</v>
      </c>
      <c r="AB20" s="68">
        <f t="shared" si="20"/>
        <v>0.34871507477984665</v>
      </c>
      <c r="AD20" s="207">
        <f t="shared" si="4"/>
        <v>5.2624957763425184E-2</v>
      </c>
      <c r="AE20" s="213">
        <f t="shared" si="21"/>
        <v>2.3338168045188894</v>
      </c>
      <c r="AF20" s="10">
        <f t="shared" si="5"/>
        <v>0</v>
      </c>
      <c r="AG20" s="214"/>
      <c r="AH20" s="214">
        <v>3.9699999999999999E-2</v>
      </c>
      <c r="AI20" s="181"/>
      <c r="AJ20" s="214"/>
      <c r="AK20" s="214"/>
      <c r="AL20" s="214"/>
      <c r="AM20" s="10"/>
      <c r="AN20" s="10"/>
    </row>
    <row r="21" spans="1:40" ht="12.75" customHeight="1">
      <c r="A21" s="201">
        <v>12</v>
      </c>
      <c r="B21" s="201" t="s">
        <v>1278</v>
      </c>
      <c r="C21" s="202">
        <v>288229500</v>
      </c>
      <c r="D21" s="202">
        <f t="shared" si="0"/>
        <v>1023096.4598244578</v>
      </c>
      <c r="E21" s="202">
        <v>92062000</v>
      </c>
      <c r="F21" s="202">
        <f t="shared" si="22"/>
        <v>1311690.4161641626</v>
      </c>
      <c r="G21" s="202">
        <f t="shared" si="1"/>
        <v>2334787</v>
      </c>
      <c r="H21" s="203">
        <f t="shared" si="6"/>
        <v>4413058.36767508</v>
      </c>
      <c r="I21" s="204">
        <f t="shared" si="7"/>
        <v>3640773</v>
      </c>
      <c r="J21" s="204">
        <f t="shared" si="8"/>
        <v>2334787</v>
      </c>
      <c r="K21" s="198">
        <f t="shared" si="9"/>
        <v>52.91</v>
      </c>
      <c r="L21" s="205"/>
      <c r="M21" s="206">
        <v>2424738</v>
      </c>
      <c r="N21" s="207">
        <f t="shared" si="10"/>
        <v>3.6400000000000002E-2</v>
      </c>
      <c r="O21" s="204">
        <f t="shared" si="11"/>
        <v>2512998</v>
      </c>
      <c r="P21" s="208">
        <f t="shared" si="12"/>
        <v>56.944590137472311</v>
      </c>
      <c r="Q21" s="208">
        <f t="shared" si="13"/>
        <v>0</v>
      </c>
      <c r="R21" s="209">
        <f t="shared" si="14"/>
        <v>0</v>
      </c>
      <c r="S21" s="204">
        <f t="shared" si="15"/>
        <v>0</v>
      </c>
      <c r="T21" s="210">
        <f t="shared" si="16"/>
        <v>178211</v>
      </c>
      <c r="U21" s="210">
        <f t="shared" si="2"/>
        <v>151479.35</v>
      </c>
      <c r="V21" s="203">
        <f>MIN(H21*parameters!C$22,ROUND(O21+S21-U21,0))</f>
        <v>2361519</v>
      </c>
      <c r="W21" s="211">
        <f t="shared" si="17"/>
        <v>53.512072654595613</v>
      </c>
      <c r="X21" s="208"/>
      <c r="Y21" s="212">
        <f t="shared" si="18"/>
        <v>0</v>
      </c>
      <c r="Z21" s="212">
        <f t="shared" si="3"/>
        <v>0</v>
      </c>
      <c r="AA21" s="212">
        <f t="shared" si="19"/>
        <v>26732</v>
      </c>
      <c r="AB21" s="68">
        <f t="shared" si="20"/>
        <v>0.60207265459561654</v>
      </c>
      <c r="AD21" s="207">
        <f t="shared" si="4"/>
        <v>7.6328590145482225E-2</v>
      </c>
      <c r="AE21" s="213">
        <f t="shared" si="21"/>
        <v>4.0345901374723141</v>
      </c>
      <c r="AF21" s="10">
        <f t="shared" si="5"/>
        <v>0</v>
      </c>
      <c r="AG21" s="214"/>
      <c r="AH21" s="214">
        <v>3.6400000000000002E-2</v>
      </c>
      <c r="AI21" s="181"/>
      <c r="AJ21" s="214"/>
      <c r="AK21" s="214"/>
      <c r="AL21" s="214"/>
      <c r="AM21" s="10"/>
      <c r="AN21" s="10"/>
    </row>
    <row r="22" spans="1:40" ht="12.75" customHeight="1">
      <c r="A22" s="201">
        <v>13</v>
      </c>
      <c r="B22" s="201" t="s">
        <v>1279</v>
      </c>
      <c r="C22" s="202">
        <v>241758400</v>
      </c>
      <c r="D22" s="202">
        <f t="shared" si="0"/>
        <v>858143.12266032863</v>
      </c>
      <c r="E22" s="202">
        <v>47093000</v>
      </c>
      <c r="F22" s="202">
        <f t="shared" si="22"/>
        <v>670976.48072406533</v>
      </c>
      <c r="G22" s="202">
        <f t="shared" si="1"/>
        <v>1529120</v>
      </c>
      <c r="H22" s="203">
        <f t="shared" si="6"/>
        <v>1981114.4026843754</v>
      </c>
      <c r="I22" s="204">
        <f t="shared" si="7"/>
        <v>1634419</v>
      </c>
      <c r="J22" s="204">
        <f t="shared" si="8"/>
        <v>1529120</v>
      </c>
      <c r="K22" s="198">
        <f t="shared" si="9"/>
        <v>77.180000000000007</v>
      </c>
      <c r="L22" s="205"/>
      <c r="M22" s="206">
        <v>1557894</v>
      </c>
      <c r="N22" s="207">
        <f t="shared" si="10"/>
        <v>4.9200000000000001E-2</v>
      </c>
      <c r="O22" s="204">
        <f t="shared" si="11"/>
        <v>1634542</v>
      </c>
      <c r="P22" s="208">
        <f t="shared" si="12"/>
        <v>82.506189333903393</v>
      </c>
      <c r="Q22" s="208">
        <f t="shared" si="13"/>
        <v>0</v>
      </c>
      <c r="R22" s="209">
        <f t="shared" si="14"/>
        <v>0</v>
      </c>
      <c r="S22" s="204">
        <f t="shared" si="15"/>
        <v>0</v>
      </c>
      <c r="T22" s="210">
        <f t="shared" si="16"/>
        <v>105422</v>
      </c>
      <c r="U22" s="210">
        <f t="shared" si="2"/>
        <v>89608.7</v>
      </c>
      <c r="V22" s="203">
        <f>MIN(H22*parameters!C$22,ROUND(O22+S22-U22,0))</f>
        <v>1544933</v>
      </c>
      <c r="W22" s="211">
        <f t="shared" si="17"/>
        <v>77.983028032436835</v>
      </c>
      <c r="X22" s="208"/>
      <c r="Y22" s="212">
        <f t="shared" si="18"/>
        <v>0</v>
      </c>
      <c r="Z22" s="212">
        <f t="shared" si="3"/>
        <v>0</v>
      </c>
      <c r="AA22" s="212">
        <f t="shared" si="19"/>
        <v>15813</v>
      </c>
      <c r="AB22" s="68">
        <f t="shared" si="20"/>
        <v>0.80302803243682774</v>
      </c>
      <c r="AD22" s="207">
        <f t="shared" si="4"/>
        <v>6.8942921418855288E-2</v>
      </c>
      <c r="AE22" s="213">
        <f t="shared" si="21"/>
        <v>5.3261893339033861</v>
      </c>
      <c r="AF22" s="10">
        <f t="shared" si="5"/>
        <v>0</v>
      </c>
      <c r="AG22" s="214"/>
      <c r="AH22" s="214">
        <v>4.9200000000000001E-2</v>
      </c>
      <c r="AI22" s="181"/>
      <c r="AJ22" s="214"/>
      <c r="AK22" s="214"/>
      <c r="AL22" s="214"/>
      <c r="AM22" s="10"/>
      <c r="AN22" s="10"/>
    </row>
    <row r="23" spans="1:40" ht="12.75" customHeight="1">
      <c r="A23" s="201">
        <v>14</v>
      </c>
      <c r="B23" s="201" t="s">
        <v>1280</v>
      </c>
      <c r="C23" s="202">
        <v>2509720800</v>
      </c>
      <c r="D23" s="202">
        <f t="shared" si="0"/>
        <v>8908479.0614000503</v>
      </c>
      <c r="E23" s="202">
        <v>793877000</v>
      </c>
      <c r="F23" s="202">
        <f t="shared" si="22"/>
        <v>11311082.232768752</v>
      </c>
      <c r="G23" s="202">
        <f t="shared" si="1"/>
        <v>20219561</v>
      </c>
      <c r="H23" s="203">
        <f t="shared" si="6"/>
        <v>26019217.722615264</v>
      </c>
      <c r="I23" s="204">
        <f t="shared" si="7"/>
        <v>21465855</v>
      </c>
      <c r="J23" s="204">
        <f t="shared" si="8"/>
        <v>20219561</v>
      </c>
      <c r="K23" s="198">
        <f t="shared" si="9"/>
        <v>77.709999999999994</v>
      </c>
      <c r="L23" s="205"/>
      <c r="M23" s="206">
        <v>19898249</v>
      </c>
      <c r="N23" s="207">
        <f t="shared" si="10"/>
        <v>4.3499999999999997E-2</v>
      </c>
      <c r="O23" s="204">
        <f t="shared" si="11"/>
        <v>20763823</v>
      </c>
      <c r="P23" s="208">
        <f t="shared" si="12"/>
        <v>79.801872682561836</v>
      </c>
      <c r="Q23" s="208">
        <f t="shared" si="13"/>
        <v>0</v>
      </c>
      <c r="R23" s="209">
        <f t="shared" si="14"/>
        <v>0</v>
      </c>
      <c r="S23" s="204">
        <f t="shared" si="15"/>
        <v>0</v>
      </c>
      <c r="T23" s="210">
        <f t="shared" si="16"/>
        <v>544262</v>
      </c>
      <c r="U23" s="210">
        <f t="shared" si="2"/>
        <v>462622.7</v>
      </c>
      <c r="V23" s="203">
        <f>MIN(H23*parameters!C$22,ROUND(O23+S23-U23,0))</f>
        <v>20301200</v>
      </c>
      <c r="W23" s="211">
        <f t="shared" si="17"/>
        <v>78.023867652080469</v>
      </c>
      <c r="X23" s="208"/>
      <c r="Y23" s="212">
        <f t="shared" si="18"/>
        <v>0</v>
      </c>
      <c r="Z23" s="212">
        <f t="shared" si="3"/>
        <v>0</v>
      </c>
      <c r="AA23" s="212">
        <f t="shared" si="19"/>
        <v>81639</v>
      </c>
      <c r="AB23" s="68">
        <f t="shared" si="20"/>
        <v>0.31386765208047507</v>
      </c>
      <c r="AD23" s="207">
        <f t="shared" si="4"/>
        <v>2.6917597271276069E-2</v>
      </c>
      <c r="AE23" s="213">
        <f t="shared" si="21"/>
        <v>2.0918726825618421</v>
      </c>
      <c r="AF23" s="10">
        <f t="shared" si="5"/>
        <v>0</v>
      </c>
      <c r="AG23" s="214"/>
      <c r="AH23" s="214">
        <v>4.3499999999999997E-2</v>
      </c>
      <c r="AI23" s="181"/>
      <c r="AJ23" s="214"/>
      <c r="AK23" s="214"/>
      <c r="AL23" s="214"/>
      <c r="AM23" s="10"/>
      <c r="AN23" s="10"/>
    </row>
    <row r="24" spans="1:40" ht="12.75" customHeight="1">
      <c r="A24" s="201">
        <v>15</v>
      </c>
      <c r="B24" s="201" t="s">
        <v>1281</v>
      </c>
      <c r="C24" s="202">
        <v>673223300</v>
      </c>
      <c r="D24" s="202">
        <f t="shared" si="0"/>
        <v>2389666.48070839</v>
      </c>
      <c r="E24" s="202">
        <v>220269000</v>
      </c>
      <c r="F24" s="202">
        <f t="shared" si="22"/>
        <v>3138371.2745547988</v>
      </c>
      <c r="G24" s="202">
        <f t="shared" si="1"/>
        <v>5528038</v>
      </c>
      <c r="H24" s="203">
        <f t="shared" si="6"/>
        <v>18597124.034803275</v>
      </c>
      <c r="I24" s="204">
        <f t="shared" si="7"/>
        <v>15342627</v>
      </c>
      <c r="J24" s="204">
        <f t="shared" si="8"/>
        <v>5528038</v>
      </c>
      <c r="K24" s="198">
        <f t="shared" si="9"/>
        <v>29.73</v>
      </c>
      <c r="L24" s="205"/>
      <c r="M24" s="206">
        <v>2673730</v>
      </c>
      <c r="N24" s="207">
        <f t="shared" si="10"/>
        <v>4.4199999999999996E-2</v>
      </c>
      <c r="O24" s="204">
        <f t="shared" si="11"/>
        <v>2791909</v>
      </c>
      <c r="P24" s="208">
        <f t="shared" si="12"/>
        <v>15.01258471350263</v>
      </c>
      <c r="Q24" s="208">
        <f t="shared" si="13"/>
        <v>14.717415286497371</v>
      </c>
      <c r="R24" s="209">
        <f t="shared" si="14"/>
        <v>0.02</v>
      </c>
      <c r="S24" s="204">
        <f t="shared" si="15"/>
        <v>53475</v>
      </c>
      <c r="T24" s="210">
        <f t="shared" si="16"/>
        <v>0</v>
      </c>
      <c r="U24" s="210">
        <f t="shared" si="2"/>
        <v>0</v>
      </c>
      <c r="V24" s="203">
        <f>MIN(H24*parameters!C$22,ROUND(O24+S24-U24,0))</f>
        <v>2845384</v>
      </c>
      <c r="W24" s="211">
        <f t="shared" si="17"/>
        <v>15.300129174140334</v>
      </c>
      <c r="X24" s="208"/>
      <c r="Y24" s="212">
        <f t="shared" si="18"/>
        <v>-2736129</v>
      </c>
      <c r="Z24" s="212">
        <f t="shared" si="3"/>
        <v>2682654</v>
      </c>
      <c r="AA24" s="212">
        <f t="shared" si="19"/>
        <v>0</v>
      </c>
      <c r="AB24" s="68">
        <f t="shared" si="20"/>
        <v>-14.429870825859666</v>
      </c>
      <c r="AD24" s="207">
        <f t="shared" si="4"/>
        <v>-0.49495481036852496</v>
      </c>
      <c r="AE24" s="213">
        <f t="shared" si="21"/>
        <v>-14.717415286497371</v>
      </c>
      <c r="AF24" s="10">
        <f t="shared" si="5"/>
        <v>53474.6</v>
      </c>
      <c r="AG24" s="214"/>
      <c r="AH24" s="214">
        <v>4.4199999999999996E-2</v>
      </c>
      <c r="AI24" s="181"/>
      <c r="AJ24" s="214"/>
      <c r="AK24" s="214"/>
      <c r="AL24" s="214"/>
      <c r="AM24" s="10"/>
      <c r="AN24" s="10"/>
    </row>
    <row r="25" spans="1:40" ht="12.75" customHeight="1">
      <c r="A25" s="201">
        <v>16</v>
      </c>
      <c r="B25" s="201" t="s">
        <v>1282</v>
      </c>
      <c r="C25" s="202">
        <v>4266596600</v>
      </c>
      <c r="D25" s="202">
        <f t="shared" si="0"/>
        <v>15144667.277149174</v>
      </c>
      <c r="E25" s="202">
        <v>1338612000</v>
      </c>
      <c r="F25" s="202">
        <f t="shared" si="22"/>
        <v>19072413.497016598</v>
      </c>
      <c r="G25" s="202">
        <f t="shared" si="1"/>
        <v>34217081</v>
      </c>
      <c r="H25" s="203">
        <f t="shared" si="6"/>
        <v>70042454.348142847</v>
      </c>
      <c r="I25" s="204">
        <f t="shared" si="7"/>
        <v>57785025</v>
      </c>
      <c r="J25" s="204">
        <f t="shared" si="8"/>
        <v>34217081</v>
      </c>
      <c r="K25" s="198">
        <f t="shared" si="9"/>
        <v>48.85</v>
      </c>
      <c r="L25" s="205"/>
      <c r="M25" s="206">
        <v>33188597</v>
      </c>
      <c r="N25" s="207">
        <f t="shared" si="10"/>
        <v>3.5700000000000003E-2</v>
      </c>
      <c r="O25" s="204">
        <f t="shared" si="11"/>
        <v>34373430</v>
      </c>
      <c r="P25" s="208">
        <f t="shared" si="12"/>
        <v>49.075136386781111</v>
      </c>
      <c r="Q25" s="208">
        <f t="shared" si="13"/>
        <v>0</v>
      </c>
      <c r="R25" s="209">
        <f t="shared" si="14"/>
        <v>0</v>
      </c>
      <c r="S25" s="204">
        <f t="shared" si="15"/>
        <v>0</v>
      </c>
      <c r="T25" s="210">
        <f t="shared" si="16"/>
        <v>156349</v>
      </c>
      <c r="U25" s="210">
        <f t="shared" si="2"/>
        <v>132896.65</v>
      </c>
      <c r="V25" s="203">
        <f>MIN(H25*parameters!C$22,ROUND(O25+S25-U25,0))</f>
        <v>34240533</v>
      </c>
      <c r="W25" s="211">
        <f t="shared" si="17"/>
        <v>48.885398603836727</v>
      </c>
      <c r="X25" s="208"/>
      <c r="Y25" s="212">
        <f t="shared" si="18"/>
        <v>0</v>
      </c>
      <c r="Z25" s="212">
        <f t="shared" si="3"/>
        <v>0</v>
      </c>
      <c r="AA25" s="212">
        <f t="shared" si="19"/>
        <v>23452</v>
      </c>
      <c r="AB25" s="68">
        <f t="shared" si="20"/>
        <v>3.5398603836725329E-2</v>
      </c>
      <c r="AD25" s="207">
        <f t="shared" si="4"/>
        <v>4.5693260626176735E-3</v>
      </c>
      <c r="AE25" s="213">
        <f t="shared" si="21"/>
        <v>0.22513638678110937</v>
      </c>
      <c r="AF25" s="10">
        <f t="shared" si="5"/>
        <v>0</v>
      </c>
      <c r="AG25" s="214"/>
      <c r="AH25" s="214">
        <v>3.5700000000000003E-2</v>
      </c>
      <c r="AI25" s="181"/>
      <c r="AJ25" s="214"/>
      <c r="AK25" s="214"/>
      <c r="AL25" s="214"/>
      <c r="AM25" s="10"/>
      <c r="AN25" s="10"/>
    </row>
    <row r="26" spans="1:40" ht="12.75" customHeight="1">
      <c r="A26" s="201">
        <v>17</v>
      </c>
      <c r="B26" s="201" t="s">
        <v>1283</v>
      </c>
      <c r="C26" s="202">
        <v>2042948200</v>
      </c>
      <c r="D26" s="202">
        <f t="shared" si="0"/>
        <v>7251627.8556662248</v>
      </c>
      <c r="E26" s="202">
        <v>522728000</v>
      </c>
      <c r="F26" s="202">
        <f t="shared" si="22"/>
        <v>7447777.6700556185</v>
      </c>
      <c r="G26" s="202">
        <f t="shared" si="1"/>
        <v>14699406</v>
      </c>
      <c r="H26" s="203">
        <f t="shared" si="6"/>
        <v>25521664.043309964</v>
      </c>
      <c r="I26" s="204">
        <f t="shared" si="7"/>
        <v>21055373</v>
      </c>
      <c r="J26" s="204">
        <f t="shared" si="8"/>
        <v>14699406</v>
      </c>
      <c r="K26" s="198">
        <f t="shared" si="9"/>
        <v>57.6</v>
      </c>
      <c r="L26" s="205"/>
      <c r="M26" s="206">
        <v>14980947</v>
      </c>
      <c r="N26" s="207">
        <f t="shared" si="10"/>
        <v>4.0599999999999997E-2</v>
      </c>
      <c r="O26" s="204">
        <f t="shared" si="11"/>
        <v>15589173</v>
      </c>
      <c r="P26" s="208">
        <f t="shared" si="12"/>
        <v>61.082118209633023</v>
      </c>
      <c r="Q26" s="208">
        <f t="shared" si="13"/>
        <v>0</v>
      </c>
      <c r="R26" s="209">
        <f t="shared" si="14"/>
        <v>0</v>
      </c>
      <c r="S26" s="204">
        <f t="shared" si="15"/>
        <v>0</v>
      </c>
      <c r="T26" s="210">
        <f t="shared" si="16"/>
        <v>889767</v>
      </c>
      <c r="U26" s="210">
        <f t="shared" si="2"/>
        <v>756301.95</v>
      </c>
      <c r="V26" s="203">
        <f>MIN(H26*parameters!C$22,ROUND(O26+S26-U26,0))</f>
        <v>14832871</v>
      </c>
      <c r="W26" s="211">
        <f t="shared" si="17"/>
        <v>58.118745606982337</v>
      </c>
      <c r="X26" s="208"/>
      <c r="Y26" s="212">
        <f t="shared" si="18"/>
        <v>0</v>
      </c>
      <c r="Z26" s="212">
        <f t="shared" si="3"/>
        <v>0</v>
      </c>
      <c r="AA26" s="212">
        <f t="shared" si="19"/>
        <v>133465</v>
      </c>
      <c r="AB26" s="68">
        <f t="shared" si="20"/>
        <v>0.51874560698233552</v>
      </c>
      <c r="AD26" s="207">
        <f t="shared" si="4"/>
        <v>6.0530813285924613E-2</v>
      </c>
      <c r="AE26" s="213">
        <f t="shared" si="21"/>
        <v>3.4821182096330219</v>
      </c>
      <c r="AF26" s="10">
        <f t="shared" si="5"/>
        <v>0</v>
      </c>
      <c r="AG26" s="214"/>
      <c r="AH26" s="214">
        <v>4.0599999999999997E-2</v>
      </c>
      <c r="AI26" s="181"/>
      <c r="AJ26" s="214"/>
      <c r="AK26" s="214"/>
      <c r="AL26" s="214"/>
      <c r="AM26" s="10"/>
      <c r="AN26" s="10"/>
    </row>
    <row r="27" spans="1:40" ht="12.75" customHeight="1">
      <c r="A27" s="201">
        <v>18</v>
      </c>
      <c r="B27" s="201" t="s">
        <v>1284</v>
      </c>
      <c r="C27" s="202">
        <v>823961800</v>
      </c>
      <c r="D27" s="202">
        <f t="shared" si="0"/>
        <v>2924726.3052900131</v>
      </c>
      <c r="E27" s="202">
        <v>137002000</v>
      </c>
      <c r="F27" s="202">
        <f t="shared" si="22"/>
        <v>1951991.1624266536</v>
      </c>
      <c r="G27" s="202">
        <f t="shared" si="1"/>
        <v>4876717</v>
      </c>
      <c r="H27" s="203">
        <f t="shared" si="6"/>
        <v>6523721.6650433941</v>
      </c>
      <c r="I27" s="204">
        <f t="shared" si="7"/>
        <v>5382070</v>
      </c>
      <c r="J27" s="204">
        <f t="shared" si="8"/>
        <v>4876717</v>
      </c>
      <c r="K27" s="198">
        <f t="shared" si="9"/>
        <v>74.75</v>
      </c>
      <c r="L27" s="205"/>
      <c r="M27" s="206">
        <v>4943663</v>
      </c>
      <c r="N27" s="207">
        <f t="shared" si="10"/>
        <v>5.3800000000000001E-2</v>
      </c>
      <c r="O27" s="204">
        <f t="shared" si="11"/>
        <v>5209632</v>
      </c>
      <c r="P27" s="208">
        <f t="shared" si="12"/>
        <v>79.856748455643171</v>
      </c>
      <c r="Q27" s="208">
        <f t="shared" si="13"/>
        <v>0</v>
      </c>
      <c r="R27" s="209">
        <f t="shared" si="14"/>
        <v>0</v>
      </c>
      <c r="S27" s="204">
        <f t="shared" si="15"/>
        <v>0</v>
      </c>
      <c r="T27" s="210">
        <f t="shared" si="16"/>
        <v>332915</v>
      </c>
      <c r="U27" s="210">
        <f t="shared" si="2"/>
        <v>282977.75</v>
      </c>
      <c r="V27" s="203">
        <f>MIN(H27*parameters!C$22,ROUND(O27+S27-U27,0))</f>
        <v>4926654</v>
      </c>
      <c r="W27" s="211">
        <f t="shared" si="17"/>
        <v>75.519071060295289</v>
      </c>
      <c r="X27" s="208"/>
      <c r="Y27" s="212">
        <f t="shared" si="18"/>
        <v>0</v>
      </c>
      <c r="Z27" s="212">
        <f t="shared" si="3"/>
        <v>0</v>
      </c>
      <c r="AA27" s="212">
        <f t="shared" si="19"/>
        <v>49937</v>
      </c>
      <c r="AB27" s="68">
        <f t="shared" si="20"/>
        <v>0.76907106029528904</v>
      </c>
      <c r="AD27" s="207">
        <f t="shared" si="4"/>
        <v>6.8266212700060308E-2</v>
      </c>
      <c r="AE27" s="213">
        <f t="shared" si="21"/>
        <v>5.1067484556431708</v>
      </c>
      <c r="AF27" s="10">
        <f t="shared" si="5"/>
        <v>0</v>
      </c>
      <c r="AG27" s="214"/>
      <c r="AH27" s="214">
        <v>5.3800000000000001E-2</v>
      </c>
      <c r="AI27" s="181"/>
      <c r="AJ27" s="214"/>
      <c r="AK27" s="214"/>
      <c r="AL27" s="214"/>
      <c r="AM27" s="10"/>
      <c r="AN27" s="10"/>
    </row>
    <row r="28" spans="1:40" ht="12.75" customHeight="1">
      <c r="A28" s="201">
        <v>19</v>
      </c>
      <c r="B28" s="201" t="s">
        <v>1285</v>
      </c>
      <c r="C28" s="202">
        <v>1102998400</v>
      </c>
      <c r="D28" s="202">
        <f t="shared" si="0"/>
        <v>3915191.7421084279</v>
      </c>
      <c r="E28" s="202">
        <v>238283000</v>
      </c>
      <c r="F28" s="202">
        <f t="shared" si="22"/>
        <v>3395032.9933614861</v>
      </c>
      <c r="G28" s="202">
        <f t="shared" si="1"/>
        <v>7310225</v>
      </c>
      <c r="H28" s="203">
        <f t="shared" si="6"/>
        <v>10837201.799717804</v>
      </c>
      <c r="I28" s="204">
        <f t="shared" si="7"/>
        <v>8940691</v>
      </c>
      <c r="J28" s="204">
        <f t="shared" si="8"/>
        <v>7310225</v>
      </c>
      <c r="K28" s="198">
        <f t="shared" si="9"/>
        <v>67.45</v>
      </c>
      <c r="L28" s="205"/>
      <c r="M28" s="206">
        <v>7292477</v>
      </c>
      <c r="N28" s="207">
        <f t="shared" si="10"/>
        <v>5.1499999999999997E-2</v>
      </c>
      <c r="O28" s="204">
        <f t="shared" si="11"/>
        <v>7668040</v>
      </c>
      <c r="P28" s="208">
        <f t="shared" si="12"/>
        <v>70.756641259551628</v>
      </c>
      <c r="Q28" s="208">
        <f t="shared" si="13"/>
        <v>0</v>
      </c>
      <c r="R28" s="209">
        <f t="shared" si="14"/>
        <v>0</v>
      </c>
      <c r="S28" s="204">
        <f t="shared" si="15"/>
        <v>0</v>
      </c>
      <c r="T28" s="210">
        <f t="shared" si="16"/>
        <v>357815</v>
      </c>
      <c r="U28" s="210">
        <f t="shared" si="2"/>
        <v>304142.75</v>
      </c>
      <c r="V28" s="203">
        <f>MIN(H28*parameters!C$22,ROUND(O28+S28-U28,0))</f>
        <v>7363897</v>
      </c>
      <c r="W28" s="211">
        <f t="shared" si="17"/>
        <v>67.950169574140006</v>
      </c>
      <c r="X28" s="208"/>
      <c r="Y28" s="212">
        <f t="shared" si="18"/>
        <v>0</v>
      </c>
      <c r="Z28" s="212">
        <f t="shared" si="3"/>
        <v>0</v>
      </c>
      <c r="AA28" s="212">
        <f t="shared" si="19"/>
        <v>53672</v>
      </c>
      <c r="AB28" s="68">
        <f t="shared" si="20"/>
        <v>0.50016957414000274</v>
      </c>
      <c r="AD28" s="207">
        <f t="shared" si="4"/>
        <v>4.8947193827823358E-2</v>
      </c>
      <c r="AE28" s="213">
        <f t="shared" si="21"/>
        <v>3.3066412595516255</v>
      </c>
      <c r="AF28" s="10">
        <f t="shared" si="5"/>
        <v>0</v>
      </c>
      <c r="AG28" s="214"/>
      <c r="AH28" s="214">
        <v>5.1499999999999997E-2</v>
      </c>
      <c r="AI28" s="181"/>
      <c r="AJ28" s="214"/>
      <c r="AK28" s="214"/>
      <c r="AL28" s="214"/>
      <c r="AM28" s="10"/>
      <c r="AN28" s="10"/>
    </row>
    <row r="29" spans="1:40" ht="12.75" customHeight="1">
      <c r="A29" s="201">
        <v>20</v>
      </c>
      <c r="B29" s="201" t="s">
        <v>1286</v>
      </c>
      <c r="C29" s="202">
        <v>13665091900</v>
      </c>
      <c r="D29" s="202">
        <f t="shared" si="0"/>
        <v>48505469.239151001</v>
      </c>
      <c r="E29" s="202">
        <v>1622772000</v>
      </c>
      <c r="F29" s="202">
        <f t="shared" si="22"/>
        <v>23121097.52144805</v>
      </c>
      <c r="G29" s="202">
        <f t="shared" si="1"/>
        <v>71626567</v>
      </c>
      <c r="H29" s="203">
        <f t="shared" si="6"/>
        <v>61001151.359421708</v>
      </c>
      <c r="I29" s="204">
        <f t="shared" si="7"/>
        <v>50325950</v>
      </c>
      <c r="J29" s="204">
        <f t="shared" si="8"/>
        <v>50325950</v>
      </c>
      <c r="K29" s="198">
        <f t="shared" si="9"/>
        <v>82.5</v>
      </c>
      <c r="L29" s="205"/>
      <c r="M29" s="206">
        <v>49741012</v>
      </c>
      <c r="N29" s="207">
        <f t="shared" si="10"/>
        <v>3.9300000000000002E-2</v>
      </c>
      <c r="O29" s="204">
        <f t="shared" si="11"/>
        <v>51695834</v>
      </c>
      <c r="P29" s="208">
        <f t="shared" si="12"/>
        <v>84.745669299593487</v>
      </c>
      <c r="Q29" s="208">
        <f t="shared" si="13"/>
        <v>0</v>
      </c>
      <c r="R29" s="209">
        <f t="shared" si="14"/>
        <v>0</v>
      </c>
      <c r="S29" s="204">
        <f t="shared" si="15"/>
        <v>0</v>
      </c>
      <c r="T29" s="210">
        <f t="shared" si="16"/>
        <v>1369884</v>
      </c>
      <c r="U29" s="210">
        <f t="shared" si="2"/>
        <v>1164401.3999999999</v>
      </c>
      <c r="V29" s="203">
        <f>MIN(H29*parameters!C$22,ROUND(O29+S29-U29,0))</f>
        <v>50531433</v>
      </c>
      <c r="W29" s="211">
        <f t="shared" si="17"/>
        <v>82.836851229686431</v>
      </c>
      <c r="X29" s="208"/>
      <c r="Y29" s="212">
        <f t="shared" si="18"/>
        <v>0</v>
      </c>
      <c r="Z29" s="212">
        <f t="shared" si="3"/>
        <v>0</v>
      </c>
      <c r="AA29" s="212">
        <f t="shared" si="19"/>
        <v>205483</v>
      </c>
      <c r="AB29" s="68">
        <f t="shared" si="20"/>
        <v>0.336851229686431</v>
      </c>
      <c r="AD29" s="207">
        <f t="shared" si="4"/>
        <v>2.7220231312076574E-2</v>
      </c>
      <c r="AE29" s="213">
        <f t="shared" si="21"/>
        <v>2.2456692995934873</v>
      </c>
      <c r="AF29" s="10">
        <f t="shared" si="5"/>
        <v>0</v>
      </c>
      <c r="AG29" s="214"/>
      <c r="AH29" s="214">
        <v>3.9300000000000002E-2</v>
      </c>
      <c r="AI29" s="181"/>
      <c r="AJ29" s="214"/>
      <c r="AK29" s="214"/>
      <c r="AL29" s="214"/>
      <c r="AM29" s="10"/>
      <c r="AN29" s="10"/>
    </row>
    <row r="30" spans="1:40" ht="12.75" customHeight="1">
      <c r="A30" s="201">
        <v>21</v>
      </c>
      <c r="B30" s="201" t="s">
        <v>1287</v>
      </c>
      <c r="C30" s="202">
        <v>431266200</v>
      </c>
      <c r="D30" s="202">
        <f t="shared" si="0"/>
        <v>1530818.0545778505</v>
      </c>
      <c r="E30" s="202">
        <v>140729000</v>
      </c>
      <c r="F30" s="202">
        <f t="shared" si="22"/>
        <v>2005093.0957003587</v>
      </c>
      <c r="G30" s="202">
        <f t="shared" si="1"/>
        <v>3535911</v>
      </c>
      <c r="H30" s="203">
        <f t="shared" si="6"/>
        <v>8533083.2627172526</v>
      </c>
      <c r="I30" s="204">
        <f t="shared" si="7"/>
        <v>7039794</v>
      </c>
      <c r="J30" s="204">
        <f t="shared" si="8"/>
        <v>3535911</v>
      </c>
      <c r="K30" s="198">
        <f t="shared" si="9"/>
        <v>41.44</v>
      </c>
      <c r="L30" s="205"/>
      <c r="M30" s="206">
        <v>3456810</v>
      </c>
      <c r="N30" s="207">
        <f t="shared" si="10"/>
        <v>4.3400000000000001E-2</v>
      </c>
      <c r="O30" s="204">
        <f t="shared" si="11"/>
        <v>3606836</v>
      </c>
      <c r="P30" s="208">
        <f t="shared" si="12"/>
        <v>42.268848069946628</v>
      </c>
      <c r="Q30" s="208">
        <f t="shared" si="13"/>
        <v>0</v>
      </c>
      <c r="R30" s="209">
        <f t="shared" si="14"/>
        <v>0</v>
      </c>
      <c r="S30" s="204">
        <f t="shared" si="15"/>
        <v>0</v>
      </c>
      <c r="T30" s="210">
        <f t="shared" si="16"/>
        <v>70925</v>
      </c>
      <c r="U30" s="210">
        <f t="shared" si="2"/>
        <v>60286.25</v>
      </c>
      <c r="V30" s="203">
        <f>MIN(H30*parameters!C$22,ROUND(O30+S30-U30,0))</f>
        <v>3546550</v>
      </c>
      <c r="W30" s="211">
        <f t="shared" si="17"/>
        <v>41.562350803438029</v>
      </c>
      <c r="X30" s="208"/>
      <c r="Y30" s="212">
        <f t="shared" si="18"/>
        <v>0</v>
      </c>
      <c r="Z30" s="212">
        <f t="shared" si="3"/>
        <v>0</v>
      </c>
      <c r="AA30" s="212">
        <f t="shared" si="19"/>
        <v>10639</v>
      </c>
      <c r="AB30" s="68">
        <f t="shared" si="20"/>
        <v>0.12235080343803162</v>
      </c>
      <c r="AD30" s="207">
        <f t="shared" si="4"/>
        <v>2.0058479978709871E-2</v>
      </c>
      <c r="AE30" s="213">
        <f t="shared" si="21"/>
        <v>0.82884806994663052</v>
      </c>
      <c r="AF30" s="10">
        <f t="shared" si="5"/>
        <v>0</v>
      </c>
      <c r="AG30" s="214"/>
      <c r="AH30" s="214">
        <v>4.3400000000000001E-2</v>
      </c>
      <c r="AI30" s="181"/>
      <c r="AJ30" s="214"/>
      <c r="AK30" s="214"/>
      <c r="AL30" s="214"/>
      <c r="AM30" s="10"/>
      <c r="AN30" s="10"/>
    </row>
    <row r="31" spans="1:40" ht="12.75" customHeight="1">
      <c r="A31" s="201">
        <v>22</v>
      </c>
      <c r="B31" s="201" t="s">
        <v>1288</v>
      </c>
      <c r="C31" s="202">
        <v>518810500</v>
      </c>
      <c r="D31" s="202">
        <f t="shared" si="0"/>
        <v>1841564.3987508456</v>
      </c>
      <c r="E31" s="202">
        <v>43668000</v>
      </c>
      <c r="F31" s="202">
        <f t="shared" si="22"/>
        <v>622177.4140585328</v>
      </c>
      <c r="G31" s="202">
        <f t="shared" si="1"/>
        <v>2463742</v>
      </c>
      <c r="H31" s="203">
        <f t="shared" si="6"/>
        <v>2330584.2328702449</v>
      </c>
      <c r="I31" s="204">
        <f t="shared" si="7"/>
        <v>1922732</v>
      </c>
      <c r="J31" s="204">
        <f t="shared" si="8"/>
        <v>1922732</v>
      </c>
      <c r="K31" s="198">
        <f t="shared" si="9"/>
        <v>82.5</v>
      </c>
      <c r="L31" s="205"/>
      <c r="M31" s="206">
        <v>1688817</v>
      </c>
      <c r="N31" s="207">
        <f t="shared" si="10"/>
        <v>3.9199999999999999E-2</v>
      </c>
      <c r="O31" s="204">
        <f t="shared" si="11"/>
        <v>1755019</v>
      </c>
      <c r="P31" s="208">
        <f t="shared" si="12"/>
        <v>75.303821902141507</v>
      </c>
      <c r="Q31" s="208">
        <f t="shared" si="13"/>
        <v>7.1961780978584926</v>
      </c>
      <c r="R31" s="209">
        <f t="shared" si="14"/>
        <v>0.01</v>
      </c>
      <c r="S31" s="204">
        <f t="shared" si="15"/>
        <v>16888</v>
      </c>
      <c r="T31" s="210">
        <f t="shared" si="16"/>
        <v>0</v>
      </c>
      <c r="U31" s="210">
        <f t="shared" si="2"/>
        <v>0</v>
      </c>
      <c r="V31" s="203">
        <f>MIN(H31*parameters!C$22,ROUND(O31+S31-U31,0))</f>
        <v>1771907</v>
      </c>
      <c r="W31" s="211">
        <f t="shared" si="17"/>
        <v>76.028447073882305</v>
      </c>
      <c r="X31" s="208"/>
      <c r="Y31" s="212">
        <f t="shared" si="18"/>
        <v>-167713</v>
      </c>
      <c r="Z31" s="212">
        <f t="shared" si="3"/>
        <v>150825</v>
      </c>
      <c r="AA31" s="212">
        <f t="shared" si="19"/>
        <v>0</v>
      </c>
      <c r="AB31" s="68">
        <f t="shared" si="20"/>
        <v>-6.4715529261176954</v>
      </c>
      <c r="AD31" s="207">
        <f t="shared" si="4"/>
        <v>-8.7226404927987888E-2</v>
      </c>
      <c r="AE31" s="213">
        <f t="shared" si="21"/>
        <v>-7.1961780978584926</v>
      </c>
      <c r="AF31" s="10">
        <f t="shared" si="5"/>
        <v>16888.170000000002</v>
      </c>
      <c r="AG31" s="214"/>
      <c r="AH31" s="214">
        <v>3.9199999999999999E-2</v>
      </c>
      <c r="AI31" s="181"/>
      <c r="AJ31" s="214"/>
      <c r="AK31" s="214"/>
      <c r="AL31" s="214"/>
      <c r="AM31" s="10"/>
      <c r="AN31" s="10"/>
    </row>
    <row r="32" spans="1:40" ht="12.75" customHeight="1">
      <c r="A32" s="201">
        <v>23</v>
      </c>
      <c r="B32" s="201" t="s">
        <v>1289</v>
      </c>
      <c r="C32" s="202">
        <v>3503731500</v>
      </c>
      <c r="D32" s="202">
        <f t="shared" si="0"/>
        <v>12436809.1879056</v>
      </c>
      <c r="E32" s="202">
        <v>916585000</v>
      </c>
      <c r="F32" s="202">
        <f t="shared" si="22"/>
        <v>13059413.874343691</v>
      </c>
      <c r="G32" s="202">
        <f t="shared" si="1"/>
        <v>25496223</v>
      </c>
      <c r="H32" s="203">
        <f t="shared" si="6"/>
        <v>27238290.865626372</v>
      </c>
      <c r="I32" s="204">
        <f t="shared" si="7"/>
        <v>22471590</v>
      </c>
      <c r="J32" s="204">
        <f t="shared" si="8"/>
        <v>22471590</v>
      </c>
      <c r="K32" s="198">
        <f t="shared" si="9"/>
        <v>82.5</v>
      </c>
      <c r="L32" s="205"/>
      <c r="M32" s="206">
        <v>21909474</v>
      </c>
      <c r="N32" s="207">
        <f t="shared" si="10"/>
        <v>5.21E-2</v>
      </c>
      <c r="O32" s="204">
        <f t="shared" si="11"/>
        <v>23050958</v>
      </c>
      <c r="P32" s="208">
        <f t="shared" si="12"/>
        <v>84.627035204655158</v>
      </c>
      <c r="Q32" s="208">
        <f t="shared" si="13"/>
        <v>0</v>
      </c>
      <c r="R32" s="209">
        <f t="shared" si="14"/>
        <v>0</v>
      </c>
      <c r="S32" s="204">
        <f t="shared" si="15"/>
        <v>0</v>
      </c>
      <c r="T32" s="210">
        <f t="shared" si="16"/>
        <v>579368</v>
      </c>
      <c r="U32" s="210">
        <f t="shared" si="2"/>
        <v>492462.8</v>
      </c>
      <c r="V32" s="203">
        <f>MIN(H32*parameters!C$22,ROUND(O32+S32-U32,0))</f>
        <v>22558495</v>
      </c>
      <c r="W32" s="211">
        <f t="shared" si="17"/>
        <v>82.819054658337294</v>
      </c>
      <c r="X32" s="208"/>
      <c r="Y32" s="212">
        <f t="shared" si="18"/>
        <v>0</v>
      </c>
      <c r="Z32" s="212">
        <f t="shared" si="3"/>
        <v>0</v>
      </c>
      <c r="AA32" s="212">
        <f t="shared" si="19"/>
        <v>86905</v>
      </c>
      <c r="AB32" s="68">
        <f t="shared" si="20"/>
        <v>0.31905465833729352</v>
      </c>
      <c r="AD32" s="207">
        <f t="shared" si="4"/>
        <v>2.5782243268055352E-2</v>
      </c>
      <c r="AE32" s="213">
        <f t="shared" si="21"/>
        <v>2.1270352046551579</v>
      </c>
      <c r="AF32" s="10">
        <f t="shared" si="5"/>
        <v>0</v>
      </c>
      <c r="AG32" s="214"/>
      <c r="AH32" s="214">
        <v>5.21E-2</v>
      </c>
      <c r="AI32" s="181"/>
      <c r="AJ32" s="214"/>
      <c r="AK32" s="214"/>
      <c r="AL32" s="214"/>
      <c r="AM32" s="10"/>
      <c r="AN32" s="10"/>
    </row>
    <row r="33" spans="1:40" ht="12.75" customHeight="1">
      <c r="A33" s="201">
        <v>24</v>
      </c>
      <c r="B33" s="201" t="s">
        <v>1290</v>
      </c>
      <c r="C33" s="202">
        <v>1458257000</v>
      </c>
      <c r="D33" s="202">
        <f t="shared" si="0"/>
        <v>5176214.0038206857</v>
      </c>
      <c r="E33" s="202">
        <v>475030000</v>
      </c>
      <c r="F33" s="202">
        <f t="shared" si="22"/>
        <v>6768181.2082125321</v>
      </c>
      <c r="G33" s="202">
        <f t="shared" si="1"/>
        <v>11944395</v>
      </c>
      <c r="H33" s="203">
        <f t="shared" si="6"/>
        <v>25006373.009895202</v>
      </c>
      <c r="I33" s="204">
        <f t="shared" si="7"/>
        <v>20630258</v>
      </c>
      <c r="J33" s="204">
        <f t="shared" si="8"/>
        <v>11944395</v>
      </c>
      <c r="K33" s="198">
        <f t="shared" si="9"/>
        <v>47.77</v>
      </c>
      <c r="L33" s="205"/>
      <c r="M33" s="206">
        <v>12086520</v>
      </c>
      <c r="N33" s="207">
        <f t="shared" si="10"/>
        <v>3.7900000000000003E-2</v>
      </c>
      <c r="O33" s="204">
        <f t="shared" si="11"/>
        <v>12544599</v>
      </c>
      <c r="P33" s="208">
        <f t="shared" si="12"/>
        <v>50.165607763413</v>
      </c>
      <c r="Q33" s="208">
        <f t="shared" si="13"/>
        <v>0</v>
      </c>
      <c r="R33" s="209">
        <f t="shared" si="14"/>
        <v>0</v>
      </c>
      <c r="S33" s="204">
        <f t="shared" si="15"/>
        <v>0</v>
      </c>
      <c r="T33" s="210">
        <f t="shared" si="16"/>
        <v>600204</v>
      </c>
      <c r="U33" s="210">
        <f t="shared" si="2"/>
        <v>510173.39999999997</v>
      </c>
      <c r="V33" s="203">
        <f>MIN(H33*parameters!C$22,ROUND(O33+S33-U33,0))</f>
        <v>12034426</v>
      </c>
      <c r="W33" s="211">
        <f t="shared" si="17"/>
        <v>48.125435844845995</v>
      </c>
      <c r="X33" s="208"/>
      <c r="Y33" s="212">
        <f t="shared" si="18"/>
        <v>0</v>
      </c>
      <c r="Z33" s="212">
        <f t="shared" si="3"/>
        <v>0</v>
      </c>
      <c r="AA33" s="212">
        <f t="shared" si="19"/>
        <v>90031</v>
      </c>
      <c r="AB33" s="68">
        <f t="shared" si="20"/>
        <v>0.35543584484599222</v>
      </c>
      <c r="AD33" s="207">
        <f t="shared" si="4"/>
        <v>5.0249845220289517E-2</v>
      </c>
      <c r="AE33" s="213">
        <f t="shared" si="21"/>
        <v>2.3956077634129969</v>
      </c>
      <c r="AF33" s="10">
        <f t="shared" si="5"/>
        <v>0</v>
      </c>
      <c r="AG33" s="214"/>
      <c r="AH33" s="214">
        <v>3.7900000000000003E-2</v>
      </c>
      <c r="AI33" s="181"/>
      <c r="AJ33" s="214"/>
      <c r="AK33" s="214"/>
      <c r="AL33" s="214"/>
      <c r="AM33" s="10"/>
      <c r="AN33" s="10"/>
    </row>
    <row r="34" spans="1:40" ht="12.75" customHeight="1">
      <c r="A34" s="201">
        <v>25</v>
      </c>
      <c r="B34" s="201" t="s">
        <v>1291</v>
      </c>
      <c r="C34" s="202">
        <v>2306766000</v>
      </c>
      <c r="D34" s="202">
        <f t="shared" si="0"/>
        <v>8188072.7970017819</v>
      </c>
      <c r="E34" s="202">
        <v>565349000</v>
      </c>
      <c r="F34" s="202">
        <f t="shared" si="22"/>
        <v>8055037.5300123077</v>
      </c>
      <c r="G34" s="202">
        <f t="shared" si="1"/>
        <v>16243110</v>
      </c>
      <c r="H34" s="203">
        <f t="shared" si="6"/>
        <v>24408149.070526216</v>
      </c>
      <c r="I34" s="204">
        <f t="shared" si="7"/>
        <v>20136723</v>
      </c>
      <c r="J34" s="204">
        <f t="shared" si="8"/>
        <v>16243110</v>
      </c>
      <c r="K34" s="198">
        <f t="shared" si="9"/>
        <v>66.55</v>
      </c>
      <c r="L34" s="205"/>
      <c r="M34" s="206">
        <v>16220667</v>
      </c>
      <c r="N34" s="207">
        <f t="shared" si="10"/>
        <v>3.6299999999999999E-2</v>
      </c>
      <c r="O34" s="204">
        <f t="shared" si="11"/>
        <v>16809477</v>
      </c>
      <c r="P34" s="208">
        <f t="shared" si="12"/>
        <v>68.868298662998967</v>
      </c>
      <c r="Q34" s="208">
        <f t="shared" si="13"/>
        <v>0</v>
      </c>
      <c r="R34" s="209">
        <f t="shared" si="14"/>
        <v>0</v>
      </c>
      <c r="S34" s="204">
        <f t="shared" si="15"/>
        <v>0</v>
      </c>
      <c r="T34" s="210">
        <f t="shared" si="16"/>
        <v>566367</v>
      </c>
      <c r="U34" s="210">
        <f t="shared" si="2"/>
        <v>481411.95</v>
      </c>
      <c r="V34" s="203">
        <f>MIN(H34*parameters!C$22,ROUND(O34+S34-U34,0))</f>
        <v>16328065</v>
      </c>
      <c r="W34" s="211">
        <f t="shared" si="17"/>
        <v>66.895957382187447</v>
      </c>
      <c r="X34" s="208"/>
      <c r="Y34" s="212">
        <f t="shared" si="18"/>
        <v>0</v>
      </c>
      <c r="Z34" s="212">
        <f t="shared" si="3"/>
        <v>0</v>
      </c>
      <c r="AA34" s="212">
        <f t="shared" si="19"/>
        <v>84955</v>
      </c>
      <c r="AB34" s="68">
        <f t="shared" si="20"/>
        <v>0.34595738218744998</v>
      </c>
      <c r="AD34" s="207">
        <f t="shared" si="4"/>
        <v>3.4868137936638982E-2</v>
      </c>
      <c r="AE34" s="213">
        <f t="shared" si="21"/>
        <v>2.3182986629989699</v>
      </c>
      <c r="AF34" s="10">
        <f t="shared" si="5"/>
        <v>0</v>
      </c>
      <c r="AG34" s="214"/>
      <c r="AH34" s="214">
        <v>3.6299999999999999E-2</v>
      </c>
      <c r="AI34" s="181"/>
      <c r="AJ34" s="214"/>
      <c r="AK34" s="214"/>
      <c r="AL34" s="214"/>
      <c r="AM34" s="10"/>
      <c r="AN34" s="10"/>
    </row>
    <row r="35" spans="1:40" ht="12.75" customHeight="1">
      <c r="A35" s="201">
        <v>26</v>
      </c>
      <c r="B35" s="201" t="s">
        <v>1292</v>
      </c>
      <c r="C35" s="202">
        <v>6932749000</v>
      </c>
      <c r="D35" s="202">
        <f t="shared" si="0"/>
        <v>24608414.33216083</v>
      </c>
      <c r="E35" s="202">
        <v>2189517000</v>
      </c>
      <c r="F35" s="202">
        <f t="shared" si="22"/>
        <v>31196025.123596147</v>
      </c>
      <c r="G35" s="202">
        <f t="shared" si="1"/>
        <v>55804439</v>
      </c>
      <c r="H35" s="203">
        <f t="shared" si="6"/>
        <v>43157414.220767744</v>
      </c>
      <c r="I35" s="204">
        <f t="shared" si="7"/>
        <v>35604867</v>
      </c>
      <c r="J35" s="204">
        <f t="shared" si="8"/>
        <v>35604867</v>
      </c>
      <c r="K35" s="198">
        <f t="shared" si="9"/>
        <v>82.5</v>
      </c>
      <c r="L35" s="205"/>
      <c r="M35" s="206">
        <v>33991885</v>
      </c>
      <c r="N35" s="207">
        <f t="shared" si="10"/>
        <v>3.7400000000000003E-2</v>
      </c>
      <c r="O35" s="204">
        <f t="shared" si="11"/>
        <v>35263181</v>
      </c>
      <c r="P35" s="208">
        <f t="shared" si="12"/>
        <v>81.708280342317252</v>
      </c>
      <c r="Q35" s="208">
        <f t="shared" si="13"/>
        <v>0.79171965768274788</v>
      </c>
      <c r="R35" s="209">
        <f t="shared" si="14"/>
        <v>0</v>
      </c>
      <c r="S35" s="204">
        <f t="shared" si="15"/>
        <v>0</v>
      </c>
      <c r="T35" s="210">
        <f t="shared" si="16"/>
        <v>0</v>
      </c>
      <c r="U35" s="210">
        <f t="shared" si="2"/>
        <v>0</v>
      </c>
      <c r="V35" s="203">
        <f>MIN(H35*parameters!C$22,ROUND(O35+S35-U35,0))</f>
        <v>35263181</v>
      </c>
      <c r="W35" s="211">
        <f t="shared" si="17"/>
        <v>81.708280342317252</v>
      </c>
      <c r="X35" s="208"/>
      <c r="Y35" s="212">
        <f t="shared" si="18"/>
        <v>-341686</v>
      </c>
      <c r="Z35" s="212">
        <f t="shared" si="3"/>
        <v>341686</v>
      </c>
      <c r="AA35" s="212">
        <f t="shared" si="19"/>
        <v>0</v>
      </c>
      <c r="AB35" s="68">
        <f t="shared" si="20"/>
        <v>-0.79171965768274788</v>
      </c>
      <c r="AD35" s="207">
        <f t="shared" si="4"/>
        <v>-9.5966093624222787E-3</v>
      </c>
      <c r="AE35" s="213">
        <f t="shared" si="21"/>
        <v>-0.79171965768274788</v>
      </c>
      <c r="AF35" s="10">
        <f t="shared" si="5"/>
        <v>0</v>
      </c>
      <c r="AG35" s="214"/>
      <c r="AH35" s="214">
        <v>3.7400000000000003E-2</v>
      </c>
      <c r="AI35" s="181"/>
      <c r="AJ35" s="214"/>
      <c r="AK35" s="214"/>
      <c r="AL35" s="214"/>
      <c r="AM35" s="10"/>
      <c r="AN35" s="10"/>
    </row>
    <row r="36" spans="1:40" ht="12.75" customHeight="1">
      <c r="A36" s="201">
        <v>27</v>
      </c>
      <c r="B36" s="201" t="s">
        <v>1293</v>
      </c>
      <c r="C36" s="202">
        <v>772614400</v>
      </c>
      <c r="D36" s="202">
        <f t="shared" si="0"/>
        <v>2742464.1039497955</v>
      </c>
      <c r="E36" s="202">
        <v>228598000</v>
      </c>
      <c r="F36" s="202">
        <f t="shared" si="22"/>
        <v>3257042.0559437685</v>
      </c>
      <c r="G36" s="202">
        <f t="shared" si="1"/>
        <v>5999506</v>
      </c>
      <c r="H36" s="203">
        <f t="shared" si="6"/>
        <v>11992010.70036882</v>
      </c>
      <c r="I36" s="204">
        <f t="shared" si="7"/>
        <v>9893409</v>
      </c>
      <c r="J36" s="204">
        <f t="shared" si="8"/>
        <v>5999506</v>
      </c>
      <c r="K36" s="198">
        <f t="shared" si="9"/>
        <v>50.03</v>
      </c>
      <c r="L36" s="205"/>
      <c r="M36" s="206">
        <v>6006256</v>
      </c>
      <c r="N36" s="207">
        <f t="shared" si="10"/>
        <v>2.52E-2</v>
      </c>
      <c r="O36" s="204">
        <f t="shared" si="11"/>
        <v>6157614</v>
      </c>
      <c r="P36" s="208">
        <f t="shared" si="12"/>
        <v>51.347635970760265</v>
      </c>
      <c r="Q36" s="208">
        <f t="shared" si="13"/>
        <v>0</v>
      </c>
      <c r="R36" s="209">
        <f t="shared" si="14"/>
        <v>0</v>
      </c>
      <c r="S36" s="204">
        <f t="shared" si="15"/>
        <v>0</v>
      </c>
      <c r="T36" s="210">
        <f t="shared" si="16"/>
        <v>158108</v>
      </c>
      <c r="U36" s="210">
        <f t="shared" si="2"/>
        <v>134391.79999999999</v>
      </c>
      <c r="V36" s="203">
        <f>MIN(H36*parameters!C$22,ROUND(O36+S36-U36,0))</f>
        <v>6023222</v>
      </c>
      <c r="W36" s="211">
        <f t="shared" si="17"/>
        <v>50.226956517098117</v>
      </c>
      <c r="X36" s="208"/>
      <c r="Y36" s="212">
        <f t="shared" si="18"/>
        <v>0</v>
      </c>
      <c r="Z36" s="212">
        <f t="shared" si="3"/>
        <v>0</v>
      </c>
      <c r="AA36" s="212">
        <f t="shared" si="19"/>
        <v>23716</v>
      </c>
      <c r="AB36" s="68">
        <f t="shared" si="20"/>
        <v>0.19695651709811557</v>
      </c>
      <c r="AD36" s="207">
        <f t="shared" si="4"/>
        <v>2.6353503105088986E-2</v>
      </c>
      <c r="AE36" s="213">
        <f t="shared" si="21"/>
        <v>1.3176359707602643</v>
      </c>
      <c r="AF36" s="10">
        <f t="shared" si="5"/>
        <v>0</v>
      </c>
      <c r="AG36" s="214"/>
      <c r="AH36" s="214">
        <v>2.52E-2</v>
      </c>
      <c r="AI36" s="181"/>
      <c r="AJ36" s="214"/>
      <c r="AK36" s="214"/>
      <c r="AL36" s="214"/>
      <c r="AM36" s="10"/>
      <c r="AN36" s="10"/>
    </row>
    <row r="37" spans="1:40" ht="12.75" customHeight="1">
      <c r="A37" s="201">
        <v>28</v>
      </c>
      <c r="B37" s="201" t="s">
        <v>1294</v>
      </c>
      <c r="C37" s="202">
        <v>600240900</v>
      </c>
      <c r="D37" s="202">
        <f t="shared" si="0"/>
        <v>2130608.9065548335</v>
      </c>
      <c r="E37" s="202">
        <v>141411000</v>
      </c>
      <c r="F37" s="202">
        <f t="shared" si="22"/>
        <v>2014810.165325437</v>
      </c>
      <c r="G37" s="202">
        <f t="shared" si="1"/>
        <v>4145419</v>
      </c>
      <c r="H37" s="203">
        <f t="shared" si="6"/>
        <v>3838932.1115409783</v>
      </c>
      <c r="I37" s="204">
        <f t="shared" si="7"/>
        <v>3167119</v>
      </c>
      <c r="J37" s="204">
        <f t="shared" si="8"/>
        <v>3167119</v>
      </c>
      <c r="K37" s="198">
        <f t="shared" si="9"/>
        <v>82.5</v>
      </c>
      <c r="L37" s="205"/>
      <c r="M37" s="206">
        <v>3246300</v>
      </c>
      <c r="N37" s="207">
        <f t="shared" si="10"/>
        <v>5.4100000000000002E-2</v>
      </c>
      <c r="O37" s="204">
        <f t="shared" si="11"/>
        <v>3421925</v>
      </c>
      <c r="P37" s="208">
        <f t="shared" si="12"/>
        <v>89.137418963796463</v>
      </c>
      <c r="Q37" s="208">
        <f t="shared" si="13"/>
        <v>0</v>
      </c>
      <c r="R37" s="209">
        <f t="shared" si="14"/>
        <v>0</v>
      </c>
      <c r="S37" s="204">
        <f t="shared" si="15"/>
        <v>0</v>
      </c>
      <c r="T37" s="210">
        <f t="shared" si="16"/>
        <v>254806</v>
      </c>
      <c r="U37" s="210">
        <f t="shared" si="2"/>
        <v>216585.1</v>
      </c>
      <c r="V37" s="203">
        <f>MIN(H37*parameters!C$22,ROUND(O37+S37-U37,0))</f>
        <v>3205340</v>
      </c>
      <c r="W37" s="211">
        <f t="shared" si="17"/>
        <v>83.495615626121364</v>
      </c>
      <c r="X37" s="208"/>
      <c r="Y37" s="212">
        <f t="shared" si="18"/>
        <v>0</v>
      </c>
      <c r="Z37" s="212">
        <f t="shared" si="3"/>
        <v>0</v>
      </c>
      <c r="AA37" s="212">
        <f t="shared" si="19"/>
        <v>38221</v>
      </c>
      <c r="AB37" s="68">
        <f t="shared" si="20"/>
        <v>0.99561562612136356</v>
      </c>
      <c r="AD37" s="207">
        <f t="shared" si="4"/>
        <v>8.0453560475624686E-2</v>
      </c>
      <c r="AE37" s="213">
        <f t="shared" si="21"/>
        <v>6.6374189637964633</v>
      </c>
      <c r="AF37" s="10">
        <f t="shared" si="5"/>
        <v>0</v>
      </c>
      <c r="AG37" s="214"/>
      <c r="AH37" s="214">
        <v>5.4100000000000002E-2</v>
      </c>
      <c r="AI37" s="181"/>
      <c r="AJ37" s="214"/>
      <c r="AK37" s="214"/>
      <c r="AL37" s="214"/>
      <c r="AM37" s="10"/>
      <c r="AN37" s="10"/>
    </row>
    <row r="38" spans="1:40" ht="12.75" customHeight="1">
      <c r="A38" s="201">
        <v>29</v>
      </c>
      <c r="B38" s="201" t="s">
        <v>1295</v>
      </c>
      <c r="C38" s="202">
        <v>216985900</v>
      </c>
      <c r="D38" s="202">
        <f t="shared" si="0"/>
        <v>770210.9122134404</v>
      </c>
      <c r="E38" s="202">
        <v>57777000</v>
      </c>
      <c r="F38" s="202">
        <f t="shared" si="22"/>
        <v>823201.07291517477</v>
      </c>
      <c r="G38" s="202">
        <f t="shared" si="1"/>
        <v>1593412</v>
      </c>
      <c r="H38" s="203">
        <f t="shared" si="6"/>
        <v>3081060.2510546949</v>
      </c>
      <c r="I38" s="204">
        <f t="shared" si="7"/>
        <v>2541875</v>
      </c>
      <c r="J38" s="204">
        <f t="shared" si="8"/>
        <v>1593412</v>
      </c>
      <c r="K38" s="198">
        <f t="shared" si="9"/>
        <v>51.72</v>
      </c>
      <c r="L38" s="205"/>
      <c r="M38" s="206">
        <v>1662323</v>
      </c>
      <c r="N38" s="207">
        <f t="shared" si="10"/>
        <v>3.5400000000000001E-2</v>
      </c>
      <c r="O38" s="204">
        <f t="shared" si="11"/>
        <v>1721169</v>
      </c>
      <c r="P38" s="208">
        <f t="shared" si="12"/>
        <v>55.862880299429946</v>
      </c>
      <c r="Q38" s="208">
        <f t="shared" si="13"/>
        <v>0</v>
      </c>
      <c r="R38" s="209">
        <f t="shared" si="14"/>
        <v>0</v>
      </c>
      <c r="S38" s="204">
        <f t="shared" si="15"/>
        <v>0</v>
      </c>
      <c r="T38" s="210">
        <f t="shared" si="16"/>
        <v>127757</v>
      </c>
      <c r="U38" s="210">
        <f t="shared" si="2"/>
        <v>108593.45</v>
      </c>
      <c r="V38" s="203">
        <f>MIN(H38*parameters!C$22,ROUND(O38+S38-U38,0))</f>
        <v>1612576</v>
      </c>
      <c r="W38" s="211">
        <f t="shared" si="17"/>
        <v>52.338346822266466</v>
      </c>
      <c r="X38" s="208"/>
      <c r="Y38" s="212">
        <f t="shared" si="18"/>
        <v>0</v>
      </c>
      <c r="Z38" s="212">
        <f t="shared" si="3"/>
        <v>0</v>
      </c>
      <c r="AA38" s="212">
        <f t="shared" si="19"/>
        <v>19164</v>
      </c>
      <c r="AB38" s="68">
        <f t="shared" si="20"/>
        <v>0.6183468222664672</v>
      </c>
      <c r="AD38" s="207">
        <f t="shared" si="4"/>
        <v>8.0178258981355735E-2</v>
      </c>
      <c r="AE38" s="213">
        <f t="shared" si="21"/>
        <v>4.1428802994299474</v>
      </c>
      <c r="AF38" s="10">
        <f t="shared" si="5"/>
        <v>0</v>
      </c>
      <c r="AG38" s="214"/>
      <c r="AH38" s="214">
        <v>3.5400000000000001E-2</v>
      </c>
      <c r="AI38" s="181"/>
      <c r="AJ38" s="214"/>
      <c r="AK38" s="214"/>
      <c r="AL38" s="214"/>
      <c r="AM38" s="10"/>
      <c r="AN38" s="10"/>
    </row>
    <row r="39" spans="1:40" ht="12.75" customHeight="1">
      <c r="A39" s="201">
        <v>30</v>
      </c>
      <c r="B39" s="201" t="s">
        <v>1296</v>
      </c>
      <c r="C39" s="202">
        <v>6145554700</v>
      </c>
      <c r="D39" s="202">
        <f t="shared" si="0"/>
        <v>21814197.565577284</v>
      </c>
      <c r="E39" s="202">
        <v>1668415000</v>
      </c>
      <c r="F39" s="202">
        <f t="shared" si="22"/>
        <v>23771414.543291815</v>
      </c>
      <c r="G39" s="202">
        <f t="shared" si="1"/>
        <v>45585612</v>
      </c>
      <c r="H39" s="203">
        <f t="shared" si="6"/>
        <v>47544629.207431935</v>
      </c>
      <c r="I39" s="204">
        <f t="shared" si="7"/>
        <v>39224319</v>
      </c>
      <c r="J39" s="204">
        <f t="shared" si="8"/>
        <v>39224319</v>
      </c>
      <c r="K39" s="198">
        <f t="shared" si="9"/>
        <v>82.5</v>
      </c>
      <c r="L39" s="205"/>
      <c r="M39" s="206">
        <v>38568568</v>
      </c>
      <c r="N39" s="207">
        <f t="shared" si="10"/>
        <v>4.0599999999999997E-2</v>
      </c>
      <c r="O39" s="204">
        <f t="shared" si="11"/>
        <v>40134452</v>
      </c>
      <c r="P39" s="208">
        <f t="shared" si="12"/>
        <v>84.414270694798873</v>
      </c>
      <c r="Q39" s="208">
        <f t="shared" si="13"/>
        <v>0</v>
      </c>
      <c r="R39" s="209">
        <f t="shared" si="14"/>
        <v>0</v>
      </c>
      <c r="S39" s="204">
        <f t="shared" si="15"/>
        <v>0</v>
      </c>
      <c r="T39" s="210">
        <f t="shared" si="16"/>
        <v>910133</v>
      </c>
      <c r="U39" s="210">
        <f t="shared" si="2"/>
        <v>773613.04999999993</v>
      </c>
      <c r="V39" s="203">
        <f>MIN(H39*parameters!C$22,ROUND(O39+S39-U39,0))</f>
        <v>39360839</v>
      </c>
      <c r="W39" s="211">
        <f t="shared" si="17"/>
        <v>82.78714053752114</v>
      </c>
      <c r="X39" s="208"/>
      <c r="Y39" s="212">
        <f t="shared" si="18"/>
        <v>0</v>
      </c>
      <c r="Z39" s="212">
        <f t="shared" si="3"/>
        <v>0</v>
      </c>
      <c r="AA39" s="212">
        <f t="shared" si="19"/>
        <v>136520</v>
      </c>
      <c r="AB39" s="68">
        <f t="shared" si="20"/>
        <v>0.28714053752113955</v>
      </c>
      <c r="AD39" s="207">
        <f t="shared" si="4"/>
        <v>2.3203283656753861E-2</v>
      </c>
      <c r="AE39" s="213">
        <f t="shared" si="21"/>
        <v>1.9142706947988728</v>
      </c>
      <c r="AF39" s="10">
        <f t="shared" si="5"/>
        <v>0</v>
      </c>
      <c r="AG39" s="214"/>
      <c r="AH39" s="214">
        <v>4.0599999999999997E-2</v>
      </c>
      <c r="AI39" s="181"/>
      <c r="AJ39" s="214"/>
      <c r="AK39" s="214"/>
      <c r="AL39" s="214"/>
      <c r="AM39" s="10"/>
      <c r="AN39" s="10"/>
    </row>
    <row r="40" spans="1:40" ht="12.75" customHeight="1">
      <c r="A40" s="201">
        <v>31</v>
      </c>
      <c r="B40" s="201" t="s">
        <v>1297</v>
      </c>
      <c r="C40" s="202">
        <v>6134145700</v>
      </c>
      <c r="D40" s="202">
        <f t="shared" si="0"/>
        <v>21773700.296872526</v>
      </c>
      <c r="E40" s="202">
        <v>1454167000</v>
      </c>
      <c r="F40" s="202">
        <f t="shared" si="22"/>
        <v>20718829.890749622</v>
      </c>
      <c r="G40" s="202">
        <f t="shared" si="1"/>
        <v>42492530</v>
      </c>
      <c r="H40" s="203">
        <f t="shared" si="6"/>
        <v>59287792.22082483</v>
      </c>
      <c r="I40" s="204">
        <f t="shared" si="7"/>
        <v>48912429</v>
      </c>
      <c r="J40" s="204">
        <f t="shared" si="8"/>
        <v>42492530</v>
      </c>
      <c r="K40" s="198">
        <f t="shared" si="9"/>
        <v>71.67</v>
      </c>
      <c r="L40" s="205"/>
      <c r="M40" s="206">
        <v>41828392</v>
      </c>
      <c r="N40" s="207">
        <f t="shared" si="10"/>
        <v>4.82E-2</v>
      </c>
      <c r="O40" s="204">
        <f t="shared" si="11"/>
        <v>43844520</v>
      </c>
      <c r="P40" s="208">
        <f t="shared" si="12"/>
        <v>73.952020066282074</v>
      </c>
      <c r="Q40" s="208">
        <f t="shared" si="13"/>
        <v>0</v>
      </c>
      <c r="R40" s="209">
        <f t="shared" si="14"/>
        <v>0</v>
      </c>
      <c r="S40" s="204">
        <f t="shared" si="15"/>
        <v>0</v>
      </c>
      <c r="T40" s="210">
        <f t="shared" si="16"/>
        <v>1351990</v>
      </c>
      <c r="U40" s="210">
        <f t="shared" si="2"/>
        <v>1149191.5</v>
      </c>
      <c r="V40" s="203">
        <f>MIN(H40*parameters!C$22,ROUND(O40+S40-U40,0))</f>
        <v>42695329</v>
      </c>
      <c r="W40" s="211">
        <f t="shared" si="17"/>
        <v>72.01369354584142</v>
      </c>
      <c r="X40" s="208"/>
      <c r="Y40" s="212">
        <f t="shared" si="18"/>
        <v>0</v>
      </c>
      <c r="Z40" s="212">
        <f t="shared" si="3"/>
        <v>0</v>
      </c>
      <c r="AA40" s="212">
        <f t="shared" si="19"/>
        <v>202799</v>
      </c>
      <c r="AB40" s="68">
        <f t="shared" si="20"/>
        <v>0.34369354584141831</v>
      </c>
      <c r="AD40" s="207">
        <f t="shared" si="4"/>
        <v>3.181712173880915E-2</v>
      </c>
      <c r="AE40" s="213">
        <f t="shared" si="21"/>
        <v>2.2820200662820724</v>
      </c>
      <c r="AF40" s="10">
        <f t="shared" si="5"/>
        <v>0</v>
      </c>
      <c r="AG40" s="214"/>
      <c r="AH40" s="214">
        <v>4.82E-2</v>
      </c>
      <c r="AI40" s="181"/>
      <c r="AJ40" s="214"/>
      <c r="AK40" s="214"/>
      <c r="AL40" s="214"/>
      <c r="AM40" s="10"/>
      <c r="AN40" s="10"/>
    </row>
    <row r="41" spans="1:40" ht="12.75" customHeight="1">
      <c r="A41" s="201">
        <v>32</v>
      </c>
      <c r="B41" s="201" t="s">
        <v>1298</v>
      </c>
      <c r="C41" s="202">
        <v>894520200</v>
      </c>
      <c r="D41" s="202">
        <f t="shared" si="0"/>
        <v>3175179.6740495539</v>
      </c>
      <c r="E41" s="202">
        <v>261254000</v>
      </c>
      <c r="F41" s="202">
        <f t="shared" si="22"/>
        <v>3722321.5657334416</v>
      </c>
      <c r="G41" s="202">
        <f t="shared" si="1"/>
        <v>6897501</v>
      </c>
      <c r="H41" s="203">
        <f t="shared" si="6"/>
        <v>14381746.904056061</v>
      </c>
      <c r="I41" s="204">
        <f t="shared" si="7"/>
        <v>11864941</v>
      </c>
      <c r="J41" s="204">
        <f t="shared" si="8"/>
        <v>6897501</v>
      </c>
      <c r="K41" s="198">
        <f t="shared" si="9"/>
        <v>47.96</v>
      </c>
      <c r="L41" s="205"/>
      <c r="M41" s="206">
        <v>6948202</v>
      </c>
      <c r="N41" s="207">
        <f t="shared" si="10"/>
        <v>4.4199999999999996E-2</v>
      </c>
      <c r="O41" s="204">
        <f t="shared" si="11"/>
        <v>7255313</v>
      </c>
      <c r="P41" s="208">
        <f t="shared" si="12"/>
        <v>50.44806481717319</v>
      </c>
      <c r="Q41" s="208">
        <f t="shared" si="13"/>
        <v>0</v>
      </c>
      <c r="R41" s="209">
        <f t="shared" si="14"/>
        <v>0</v>
      </c>
      <c r="S41" s="204">
        <f t="shared" si="15"/>
        <v>0</v>
      </c>
      <c r="T41" s="210">
        <f t="shared" si="16"/>
        <v>357812</v>
      </c>
      <c r="U41" s="210">
        <f t="shared" si="2"/>
        <v>304140.2</v>
      </c>
      <c r="V41" s="203">
        <f>MIN(H41*parameters!C$22,ROUND(O41+S41-U41,0))</f>
        <v>6951173</v>
      </c>
      <c r="W41" s="211">
        <f t="shared" si="17"/>
        <v>48.333300859574798</v>
      </c>
      <c r="X41" s="208"/>
      <c r="Y41" s="212">
        <f t="shared" si="18"/>
        <v>0</v>
      </c>
      <c r="Z41" s="212">
        <f t="shared" si="3"/>
        <v>0</v>
      </c>
      <c r="AA41" s="212">
        <f t="shared" si="19"/>
        <v>53672</v>
      </c>
      <c r="AB41" s="68">
        <f t="shared" si="20"/>
        <v>0.37330085957479753</v>
      </c>
      <c r="AD41" s="207">
        <f t="shared" si="4"/>
        <v>5.1875599583095386E-2</v>
      </c>
      <c r="AE41" s="213">
        <f t="shared" si="21"/>
        <v>2.4880648171731892</v>
      </c>
      <c r="AF41" s="10">
        <f t="shared" si="5"/>
        <v>0</v>
      </c>
      <c r="AG41" s="214"/>
      <c r="AH41" s="214">
        <v>4.4199999999999996E-2</v>
      </c>
      <c r="AI41" s="181"/>
      <c r="AJ41" s="214"/>
      <c r="AK41" s="214"/>
      <c r="AL41" s="214"/>
      <c r="AM41" s="10"/>
      <c r="AN41" s="10"/>
    </row>
    <row r="42" spans="1:40" ht="12.75" customHeight="1">
      <c r="A42" s="201">
        <v>33</v>
      </c>
      <c r="B42" s="201" t="s">
        <v>1299</v>
      </c>
      <c r="C42" s="202">
        <v>174294800</v>
      </c>
      <c r="D42" s="202">
        <f t="shared" si="0"/>
        <v>618675.02405483101</v>
      </c>
      <c r="E42" s="202">
        <v>35553000</v>
      </c>
      <c r="F42" s="202">
        <f t="shared" si="22"/>
        <v>506555.68384224182</v>
      </c>
      <c r="G42" s="202">
        <f t="shared" si="1"/>
        <v>1125231</v>
      </c>
      <c r="H42" s="203">
        <f t="shared" si="6"/>
        <v>1288977.0081253413</v>
      </c>
      <c r="I42" s="204">
        <f t="shared" si="7"/>
        <v>1063406</v>
      </c>
      <c r="J42" s="204">
        <f t="shared" si="8"/>
        <v>1063406</v>
      </c>
      <c r="K42" s="198">
        <f t="shared" si="9"/>
        <v>82.5</v>
      </c>
      <c r="L42" s="205"/>
      <c r="M42" s="206">
        <v>1146933</v>
      </c>
      <c r="N42" s="207">
        <f t="shared" si="10"/>
        <v>4.1099999999999998E-2</v>
      </c>
      <c r="O42" s="204">
        <f t="shared" si="11"/>
        <v>1194072</v>
      </c>
      <c r="P42" s="208">
        <f t="shared" si="12"/>
        <v>92.637183787834275</v>
      </c>
      <c r="Q42" s="208">
        <f t="shared" si="13"/>
        <v>0</v>
      </c>
      <c r="R42" s="209">
        <f t="shared" si="14"/>
        <v>0</v>
      </c>
      <c r="S42" s="204">
        <f t="shared" si="15"/>
        <v>0</v>
      </c>
      <c r="T42" s="210">
        <f t="shared" si="16"/>
        <v>130666</v>
      </c>
      <c r="U42" s="210">
        <f t="shared" si="2"/>
        <v>111066.09999999999</v>
      </c>
      <c r="V42" s="203">
        <f>MIN(H42*parameters!C$22,ROUND(O42+S42-U42,0))</f>
        <v>1083006</v>
      </c>
      <c r="W42" s="211">
        <f t="shared" si="17"/>
        <v>84.020583235623363</v>
      </c>
      <c r="X42" s="208"/>
      <c r="Y42" s="212">
        <f t="shared" si="18"/>
        <v>0</v>
      </c>
      <c r="Z42" s="212">
        <f t="shared" si="3"/>
        <v>0</v>
      </c>
      <c r="AA42" s="212">
        <f t="shared" si="19"/>
        <v>19600</v>
      </c>
      <c r="AB42" s="68">
        <f t="shared" si="20"/>
        <v>1.5205832356233628</v>
      </c>
      <c r="AD42" s="207">
        <f t="shared" si="4"/>
        <v>0.12287498848041106</v>
      </c>
      <c r="AE42" s="213">
        <f t="shared" si="21"/>
        <v>10.137183787834275</v>
      </c>
      <c r="AF42" s="10">
        <f t="shared" si="5"/>
        <v>0</v>
      </c>
      <c r="AG42" s="214"/>
      <c r="AH42" s="214">
        <v>4.1099999999999998E-2</v>
      </c>
      <c r="AI42" s="181"/>
      <c r="AJ42" s="214"/>
      <c r="AK42" s="214"/>
      <c r="AL42" s="214"/>
      <c r="AM42" s="10"/>
      <c r="AN42" s="10"/>
    </row>
    <row r="43" spans="1:40" ht="12.75" customHeight="1">
      <c r="A43" s="201">
        <v>34</v>
      </c>
      <c r="B43" s="201" t="s">
        <v>1300</v>
      </c>
      <c r="C43" s="202">
        <v>1007514900</v>
      </c>
      <c r="D43" s="202">
        <f t="shared" si="0"/>
        <v>3576264.495516221</v>
      </c>
      <c r="E43" s="202">
        <v>371409000</v>
      </c>
      <c r="F43" s="202">
        <f t="shared" si="22"/>
        <v>5291799.2850157004</v>
      </c>
      <c r="G43" s="202">
        <f t="shared" si="1"/>
        <v>8868064</v>
      </c>
      <c r="H43" s="203">
        <f t="shared" si="6"/>
        <v>9929844.3115948569</v>
      </c>
      <c r="I43" s="204">
        <f t="shared" si="7"/>
        <v>8192122</v>
      </c>
      <c r="J43" s="204">
        <f t="shared" si="8"/>
        <v>8192122</v>
      </c>
      <c r="K43" s="198">
        <f t="shared" si="9"/>
        <v>82.5</v>
      </c>
      <c r="L43" s="205"/>
      <c r="M43" s="206">
        <v>8258041</v>
      </c>
      <c r="N43" s="207">
        <f t="shared" si="10"/>
        <v>4.1000000000000009E-2</v>
      </c>
      <c r="O43" s="204">
        <f t="shared" si="11"/>
        <v>8596621</v>
      </c>
      <c r="P43" s="208">
        <f t="shared" si="12"/>
        <v>86.573572860169804</v>
      </c>
      <c r="Q43" s="208">
        <f t="shared" si="13"/>
        <v>0</v>
      </c>
      <c r="R43" s="209">
        <f t="shared" si="14"/>
        <v>0</v>
      </c>
      <c r="S43" s="204">
        <f t="shared" si="15"/>
        <v>0</v>
      </c>
      <c r="T43" s="210">
        <f t="shared" si="16"/>
        <v>404499</v>
      </c>
      <c r="U43" s="210">
        <f t="shared" si="2"/>
        <v>343824.14999999997</v>
      </c>
      <c r="V43" s="203">
        <f>MIN(H43*parameters!C$22,ROUND(O43+S43-U43,0))</f>
        <v>8252797</v>
      </c>
      <c r="W43" s="211">
        <f t="shared" si="17"/>
        <v>83.111041231164052</v>
      </c>
      <c r="X43" s="208"/>
      <c r="Y43" s="212">
        <f t="shared" si="18"/>
        <v>0</v>
      </c>
      <c r="Z43" s="212">
        <f t="shared" si="3"/>
        <v>0</v>
      </c>
      <c r="AA43" s="212">
        <f t="shared" si="19"/>
        <v>60675</v>
      </c>
      <c r="AB43" s="68">
        <f t="shared" si="20"/>
        <v>0.61104123116405162</v>
      </c>
      <c r="AD43" s="207">
        <f t="shared" si="4"/>
        <v>4.9376583991302861E-2</v>
      </c>
      <c r="AE43" s="213">
        <f t="shared" si="21"/>
        <v>4.0735728601698042</v>
      </c>
      <c r="AF43" s="10">
        <f t="shared" si="5"/>
        <v>0</v>
      </c>
      <c r="AG43" s="214"/>
      <c r="AH43" s="214">
        <v>4.1000000000000009E-2</v>
      </c>
      <c r="AI43" s="181"/>
      <c r="AJ43" s="214"/>
      <c r="AK43" s="214"/>
      <c r="AL43" s="214"/>
      <c r="AM43" s="10"/>
      <c r="AN43" s="10"/>
    </row>
    <row r="44" spans="1:40" ht="12.75" customHeight="1">
      <c r="A44" s="201">
        <v>35</v>
      </c>
      <c r="B44" s="201" t="s">
        <v>1301</v>
      </c>
      <c r="C44" s="202">
        <v>143576209500</v>
      </c>
      <c r="D44" s="202">
        <f t="shared" si="0"/>
        <v>509636632.10901272</v>
      </c>
      <c r="E44" s="202">
        <v>29526511000</v>
      </c>
      <c r="F44" s="202">
        <f t="shared" si="22"/>
        <v>420690855.09184813</v>
      </c>
      <c r="G44" s="202">
        <f t="shared" si="1"/>
        <v>930327487</v>
      </c>
      <c r="H44" s="203">
        <f t="shared" si="6"/>
        <v>829896970.52937865</v>
      </c>
      <c r="I44" s="204">
        <f t="shared" si="7"/>
        <v>684665001</v>
      </c>
      <c r="J44" s="204">
        <f t="shared" si="8"/>
        <v>684665001</v>
      </c>
      <c r="K44" s="198">
        <f t="shared" si="9"/>
        <v>82.5</v>
      </c>
      <c r="L44" s="205"/>
      <c r="M44" s="206">
        <v>666445514</v>
      </c>
      <c r="N44" s="207">
        <f t="shared" si="10"/>
        <v>4.3299999999999998E-2</v>
      </c>
      <c r="O44" s="204">
        <f t="shared" si="11"/>
        <v>695302605</v>
      </c>
      <c r="P44" s="208">
        <f t="shared" si="12"/>
        <v>83.781798185921446</v>
      </c>
      <c r="Q44" s="208">
        <f t="shared" si="13"/>
        <v>0</v>
      </c>
      <c r="R44" s="209">
        <f t="shared" si="14"/>
        <v>0</v>
      </c>
      <c r="S44" s="204">
        <f t="shared" si="15"/>
        <v>0</v>
      </c>
      <c r="T44" s="210">
        <f t="shared" si="16"/>
        <v>10637604</v>
      </c>
      <c r="U44" s="210">
        <f t="shared" si="2"/>
        <v>9041963.4000000004</v>
      </c>
      <c r="V44" s="203">
        <f>MIN(H44*parameters!C$22,ROUND(O44+S44-U44,0))</f>
        <v>686260642</v>
      </c>
      <c r="W44" s="211">
        <f t="shared" si="17"/>
        <v>82.692269808172071</v>
      </c>
      <c r="X44" s="208"/>
      <c r="Y44" s="212">
        <f t="shared" si="18"/>
        <v>0</v>
      </c>
      <c r="Z44" s="212">
        <f t="shared" si="3"/>
        <v>0</v>
      </c>
      <c r="AA44" s="212">
        <f t="shared" si="19"/>
        <v>1595641</v>
      </c>
      <c r="AB44" s="68">
        <f t="shared" si="20"/>
        <v>0.19226980817207107</v>
      </c>
      <c r="AD44" s="207">
        <f t="shared" si="4"/>
        <v>1.5536947243488499E-2</v>
      </c>
      <c r="AE44" s="213">
        <f t="shared" si="21"/>
        <v>1.2817981859214456</v>
      </c>
      <c r="AF44" s="10">
        <f t="shared" si="5"/>
        <v>0</v>
      </c>
      <c r="AG44" s="214"/>
      <c r="AH44" s="214">
        <v>4.3299999999999998E-2</v>
      </c>
      <c r="AI44" s="181"/>
      <c r="AJ44" s="214"/>
      <c r="AK44" s="214"/>
      <c r="AL44" s="214"/>
      <c r="AM44" s="10"/>
      <c r="AN44" s="10"/>
    </row>
    <row r="45" spans="1:40" ht="12.75" customHeight="1">
      <c r="A45" s="201">
        <v>36</v>
      </c>
      <c r="B45" s="201" t="s">
        <v>1302</v>
      </c>
      <c r="C45" s="202">
        <v>4397828000</v>
      </c>
      <c r="D45" s="202">
        <f t="shared" si="0"/>
        <v>15610484.900806043</v>
      </c>
      <c r="E45" s="202">
        <v>653521000</v>
      </c>
      <c r="F45" s="202">
        <f t="shared" si="22"/>
        <v>9311303.6047665663</v>
      </c>
      <c r="G45" s="202">
        <f t="shared" si="1"/>
        <v>24921789</v>
      </c>
      <c r="H45" s="203">
        <f t="shared" si="6"/>
        <v>23118495.329891436</v>
      </c>
      <c r="I45" s="204">
        <f t="shared" si="7"/>
        <v>19072759</v>
      </c>
      <c r="J45" s="204">
        <f t="shared" si="8"/>
        <v>19072759</v>
      </c>
      <c r="K45" s="198">
        <f t="shared" si="9"/>
        <v>82.5</v>
      </c>
      <c r="L45" s="205"/>
      <c r="M45" s="206">
        <v>18838783</v>
      </c>
      <c r="N45" s="207">
        <f t="shared" si="10"/>
        <v>3.3700000000000001E-2</v>
      </c>
      <c r="O45" s="204">
        <f t="shared" si="11"/>
        <v>19473650</v>
      </c>
      <c r="P45" s="208">
        <f t="shared" si="12"/>
        <v>84.234071993522974</v>
      </c>
      <c r="Q45" s="208">
        <f t="shared" si="13"/>
        <v>0</v>
      </c>
      <c r="R45" s="209">
        <f t="shared" si="14"/>
        <v>0</v>
      </c>
      <c r="S45" s="204">
        <f t="shared" si="15"/>
        <v>0</v>
      </c>
      <c r="T45" s="210">
        <f t="shared" si="16"/>
        <v>400891</v>
      </c>
      <c r="U45" s="210">
        <f t="shared" si="2"/>
        <v>340757.35</v>
      </c>
      <c r="V45" s="203">
        <f>MIN(H45*parameters!C$22,ROUND(O45+S45-U45,0))</f>
        <v>19132893</v>
      </c>
      <c r="W45" s="211">
        <f t="shared" si="17"/>
        <v>82.760113610256525</v>
      </c>
      <c r="X45" s="208"/>
      <c r="Y45" s="212">
        <f t="shared" si="18"/>
        <v>0</v>
      </c>
      <c r="Z45" s="212">
        <f t="shared" si="3"/>
        <v>0</v>
      </c>
      <c r="AA45" s="212">
        <f t="shared" si="19"/>
        <v>60134</v>
      </c>
      <c r="AB45" s="68">
        <f t="shared" si="20"/>
        <v>0.26011361025652491</v>
      </c>
      <c r="AD45" s="207">
        <f t="shared" si="4"/>
        <v>2.1019035578439385E-2</v>
      </c>
      <c r="AE45" s="213">
        <f t="shared" si="21"/>
        <v>1.7340719935229743</v>
      </c>
      <c r="AF45" s="10">
        <f t="shared" si="5"/>
        <v>0</v>
      </c>
      <c r="AG45" s="214"/>
      <c r="AH45" s="214">
        <v>3.3700000000000001E-2</v>
      </c>
      <c r="AI45" s="181"/>
      <c r="AJ45" s="214"/>
      <c r="AK45" s="214"/>
      <c r="AL45" s="214"/>
      <c r="AM45" s="10"/>
      <c r="AN45" s="10"/>
    </row>
    <row r="46" spans="1:40" ht="12.75" customHeight="1">
      <c r="A46" s="201">
        <v>37</v>
      </c>
      <c r="B46" s="201" t="s">
        <v>1303</v>
      </c>
      <c r="C46" s="202">
        <v>1104126800</v>
      </c>
      <c r="D46" s="202">
        <f t="shared" si="0"/>
        <v>3919197.0991078536</v>
      </c>
      <c r="E46" s="202">
        <v>312965000</v>
      </c>
      <c r="F46" s="202">
        <f t="shared" si="22"/>
        <v>4459094.861015588</v>
      </c>
      <c r="G46" s="202">
        <f t="shared" si="1"/>
        <v>8378292</v>
      </c>
      <c r="H46" s="203">
        <f t="shared" si="6"/>
        <v>8233205.003083366</v>
      </c>
      <c r="I46" s="204">
        <f t="shared" si="7"/>
        <v>6792394</v>
      </c>
      <c r="J46" s="204">
        <f t="shared" si="8"/>
        <v>6792394</v>
      </c>
      <c r="K46" s="198">
        <f t="shared" si="9"/>
        <v>82.5</v>
      </c>
      <c r="L46" s="205"/>
      <c r="M46" s="206">
        <v>6884037</v>
      </c>
      <c r="N46" s="207">
        <f t="shared" si="10"/>
        <v>3.4500000000000003E-2</v>
      </c>
      <c r="O46" s="204">
        <f t="shared" si="11"/>
        <v>7121536</v>
      </c>
      <c r="P46" s="208">
        <f t="shared" si="12"/>
        <v>86.497736875651199</v>
      </c>
      <c r="Q46" s="208">
        <f>IF(K46&gt;P46,K46-P46,0)</f>
        <v>0</v>
      </c>
      <c r="R46" s="209">
        <f t="shared" si="14"/>
        <v>0</v>
      </c>
      <c r="S46" s="204">
        <f t="shared" si="15"/>
        <v>0</v>
      </c>
      <c r="T46" s="210">
        <f t="shared" si="16"/>
        <v>329142</v>
      </c>
      <c r="U46" s="210">
        <f t="shared" si="2"/>
        <v>279770.7</v>
      </c>
      <c r="V46" s="203">
        <f>MIN(H46*parameters!C$22,ROUND(O46+S46-U46,0))</f>
        <v>6841765</v>
      </c>
      <c r="W46" s="211">
        <f t="shared" si="17"/>
        <v>83.099655570798177</v>
      </c>
      <c r="X46" s="208"/>
      <c r="Y46" s="212">
        <f t="shared" si="18"/>
        <v>0</v>
      </c>
      <c r="Z46" s="212">
        <f t="shared" si="3"/>
        <v>0</v>
      </c>
      <c r="AA46" s="212">
        <f t="shared" si="19"/>
        <v>49371</v>
      </c>
      <c r="AB46" s="68">
        <f t="shared" si="20"/>
        <v>0.599655570798177</v>
      </c>
      <c r="AD46" s="207">
        <f t="shared" si="4"/>
        <v>4.8457436361907157E-2</v>
      </c>
      <c r="AE46" s="213">
        <f t="shared" si="21"/>
        <v>3.9977368756511993</v>
      </c>
      <c r="AF46" s="10">
        <f t="shared" si="5"/>
        <v>0</v>
      </c>
      <c r="AG46" s="214"/>
      <c r="AH46" s="214">
        <v>3.4500000000000003E-2</v>
      </c>
      <c r="AI46" s="181"/>
      <c r="AJ46" s="214"/>
      <c r="AK46" s="214"/>
      <c r="AL46" s="214"/>
      <c r="AM46" s="10"/>
      <c r="AN46" s="10"/>
    </row>
    <row r="47" spans="1:40" ht="12.75" customHeight="1">
      <c r="A47" s="201">
        <v>38</v>
      </c>
      <c r="B47" s="201" t="s">
        <v>1304</v>
      </c>
      <c r="C47" s="202">
        <v>1748702500</v>
      </c>
      <c r="D47" s="202">
        <f t="shared" si="0"/>
        <v>6207176.354384887</v>
      </c>
      <c r="E47" s="202">
        <v>943647000</v>
      </c>
      <c r="F47" s="202">
        <f t="shared" si="22"/>
        <v>13444990.616563439</v>
      </c>
      <c r="G47" s="202">
        <f t="shared" si="1"/>
        <v>19652167</v>
      </c>
      <c r="H47" s="203">
        <f t="shared" si="6"/>
        <v>14201972.930145379</v>
      </c>
      <c r="I47" s="204">
        <f t="shared" si="7"/>
        <v>11716628</v>
      </c>
      <c r="J47" s="204">
        <f t="shared" si="8"/>
        <v>11716628</v>
      </c>
      <c r="K47" s="198">
        <f t="shared" si="9"/>
        <v>82.5</v>
      </c>
      <c r="L47" s="205"/>
      <c r="M47" s="206">
        <v>11687950</v>
      </c>
      <c r="N47" s="207">
        <f t="shared" si="10"/>
        <v>3.7400000000000003E-2</v>
      </c>
      <c r="O47" s="204">
        <f t="shared" si="11"/>
        <v>12125079</v>
      </c>
      <c r="P47" s="208">
        <f t="shared" si="12"/>
        <v>85.376018245064216</v>
      </c>
      <c r="Q47" s="208">
        <f t="shared" si="13"/>
        <v>0</v>
      </c>
      <c r="R47" s="209">
        <f t="shared" si="14"/>
        <v>0</v>
      </c>
      <c r="S47" s="204">
        <f t="shared" si="15"/>
        <v>0</v>
      </c>
      <c r="T47" s="210">
        <f t="shared" si="16"/>
        <v>408451</v>
      </c>
      <c r="U47" s="210">
        <f t="shared" si="2"/>
        <v>347183.35</v>
      </c>
      <c r="V47" s="203">
        <f>MIN(H47*parameters!C$22,ROUND(O47+S47-U47,0))</f>
        <v>11777896</v>
      </c>
      <c r="W47" s="211">
        <f t="shared" si="17"/>
        <v>82.931407192024793</v>
      </c>
      <c r="X47" s="208"/>
      <c r="Y47" s="212">
        <f t="shared" si="18"/>
        <v>0</v>
      </c>
      <c r="Z47" s="212">
        <f t="shared" si="3"/>
        <v>0</v>
      </c>
      <c r="AA47" s="212">
        <f t="shared" si="19"/>
        <v>61268</v>
      </c>
      <c r="AB47" s="68">
        <f t="shared" si="20"/>
        <v>0.43140719202479261</v>
      </c>
      <c r="AD47" s="207">
        <f t="shared" si="4"/>
        <v>3.4860797833642924E-2</v>
      </c>
      <c r="AE47" s="213">
        <f t="shared" si="21"/>
        <v>2.8760182450642162</v>
      </c>
      <c r="AF47" s="10">
        <f t="shared" si="5"/>
        <v>0</v>
      </c>
      <c r="AG47" s="214"/>
      <c r="AH47" s="214">
        <v>3.7400000000000003E-2</v>
      </c>
      <c r="AI47" s="181"/>
      <c r="AJ47" s="214"/>
      <c r="AK47" s="214"/>
      <c r="AL47" s="214"/>
      <c r="AM47" s="10"/>
      <c r="AN47" s="10"/>
    </row>
    <row r="48" spans="1:40" ht="12.75" customHeight="1">
      <c r="A48" s="201">
        <v>39</v>
      </c>
      <c r="B48" s="201" t="s">
        <v>1305</v>
      </c>
      <c r="C48" s="202">
        <v>686459600</v>
      </c>
      <c r="D48" s="202">
        <f t="shared" si="0"/>
        <v>2436649.9146427182</v>
      </c>
      <c r="E48" s="202">
        <v>247223000</v>
      </c>
      <c r="F48" s="202">
        <f t="shared" si="22"/>
        <v>3522409.243285533</v>
      </c>
      <c r="G48" s="202">
        <f t="shared" si="1"/>
        <v>5959059</v>
      </c>
      <c r="H48" s="203">
        <f t="shared" si="6"/>
        <v>5962611.7502597086</v>
      </c>
      <c r="I48" s="204">
        <f t="shared" si="7"/>
        <v>4919155</v>
      </c>
      <c r="J48" s="204">
        <f t="shared" si="8"/>
        <v>4919155</v>
      </c>
      <c r="K48" s="198">
        <f t="shared" si="9"/>
        <v>82.5</v>
      </c>
      <c r="L48" s="205"/>
      <c r="M48" s="206">
        <v>4769571</v>
      </c>
      <c r="N48" s="207">
        <f t="shared" si="10"/>
        <v>4.07E-2</v>
      </c>
      <c r="O48" s="204">
        <f t="shared" si="11"/>
        <v>4963693</v>
      </c>
      <c r="P48" s="208">
        <f t="shared" si="12"/>
        <v>83.246959686479684</v>
      </c>
      <c r="Q48" s="208">
        <f t="shared" si="13"/>
        <v>0</v>
      </c>
      <c r="R48" s="209">
        <f t="shared" si="14"/>
        <v>0</v>
      </c>
      <c r="S48" s="204">
        <f t="shared" si="15"/>
        <v>0</v>
      </c>
      <c r="T48" s="210">
        <f t="shared" si="16"/>
        <v>44538</v>
      </c>
      <c r="U48" s="210">
        <f t="shared" si="2"/>
        <v>37857.299999999996</v>
      </c>
      <c r="V48" s="203">
        <f>MIN(H48*parameters!C$22,ROUND(O48+S48-U48,0))</f>
        <v>4925836</v>
      </c>
      <c r="W48" s="211">
        <f t="shared" si="17"/>
        <v>82.612053347016086</v>
      </c>
      <c r="X48" s="208"/>
      <c r="Y48" s="212">
        <f t="shared" si="18"/>
        <v>0</v>
      </c>
      <c r="Z48" s="212">
        <f t="shared" si="3"/>
        <v>0</v>
      </c>
      <c r="AA48" s="212">
        <f t="shared" si="19"/>
        <v>6681</v>
      </c>
      <c r="AB48" s="68">
        <f t="shared" si="20"/>
        <v>0.11205334701608649</v>
      </c>
      <c r="AD48" s="207">
        <f t="shared" si="4"/>
        <v>9.053994029462378E-3</v>
      </c>
      <c r="AE48" s="213">
        <f t="shared" si="21"/>
        <v>0.74695968647968414</v>
      </c>
      <c r="AF48" s="10">
        <f t="shared" si="5"/>
        <v>0</v>
      </c>
      <c r="AG48" s="214"/>
      <c r="AH48" s="214">
        <v>4.07E-2</v>
      </c>
      <c r="AI48" s="181"/>
      <c r="AJ48" s="214"/>
      <c r="AK48" s="214"/>
      <c r="AL48" s="214"/>
      <c r="AM48" s="10"/>
      <c r="AN48" s="10"/>
    </row>
    <row r="49" spans="1:40" ht="12.75" customHeight="1">
      <c r="A49" s="201">
        <v>40</v>
      </c>
      <c r="B49" s="201" t="s">
        <v>1306</v>
      </c>
      <c r="C49" s="202">
        <v>6327219800</v>
      </c>
      <c r="D49" s="202">
        <f t="shared" si="0"/>
        <v>22459034.130480099</v>
      </c>
      <c r="E49" s="202">
        <v>1435172000</v>
      </c>
      <c r="F49" s="202">
        <f t="shared" si="22"/>
        <v>20448190.979417711</v>
      </c>
      <c r="G49" s="202">
        <f t="shared" si="1"/>
        <v>42907225</v>
      </c>
      <c r="H49" s="203">
        <f t="shared" si="6"/>
        <v>60985187.077165999</v>
      </c>
      <c r="I49" s="204">
        <f t="shared" si="7"/>
        <v>50312779</v>
      </c>
      <c r="J49" s="204">
        <f t="shared" si="8"/>
        <v>42907225</v>
      </c>
      <c r="K49" s="198">
        <f t="shared" si="9"/>
        <v>70.36</v>
      </c>
      <c r="L49" s="205"/>
      <c r="M49" s="206">
        <v>41472064</v>
      </c>
      <c r="N49" s="207">
        <f t="shared" si="10"/>
        <v>3.9199999999999999E-2</v>
      </c>
      <c r="O49" s="204">
        <f t="shared" si="11"/>
        <v>43097769</v>
      </c>
      <c r="P49" s="208">
        <f t="shared" si="12"/>
        <v>70.66924127898038</v>
      </c>
      <c r="Q49" s="208">
        <f t="shared" si="13"/>
        <v>0</v>
      </c>
      <c r="R49" s="209">
        <f t="shared" si="14"/>
        <v>0</v>
      </c>
      <c r="S49" s="204">
        <f t="shared" si="15"/>
        <v>0</v>
      </c>
      <c r="T49" s="210">
        <f t="shared" si="16"/>
        <v>190544</v>
      </c>
      <c r="U49" s="210">
        <f t="shared" si="2"/>
        <v>161962.4</v>
      </c>
      <c r="V49" s="203">
        <f>MIN(H49*parameters!C$22,ROUND(O49+S49-U49,0))</f>
        <v>42935807</v>
      </c>
      <c r="W49" s="211">
        <f t="shared" si="17"/>
        <v>70.403665312483682</v>
      </c>
      <c r="X49" s="208"/>
      <c r="Y49" s="212">
        <f t="shared" si="18"/>
        <v>0</v>
      </c>
      <c r="Z49" s="212">
        <f t="shared" si="3"/>
        <v>0</v>
      </c>
      <c r="AA49" s="212">
        <f t="shared" si="19"/>
        <v>28582</v>
      </c>
      <c r="AB49" s="68">
        <f t="shared" si="20"/>
        <v>4.3665312483682328E-2</v>
      </c>
      <c r="AD49" s="207">
        <f t="shared" si="4"/>
        <v>4.4408371783539952E-3</v>
      </c>
      <c r="AE49" s="213">
        <f t="shared" si="21"/>
        <v>0.30924127898038023</v>
      </c>
      <c r="AF49" s="10">
        <f t="shared" si="5"/>
        <v>0</v>
      </c>
      <c r="AG49" s="214"/>
      <c r="AH49" s="214">
        <v>3.9199999999999999E-2</v>
      </c>
      <c r="AI49" s="181"/>
      <c r="AJ49" s="214"/>
      <c r="AK49" s="214"/>
      <c r="AL49" s="214"/>
      <c r="AM49" s="10"/>
      <c r="AN49" s="10"/>
    </row>
    <row r="50" spans="1:40" ht="12.75" customHeight="1">
      <c r="A50" s="201">
        <v>41</v>
      </c>
      <c r="B50" s="201" t="s">
        <v>1307</v>
      </c>
      <c r="C50" s="202">
        <v>3720926000</v>
      </c>
      <c r="D50" s="202">
        <f t="shared" si="0"/>
        <v>13207760.544527123</v>
      </c>
      <c r="E50" s="202">
        <v>313019000</v>
      </c>
      <c r="F50" s="202">
        <f t="shared" si="22"/>
        <v>4459864.2477600966</v>
      </c>
      <c r="G50" s="202">
        <f t="shared" si="1"/>
        <v>17667625</v>
      </c>
      <c r="H50" s="203">
        <f t="shared" si="6"/>
        <v>11289902.174233655</v>
      </c>
      <c r="I50" s="204">
        <f t="shared" si="7"/>
        <v>9314169</v>
      </c>
      <c r="J50" s="204">
        <f t="shared" si="8"/>
        <v>9314169</v>
      </c>
      <c r="K50" s="198">
        <f t="shared" si="9"/>
        <v>82.5</v>
      </c>
      <c r="L50" s="205"/>
      <c r="M50" s="206">
        <v>9353147</v>
      </c>
      <c r="N50" s="207">
        <f t="shared" si="10"/>
        <v>3.3300000000000003E-2</v>
      </c>
      <c r="O50" s="204">
        <f t="shared" si="11"/>
        <v>9664607</v>
      </c>
      <c r="P50" s="208">
        <f t="shared" si="12"/>
        <v>85.603992407100037</v>
      </c>
      <c r="Q50" s="208">
        <f t="shared" si="13"/>
        <v>0</v>
      </c>
      <c r="R50" s="209">
        <f t="shared" si="14"/>
        <v>0</v>
      </c>
      <c r="S50" s="204">
        <f t="shared" si="15"/>
        <v>0</v>
      </c>
      <c r="T50" s="210">
        <f t="shared" si="16"/>
        <v>350438</v>
      </c>
      <c r="U50" s="210">
        <f t="shared" si="2"/>
        <v>297872.3</v>
      </c>
      <c r="V50" s="203">
        <f>MIN(H50*parameters!C$22,ROUND(O50+S50-U50,0))</f>
        <v>9366735</v>
      </c>
      <c r="W50" s="211">
        <f t="shared" si="17"/>
        <v>82.965599306761078</v>
      </c>
      <c r="X50" s="208"/>
      <c r="Y50" s="212">
        <f t="shared" si="18"/>
        <v>0</v>
      </c>
      <c r="Z50" s="212">
        <f t="shared" si="3"/>
        <v>0</v>
      </c>
      <c r="AA50" s="212">
        <f t="shared" si="19"/>
        <v>52566</v>
      </c>
      <c r="AB50" s="68">
        <f t="shared" si="20"/>
        <v>0.46559930676107797</v>
      </c>
      <c r="AD50" s="207">
        <f t="shared" si="4"/>
        <v>3.7624183112846675E-2</v>
      </c>
      <c r="AE50" s="213">
        <f t="shared" si="21"/>
        <v>3.1039924071000371</v>
      </c>
      <c r="AF50" s="10">
        <f t="shared" si="5"/>
        <v>0</v>
      </c>
      <c r="AG50" s="214"/>
      <c r="AH50" s="214">
        <v>3.3300000000000003E-2</v>
      </c>
      <c r="AI50" s="181"/>
      <c r="AJ50" s="214"/>
      <c r="AK50" s="214"/>
      <c r="AL50" s="214"/>
      <c r="AM50" s="10"/>
      <c r="AN50" s="10"/>
    </row>
    <row r="51" spans="1:40" ht="12.75" customHeight="1">
      <c r="A51" s="201">
        <v>42</v>
      </c>
      <c r="B51" s="201" t="s">
        <v>1308</v>
      </c>
      <c r="C51" s="202">
        <v>2684073900</v>
      </c>
      <c r="D51" s="202">
        <f t="shared" si="0"/>
        <v>9527361.0265334584</v>
      </c>
      <c r="E51" s="202">
        <v>801354000</v>
      </c>
      <c r="F51" s="202">
        <f t="shared" si="22"/>
        <v>11417613.80107771</v>
      </c>
      <c r="G51" s="202">
        <f t="shared" si="1"/>
        <v>20944975</v>
      </c>
      <c r="H51" s="203">
        <f t="shared" si="6"/>
        <v>33834660.370878831</v>
      </c>
      <c r="I51" s="204">
        <f t="shared" si="7"/>
        <v>27913595</v>
      </c>
      <c r="J51" s="204">
        <f t="shared" si="8"/>
        <v>20944975</v>
      </c>
      <c r="K51" s="198">
        <f t="shared" si="9"/>
        <v>61.9</v>
      </c>
      <c r="L51" s="205"/>
      <c r="M51" s="206">
        <v>20604836</v>
      </c>
      <c r="N51" s="207">
        <f t="shared" si="10"/>
        <v>5.4699999999999999E-2</v>
      </c>
      <c r="O51" s="204">
        <f t="shared" si="11"/>
        <v>21731921</v>
      </c>
      <c r="P51" s="208">
        <f t="shared" si="12"/>
        <v>64.2297595477106</v>
      </c>
      <c r="Q51" s="208">
        <f t="shared" si="13"/>
        <v>0</v>
      </c>
      <c r="R51" s="209">
        <f t="shared" si="14"/>
        <v>0</v>
      </c>
      <c r="S51" s="204">
        <f t="shared" si="15"/>
        <v>0</v>
      </c>
      <c r="T51" s="210">
        <f t="shared" si="16"/>
        <v>786946</v>
      </c>
      <c r="U51" s="210">
        <f t="shared" si="2"/>
        <v>668904.1</v>
      </c>
      <c r="V51" s="203">
        <f>MIN(H51*parameters!C$22,ROUND(O51+S51-U51,0))</f>
        <v>21063017</v>
      </c>
      <c r="W51" s="211">
        <f t="shared" si="17"/>
        <v>62.252780932681496</v>
      </c>
      <c r="X51" s="208"/>
      <c r="Y51" s="212">
        <f t="shared" si="18"/>
        <v>0</v>
      </c>
      <c r="Z51" s="212">
        <f t="shared" si="3"/>
        <v>0</v>
      </c>
      <c r="AA51" s="212">
        <f t="shared" si="19"/>
        <v>118042</v>
      </c>
      <c r="AB51" s="68">
        <f t="shared" si="20"/>
        <v>0.35278093268149746</v>
      </c>
      <c r="AD51" s="207">
        <f t="shared" si="4"/>
        <v>3.7572066808387213E-2</v>
      </c>
      <c r="AE51" s="213">
        <f t="shared" si="21"/>
        <v>2.3297595477106015</v>
      </c>
      <c r="AF51" s="10">
        <f t="shared" si="5"/>
        <v>0</v>
      </c>
      <c r="AG51" s="214"/>
      <c r="AH51" s="214">
        <v>5.4699999999999999E-2</v>
      </c>
      <c r="AI51" s="181"/>
      <c r="AJ51" s="214"/>
      <c r="AK51" s="214"/>
      <c r="AL51" s="214"/>
      <c r="AM51" s="10"/>
      <c r="AN51" s="10"/>
    </row>
    <row r="52" spans="1:40" ht="12.75" customHeight="1">
      <c r="A52" s="201">
        <v>43</v>
      </c>
      <c r="B52" s="201" t="s">
        <v>1309</v>
      </c>
      <c r="C52" s="202">
        <v>417860100</v>
      </c>
      <c r="D52" s="202">
        <f t="shared" si="0"/>
        <v>1483231.900315179</v>
      </c>
      <c r="E52" s="202">
        <v>119618000</v>
      </c>
      <c r="F52" s="202">
        <f t="shared" si="22"/>
        <v>1704305.6223058894</v>
      </c>
      <c r="G52" s="202">
        <f t="shared" si="1"/>
        <v>3187538</v>
      </c>
      <c r="H52" s="203">
        <f t="shared" si="6"/>
        <v>5598967.8941267375</v>
      </c>
      <c r="I52" s="204">
        <f t="shared" si="7"/>
        <v>4619149</v>
      </c>
      <c r="J52" s="204">
        <f t="shared" si="8"/>
        <v>3187538</v>
      </c>
      <c r="K52" s="198">
        <f t="shared" si="9"/>
        <v>56.93</v>
      </c>
      <c r="L52" s="205"/>
      <c r="M52" s="206">
        <v>3288243</v>
      </c>
      <c r="N52" s="207">
        <f t="shared" si="10"/>
        <v>4.5600000000000002E-2</v>
      </c>
      <c r="O52" s="204">
        <f t="shared" si="11"/>
        <v>3438187</v>
      </c>
      <c r="P52" s="208">
        <f t="shared" si="12"/>
        <v>61.407514117139776</v>
      </c>
      <c r="Q52" s="208">
        <f t="shared" si="13"/>
        <v>0</v>
      </c>
      <c r="R52" s="209">
        <f t="shared" si="14"/>
        <v>0</v>
      </c>
      <c r="S52" s="204">
        <f t="shared" si="15"/>
        <v>0</v>
      </c>
      <c r="T52" s="210">
        <f t="shared" si="16"/>
        <v>250649</v>
      </c>
      <c r="U52" s="210">
        <f t="shared" si="2"/>
        <v>213051.65</v>
      </c>
      <c r="V52" s="203">
        <f>MIN(H52*parameters!C$22,ROUND(O52+S52-U52,0))</f>
        <v>3225135</v>
      </c>
      <c r="W52" s="211">
        <f t="shared" si="17"/>
        <v>57.602312800956319</v>
      </c>
      <c r="X52" s="208"/>
      <c r="Y52" s="212">
        <f t="shared" si="18"/>
        <v>0</v>
      </c>
      <c r="Z52" s="212">
        <f t="shared" si="3"/>
        <v>0</v>
      </c>
      <c r="AA52" s="212">
        <f t="shared" si="19"/>
        <v>37597</v>
      </c>
      <c r="AB52" s="68">
        <f t="shared" si="20"/>
        <v>0.67231280095631973</v>
      </c>
      <c r="AD52" s="207">
        <f t="shared" si="4"/>
        <v>7.8634042951017363E-2</v>
      </c>
      <c r="AE52" s="213">
        <f t="shared" si="21"/>
        <v>4.4775141171397763</v>
      </c>
      <c r="AF52" s="10">
        <f t="shared" si="5"/>
        <v>0</v>
      </c>
      <c r="AG52" s="214"/>
      <c r="AH52" s="214">
        <v>4.5600000000000002E-2</v>
      </c>
      <c r="AI52" s="181"/>
      <c r="AJ52" s="214"/>
      <c r="AK52" s="214"/>
      <c r="AL52" s="214"/>
      <c r="AM52" s="10"/>
      <c r="AN52" s="10"/>
    </row>
    <row r="53" spans="1:40" ht="12.75" customHeight="1">
      <c r="A53" s="201">
        <v>44</v>
      </c>
      <c r="B53" s="201" t="s">
        <v>1310</v>
      </c>
      <c r="C53" s="202">
        <v>6479586800</v>
      </c>
      <c r="D53" s="202">
        <f t="shared" si="0"/>
        <v>22999874.461862117</v>
      </c>
      <c r="E53" s="202">
        <v>1841711000</v>
      </c>
      <c r="F53" s="202">
        <f t="shared" si="22"/>
        <v>26240519.085443679</v>
      </c>
      <c r="G53" s="202">
        <f t="shared" si="1"/>
        <v>49240394</v>
      </c>
      <c r="H53" s="203">
        <f t="shared" si="6"/>
        <v>226376628.23092112</v>
      </c>
      <c r="I53" s="204">
        <f t="shared" si="7"/>
        <v>186760718</v>
      </c>
      <c r="J53" s="204">
        <f t="shared" si="8"/>
        <v>49240394</v>
      </c>
      <c r="K53" s="198">
        <f t="shared" si="9"/>
        <v>21.75</v>
      </c>
      <c r="L53" s="205"/>
      <c r="M53" s="206">
        <v>43394386</v>
      </c>
      <c r="N53" s="207">
        <f t="shared" si="10"/>
        <v>4.6799999999999994E-2</v>
      </c>
      <c r="O53" s="204">
        <f t="shared" si="11"/>
        <v>45425243</v>
      </c>
      <c r="P53" s="208">
        <f t="shared" si="12"/>
        <v>20.06622474898904</v>
      </c>
      <c r="Q53" s="208">
        <f t="shared" si="13"/>
        <v>1.6837752510109603</v>
      </c>
      <c r="R53" s="209">
        <f t="shared" si="14"/>
        <v>0</v>
      </c>
      <c r="S53" s="204">
        <f t="shared" si="15"/>
        <v>0</v>
      </c>
      <c r="T53" s="210">
        <f t="shared" si="16"/>
        <v>0</v>
      </c>
      <c r="U53" s="210">
        <f t="shared" si="2"/>
        <v>0</v>
      </c>
      <c r="V53" s="203">
        <f>MIN(H53*parameters!C$22,ROUND(O53+S53-U53,0))</f>
        <v>45425243</v>
      </c>
      <c r="W53" s="211">
        <f t="shared" si="17"/>
        <v>20.06622474898904</v>
      </c>
      <c r="X53" s="208"/>
      <c r="Y53" s="212">
        <f t="shared" si="18"/>
        <v>-3815151</v>
      </c>
      <c r="Z53" s="212">
        <f t="shared" si="3"/>
        <v>3815151</v>
      </c>
      <c r="AA53" s="212">
        <f t="shared" si="19"/>
        <v>0</v>
      </c>
      <c r="AB53" s="68">
        <f t="shared" si="20"/>
        <v>-1.6837752510109603</v>
      </c>
      <c r="AD53" s="207">
        <f t="shared" si="4"/>
        <v>-7.7480107084439656E-2</v>
      </c>
      <c r="AE53" s="213">
        <f t="shared" si="21"/>
        <v>-1.6837752510109603</v>
      </c>
      <c r="AF53" s="10">
        <f t="shared" si="5"/>
        <v>433943.86</v>
      </c>
      <c r="AG53" s="214"/>
      <c r="AH53" s="214">
        <v>4.6799999999999994E-2</v>
      </c>
      <c r="AI53" s="181"/>
      <c r="AJ53" s="214"/>
      <c r="AK53" s="214"/>
      <c r="AL53" s="214"/>
      <c r="AM53" s="10"/>
      <c r="AN53" s="10"/>
    </row>
    <row r="54" spans="1:40" ht="12.75" customHeight="1">
      <c r="A54" s="201">
        <v>45</v>
      </c>
      <c r="B54" s="201" t="s">
        <v>1311</v>
      </c>
      <c r="C54" s="202">
        <v>262013600</v>
      </c>
      <c r="D54" s="202">
        <f t="shared" si="0"/>
        <v>930040.77162768401</v>
      </c>
      <c r="E54" s="202">
        <v>88655000</v>
      </c>
      <c r="F54" s="202">
        <f t="shared" si="22"/>
        <v>1263147.8117467992</v>
      </c>
      <c r="G54" s="202">
        <f t="shared" si="1"/>
        <v>2193189</v>
      </c>
      <c r="H54" s="203">
        <f t="shared" si="6"/>
        <v>5135313.1315007955</v>
      </c>
      <c r="I54" s="204">
        <f t="shared" si="7"/>
        <v>4236633</v>
      </c>
      <c r="J54" s="204">
        <f t="shared" si="8"/>
        <v>2193189</v>
      </c>
      <c r="K54" s="198">
        <f t="shared" si="9"/>
        <v>42.71</v>
      </c>
      <c r="L54" s="205"/>
      <c r="M54" s="206">
        <v>2217812</v>
      </c>
      <c r="N54" s="207">
        <f t="shared" si="10"/>
        <v>4.0899999999999999E-2</v>
      </c>
      <c r="O54" s="204">
        <f t="shared" si="11"/>
        <v>2308521</v>
      </c>
      <c r="P54" s="208">
        <f t="shared" si="12"/>
        <v>44.953850736757985</v>
      </c>
      <c r="Q54" s="208">
        <f t="shared" si="13"/>
        <v>0</v>
      </c>
      <c r="R54" s="209">
        <f t="shared" si="14"/>
        <v>0</v>
      </c>
      <c r="S54" s="204">
        <f t="shared" si="15"/>
        <v>0</v>
      </c>
      <c r="T54" s="210">
        <f t="shared" si="16"/>
        <v>115332</v>
      </c>
      <c r="U54" s="210">
        <f t="shared" si="2"/>
        <v>98032.2</v>
      </c>
      <c r="V54" s="203">
        <f>MIN(H54*parameters!C$22,ROUND(O54+S54-U54,0))</f>
        <v>2210489</v>
      </c>
      <c r="W54" s="211">
        <f t="shared" si="17"/>
        <v>43.04487269608785</v>
      </c>
      <c r="X54" s="208"/>
      <c r="Y54" s="212">
        <f t="shared" si="18"/>
        <v>0</v>
      </c>
      <c r="Z54" s="212">
        <f t="shared" si="3"/>
        <v>0</v>
      </c>
      <c r="AA54" s="212">
        <f t="shared" si="19"/>
        <v>17300</v>
      </c>
      <c r="AB54" s="68">
        <f t="shared" si="20"/>
        <v>0.33487269608784942</v>
      </c>
      <c r="AD54" s="207">
        <f t="shared" si="4"/>
        <v>5.2586439198810501E-2</v>
      </c>
      <c r="AE54" s="213">
        <f t="shared" si="21"/>
        <v>2.2438507367579845</v>
      </c>
      <c r="AF54" s="10">
        <f t="shared" si="5"/>
        <v>0</v>
      </c>
      <c r="AG54" s="214"/>
      <c r="AH54" s="214">
        <v>4.0899999999999999E-2</v>
      </c>
      <c r="AI54" s="181"/>
      <c r="AJ54" s="214"/>
      <c r="AK54" s="214"/>
      <c r="AL54" s="214"/>
      <c r="AM54" s="10"/>
      <c r="AN54" s="10"/>
    </row>
    <row r="55" spans="1:40" ht="12.75" customHeight="1">
      <c r="A55" s="201">
        <v>46</v>
      </c>
      <c r="B55" s="201" t="s">
        <v>1312</v>
      </c>
      <c r="C55" s="202">
        <v>20944753300</v>
      </c>
      <c r="D55" s="202">
        <f t="shared" si="0"/>
        <v>74345280.247603491</v>
      </c>
      <c r="E55" s="202">
        <v>4664847000</v>
      </c>
      <c r="F55" s="202">
        <f t="shared" si="22"/>
        <v>66464286.054747291</v>
      </c>
      <c r="G55" s="202">
        <f t="shared" si="1"/>
        <v>140809566</v>
      </c>
      <c r="H55" s="203">
        <f t="shared" si="6"/>
        <v>75819883.374121532</v>
      </c>
      <c r="I55" s="204">
        <f t="shared" si="7"/>
        <v>62551404</v>
      </c>
      <c r="J55" s="204">
        <f t="shared" si="8"/>
        <v>62551404</v>
      </c>
      <c r="K55" s="198">
        <f t="shared" si="9"/>
        <v>82.5</v>
      </c>
      <c r="L55" s="205"/>
      <c r="M55" s="206">
        <v>60679638</v>
      </c>
      <c r="N55" s="207">
        <f t="shared" si="10"/>
        <v>3.5099999999999999E-2</v>
      </c>
      <c r="O55" s="204">
        <f t="shared" si="11"/>
        <v>62809493</v>
      </c>
      <c r="P55" s="208">
        <f t="shared" si="12"/>
        <v>82.840397801822292</v>
      </c>
      <c r="Q55" s="208">
        <f t="shared" si="13"/>
        <v>0</v>
      </c>
      <c r="R55" s="209">
        <f t="shared" si="14"/>
        <v>0</v>
      </c>
      <c r="S55" s="204">
        <f t="shared" si="15"/>
        <v>0</v>
      </c>
      <c r="T55" s="210">
        <f t="shared" si="16"/>
        <v>258089</v>
      </c>
      <c r="U55" s="210">
        <f t="shared" si="2"/>
        <v>219375.65</v>
      </c>
      <c r="V55" s="203">
        <f>MIN(H55*parameters!C$22,ROUND(O55+S55-U55,0))</f>
        <v>62590117</v>
      </c>
      <c r="W55" s="211">
        <f t="shared" si="17"/>
        <v>82.551059451197929</v>
      </c>
      <c r="X55" s="208"/>
      <c r="Y55" s="212">
        <f t="shared" si="18"/>
        <v>0</v>
      </c>
      <c r="Z55" s="212">
        <f t="shared" si="3"/>
        <v>0</v>
      </c>
      <c r="AA55" s="212">
        <f t="shared" si="19"/>
        <v>38713</v>
      </c>
      <c r="AB55" s="68">
        <f t="shared" si="20"/>
        <v>5.1059451197929207E-2</v>
      </c>
      <c r="AD55" s="207">
        <f t="shared" si="4"/>
        <v>4.1260304884603392E-3</v>
      </c>
      <c r="AE55" s="213">
        <f t="shared" si="21"/>
        <v>0.34039780182229151</v>
      </c>
      <c r="AF55" s="10">
        <f t="shared" si="5"/>
        <v>0</v>
      </c>
      <c r="AG55" s="214"/>
      <c r="AH55" s="214">
        <v>3.5099999999999999E-2</v>
      </c>
      <c r="AI55" s="181"/>
      <c r="AJ55" s="214"/>
      <c r="AK55" s="214"/>
      <c r="AL55" s="214"/>
      <c r="AM55" s="10"/>
      <c r="AN55" s="10"/>
    </row>
    <row r="56" spans="1:40" ht="12.75" customHeight="1">
      <c r="A56" s="201">
        <v>47</v>
      </c>
      <c r="B56" s="201" t="s">
        <v>1313</v>
      </c>
      <c r="C56" s="202">
        <v>222381700</v>
      </c>
      <c r="D56" s="202">
        <f t="shared" si="0"/>
        <v>789363.78823036712</v>
      </c>
      <c r="E56" s="202">
        <v>37589760</v>
      </c>
      <c r="F56" s="202">
        <f t="shared" si="22"/>
        <v>535575.24209674983</v>
      </c>
      <c r="G56" s="202">
        <f t="shared" si="1"/>
        <v>1324939</v>
      </c>
      <c r="H56" s="203">
        <f t="shared" si="6"/>
        <v>2121967.5371610103</v>
      </c>
      <c r="I56" s="204">
        <f t="shared" si="7"/>
        <v>1750623</v>
      </c>
      <c r="J56" s="204">
        <f t="shared" si="8"/>
        <v>1324939</v>
      </c>
      <c r="K56" s="198">
        <f t="shared" si="9"/>
        <v>62.44</v>
      </c>
      <c r="L56" s="205"/>
      <c r="M56" s="206">
        <v>1363763</v>
      </c>
      <c r="N56" s="207">
        <f t="shared" si="10"/>
        <v>3.5200000000000002E-2</v>
      </c>
      <c r="O56" s="204">
        <f t="shared" si="11"/>
        <v>1411767</v>
      </c>
      <c r="P56" s="208">
        <f t="shared" si="12"/>
        <v>66.53103665708332</v>
      </c>
      <c r="Q56" s="208">
        <f t="shared" si="13"/>
        <v>0</v>
      </c>
      <c r="R56" s="209">
        <f t="shared" si="14"/>
        <v>0</v>
      </c>
      <c r="S56" s="204">
        <f t="shared" si="15"/>
        <v>0</v>
      </c>
      <c r="T56" s="210">
        <f t="shared" si="16"/>
        <v>86828</v>
      </c>
      <c r="U56" s="210">
        <f t="shared" si="2"/>
        <v>73803.8</v>
      </c>
      <c r="V56" s="203">
        <f>MIN(H56*parameters!C$22,ROUND(O56+S56-U56,0))</f>
        <v>1337963</v>
      </c>
      <c r="W56" s="211">
        <f t="shared" si="17"/>
        <v>63.052943863131226</v>
      </c>
      <c r="X56" s="208"/>
      <c r="Y56" s="212">
        <f t="shared" si="18"/>
        <v>0</v>
      </c>
      <c r="Z56" s="212">
        <f t="shared" si="3"/>
        <v>0</v>
      </c>
      <c r="AA56" s="212">
        <f t="shared" si="19"/>
        <v>13024</v>
      </c>
      <c r="AB56" s="68">
        <f t="shared" si="20"/>
        <v>0.61294386313122828</v>
      </c>
      <c r="AD56" s="207">
        <f t="shared" si="4"/>
        <v>6.5533583055521802E-2</v>
      </c>
      <c r="AE56" s="213">
        <f t="shared" si="21"/>
        <v>4.0910366570833219</v>
      </c>
      <c r="AF56" s="10">
        <f t="shared" si="5"/>
        <v>0</v>
      </c>
      <c r="AG56" s="214"/>
      <c r="AH56" s="214">
        <v>3.5200000000000002E-2</v>
      </c>
      <c r="AI56" s="181"/>
      <c r="AJ56" s="214"/>
      <c r="AK56" s="214"/>
      <c r="AL56" s="214"/>
      <c r="AM56" s="10"/>
      <c r="AN56" s="10"/>
    </row>
    <row r="57" spans="1:40" ht="12.75" customHeight="1">
      <c r="A57" s="201">
        <v>48</v>
      </c>
      <c r="B57" s="201" t="s">
        <v>1314</v>
      </c>
      <c r="C57" s="202">
        <v>6191239400</v>
      </c>
      <c r="D57" s="202">
        <f t="shared" si="0"/>
        <v>21976359.505413916</v>
      </c>
      <c r="E57" s="202">
        <v>1109005000</v>
      </c>
      <c r="F57" s="202">
        <f t="shared" si="22"/>
        <v>15800995.307272675</v>
      </c>
      <c r="G57" s="202">
        <f t="shared" si="1"/>
        <v>37777355</v>
      </c>
      <c r="H57" s="203">
        <f t="shared" si="6"/>
        <v>37682720.665782586</v>
      </c>
      <c r="I57" s="204">
        <f t="shared" si="7"/>
        <v>31088245</v>
      </c>
      <c r="J57" s="204">
        <f t="shared" si="8"/>
        <v>31088245</v>
      </c>
      <c r="K57" s="198">
        <f t="shared" si="9"/>
        <v>82.5</v>
      </c>
      <c r="L57" s="205"/>
      <c r="M57" s="206">
        <v>30292229</v>
      </c>
      <c r="N57" s="207">
        <f t="shared" si="10"/>
        <v>5.3900000000000003E-2</v>
      </c>
      <c r="O57" s="204">
        <f t="shared" si="11"/>
        <v>31924980</v>
      </c>
      <c r="P57" s="208">
        <f t="shared" si="12"/>
        <v>84.720475156638983</v>
      </c>
      <c r="Q57" s="208">
        <f t="shared" si="13"/>
        <v>0</v>
      </c>
      <c r="R57" s="209">
        <f t="shared" si="14"/>
        <v>0</v>
      </c>
      <c r="S57" s="204">
        <f t="shared" si="15"/>
        <v>0</v>
      </c>
      <c r="T57" s="210">
        <f t="shared" si="16"/>
        <v>836735</v>
      </c>
      <c r="U57" s="210">
        <f t="shared" si="2"/>
        <v>711224.75</v>
      </c>
      <c r="V57" s="203">
        <f>MIN(H57*parameters!C$22,ROUND(O57+S57-U57,0))</f>
        <v>31213755</v>
      </c>
      <c r="W57" s="211">
        <f t="shared" si="17"/>
        <v>82.833071626761111</v>
      </c>
      <c r="X57" s="208"/>
      <c r="Y57" s="212">
        <f t="shared" si="18"/>
        <v>0</v>
      </c>
      <c r="Z57" s="212">
        <f t="shared" si="3"/>
        <v>0</v>
      </c>
      <c r="AA57" s="212">
        <f t="shared" si="19"/>
        <v>125510</v>
      </c>
      <c r="AB57" s="68">
        <f t="shared" si="20"/>
        <v>0.33307162676111091</v>
      </c>
      <c r="AD57" s="207">
        <f t="shared" si="4"/>
        <v>2.6914835494895258E-2</v>
      </c>
      <c r="AE57" s="213">
        <f t="shared" si="21"/>
        <v>2.2204751566389831</v>
      </c>
      <c r="AF57" s="10">
        <f t="shared" si="5"/>
        <v>0</v>
      </c>
      <c r="AG57" s="214"/>
      <c r="AH57" s="214">
        <v>5.3900000000000003E-2</v>
      </c>
      <c r="AI57" s="181"/>
      <c r="AJ57" s="214"/>
      <c r="AK57" s="214"/>
      <c r="AL57" s="214"/>
      <c r="AM57" s="10"/>
      <c r="AN57" s="10"/>
    </row>
    <row r="58" spans="1:40" ht="12.75" customHeight="1">
      <c r="A58" s="201">
        <v>49</v>
      </c>
      <c r="B58" s="201" t="s">
        <v>1315</v>
      </c>
      <c r="C58" s="202">
        <v>39570828700</v>
      </c>
      <c r="D58" s="202">
        <f t="shared" si="0"/>
        <v>140460205.34084836</v>
      </c>
      <c r="E58" s="202">
        <v>6470673000</v>
      </c>
      <c r="F58" s="202">
        <f t="shared" si="22"/>
        <v>92193519.152660266</v>
      </c>
      <c r="G58" s="202">
        <f t="shared" si="1"/>
        <v>232653724</v>
      </c>
      <c r="H58" s="203">
        <f t="shared" si="6"/>
        <v>84055799.773383468</v>
      </c>
      <c r="I58" s="204">
        <f t="shared" si="7"/>
        <v>69346035</v>
      </c>
      <c r="J58" s="204">
        <f t="shared" si="8"/>
        <v>69346035</v>
      </c>
      <c r="K58" s="198">
        <f t="shared" si="9"/>
        <v>82.5</v>
      </c>
      <c r="L58" s="205"/>
      <c r="M58" s="206">
        <v>67464934</v>
      </c>
      <c r="N58" s="207">
        <f t="shared" si="10"/>
        <v>6.1699999999999998E-2</v>
      </c>
      <c r="O58" s="204">
        <f t="shared" si="11"/>
        <v>71627520</v>
      </c>
      <c r="P58" s="208">
        <f t="shared" si="12"/>
        <v>85.214250763313871</v>
      </c>
      <c r="Q58" s="208">
        <f t="shared" si="13"/>
        <v>0</v>
      </c>
      <c r="R58" s="209">
        <f t="shared" si="14"/>
        <v>0</v>
      </c>
      <c r="S58" s="204">
        <f t="shared" si="15"/>
        <v>0</v>
      </c>
      <c r="T58" s="210">
        <f t="shared" si="16"/>
        <v>2281485</v>
      </c>
      <c r="U58" s="210">
        <f t="shared" si="2"/>
        <v>1939262.25</v>
      </c>
      <c r="V58" s="203">
        <f>MIN(H58*parameters!C$22,ROUND(O58+S58-U58,0))</f>
        <v>69688258</v>
      </c>
      <c r="W58" s="211">
        <f t="shared" si="17"/>
        <v>82.907138100977306</v>
      </c>
      <c r="X58" s="208"/>
      <c r="Y58" s="212">
        <f t="shared" si="18"/>
        <v>0</v>
      </c>
      <c r="Z58" s="212">
        <f t="shared" si="3"/>
        <v>0</v>
      </c>
      <c r="AA58" s="212">
        <f t="shared" si="19"/>
        <v>342223</v>
      </c>
      <c r="AB58" s="68">
        <f t="shared" si="20"/>
        <v>0.40713810097730629</v>
      </c>
      <c r="AD58" s="207">
        <f t="shared" si="4"/>
        <v>3.2900006467565163E-2</v>
      </c>
      <c r="AE58" s="213">
        <f t="shared" si="21"/>
        <v>2.7142507633138706</v>
      </c>
      <c r="AF58" s="10">
        <f t="shared" si="5"/>
        <v>0</v>
      </c>
      <c r="AG58" s="214"/>
      <c r="AH58" s="214">
        <v>6.1699999999999998E-2</v>
      </c>
      <c r="AI58" s="181"/>
      <c r="AJ58" s="214"/>
      <c r="AK58" s="214"/>
      <c r="AL58" s="214"/>
      <c r="AM58" s="10"/>
      <c r="AN58" s="10"/>
    </row>
    <row r="59" spans="1:40" ht="12.75" customHeight="1">
      <c r="A59" s="201">
        <v>50</v>
      </c>
      <c r="B59" s="201" t="s">
        <v>1316</v>
      </c>
      <c r="C59" s="202">
        <v>4615563300</v>
      </c>
      <c r="D59" s="202">
        <f t="shared" si="0"/>
        <v>16383355.875528673</v>
      </c>
      <c r="E59" s="202">
        <v>1251113000</v>
      </c>
      <c r="F59" s="202">
        <f t="shared" si="22"/>
        <v>17825736.260763332</v>
      </c>
      <c r="G59" s="202">
        <f t="shared" si="1"/>
        <v>34209092</v>
      </c>
      <c r="H59" s="203">
        <f t="shared" si="6"/>
        <v>34952750.612058751</v>
      </c>
      <c r="I59" s="204">
        <f t="shared" si="7"/>
        <v>28836019</v>
      </c>
      <c r="J59" s="204">
        <f t="shared" si="8"/>
        <v>28836019</v>
      </c>
      <c r="K59" s="198">
        <f t="shared" si="9"/>
        <v>82.5</v>
      </c>
      <c r="L59" s="205"/>
      <c r="M59" s="206">
        <v>27347105</v>
      </c>
      <c r="N59" s="207">
        <f t="shared" si="10"/>
        <v>5.0299999999999991E-2</v>
      </c>
      <c r="O59" s="204">
        <f t="shared" si="11"/>
        <v>28722664</v>
      </c>
      <c r="P59" s="208">
        <f t="shared" si="12"/>
        <v>82.175690030216501</v>
      </c>
      <c r="Q59" s="208">
        <f t="shared" si="13"/>
        <v>0.32430996978349924</v>
      </c>
      <c r="R59" s="209">
        <f t="shared" si="14"/>
        <v>0</v>
      </c>
      <c r="S59" s="204">
        <f t="shared" si="15"/>
        <v>0</v>
      </c>
      <c r="T59" s="210">
        <f t="shared" si="16"/>
        <v>0</v>
      </c>
      <c r="U59" s="210">
        <f t="shared" si="2"/>
        <v>0</v>
      </c>
      <c r="V59" s="203">
        <f>MIN(H59*parameters!C$22,ROUND(O59+S59-U59,0))</f>
        <v>28722664</v>
      </c>
      <c r="W59" s="211">
        <f t="shared" si="17"/>
        <v>82.175690030216501</v>
      </c>
      <c r="X59" s="208"/>
      <c r="Y59" s="212">
        <f t="shared" si="18"/>
        <v>-113355</v>
      </c>
      <c r="Z59" s="212">
        <f t="shared" si="3"/>
        <v>113355</v>
      </c>
      <c r="AA59" s="212">
        <f t="shared" si="19"/>
        <v>0</v>
      </c>
      <c r="AB59" s="68">
        <f t="shared" si="20"/>
        <v>-0.32430996978349924</v>
      </c>
      <c r="AD59" s="207">
        <f t="shared" si="4"/>
        <v>-3.9310211302052474E-3</v>
      </c>
      <c r="AE59" s="213">
        <f t="shared" si="21"/>
        <v>-0.32430996978349924</v>
      </c>
      <c r="AF59" s="10">
        <f t="shared" si="5"/>
        <v>0</v>
      </c>
      <c r="AG59" s="214"/>
      <c r="AH59" s="214">
        <v>5.0299999999999991E-2</v>
      </c>
      <c r="AI59" s="181"/>
      <c r="AJ59" s="214"/>
      <c r="AK59" s="214"/>
      <c r="AL59" s="214"/>
      <c r="AM59" s="10"/>
      <c r="AN59" s="10"/>
    </row>
    <row r="60" spans="1:40" ht="12.75" customHeight="1">
      <c r="A60" s="201">
        <v>51</v>
      </c>
      <c r="B60" s="201" t="s">
        <v>1317</v>
      </c>
      <c r="C60" s="202">
        <v>1517185600</v>
      </c>
      <c r="D60" s="202">
        <f t="shared" si="0"/>
        <v>5385386.3544732435</v>
      </c>
      <c r="E60" s="202">
        <v>617649000</v>
      </c>
      <c r="F60" s="202">
        <f t="shared" si="22"/>
        <v>8800202.8399706595</v>
      </c>
      <c r="G60" s="202">
        <f t="shared" si="1"/>
        <v>14185589</v>
      </c>
      <c r="H60" s="203">
        <f t="shared" si="6"/>
        <v>8905693.8957095798</v>
      </c>
      <c r="I60" s="204">
        <f t="shared" si="7"/>
        <v>7347197</v>
      </c>
      <c r="J60" s="204">
        <f t="shared" si="8"/>
        <v>7347197</v>
      </c>
      <c r="K60" s="198">
        <f t="shared" si="9"/>
        <v>82.5</v>
      </c>
      <c r="L60" s="205"/>
      <c r="M60" s="206">
        <v>7456564</v>
      </c>
      <c r="N60" s="207">
        <f t="shared" si="10"/>
        <v>4.3299999999999998E-2</v>
      </c>
      <c r="O60" s="204">
        <f t="shared" si="11"/>
        <v>7779433</v>
      </c>
      <c r="P60" s="208">
        <f t="shared" si="12"/>
        <v>87.353473980818393</v>
      </c>
      <c r="Q60" s="208">
        <f t="shared" si="13"/>
        <v>0</v>
      </c>
      <c r="R60" s="209">
        <f t="shared" si="14"/>
        <v>0</v>
      </c>
      <c r="S60" s="204">
        <f t="shared" si="15"/>
        <v>0</v>
      </c>
      <c r="T60" s="210">
        <f t="shared" si="16"/>
        <v>432236</v>
      </c>
      <c r="U60" s="210">
        <f t="shared" si="2"/>
        <v>367400.6</v>
      </c>
      <c r="V60" s="203">
        <f>MIN(H60*parameters!C$22,ROUND(O60+S60-U60,0))</f>
        <v>7412032</v>
      </c>
      <c r="W60" s="211">
        <f t="shared" si="17"/>
        <v>83.228012177364775</v>
      </c>
      <c r="X60" s="208"/>
      <c r="Y60" s="212">
        <f t="shared" si="18"/>
        <v>0</v>
      </c>
      <c r="Z60" s="212">
        <f t="shared" si="3"/>
        <v>0</v>
      </c>
      <c r="AA60" s="212">
        <f t="shared" si="19"/>
        <v>64835</v>
      </c>
      <c r="AB60" s="68">
        <f t="shared" si="20"/>
        <v>0.72801217736477497</v>
      </c>
      <c r="AD60" s="207">
        <f t="shared" si="4"/>
        <v>5.8830054509223038E-2</v>
      </c>
      <c r="AE60" s="213">
        <f t="shared" si="21"/>
        <v>4.8534739808183929</v>
      </c>
      <c r="AF60" s="10">
        <f t="shared" si="5"/>
        <v>0</v>
      </c>
      <c r="AG60" s="214"/>
      <c r="AH60" s="214">
        <v>4.3299999999999998E-2</v>
      </c>
      <c r="AI60" s="181"/>
      <c r="AJ60" s="214"/>
      <c r="AK60" s="214"/>
      <c r="AL60" s="214"/>
      <c r="AM60" s="10"/>
      <c r="AN60" s="10"/>
    </row>
    <row r="61" spans="1:40" ht="12.75" customHeight="1">
      <c r="A61" s="201">
        <v>52</v>
      </c>
      <c r="B61" s="201" t="s">
        <v>1318</v>
      </c>
      <c r="C61" s="202">
        <v>1242705100</v>
      </c>
      <c r="D61" s="202">
        <f t="shared" si="0"/>
        <v>4411093.2032141015</v>
      </c>
      <c r="E61" s="202">
        <v>330452000</v>
      </c>
      <c r="F61" s="202">
        <f t="shared" si="22"/>
        <v>4708247.9351119874</v>
      </c>
      <c r="G61" s="202">
        <f t="shared" si="1"/>
        <v>9119341</v>
      </c>
      <c r="H61" s="203">
        <f t="shared" si="6"/>
        <v>18211609.755033065</v>
      </c>
      <c r="I61" s="204">
        <f t="shared" si="7"/>
        <v>15024578</v>
      </c>
      <c r="J61" s="204">
        <f t="shared" si="8"/>
        <v>9119341</v>
      </c>
      <c r="K61" s="198">
        <f t="shared" si="9"/>
        <v>50.07</v>
      </c>
      <c r="L61" s="205"/>
      <c r="M61" s="206">
        <v>9098792</v>
      </c>
      <c r="N61" s="207">
        <f t="shared" si="10"/>
        <v>4.24E-2</v>
      </c>
      <c r="O61" s="204">
        <f t="shared" si="11"/>
        <v>9484581</v>
      </c>
      <c r="P61" s="208">
        <f t="shared" si="12"/>
        <v>52.079860745856294</v>
      </c>
      <c r="Q61" s="208">
        <f t="shared" si="13"/>
        <v>0</v>
      </c>
      <c r="R61" s="209">
        <f t="shared" si="14"/>
        <v>0</v>
      </c>
      <c r="S61" s="204">
        <f t="shared" si="15"/>
        <v>0</v>
      </c>
      <c r="T61" s="210">
        <f t="shared" si="16"/>
        <v>365240</v>
      </c>
      <c r="U61" s="210">
        <f t="shared" si="2"/>
        <v>310454</v>
      </c>
      <c r="V61" s="203">
        <f>MIN(H61*parameters!C$22,ROUND(O61+S61-U61,0))</f>
        <v>9174127</v>
      </c>
      <c r="W61" s="211">
        <f t="shared" si="17"/>
        <v>50.375156965268189</v>
      </c>
      <c r="X61" s="208"/>
      <c r="Y61" s="212">
        <f t="shared" si="18"/>
        <v>0</v>
      </c>
      <c r="Z61" s="212">
        <f t="shared" si="3"/>
        <v>0</v>
      </c>
      <c r="AA61" s="212">
        <f t="shared" si="19"/>
        <v>54786</v>
      </c>
      <c r="AB61" s="68">
        <f t="shared" si="20"/>
        <v>0.30515696526818914</v>
      </c>
      <c r="AD61" s="207">
        <f t="shared" si="4"/>
        <v>4.0051139660201324E-2</v>
      </c>
      <c r="AE61" s="213">
        <f t="shared" si="21"/>
        <v>2.0098607458562938</v>
      </c>
      <c r="AF61" s="10">
        <f t="shared" si="5"/>
        <v>0</v>
      </c>
      <c r="AG61" s="214"/>
      <c r="AH61" s="214">
        <v>4.24E-2</v>
      </c>
      <c r="AI61" s="181"/>
      <c r="AJ61" s="214"/>
      <c r="AK61" s="214"/>
      <c r="AL61" s="214"/>
      <c r="AM61" s="10"/>
      <c r="AN61" s="10"/>
    </row>
    <row r="62" spans="1:40" ht="12.75" customHeight="1">
      <c r="A62" s="201">
        <v>53</v>
      </c>
      <c r="B62" s="201" t="s">
        <v>1319</v>
      </c>
      <c r="C62" s="202">
        <v>137142200</v>
      </c>
      <c r="D62" s="202">
        <f t="shared" si="0"/>
        <v>486798.53836105514</v>
      </c>
      <c r="E62" s="202">
        <v>27466000</v>
      </c>
      <c r="F62" s="202">
        <f t="shared" si="22"/>
        <v>391332.89490088075</v>
      </c>
      <c r="G62" s="202">
        <f t="shared" si="1"/>
        <v>878131</v>
      </c>
      <c r="H62" s="203">
        <f t="shared" si="6"/>
        <v>1747903.1786590489</v>
      </c>
      <c r="I62" s="204">
        <f t="shared" si="7"/>
        <v>1442020</v>
      </c>
      <c r="J62" s="204">
        <f t="shared" si="8"/>
        <v>878131</v>
      </c>
      <c r="K62" s="198">
        <f t="shared" si="9"/>
        <v>50.24</v>
      </c>
      <c r="L62" s="205"/>
      <c r="M62" s="206">
        <v>892974</v>
      </c>
      <c r="N62" s="207">
        <f t="shared" si="10"/>
        <v>4.07E-2</v>
      </c>
      <c r="O62" s="204">
        <f t="shared" si="11"/>
        <v>929318</v>
      </c>
      <c r="P62" s="208">
        <f t="shared" si="12"/>
        <v>53.167590250219206</v>
      </c>
      <c r="Q62" s="208">
        <f t="shared" si="13"/>
        <v>0</v>
      </c>
      <c r="R62" s="209">
        <f t="shared" si="14"/>
        <v>0</v>
      </c>
      <c r="S62" s="204">
        <f t="shared" si="15"/>
        <v>0</v>
      </c>
      <c r="T62" s="210">
        <f t="shared" si="16"/>
        <v>51187</v>
      </c>
      <c r="U62" s="210">
        <f t="shared" si="2"/>
        <v>43508.95</v>
      </c>
      <c r="V62" s="203">
        <f>MIN(H62*parameters!C$22,ROUND(O62+S62-U62,0))</f>
        <v>885809</v>
      </c>
      <c r="W62" s="211">
        <f t="shared" si="17"/>
        <v>50.678379146811338</v>
      </c>
      <c r="X62" s="208"/>
      <c r="Y62" s="212">
        <f t="shared" si="18"/>
        <v>0</v>
      </c>
      <c r="Z62" s="212">
        <f t="shared" si="3"/>
        <v>0</v>
      </c>
      <c r="AA62" s="212">
        <f t="shared" si="19"/>
        <v>7678</v>
      </c>
      <c r="AB62" s="68">
        <f t="shared" si="20"/>
        <v>0.43837914681133583</v>
      </c>
      <c r="AD62" s="207">
        <f t="shared" si="4"/>
        <v>5.8290847265385234E-2</v>
      </c>
      <c r="AE62" s="213">
        <f t="shared" si="21"/>
        <v>2.9275902502192039</v>
      </c>
      <c r="AF62" s="10">
        <f t="shared" si="5"/>
        <v>0</v>
      </c>
      <c r="AG62" s="214"/>
      <c r="AH62" s="214">
        <v>4.07E-2</v>
      </c>
      <c r="AI62" s="181"/>
      <c r="AJ62" s="214"/>
      <c r="AK62" s="214"/>
      <c r="AL62" s="214"/>
      <c r="AM62" s="10"/>
      <c r="AN62" s="10"/>
    </row>
    <row r="63" spans="1:40" ht="12.75" customHeight="1">
      <c r="A63" s="201">
        <v>54</v>
      </c>
      <c r="B63" s="201" t="s">
        <v>1320</v>
      </c>
      <c r="C63" s="202">
        <v>1487604400</v>
      </c>
      <c r="D63" s="202">
        <f t="shared" si="0"/>
        <v>5280385.232112905</v>
      </c>
      <c r="E63" s="202">
        <v>448024000</v>
      </c>
      <c r="F63" s="202">
        <f t="shared" si="22"/>
        <v>6383402.3485426418</v>
      </c>
      <c r="G63" s="202">
        <f t="shared" si="1"/>
        <v>11663788</v>
      </c>
      <c r="H63" s="203">
        <f t="shared" si="6"/>
        <v>22565480.995115481</v>
      </c>
      <c r="I63" s="204">
        <f t="shared" si="7"/>
        <v>18616522</v>
      </c>
      <c r="J63" s="204">
        <f t="shared" si="8"/>
        <v>11663788</v>
      </c>
      <c r="K63" s="198">
        <f t="shared" si="9"/>
        <v>51.69</v>
      </c>
      <c r="L63" s="205"/>
      <c r="M63" s="206">
        <v>11478235</v>
      </c>
      <c r="N63" s="207">
        <f t="shared" si="10"/>
        <v>3.1800000000000002E-2</v>
      </c>
      <c r="O63" s="204">
        <f t="shared" si="11"/>
        <v>11843243</v>
      </c>
      <c r="P63" s="208">
        <f t="shared" si="12"/>
        <v>52.483893441330082</v>
      </c>
      <c r="Q63" s="208">
        <f t="shared" si="13"/>
        <v>0</v>
      </c>
      <c r="R63" s="209">
        <f t="shared" si="14"/>
        <v>0</v>
      </c>
      <c r="S63" s="204">
        <f t="shared" si="15"/>
        <v>0</v>
      </c>
      <c r="T63" s="210">
        <f t="shared" si="16"/>
        <v>179455</v>
      </c>
      <c r="U63" s="210">
        <f t="shared" si="2"/>
        <v>152536.75</v>
      </c>
      <c r="V63" s="203">
        <f>MIN(H63*parameters!C$22,ROUND(O63+S63-U63,0))</f>
        <v>11690706</v>
      </c>
      <c r="W63" s="211">
        <f t="shared" si="17"/>
        <v>51.807918486340121</v>
      </c>
      <c r="X63" s="208"/>
      <c r="Y63" s="212">
        <f t="shared" si="18"/>
        <v>0</v>
      </c>
      <c r="Z63" s="212">
        <f t="shared" si="3"/>
        <v>0</v>
      </c>
      <c r="AA63" s="212">
        <f t="shared" si="19"/>
        <v>26918</v>
      </c>
      <c r="AB63" s="68">
        <f t="shared" si="20"/>
        <v>0.11791848634012325</v>
      </c>
      <c r="AD63" s="207">
        <f t="shared" si="4"/>
        <v>1.5385653442946665E-2</v>
      </c>
      <c r="AE63" s="213">
        <f t="shared" si="21"/>
        <v>0.79389344133008422</v>
      </c>
      <c r="AF63" s="10">
        <f t="shared" si="5"/>
        <v>0</v>
      </c>
      <c r="AG63" s="214"/>
      <c r="AH63" s="214">
        <v>3.1800000000000002E-2</v>
      </c>
      <c r="AI63" s="181"/>
      <c r="AJ63" s="214"/>
      <c r="AK63" s="214"/>
      <c r="AL63" s="214"/>
      <c r="AM63" s="10"/>
      <c r="AN63" s="10"/>
    </row>
    <row r="64" spans="1:40" ht="12.75" customHeight="1">
      <c r="A64" s="201">
        <v>55</v>
      </c>
      <c r="B64" s="201" t="s">
        <v>1321</v>
      </c>
      <c r="C64" s="202">
        <v>6588014300</v>
      </c>
      <c r="D64" s="202">
        <f t="shared" si="0"/>
        <v>23384747.597324017</v>
      </c>
      <c r="E64" s="202">
        <v>325472000</v>
      </c>
      <c r="F64" s="202">
        <f t="shared" si="22"/>
        <v>4637293.3797851698</v>
      </c>
      <c r="G64" s="202">
        <f t="shared" si="1"/>
        <v>28022041</v>
      </c>
      <c r="H64" s="203">
        <f t="shared" si="6"/>
        <v>5264435.1457256684</v>
      </c>
      <c r="I64" s="204">
        <f t="shared" si="7"/>
        <v>4343159</v>
      </c>
      <c r="J64" s="204">
        <f t="shared" si="8"/>
        <v>4343159</v>
      </c>
      <c r="K64" s="198">
        <f t="shared" si="9"/>
        <v>82.5</v>
      </c>
      <c r="L64" s="205"/>
      <c r="M64" s="206">
        <v>4439605</v>
      </c>
      <c r="N64" s="207">
        <f t="shared" si="10"/>
        <v>4.6300000000000001E-2</v>
      </c>
      <c r="O64" s="204">
        <f t="shared" si="11"/>
        <v>4645159</v>
      </c>
      <c r="P64" s="208">
        <f t="shared" si="12"/>
        <v>88.236607943998038</v>
      </c>
      <c r="Q64" s="208">
        <f t="shared" si="13"/>
        <v>0</v>
      </c>
      <c r="R64" s="209">
        <f t="shared" si="14"/>
        <v>0</v>
      </c>
      <c r="S64" s="204">
        <f t="shared" si="15"/>
        <v>0</v>
      </c>
      <c r="T64" s="210">
        <f t="shared" si="16"/>
        <v>302000</v>
      </c>
      <c r="U64" s="210">
        <f t="shared" si="2"/>
        <v>256700</v>
      </c>
      <c r="V64" s="203">
        <f>MIN(H64*parameters!C$22,ROUND(O64+S64-U64,0))</f>
        <v>4388459</v>
      </c>
      <c r="W64" s="211">
        <f t="shared" si="17"/>
        <v>83.360491268718619</v>
      </c>
      <c r="X64" s="208"/>
      <c r="Y64" s="212">
        <f t="shared" si="18"/>
        <v>0</v>
      </c>
      <c r="Z64" s="212">
        <f t="shared" si="3"/>
        <v>0</v>
      </c>
      <c r="AA64" s="212">
        <f t="shared" si="19"/>
        <v>45300</v>
      </c>
      <c r="AB64" s="68">
        <f t="shared" si="20"/>
        <v>0.86049126871861858</v>
      </c>
      <c r="AD64" s="207">
        <f t="shared" si="4"/>
        <v>6.953464056922623E-2</v>
      </c>
      <c r="AE64" s="213">
        <f t="shared" si="21"/>
        <v>5.7366079439980382</v>
      </c>
      <c r="AF64" s="10">
        <f t="shared" si="5"/>
        <v>0</v>
      </c>
      <c r="AG64" s="214"/>
      <c r="AH64" s="214">
        <v>4.6300000000000001E-2</v>
      </c>
      <c r="AI64" s="181"/>
      <c r="AJ64" s="214"/>
      <c r="AK64" s="214"/>
      <c r="AL64" s="214"/>
      <c r="AM64" s="10"/>
      <c r="AN64" s="10"/>
    </row>
    <row r="65" spans="1:40" ht="12.75" customHeight="1">
      <c r="A65" s="201">
        <v>56</v>
      </c>
      <c r="B65" s="201" t="s">
        <v>1322</v>
      </c>
      <c r="C65" s="202">
        <v>5436078900</v>
      </c>
      <c r="D65" s="202">
        <f t="shared" si="0"/>
        <v>19295849.584849685</v>
      </c>
      <c r="E65" s="202">
        <v>1455092000</v>
      </c>
      <c r="F65" s="202">
        <f t="shared" si="22"/>
        <v>20732009.200724985</v>
      </c>
      <c r="G65" s="202">
        <f t="shared" si="1"/>
        <v>40027859</v>
      </c>
      <c r="H65" s="203">
        <f t="shared" si="6"/>
        <v>50451769.650552563</v>
      </c>
      <c r="I65" s="204">
        <f t="shared" si="7"/>
        <v>41622710</v>
      </c>
      <c r="J65" s="204">
        <f t="shared" si="8"/>
        <v>40027859</v>
      </c>
      <c r="K65" s="198">
        <f t="shared" si="9"/>
        <v>79.34</v>
      </c>
      <c r="L65" s="205"/>
      <c r="M65" s="206">
        <v>40567075</v>
      </c>
      <c r="N65" s="207">
        <f t="shared" si="10"/>
        <v>4.9299999999999997E-2</v>
      </c>
      <c r="O65" s="204">
        <f t="shared" si="11"/>
        <v>42567032</v>
      </c>
      <c r="P65" s="208">
        <f t="shared" si="12"/>
        <v>84.371732240186731</v>
      </c>
      <c r="Q65" s="208">
        <f t="shared" si="13"/>
        <v>0</v>
      </c>
      <c r="R65" s="209">
        <f t="shared" si="14"/>
        <v>0</v>
      </c>
      <c r="S65" s="204">
        <f t="shared" si="15"/>
        <v>0</v>
      </c>
      <c r="T65" s="210">
        <f t="shared" si="16"/>
        <v>2539173</v>
      </c>
      <c r="U65" s="210">
        <f t="shared" si="2"/>
        <v>2158297.0499999998</v>
      </c>
      <c r="V65" s="203">
        <f>MIN(H65*parameters!C$22,ROUND(O65+S65-U65,0))</f>
        <v>40408735</v>
      </c>
      <c r="W65" s="211">
        <f t="shared" si="17"/>
        <v>80.093791119490362</v>
      </c>
      <c r="X65" s="208"/>
      <c r="Y65" s="212">
        <f t="shared" si="18"/>
        <v>0</v>
      </c>
      <c r="Z65" s="212">
        <f t="shared" si="3"/>
        <v>0</v>
      </c>
      <c r="AA65" s="212">
        <f t="shared" si="19"/>
        <v>380876</v>
      </c>
      <c r="AB65" s="68">
        <f t="shared" si="20"/>
        <v>0.7537911194903586</v>
      </c>
      <c r="AD65" s="207">
        <f t="shared" si="4"/>
        <v>6.3435144008076969E-2</v>
      </c>
      <c r="AE65" s="213">
        <f t="shared" si="21"/>
        <v>5.0317322401867273</v>
      </c>
      <c r="AF65" s="10">
        <f t="shared" si="5"/>
        <v>0</v>
      </c>
      <c r="AG65" s="214"/>
      <c r="AH65" s="214">
        <v>4.9299999999999997E-2</v>
      </c>
      <c r="AI65" s="181"/>
      <c r="AJ65" s="214"/>
      <c r="AK65" s="214"/>
      <c r="AL65" s="214"/>
      <c r="AM65" s="10"/>
      <c r="AN65" s="10"/>
    </row>
    <row r="66" spans="1:40" ht="12.75" customHeight="1">
      <c r="A66" s="201">
        <v>57</v>
      </c>
      <c r="B66" s="201" t="s">
        <v>1323</v>
      </c>
      <c r="C66" s="202">
        <v>2791398900</v>
      </c>
      <c r="D66" s="202">
        <f t="shared" si="0"/>
        <v>9908320.7393687516</v>
      </c>
      <c r="E66" s="202">
        <v>633679000</v>
      </c>
      <c r="F66" s="202">
        <f t="shared" si="22"/>
        <v>9028596.7198680267</v>
      </c>
      <c r="G66" s="202">
        <f t="shared" si="1"/>
        <v>18936917</v>
      </c>
      <c r="H66" s="203">
        <f t="shared" si="6"/>
        <v>91286671.701502174</v>
      </c>
      <c r="I66" s="204">
        <f t="shared" si="7"/>
        <v>75311504</v>
      </c>
      <c r="J66" s="204">
        <f t="shared" si="8"/>
        <v>18936917</v>
      </c>
      <c r="K66" s="198">
        <f t="shared" si="9"/>
        <v>20.74</v>
      </c>
      <c r="L66" s="205"/>
      <c r="M66" s="206">
        <v>15374151</v>
      </c>
      <c r="N66" s="207">
        <f t="shared" si="10"/>
        <v>8.9599999999999985E-2</v>
      </c>
      <c r="O66" s="204">
        <f t="shared" si="11"/>
        <v>16751675</v>
      </c>
      <c r="P66" s="208">
        <f t="shared" si="12"/>
        <v>18.350625220268977</v>
      </c>
      <c r="Q66" s="208">
        <f t="shared" si="13"/>
        <v>2.3893747797310212</v>
      </c>
      <c r="R66" s="209">
        <f t="shared" si="14"/>
        <v>0</v>
      </c>
      <c r="S66" s="204">
        <f t="shared" si="15"/>
        <v>0</v>
      </c>
      <c r="T66" s="210">
        <f t="shared" si="16"/>
        <v>0</v>
      </c>
      <c r="U66" s="210">
        <f t="shared" si="2"/>
        <v>0</v>
      </c>
      <c r="V66" s="203">
        <f>MIN(H66*parameters!C$22,ROUND(O66+S66-U66,0))</f>
        <v>16751675</v>
      </c>
      <c r="W66" s="211">
        <f t="shared" si="17"/>
        <v>18.350625220268977</v>
      </c>
      <c r="X66" s="208"/>
      <c r="Y66" s="212">
        <f t="shared" si="18"/>
        <v>-2185242</v>
      </c>
      <c r="Z66" s="212">
        <f t="shared" si="3"/>
        <v>2185242</v>
      </c>
      <c r="AA66" s="212">
        <f t="shared" si="19"/>
        <v>0</v>
      </c>
      <c r="AB66" s="68">
        <f t="shared" si="20"/>
        <v>-2.3893747797310212</v>
      </c>
      <c r="AD66" s="207">
        <f t="shared" si="4"/>
        <v>-0.11539586934874352</v>
      </c>
      <c r="AE66" s="213">
        <f t="shared" si="21"/>
        <v>-2.3893747797310212</v>
      </c>
      <c r="AF66" s="10">
        <f t="shared" si="5"/>
        <v>307483.02</v>
      </c>
      <c r="AG66" s="214"/>
      <c r="AH66" s="214">
        <v>8.9599999999999985E-2</v>
      </c>
      <c r="AI66" s="181"/>
      <c r="AJ66" s="214"/>
      <c r="AK66" s="214"/>
      <c r="AL66" s="214"/>
      <c r="AM66" s="10"/>
      <c r="AN66" s="10"/>
    </row>
    <row r="67" spans="1:40" ht="12.75" customHeight="1">
      <c r="A67" s="201">
        <v>58</v>
      </c>
      <c r="B67" s="201" t="s">
        <v>1324</v>
      </c>
      <c r="C67" s="202">
        <v>311065100</v>
      </c>
      <c r="D67" s="202">
        <f t="shared" si="0"/>
        <v>1104153.4700124066</v>
      </c>
      <c r="E67" s="202">
        <v>85235000</v>
      </c>
      <c r="F67" s="202">
        <f t="shared" si="22"/>
        <v>1214419.9845946471</v>
      </c>
      <c r="G67" s="202">
        <f t="shared" si="1"/>
        <v>2318573</v>
      </c>
      <c r="H67" s="203">
        <f t="shared" si="6"/>
        <v>4899262.8247763012</v>
      </c>
      <c r="I67" s="204">
        <f t="shared" si="7"/>
        <v>4041892</v>
      </c>
      <c r="J67" s="204">
        <f t="shared" si="8"/>
        <v>2318573</v>
      </c>
      <c r="K67" s="198">
        <f t="shared" si="9"/>
        <v>47.32</v>
      </c>
      <c r="L67" s="205"/>
      <c r="M67" s="206">
        <v>2282463</v>
      </c>
      <c r="N67" s="207">
        <f t="shared" si="10"/>
        <v>3.8300000000000001E-2</v>
      </c>
      <c r="O67" s="204">
        <f t="shared" si="11"/>
        <v>2369881</v>
      </c>
      <c r="P67" s="208">
        <f t="shared" si="12"/>
        <v>48.372195670237552</v>
      </c>
      <c r="Q67" s="208">
        <f t="shared" si="13"/>
        <v>0</v>
      </c>
      <c r="R67" s="209">
        <f t="shared" si="14"/>
        <v>0</v>
      </c>
      <c r="S67" s="204">
        <f t="shared" si="15"/>
        <v>0</v>
      </c>
      <c r="T67" s="210">
        <f t="shared" si="16"/>
        <v>51308</v>
      </c>
      <c r="U67" s="210">
        <f t="shared" si="2"/>
        <v>43611.799999999996</v>
      </c>
      <c r="V67" s="203">
        <f>MIN(H67*parameters!C$22,ROUND(O67+S67-U67,0))</f>
        <v>2326269</v>
      </c>
      <c r="W67" s="211">
        <f t="shared" si="17"/>
        <v>47.482020932531142</v>
      </c>
      <c r="X67" s="208"/>
      <c r="Y67" s="212">
        <f t="shared" si="18"/>
        <v>0</v>
      </c>
      <c r="Z67" s="212">
        <f t="shared" si="3"/>
        <v>0</v>
      </c>
      <c r="AA67" s="212">
        <f t="shared" si="19"/>
        <v>7696</v>
      </c>
      <c r="AB67" s="68">
        <f t="shared" si="20"/>
        <v>0.16202093253114214</v>
      </c>
      <c r="AD67" s="207">
        <f t="shared" si="4"/>
        <v>2.2129128563129132E-2</v>
      </c>
      <c r="AE67" s="213">
        <f t="shared" si="21"/>
        <v>1.0521956702375519</v>
      </c>
      <c r="AF67" s="10">
        <f t="shared" si="5"/>
        <v>0</v>
      </c>
      <c r="AG67" s="214"/>
      <c r="AH67" s="214">
        <v>3.8300000000000001E-2</v>
      </c>
      <c r="AI67" s="181"/>
      <c r="AJ67" s="214"/>
      <c r="AK67" s="214"/>
      <c r="AL67" s="214"/>
      <c r="AM67" s="10"/>
      <c r="AN67" s="10"/>
    </row>
    <row r="68" spans="1:40" ht="12.75" customHeight="1">
      <c r="A68" s="201">
        <v>59</v>
      </c>
      <c r="B68" s="201" t="s">
        <v>1325</v>
      </c>
      <c r="C68" s="202">
        <v>122249300</v>
      </c>
      <c r="D68" s="202">
        <f t="shared" si="0"/>
        <v>433934.85415621259</v>
      </c>
      <c r="E68" s="202">
        <v>29542000</v>
      </c>
      <c r="F68" s="202">
        <f t="shared" si="22"/>
        <v>420911.54085639771</v>
      </c>
      <c r="G68" s="202">
        <f t="shared" si="1"/>
        <v>854846</v>
      </c>
      <c r="H68" s="203">
        <f t="shared" si="6"/>
        <v>1671081.4371120448</v>
      </c>
      <c r="I68" s="204">
        <f t="shared" si="7"/>
        <v>1378642</v>
      </c>
      <c r="J68" s="204">
        <f t="shared" si="8"/>
        <v>854846</v>
      </c>
      <c r="K68" s="198">
        <f t="shared" si="9"/>
        <v>51.16</v>
      </c>
      <c r="L68" s="205"/>
      <c r="M68" s="206">
        <v>900800</v>
      </c>
      <c r="N68" s="207">
        <f t="shared" si="10"/>
        <v>3.8699999999999998E-2</v>
      </c>
      <c r="O68" s="204">
        <f t="shared" si="11"/>
        <v>935661</v>
      </c>
      <c r="P68" s="208">
        <f t="shared" si="12"/>
        <v>55.991346634608369</v>
      </c>
      <c r="Q68" s="208">
        <f t="shared" si="13"/>
        <v>0</v>
      </c>
      <c r="R68" s="209">
        <f t="shared" si="14"/>
        <v>0</v>
      </c>
      <c r="S68" s="204">
        <f t="shared" si="15"/>
        <v>0</v>
      </c>
      <c r="T68" s="210">
        <f t="shared" si="16"/>
        <v>80815</v>
      </c>
      <c r="U68" s="210">
        <f t="shared" si="2"/>
        <v>68692.75</v>
      </c>
      <c r="V68" s="203">
        <f>MIN(H68*parameters!C$22,ROUND(O68+S68-U68,0))</f>
        <v>866968</v>
      </c>
      <c r="W68" s="211">
        <f t="shared" si="17"/>
        <v>51.880655289803833</v>
      </c>
      <c r="X68" s="208"/>
      <c r="Y68" s="212">
        <f t="shared" si="18"/>
        <v>0</v>
      </c>
      <c r="Z68" s="212">
        <f t="shared" si="3"/>
        <v>0</v>
      </c>
      <c r="AA68" s="212">
        <f t="shared" si="19"/>
        <v>12122</v>
      </c>
      <c r="AB68" s="68">
        <f t="shared" si="20"/>
        <v>0.72065528980383675</v>
      </c>
      <c r="AD68" s="207">
        <f t="shared" si="4"/>
        <v>9.4537495642489991E-2</v>
      </c>
      <c r="AE68" s="213">
        <f t="shared" si="21"/>
        <v>4.8313466346083729</v>
      </c>
      <c r="AF68" s="10">
        <f t="shared" si="5"/>
        <v>0</v>
      </c>
      <c r="AG68" s="214"/>
      <c r="AH68" s="214">
        <v>3.8699999999999998E-2</v>
      </c>
      <c r="AI68" s="181"/>
      <c r="AJ68" s="214"/>
      <c r="AK68" s="214"/>
      <c r="AL68" s="214"/>
      <c r="AM68" s="10"/>
      <c r="AN68" s="10"/>
    </row>
    <row r="69" spans="1:40" ht="12.75" customHeight="1">
      <c r="A69" s="201">
        <v>60</v>
      </c>
      <c r="B69" s="201" t="s">
        <v>1326</v>
      </c>
      <c r="C69" s="202">
        <v>157173400</v>
      </c>
      <c r="D69" s="202">
        <f t="shared" si="0"/>
        <v>557901.07923919451</v>
      </c>
      <c r="E69" s="202">
        <v>24785000</v>
      </c>
      <c r="F69" s="202">
        <f t="shared" si="22"/>
        <v>353134.26782634278</v>
      </c>
      <c r="G69" s="202">
        <f t="shared" si="1"/>
        <v>911035</v>
      </c>
      <c r="H69" s="203">
        <f t="shared" si="6"/>
        <v>1514142.6025002687</v>
      </c>
      <c r="I69" s="204">
        <f t="shared" si="7"/>
        <v>1249168</v>
      </c>
      <c r="J69" s="204">
        <f t="shared" si="8"/>
        <v>911035</v>
      </c>
      <c r="K69" s="198">
        <f t="shared" si="9"/>
        <v>60.17</v>
      </c>
      <c r="L69" s="205"/>
      <c r="M69" s="206">
        <v>928916</v>
      </c>
      <c r="N69" s="207">
        <f t="shared" si="10"/>
        <v>3.6400000000000002E-2</v>
      </c>
      <c r="O69" s="204">
        <f t="shared" si="11"/>
        <v>962729</v>
      </c>
      <c r="P69" s="208">
        <f t="shared" si="12"/>
        <v>63.582452432833463</v>
      </c>
      <c r="Q69" s="208">
        <f t="shared" si="13"/>
        <v>0</v>
      </c>
      <c r="R69" s="209">
        <f t="shared" si="14"/>
        <v>0</v>
      </c>
      <c r="S69" s="204">
        <f t="shared" si="15"/>
        <v>0</v>
      </c>
      <c r="T69" s="210">
        <f t="shared" si="16"/>
        <v>51694</v>
      </c>
      <c r="U69" s="210">
        <f t="shared" si="2"/>
        <v>43939.9</v>
      </c>
      <c r="V69" s="203">
        <f>MIN(H69*parameters!C$22,ROUND(O69+S69-U69,0))</f>
        <v>918789</v>
      </c>
      <c r="W69" s="211">
        <f t="shared" si="17"/>
        <v>60.680480060651149</v>
      </c>
      <c r="X69" s="208"/>
      <c r="Y69" s="212">
        <f t="shared" si="18"/>
        <v>0</v>
      </c>
      <c r="Z69" s="212">
        <f t="shared" si="3"/>
        <v>0</v>
      </c>
      <c r="AA69" s="212">
        <f t="shared" si="19"/>
        <v>7754</v>
      </c>
      <c r="AB69" s="68">
        <f t="shared" si="20"/>
        <v>0.51048006065114748</v>
      </c>
      <c r="AD69" s="207">
        <f t="shared" si="4"/>
        <v>5.674205711086841E-2</v>
      </c>
      <c r="AE69" s="213">
        <f t="shared" si="21"/>
        <v>3.4124524328334616</v>
      </c>
      <c r="AF69" s="10">
        <f t="shared" si="5"/>
        <v>0</v>
      </c>
      <c r="AG69" s="214"/>
      <c r="AH69" s="214">
        <v>3.6400000000000002E-2</v>
      </c>
      <c r="AI69" s="181"/>
      <c r="AJ69" s="214"/>
      <c r="AK69" s="214"/>
      <c r="AL69" s="214"/>
      <c r="AM69" s="10"/>
      <c r="AN69" s="10"/>
    </row>
    <row r="70" spans="1:40" ht="12.75" customHeight="1">
      <c r="A70" s="201">
        <v>61</v>
      </c>
      <c r="B70" s="201" t="s">
        <v>1327</v>
      </c>
      <c r="C70" s="202">
        <v>3898874600</v>
      </c>
      <c r="D70" s="202">
        <f t="shared" si="0"/>
        <v>13839405.059369352</v>
      </c>
      <c r="E70" s="202">
        <v>1071122000</v>
      </c>
      <c r="F70" s="202">
        <f t="shared" si="22"/>
        <v>15261242.010195196</v>
      </c>
      <c r="G70" s="202">
        <f t="shared" si="1"/>
        <v>29100647</v>
      </c>
      <c r="H70" s="203">
        <f t="shared" si="6"/>
        <v>91782958.022283211</v>
      </c>
      <c r="I70" s="204">
        <f t="shared" si="7"/>
        <v>75720940</v>
      </c>
      <c r="J70" s="204">
        <f t="shared" si="8"/>
        <v>29100647</v>
      </c>
      <c r="K70" s="198">
        <f t="shared" si="9"/>
        <v>31.71</v>
      </c>
      <c r="L70" s="205"/>
      <c r="M70" s="206">
        <v>30016446</v>
      </c>
      <c r="N70" s="207">
        <f t="shared" si="10"/>
        <v>4.0500000000000001E-2</v>
      </c>
      <c r="O70" s="204">
        <f t="shared" si="11"/>
        <v>31232112</v>
      </c>
      <c r="P70" s="208">
        <f t="shared" si="12"/>
        <v>34.028225580196946</v>
      </c>
      <c r="Q70" s="208">
        <f t="shared" si="13"/>
        <v>0</v>
      </c>
      <c r="R70" s="209">
        <f t="shared" si="14"/>
        <v>0</v>
      </c>
      <c r="S70" s="204">
        <f t="shared" si="15"/>
        <v>0</v>
      </c>
      <c r="T70" s="210">
        <f t="shared" si="16"/>
        <v>2131465</v>
      </c>
      <c r="U70" s="210">
        <f t="shared" si="2"/>
        <v>1811745.25</v>
      </c>
      <c r="V70" s="203">
        <f>MIN(H70*parameters!C$22,ROUND(O70+S70-U70,0))</f>
        <v>29420367</v>
      </c>
      <c r="W70" s="211">
        <f t="shared" si="17"/>
        <v>32.054280700843478</v>
      </c>
      <c r="X70" s="208"/>
      <c r="Y70" s="212">
        <f t="shared" si="18"/>
        <v>0</v>
      </c>
      <c r="Z70" s="212">
        <f t="shared" si="3"/>
        <v>0</v>
      </c>
      <c r="AA70" s="212">
        <f t="shared" si="19"/>
        <v>319720</v>
      </c>
      <c r="AB70" s="68">
        <f t="shared" si="20"/>
        <v>0.34428070084347695</v>
      </c>
      <c r="AD70" s="207">
        <f t="shared" si="4"/>
        <v>7.3244591434685286E-2</v>
      </c>
      <c r="AE70" s="213">
        <f t="shared" si="21"/>
        <v>2.3182255801969447</v>
      </c>
      <c r="AF70" s="10">
        <f t="shared" si="5"/>
        <v>0</v>
      </c>
      <c r="AG70" s="214"/>
      <c r="AH70" s="214">
        <v>4.0500000000000001E-2</v>
      </c>
      <c r="AI70" s="181"/>
      <c r="AJ70" s="214"/>
      <c r="AK70" s="214"/>
      <c r="AL70" s="214"/>
      <c r="AM70" s="10"/>
      <c r="AN70" s="10"/>
    </row>
    <row r="71" spans="1:40" ht="12.75" customHeight="1">
      <c r="A71" s="201">
        <v>62</v>
      </c>
      <c r="B71" s="201" t="s">
        <v>1328</v>
      </c>
      <c r="C71" s="202">
        <v>3324185000</v>
      </c>
      <c r="D71" s="202">
        <f t="shared" si="0"/>
        <v>11799492.783707306</v>
      </c>
      <c r="E71" s="202">
        <v>62668000</v>
      </c>
      <c r="F71" s="202">
        <f t="shared" si="22"/>
        <v>892887.56490382284</v>
      </c>
      <c r="G71" s="202">
        <f t="shared" si="1"/>
        <v>12692380</v>
      </c>
      <c r="H71" s="203">
        <f t="shared" si="6"/>
        <v>1198148.0882494068</v>
      </c>
      <c r="I71" s="204">
        <f t="shared" si="7"/>
        <v>988472</v>
      </c>
      <c r="J71" s="204">
        <f t="shared" si="8"/>
        <v>988472</v>
      </c>
      <c r="K71" s="198">
        <f t="shared" si="9"/>
        <v>82.5</v>
      </c>
      <c r="L71" s="205"/>
      <c r="M71" s="206">
        <v>888407</v>
      </c>
      <c r="N71" s="207">
        <f t="shared" si="10"/>
        <v>4.2999999999999997E-2</v>
      </c>
      <c r="O71" s="204">
        <f t="shared" si="11"/>
        <v>926609</v>
      </c>
      <c r="P71" s="208">
        <f t="shared" si="12"/>
        <v>77.336767390235721</v>
      </c>
      <c r="Q71" s="208">
        <f t="shared" si="13"/>
        <v>5.1632326097642789</v>
      </c>
      <c r="R71" s="209">
        <f t="shared" si="14"/>
        <v>0.01</v>
      </c>
      <c r="S71" s="204">
        <f t="shared" si="15"/>
        <v>8884</v>
      </c>
      <c r="T71" s="210">
        <f t="shared" si="16"/>
        <v>0</v>
      </c>
      <c r="U71" s="210">
        <f t="shared" si="2"/>
        <v>0</v>
      </c>
      <c r="V71" s="203">
        <f>MIN(H71*parameters!C$22,ROUND(O71+S71-U71,0))</f>
        <v>935493</v>
      </c>
      <c r="W71" s="211">
        <f t="shared" si="17"/>
        <v>78.078245016175956</v>
      </c>
      <c r="X71" s="208"/>
      <c r="Y71" s="212">
        <f t="shared" si="18"/>
        <v>-61863</v>
      </c>
      <c r="Z71" s="212">
        <f t="shared" si="3"/>
        <v>52979</v>
      </c>
      <c r="AA71" s="212">
        <f t="shared" si="19"/>
        <v>0</v>
      </c>
      <c r="AB71" s="68">
        <f t="shared" si="20"/>
        <v>-4.4217549838240444</v>
      </c>
      <c r="AD71" s="207">
        <f t="shared" si="4"/>
        <v>-6.2584473814129279E-2</v>
      </c>
      <c r="AE71" s="213">
        <f t="shared" si="21"/>
        <v>-5.1632326097642789</v>
      </c>
      <c r="AF71" s="10">
        <f t="shared" si="5"/>
        <v>8884.07</v>
      </c>
      <c r="AG71" s="214"/>
      <c r="AH71" s="214">
        <v>4.2999999999999997E-2</v>
      </c>
      <c r="AI71" s="181"/>
      <c r="AJ71" s="214"/>
      <c r="AK71" s="214"/>
      <c r="AL71" s="214"/>
      <c r="AM71" s="10"/>
      <c r="AN71" s="10"/>
    </row>
    <row r="72" spans="1:40" ht="12.75" customHeight="1">
      <c r="A72" s="201">
        <v>63</v>
      </c>
      <c r="B72" s="201" t="s">
        <v>1329</v>
      </c>
      <c r="C72" s="202">
        <v>114006000</v>
      </c>
      <c r="D72" s="202">
        <f t="shared" si="0"/>
        <v>404674.52151409601</v>
      </c>
      <c r="E72" s="202">
        <v>34839000</v>
      </c>
      <c r="F72" s="202">
        <f t="shared" si="22"/>
        <v>496382.68133152934</v>
      </c>
      <c r="G72" s="202">
        <f t="shared" si="1"/>
        <v>901057</v>
      </c>
      <c r="H72" s="203">
        <f t="shared" si="6"/>
        <v>2601883.0079525341</v>
      </c>
      <c r="I72" s="204">
        <f t="shared" si="7"/>
        <v>2146553</v>
      </c>
      <c r="J72" s="204">
        <f t="shared" si="8"/>
        <v>901057</v>
      </c>
      <c r="K72" s="198">
        <f t="shared" si="9"/>
        <v>34.630000000000003</v>
      </c>
      <c r="L72" s="205"/>
      <c r="M72" s="206">
        <v>873717</v>
      </c>
      <c r="N72" s="207">
        <f t="shared" si="10"/>
        <v>2.6499999999999999E-2</v>
      </c>
      <c r="O72" s="204">
        <f t="shared" si="11"/>
        <v>896871</v>
      </c>
      <c r="P72" s="208">
        <f t="shared" si="12"/>
        <v>34.470074067848387</v>
      </c>
      <c r="Q72" s="208">
        <f t="shared" si="13"/>
        <v>0.15992593215161577</v>
      </c>
      <c r="R72" s="209">
        <f t="shared" si="14"/>
        <v>0</v>
      </c>
      <c r="S72" s="204">
        <f t="shared" si="15"/>
        <v>0</v>
      </c>
      <c r="T72" s="210">
        <f t="shared" si="16"/>
        <v>0</v>
      </c>
      <c r="U72" s="210">
        <f t="shared" si="2"/>
        <v>0</v>
      </c>
      <c r="V72" s="203">
        <f>MIN(H72*parameters!C$22,ROUND(O72+S72-U72,0))</f>
        <v>896871</v>
      </c>
      <c r="W72" s="211">
        <f t="shared" si="17"/>
        <v>34.470074067848387</v>
      </c>
      <c r="X72" s="208"/>
      <c r="Y72" s="212">
        <f t="shared" si="18"/>
        <v>-4186</v>
      </c>
      <c r="Z72" s="212">
        <f t="shared" si="3"/>
        <v>4186</v>
      </c>
      <c r="AA72" s="212">
        <f t="shared" si="19"/>
        <v>0</v>
      </c>
      <c r="AB72" s="68">
        <f t="shared" si="20"/>
        <v>-0.15992593215161577</v>
      </c>
      <c r="AD72" s="207">
        <f t="shared" si="4"/>
        <v>-4.6456550473499454E-3</v>
      </c>
      <c r="AE72" s="213">
        <f t="shared" si="21"/>
        <v>-0.15992593215161577</v>
      </c>
      <c r="AF72" s="10">
        <f t="shared" si="5"/>
        <v>0</v>
      </c>
      <c r="AG72" s="214"/>
      <c r="AH72" s="214">
        <v>2.6499999999999999E-2</v>
      </c>
      <c r="AI72" s="181"/>
      <c r="AJ72" s="214"/>
      <c r="AK72" s="214"/>
      <c r="AL72" s="214"/>
      <c r="AM72" s="10"/>
      <c r="AN72" s="10"/>
    </row>
    <row r="73" spans="1:40" ht="12.75" customHeight="1">
      <c r="A73" s="201">
        <v>64</v>
      </c>
      <c r="B73" s="201" t="s">
        <v>1330</v>
      </c>
      <c r="C73" s="202">
        <v>1197036900</v>
      </c>
      <c r="D73" s="202">
        <f t="shared" si="0"/>
        <v>4248989.8316072552</v>
      </c>
      <c r="E73" s="202">
        <v>384120000</v>
      </c>
      <c r="F73" s="202">
        <f t="shared" si="22"/>
        <v>5472904.3759311996</v>
      </c>
      <c r="G73" s="202">
        <f t="shared" si="1"/>
        <v>9721894</v>
      </c>
      <c r="H73" s="203">
        <f t="shared" si="6"/>
        <v>21918110.246938307</v>
      </c>
      <c r="I73" s="204">
        <f t="shared" si="7"/>
        <v>18082441</v>
      </c>
      <c r="J73" s="204">
        <f t="shared" si="8"/>
        <v>9721894</v>
      </c>
      <c r="K73" s="198">
        <f t="shared" si="9"/>
        <v>44.36</v>
      </c>
      <c r="L73" s="205"/>
      <c r="M73" s="206">
        <v>9661218</v>
      </c>
      <c r="N73" s="207">
        <f t="shared" si="10"/>
        <v>3.9800000000000002E-2</v>
      </c>
      <c r="O73" s="204">
        <f t="shared" si="11"/>
        <v>10045734</v>
      </c>
      <c r="P73" s="208">
        <f t="shared" si="12"/>
        <v>45.833029795090418</v>
      </c>
      <c r="Q73" s="208">
        <f t="shared" si="13"/>
        <v>0</v>
      </c>
      <c r="R73" s="209">
        <f t="shared" si="14"/>
        <v>0</v>
      </c>
      <c r="S73" s="204">
        <f t="shared" si="15"/>
        <v>0</v>
      </c>
      <c r="T73" s="210">
        <f t="shared" si="16"/>
        <v>323840</v>
      </c>
      <c r="U73" s="210">
        <f t="shared" si="2"/>
        <v>275264</v>
      </c>
      <c r="V73" s="203">
        <f>MIN(H73*parameters!C$22,ROUND(O73+S73-U73,0))</f>
        <v>9770470</v>
      </c>
      <c r="W73" s="211">
        <f t="shared" si="17"/>
        <v>44.577155101064498</v>
      </c>
      <c r="X73" s="208"/>
      <c r="Y73" s="212">
        <f t="shared" si="18"/>
        <v>0</v>
      </c>
      <c r="Z73" s="212">
        <f t="shared" si="3"/>
        <v>0</v>
      </c>
      <c r="AA73" s="212">
        <f t="shared" si="19"/>
        <v>48576</v>
      </c>
      <c r="AB73" s="68">
        <f t="shared" si="20"/>
        <v>0.21715510106449898</v>
      </c>
      <c r="AD73" s="207">
        <f t="shared" si="4"/>
        <v>3.3310381701343379E-2</v>
      </c>
      <c r="AE73" s="213">
        <f t="shared" si="21"/>
        <v>1.4730297950904188</v>
      </c>
      <c r="AF73" s="10">
        <f t="shared" si="5"/>
        <v>0</v>
      </c>
      <c r="AG73" s="214"/>
      <c r="AH73" s="214">
        <v>3.9800000000000002E-2</v>
      </c>
      <c r="AI73" s="181"/>
      <c r="AJ73" s="214"/>
      <c r="AK73" s="214"/>
      <c r="AL73" s="214"/>
      <c r="AM73" s="10"/>
      <c r="AN73" s="10"/>
    </row>
    <row r="74" spans="1:40" ht="12.75" customHeight="1">
      <c r="A74" s="201">
        <v>65</v>
      </c>
      <c r="B74" s="201" t="s">
        <v>1331</v>
      </c>
      <c r="C74" s="202">
        <v>2746663500</v>
      </c>
      <c r="D74" s="202">
        <f t="shared" si="0"/>
        <v>9749528.4250191413</v>
      </c>
      <c r="E74" s="202">
        <v>901460000</v>
      </c>
      <c r="F74" s="202">
        <f t="shared" si="22"/>
        <v>12843914.346368164</v>
      </c>
      <c r="G74" s="202">
        <f t="shared" si="1"/>
        <v>22593443</v>
      </c>
      <c r="H74" s="203">
        <f t="shared" si="6"/>
        <v>14457201.195275553</v>
      </c>
      <c r="I74" s="204">
        <f t="shared" si="7"/>
        <v>11927191</v>
      </c>
      <c r="J74" s="204">
        <f t="shared" si="8"/>
        <v>11927191</v>
      </c>
      <c r="K74" s="198">
        <f t="shared" si="9"/>
        <v>82.5</v>
      </c>
      <c r="L74" s="205"/>
      <c r="M74" s="206">
        <v>12214998</v>
      </c>
      <c r="N74" s="207">
        <f t="shared" si="10"/>
        <v>4.9299999999999997E-2</v>
      </c>
      <c r="O74" s="204">
        <f t="shared" si="11"/>
        <v>12817197</v>
      </c>
      <c r="P74" s="208">
        <f t="shared" si="12"/>
        <v>88.656143238765424</v>
      </c>
      <c r="Q74" s="208">
        <f t="shared" si="13"/>
        <v>0</v>
      </c>
      <c r="R74" s="209">
        <f t="shared" si="14"/>
        <v>0</v>
      </c>
      <c r="S74" s="204">
        <f t="shared" si="15"/>
        <v>0</v>
      </c>
      <c r="T74" s="210">
        <f t="shared" si="16"/>
        <v>890006</v>
      </c>
      <c r="U74" s="210">
        <f t="shared" ref="U74:U137" si="23">MAX(T74*(U$5),0)</f>
        <v>756505.1</v>
      </c>
      <c r="V74" s="203">
        <f>MIN(H74*parameters!C$22,ROUND(O74+S74-U74,0))</f>
        <v>12060692</v>
      </c>
      <c r="W74" s="211">
        <f t="shared" si="17"/>
        <v>83.423422259221894</v>
      </c>
      <c r="X74" s="208"/>
      <c r="Y74" s="212">
        <f t="shared" si="18"/>
        <v>0</v>
      </c>
      <c r="Z74" s="212">
        <f t="shared" ref="Z74:Z137" si="24">MAX(J74-(O74+S74),0)</f>
        <v>0</v>
      </c>
      <c r="AA74" s="212">
        <f t="shared" si="19"/>
        <v>133501</v>
      </c>
      <c r="AB74" s="68">
        <f t="shared" si="20"/>
        <v>0.92342225922189414</v>
      </c>
      <c r="AD74" s="207">
        <f t="shared" ref="AD74:AD137" si="25">(O74-J74)/J74</f>
        <v>7.4619916793484731E-2</v>
      </c>
      <c r="AE74" s="213">
        <f t="shared" si="21"/>
        <v>6.1561432387654236</v>
      </c>
      <c r="AF74" s="10">
        <f t="shared" ref="AF74:AF137" si="26">IF(AD74&lt;$AF$5, $AF$6*(M74), IF(AND(AD74&lt;$AF$4, AD74&gt;$AF$5), $AF$7*(M74), 0))</f>
        <v>0</v>
      </c>
      <c r="AG74" s="214"/>
      <c r="AH74" s="214">
        <v>4.9299999999999997E-2</v>
      </c>
      <c r="AI74" s="181"/>
      <c r="AJ74" s="214"/>
      <c r="AK74" s="214"/>
      <c r="AL74" s="214"/>
      <c r="AM74" s="10"/>
      <c r="AN74" s="10"/>
    </row>
    <row r="75" spans="1:40" ht="12.75" customHeight="1">
      <c r="A75" s="201">
        <v>66</v>
      </c>
      <c r="B75" s="201" t="s">
        <v>1332</v>
      </c>
      <c r="C75" s="202">
        <v>177586600</v>
      </c>
      <c r="D75" s="202">
        <f t="shared" ref="D75:D138" si="27">D$5*C75</f>
        <v>630359.56337662193</v>
      </c>
      <c r="E75" s="202">
        <v>40759000</v>
      </c>
      <c r="F75" s="202">
        <f t="shared" si="22"/>
        <v>580730.26517385128</v>
      </c>
      <c r="G75" s="202">
        <f t="shared" ref="G75:G138" si="28">ROUND(D75+F75,0)</f>
        <v>1211090</v>
      </c>
      <c r="H75" s="203">
        <f t="shared" ref="H75:H138" si="29">(SUMIF(town1755,A75,found1755)/2)</f>
        <v>2218244.1192673743</v>
      </c>
      <c r="I75" s="204">
        <f t="shared" ref="I75:I138" si="30">ROUND(H75*maxloc,0)</f>
        <v>1830051</v>
      </c>
      <c r="J75" s="204">
        <f t="shared" ref="J75:J138" si="31">MIN(G75,I75)</f>
        <v>1211090</v>
      </c>
      <c r="K75" s="198">
        <f t="shared" ref="K75:K138" si="32">IF(H75&gt;0, ROUND((J75*100/H75), 2), 0)</f>
        <v>54.6</v>
      </c>
      <c r="L75" s="205"/>
      <c r="M75" s="206">
        <v>1279166</v>
      </c>
      <c r="N75" s="207">
        <f t="shared" ref="N75:N138" si="33">IF($N$5=1,AH75, IF( $N$5=2,AI75, IF( $N$5=3, AJ75, IF($N$5=4, AK75, 0))))</f>
        <v>4.5999999999999999E-2</v>
      </c>
      <c r="O75" s="204">
        <f t="shared" ref="O75:O138" si="34">ROUND(M75*(1+N75),0)</f>
        <v>1338008</v>
      </c>
      <c r="P75" s="208">
        <f t="shared" ref="P75:P138" si="35">O75*100/H75</f>
        <v>60.318338652551354</v>
      </c>
      <c r="Q75" s="208">
        <f t="shared" ref="Q75:Q138" si="36">IF(K75&gt;P75,K75-P75,0)</f>
        <v>0</v>
      </c>
      <c r="R75" s="209">
        <f t="shared" ref="R75:R138" si="37">IF(AND(Q75&gt;$S$4,Q75&lt;=$S$5),$R$4,IF(Q75&gt;$S$5,$R$5,0))</f>
        <v>0</v>
      </c>
      <c r="S75" s="204">
        <f t="shared" ref="S75:S138" si="38">ROUND(R75*M75,0)</f>
        <v>0</v>
      </c>
      <c r="T75" s="210">
        <f t="shared" ref="T75:T138" si="39">MAX(O75-J75,0)</f>
        <v>126918</v>
      </c>
      <c r="U75" s="210">
        <f t="shared" si="23"/>
        <v>107880.3</v>
      </c>
      <c r="V75" s="203">
        <f>MIN(H75*parameters!C$22,ROUND(O75+S75-U75,0))</f>
        <v>1230128</v>
      </c>
      <c r="W75" s="211">
        <f t="shared" ref="W75:W138" si="40">V75*100/H75</f>
        <v>55.455032623112636</v>
      </c>
      <c r="X75" s="208"/>
      <c r="Y75" s="212">
        <f t="shared" ref="Y75:Y138" si="41">IF(P75&lt;K75, O75-J75, 0)</f>
        <v>0</v>
      </c>
      <c r="Z75" s="212">
        <f t="shared" si="24"/>
        <v>0</v>
      </c>
      <c r="AA75" s="212">
        <f t="shared" ref="AA75:AA138" si="42">IF(P75&gt;K75, V75-J75,0)</f>
        <v>19038</v>
      </c>
      <c r="AB75" s="68">
        <f t="shared" ref="AB75:AB138" si="43">W75-K75</f>
        <v>0.85503262311263484</v>
      </c>
      <c r="AD75" s="207">
        <f t="shared" si="25"/>
        <v>0.10479650562716231</v>
      </c>
      <c r="AE75" s="213">
        <f t="shared" ref="AE75:AE138" si="44">P75-K75</f>
        <v>5.7183386525513527</v>
      </c>
      <c r="AF75" s="10">
        <f t="shared" si="26"/>
        <v>0</v>
      </c>
      <c r="AG75" s="214"/>
      <c r="AH75" s="214">
        <v>4.5999999999999999E-2</v>
      </c>
      <c r="AI75" s="181"/>
      <c r="AJ75" s="214"/>
      <c r="AK75" s="214"/>
      <c r="AL75" s="214"/>
      <c r="AM75" s="10"/>
      <c r="AN75" s="10"/>
    </row>
    <row r="76" spans="1:40" ht="12.75" customHeight="1">
      <c r="A76" s="201">
        <v>67</v>
      </c>
      <c r="B76" s="201" t="s">
        <v>1333</v>
      </c>
      <c r="C76" s="202">
        <v>6238214600</v>
      </c>
      <c r="D76" s="202">
        <f t="shared" si="27"/>
        <v>22143102.190737747</v>
      </c>
      <c r="E76" s="202">
        <v>2283226000</v>
      </c>
      <c r="F76" s="202">
        <f t="shared" ref="F76:F139" si="45">E76*F$5</f>
        <v>32531181.835467793</v>
      </c>
      <c r="G76" s="202">
        <f t="shared" si="28"/>
        <v>54674284</v>
      </c>
      <c r="H76" s="203">
        <f t="shared" si="29"/>
        <v>29668881.369436309</v>
      </c>
      <c r="I76" s="204">
        <f t="shared" si="30"/>
        <v>24476827</v>
      </c>
      <c r="J76" s="204">
        <f t="shared" si="31"/>
        <v>24476827</v>
      </c>
      <c r="K76" s="198">
        <f t="shared" si="32"/>
        <v>82.5</v>
      </c>
      <c r="L76" s="205"/>
      <c r="M76" s="206">
        <v>24146248</v>
      </c>
      <c r="N76" s="207">
        <f t="shared" si="33"/>
        <v>4.0300000000000002E-2</v>
      </c>
      <c r="O76" s="204">
        <f t="shared" si="34"/>
        <v>25119342</v>
      </c>
      <c r="P76" s="208">
        <f t="shared" si="35"/>
        <v>84.665618791670852</v>
      </c>
      <c r="Q76" s="208">
        <f t="shared" si="36"/>
        <v>0</v>
      </c>
      <c r="R76" s="209">
        <f t="shared" si="37"/>
        <v>0</v>
      </c>
      <c r="S76" s="204">
        <f t="shared" si="38"/>
        <v>0</v>
      </c>
      <c r="T76" s="210">
        <f t="shared" si="39"/>
        <v>642515</v>
      </c>
      <c r="U76" s="210">
        <f t="shared" si="23"/>
        <v>546137.75</v>
      </c>
      <c r="V76" s="203">
        <f>MIN(H76*parameters!C$22,ROUND(O76+S76-U76,0))</f>
        <v>24573204</v>
      </c>
      <c r="W76" s="211">
        <f t="shared" si="40"/>
        <v>82.824841604288892</v>
      </c>
      <c r="X76" s="208"/>
      <c r="Y76" s="212">
        <f t="shared" si="41"/>
        <v>0</v>
      </c>
      <c r="Z76" s="212">
        <f t="shared" si="24"/>
        <v>0</v>
      </c>
      <c r="AA76" s="212">
        <f t="shared" si="42"/>
        <v>96377</v>
      </c>
      <c r="AB76" s="68">
        <f t="shared" si="43"/>
        <v>0.32484160428889197</v>
      </c>
      <c r="AD76" s="207">
        <f t="shared" si="25"/>
        <v>2.6249930189072301E-2</v>
      </c>
      <c r="AE76" s="213">
        <f t="shared" si="44"/>
        <v>2.1656187916708518</v>
      </c>
      <c r="AF76" s="10">
        <f t="shared" si="26"/>
        <v>0</v>
      </c>
      <c r="AG76" s="214"/>
      <c r="AH76" s="214">
        <v>4.0300000000000002E-2</v>
      </c>
      <c r="AI76" s="181"/>
      <c r="AJ76" s="214"/>
      <c r="AK76" s="214"/>
      <c r="AL76" s="214"/>
      <c r="AM76" s="10"/>
      <c r="AN76" s="10"/>
    </row>
    <row r="77" spans="1:40" ht="12.75" customHeight="1">
      <c r="A77" s="201">
        <v>68</v>
      </c>
      <c r="B77" s="201" t="s">
        <v>1334</v>
      </c>
      <c r="C77" s="202">
        <v>251373100</v>
      </c>
      <c r="D77" s="202">
        <f t="shared" si="27"/>
        <v>892271.36259508273</v>
      </c>
      <c r="E77" s="202">
        <v>62177000</v>
      </c>
      <c r="F77" s="202">
        <f t="shared" si="45"/>
        <v>885891.84468987351</v>
      </c>
      <c r="G77" s="202">
        <f t="shared" si="28"/>
        <v>1778163</v>
      </c>
      <c r="H77" s="203">
        <f t="shared" si="29"/>
        <v>2264750.9418800958</v>
      </c>
      <c r="I77" s="204">
        <f t="shared" si="30"/>
        <v>1868420</v>
      </c>
      <c r="J77" s="204">
        <f t="shared" si="31"/>
        <v>1778163</v>
      </c>
      <c r="K77" s="198">
        <f t="shared" si="32"/>
        <v>78.510000000000005</v>
      </c>
      <c r="L77" s="205"/>
      <c r="M77" s="206">
        <v>1921188</v>
      </c>
      <c r="N77" s="207">
        <f t="shared" si="33"/>
        <v>3.5400000000000001E-2</v>
      </c>
      <c r="O77" s="204">
        <f t="shared" si="34"/>
        <v>1989198</v>
      </c>
      <c r="P77" s="208">
        <f t="shared" si="35"/>
        <v>87.832969321944788</v>
      </c>
      <c r="Q77" s="208">
        <f t="shared" si="36"/>
        <v>0</v>
      </c>
      <c r="R77" s="209">
        <f t="shared" si="37"/>
        <v>0</v>
      </c>
      <c r="S77" s="204">
        <f t="shared" si="38"/>
        <v>0</v>
      </c>
      <c r="T77" s="210">
        <f t="shared" si="39"/>
        <v>211035</v>
      </c>
      <c r="U77" s="210">
        <f t="shared" si="23"/>
        <v>179379.75</v>
      </c>
      <c r="V77" s="203">
        <f>MIN(H77*parameters!C$22,ROUND(O77+S77-U77,0))</f>
        <v>1809818</v>
      </c>
      <c r="W77" s="211">
        <f t="shared" si="40"/>
        <v>79.912451587174061</v>
      </c>
      <c r="X77" s="208"/>
      <c r="Y77" s="212">
        <f t="shared" si="41"/>
        <v>0</v>
      </c>
      <c r="Z77" s="212">
        <f t="shared" si="24"/>
        <v>0</v>
      </c>
      <c r="AA77" s="212">
        <f t="shared" si="42"/>
        <v>31655</v>
      </c>
      <c r="AB77" s="68">
        <f t="shared" si="43"/>
        <v>1.4024515871740562</v>
      </c>
      <c r="AD77" s="207">
        <f t="shared" si="25"/>
        <v>0.11868147070881578</v>
      </c>
      <c r="AE77" s="213">
        <f t="shared" si="44"/>
        <v>9.3229693219447825</v>
      </c>
      <c r="AF77" s="10">
        <f t="shared" si="26"/>
        <v>0</v>
      </c>
      <c r="AG77" s="214"/>
      <c r="AH77" s="214">
        <v>3.5400000000000001E-2</v>
      </c>
      <c r="AI77" s="181"/>
      <c r="AJ77" s="214"/>
      <c r="AK77" s="214"/>
      <c r="AL77" s="214"/>
      <c r="AM77" s="10"/>
      <c r="AN77" s="10"/>
    </row>
    <row r="78" spans="1:40" ht="12.75" customHeight="1">
      <c r="A78" s="201">
        <v>69</v>
      </c>
      <c r="B78" s="201" t="s">
        <v>1335</v>
      </c>
      <c r="C78" s="202">
        <v>132105600</v>
      </c>
      <c r="D78" s="202">
        <f t="shared" si="27"/>
        <v>468920.67495862109</v>
      </c>
      <c r="E78" s="202">
        <v>27857000</v>
      </c>
      <c r="F78" s="202">
        <f t="shared" si="45"/>
        <v>396903.82484722335</v>
      </c>
      <c r="G78" s="202">
        <f t="shared" si="28"/>
        <v>865824</v>
      </c>
      <c r="H78" s="203">
        <f t="shared" si="29"/>
        <v>914499.87709544739</v>
      </c>
      <c r="I78" s="204">
        <f t="shared" si="30"/>
        <v>754462</v>
      </c>
      <c r="J78" s="204">
        <f t="shared" si="31"/>
        <v>754462</v>
      </c>
      <c r="K78" s="198">
        <f t="shared" si="32"/>
        <v>82.5</v>
      </c>
      <c r="L78" s="205"/>
      <c r="M78" s="206">
        <v>702451</v>
      </c>
      <c r="N78" s="207">
        <f t="shared" si="33"/>
        <v>3.4500000000000003E-2</v>
      </c>
      <c r="O78" s="204">
        <f t="shared" si="34"/>
        <v>726686</v>
      </c>
      <c r="P78" s="208">
        <f t="shared" si="35"/>
        <v>79.462667869134663</v>
      </c>
      <c r="Q78" s="208">
        <f t="shared" si="36"/>
        <v>3.0373321308653374</v>
      </c>
      <c r="R78" s="209">
        <f t="shared" si="37"/>
        <v>0.01</v>
      </c>
      <c r="S78" s="204">
        <f t="shared" si="38"/>
        <v>7025</v>
      </c>
      <c r="T78" s="210">
        <f t="shared" si="39"/>
        <v>0</v>
      </c>
      <c r="U78" s="210">
        <f t="shared" si="23"/>
        <v>0</v>
      </c>
      <c r="V78" s="203">
        <f>MIN(H78*parameters!C$22,ROUND(O78+S78-U78,0))</f>
        <v>733711</v>
      </c>
      <c r="W78" s="211">
        <f t="shared" si="40"/>
        <v>80.230847305343246</v>
      </c>
      <c r="X78" s="208"/>
      <c r="Y78" s="212">
        <f t="shared" si="41"/>
        <v>-27776</v>
      </c>
      <c r="Z78" s="212">
        <f t="shared" si="24"/>
        <v>20751</v>
      </c>
      <c r="AA78" s="212">
        <f t="shared" si="42"/>
        <v>0</v>
      </c>
      <c r="AB78" s="68">
        <f t="shared" si="43"/>
        <v>-2.2691526946567535</v>
      </c>
      <c r="AD78" s="207">
        <f t="shared" si="25"/>
        <v>-3.6815638163353488E-2</v>
      </c>
      <c r="AE78" s="213">
        <f t="shared" si="44"/>
        <v>-3.0373321308653374</v>
      </c>
      <c r="AF78" s="10">
        <f t="shared" si="26"/>
        <v>0</v>
      </c>
      <c r="AG78" s="214"/>
      <c r="AH78" s="214">
        <v>3.4500000000000003E-2</v>
      </c>
      <c r="AI78" s="181"/>
      <c r="AJ78" s="214"/>
      <c r="AK78" s="214"/>
      <c r="AL78" s="214"/>
      <c r="AM78" s="10"/>
      <c r="AN78" s="10"/>
    </row>
    <row r="79" spans="1:40" ht="12.75" customHeight="1">
      <c r="A79" s="201">
        <v>70</v>
      </c>
      <c r="B79" s="201" t="s">
        <v>1336</v>
      </c>
      <c r="C79" s="202">
        <v>610490000</v>
      </c>
      <c r="D79" s="202">
        <f t="shared" si="27"/>
        <v>2166989.0061851172</v>
      </c>
      <c r="E79" s="202">
        <v>200724000</v>
      </c>
      <c r="F79" s="202">
        <f t="shared" si="45"/>
        <v>2859896.0167510519</v>
      </c>
      <c r="G79" s="202">
        <f t="shared" si="28"/>
        <v>5026885</v>
      </c>
      <c r="H79" s="203">
        <f t="shared" si="29"/>
        <v>9490522.4859403539</v>
      </c>
      <c r="I79" s="204">
        <f t="shared" si="30"/>
        <v>7829681</v>
      </c>
      <c r="J79" s="204">
        <f t="shared" si="31"/>
        <v>5026885</v>
      </c>
      <c r="K79" s="198">
        <f t="shared" si="32"/>
        <v>52.97</v>
      </c>
      <c r="L79" s="205"/>
      <c r="M79" s="206">
        <v>5109270</v>
      </c>
      <c r="N79" s="207">
        <f t="shared" si="33"/>
        <v>2.9300000000000003E-2</v>
      </c>
      <c r="O79" s="204">
        <f t="shared" si="34"/>
        <v>5258972</v>
      </c>
      <c r="P79" s="208">
        <f t="shared" si="35"/>
        <v>55.412881722696035</v>
      </c>
      <c r="Q79" s="208">
        <f t="shared" si="36"/>
        <v>0</v>
      </c>
      <c r="R79" s="209">
        <f t="shared" si="37"/>
        <v>0</v>
      </c>
      <c r="S79" s="204">
        <f t="shared" si="38"/>
        <v>0</v>
      </c>
      <c r="T79" s="210">
        <f t="shared" si="39"/>
        <v>232087</v>
      </c>
      <c r="U79" s="210">
        <f t="shared" si="23"/>
        <v>197273.94999999998</v>
      </c>
      <c r="V79" s="203">
        <f>MIN(H79*parameters!C$22,ROUND(O79+S79-U79,0))</f>
        <v>5061698</v>
      </c>
      <c r="W79" s="211">
        <f t="shared" si="40"/>
        <v>53.334239579523732</v>
      </c>
      <c r="X79" s="208"/>
      <c r="Y79" s="212">
        <f t="shared" si="41"/>
        <v>0</v>
      </c>
      <c r="Z79" s="212">
        <f t="shared" si="24"/>
        <v>0</v>
      </c>
      <c r="AA79" s="212">
        <f t="shared" si="42"/>
        <v>34813</v>
      </c>
      <c r="AB79" s="68">
        <f t="shared" si="43"/>
        <v>0.36423957952373343</v>
      </c>
      <c r="AD79" s="207">
        <f t="shared" si="25"/>
        <v>4.6169148488576922E-2</v>
      </c>
      <c r="AE79" s="213">
        <f t="shared" si="44"/>
        <v>2.4428817226960362</v>
      </c>
      <c r="AF79" s="10">
        <f t="shared" si="26"/>
        <v>0</v>
      </c>
      <c r="AG79" s="214"/>
      <c r="AH79" s="214">
        <v>2.9300000000000003E-2</v>
      </c>
      <c r="AI79" s="181"/>
      <c r="AJ79" s="214"/>
      <c r="AK79" s="214"/>
      <c r="AL79" s="214"/>
      <c r="AM79" s="10"/>
      <c r="AN79" s="10"/>
    </row>
    <row r="80" spans="1:40" ht="12.75" customHeight="1">
      <c r="A80" s="201">
        <v>71</v>
      </c>
      <c r="B80" s="201" t="s">
        <v>1337</v>
      </c>
      <c r="C80" s="202">
        <v>4637914500</v>
      </c>
      <c r="D80" s="202">
        <f t="shared" si="27"/>
        <v>16462693.464473693</v>
      </c>
      <c r="E80" s="202">
        <v>1079052000</v>
      </c>
      <c r="F80" s="202">
        <f t="shared" si="45"/>
        <v>15374227.878416413</v>
      </c>
      <c r="G80" s="202">
        <f t="shared" si="28"/>
        <v>31836921</v>
      </c>
      <c r="H80" s="203">
        <f t="shared" si="29"/>
        <v>35917266.378513843</v>
      </c>
      <c r="I80" s="204">
        <f t="shared" si="30"/>
        <v>29631745</v>
      </c>
      <c r="J80" s="204">
        <f t="shared" si="31"/>
        <v>29631745</v>
      </c>
      <c r="K80" s="198">
        <f t="shared" si="32"/>
        <v>82.5</v>
      </c>
      <c r="L80" s="205"/>
      <c r="M80" s="206">
        <v>30985554</v>
      </c>
      <c r="N80" s="207">
        <f t="shared" si="33"/>
        <v>3.61E-2</v>
      </c>
      <c r="O80" s="204">
        <f t="shared" si="34"/>
        <v>32104132</v>
      </c>
      <c r="P80" s="208">
        <f t="shared" si="35"/>
        <v>89.383561826979943</v>
      </c>
      <c r="Q80" s="208">
        <f t="shared" si="36"/>
        <v>0</v>
      </c>
      <c r="R80" s="209">
        <f t="shared" si="37"/>
        <v>0</v>
      </c>
      <c r="S80" s="204">
        <f t="shared" si="38"/>
        <v>0</v>
      </c>
      <c r="T80" s="210">
        <f t="shared" si="39"/>
        <v>2472387</v>
      </c>
      <c r="U80" s="210">
        <f t="shared" si="23"/>
        <v>2101528.9499999997</v>
      </c>
      <c r="V80" s="203">
        <f>MIN(H80*parameters!C$22,ROUND(O80+S80-U80,0))</f>
        <v>30002603</v>
      </c>
      <c r="W80" s="211">
        <f t="shared" si="40"/>
        <v>83.532534697428787</v>
      </c>
      <c r="X80" s="208"/>
      <c r="Y80" s="212">
        <f t="shared" si="41"/>
        <v>0</v>
      </c>
      <c r="Z80" s="212">
        <f t="shared" si="24"/>
        <v>0</v>
      </c>
      <c r="AA80" s="212">
        <f t="shared" si="42"/>
        <v>370858</v>
      </c>
      <c r="AB80" s="68">
        <f t="shared" si="43"/>
        <v>1.0325346974287868</v>
      </c>
      <c r="AD80" s="207">
        <f t="shared" si="25"/>
        <v>8.3437104362230438E-2</v>
      </c>
      <c r="AE80" s="213">
        <f t="shared" si="44"/>
        <v>6.8835618269799426</v>
      </c>
      <c r="AF80" s="10">
        <f t="shared" si="26"/>
        <v>0</v>
      </c>
      <c r="AG80" s="214"/>
      <c r="AH80" s="214">
        <v>3.61E-2</v>
      </c>
      <c r="AI80" s="181"/>
      <c r="AJ80" s="214"/>
      <c r="AK80" s="214"/>
      <c r="AL80" s="214"/>
      <c r="AM80" s="10"/>
      <c r="AN80" s="10"/>
    </row>
    <row r="81" spans="1:40" ht="12.75" customHeight="1">
      <c r="A81" s="201">
        <v>72</v>
      </c>
      <c r="B81" s="201" t="s">
        <v>1338</v>
      </c>
      <c r="C81" s="202">
        <v>5465842900</v>
      </c>
      <c r="D81" s="202">
        <f t="shared" si="27"/>
        <v>19401499.572204258</v>
      </c>
      <c r="E81" s="202">
        <v>1096656000</v>
      </c>
      <c r="F81" s="202">
        <f t="shared" si="45"/>
        <v>15625047.957125913</v>
      </c>
      <c r="G81" s="202">
        <f t="shared" si="28"/>
        <v>35026548</v>
      </c>
      <c r="H81" s="203">
        <f t="shared" si="29"/>
        <v>41598322.094230548</v>
      </c>
      <c r="I81" s="204">
        <f t="shared" si="30"/>
        <v>34318616</v>
      </c>
      <c r="J81" s="204">
        <f t="shared" si="31"/>
        <v>34318616</v>
      </c>
      <c r="K81" s="198">
        <f t="shared" si="32"/>
        <v>82.5</v>
      </c>
      <c r="L81" s="205"/>
      <c r="M81" s="206">
        <v>33935126</v>
      </c>
      <c r="N81" s="207">
        <f t="shared" si="33"/>
        <v>4.590000000000001E-2</v>
      </c>
      <c r="O81" s="204">
        <f t="shared" si="34"/>
        <v>35492748</v>
      </c>
      <c r="P81" s="208">
        <f t="shared" si="35"/>
        <v>85.32254719216823</v>
      </c>
      <c r="Q81" s="208">
        <f t="shared" si="36"/>
        <v>0</v>
      </c>
      <c r="R81" s="209">
        <f t="shared" si="37"/>
        <v>0</v>
      </c>
      <c r="S81" s="204">
        <f t="shared" si="38"/>
        <v>0</v>
      </c>
      <c r="T81" s="210">
        <f t="shared" si="39"/>
        <v>1174132</v>
      </c>
      <c r="U81" s="210">
        <f t="shared" si="23"/>
        <v>998012.2</v>
      </c>
      <c r="V81" s="203">
        <f>MIN(H81*parameters!C$22,ROUND(O81+S81-U81,0))</f>
        <v>34494736</v>
      </c>
      <c r="W81" s="211">
        <f t="shared" si="40"/>
        <v>82.92338311593636</v>
      </c>
      <c r="X81" s="208"/>
      <c r="Y81" s="212">
        <f t="shared" si="41"/>
        <v>0</v>
      </c>
      <c r="Z81" s="212">
        <f t="shared" si="24"/>
        <v>0</v>
      </c>
      <c r="AA81" s="212">
        <f t="shared" si="42"/>
        <v>176120</v>
      </c>
      <c r="AB81" s="68">
        <f t="shared" si="43"/>
        <v>0.42338311593636035</v>
      </c>
      <c r="AD81" s="207">
        <f t="shared" si="25"/>
        <v>3.4212685033685505E-2</v>
      </c>
      <c r="AE81" s="213">
        <f t="shared" si="44"/>
        <v>2.8225471921682299</v>
      </c>
      <c r="AF81" s="10">
        <f t="shared" si="26"/>
        <v>0</v>
      </c>
      <c r="AG81" s="214"/>
      <c r="AH81" s="214">
        <v>4.590000000000001E-2</v>
      </c>
      <c r="AI81" s="181"/>
      <c r="AJ81" s="214"/>
      <c r="AK81" s="214"/>
      <c r="AL81" s="214"/>
      <c r="AM81" s="10"/>
      <c r="AN81" s="10"/>
    </row>
    <row r="82" spans="1:40" ht="12.75" customHeight="1">
      <c r="A82" s="201">
        <v>73</v>
      </c>
      <c r="B82" s="201" t="s">
        <v>1339</v>
      </c>
      <c r="C82" s="202">
        <v>4726182700</v>
      </c>
      <c r="D82" s="202">
        <f t="shared" si="27"/>
        <v>16776009.356618935</v>
      </c>
      <c r="E82" s="202">
        <v>1285381000</v>
      </c>
      <c r="F82" s="202">
        <f t="shared" si="45"/>
        <v>18313983.389666826</v>
      </c>
      <c r="G82" s="202">
        <f t="shared" si="28"/>
        <v>35089993</v>
      </c>
      <c r="H82" s="203">
        <f t="shared" si="29"/>
        <v>28739160.359602522</v>
      </c>
      <c r="I82" s="204">
        <f t="shared" si="30"/>
        <v>23709807</v>
      </c>
      <c r="J82" s="204">
        <f t="shared" si="31"/>
        <v>23709807</v>
      </c>
      <c r="K82" s="198">
        <f t="shared" si="32"/>
        <v>82.5</v>
      </c>
      <c r="L82" s="205"/>
      <c r="M82" s="206">
        <v>23972832</v>
      </c>
      <c r="N82" s="207">
        <f t="shared" si="33"/>
        <v>2.6100000000000002E-2</v>
      </c>
      <c r="O82" s="204">
        <f t="shared" si="34"/>
        <v>24598523</v>
      </c>
      <c r="P82" s="208">
        <f t="shared" si="35"/>
        <v>85.592350967139424</v>
      </c>
      <c r="Q82" s="208">
        <f t="shared" si="36"/>
        <v>0</v>
      </c>
      <c r="R82" s="209">
        <f t="shared" si="37"/>
        <v>0</v>
      </c>
      <c r="S82" s="204">
        <f t="shared" si="38"/>
        <v>0</v>
      </c>
      <c r="T82" s="210">
        <f t="shared" si="39"/>
        <v>888716</v>
      </c>
      <c r="U82" s="210">
        <f t="shared" si="23"/>
        <v>755408.6</v>
      </c>
      <c r="V82" s="203">
        <f>MIN(H82*parameters!C$22,ROUND(O82+S82-U82,0))</f>
        <v>23843114</v>
      </c>
      <c r="W82" s="211">
        <f t="shared" si="40"/>
        <v>82.963850375793527</v>
      </c>
      <c r="X82" s="208"/>
      <c r="Y82" s="212">
        <f t="shared" si="41"/>
        <v>0</v>
      </c>
      <c r="Z82" s="212">
        <f t="shared" si="24"/>
        <v>0</v>
      </c>
      <c r="AA82" s="212">
        <f t="shared" si="42"/>
        <v>133307</v>
      </c>
      <c r="AB82" s="68">
        <f t="shared" si="43"/>
        <v>0.46385037579352684</v>
      </c>
      <c r="AD82" s="207">
        <f t="shared" si="25"/>
        <v>3.7483055007575559E-2</v>
      </c>
      <c r="AE82" s="213">
        <f t="shared" si="44"/>
        <v>3.0923509671394243</v>
      </c>
      <c r="AF82" s="10">
        <f t="shared" si="26"/>
        <v>0</v>
      </c>
      <c r="AG82" s="214"/>
      <c r="AH82" s="214">
        <v>2.6100000000000002E-2</v>
      </c>
      <c r="AI82" s="181"/>
      <c r="AJ82" s="214"/>
      <c r="AK82" s="214"/>
      <c r="AL82" s="214"/>
      <c r="AM82" s="10"/>
      <c r="AN82" s="10"/>
    </row>
    <row r="83" spans="1:40" ht="12.75" customHeight="1">
      <c r="A83" s="201">
        <v>74</v>
      </c>
      <c r="B83" s="201" t="s">
        <v>1340</v>
      </c>
      <c r="C83" s="202">
        <v>701406100</v>
      </c>
      <c r="D83" s="202">
        <f t="shared" si="27"/>
        <v>2489703.8568546232</v>
      </c>
      <c r="E83" s="202">
        <v>188128000</v>
      </c>
      <c r="F83" s="202">
        <f t="shared" si="45"/>
        <v>2680429.4346433007</v>
      </c>
      <c r="G83" s="202">
        <f t="shared" si="28"/>
        <v>5170133</v>
      </c>
      <c r="H83" s="203">
        <f t="shared" si="29"/>
        <v>6081835.7127814107</v>
      </c>
      <c r="I83" s="204">
        <f t="shared" si="30"/>
        <v>5017514</v>
      </c>
      <c r="J83" s="204">
        <f t="shared" si="31"/>
        <v>5017514</v>
      </c>
      <c r="K83" s="198">
        <f t="shared" si="32"/>
        <v>82.5</v>
      </c>
      <c r="L83" s="205"/>
      <c r="M83" s="206">
        <v>5028971</v>
      </c>
      <c r="N83" s="207">
        <f t="shared" si="33"/>
        <v>4.1500000000000002E-2</v>
      </c>
      <c r="O83" s="204">
        <f t="shared" si="34"/>
        <v>5237673</v>
      </c>
      <c r="P83" s="208">
        <f t="shared" si="35"/>
        <v>86.119935614055763</v>
      </c>
      <c r="Q83" s="208">
        <f t="shared" si="36"/>
        <v>0</v>
      </c>
      <c r="R83" s="209">
        <f t="shared" si="37"/>
        <v>0</v>
      </c>
      <c r="S83" s="204">
        <f t="shared" si="38"/>
        <v>0</v>
      </c>
      <c r="T83" s="210">
        <f t="shared" si="39"/>
        <v>220159</v>
      </c>
      <c r="U83" s="210">
        <f t="shared" si="23"/>
        <v>187135.15</v>
      </c>
      <c r="V83" s="203">
        <f>MIN(H83*parameters!C$22,ROUND(O83+S83-U83,0))</f>
        <v>5050538</v>
      </c>
      <c r="W83" s="211">
        <f t="shared" si="40"/>
        <v>83.042986336936636</v>
      </c>
      <c r="X83" s="208"/>
      <c r="Y83" s="212">
        <f t="shared" si="41"/>
        <v>0</v>
      </c>
      <c r="Z83" s="212">
        <f t="shared" si="24"/>
        <v>0</v>
      </c>
      <c r="AA83" s="212">
        <f t="shared" si="42"/>
        <v>33024</v>
      </c>
      <c r="AB83" s="68">
        <f t="shared" si="43"/>
        <v>0.54298633693663589</v>
      </c>
      <c r="AD83" s="207">
        <f t="shared" si="25"/>
        <v>4.3878103778086118E-2</v>
      </c>
      <c r="AE83" s="213">
        <f t="shared" si="44"/>
        <v>3.6199356140557626</v>
      </c>
      <c r="AF83" s="10">
        <f t="shared" si="26"/>
        <v>0</v>
      </c>
      <c r="AG83" s="214"/>
      <c r="AH83" s="214">
        <v>4.1500000000000002E-2</v>
      </c>
      <c r="AI83" s="181"/>
      <c r="AJ83" s="214"/>
      <c r="AK83" s="214"/>
      <c r="AL83" s="214"/>
      <c r="AM83" s="10"/>
      <c r="AN83" s="10"/>
    </row>
    <row r="84" spans="1:40" ht="12.75" customHeight="1">
      <c r="A84" s="201">
        <v>75</v>
      </c>
      <c r="B84" s="201" t="s">
        <v>1341</v>
      </c>
      <c r="C84" s="202">
        <v>6726007200</v>
      </c>
      <c r="D84" s="202">
        <f t="shared" si="27"/>
        <v>23874565.771629252</v>
      </c>
      <c r="E84" s="202">
        <v>469184000</v>
      </c>
      <c r="F84" s="202">
        <f t="shared" si="45"/>
        <v>6684887.9691682393</v>
      </c>
      <c r="G84" s="202">
        <f t="shared" si="28"/>
        <v>30559454</v>
      </c>
      <c r="H84" s="203">
        <f t="shared" si="29"/>
        <v>13570525.461319465</v>
      </c>
      <c r="I84" s="204">
        <f t="shared" si="30"/>
        <v>11195684</v>
      </c>
      <c r="J84" s="204">
        <f t="shared" si="31"/>
        <v>11195684</v>
      </c>
      <c r="K84" s="198">
        <f t="shared" si="32"/>
        <v>82.5</v>
      </c>
      <c r="L84" s="205"/>
      <c r="M84" s="206">
        <v>11710331</v>
      </c>
      <c r="N84" s="207">
        <f t="shared" si="33"/>
        <v>4.3299999999999998E-2</v>
      </c>
      <c r="O84" s="204">
        <f t="shared" si="34"/>
        <v>12217388</v>
      </c>
      <c r="P84" s="208">
        <f t="shared" si="35"/>
        <v>90.028849913171314</v>
      </c>
      <c r="Q84" s="208">
        <f t="shared" si="36"/>
        <v>0</v>
      </c>
      <c r="R84" s="209">
        <f t="shared" si="37"/>
        <v>0</v>
      </c>
      <c r="S84" s="204">
        <f t="shared" si="38"/>
        <v>0</v>
      </c>
      <c r="T84" s="210">
        <f t="shared" si="39"/>
        <v>1021704</v>
      </c>
      <c r="U84" s="210">
        <f t="shared" si="23"/>
        <v>868448.4</v>
      </c>
      <c r="V84" s="203">
        <f>MIN(H84*parameters!C$22,ROUND(O84+S84-U84,0))</f>
        <v>11348940</v>
      </c>
      <c r="W84" s="211">
        <f t="shared" si="40"/>
        <v>83.629333531323255</v>
      </c>
      <c r="X84" s="208"/>
      <c r="Y84" s="212">
        <f t="shared" si="41"/>
        <v>0</v>
      </c>
      <c r="Z84" s="212">
        <f t="shared" si="24"/>
        <v>0</v>
      </c>
      <c r="AA84" s="212">
        <f t="shared" si="42"/>
        <v>153256</v>
      </c>
      <c r="AB84" s="68">
        <f t="shared" si="43"/>
        <v>1.1293335313232546</v>
      </c>
      <c r="AD84" s="207">
        <f t="shared" si="25"/>
        <v>9.1258738635352693E-2</v>
      </c>
      <c r="AE84" s="213">
        <f t="shared" si="44"/>
        <v>7.5288499131713138</v>
      </c>
      <c r="AF84" s="10">
        <f t="shared" si="26"/>
        <v>0</v>
      </c>
      <c r="AG84" s="214"/>
      <c r="AH84" s="214">
        <v>4.3299999999999998E-2</v>
      </c>
      <c r="AI84" s="181"/>
      <c r="AJ84" s="214"/>
      <c r="AK84" s="214"/>
      <c r="AL84" s="214"/>
      <c r="AM84" s="10"/>
      <c r="AN84" s="10"/>
    </row>
    <row r="85" spans="1:40" ht="12.75" customHeight="1">
      <c r="A85" s="201">
        <v>76</v>
      </c>
      <c r="B85" s="201" t="s">
        <v>1342</v>
      </c>
      <c r="C85" s="202">
        <v>893256400</v>
      </c>
      <c r="D85" s="202">
        <f t="shared" si="27"/>
        <v>3170693.702606915</v>
      </c>
      <c r="E85" s="202">
        <v>234027000</v>
      </c>
      <c r="F85" s="202">
        <f t="shared" si="45"/>
        <v>3334393.919572141</v>
      </c>
      <c r="G85" s="202">
        <f t="shared" si="28"/>
        <v>6505088</v>
      </c>
      <c r="H85" s="203">
        <f t="shared" si="29"/>
        <v>13511041.8860173</v>
      </c>
      <c r="I85" s="204">
        <f t="shared" si="30"/>
        <v>11146610</v>
      </c>
      <c r="J85" s="204">
        <f t="shared" si="31"/>
        <v>6505088</v>
      </c>
      <c r="K85" s="198">
        <f t="shared" si="32"/>
        <v>48.15</v>
      </c>
      <c r="L85" s="205"/>
      <c r="M85" s="206">
        <v>6458583</v>
      </c>
      <c r="N85" s="207">
        <f t="shared" si="33"/>
        <v>4.4299999999999999E-2</v>
      </c>
      <c r="O85" s="204">
        <f t="shared" si="34"/>
        <v>6744698</v>
      </c>
      <c r="P85" s="208">
        <f t="shared" si="35"/>
        <v>49.919895570601028</v>
      </c>
      <c r="Q85" s="208">
        <f t="shared" si="36"/>
        <v>0</v>
      </c>
      <c r="R85" s="209">
        <f t="shared" si="37"/>
        <v>0</v>
      </c>
      <c r="S85" s="204">
        <f t="shared" si="38"/>
        <v>0</v>
      </c>
      <c r="T85" s="210">
        <f t="shared" si="39"/>
        <v>239610</v>
      </c>
      <c r="U85" s="210">
        <f t="shared" si="23"/>
        <v>203668.5</v>
      </c>
      <c r="V85" s="203">
        <f>MIN(H85*parameters!C$22,ROUND(O85+S85-U85,0))</f>
        <v>6541030</v>
      </c>
      <c r="W85" s="211">
        <f t="shared" si="40"/>
        <v>48.412476663027526</v>
      </c>
      <c r="X85" s="208"/>
      <c r="Y85" s="212">
        <f t="shared" si="41"/>
        <v>0</v>
      </c>
      <c r="Z85" s="212">
        <f t="shared" si="24"/>
        <v>0</v>
      </c>
      <c r="AA85" s="212">
        <f t="shared" si="42"/>
        <v>35942</v>
      </c>
      <c r="AB85" s="68">
        <f t="shared" si="43"/>
        <v>0.26247666302752748</v>
      </c>
      <c r="AD85" s="207">
        <f t="shared" si="25"/>
        <v>3.6834244210070644E-2</v>
      </c>
      <c r="AE85" s="213">
        <f t="shared" si="44"/>
        <v>1.7698955706010295</v>
      </c>
      <c r="AF85" s="10">
        <f t="shared" si="26"/>
        <v>0</v>
      </c>
      <c r="AG85" s="214"/>
      <c r="AH85" s="214">
        <v>4.4299999999999999E-2</v>
      </c>
      <c r="AI85" s="181"/>
      <c r="AJ85" s="214"/>
      <c r="AK85" s="214"/>
      <c r="AL85" s="214"/>
      <c r="AM85" s="10"/>
      <c r="AN85" s="10"/>
    </row>
    <row r="86" spans="1:40" ht="12.75" customHeight="1">
      <c r="A86" s="201">
        <v>77</v>
      </c>
      <c r="B86" s="201" t="s">
        <v>1343</v>
      </c>
      <c r="C86" s="202">
        <v>939822500</v>
      </c>
      <c r="D86" s="202">
        <f t="shared" si="27"/>
        <v>3335984.250791024</v>
      </c>
      <c r="E86" s="202">
        <v>295118000</v>
      </c>
      <c r="F86" s="202">
        <f t="shared" si="45"/>
        <v>4204812.5419558045</v>
      </c>
      <c r="G86" s="202">
        <f t="shared" si="28"/>
        <v>7540797</v>
      </c>
      <c r="H86" s="203">
        <f t="shared" si="29"/>
        <v>14385470.02743341</v>
      </c>
      <c r="I86" s="204">
        <f t="shared" si="30"/>
        <v>11868013</v>
      </c>
      <c r="J86" s="204">
        <f t="shared" si="31"/>
        <v>7540797</v>
      </c>
      <c r="K86" s="198">
        <f t="shared" si="32"/>
        <v>52.42</v>
      </c>
      <c r="L86" s="205"/>
      <c r="M86" s="206">
        <v>7293146</v>
      </c>
      <c r="N86" s="207">
        <f t="shared" si="33"/>
        <v>3.6499999999999998E-2</v>
      </c>
      <c r="O86" s="204">
        <f t="shared" si="34"/>
        <v>7559346</v>
      </c>
      <c r="P86" s="208">
        <f t="shared" si="35"/>
        <v>52.548481110343701</v>
      </c>
      <c r="Q86" s="208">
        <f t="shared" si="36"/>
        <v>0</v>
      </c>
      <c r="R86" s="209">
        <f t="shared" si="37"/>
        <v>0</v>
      </c>
      <c r="S86" s="204">
        <f t="shared" si="38"/>
        <v>0</v>
      </c>
      <c r="T86" s="210">
        <f t="shared" si="39"/>
        <v>18549</v>
      </c>
      <c r="U86" s="210">
        <f t="shared" si="23"/>
        <v>15766.65</v>
      </c>
      <c r="V86" s="203">
        <f>MIN(H86*parameters!C$22,ROUND(O86+S86-U86,0))</f>
        <v>7543579</v>
      </c>
      <c r="W86" s="211">
        <f t="shared" si="40"/>
        <v>52.438877461871094</v>
      </c>
      <c r="X86" s="208"/>
      <c r="Y86" s="212">
        <f t="shared" si="41"/>
        <v>0</v>
      </c>
      <c r="Z86" s="212">
        <f t="shared" si="24"/>
        <v>0</v>
      </c>
      <c r="AA86" s="212">
        <f t="shared" si="42"/>
        <v>2782</v>
      </c>
      <c r="AB86" s="68">
        <f t="shared" si="43"/>
        <v>1.8877461871092294E-2</v>
      </c>
      <c r="AD86" s="207">
        <f t="shared" si="25"/>
        <v>2.4598195654915523E-3</v>
      </c>
      <c r="AE86" s="213">
        <f t="shared" si="44"/>
        <v>0.12848111034369936</v>
      </c>
      <c r="AF86" s="10">
        <f t="shared" si="26"/>
        <v>0</v>
      </c>
      <c r="AG86" s="214"/>
      <c r="AH86" s="214">
        <v>3.6499999999999998E-2</v>
      </c>
      <c r="AI86" s="181"/>
      <c r="AJ86" s="214"/>
      <c r="AK86" s="214"/>
      <c r="AL86" s="214"/>
      <c r="AM86" s="10"/>
      <c r="AN86" s="10"/>
    </row>
    <row r="87" spans="1:40" ht="12.75" customHeight="1">
      <c r="A87" s="201">
        <v>78</v>
      </c>
      <c r="B87" s="201" t="s">
        <v>1344</v>
      </c>
      <c r="C87" s="202">
        <v>2504188200</v>
      </c>
      <c r="D87" s="202">
        <f t="shared" si="27"/>
        <v>8888840.6015143525</v>
      </c>
      <c r="E87" s="202">
        <v>1535403000</v>
      </c>
      <c r="F87" s="202">
        <f t="shared" si="45"/>
        <v>21876272.512542672</v>
      </c>
      <c r="G87" s="202">
        <f t="shared" si="28"/>
        <v>30765113</v>
      </c>
      <c r="H87" s="203">
        <f t="shared" si="29"/>
        <v>11140692.981777482</v>
      </c>
      <c r="I87" s="204">
        <f t="shared" si="30"/>
        <v>9191072</v>
      </c>
      <c r="J87" s="204">
        <f t="shared" si="31"/>
        <v>9191072</v>
      </c>
      <c r="K87" s="198">
        <f t="shared" si="32"/>
        <v>82.5</v>
      </c>
      <c r="L87" s="205"/>
      <c r="M87" s="206">
        <v>9017054</v>
      </c>
      <c r="N87" s="207">
        <f t="shared" si="33"/>
        <v>4.5499999999999999E-2</v>
      </c>
      <c r="O87" s="204">
        <f t="shared" si="34"/>
        <v>9427330</v>
      </c>
      <c r="P87" s="208">
        <f t="shared" si="35"/>
        <v>84.620678582741832</v>
      </c>
      <c r="Q87" s="208">
        <f t="shared" si="36"/>
        <v>0</v>
      </c>
      <c r="R87" s="209">
        <f t="shared" si="37"/>
        <v>0</v>
      </c>
      <c r="S87" s="204">
        <f t="shared" si="38"/>
        <v>0</v>
      </c>
      <c r="T87" s="210">
        <f t="shared" si="39"/>
        <v>236258</v>
      </c>
      <c r="U87" s="210">
        <f t="shared" si="23"/>
        <v>200819.3</v>
      </c>
      <c r="V87" s="203">
        <f>MIN(H87*parameters!C$22,ROUND(O87+S87-U87,0))</f>
        <v>9226511</v>
      </c>
      <c r="W87" s="211">
        <f t="shared" si="40"/>
        <v>82.818106693107367</v>
      </c>
      <c r="X87" s="208"/>
      <c r="Y87" s="212">
        <f t="shared" si="41"/>
        <v>0</v>
      </c>
      <c r="Z87" s="212">
        <f t="shared" si="24"/>
        <v>0</v>
      </c>
      <c r="AA87" s="212">
        <f t="shared" si="42"/>
        <v>35439</v>
      </c>
      <c r="AB87" s="68">
        <f t="shared" si="43"/>
        <v>0.31810669310736728</v>
      </c>
      <c r="AD87" s="207">
        <f t="shared" si="25"/>
        <v>2.5705162575159896E-2</v>
      </c>
      <c r="AE87" s="213">
        <f t="shared" si="44"/>
        <v>2.1206785827418315</v>
      </c>
      <c r="AF87" s="10">
        <f t="shared" si="26"/>
        <v>0</v>
      </c>
      <c r="AG87" s="214"/>
      <c r="AH87" s="214">
        <v>4.5499999999999999E-2</v>
      </c>
      <c r="AI87" s="181"/>
      <c r="AJ87" s="214"/>
      <c r="AK87" s="214"/>
      <c r="AL87" s="214"/>
      <c r="AM87" s="10"/>
      <c r="AN87" s="10"/>
    </row>
    <row r="88" spans="1:40" ht="12.75" customHeight="1">
      <c r="A88" s="201">
        <v>79</v>
      </c>
      <c r="B88" s="201" t="s">
        <v>1345</v>
      </c>
      <c r="C88" s="202">
        <v>3215541900</v>
      </c>
      <c r="D88" s="202">
        <f t="shared" si="27"/>
        <v>11413854.356709534</v>
      </c>
      <c r="E88" s="202">
        <v>976073000</v>
      </c>
      <c r="F88" s="202">
        <f t="shared" si="45"/>
        <v>13906993.108737618</v>
      </c>
      <c r="G88" s="202">
        <f t="shared" si="28"/>
        <v>25320847</v>
      </c>
      <c r="H88" s="203">
        <f t="shared" si="29"/>
        <v>45344889.691439763</v>
      </c>
      <c r="I88" s="204">
        <f t="shared" si="30"/>
        <v>37409534</v>
      </c>
      <c r="J88" s="204">
        <f t="shared" si="31"/>
        <v>25320847</v>
      </c>
      <c r="K88" s="198">
        <f t="shared" si="32"/>
        <v>55.84</v>
      </c>
      <c r="L88" s="205"/>
      <c r="M88" s="206">
        <v>24715808</v>
      </c>
      <c r="N88" s="207">
        <f t="shared" si="33"/>
        <v>4.4400000000000002E-2</v>
      </c>
      <c r="O88" s="204">
        <f t="shared" si="34"/>
        <v>25813190</v>
      </c>
      <c r="P88" s="208">
        <f t="shared" si="35"/>
        <v>56.926348648441042</v>
      </c>
      <c r="Q88" s="208">
        <f t="shared" si="36"/>
        <v>0</v>
      </c>
      <c r="R88" s="209">
        <f t="shared" si="37"/>
        <v>0</v>
      </c>
      <c r="S88" s="204">
        <f t="shared" si="38"/>
        <v>0</v>
      </c>
      <c r="T88" s="210">
        <f t="shared" si="39"/>
        <v>492343</v>
      </c>
      <c r="U88" s="210">
        <f t="shared" si="23"/>
        <v>418491.55</v>
      </c>
      <c r="V88" s="203">
        <f>MIN(H88*parameters!C$22,ROUND(O88+S88-U88,0))</f>
        <v>25394698</v>
      </c>
      <c r="W88" s="211">
        <f t="shared" si="40"/>
        <v>56.003439798408039</v>
      </c>
      <c r="X88" s="208"/>
      <c r="Y88" s="212">
        <f t="shared" si="41"/>
        <v>0</v>
      </c>
      <c r="Z88" s="212">
        <f t="shared" si="24"/>
        <v>0</v>
      </c>
      <c r="AA88" s="212">
        <f t="shared" si="42"/>
        <v>73851</v>
      </c>
      <c r="AB88" s="68">
        <f t="shared" si="43"/>
        <v>0.16343979840803513</v>
      </c>
      <c r="AD88" s="207">
        <f t="shared" si="25"/>
        <v>1.9444175781323587E-2</v>
      </c>
      <c r="AE88" s="213">
        <f t="shared" si="44"/>
        <v>1.0863486484410387</v>
      </c>
      <c r="AF88" s="10">
        <f t="shared" si="26"/>
        <v>0</v>
      </c>
      <c r="AG88" s="214"/>
      <c r="AH88" s="214">
        <v>4.4400000000000002E-2</v>
      </c>
      <c r="AI88" s="181"/>
      <c r="AJ88" s="214"/>
      <c r="AK88" s="214"/>
      <c r="AL88" s="214"/>
      <c r="AM88" s="10"/>
      <c r="AN88" s="10"/>
    </row>
    <row r="89" spans="1:40" ht="12.75" customHeight="1">
      <c r="A89" s="201">
        <v>80</v>
      </c>
      <c r="B89" s="201" t="s">
        <v>1346</v>
      </c>
      <c r="C89" s="202">
        <v>933666600</v>
      </c>
      <c r="D89" s="202">
        <f t="shared" si="27"/>
        <v>3314133.3316552886</v>
      </c>
      <c r="E89" s="202">
        <v>306362000</v>
      </c>
      <c r="F89" s="202">
        <f t="shared" si="45"/>
        <v>4365015.9596455125</v>
      </c>
      <c r="G89" s="202">
        <f t="shared" si="28"/>
        <v>7679149</v>
      </c>
      <c r="H89" s="203">
        <f t="shared" si="29"/>
        <v>19847057.070271857</v>
      </c>
      <c r="I89" s="204">
        <f t="shared" si="30"/>
        <v>16373822</v>
      </c>
      <c r="J89" s="204">
        <f t="shared" si="31"/>
        <v>7679149</v>
      </c>
      <c r="K89" s="198">
        <f t="shared" si="32"/>
        <v>38.69</v>
      </c>
      <c r="L89" s="205"/>
      <c r="M89" s="206">
        <v>6086757</v>
      </c>
      <c r="N89" s="207">
        <f t="shared" si="33"/>
        <v>5.4299999999999994E-2</v>
      </c>
      <c r="O89" s="204">
        <f t="shared" si="34"/>
        <v>6417268</v>
      </c>
      <c r="P89" s="208">
        <f t="shared" si="35"/>
        <v>32.333599773903906</v>
      </c>
      <c r="Q89" s="208">
        <f t="shared" si="36"/>
        <v>6.3564002260960919</v>
      </c>
      <c r="R89" s="209">
        <f t="shared" si="37"/>
        <v>0.01</v>
      </c>
      <c r="S89" s="204">
        <f t="shared" si="38"/>
        <v>60868</v>
      </c>
      <c r="T89" s="210">
        <f t="shared" si="39"/>
        <v>0</v>
      </c>
      <c r="U89" s="210">
        <f t="shared" si="23"/>
        <v>0</v>
      </c>
      <c r="V89" s="203">
        <f>MIN(H89*parameters!C$22,ROUND(O89+S89-U89,0))</f>
        <v>6478136</v>
      </c>
      <c r="W89" s="211">
        <f t="shared" si="40"/>
        <v>32.640285041067123</v>
      </c>
      <c r="X89" s="208"/>
      <c r="Y89" s="212">
        <f t="shared" si="41"/>
        <v>-1261881</v>
      </c>
      <c r="Z89" s="212">
        <f t="shared" si="24"/>
        <v>1201013</v>
      </c>
      <c r="AA89" s="212">
        <f t="shared" si="42"/>
        <v>0</v>
      </c>
      <c r="AB89" s="68">
        <f t="shared" si="43"/>
        <v>-6.0497149589328743</v>
      </c>
      <c r="AD89" s="207">
        <f t="shared" si="25"/>
        <v>-0.16432563035305084</v>
      </c>
      <c r="AE89" s="213">
        <f t="shared" si="44"/>
        <v>-6.3564002260960919</v>
      </c>
      <c r="AF89" s="10">
        <f t="shared" si="26"/>
        <v>121735.14</v>
      </c>
      <c r="AG89" s="214"/>
      <c r="AH89" s="214">
        <v>5.4299999999999994E-2</v>
      </c>
      <c r="AI89" s="181"/>
      <c r="AJ89" s="214"/>
      <c r="AK89" s="214"/>
      <c r="AL89" s="214"/>
      <c r="AM89" s="10"/>
      <c r="AN89" s="10"/>
    </row>
    <row r="90" spans="1:40" ht="12.75" customHeight="1">
      <c r="A90" s="201">
        <v>81</v>
      </c>
      <c r="B90" s="201" t="s">
        <v>1347</v>
      </c>
      <c r="C90" s="202">
        <v>512397400</v>
      </c>
      <c r="D90" s="202">
        <f t="shared" si="27"/>
        <v>1818800.5251483857</v>
      </c>
      <c r="E90" s="202">
        <v>178003000</v>
      </c>
      <c r="F90" s="202">
        <f t="shared" si="45"/>
        <v>2536169.4200481134</v>
      </c>
      <c r="G90" s="202">
        <f t="shared" si="28"/>
        <v>4354970</v>
      </c>
      <c r="H90" s="203">
        <f t="shared" si="29"/>
        <v>5306533.9066274241</v>
      </c>
      <c r="I90" s="204">
        <f t="shared" si="30"/>
        <v>4377890</v>
      </c>
      <c r="J90" s="204">
        <f t="shared" si="31"/>
        <v>4354970</v>
      </c>
      <c r="K90" s="198">
        <f t="shared" si="32"/>
        <v>82.07</v>
      </c>
      <c r="L90" s="205"/>
      <c r="M90" s="206">
        <v>4281634</v>
      </c>
      <c r="N90" s="207">
        <f t="shared" si="33"/>
        <v>0.04</v>
      </c>
      <c r="O90" s="204">
        <f t="shared" si="34"/>
        <v>4452899</v>
      </c>
      <c r="P90" s="208">
        <f t="shared" si="35"/>
        <v>83.913512630885023</v>
      </c>
      <c r="Q90" s="208">
        <f t="shared" si="36"/>
        <v>0</v>
      </c>
      <c r="R90" s="209">
        <f t="shared" si="37"/>
        <v>0</v>
      </c>
      <c r="S90" s="204">
        <f t="shared" si="38"/>
        <v>0</v>
      </c>
      <c r="T90" s="210">
        <f t="shared" si="39"/>
        <v>97929</v>
      </c>
      <c r="U90" s="210">
        <f t="shared" si="23"/>
        <v>83239.649999999994</v>
      </c>
      <c r="V90" s="203">
        <f>MIN(H90*parameters!C$22,ROUND(O90+S90-U90,0))</f>
        <v>4369659</v>
      </c>
      <c r="W90" s="211">
        <f t="shared" si="40"/>
        <v>82.344880422655095</v>
      </c>
      <c r="X90" s="208"/>
      <c r="Y90" s="212">
        <f t="shared" si="41"/>
        <v>0</v>
      </c>
      <c r="Z90" s="212">
        <f t="shared" si="24"/>
        <v>0</v>
      </c>
      <c r="AA90" s="212">
        <f t="shared" si="42"/>
        <v>14689</v>
      </c>
      <c r="AB90" s="68">
        <f t="shared" si="43"/>
        <v>0.2748804226551016</v>
      </c>
      <c r="AD90" s="207">
        <f t="shared" si="25"/>
        <v>2.2486722066971759E-2</v>
      </c>
      <c r="AE90" s="213">
        <f t="shared" si="44"/>
        <v>1.84351263088503</v>
      </c>
      <c r="AF90" s="10">
        <f t="shared" si="26"/>
        <v>0</v>
      </c>
      <c r="AG90" s="214"/>
      <c r="AH90" s="214">
        <v>0.04</v>
      </c>
      <c r="AI90" s="181"/>
      <c r="AJ90" s="214"/>
      <c r="AK90" s="214"/>
      <c r="AL90" s="214"/>
      <c r="AM90" s="10"/>
      <c r="AN90" s="10"/>
    </row>
    <row r="91" spans="1:40" ht="12.75" customHeight="1">
      <c r="A91" s="201">
        <v>82</v>
      </c>
      <c r="B91" s="201" t="s">
        <v>1348</v>
      </c>
      <c r="C91" s="202">
        <v>3855499800</v>
      </c>
      <c r="D91" s="202">
        <f t="shared" si="27"/>
        <v>13685442.316743793</v>
      </c>
      <c r="E91" s="202">
        <v>1316953000</v>
      </c>
      <c r="F91" s="202">
        <f t="shared" si="45"/>
        <v>18763818.17295564</v>
      </c>
      <c r="G91" s="202">
        <f t="shared" si="28"/>
        <v>32449260</v>
      </c>
      <c r="H91" s="203">
        <f t="shared" si="29"/>
        <v>29298212.848171137</v>
      </c>
      <c r="I91" s="204">
        <f t="shared" si="30"/>
        <v>24171026</v>
      </c>
      <c r="J91" s="204">
        <f t="shared" si="31"/>
        <v>24171026</v>
      </c>
      <c r="K91" s="198">
        <f t="shared" si="32"/>
        <v>82.5</v>
      </c>
      <c r="L91" s="205"/>
      <c r="M91" s="206">
        <v>24493520</v>
      </c>
      <c r="N91" s="207">
        <f t="shared" si="33"/>
        <v>3.7699999999999997E-2</v>
      </c>
      <c r="O91" s="204">
        <f t="shared" si="34"/>
        <v>25416926</v>
      </c>
      <c r="P91" s="208">
        <f t="shared" si="35"/>
        <v>86.752479175829947</v>
      </c>
      <c r="Q91" s="208">
        <f t="shared" si="36"/>
        <v>0</v>
      </c>
      <c r="R91" s="209">
        <f t="shared" si="37"/>
        <v>0</v>
      </c>
      <c r="S91" s="204">
        <f t="shared" si="38"/>
        <v>0</v>
      </c>
      <c r="T91" s="210">
        <f t="shared" si="39"/>
        <v>1245900</v>
      </c>
      <c r="U91" s="210">
        <f t="shared" si="23"/>
        <v>1059015</v>
      </c>
      <c r="V91" s="203">
        <f>MIN(H91*parameters!C$22,ROUND(O91+S91-U91,0))</f>
        <v>24357911</v>
      </c>
      <c r="W91" s="211">
        <f t="shared" si="40"/>
        <v>83.137873037605701</v>
      </c>
      <c r="X91" s="208"/>
      <c r="Y91" s="212">
        <f t="shared" si="41"/>
        <v>0</v>
      </c>
      <c r="Z91" s="212">
        <f t="shared" si="24"/>
        <v>0</v>
      </c>
      <c r="AA91" s="212">
        <f t="shared" si="42"/>
        <v>186885</v>
      </c>
      <c r="AB91" s="68">
        <f t="shared" si="43"/>
        <v>0.63787303760570069</v>
      </c>
      <c r="AD91" s="207">
        <f t="shared" si="25"/>
        <v>5.154518471826558E-2</v>
      </c>
      <c r="AE91" s="213">
        <f t="shared" si="44"/>
        <v>4.2524791758299472</v>
      </c>
      <c r="AF91" s="10">
        <f t="shared" si="26"/>
        <v>0</v>
      </c>
      <c r="AG91" s="214"/>
      <c r="AH91" s="214">
        <v>3.7699999999999997E-2</v>
      </c>
      <c r="AI91" s="181"/>
      <c r="AJ91" s="214"/>
      <c r="AK91" s="214"/>
      <c r="AL91" s="214"/>
      <c r="AM91" s="10"/>
      <c r="AN91" s="10"/>
    </row>
    <row r="92" spans="1:40" ht="12.75" customHeight="1">
      <c r="A92" s="201">
        <v>83</v>
      </c>
      <c r="B92" s="201" t="s">
        <v>1349</v>
      </c>
      <c r="C92" s="202">
        <v>1577500000</v>
      </c>
      <c r="D92" s="202">
        <f t="shared" si="27"/>
        <v>5599477.7265098896</v>
      </c>
      <c r="E92" s="202">
        <v>445632000</v>
      </c>
      <c r="F92" s="202">
        <f t="shared" si="45"/>
        <v>6349321.3653414883</v>
      </c>
      <c r="G92" s="202">
        <f t="shared" si="28"/>
        <v>11948799</v>
      </c>
      <c r="H92" s="203">
        <f t="shared" si="29"/>
        <v>22284194.906171367</v>
      </c>
      <c r="I92" s="204">
        <f t="shared" si="30"/>
        <v>18384461</v>
      </c>
      <c r="J92" s="204">
        <f t="shared" si="31"/>
        <v>11948799</v>
      </c>
      <c r="K92" s="198">
        <f t="shared" si="32"/>
        <v>53.62</v>
      </c>
      <c r="L92" s="205"/>
      <c r="M92" s="206">
        <v>11923213</v>
      </c>
      <c r="N92" s="207">
        <f t="shared" si="33"/>
        <v>3.5400000000000001E-2</v>
      </c>
      <c r="O92" s="204">
        <f t="shared" si="34"/>
        <v>12345295</v>
      </c>
      <c r="P92" s="208">
        <f t="shared" si="35"/>
        <v>55.399331463310368</v>
      </c>
      <c r="Q92" s="208">
        <f t="shared" si="36"/>
        <v>0</v>
      </c>
      <c r="R92" s="209">
        <f t="shared" si="37"/>
        <v>0</v>
      </c>
      <c r="S92" s="204">
        <f t="shared" si="38"/>
        <v>0</v>
      </c>
      <c r="T92" s="210">
        <f t="shared" si="39"/>
        <v>396496</v>
      </c>
      <c r="U92" s="210">
        <f t="shared" si="23"/>
        <v>337021.6</v>
      </c>
      <c r="V92" s="203">
        <f>MIN(H92*parameters!C$22,ROUND(O92+S92-U92,0))</f>
        <v>12008273</v>
      </c>
      <c r="W92" s="211">
        <f t="shared" si="40"/>
        <v>53.886950148126907</v>
      </c>
      <c r="X92" s="208"/>
      <c r="Y92" s="212">
        <f t="shared" si="41"/>
        <v>0</v>
      </c>
      <c r="Z92" s="212">
        <f t="shared" si="24"/>
        <v>0</v>
      </c>
      <c r="AA92" s="212">
        <f t="shared" si="42"/>
        <v>59474</v>
      </c>
      <c r="AB92" s="68">
        <f t="shared" si="43"/>
        <v>0.26695014812690943</v>
      </c>
      <c r="AD92" s="207">
        <f t="shared" si="25"/>
        <v>3.318291654249101E-2</v>
      </c>
      <c r="AE92" s="213">
        <f t="shared" si="44"/>
        <v>1.7793314633103705</v>
      </c>
      <c r="AF92" s="10">
        <f t="shared" si="26"/>
        <v>0</v>
      </c>
      <c r="AG92" s="214"/>
      <c r="AH92" s="214">
        <v>3.5400000000000001E-2</v>
      </c>
      <c r="AI92" s="181"/>
      <c r="AJ92" s="214"/>
      <c r="AK92" s="214"/>
      <c r="AL92" s="214"/>
      <c r="AM92" s="10"/>
      <c r="AN92" s="10"/>
    </row>
    <row r="93" spans="1:40" ht="12.75" customHeight="1">
      <c r="A93" s="201">
        <v>84</v>
      </c>
      <c r="B93" s="201" t="s">
        <v>1350</v>
      </c>
      <c r="C93" s="202">
        <v>219179100</v>
      </c>
      <c r="D93" s="202">
        <f t="shared" si="27"/>
        <v>777995.87230838905</v>
      </c>
      <c r="E93" s="202">
        <v>64853000</v>
      </c>
      <c r="F93" s="202">
        <f t="shared" si="45"/>
        <v>924019.23225103109</v>
      </c>
      <c r="G93" s="202">
        <f t="shared" si="28"/>
        <v>1702015</v>
      </c>
      <c r="H93" s="203">
        <f t="shared" si="29"/>
        <v>3584875.3788708192</v>
      </c>
      <c r="I93" s="204">
        <f t="shared" si="30"/>
        <v>2957522</v>
      </c>
      <c r="J93" s="204">
        <f t="shared" si="31"/>
        <v>1702015</v>
      </c>
      <c r="K93" s="198">
        <f t="shared" si="32"/>
        <v>47.48</v>
      </c>
      <c r="L93" s="205"/>
      <c r="M93" s="206">
        <v>1511958</v>
      </c>
      <c r="N93" s="207">
        <f t="shared" si="33"/>
        <v>4.8399999999999999E-2</v>
      </c>
      <c r="O93" s="204">
        <f t="shared" si="34"/>
        <v>1585137</v>
      </c>
      <c r="P93" s="208">
        <f t="shared" si="35"/>
        <v>44.217352975301857</v>
      </c>
      <c r="Q93" s="208">
        <f t="shared" si="36"/>
        <v>3.2626470246981398</v>
      </c>
      <c r="R93" s="209">
        <f t="shared" si="37"/>
        <v>0.01</v>
      </c>
      <c r="S93" s="204">
        <f t="shared" si="38"/>
        <v>15120</v>
      </c>
      <c r="T93" s="210">
        <f t="shared" si="39"/>
        <v>0</v>
      </c>
      <c r="U93" s="210">
        <f t="shared" si="23"/>
        <v>0</v>
      </c>
      <c r="V93" s="203">
        <f>MIN(H93*parameters!C$22,ROUND(O93+S93-U93,0))</f>
        <v>1600257</v>
      </c>
      <c r="W93" s="211">
        <f t="shared" si="40"/>
        <v>44.639124959039897</v>
      </c>
      <c r="X93" s="208"/>
      <c r="Y93" s="212">
        <f t="shared" si="41"/>
        <v>-116878</v>
      </c>
      <c r="Z93" s="212">
        <f t="shared" si="24"/>
        <v>101758</v>
      </c>
      <c r="AA93" s="212">
        <f t="shared" si="42"/>
        <v>0</v>
      </c>
      <c r="AB93" s="68">
        <f t="shared" si="43"/>
        <v>-2.8408750409600998</v>
      </c>
      <c r="AD93" s="207">
        <f t="shared" si="25"/>
        <v>-6.8670370120122323E-2</v>
      </c>
      <c r="AE93" s="213">
        <f t="shared" si="44"/>
        <v>-3.2626470246981398</v>
      </c>
      <c r="AF93" s="10">
        <f t="shared" si="26"/>
        <v>15119.58</v>
      </c>
      <c r="AG93" s="214"/>
      <c r="AH93" s="214">
        <v>4.8399999999999999E-2</v>
      </c>
      <c r="AI93" s="181"/>
      <c r="AJ93" s="214"/>
      <c r="AK93" s="214"/>
      <c r="AL93" s="214"/>
      <c r="AM93" s="10"/>
      <c r="AN93" s="10"/>
    </row>
    <row r="94" spans="1:40" ht="12.75" customHeight="1">
      <c r="A94" s="201">
        <v>85</v>
      </c>
      <c r="B94" s="201" t="s">
        <v>1351</v>
      </c>
      <c r="C94" s="202">
        <v>2915139400</v>
      </c>
      <c r="D94" s="202">
        <f t="shared" si="27"/>
        <v>10347548.741661744</v>
      </c>
      <c r="E94" s="202">
        <v>172703000</v>
      </c>
      <c r="F94" s="202">
        <f t="shared" si="45"/>
        <v>2460655.5358649534</v>
      </c>
      <c r="G94" s="202">
        <f t="shared" si="28"/>
        <v>12808204</v>
      </c>
      <c r="H94" s="203">
        <f t="shared" si="29"/>
        <v>4762546.7436980484</v>
      </c>
      <c r="I94" s="204">
        <f t="shared" si="30"/>
        <v>3929101</v>
      </c>
      <c r="J94" s="204">
        <f t="shared" si="31"/>
        <v>3929101</v>
      </c>
      <c r="K94" s="198">
        <f t="shared" si="32"/>
        <v>82.5</v>
      </c>
      <c r="L94" s="205"/>
      <c r="M94" s="206">
        <v>4163394</v>
      </c>
      <c r="N94" s="207">
        <f t="shared" si="33"/>
        <v>3.6700000000000003E-2</v>
      </c>
      <c r="O94" s="204">
        <f t="shared" si="34"/>
        <v>4316191</v>
      </c>
      <c r="P94" s="208">
        <f t="shared" si="35"/>
        <v>90.627792907467409</v>
      </c>
      <c r="Q94" s="208">
        <f t="shared" si="36"/>
        <v>0</v>
      </c>
      <c r="R94" s="209">
        <f t="shared" si="37"/>
        <v>0</v>
      </c>
      <c r="S94" s="204">
        <f t="shared" si="38"/>
        <v>0</v>
      </c>
      <c r="T94" s="210">
        <f t="shared" si="39"/>
        <v>387090</v>
      </c>
      <c r="U94" s="210">
        <f t="shared" si="23"/>
        <v>329026.5</v>
      </c>
      <c r="V94" s="203">
        <f>MIN(H94*parameters!C$22,ROUND(O94+S94-U94,0))</f>
        <v>3987165</v>
      </c>
      <c r="W94" s="211">
        <f t="shared" si="40"/>
        <v>83.719178300474255</v>
      </c>
      <c r="X94" s="208"/>
      <c r="Y94" s="212">
        <f t="shared" si="41"/>
        <v>0</v>
      </c>
      <c r="Z94" s="212">
        <f t="shared" si="24"/>
        <v>0</v>
      </c>
      <c r="AA94" s="212">
        <f t="shared" si="42"/>
        <v>58064</v>
      </c>
      <c r="AB94" s="68">
        <f t="shared" si="43"/>
        <v>1.2191783004742547</v>
      </c>
      <c r="AD94" s="207">
        <f t="shared" si="25"/>
        <v>9.8518719676587596E-2</v>
      </c>
      <c r="AE94" s="213">
        <f t="shared" si="44"/>
        <v>8.1277929074674091</v>
      </c>
      <c r="AF94" s="10">
        <f t="shared" si="26"/>
        <v>0</v>
      </c>
      <c r="AG94" s="214"/>
      <c r="AH94" s="214">
        <v>3.6700000000000003E-2</v>
      </c>
      <c r="AI94" s="181"/>
      <c r="AJ94" s="214"/>
      <c r="AK94" s="214"/>
      <c r="AL94" s="214"/>
      <c r="AM94" s="10"/>
      <c r="AN94" s="10"/>
    </row>
    <row r="95" spans="1:40" ht="12.75" customHeight="1">
      <c r="A95" s="201">
        <v>86</v>
      </c>
      <c r="B95" s="201" t="s">
        <v>1352</v>
      </c>
      <c r="C95" s="202">
        <v>1523884600</v>
      </c>
      <c r="D95" s="202">
        <f t="shared" si="27"/>
        <v>5409165.055766359</v>
      </c>
      <c r="E95" s="202">
        <v>438853000</v>
      </c>
      <c r="F95" s="202">
        <f t="shared" si="45"/>
        <v>6252734.8331004232</v>
      </c>
      <c r="G95" s="202">
        <f t="shared" si="28"/>
        <v>11661900</v>
      </c>
      <c r="H95" s="203">
        <f t="shared" si="29"/>
        <v>18534768.099589158</v>
      </c>
      <c r="I95" s="204">
        <f t="shared" si="30"/>
        <v>15291184</v>
      </c>
      <c r="J95" s="204">
        <f t="shared" si="31"/>
        <v>11661900</v>
      </c>
      <c r="K95" s="198">
        <f t="shared" si="32"/>
        <v>62.92</v>
      </c>
      <c r="L95" s="205"/>
      <c r="M95" s="206">
        <v>11897561</v>
      </c>
      <c r="N95" s="207">
        <f t="shared" si="33"/>
        <v>3.6200000000000003E-2</v>
      </c>
      <c r="O95" s="204">
        <f t="shared" si="34"/>
        <v>12328253</v>
      </c>
      <c r="P95" s="208">
        <f t="shared" si="35"/>
        <v>66.514201492886599</v>
      </c>
      <c r="Q95" s="208">
        <f t="shared" si="36"/>
        <v>0</v>
      </c>
      <c r="R95" s="209">
        <f t="shared" si="37"/>
        <v>0</v>
      </c>
      <c r="S95" s="204">
        <f t="shared" si="38"/>
        <v>0</v>
      </c>
      <c r="T95" s="210">
        <f t="shared" si="39"/>
        <v>666353</v>
      </c>
      <c r="U95" s="210">
        <f t="shared" si="23"/>
        <v>566400.04999999993</v>
      </c>
      <c r="V95" s="203">
        <f>MIN(H95*parameters!C$22,ROUND(O95+S95-U95,0))</f>
        <v>11761853</v>
      </c>
      <c r="W95" s="211">
        <f t="shared" si="40"/>
        <v>63.458322957171035</v>
      </c>
      <c r="X95" s="208"/>
      <c r="Y95" s="212">
        <f t="shared" si="41"/>
        <v>0</v>
      </c>
      <c r="Z95" s="212">
        <f t="shared" si="24"/>
        <v>0</v>
      </c>
      <c r="AA95" s="212">
        <f t="shared" si="42"/>
        <v>99953</v>
      </c>
      <c r="AB95" s="68">
        <f t="shared" si="43"/>
        <v>0.53832295717103307</v>
      </c>
      <c r="AD95" s="207">
        <f t="shared" si="25"/>
        <v>5.7139316920913404E-2</v>
      </c>
      <c r="AE95" s="213">
        <f t="shared" si="44"/>
        <v>3.5942014928865973</v>
      </c>
      <c r="AF95" s="10">
        <f t="shared" si="26"/>
        <v>0</v>
      </c>
      <c r="AG95" s="214"/>
      <c r="AH95" s="214">
        <v>3.6200000000000003E-2</v>
      </c>
      <c r="AI95" s="181"/>
      <c r="AJ95" s="214"/>
      <c r="AK95" s="214"/>
      <c r="AL95" s="214"/>
      <c r="AM95" s="10"/>
      <c r="AN95" s="10"/>
    </row>
    <row r="96" spans="1:40" ht="12.75" customHeight="1">
      <c r="A96" s="201">
        <v>87</v>
      </c>
      <c r="B96" s="201" t="s">
        <v>1353</v>
      </c>
      <c r="C96" s="202">
        <v>1924966600</v>
      </c>
      <c r="D96" s="202">
        <f t="shared" si="27"/>
        <v>6832841.5854044193</v>
      </c>
      <c r="E96" s="202">
        <v>630422000</v>
      </c>
      <c r="F96" s="202">
        <f t="shared" si="45"/>
        <v>8982191.3008520734</v>
      </c>
      <c r="G96" s="202">
        <f t="shared" si="28"/>
        <v>15815033</v>
      </c>
      <c r="H96" s="203">
        <f t="shared" si="29"/>
        <v>26517601.927612852</v>
      </c>
      <c r="I96" s="204">
        <f t="shared" si="30"/>
        <v>21877022</v>
      </c>
      <c r="J96" s="204">
        <f t="shared" si="31"/>
        <v>15815033</v>
      </c>
      <c r="K96" s="198">
        <f t="shared" si="32"/>
        <v>59.64</v>
      </c>
      <c r="L96" s="205"/>
      <c r="M96" s="206">
        <v>15891476</v>
      </c>
      <c r="N96" s="207">
        <f t="shared" si="33"/>
        <v>3.8800000000000001E-2</v>
      </c>
      <c r="O96" s="204">
        <f t="shared" si="34"/>
        <v>16508065</v>
      </c>
      <c r="P96" s="208">
        <f t="shared" si="35"/>
        <v>62.253234832709765</v>
      </c>
      <c r="Q96" s="208">
        <f t="shared" si="36"/>
        <v>0</v>
      </c>
      <c r="R96" s="209">
        <f t="shared" si="37"/>
        <v>0</v>
      </c>
      <c r="S96" s="204">
        <f t="shared" si="38"/>
        <v>0</v>
      </c>
      <c r="T96" s="210">
        <f t="shared" si="39"/>
        <v>693032</v>
      </c>
      <c r="U96" s="210">
        <f t="shared" si="23"/>
        <v>589077.19999999995</v>
      </c>
      <c r="V96" s="203">
        <f>MIN(H96*parameters!C$22,ROUND(O96+S96-U96,0))</f>
        <v>15918988</v>
      </c>
      <c r="W96" s="211">
        <f t="shared" si="40"/>
        <v>60.031778301278116</v>
      </c>
      <c r="X96" s="208"/>
      <c r="Y96" s="212">
        <f t="shared" si="41"/>
        <v>0</v>
      </c>
      <c r="Z96" s="212">
        <f t="shared" si="24"/>
        <v>0</v>
      </c>
      <c r="AA96" s="212">
        <f t="shared" si="42"/>
        <v>103955</v>
      </c>
      <c r="AB96" s="68">
        <f t="shared" si="43"/>
        <v>0.39177830127811575</v>
      </c>
      <c r="AD96" s="207">
        <f t="shared" si="25"/>
        <v>4.3821090983496527E-2</v>
      </c>
      <c r="AE96" s="213">
        <f t="shared" si="44"/>
        <v>2.6132348327097645</v>
      </c>
      <c r="AF96" s="10">
        <f t="shared" si="26"/>
        <v>0</v>
      </c>
      <c r="AG96" s="214"/>
      <c r="AH96" s="214">
        <v>3.8800000000000001E-2</v>
      </c>
      <c r="AI96" s="181"/>
      <c r="AJ96" s="214"/>
      <c r="AK96" s="214"/>
      <c r="AL96" s="214"/>
      <c r="AM96" s="10"/>
      <c r="AN96" s="10"/>
    </row>
    <row r="97" spans="1:40" ht="12.75" customHeight="1">
      <c r="A97" s="201">
        <v>88</v>
      </c>
      <c r="B97" s="201" t="s">
        <v>1354</v>
      </c>
      <c r="C97" s="202">
        <v>3347121200</v>
      </c>
      <c r="D97" s="202">
        <f t="shared" si="27"/>
        <v>11880906.882617466</v>
      </c>
      <c r="E97" s="202">
        <v>1103578000</v>
      </c>
      <c r="F97" s="202">
        <f t="shared" si="45"/>
        <v>15723671.939449655</v>
      </c>
      <c r="G97" s="202">
        <f t="shared" si="28"/>
        <v>27604579</v>
      </c>
      <c r="H97" s="203">
        <f t="shared" si="29"/>
        <v>36252449.504990935</v>
      </c>
      <c r="I97" s="204">
        <f t="shared" si="30"/>
        <v>29908271</v>
      </c>
      <c r="J97" s="204">
        <f t="shared" si="31"/>
        <v>27604579</v>
      </c>
      <c r="K97" s="198">
        <f t="shared" si="32"/>
        <v>76.150000000000006</v>
      </c>
      <c r="L97" s="205"/>
      <c r="M97" s="206">
        <v>26671923</v>
      </c>
      <c r="N97" s="207">
        <f t="shared" si="33"/>
        <v>4.5400000000000003E-2</v>
      </c>
      <c r="O97" s="204">
        <f t="shared" si="34"/>
        <v>27882828</v>
      </c>
      <c r="P97" s="208">
        <f t="shared" si="35"/>
        <v>76.91294900269105</v>
      </c>
      <c r="Q97" s="208">
        <f t="shared" si="36"/>
        <v>0</v>
      </c>
      <c r="R97" s="209">
        <f t="shared" si="37"/>
        <v>0</v>
      </c>
      <c r="S97" s="204">
        <f t="shared" si="38"/>
        <v>0</v>
      </c>
      <c r="T97" s="210">
        <f t="shared" si="39"/>
        <v>278249</v>
      </c>
      <c r="U97" s="210">
        <f t="shared" si="23"/>
        <v>236511.65</v>
      </c>
      <c r="V97" s="203">
        <f>MIN(H97*parameters!C$22,ROUND(O97+S97-U97,0))</f>
        <v>27646316</v>
      </c>
      <c r="W97" s="211">
        <f t="shared" si="40"/>
        <v>76.260546190661913</v>
      </c>
      <c r="X97" s="208"/>
      <c r="Y97" s="212">
        <f t="shared" si="41"/>
        <v>0</v>
      </c>
      <c r="Z97" s="212">
        <f t="shared" si="24"/>
        <v>0</v>
      </c>
      <c r="AA97" s="212">
        <f t="shared" si="42"/>
        <v>41737</v>
      </c>
      <c r="AB97" s="68">
        <f t="shared" si="43"/>
        <v>0.11054619066190696</v>
      </c>
      <c r="AD97" s="207">
        <f t="shared" si="25"/>
        <v>1.0079813207801503E-2</v>
      </c>
      <c r="AE97" s="213">
        <f t="shared" si="44"/>
        <v>0.7629490026910446</v>
      </c>
      <c r="AF97" s="10">
        <f t="shared" si="26"/>
        <v>0</v>
      </c>
      <c r="AG97" s="214"/>
      <c r="AH97" s="214">
        <v>4.5400000000000003E-2</v>
      </c>
      <c r="AI97" s="181"/>
      <c r="AJ97" s="214"/>
      <c r="AK97" s="214"/>
      <c r="AL97" s="214"/>
      <c r="AM97" s="10"/>
      <c r="AN97" s="10"/>
    </row>
    <row r="98" spans="1:40" ht="12.75" customHeight="1">
      <c r="A98" s="201">
        <v>89</v>
      </c>
      <c r="B98" s="201" t="s">
        <v>1355</v>
      </c>
      <c r="C98" s="202">
        <v>7747629000</v>
      </c>
      <c r="D98" s="202">
        <f t="shared" si="27"/>
        <v>27500903.973858692</v>
      </c>
      <c r="E98" s="202">
        <v>213674000</v>
      </c>
      <c r="F98" s="202">
        <f t="shared" si="45"/>
        <v>3044406.3564061313</v>
      </c>
      <c r="G98" s="202">
        <f t="shared" si="28"/>
        <v>30545310</v>
      </c>
      <c r="H98" s="203">
        <f t="shared" si="29"/>
        <v>6301910.6945658028</v>
      </c>
      <c r="I98" s="204">
        <f t="shared" si="30"/>
        <v>5199076</v>
      </c>
      <c r="J98" s="204">
        <f t="shared" si="31"/>
        <v>5199076</v>
      </c>
      <c r="K98" s="198">
        <f t="shared" si="32"/>
        <v>82.5</v>
      </c>
      <c r="L98" s="205"/>
      <c r="M98" s="206">
        <v>5177959</v>
      </c>
      <c r="N98" s="207">
        <f t="shared" si="33"/>
        <v>3.9600000000000003E-2</v>
      </c>
      <c r="O98" s="204">
        <f t="shared" si="34"/>
        <v>5383006</v>
      </c>
      <c r="P98" s="208">
        <f t="shared" si="35"/>
        <v>85.418633504943458</v>
      </c>
      <c r="Q98" s="208">
        <f t="shared" si="36"/>
        <v>0</v>
      </c>
      <c r="R98" s="209">
        <f t="shared" si="37"/>
        <v>0</v>
      </c>
      <c r="S98" s="204">
        <f t="shared" si="38"/>
        <v>0</v>
      </c>
      <c r="T98" s="210">
        <f t="shared" si="39"/>
        <v>183930</v>
      </c>
      <c r="U98" s="210">
        <f t="shared" si="23"/>
        <v>156340.5</v>
      </c>
      <c r="V98" s="203">
        <f>MIN(H98*parameters!C$22,ROUND(O98+S98-U98,0))</f>
        <v>5226666</v>
      </c>
      <c r="W98" s="211">
        <f t="shared" si="40"/>
        <v>82.937798603001525</v>
      </c>
      <c r="X98" s="208"/>
      <c r="Y98" s="212">
        <f t="shared" si="41"/>
        <v>0</v>
      </c>
      <c r="Z98" s="212">
        <f t="shared" si="24"/>
        <v>0</v>
      </c>
      <c r="AA98" s="212">
        <f t="shared" si="42"/>
        <v>27590</v>
      </c>
      <c r="AB98" s="68">
        <f t="shared" si="43"/>
        <v>0.43779860300152507</v>
      </c>
      <c r="AD98" s="207">
        <f t="shared" si="25"/>
        <v>3.5377440145133485E-2</v>
      </c>
      <c r="AE98" s="213">
        <f t="shared" si="44"/>
        <v>2.9186335049434575</v>
      </c>
      <c r="AF98" s="10">
        <f t="shared" si="26"/>
        <v>0</v>
      </c>
      <c r="AG98" s="214"/>
      <c r="AH98" s="214">
        <v>3.9600000000000003E-2</v>
      </c>
      <c r="AI98" s="181"/>
      <c r="AJ98" s="214"/>
      <c r="AK98" s="214"/>
      <c r="AL98" s="214"/>
      <c r="AM98" s="10"/>
      <c r="AN98" s="10"/>
    </row>
    <row r="99" spans="1:40" ht="12.75" customHeight="1">
      <c r="A99" s="201">
        <v>90</v>
      </c>
      <c r="B99" s="201" t="s">
        <v>1356</v>
      </c>
      <c r="C99" s="202">
        <v>425211700</v>
      </c>
      <c r="D99" s="202">
        <f t="shared" si="27"/>
        <v>1509327.063836073</v>
      </c>
      <c r="E99" s="202">
        <v>28619000</v>
      </c>
      <c r="F99" s="202">
        <f t="shared" si="45"/>
        <v>407760.72668638709</v>
      </c>
      <c r="G99" s="202">
        <f t="shared" si="28"/>
        <v>1917088</v>
      </c>
      <c r="H99" s="203">
        <f t="shared" si="29"/>
        <v>856769.42753290886</v>
      </c>
      <c r="I99" s="204">
        <f t="shared" si="30"/>
        <v>706835</v>
      </c>
      <c r="J99" s="204">
        <f t="shared" si="31"/>
        <v>706835</v>
      </c>
      <c r="K99" s="198">
        <f t="shared" si="32"/>
        <v>82.5</v>
      </c>
      <c r="L99" s="205"/>
      <c r="M99" s="206">
        <v>776067</v>
      </c>
      <c r="N99" s="207">
        <f t="shared" si="33"/>
        <v>3.6200000000000003E-2</v>
      </c>
      <c r="O99" s="204">
        <f t="shared" si="34"/>
        <v>804161</v>
      </c>
      <c r="P99" s="208">
        <f t="shared" si="35"/>
        <v>93.859674978786728</v>
      </c>
      <c r="Q99" s="208">
        <f t="shared" si="36"/>
        <v>0</v>
      </c>
      <c r="R99" s="209">
        <f t="shared" si="37"/>
        <v>0</v>
      </c>
      <c r="S99" s="204">
        <f t="shared" si="38"/>
        <v>0</v>
      </c>
      <c r="T99" s="210">
        <f t="shared" si="39"/>
        <v>97326</v>
      </c>
      <c r="U99" s="210">
        <f t="shared" si="23"/>
        <v>82727.099999999991</v>
      </c>
      <c r="V99" s="203">
        <f>MIN(H99*parameters!C$22,ROUND(O99+S99-U99,0))</f>
        <v>721434</v>
      </c>
      <c r="W99" s="211">
        <f t="shared" si="40"/>
        <v>84.203984971474654</v>
      </c>
      <c r="X99" s="208"/>
      <c r="Y99" s="212">
        <f t="shared" si="41"/>
        <v>0</v>
      </c>
      <c r="Z99" s="212">
        <f t="shared" si="24"/>
        <v>0</v>
      </c>
      <c r="AA99" s="212">
        <f t="shared" si="42"/>
        <v>14599</v>
      </c>
      <c r="AB99" s="68">
        <f t="shared" si="43"/>
        <v>1.7039849714746538</v>
      </c>
      <c r="AD99" s="207">
        <f t="shared" si="25"/>
        <v>0.13769267226438986</v>
      </c>
      <c r="AE99" s="213">
        <f t="shared" si="44"/>
        <v>11.359674978786728</v>
      </c>
      <c r="AF99" s="10">
        <f t="shared" si="26"/>
        <v>0</v>
      </c>
      <c r="AG99" s="214"/>
      <c r="AH99" s="214">
        <v>3.6200000000000003E-2</v>
      </c>
      <c r="AI99" s="181"/>
      <c r="AJ99" s="214"/>
      <c r="AK99" s="214"/>
      <c r="AL99" s="214"/>
      <c r="AM99" s="10"/>
      <c r="AN99" s="10"/>
    </row>
    <row r="100" spans="1:40" ht="12.75" customHeight="1">
      <c r="A100" s="201">
        <v>91</v>
      </c>
      <c r="B100" s="201" t="s">
        <v>1357</v>
      </c>
      <c r="C100" s="202">
        <v>887378000</v>
      </c>
      <c r="D100" s="202">
        <f t="shared" si="27"/>
        <v>3149827.7946084896</v>
      </c>
      <c r="E100" s="202">
        <v>33690000</v>
      </c>
      <c r="F100" s="202">
        <f t="shared" si="45"/>
        <v>480011.84115672734</v>
      </c>
      <c r="G100" s="202">
        <f t="shared" si="28"/>
        <v>3629840</v>
      </c>
      <c r="H100" s="203">
        <f t="shared" si="29"/>
        <v>2720958.1208699625</v>
      </c>
      <c r="I100" s="204">
        <f t="shared" si="30"/>
        <v>2244790</v>
      </c>
      <c r="J100" s="204">
        <f t="shared" si="31"/>
        <v>2244790</v>
      </c>
      <c r="K100" s="198">
        <f t="shared" si="32"/>
        <v>82.5</v>
      </c>
      <c r="L100" s="205"/>
      <c r="M100" s="206">
        <v>2319124</v>
      </c>
      <c r="N100" s="207">
        <f t="shared" si="33"/>
        <v>3.7600000000000001E-2</v>
      </c>
      <c r="O100" s="204">
        <f t="shared" si="34"/>
        <v>2406323</v>
      </c>
      <c r="P100" s="208">
        <f t="shared" si="35"/>
        <v>88.436605530357625</v>
      </c>
      <c r="Q100" s="208">
        <f t="shared" si="36"/>
        <v>0</v>
      </c>
      <c r="R100" s="209">
        <f t="shared" si="37"/>
        <v>0</v>
      </c>
      <c r="S100" s="204">
        <f t="shared" si="38"/>
        <v>0</v>
      </c>
      <c r="T100" s="210">
        <f t="shared" si="39"/>
        <v>161533</v>
      </c>
      <c r="U100" s="210">
        <f t="shared" si="23"/>
        <v>137303.04999999999</v>
      </c>
      <c r="V100" s="203">
        <f>MIN(H100*parameters!C$22,ROUND(O100+S100-U100,0))</f>
        <v>2269020</v>
      </c>
      <c r="W100" s="211">
        <f t="shared" si="40"/>
        <v>83.390478618411592</v>
      </c>
      <c r="X100" s="208"/>
      <c r="Y100" s="212">
        <f t="shared" si="41"/>
        <v>0</v>
      </c>
      <c r="Z100" s="212">
        <f t="shared" si="24"/>
        <v>0</v>
      </c>
      <c r="AA100" s="212">
        <f t="shared" si="42"/>
        <v>24230</v>
      </c>
      <c r="AB100" s="68">
        <f t="shared" si="43"/>
        <v>0.89047861841159204</v>
      </c>
      <c r="AD100" s="207">
        <f t="shared" si="25"/>
        <v>7.1959069667986764E-2</v>
      </c>
      <c r="AE100" s="213">
        <f t="shared" si="44"/>
        <v>5.9366055303576246</v>
      </c>
      <c r="AF100" s="10">
        <f t="shared" si="26"/>
        <v>0</v>
      </c>
      <c r="AG100" s="214"/>
      <c r="AH100" s="214">
        <v>3.7600000000000001E-2</v>
      </c>
      <c r="AI100" s="181"/>
      <c r="AJ100" s="214"/>
      <c r="AK100" s="214"/>
      <c r="AL100" s="214"/>
      <c r="AM100" s="10"/>
      <c r="AN100" s="10"/>
    </row>
    <row r="101" spans="1:40" ht="12.75" customHeight="1">
      <c r="A101" s="201">
        <v>92</v>
      </c>
      <c r="B101" s="201" t="s">
        <v>1358</v>
      </c>
      <c r="C101" s="202">
        <v>820482500</v>
      </c>
      <c r="D101" s="202">
        <f t="shared" si="27"/>
        <v>2912376.2179024722</v>
      </c>
      <c r="E101" s="202">
        <v>195659000</v>
      </c>
      <c r="F101" s="202">
        <f t="shared" si="45"/>
        <v>2787730.389696768</v>
      </c>
      <c r="G101" s="202">
        <f t="shared" si="28"/>
        <v>5700107</v>
      </c>
      <c r="H101" s="203">
        <f t="shared" si="29"/>
        <v>5217606.6744780652</v>
      </c>
      <c r="I101" s="204">
        <f t="shared" si="30"/>
        <v>4304526</v>
      </c>
      <c r="J101" s="204">
        <f t="shared" si="31"/>
        <v>4304526</v>
      </c>
      <c r="K101" s="198">
        <f t="shared" si="32"/>
        <v>82.5</v>
      </c>
      <c r="L101" s="205"/>
      <c r="M101" s="206">
        <v>4466268</v>
      </c>
      <c r="N101" s="207">
        <f t="shared" si="33"/>
        <v>3.85E-2</v>
      </c>
      <c r="O101" s="204">
        <f t="shared" si="34"/>
        <v>4638219</v>
      </c>
      <c r="P101" s="208">
        <f t="shared" si="35"/>
        <v>88.895527957058519</v>
      </c>
      <c r="Q101" s="208">
        <f t="shared" si="36"/>
        <v>0</v>
      </c>
      <c r="R101" s="209">
        <f t="shared" si="37"/>
        <v>0</v>
      </c>
      <c r="S101" s="204">
        <f t="shared" si="38"/>
        <v>0</v>
      </c>
      <c r="T101" s="210">
        <f t="shared" si="39"/>
        <v>333693</v>
      </c>
      <c r="U101" s="210">
        <f t="shared" si="23"/>
        <v>283639.05</v>
      </c>
      <c r="V101" s="203">
        <f>MIN(H101*parameters!C$22,ROUND(O101+S101-U101,0))</f>
        <v>4354580</v>
      </c>
      <c r="W101" s="211">
        <f t="shared" si="40"/>
        <v>83.459338192363901</v>
      </c>
      <c r="X101" s="208"/>
      <c r="Y101" s="212">
        <f t="shared" si="41"/>
        <v>0</v>
      </c>
      <c r="Z101" s="212">
        <f t="shared" si="24"/>
        <v>0</v>
      </c>
      <c r="AA101" s="212">
        <f t="shared" si="42"/>
        <v>50054</v>
      </c>
      <c r="AB101" s="68">
        <f t="shared" si="43"/>
        <v>0.9593381923639015</v>
      </c>
      <c r="AD101" s="207">
        <f t="shared" si="25"/>
        <v>7.752142744636692E-2</v>
      </c>
      <c r="AE101" s="213">
        <f t="shared" si="44"/>
        <v>6.3955279570585191</v>
      </c>
      <c r="AF101" s="10">
        <f t="shared" si="26"/>
        <v>0</v>
      </c>
      <c r="AG101" s="214"/>
      <c r="AH101" s="214">
        <v>3.85E-2</v>
      </c>
      <c r="AI101" s="181"/>
      <c r="AJ101" s="214"/>
      <c r="AK101" s="214"/>
      <c r="AL101" s="214"/>
      <c r="AM101" s="10"/>
      <c r="AN101" s="10"/>
    </row>
    <row r="102" spans="1:40" ht="12.75" customHeight="1">
      <c r="A102" s="201">
        <v>93</v>
      </c>
      <c r="B102" s="201" t="s">
        <v>1359</v>
      </c>
      <c r="C102" s="202">
        <v>4584699100</v>
      </c>
      <c r="D102" s="202">
        <f t="shared" si="27"/>
        <v>16273800.629603762</v>
      </c>
      <c r="E102" s="202">
        <v>841743000</v>
      </c>
      <c r="F102" s="202">
        <f t="shared" si="45"/>
        <v>11993072.342261417</v>
      </c>
      <c r="G102" s="202">
        <f t="shared" si="28"/>
        <v>28266873</v>
      </c>
      <c r="H102" s="203">
        <f t="shared" si="29"/>
        <v>90558887.124926507</v>
      </c>
      <c r="I102" s="204">
        <f t="shared" si="30"/>
        <v>74711082</v>
      </c>
      <c r="J102" s="204">
        <f t="shared" si="31"/>
        <v>28266873</v>
      </c>
      <c r="K102" s="198">
        <f t="shared" si="32"/>
        <v>31.21</v>
      </c>
      <c r="L102" s="205"/>
      <c r="M102" s="206">
        <v>26203286</v>
      </c>
      <c r="N102" s="207">
        <f t="shared" si="33"/>
        <v>4.7800000000000002E-2</v>
      </c>
      <c r="O102" s="204">
        <f t="shared" si="34"/>
        <v>27455803</v>
      </c>
      <c r="P102" s="208">
        <f t="shared" si="35"/>
        <v>30.318176240532374</v>
      </c>
      <c r="Q102" s="208">
        <f t="shared" si="36"/>
        <v>0.89182375946762704</v>
      </c>
      <c r="R102" s="209">
        <f t="shared" si="37"/>
        <v>0</v>
      </c>
      <c r="S102" s="204">
        <f t="shared" si="38"/>
        <v>0</v>
      </c>
      <c r="T102" s="210">
        <f t="shared" si="39"/>
        <v>0</v>
      </c>
      <c r="U102" s="210">
        <f t="shared" si="23"/>
        <v>0</v>
      </c>
      <c r="V102" s="203">
        <f>MIN(H102*parameters!C$22,ROUND(O102+S102-U102,0))</f>
        <v>27455803</v>
      </c>
      <c r="W102" s="211">
        <f t="shared" si="40"/>
        <v>30.318176240532374</v>
      </c>
      <c r="X102" s="208"/>
      <c r="Y102" s="212">
        <f t="shared" si="41"/>
        <v>-811070</v>
      </c>
      <c r="Z102" s="212">
        <f t="shared" si="24"/>
        <v>811070</v>
      </c>
      <c r="AA102" s="212">
        <f t="shared" si="42"/>
        <v>0</v>
      </c>
      <c r="AB102" s="68">
        <f t="shared" si="43"/>
        <v>-0.89182375946762704</v>
      </c>
      <c r="AD102" s="207">
        <f t="shared" si="25"/>
        <v>-2.8693304703353639E-2</v>
      </c>
      <c r="AE102" s="213">
        <f t="shared" si="44"/>
        <v>-0.89182375946762704</v>
      </c>
      <c r="AF102" s="10">
        <f t="shared" si="26"/>
        <v>0</v>
      </c>
      <c r="AG102" s="214"/>
      <c r="AH102" s="214">
        <v>4.7800000000000002E-2</v>
      </c>
      <c r="AI102" s="181"/>
      <c r="AJ102" s="214"/>
      <c r="AK102" s="214"/>
      <c r="AL102" s="214"/>
      <c r="AM102" s="10"/>
      <c r="AN102" s="10"/>
    </row>
    <row r="103" spans="1:40" ht="12.75" customHeight="1">
      <c r="A103" s="201">
        <v>94</v>
      </c>
      <c r="B103" s="201" t="s">
        <v>1360</v>
      </c>
      <c r="C103" s="202">
        <v>2013791800</v>
      </c>
      <c r="D103" s="202">
        <f t="shared" si="27"/>
        <v>7148134.5990036493</v>
      </c>
      <c r="E103" s="202">
        <v>447420000</v>
      </c>
      <c r="F103" s="202">
        <f t="shared" si="45"/>
        <v>6374796.6153262975</v>
      </c>
      <c r="G103" s="202">
        <f t="shared" si="28"/>
        <v>13522931</v>
      </c>
      <c r="H103" s="203">
        <f t="shared" si="29"/>
        <v>22069386.248893771</v>
      </c>
      <c r="I103" s="204">
        <f t="shared" si="30"/>
        <v>18207244</v>
      </c>
      <c r="J103" s="204">
        <f t="shared" si="31"/>
        <v>13522931</v>
      </c>
      <c r="K103" s="198">
        <f t="shared" si="32"/>
        <v>61.27</v>
      </c>
      <c r="L103" s="205"/>
      <c r="M103" s="206">
        <v>13615096</v>
      </c>
      <c r="N103" s="207">
        <f t="shared" si="33"/>
        <v>2.9700000000000001E-2</v>
      </c>
      <c r="O103" s="204">
        <f t="shared" si="34"/>
        <v>14019464</v>
      </c>
      <c r="P103" s="208">
        <f t="shared" si="35"/>
        <v>63.524485193613963</v>
      </c>
      <c r="Q103" s="208">
        <f t="shared" si="36"/>
        <v>0</v>
      </c>
      <c r="R103" s="209">
        <f t="shared" si="37"/>
        <v>0</v>
      </c>
      <c r="S103" s="204">
        <f t="shared" si="38"/>
        <v>0</v>
      </c>
      <c r="T103" s="210">
        <f t="shared" si="39"/>
        <v>496533</v>
      </c>
      <c r="U103" s="210">
        <f t="shared" si="23"/>
        <v>422053.05</v>
      </c>
      <c r="V103" s="203">
        <f>MIN(H103*parameters!C$22,ROUND(O103+S103-U103,0))</f>
        <v>13597411</v>
      </c>
      <c r="W103" s="211">
        <f t="shared" si="40"/>
        <v>61.61209399596045</v>
      </c>
      <c r="X103" s="208"/>
      <c r="Y103" s="212">
        <f t="shared" si="41"/>
        <v>0</v>
      </c>
      <c r="Z103" s="212">
        <f t="shared" si="24"/>
        <v>0</v>
      </c>
      <c r="AA103" s="212">
        <f t="shared" si="42"/>
        <v>74480</v>
      </c>
      <c r="AB103" s="68">
        <f t="shared" si="43"/>
        <v>0.34209399596044676</v>
      </c>
      <c r="AD103" s="207">
        <f t="shared" si="25"/>
        <v>3.67178535481694E-2</v>
      </c>
      <c r="AE103" s="213">
        <f t="shared" si="44"/>
        <v>2.2544851936139594</v>
      </c>
      <c r="AF103" s="10">
        <f t="shared" si="26"/>
        <v>0</v>
      </c>
      <c r="AG103" s="214"/>
      <c r="AH103" s="214">
        <v>2.9700000000000001E-2</v>
      </c>
      <c r="AI103" s="181"/>
      <c r="AJ103" s="214"/>
      <c r="AK103" s="214"/>
      <c r="AL103" s="214"/>
      <c r="AM103" s="10"/>
      <c r="AN103" s="10"/>
    </row>
    <row r="104" spans="1:40" ht="12.75" customHeight="1">
      <c r="A104" s="201">
        <v>95</v>
      </c>
      <c r="B104" s="201" t="s">
        <v>1361</v>
      </c>
      <c r="C104" s="202">
        <v>5421691200</v>
      </c>
      <c r="D104" s="202">
        <f t="shared" si="27"/>
        <v>19244779.153353199</v>
      </c>
      <c r="E104" s="202">
        <v>1424116000</v>
      </c>
      <c r="F104" s="202">
        <f t="shared" si="45"/>
        <v>20290666.167431105</v>
      </c>
      <c r="G104" s="202">
        <f t="shared" si="28"/>
        <v>39535445</v>
      </c>
      <c r="H104" s="203">
        <f t="shared" si="29"/>
        <v>158657153.17411268</v>
      </c>
      <c r="I104" s="204">
        <f t="shared" si="30"/>
        <v>130892151</v>
      </c>
      <c r="J104" s="204">
        <f t="shared" si="31"/>
        <v>39535445</v>
      </c>
      <c r="K104" s="198">
        <f t="shared" si="32"/>
        <v>24.92</v>
      </c>
      <c r="L104" s="205"/>
      <c r="M104" s="206">
        <v>29798923</v>
      </c>
      <c r="N104" s="207">
        <f t="shared" si="33"/>
        <v>4.9500000000000002E-2</v>
      </c>
      <c r="O104" s="204">
        <f t="shared" si="34"/>
        <v>31273970</v>
      </c>
      <c r="P104" s="208">
        <f t="shared" si="35"/>
        <v>19.71166718570797</v>
      </c>
      <c r="Q104" s="208">
        <f t="shared" si="36"/>
        <v>5.2083328142920315</v>
      </c>
      <c r="R104" s="209">
        <f t="shared" si="37"/>
        <v>0.01</v>
      </c>
      <c r="S104" s="204">
        <f t="shared" si="38"/>
        <v>297989</v>
      </c>
      <c r="T104" s="210">
        <f t="shared" si="39"/>
        <v>0</v>
      </c>
      <c r="U104" s="210">
        <f t="shared" si="23"/>
        <v>0</v>
      </c>
      <c r="V104" s="203">
        <f>MIN(H104*parameters!C$22,ROUND(O104+S104-U104,0))</f>
        <v>31571959</v>
      </c>
      <c r="W104" s="211">
        <f t="shared" si="40"/>
        <v>19.899486640449467</v>
      </c>
      <c r="X104" s="208"/>
      <c r="Y104" s="212">
        <f t="shared" si="41"/>
        <v>-8261475</v>
      </c>
      <c r="Z104" s="212">
        <f t="shared" si="24"/>
        <v>7963486</v>
      </c>
      <c r="AA104" s="212">
        <f t="shared" si="42"/>
        <v>0</v>
      </c>
      <c r="AB104" s="68">
        <f t="shared" si="43"/>
        <v>-5.0205133595505345</v>
      </c>
      <c r="AD104" s="207">
        <f t="shared" si="25"/>
        <v>-0.20896375391752894</v>
      </c>
      <c r="AE104" s="213">
        <f t="shared" si="44"/>
        <v>-5.2083328142920315</v>
      </c>
      <c r="AF104" s="10">
        <f t="shared" si="26"/>
        <v>595978.46</v>
      </c>
      <c r="AG104" s="214"/>
      <c r="AH104" s="214">
        <v>4.9500000000000002E-2</v>
      </c>
      <c r="AI104" s="181"/>
      <c r="AJ104" s="214"/>
      <c r="AK104" s="214"/>
      <c r="AL104" s="214"/>
      <c r="AM104" s="10"/>
      <c r="AN104" s="10"/>
    </row>
    <row r="105" spans="1:40" ht="12.75" customHeight="1">
      <c r="A105" s="201">
        <v>96</v>
      </c>
      <c r="B105" s="201" t="s">
        <v>1362</v>
      </c>
      <c r="C105" s="202">
        <v>11892819800</v>
      </c>
      <c r="D105" s="202">
        <f t="shared" si="27"/>
        <v>42214630.475750111</v>
      </c>
      <c r="E105" s="202">
        <v>1144732000</v>
      </c>
      <c r="F105" s="202">
        <f t="shared" si="45"/>
        <v>16310030.126180552</v>
      </c>
      <c r="G105" s="202">
        <f t="shared" si="28"/>
        <v>58524661</v>
      </c>
      <c r="H105" s="203">
        <f t="shared" si="29"/>
        <v>38182182.666505985</v>
      </c>
      <c r="I105" s="204">
        <f t="shared" si="30"/>
        <v>31500301</v>
      </c>
      <c r="J105" s="204">
        <f t="shared" si="31"/>
        <v>31500301</v>
      </c>
      <c r="K105" s="198">
        <f t="shared" si="32"/>
        <v>82.5</v>
      </c>
      <c r="L105" s="205"/>
      <c r="M105" s="206">
        <v>31525285</v>
      </c>
      <c r="N105" s="207">
        <f t="shared" si="33"/>
        <v>3.3099999999999997E-2</v>
      </c>
      <c r="O105" s="204">
        <f t="shared" si="34"/>
        <v>32568772</v>
      </c>
      <c r="P105" s="208">
        <f t="shared" si="35"/>
        <v>85.298350501501957</v>
      </c>
      <c r="Q105" s="208">
        <f t="shared" si="36"/>
        <v>0</v>
      </c>
      <c r="R105" s="209">
        <f t="shared" si="37"/>
        <v>0</v>
      </c>
      <c r="S105" s="204">
        <f t="shared" si="38"/>
        <v>0</v>
      </c>
      <c r="T105" s="210">
        <f t="shared" si="39"/>
        <v>1068471</v>
      </c>
      <c r="U105" s="210">
        <f t="shared" si="23"/>
        <v>908200.35</v>
      </c>
      <c r="V105" s="203">
        <f>MIN(H105*parameters!C$22,ROUND(O105+S105-U105,0))</f>
        <v>31660572</v>
      </c>
      <c r="W105" s="211">
        <f t="shared" si="40"/>
        <v>82.919754160029086</v>
      </c>
      <c r="X105" s="208"/>
      <c r="Y105" s="212">
        <f t="shared" si="41"/>
        <v>0</v>
      </c>
      <c r="Z105" s="212">
        <f t="shared" si="24"/>
        <v>0</v>
      </c>
      <c r="AA105" s="212">
        <f t="shared" si="42"/>
        <v>160271</v>
      </c>
      <c r="AB105" s="68">
        <f t="shared" si="43"/>
        <v>0.41975416002908617</v>
      </c>
      <c r="AD105" s="207">
        <f t="shared" si="25"/>
        <v>3.3919390167097135E-2</v>
      </c>
      <c r="AE105" s="213">
        <f t="shared" si="44"/>
        <v>2.7983505015019574</v>
      </c>
      <c r="AF105" s="10">
        <f t="shared" si="26"/>
        <v>0</v>
      </c>
      <c r="AG105" s="214"/>
      <c r="AH105" s="214">
        <v>3.3099999999999997E-2</v>
      </c>
      <c r="AI105" s="181"/>
      <c r="AJ105" s="214"/>
      <c r="AK105" s="214"/>
      <c r="AL105" s="214"/>
      <c r="AM105" s="10"/>
      <c r="AN105" s="10"/>
    </row>
    <row r="106" spans="1:40" ht="12.75" customHeight="1">
      <c r="A106" s="201">
        <v>97</v>
      </c>
      <c r="B106" s="201" t="s">
        <v>1363</v>
      </c>
      <c r="C106" s="202">
        <v>2306844100</v>
      </c>
      <c r="D106" s="202">
        <f t="shared" si="27"/>
        <v>8188350.0199561026</v>
      </c>
      <c r="E106" s="202">
        <v>724704000</v>
      </c>
      <c r="F106" s="202">
        <f t="shared" si="45"/>
        <v>10325512.060957108</v>
      </c>
      <c r="G106" s="202">
        <f t="shared" si="28"/>
        <v>18513862</v>
      </c>
      <c r="H106" s="203">
        <f t="shared" si="29"/>
        <v>73100766.615608186</v>
      </c>
      <c r="I106" s="204">
        <f t="shared" si="30"/>
        <v>60308132</v>
      </c>
      <c r="J106" s="204">
        <f t="shared" si="31"/>
        <v>18513862</v>
      </c>
      <c r="K106" s="198">
        <f t="shared" si="32"/>
        <v>25.33</v>
      </c>
      <c r="L106" s="205"/>
      <c r="M106" s="206">
        <v>18651181</v>
      </c>
      <c r="N106" s="207">
        <f t="shared" si="33"/>
        <v>3.8699999999999998E-2</v>
      </c>
      <c r="O106" s="204">
        <f t="shared" si="34"/>
        <v>19372982</v>
      </c>
      <c r="P106" s="208">
        <f t="shared" si="35"/>
        <v>26.501749430167479</v>
      </c>
      <c r="Q106" s="208">
        <f t="shared" si="36"/>
        <v>0</v>
      </c>
      <c r="R106" s="209">
        <f t="shared" si="37"/>
        <v>0</v>
      </c>
      <c r="S106" s="204">
        <f t="shared" si="38"/>
        <v>0</v>
      </c>
      <c r="T106" s="210">
        <f t="shared" si="39"/>
        <v>859120</v>
      </c>
      <c r="U106" s="210">
        <f t="shared" si="23"/>
        <v>730252</v>
      </c>
      <c r="V106" s="203">
        <f>MIN(H106*parameters!C$22,ROUND(O106+S106-U106,0))</f>
        <v>18642730</v>
      </c>
      <c r="W106" s="211">
        <f t="shared" si="40"/>
        <v>25.502783162358078</v>
      </c>
      <c r="X106" s="208"/>
      <c r="Y106" s="212">
        <f t="shared" si="41"/>
        <v>0</v>
      </c>
      <c r="Z106" s="212">
        <f t="shared" si="24"/>
        <v>0</v>
      </c>
      <c r="AA106" s="212">
        <f t="shared" si="42"/>
        <v>128868</v>
      </c>
      <c r="AB106" s="68">
        <f t="shared" si="43"/>
        <v>0.17278316235807978</v>
      </c>
      <c r="AD106" s="207">
        <f t="shared" si="25"/>
        <v>4.6404148415927479E-2</v>
      </c>
      <c r="AE106" s="213">
        <f t="shared" si="44"/>
        <v>1.1717494301674805</v>
      </c>
      <c r="AF106" s="10">
        <f t="shared" si="26"/>
        <v>0</v>
      </c>
      <c r="AG106" s="214"/>
      <c r="AH106" s="214">
        <v>3.8699999999999998E-2</v>
      </c>
      <c r="AI106" s="181"/>
      <c r="AJ106" s="214"/>
      <c r="AK106" s="214"/>
      <c r="AL106" s="214"/>
      <c r="AM106" s="10"/>
      <c r="AN106" s="10"/>
    </row>
    <row r="107" spans="1:40" ht="12.75" customHeight="1">
      <c r="A107" s="201">
        <v>98</v>
      </c>
      <c r="B107" s="201" t="s">
        <v>1364</v>
      </c>
      <c r="C107" s="202">
        <v>123349700</v>
      </c>
      <c r="D107" s="202">
        <f t="shared" si="27"/>
        <v>437840.82264448615</v>
      </c>
      <c r="E107" s="202">
        <v>12023000</v>
      </c>
      <c r="F107" s="202">
        <f t="shared" si="45"/>
        <v>171302.53387436428</v>
      </c>
      <c r="G107" s="202">
        <f t="shared" si="28"/>
        <v>609143</v>
      </c>
      <c r="H107" s="203">
        <f t="shared" si="29"/>
        <v>1094893.6591668511</v>
      </c>
      <c r="I107" s="204">
        <f t="shared" si="30"/>
        <v>903287</v>
      </c>
      <c r="J107" s="204">
        <f t="shared" si="31"/>
        <v>609143</v>
      </c>
      <c r="K107" s="198">
        <f t="shared" si="32"/>
        <v>55.63</v>
      </c>
      <c r="L107" s="205"/>
      <c r="M107" s="206">
        <v>634466</v>
      </c>
      <c r="N107" s="207">
        <f t="shared" si="33"/>
        <v>2.76E-2</v>
      </c>
      <c r="O107" s="204">
        <f t="shared" si="34"/>
        <v>651977</v>
      </c>
      <c r="P107" s="208">
        <f t="shared" si="35"/>
        <v>59.547061446690236</v>
      </c>
      <c r="Q107" s="208">
        <f t="shared" si="36"/>
        <v>0</v>
      </c>
      <c r="R107" s="209">
        <f t="shared" si="37"/>
        <v>0</v>
      </c>
      <c r="S107" s="204">
        <f t="shared" si="38"/>
        <v>0</v>
      </c>
      <c r="T107" s="210">
        <f t="shared" si="39"/>
        <v>42834</v>
      </c>
      <c r="U107" s="210">
        <f t="shared" si="23"/>
        <v>36408.9</v>
      </c>
      <c r="V107" s="203">
        <f>MIN(H107*parameters!C$22,ROUND(O107+S107-U107,0))</f>
        <v>615568</v>
      </c>
      <c r="W107" s="211">
        <f t="shared" si="40"/>
        <v>56.221715674964329</v>
      </c>
      <c r="X107" s="208"/>
      <c r="Y107" s="212">
        <f t="shared" si="41"/>
        <v>0</v>
      </c>
      <c r="Z107" s="212">
        <f t="shared" si="24"/>
        <v>0</v>
      </c>
      <c r="AA107" s="212">
        <f t="shared" si="42"/>
        <v>6425</v>
      </c>
      <c r="AB107" s="68">
        <f t="shared" si="43"/>
        <v>0.59171567496432687</v>
      </c>
      <c r="AD107" s="207">
        <f t="shared" si="25"/>
        <v>7.0318463808990664E-2</v>
      </c>
      <c r="AE107" s="213">
        <f t="shared" si="44"/>
        <v>3.9170614466902336</v>
      </c>
      <c r="AF107" s="10">
        <f t="shared" si="26"/>
        <v>0</v>
      </c>
      <c r="AG107" s="214"/>
      <c r="AH107" s="214">
        <v>2.76E-2</v>
      </c>
      <c r="AI107" s="181"/>
      <c r="AJ107" s="214"/>
      <c r="AK107" s="214"/>
      <c r="AL107" s="214"/>
      <c r="AM107" s="10"/>
      <c r="AN107" s="10"/>
    </row>
    <row r="108" spans="1:40" ht="12.75" customHeight="1">
      <c r="A108" s="201">
        <v>99</v>
      </c>
      <c r="B108" s="201" t="s">
        <v>1365</v>
      </c>
      <c r="C108" s="202">
        <v>2963786200</v>
      </c>
      <c r="D108" s="202">
        <f t="shared" si="27"/>
        <v>10520224.921101352</v>
      </c>
      <c r="E108" s="202">
        <v>833641000</v>
      </c>
      <c r="F108" s="202">
        <f t="shared" si="45"/>
        <v>11877635.834779914</v>
      </c>
      <c r="G108" s="202">
        <f t="shared" si="28"/>
        <v>22397861</v>
      </c>
      <c r="H108" s="203">
        <f t="shared" si="29"/>
        <v>27053133.588580307</v>
      </c>
      <c r="I108" s="204">
        <f t="shared" si="30"/>
        <v>22318835</v>
      </c>
      <c r="J108" s="204">
        <f t="shared" si="31"/>
        <v>22318835</v>
      </c>
      <c r="K108" s="198">
        <f t="shared" si="32"/>
        <v>82.5</v>
      </c>
      <c r="L108" s="205"/>
      <c r="M108" s="206">
        <v>21799033</v>
      </c>
      <c r="N108" s="207">
        <f t="shared" si="33"/>
        <v>5.0299999999999991E-2</v>
      </c>
      <c r="O108" s="204">
        <f t="shared" si="34"/>
        <v>22895524</v>
      </c>
      <c r="P108" s="208">
        <f t="shared" si="35"/>
        <v>84.631689430849079</v>
      </c>
      <c r="Q108" s="208">
        <f t="shared" si="36"/>
        <v>0</v>
      </c>
      <c r="R108" s="209">
        <f t="shared" si="37"/>
        <v>0</v>
      </c>
      <c r="S108" s="204">
        <f t="shared" si="38"/>
        <v>0</v>
      </c>
      <c r="T108" s="210">
        <f t="shared" si="39"/>
        <v>576689</v>
      </c>
      <c r="U108" s="210">
        <f t="shared" si="23"/>
        <v>490185.64999999997</v>
      </c>
      <c r="V108" s="203">
        <f>MIN(H108*parameters!C$22,ROUND(O108+S108-U108,0))</f>
        <v>22405338</v>
      </c>
      <c r="W108" s="211">
        <f t="shared" si="40"/>
        <v>82.819751459245964</v>
      </c>
      <c r="X108" s="208"/>
      <c r="Y108" s="212">
        <f t="shared" si="41"/>
        <v>0</v>
      </c>
      <c r="Z108" s="212">
        <f t="shared" si="24"/>
        <v>0</v>
      </c>
      <c r="AA108" s="212">
        <f t="shared" si="42"/>
        <v>86503</v>
      </c>
      <c r="AB108" s="68">
        <f t="shared" si="43"/>
        <v>0.31975145924596404</v>
      </c>
      <c r="AD108" s="207">
        <f t="shared" si="25"/>
        <v>2.5838669446680347E-2</v>
      </c>
      <c r="AE108" s="213">
        <f t="shared" si="44"/>
        <v>2.1316894308490788</v>
      </c>
      <c r="AF108" s="10">
        <f t="shared" si="26"/>
        <v>0</v>
      </c>
      <c r="AG108" s="214"/>
      <c r="AH108" s="214">
        <v>5.0299999999999991E-2</v>
      </c>
      <c r="AI108" s="181"/>
      <c r="AJ108" s="214"/>
      <c r="AK108" s="214"/>
      <c r="AL108" s="214"/>
      <c r="AM108" s="10"/>
      <c r="AN108" s="10"/>
    </row>
    <row r="109" spans="1:40" ht="12.75" customHeight="1">
      <c r="A109" s="201">
        <v>100</v>
      </c>
      <c r="B109" s="201" t="s">
        <v>1366</v>
      </c>
      <c r="C109" s="202">
        <v>8446149400</v>
      </c>
      <c r="D109" s="202">
        <f t="shared" si="27"/>
        <v>29980364.779762197</v>
      </c>
      <c r="E109" s="202">
        <v>2612713000</v>
      </c>
      <c r="F109" s="202">
        <f t="shared" si="45"/>
        <v>37225680.544497378</v>
      </c>
      <c r="G109" s="202">
        <f t="shared" si="28"/>
        <v>67206045</v>
      </c>
      <c r="H109" s="203">
        <f t="shared" si="29"/>
        <v>109524869.83886768</v>
      </c>
      <c r="I109" s="204">
        <f t="shared" si="30"/>
        <v>90358018</v>
      </c>
      <c r="J109" s="204">
        <f t="shared" si="31"/>
        <v>67206045</v>
      </c>
      <c r="K109" s="198">
        <f t="shared" si="32"/>
        <v>61.36</v>
      </c>
      <c r="L109" s="205"/>
      <c r="M109" s="206">
        <v>61417134</v>
      </c>
      <c r="N109" s="207">
        <f t="shared" si="33"/>
        <v>4.0500000000000001E-2</v>
      </c>
      <c r="O109" s="204">
        <f t="shared" si="34"/>
        <v>63904528</v>
      </c>
      <c r="P109" s="208">
        <f t="shared" si="35"/>
        <v>58.347047655948785</v>
      </c>
      <c r="Q109" s="208">
        <f t="shared" si="36"/>
        <v>3.0129523440512145</v>
      </c>
      <c r="R109" s="209">
        <f t="shared" si="37"/>
        <v>0.01</v>
      </c>
      <c r="S109" s="204">
        <f t="shared" si="38"/>
        <v>614171</v>
      </c>
      <c r="T109" s="210">
        <f t="shared" si="39"/>
        <v>0</v>
      </c>
      <c r="U109" s="210">
        <f t="shared" si="23"/>
        <v>0</v>
      </c>
      <c r="V109" s="203">
        <f>MIN(H109*parameters!C$22,ROUND(O109+S109-U109,0))</f>
        <v>64518699</v>
      </c>
      <c r="W109" s="211">
        <f t="shared" si="40"/>
        <v>58.90780705324692</v>
      </c>
      <c r="X109" s="208"/>
      <c r="Y109" s="212">
        <f t="shared" si="41"/>
        <v>-3301517</v>
      </c>
      <c r="Z109" s="212">
        <f t="shared" si="24"/>
        <v>2687346</v>
      </c>
      <c r="AA109" s="212">
        <f t="shared" si="42"/>
        <v>0</v>
      </c>
      <c r="AB109" s="68">
        <f t="shared" si="43"/>
        <v>-2.4521929467530796</v>
      </c>
      <c r="AD109" s="207">
        <f t="shared" si="25"/>
        <v>-4.9125298178162399E-2</v>
      </c>
      <c r="AE109" s="213">
        <f t="shared" si="44"/>
        <v>-3.0129523440512145</v>
      </c>
      <c r="AF109" s="10">
        <f t="shared" si="26"/>
        <v>0</v>
      </c>
      <c r="AG109" s="214"/>
      <c r="AH109" s="214">
        <v>4.0500000000000001E-2</v>
      </c>
      <c r="AI109" s="181"/>
      <c r="AJ109" s="214"/>
      <c r="AK109" s="214"/>
      <c r="AL109" s="214"/>
      <c r="AM109" s="10"/>
      <c r="AN109" s="10"/>
    </row>
    <row r="110" spans="1:40" ht="12.75" customHeight="1">
      <c r="A110" s="201">
        <v>101</v>
      </c>
      <c r="B110" s="201" t="s">
        <v>1367</v>
      </c>
      <c r="C110" s="202">
        <v>5001281700</v>
      </c>
      <c r="D110" s="202">
        <f t="shared" si="27"/>
        <v>17752497.92909763</v>
      </c>
      <c r="E110" s="202">
        <v>1539326000</v>
      </c>
      <c r="F110" s="202">
        <f t="shared" si="45"/>
        <v>21932167.034740888</v>
      </c>
      <c r="G110" s="202">
        <f t="shared" si="28"/>
        <v>39684665</v>
      </c>
      <c r="H110" s="203">
        <f t="shared" si="29"/>
        <v>60712574.686185442</v>
      </c>
      <c r="I110" s="204">
        <f t="shared" si="30"/>
        <v>50087874</v>
      </c>
      <c r="J110" s="204">
        <f t="shared" si="31"/>
        <v>39684665</v>
      </c>
      <c r="K110" s="198">
        <f t="shared" si="32"/>
        <v>65.36</v>
      </c>
      <c r="L110" s="205"/>
      <c r="M110" s="206">
        <v>37632280</v>
      </c>
      <c r="N110" s="207">
        <f t="shared" si="33"/>
        <v>3.7999999999999999E-2</v>
      </c>
      <c r="O110" s="204">
        <f t="shared" si="34"/>
        <v>39062307</v>
      </c>
      <c r="P110" s="208">
        <f t="shared" si="35"/>
        <v>64.339730610845351</v>
      </c>
      <c r="Q110" s="208">
        <f t="shared" si="36"/>
        <v>1.0202693891546488</v>
      </c>
      <c r="R110" s="209">
        <f t="shared" si="37"/>
        <v>0</v>
      </c>
      <c r="S110" s="204">
        <f t="shared" si="38"/>
        <v>0</v>
      </c>
      <c r="T110" s="210">
        <f t="shared" si="39"/>
        <v>0</v>
      </c>
      <c r="U110" s="210">
        <f t="shared" si="23"/>
        <v>0</v>
      </c>
      <c r="V110" s="203">
        <f>MIN(H110*parameters!C$22,ROUND(O110+S110-U110,0))</f>
        <v>39062307</v>
      </c>
      <c r="W110" s="211">
        <f t="shared" si="40"/>
        <v>64.339730610845351</v>
      </c>
      <c r="X110" s="208"/>
      <c r="Y110" s="212">
        <f t="shared" si="41"/>
        <v>-622358</v>
      </c>
      <c r="Z110" s="212">
        <f t="shared" si="24"/>
        <v>622358</v>
      </c>
      <c r="AA110" s="212">
        <f t="shared" si="42"/>
        <v>0</v>
      </c>
      <c r="AB110" s="68">
        <f t="shared" si="43"/>
        <v>-1.0202693891546488</v>
      </c>
      <c r="AD110" s="207">
        <f t="shared" si="25"/>
        <v>-1.5682581672290797E-2</v>
      </c>
      <c r="AE110" s="213">
        <f t="shared" si="44"/>
        <v>-1.0202693891546488</v>
      </c>
      <c r="AF110" s="10">
        <f t="shared" si="26"/>
        <v>0</v>
      </c>
      <c r="AG110" s="214"/>
      <c r="AH110" s="214">
        <v>3.7999999999999999E-2</v>
      </c>
      <c r="AI110" s="181"/>
      <c r="AJ110" s="214"/>
      <c r="AK110" s="214"/>
      <c r="AL110" s="214"/>
      <c r="AM110" s="10"/>
      <c r="AN110" s="10"/>
    </row>
    <row r="111" spans="1:40" ht="12.75" customHeight="1">
      <c r="A111" s="201">
        <v>102</v>
      </c>
      <c r="B111" s="201" t="s">
        <v>1368</v>
      </c>
      <c r="C111" s="202">
        <v>1281370100</v>
      </c>
      <c r="D111" s="202">
        <f t="shared" si="27"/>
        <v>4548338.0883459579</v>
      </c>
      <c r="E111" s="202">
        <v>295691000</v>
      </c>
      <c r="F111" s="202">
        <f t="shared" si="45"/>
        <v>4212976.5901891915</v>
      </c>
      <c r="G111" s="202">
        <f t="shared" si="28"/>
        <v>8761315</v>
      </c>
      <c r="H111" s="203">
        <f t="shared" si="29"/>
        <v>13143045.653494691</v>
      </c>
      <c r="I111" s="204">
        <f t="shared" si="30"/>
        <v>10843013</v>
      </c>
      <c r="J111" s="204">
        <f t="shared" si="31"/>
        <v>8761315</v>
      </c>
      <c r="K111" s="198">
        <f t="shared" si="32"/>
        <v>66.66</v>
      </c>
      <c r="L111" s="205"/>
      <c r="M111" s="206">
        <v>8706644</v>
      </c>
      <c r="N111" s="207">
        <f t="shared" si="33"/>
        <v>5.5199999999999999E-2</v>
      </c>
      <c r="O111" s="204">
        <f t="shared" si="34"/>
        <v>9187251</v>
      </c>
      <c r="P111" s="208">
        <f t="shared" si="35"/>
        <v>69.901994120800609</v>
      </c>
      <c r="Q111" s="208">
        <f t="shared" si="36"/>
        <v>0</v>
      </c>
      <c r="R111" s="209">
        <f t="shared" si="37"/>
        <v>0</v>
      </c>
      <c r="S111" s="204">
        <f t="shared" si="38"/>
        <v>0</v>
      </c>
      <c r="T111" s="210">
        <f t="shared" si="39"/>
        <v>425936</v>
      </c>
      <c r="U111" s="210">
        <f t="shared" si="23"/>
        <v>362045.6</v>
      </c>
      <c r="V111" s="203">
        <f>MIN(H111*parameters!C$22,ROUND(O111+S111-U111,0))</f>
        <v>8825205</v>
      </c>
      <c r="W111" s="211">
        <f t="shared" si="40"/>
        <v>67.147335805330684</v>
      </c>
      <c r="X111" s="208"/>
      <c r="Y111" s="212">
        <f t="shared" si="41"/>
        <v>0</v>
      </c>
      <c r="Z111" s="212">
        <f t="shared" si="24"/>
        <v>0</v>
      </c>
      <c r="AA111" s="212">
        <f t="shared" si="42"/>
        <v>63890</v>
      </c>
      <c r="AB111" s="68">
        <f t="shared" si="43"/>
        <v>0.48733580533068732</v>
      </c>
      <c r="AD111" s="207">
        <f t="shared" si="25"/>
        <v>4.8615533170534332E-2</v>
      </c>
      <c r="AE111" s="213">
        <f t="shared" si="44"/>
        <v>3.2419941208006122</v>
      </c>
      <c r="AF111" s="10">
        <f t="shared" si="26"/>
        <v>0</v>
      </c>
      <c r="AG111" s="214"/>
      <c r="AH111" s="214">
        <v>5.5199999999999999E-2</v>
      </c>
      <c r="AI111" s="181"/>
      <c r="AJ111" s="214"/>
      <c r="AK111" s="214"/>
      <c r="AL111" s="214"/>
      <c r="AM111" s="10"/>
      <c r="AN111" s="10"/>
    </row>
    <row r="112" spans="1:40" ht="12.75" customHeight="1">
      <c r="A112" s="201">
        <v>103</v>
      </c>
      <c r="B112" s="201" t="s">
        <v>1369</v>
      </c>
      <c r="C112" s="202">
        <v>1186613100</v>
      </c>
      <c r="D112" s="202">
        <f t="shared" si="27"/>
        <v>4211989.6186591769</v>
      </c>
      <c r="E112" s="202">
        <v>400013000</v>
      </c>
      <c r="F112" s="202">
        <f t="shared" si="45"/>
        <v>5699346.2931619463</v>
      </c>
      <c r="G112" s="202">
        <f t="shared" si="28"/>
        <v>9911336</v>
      </c>
      <c r="H112" s="203">
        <f t="shared" si="29"/>
        <v>30845658.225998968</v>
      </c>
      <c r="I112" s="204">
        <f t="shared" si="30"/>
        <v>25447668</v>
      </c>
      <c r="J112" s="204">
        <f t="shared" si="31"/>
        <v>9911336</v>
      </c>
      <c r="K112" s="198">
        <f t="shared" si="32"/>
        <v>32.130000000000003</v>
      </c>
      <c r="L112" s="205"/>
      <c r="M112" s="206">
        <v>9187184</v>
      </c>
      <c r="N112" s="207">
        <f t="shared" si="33"/>
        <v>4.1500000000000002E-2</v>
      </c>
      <c r="O112" s="204">
        <f t="shared" si="34"/>
        <v>9568452</v>
      </c>
      <c r="P112" s="208">
        <f t="shared" si="35"/>
        <v>31.020417622130726</v>
      </c>
      <c r="Q112" s="208">
        <f t="shared" si="36"/>
        <v>1.1095823778692768</v>
      </c>
      <c r="R112" s="209">
        <f t="shared" si="37"/>
        <v>0</v>
      </c>
      <c r="S112" s="204">
        <f t="shared" si="38"/>
        <v>0</v>
      </c>
      <c r="T112" s="210">
        <f t="shared" si="39"/>
        <v>0</v>
      </c>
      <c r="U112" s="210">
        <f t="shared" si="23"/>
        <v>0</v>
      </c>
      <c r="V112" s="203">
        <f>MIN(H112*parameters!C$22,ROUND(O112+S112-U112,0))</f>
        <v>9568452</v>
      </c>
      <c r="W112" s="211">
        <f t="shared" si="40"/>
        <v>31.020417622130726</v>
      </c>
      <c r="X112" s="208"/>
      <c r="Y112" s="212">
        <f t="shared" si="41"/>
        <v>-342884</v>
      </c>
      <c r="Z112" s="212">
        <f t="shared" si="24"/>
        <v>342884</v>
      </c>
      <c r="AA112" s="212">
        <f t="shared" si="42"/>
        <v>0</v>
      </c>
      <c r="AB112" s="68">
        <f t="shared" si="43"/>
        <v>-1.1095823778692768</v>
      </c>
      <c r="AD112" s="207">
        <f t="shared" si="25"/>
        <v>-3.4595134298746402E-2</v>
      </c>
      <c r="AE112" s="213">
        <f t="shared" si="44"/>
        <v>-1.1095823778692768</v>
      </c>
      <c r="AF112" s="10">
        <f t="shared" si="26"/>
        <v>0</v>
      </c>
      <c r="AG112" s="214"/>
      <c r="AH112" s="214">
        <v>4.1500000000000002E-2</v>
      </c>
      <c r="AI112" s="181"/>
      <c r="AJ112" s="214"/>
      <c r="AK112" s="214"/>
      <c r="AL112" s="214"/>
      <c r="AM112" s="10"/>
      <c r="AN112" s="10"/>
    </row>
    <row r="113" spans="1:40" ht="12.75" customHeight="1">
      <c r="A113" s="201">
        <v>104</v>
      </c>
      <c r="B113" s="201" t="s">
        <v>1370</v>
      </c>
      <c r="C113" s="202">
        <v>724087400</v>
      </c>
      <c r="D113" s="202">
        <f t="shared" si="27"/>
        <v>2570213.1653543306</v>
      </c>
      <c r="E113" s="202">
        <v>4903000</v>
      </c>
      <c r="F113" s="202">
        <f t="shared" si="45"/>
        <v>69857.466820760892</v>
      </c>
      <c r="G113" s="202">
        <f t="shared" si="28"/>
        <v>2640071</v>
      </c>
      <c r="H113" s="203">
        <f t="shared" si="29"/>
        <v>568571.76958998304</v>
      </c>
      <c r="I113" s="204">
        <f t="shared" si="30"/>
        <v>469072</v>
      </c>
      <c r="J113" s="204">
        <f t="shared" si="31"/>
        <v>469072</v>
      </c>
      <c r="K113" s="198">
        <f t="shared" si="32"/>
        <v>82.5</v>
      </c>
      <c r="L113" s="205"/>
      <c r="M113" s="206">
        <v>381775</v>
      </c>
      <c r="N113" s="207">
        <f t="shared" si="33"/>
        <v>3.1699999999999999E-2</v>
      </c>
      <c r="O113" s="204">
        <f t="shared" si="34"/>
        <v>393877</v>
      </c>
      <c r="P113" s="208">
        <f t="shared" si="35"/>
        <v>69.274807696491592</v>
      </c>
      <c r="Q113" s="208">
        <f t="shared" si="36"/>
        <v>13.225192303508408</v>
      </c>
      <c r="R113" s="209">
        <f t="shared" si="37"/>
        <v>0.02</v>
      </c>
      <c r="S113" s="204">
        <f t="shared" si="38"/>
        <v>7636</v>
      </c>
      <c r="T113" s="210">
        <f t="shared" si="39"/>
        <v>0</v>
      </c>
      <c r="U113" s="210">
        <f t="shared" si="23"/>
        <v>0</v>
      </c>
      <c r="V113" s="203">
        <f>MIN(H113*parameters!C$22,ROUND(O113+S113-U113,0))</f>
        <v>401513</v>
      </c>
      <c r="W113" s="211">
        <f t="shared" si="40"/>
        <v>70.617821966353532</v>
      </c>
      <c r="X113" s="208"/>
      <c r="Y113" s="212">
        <f t="shared" si="41"/>
        <v>-75195</v>
      </c>
      <c r="Z113" s="212">
        <f t="shared" si="24"/>
        <v>67559</v>
      </c>
      <c r="AA113" s="212">
        <f t="shared" si="42"/>
        <v>0</v>
      </c>
      <c r="AB113" s="68">
        <f t="shared" si="43"/>
        <v>-11.882178033646468</v>
      </c>
      <c r="AD113" s="207">
        <f t="shared" si="25"/>
        <v>-0.16030588054712283</v>
      </c>
      <c r="AE113" s="213">
        <f t="shared" si="44"/>
        <v>-13.225192303508408</v>
      </c>
      <c r="AF113" s="10">
        <f t="shared" si="26"/>
        <v>7635.5</v>
      </c>
      <c r="AG113" s="214"/>
      <c r="AH113" s="214">
        <v>3.1699999999999999E-2</v>
      </c>
      <c r="AI113" s="181"/>
      <c r="AJ113" s="214"/>
      <c r="AK113" s="214"/>
      <c r="AL113" s="214"/>
      <c r="AM113" s="10"/>
      <c r="AN113" s="10"/>
    </row>
    <row r="114" spans="1:40" ht="12.75" customHeight="1">
      <c r="A114" s="201">
        <v>105</v>
      </c>
      <c r="B114" s="201" t="s">
        <v>1371</v>
      </c>
      <c r="C114" s="202">
        <v>1211493100</v>
      </c>
      <c r="D114" s="202">
        <f t="shared" si="27"/>
        <v>4300303.4099970954</v>
      </c>
      <c r="E114" s="202">
        <v>385536000</v>
      </c>
      <c r="F114" s="202">
        <f t="shared" si="45"/>
        <v>5493079.4061205117</v>
      </c>
      <c r="G114" s="202">
        <f t="shared" si="28"/>
        <v>9793383</v>
      </c>
      <c r="H114" s="203">
        <f t="shared" si="29"/>
        <v>13447059.704113241</v>
      </c>
      <c r="I114" s="204">
        <f t="shared" si="30"/>
        <v>11093824</v>
      </c>
      <c r="J114" s="204">
        <f t="shared" si="31"/>
        <v>9793383</v>
      </c>
      <c r="K114" s="198">
        <f t="shared" si="32"/>
        <v>72.83</v>
      </c>
      <c r="L114" s="205"/>
      <c r="M114" s="206">
        <v>9848664</v>
      </c>
      <c r="N114" s="207">
        <f t="shared" si="33"/>
        <v>3.39E-2</v>
      </c>
      <c r="O114" s="204">
        <f t="shared" si="34"/>
        <v>10182534</v>
      </c>
      <c r="P114" s="208">
        <f t="shared" si="35"/>
        <v>75.723126274848951</v>
      </c>
      <c r="Q114" s="208">
        <f t="shared" si="36"/>
        <v>0</v>
      </c>
      <c r="R114" s="209">
        <f t="shared" si="37"/>
        <v>0</v>
      </c>
      <c r="S114" s="204">
        <f t="shared" si="38"/>
        <v>0</v>
      </c>
      <c r="T114" s="210">
        <f t="shared" si="39"/>
        <v>389151</v>
      </c>
      <c r="U114" s="210">
        <f t="shared" si="23"/>
        <v>330778.34999999998</v>
      </c>
      <c r="V114" s="203">
        <f>MIN(H114*parameters!C$22,ROUND(O114+S114-U114,0))</f>
        <v>9851756</v>
      </c>
      <c r="W114" s="211">
        <f t="shared" si="40"/>
        <v>73.263272542669711</v>
      </c>
      <c r="X114" s="208"/>
      <c r="Y114" s="212">
        <f t="shared" si="41"/>
        <v>0</v>
      </c>
      <c r="Z114" s="212">
        <f t="shared" si="24"/>
        <v>0</v>
      </c>
      <c r="AA114" s="212">
        <f t="shared" si="42"/>
        <v>58373</v>
      </c>
      <c r="AB114" s="68">
        <f t="shared" si="43"/>
        <v>0.43327254266971238</v>
      </c>
      <c r="AD114" s="207">
        <f t="shared" si="25"/>
        <v>3.9736115701795797E-2</v>
      </c>
      <c r="AE114" s="213">
        <f t="shared" si="44"/>
        <v>2.893126274848953</v>
      </c>
      <c r="AF114" s="10">
        <f t="shared" si="26"/>
        <v>0</v>
      </c>
      <c r="AG114" s="214"/>
      <c r="AH114" s="214">
        <v>3.39E-2</v>
      </c>
      <c r="AI114" s="181"/>
      <c r="AJ114" s="214"/>
      <c r="AK114" s="214"/>
      <c r="AL114" s="214"/>
      <c r="AM114" s="10"/>
      <c r="AN114" s="10"/>
    </row>
    <row r="115" spans="1:40" ht="12.75" customHeight="1">
      <c r="A115" s="201">
        <v>106</v>
      </c>
      <c r="B115" s="201" t="s">
        <v>1372</v>
      </c>
      <c r="C115" s="202">
        <v>159051900</v>
      </c>
      <c r="D115" s="202">
        <f t="shared" si="27"/>
        <v>564568.98346058838</v>
      </c>
      <c r="E115" s="202">
        <v>36847000</v>
      </c>
      <c r="F115" s="202">
        <f t="shared" si="45"/>
        <v>524992.46990507375</v>
      </c>
      <c r="G115" s="202">
        <f t="shared" si="28"/>
        <v>1089561</v>
      </c>
      <c r="H115" s="203">
        <f t="shared" si="29"/>
        <v>1808462.2723010329</v>
      </c>
      <c r="I115" s="204">
        <f t="shared" si="30"/>
        <v>1491981</v>
      </c>
      <c r="J115" s="204">
        <f t="shared" si="31"/>
        <v>1089561</v>
      </c>
      <c r="K115" s="198">
        <f t="shared" si="32"/>
        <v>60.25</v>
      </c>
      <c r="L115" s="205"/>
      <c r="M115" s="206">
        <v>1065972</v>
      </c>
      <c r="N115" s="207">
        <f t="shared" si="33"/>
        <v>4.6199999999999998E-2</v>
      </c>
      <c r="O115" s="204">
        <f t="shared" si="34"/>
        <v>1115220</v>
      </c>
      <c r="P115" s="208">
        <f t="shared" si="35"/>
        <v>61.666755070374109</v>
      </c>
      <c r="Q115" s="208">
        <f t="shared" si="36"/>
        <v>0</v>
      </c>
      <c r="R115" s="209">
        <f t="shared" si="37"/>
        <v>0</v>
      </c>
      <c r="S115" s="204">
        <f t="shared" si="38"/>
        <v>0</v>
      </c>
      <c r="T115" s="210">
        <f t="shared" si="39"/>
        <v>25659</v>
      </c>
      <c r="U115" s="210">
        <f t="shared" si="23"/>
        <v>21810.149999999998</v>
      </c>
      <c r="V115" s="203">
        <f>MIN(H115*parameters!C$22,ROUND(O115+S115-U115,0))</f>
        <v>1093410</v>
      </c>
      <c r="W115" s="211">
        <f t="shared" si="40"/>
        <v>60.460758111850353</v>
      </c>
      <c r="X115" s="208"/>
      <c r="Y115" s="212">
        <f t="shared" si="41"/>
        <v>0</v>
      </c>
      <c r="Z115" s="212">
        <f t="shared" si="24"/>
        <v>0</v>
      </c>
      <c r="AA115" s="212">
        <f t="shared" si="42"/>
        <v>3849</v>
      </c>
      <c r="AB115" s="68">
        <f t="shared" si="43"/>
        <v>0.2107581118503532</v>
      </c>
      <c r="AD115" s="207">
        <f t="shared" si="25"/>
        <v>2.354985172927445E-2</v>
      </c>
      <c r="AE115" s="213">
        <f t="shared" si="44"/>
        <v>1.4167550703741085</v>
      </c>
      <c r="AF115" s="10">
        <f t="shared" si="26"/>
        <v>0</v>
      </c>
      <c r="AG115" s="214"/>
      <c r="AH115" s="214">
        <v>4.6199999999999998E-2</v>
      </c>
      <c r="AI115" s="181"/>
      <c r="AJ115" s="214"/>
      <c r="AK115" s="214"/>
      <c r="AL115" s="214"/>
      <c r="AM115" s="10"/>
      <c r="AN115" s="10"/>
    </row>
    <row r="116" spans="1:40" ht="12.75" customHeight="1">
      <c r="A116" s="201">
        <v>107</v>
      </c>
      <c r="B116" s="201" t="s">
        <v>1373</v>
      </c>
      <c r="C116" s="202">
        <v>6026476200</v>
      </c>
      <c r="D116" s="202">
        <f t="shared" si="27"/>
        <v>21391517.750391096</v>
      </c>
      <c r="E116" s="202">
        <v>1035844000</v>
      </c>
      <c r="F116" s="202">
        <f t="shared" si="45"/>
        <v>14758604.499588871</v>
      </c>
      <c r="G116" s="202">
        <f t="shared" si="28"/>
        <v>36150122</v>
      </c>
      <c r="H116" s="203">
        <f t="shared" si="29"/>
        <v>36982777.54730776</v>
      </c>
      <c r="I116" s="204">
        <f t="shared" si="30"/>
        <v>30510791</v>
      </c>
      <c r="J116" s="204">
        <f t="shared" si="31"/>
        <v>30510791</v>
      </c>
      <c r="K116" s="198">
        <f t="shared" si="32"/>
        <v>82.5</v>
      </c>
      <c r="L116" s="205"/>
      <c r="M116" s="206">
        <v>30231083</v>
      </c>
      <c r="N116" s="207">
        <f t="shared" si="33"/>
        <v>3.7499999999999999E-2</v>
      </c>
      <c r="O116" s="204">
        <f t="shared" si="34"/>
        <v>31364749</v>
      </c>
      <c r="P116" s="208">
        <f t="shared" si="35"/>
        <v>84.809068112525438</v>
      </c>
      <c r="Q116" s="208">
        <f t="shared" si="36"/>
        <v>0</v>
      </c>
      <c r="R116" s="209">
        <f t="shared" si="37"/>
        <v>0</v>
      </c>
      <c r="S116" s="204">
        <f t="shared" si="38"/>
        <v>0</v>
      </c>
      <c r="T116" s="210">
        <f t="shared" si="39"/>
        <v>853958</v>
      </c>
      <c r="U116" s="210">
        <f t="shared" si="23"/>
        <v>725864.29999999993</v>
      </c>
      <c r="V116" s="203">
        <f>MIN(H116*parameters!C$22,ROUND(O116+S116-U116,0))</f>
        <v>30638885</v>
      </c>
      <c r="W116" s="211">
        <f t="shared" si="40"/>
        <v>82.846359932828847</v>
      </c>
      <c r="X116" s="208"/>
      <c r="Y116" s="212">
        <f t="shared" si="41"/>
        <v>0</v>
      </c>
      <c r="Z116" s="212">
        <f t="shared" si="24"/>
        <v>0</v>
      </c>
      <c r="AA116" s="212">
        <f t="shared" si="42"/>
        <v>128094</v>
      </c>
      <c r="AB116" s="68">
        <f t="shared" si="43"/>
        <v>0.34635993282884669</v>
      </c>
      <c r="AD116" s="207">
        <f t="shared" si="25"/>
        <v>2.798872044975825E-2</v>
      </c>
      <c r="AE116" s="213">
        <f t="shared" si="44"/>
        <v>2.3090681125254378</v>
      </c>
      <c r="AF116" s="10">
        <f t="shared" si="26"/>
        <v>0</v>
      </c>
      <c r="AG116" s="214"/>
      <c r="AH116" s="214">
        <v>3.7499999999999999E-2</v>
      </c>
      <c r="AI116" s="181"/>
      <c r="AJ116" s="214"/>
      <c r="AK116" s="214"/>
      <c r="AL116" s="214"/>
      <c r="AM116" s="10"/>
      <c r="AN116" s="10"/>
    </row>
    <row r="117" spans="1:40" ht="12.75" customHeight="1">
      <c r="A117" s="201">
        <v>108</v>
      </c>
      <c r="B117" s="201" t="s">
        <v>1374</v>
      </c>
      <c r="C117" s="202">
        <v>150096400</v>
      </c>
      <c r="D117" s="202">
        <f t="shared" si="27"/>
        <v>532780.63304552704</v>
      </c>
      <c r="E117" s="202">
        <v>13596000</v>
      </c>
      <c r="F117" s="202">
        <f t="shared" si="45"/>
        <v>193714.48478381909</v>
      </c>
      <c r="G117" s="202">
        <f t="shared" si="28"/>
        <v>726495</v>
      </c>
      <c r="H117" s="203">
        <f t="shared" si="29"/>
        <v>1092183.9727776407</v>
      </c>
      <c r="I117" s="204">
        <f t="shared" si="30"/>
        <v>901052</v>
      </c>
      <c r="J117" s="204">
        <f t="shared" si="31"/>
        <v>726495</v>
      </c>
      <c r="K117" s="198">
        <f t="shared" si="32"/>
        <v>66.52</v>
      </c>
      <c r="L117" s="205"/>
      <c r="M117" s="206">
        <v>754963</v>
      </c>
      <c r="N117" s="207">
        <f t="shared" si="33"/>
        <v>3.0600000000000002E-2</v>
      </c>
      <c r="O117" s="204">
        <f t="shared" si="34"/>
        <v>778065</v>
      </c>
      <c r="P117" s="208">
        <f t="shared" si="35"/>
        <v>71.23937169863666</v>
      </c>
      <c r="Q117" s="208">
        <f t="shared" si="36"/>
        <v>0</v>
      </c>
      <c r="R117" s="209">
        <f t="shared" si="37"/>
        <v>0</v>
      </c>
      <c r="S117" s="204">
        <f t="shared" si="38"/>
        <v>0</v>
      </c>
      <c r="T117" s="210">
        <f t="shared" si="39"/>
        <v>51570</v>
      </c>
      <c r="U117" s="210">
        <f t="shared" si="23"/>
        <v>43834.5</v>
      </c>
      <c r="V117" s="203">
        <f>MIN(H117*parameters!C$22,ROUND(O117+S117-U117,0))</f>
        <v>734231</v>
      </c>
      <c r="W117" s="211">
        <f t="shared" si="40"/>
        <v>67.225945289483121</v>
      </c>
      <c r="X117" s="208"/>
      <c r="Y117" s="212">
        <f t="shared" si="41"/>
        <v>0</v>
      </c>
      <c r="Z117" s="212">
        <f t="shared" si="24"/>
        <v>0</v>
      </c>
      <c r="AA117" s="212">
        <f t="shared" si="42"/>
        <v>7736</v>
      </c>
      <c r="AB117" s="68">
        <f t="shared" si="43"/>
        <v>0.70594528948312529</v>
      </c>
      <c r="AD117" s="207">
        <f t="shared" si="25"/>
        <v>7.0984659219953339E-2</v>
      </c>
      <c r="AE117" s="213">
        <f t="shared" si="44"/>
        <v>4.7193716986366638</v>
      </c>
      <c r="AF117" s="10">
        <f t="shared" si="26"/>
        <v>0</v>
      </c>
      <c r="AG117" s="214"/>
      <c r="AH117" s="214">
        <v>3.0600000000000002E-2</v>
      </c>
      <c r="AI117" s="181"/>
      <c r="AJ117" s="214"/>
      <c r="AK117" s="214"/>
      <c r="AL117" s="214"/>
      <c r="AM117" s="10"/>
      <c r="AN117" s="10"/>
    </row>
    <row r="118" spans="1:40" ht="12.75" customHeight="1">
      <c r="A118" s="201">
        <v>109</v>
      </c>
      <c r="B118" s="201" t="s">
        <v>1375</v>
      </c>
      <c r="C118" s="202">
        <v>232938000</v>
      </c>
      <c r="D118" s="202">
        <f t="shared" si="27"/>
        <v>826834.32181157568</v>
      </c>
      <c r="E118" s="202">
        <v>1617000</v>
      </c>
      <c r="F118" s="202">
        <f t="shared" si="45"/>
        <v>23038.858627201786</v>
      </c>
      <c r="G118" s="202">
        <f t="shared" si="28"/>
        <v>849873</v>
      </c>
      <c r="H118" s="203">
        <f t="shared" si="29"/>
        <v>21755.78608038156</v>
      </c>
      <c r="I118" s="204">
        <f t="shared" si="30"/>
        <v>17949</v>
      </c>
      <c r="J118" s="204">
        <f t="shared" si="31"/>
        <v>17949</v>
      </c>
      <c r="K118" s="198">
        <f t="shared" si="32"/>
        <v>82.5</v>
      </c>
      <c r="L118" s="205"/>
      <c r="M118" s="206">
        <v>18430</v>
      </c>
      <c r="N118" s="207">
        <f t="shared" si="33"/>
        <v>3.04E-2</v>
      </c>
      <c r="O118" s="204">
        <f t="shared" si="34"/>
        <v>18990</v>
      </c>
      <c r="P118" s="208">
        <f t="shared" si="35"/>
        <v>87.28712412338146</v>
      </c>
      <c r="Q118" s="208">
        <f t="shared" si="36"/>
        <v>0</v>
      </c>
      <c r="R118" s="209">
        <f t="shared" si="37"/>
        <v>0</v>
      </c>
      <c r="S118" s="204">
        <f t="shared" si="38"/>
        <v>0</v>
      </c>
      <c r="T118" s="210">
        <f t="shared" si="39"/>
        <v>1041</v>
      </c>
      <c r="U118" s="210">
        <f t="shared" si="23"/>
        <v>884.85</v>
      </c>
      <c r="V118" s="203">
        <f>MIN(H118*parameters!C$22,ROUND(O118+S118-U118,0))</f>
        <v>18105</v>
      </c>
      <c r="W118" s="211">
        <f t="shared" si="40"/>
        <v>83.219240771659898</v>
      </c>
      <c r="X118" s="208"/>
      <c r="Y118" s="212">
        <f t="shared" si="41"/>
        <v>0</v>
      </c>
      <c r="Z118" s="212">
        <f t="shared" si="24"/>
        <v>0</v>
      </c>
      <c r="AA118" s="212">
        <f t="shared" si="42"/>
        <v>156</v>
      </c>
      <c r="AB118" s="68">
        <f t="shared" si="43"/>
        <v>0.71924077165989786</v>
      </c>
      <c r="AD118" s="207">
        <f t="shared" si="25"/>
        <v>5.799766003677085E-2</v>
      </c>
      <c r="AE118" s="213">
        <f t="shared" si="44"/>
        <v>4.7871241233814601</v>
      </c>
      <c r="AF118" s="10">
        <f t="shared" si="26"/>
        <v>0</v>
      </c>
      <c r="AG118" s="214"/>
      <c r="AH118" s="214">
        <v>3.04E-2</v>
      </c>
      <c r="AI118" s="181"/>
      <c r="AJ118" s="214"/>
      <c r="AK118" s="214"/>
      <c r="AL118" s="214"/>
      <c r="AM118" s="10"/>
      <c r="AN118" s="10"/>
    </row>
    <row r="119" spans="1:40" ht="12.75" customHeight="1">
      <c r="A119" s="201">
        <v>110</v>
      </c>
      <c r="B119" s="201" t="s">
        <v>1376</v>
      </c>
      <c r="C119" s="202">
        <v>2333827700</v>
      </c>
      <c r="D119" s="202">
        <f t="shared" si="27"/>
        <v>8284130.7281532828</v>
      </c>
      <c r="E119" s="202">
        <v>851863000</v>
      </c>
      <c r="F119" s="202">
        <f t="shared" si="45"/>
        <v>12137261.117343225</v>
      </c>
      <c r="G119" s="202">
        <f t="shared" si="28"/>
        <v>20421392</v>
      </c>
      <c r="H119" s="203">
        <f t="shared" si="29"/>
        <v>31062660.072205316</v>
      </c>
      <c r="I119" s="204">
        <f t="shared" si="30"/>
        <v>25626695</v>
      </c>
      <c r="J119" s="204">
        <f t="shared" si="31"/>
        <v>20421392</v>
      </c>
      <c r="K119" s="198">
        <f t="shared" si="32"/>
        <v>65.739999999999995</v>
      </c>
      <c r="L119" s="205"/>
      <c r="M119" s="206">
        <v>20176876</v>
      </c>
      <c r="N119" s="207">
        <f t="shared" si="33"/>
        <v>4.4999999999999998E-2</v>
      </c>
      <c r="O119" s="204">
        <f t="shared" si="34"/>
        <v>21084835</v>
      </c>
      <c r="P119" s="208">
        <f t="shared" si="35"/>
        <v>67.878394673824431</v>
      </c>
      <c r="Q119" s="208">
        <f t="shared" si="36"/>
        <v>0</v>
      </c>
      <c r="R119" s="209">
        <f t="shared" si="37"/>
        <v>0</v>
      </c>
      <c r="S119" s="204">
        <f t="shared" si="38"/>
        <v>0</v>
      </c>
      <c r="T119" s="210">
        <f t="shared" si="39"/>
        <v>663443</v>
      </c>
      <c r="U119" s="210">
        <f t="shared" si="23"/>
        <v>563926.54999999993</v>
      </c>
      <c r="V119" s="203">
        <f>MIN(H119*parameters!C$22,ROUND(O119+S119-U119,0))</f>
        <v>20520908</v>
      </c>
      <c r="W119" s="211">
        <f t="shared" si="40"/>
        <v>66.062944874325126</v>
      </c>
      <c r="X119" s="208"/>
      <c r="Y119" s="212">
        <f t="shared" si="41"/>
        <v>0</v>
      </c>
      <c r="Z119" s="212">
        <f t="shared" si="24"/>
        <v>0</v>
      </c>
      <c r="AA119" s="212">
        <f t="shared" si="42"/>
        <v>99516</v>
      </c>
      <c r="AB119" s="68">
        <f t="shared" si="43"/>
        <v>0.32294487432513108</v>
      </c>
      <c r="AD119" s="207">
        <f t="shared" si="25"/>
        <v>3.2487648246505428E-2</v>
      </c>
      <c r="AE119" s="213">
        <f t="shared" si="44"/>
        <v>2.1383946738244362</v>
      </c>
      <c r="AF119" s="10">
        <f t="shared" si="26"/>
        <v>0</v>
      </c>
      <c r="AG119" s="214"/>
      <c r="AH119" s="214">
        <v>4.4999999999999998E-2</v>
      </c>
      <c r="AI119" s="181"/>
      <c r="AJ119" s="214"/>
      <c r="AK119" s="214"/>
      <c r="AL119" s="214"/>
      <c r="AM119" s="10"/>
      <c r="AN119" s="10"/>
    </row>
    <row r="120" spans="1:40" ht="12.75" customHeight="1">
      <c r="A120" s="201">
        <v>111</v>
      </c>
      <c r="B120" s="201" t="s">
        <v>1377</v>
      </c>
      <c r="C120" s="202">
        <v>601538100</v>
      </c>
      <c r="D120" s="202">
        <f t="shared" si="27"/>
        <v>2135213.4342929181</v>
      </c>
      <c r="E120" s="202">
        <v>189518000</v>
      </c>
      <c r="F120" s="202">
        <f t="shared" si="45"/>
        <v>2700234.019363035</v>
      </c>
      <c r="G120" s="202">
        <f t="shared" si="28"/>
        <v>4835447</v>
      </c>
      <c r="H120" s="203">
        <f t="shared" si="29"/>
        <v>7879885.2528183814</v>
      </c>
      <c r="I120" s="204">
        <f t="shared" si="30"/>
        <v>6500905</v>
      </c>
      <c r="J120" s="204">
        <f t="shared" si="31"/>
        <v>4835447</v>
      </c>
      <c r="K120" s="198">
        <f t="shared" si="32"/>
        <v>61.36</v>
      </c>
      <c r="L120" s="205"/>
      <c r="M120" s="206">
        <v>4952757</v>
      </c>
      <c r="N120" s="207">
        <f t="shared" si="33"/>
        <v>2.8799999999999999E-2</v>
      </c>
      <c r="O120" s="204">
        <f t="shared" si="34"/>
        <v>5095396</v>
      </c>
      <c r="P120" s="208">
        <f t="shared" si="35"/>
        <v>64.663327402864667</v>
      </c>
      <c r="Q120" s="208">
        <f t="shared" si="36"/>
        <v>0</v>
      </c>
      <c r="R120" s="209">
        <f t="shared" si="37"/>
        <v>0</v>
      </c>
      <c r="S120" s="204">
        <f t="shared" si="38"/>
        <v>0</v>
      </c>
      <c r="T120" s="210">
        <f t="shared" si="39"/>
        <v>259949</v>
      </c>
      <c r="U120" s="210">
        <f t="shared" si="23"/>
        <v>220956.65</v>
      </c>
      <c r="V120" s="203">
        <f>MIN(H120*parameters!C$22,ROUND(O120+S120-U120,0))</f>
        <v>4874439</v>
      </c>
      <c r="W120" s="211">
        <f t="shared" si="40"/>
        <v>61.859263727940331</v>
      </c>
      <c r="X120" s="208"/>
      <c r="Y120" s="212">
        <f t="shared" si="41"/>
        <v>0</v>
      </c>
      <c r="Z120" s="212">
        <f t="shared" si="24"/>
        <v>0</v>
      </c>
      <c r="AA120" s="212">
        <f t="shared" si="42"/>
        <v>38992</v>
      </c>
      <c r="AB120" s="68">
        <f t="shared" si="43"/>
        <v>0.49926372794033114</v>
      </c>
      <c r="AD120" s="207">
        <f t="shared" si="25"/>
        <v>5.3759042338795152E-2</v>
      </c>
      <c r="AE120" s="213">
        <f t="shared" si="44"/>
        <v>3.3033274028646673</v>
      </c>
      <c r="AF120" s="10">
        <f t="shared" si="26"/>
        <v>0</v>
      </c>
      <c r="AG120" s="214"/>
      <c r="AH120" s="214">
        <v>2.8799999999999999E-2</v>
      </c>
      <c r="AI120" s="181"/>
      <c r="AJ120" s="214"/>
      <c r="AK120" s="214"/>
      <c r="AL120" s="214"/>
      <c r="AM120" s="10"/>
      <c r="AN120" s="10"/>
    </row>
    <row r="121" spans="1:40" ht="12.75" customHeight="1">
      <c r="A121" s="201">
        <v>112</v>
      </c>
      <c r="B121" s="201" t="s">
        <v>1378</v>
      </c>
      <c r="C121" s="202">
        <v>199372400</v>
      </c>
      <c r="D121" s="202">
        <f t="shared" si="27"/>
        <v>707690.21431430755</v>
      </c>
      <c r="E121" s="202">
        <v>51072000</v>
      </c>
      <c r="F121" s="202">
        <f t="shared" si="45"/>
        <v>727668.88547213946</v>
      </c>
      <c r="G121" s="202">
        <f t="shared" si="28"/>
        <v>1435359</v>
      </c>
      <c r="H121" s="203">
        <f t="shared" si="29"/>
        <v>1936323.8077146141</v>
      </c>
      <c r="I121" s="204">
        <f t="shared" si="30"/>
        <v>1597467</v>
      </c>
      <c r="J121" s="204">
        <f t="shared" si="31"/>
        <v>1435359</v>
      </c>
      <c r="K121" s="198">
        <f t="shared" si="32"/>
        <v>74.13</v>
      </c>
      <c r="L121" s="205"/>
      <c r="M121" s="206">
        <v>1483733</v>
      </c>
      <c r="N121" s="207">
        <f t="shared" si="33"/>
        <v>2.63E-2</v>
      </c>
      <c r="O121" s="204">
        <f t="shared" si="34"/>
        <v>1522755</v>
      </c>
      <c r="P121" s="208">
        <f t="shared" si="35"/>
        <v>78.641547138609155</v>
      </c>
      <c r="Q121" s="208">
        <f t="shared" si="36"/>
        <v>0</v>
      </c>
      <c r="R121" s="209">
        <f t="shared" si="37"/>
        <v>0</v>
      </c>
      <c r="S121" s="204">
        <f t="shared" si="38"/>
        <v>0</v>
      </c>
      <c r="T121" s="210">
        <f t="shared" si="39"/>
        <v>87396</v>
      </c>
      <c r="U121" s="210">
        <f t="shared" si="23"/>
        <v>74286.599999999991</v>
      </c>
      <c r="V121" s="203">
        <f>MIN(H121*parameters!C$22,ROUND(O121+S121-U121,0))</f>
        <v>1448468</v>
      </c>
      <c r="W121" s="211">
        <f t="shared" si="40"/>
        <v>74.80505038615334</v>
      </c>
      <c r="X121" s="208"/>
      <c r="Y121" s="212">
        <f t="shared" si="41"/>
        <v>0</v>
      </c>
      <c r="Z121" s="212">
        <f t="shared" si="24"/>
        <v>0</v>
      </c>
      <c r="AA121" s="212">
        <f t="shared" si="42"/>
        <v>13109</v>
      </c>
      <c r="AB121" s="68">
        <f t="shared" si="43"/>
        <v>0.67505038615334456</v>
      </c>
      <c r="AD121" s="207">
        <f t="shared" si="25"/>
        <v>6.0887903305026823E-2</v>
      </c>
      <c r="AE121" s="213">
        <f t="shared" si="44"/>
        <v>4.5115471386091599</v>
      </c>
      <c r="AF121" s="10">
        <f t="shared" si="26"/>
        <v>0</v>
      </c>
      <c r="AG121" s="214"/>
      <c r="AH121" s="214">
        <v>2.63E-2</v>
      </c>
      <c r="AI121" s="181"/>
      <c r="AJ121" s="214"/>
      <c r="AK121" s="214"/>
      <c r="AL121" s="214"/>
      <c r="AM121" s="10"/>
      <c r="AN121" s="10"/>
    </row>
    <row r="122" spans="1:40" ht="12.75" customHeight="1">
      <c r="A122" s="201">
        <v>113</v>
      </c>
      <c r="B122" s="201" t="s">
        <v>1379</v>
      </c>
      <c r="C122" s="202">
        <v>1430331200</v>
      </c>
      <c r="D122" s="202">
        <f t="shared" si="27"/>
        <v>5077088.8722232403</v>
      </c>
      <c r="E122" s="202">
        <v>278270000</v>
      </c>
      <c r="F122" s="202">
        <f t="shared" si="45"/>
        <v>3964763.8776694131</v>
      </c>
      <c r="G122" s="202">
        <f t="shared" si="28"/>
        <v>9041853</v>
      </c>
      <c r="H122" s="203">
        <f t="shared" si="29"/>
        <v>8362503.402399309</v>
      </c>
      <c r="I122" s="204">
        <f t="shared" si="30"/>
        <v>6899065</v>
      </c>
      <c r="J122" s="204">
        <f t="shared" si="31"/>
        <v>6899065</v>
      </c>
      <c r="K122" s="198">
        <f t="shared" si="32"/>
        <v>82.5</v>
      </c>
      <c r="L122" s="205"/>
      <c r="M122" s="206">
        <v>6739149</v>
      </c>
      <c r="N122" s="207">
        <f t="shared" si="33"/>
        <v>4.0399999999999998E-2</v>
      </c>
      <c r="O122" s="204">
        <f t="shared" si="34"/>
        <v>7011411</v>
      </c>
      <c r="P122" s="208">
        <f t="shared" si="35"/>
        <v>83.843445707757041</v>
      </c>
      <c r="Q122" s="208">
        <f t="shared" si="36"/>
        <v>0</v>
      </c>
      <c r="R122" s="209">
        <f t="shared" si="37"/>
        <v>0</v>
      </c>
      <c r="S122" s="204">
        <f t="shared" si="38"/>
        <v>0</v>
      </c>
      <c r="T122" s="210">
        <f t="shared" si="39"/>
        <v>112346</v>
      </c>
      <c r="U122" s="210">
        <f t="shared" si="23"/>
        <v>95494.099999999991</v>
      </c>
      <c r="V122" s="203">
        <f>MIN(H122*parameters!C$22,ROUND(O122+S122-U122,0))</f>
        <v>6915917</v>
      </c>
      <c r="W122" s="211">
        <f t="shared" si="40"/>
        <v>82.701514931709738</v>
      </c>
      <c r="X122" s="208"/>
      <c r="Y122" s="212">
        <f t="shared" si="41"/>
        <v>0</v>
      </c>
      <c r="Z122" s="212">
        <f t="shared" si="24"/>
        <v>0</v>
      </c>
      <c r="AA122" s="212">
        <f t="shared" si="42"/>
        <v>16852</v>
      </c>
      <c r="AB122" s="68">
        <f t="shared" si="43"/>
        <v>0.20151493170973822</v>
      </c>
      <c r="AD122" s="207">
        <f t="shared" si="25"/>
        <v>1.6284235617435115E-2</v>
      </c>
      <c r="AE122" s="213">
        <f t="shared" si="44"/>
        <v>1.3434457077570414</v>
      </c>
      <c r="AF122" s="10">
        <f t="shared" si="26"/>
        <v>0</v>
      </c>
      <c r="AG122" s="214"/>
      <c r="AH122" s="214">
        <v>4.0399999999999998E-2</v>
      </c>
      <c r="AI122" s="181"/>
      <c r="AJ122" s="214"/>
      <c r="AK122" s="214"/>
      <c r="AL122" s="214"/>
      <c r="AM122" s="10"/>
      <c r="AN122" s="10"/>
    </row>
    <row r="123" spans="1:40" ht="12.75" customHeight="1">
      <c r="A123" s="201">
        <v>114</v>
      </c>
      <c r="B123" s="201" t="s">
        <v>1380</v>
      </c>
      <c r="C123" s="202">
        <v>1421720500</v>
      </c>
      <c r="D123" s="202">
        <f t="shared" si="27"/>
        <v>5046524.420331222</v>
      </c>
      <c r="E123" s="202">
        <v>373311000</v>
      </c>
      <c r="F123" s="202">
        <f t="shared" si="45"/>
        <v>5318898.7959055817</v>
      </c>
      <c r="G123" s="202">
        <f t="shared" si="28"/>
        <v>10365423</v>
      </c>
      <c r="H123" s="203">
        <f t="shared" si="29"/>
        <v>22614243.378859032</v>
      </c>
      <c r="I123" s="204">
        <f t="shared" si="30"/>
        <v>18656751</v>
      </c>
      <c r="J123" s="204">
        <f t="shared" si="31"/>
        <v>10365423</v>
      </c>
      <c r="K123" s="198">
        <f t="shared" si="32"/>
        <v>45.84</v>
      </c>
      <c r="L123" s="205"/>
      <c r="M123" s="206">
        <v>10452665</v>
      </c>
      <c r="N123" s="207">
        <f t="shared" si="33"/>
        <v>3.8300000000000001E-2</v>
      </c>
      <c r="O123" s="204">
        <f t="shared" si="34"/>
        <v>10853002</v>
      </c>
      <c r="P123" s="208">
        <f t="shared" si="35"/>
        <v>47.991886432715894</v>
      </c>
      <c r="Q123" s="208">
        <f t="shared" si="36"/>
        <v>0</v>
      </c>
      <c r="R123" s="209">
        <f t="shared" si="37"/>
        <v>0</v>
      </c>
      <c r="S123" s="204">
        <f t="shared" si="38"/>
        <v>0</v>
      </c>
      <c r="T123" s="210">
        <f t="shared" si="39"/>
        <v>487579</v>
      </c>
      <c r="U123" s="210">
        <f t="shared" si="23"/>
        <v>414442.14999999997</v>
      </c>
      <c r="V123" s="203">
        <f>MIN(H123*parameters!C$22,ROUND(O123+S123-U123,0))</f>
        <v>10438560</v>
      </c>
      <c r="W123" s="211">
        <f t="shared" si="40"/>
        <v>46.15922728486467</v>
      </c>
      <c r="X123" s="208"/>
      <c r="Y123" s="212">
        <f t="shared" si="41"/>
        <v>0</v>
      </c>
      <c r="Z123" s="212">
        <f t="shared" si="24"/>
        <v>0</v>
      </c>
      <c r="AA123" s="212">
        <f t="shared" si="42"/>
        <v>73137</v>
      </c>
      <c r="AB123" s="68">
        <f t="shared" si="43"/>
        <v>0.31922728486466667</v>
      </c>
      <c r="AD123" s="207">
        <f t="shared" si="25"/>
        <v>4.7038987217405404E-2</v>
      </c>
      <c r="AE123" s="213">
        <f t="shared" si="44"/>
        <v>2.1518864327158909</v>
      </c>
      <c r="AF123" s="10">
        <f t="shared" si="26"/>
        <v>0</v>
      </c>
      <c r="AG123" s="214"/>
      <c r="AH123" s="214">
        <v>3.8300000000000001E-2</v>
      </c>
      <c r="AI123" s="181"/>
      <c r="AJ123" s="214"/>
      <c r="AK123" s="214"/>
      <c r="AL123" s="214"/>
      <c r="AM123" s="10"/>
      <c r="AN123" s="10"/>
    </row>
    <row r="124" spans="1:40" ht="12.75" customHeight="1">
      <c r="A124" s="201">
        <v>115</v>
      </c>
      <c r="B124" s="201" t="s">
        <v>1381</v>
      </c>
      <c r="C124" s="202">
        <v>1635643200</v>
      </c>
      <c r="D124" s="202">
        <f t="shared" si="27"/>
        <v>5805862.229424634</v>
      </c>
      <c r="E124" s="202">
        <v>741249000</v>
      </c>
      <c r="F124" s="202">
        <f t="shared" si="45"/>
        <v>10561243.61073265</v>
      </c>
      <c r="G124" s="202">
        <f t="shared" si="28"/>
        <v>16367106</v>
      </c>
      <c r="H124" s="203">
        <f t="shared" si="29"/>
        <v>17869967.44556538</v>
      </c>
      <c r="I124" s="204">
        <f t="shared" si="30"/>
        <v>14742723</v>
      </c>
      <c r="J124" s="204">
        <f t="shared" si="31"/>
        <v>14742723</v>
      </c>
      <c r="K124" s="198">
        <f t="shared" si="32"/>
        <v>82.5</v>
      </c>
      <c r="L124" s="205"/>
      <c r="M124" s="206">
        <v>14766417</v>
      </c>
      <c r="N124" s="207">
        <f t="shared" si="33"/>
        <v>4.0399999999999998E-2</v>
      </c>
      <c r="O124" s="204">
        <f t="shared" si="34"/>
        <v>15362980</v>
      </c>
      <c r="P124" s="208">
        <f t="shared" si="35"/>
        <v>85.970945648322854</v>
      </c>
      <c r="Q124" s="208">
        <f t="shared" si="36"/>
        <v>0</v>
      </c>
      <c r="R124" s="209">
        <f t="shared" si="37"/>
        <v>0</v>
      </c>
      <c r="S124" s="204">
        <f t="shared" si="38"/>
        <v>0</v>
      </c>
      <c r="T124" s="210">
        <f t="shared" si="39"/>
        <v>620257</v>
      </c>
      <c r="U124" s="210">
        <f t="shared" si="23"/>
        <v>527218.44999999995</v>
      </c>
      <c r="V124" s="203">
        <f>MIN(H124*parameters!C$22,ROUND(O124+S124-U124,0))</f>
        <v>14835762</v>
      </c>
      <c r="W124" s="211">
        <f t="shared" si="40"/>
        <v>83.020643687191779</v>
      </c>
      <c r="X124" s="208"/>
      <c r="Y124" s="212">
        <f t="shared" si="41"/>
        <v>0</v>
      </c>
      <c r="Z124" s="212">
        <f t="shared" si="24"/>
        <v>0</v>
      </c>
      <c r="AA124" s="212">
        <f t="shared" si="42"/>
        <v>93039</v>
      </c>
      <c r="AB124" s="68">
        <f t="shared" si="43"/>
        <v>0.52064368719177878</v>
      </c>
      <c r="AD124" s="207">
        <f t="shared" si="25"/>
        <v>4.2072078543427829E-2</v>
      </c>
      <c r="AE124" s="213">
        <f t="shared" si="44"/>
        <v>3.4709456483228536</v>
      </c>
      <c r="AF124" s="10">
        <f t="shared" si="26"/>
        <v>0</v>
      </c>
      <c r="AG124" s="214"/>
      <c r="AH124" s="214">
        <v>4.0399999999999998E-2</v>
      </c>
      <c r="AI124" s="181"/>
      <c r="AJ124" s="214"/>
      <c r="AK124" s="214"/>
      <c r="AL124" s="214"/>
      <c r="AM124" s="10"/>
      <c r="AN124" s="10"/>
    </row>
    <row r="125" spans="1:40" ht="12.75" customHeight="1">
      <c r="A125" s="201">
        <v>116</v>
      </c>
      <c r="B125" s="201" t="s">
        <v>1382</v>
      </c>
      <c r="C125" s="202">
        <v>892145100</v>
      </c>
      <c r="D125" s="202">
        <f t="shared" si="27"/>
        <v>3166749.0435910858</v>
      </c>
      <c r="E125" s="202">
        <v>251257000</v>
      </c>
      <c r="F125" s="202">
        <f t="shared" si="45"/>
        <v>3579885.2826807909</v>
      </c>
      <c r="G125" s="202">
        <f t="shared" si="28"/>
        <v>6746634</v>
      </c>
      <c r="H125" s="203">
        <f t="shared" si="29"/>
        <v>10006898.211617168</v>
      </c>
      <c r="I125" s="204">
        <f t="shared" si="30"/>
        <v>8255691</v>
      </c>
      <c r="J125" s="204">
        <f t="shared" si="31"/>
        <v>6746634</v>
      </c>
      <c r="K125" s="198">
        <f t="shared" si="32"/>
        <v>67.42</v>
      </c>
      <c r="L125" s="205"/>
      <c r="M125" s="206">
        <v>6610718</v>
      </c>
      <c r="N125" s="207">
        <f t="shared" si="33"/>
        <v>4.2500000000000003E-2</v>
      </c>
      <c r="O125" s="204">
        <f t="shared" si="34"/>
        <v>6891674</v>
      </c>
      <c r="P125" s="208">
        <f t="shared" si="35"/>
        <v>68.869232545998571</v>
      </c>
      <c r="Q125" s="208">
        <f t="shared" si="36"/>
        <v>0</v>
      </c>
      <c r="R125" s="209">
        <f t="shared" si="37"/>
        <v>0</v>
      </c>
      <c r="S125" s="204">
        <f t="shared" si="38"/>
        <v>0</v>
      </c>
      <c r="T125" s="210">
        <f t="shared" si="39"/>
        <v>145040</v>
      </c>
      <c r="U125" s="210">
        <f t="shared" si="23"/>
        <v>123284</v>
      </c>
      <c r="V125" s="203">
        <f>MIN(H125*parameters!C$22,ROUND(O125+S125-U125,0))</f>
        <v>6768390</v>
      </c>
      <c r="W125" s="211">
        <f t="shared" si="40"/>
        <v>67.637242398873084</v>
      </c>
      <c r="X125" s="208"/>
      <c r="Y125" s="212">
        <f t="shared" si="41"/>
        <v>0</v>
      </c>
      <c r="Z125" s="212">
        <f t="shared" si="24"/>
        <v>0</v>
      </c>
      <c r="AA125" s="212">
        <f t="shared" si="42"/>
        <v>21756</v>
      </c>
      <c r="AB125" s="68">
        <f t="shared" si="43"/>
        <v>0.21724239887308272</v>
      </c>
      <c r="AD125" s="207">
        <f t="shared" si="25"/>
        <v>2.1498127807140568E-2</v>
      </c>
      <c r="AE125" s="213">
        <f t="shared" si="44"/>
        <v>1.4492325459985693</v>
      </c>
      <c r="AF125" s="10">
        <f t="shared" si="26"/>
        <v>0</v>
      </c>
      <c r="AG125" s="214"/>
      <c r="AH125" s="214">
        <v>4.2500000000000003E-2</v>
      </c>
      <c r="AI125" s="181"/>
      <c r="AJ125" s="214"/>
      <c r="AK125" s="214"/>
      <c r="AL125" s="214"/>
      <c r="AM125" s="10"/>
      <c r="AN125" s="10"/>
    </row>
    <row r="126" spans="1:40" ht="12.75" customHeight="1">
      <c r="A126" s="201">
        <v>117</v>
      </c>
      <c r="B126" s="201" t="s">
        <v>1383</v>
      </c>
      <c r="C126" s="202">
        <v>995766700</v>
      </c>
      <c r="D126" s="202">
        <f t="shared" si="27"/>
        <v>3534563.205990653</v>
      </c>
      <c r="E126" s="202">
        <v>157036000</v>
      </c>
      <c r="F126" s="202">
        <f t="shared" si="45"/>
        <v>2237433.644638998</v>
      </c>
      <c r="G126" s="202">
        <f t="shared" si="28"/>
        <v>5771997</v>
      </c>
      <c r="H126" s="203">
        <f t="shared" si="29"/>
        <v>5654945.3746561082</v>
      </c>
      <c r="I126" s="204">
        <f t="shared" si="30"/>
        <v>4665330</v>
      </c>
      <c r="J126" s="204">
        <f t="shared" si="31"/>
        <v>4665330</v>
      </c>
      <c r="K126" s="198">
        <f t="shared" si="32"/>
        <v>82.5</v>
      </c>
      <c r="L126" s="205"/>
      <c r="M126" s="206">
        <v>4888340</v>
      </c>
      <c r="N126" s="207">
        <f t="shared" si="33"/>
        <v>3.5000000000000003E-2</v>
      </c>
      <c r="O126" s="204">
        <f t="shared" si="34"/>
        <v>5059432</v>
      </c>
      <c r="P126" s="208">
        <f t="shared" si="35"/>
        <v>89.469157786651067</v>
      </c>
      <c r="Q126" s="208">
        <f t="shared" si="36"/>
        <v>0</v>
      </c>
      <c r="R126" s="209">
        <f t="shared" si="37"/>
        <v>0</v>
      </c>
      <c r="S126" s="204">
        <f t="shared" si="38"/>
        <v>0</v>
      </c>
      <c r="T126" s="210">
        <f t="shared" si="39"/>
        <v>394102</v>
      </c>
      <c r="U126" s="210">
        <f t="shared" si="23"/>
        <v>334986.7</v>
      </c>
      <c r="V126" s="203">
        <f>MIN(H126*parameters!C$22,ROUND(O126+S126-U126,0))</f>
        <v>4724445</v>
      </c>
      <c r="W126" s="211">
        <f t="shared" si="40"/>
        <v>83.54536935358648</v>
      </c>
      <c r="X126" s="208"/>
      <c r="Y126" s="212">
        <f t="shared" si="41"/>
        <v>0</v>
      </c>
      <c r="Z126" s="212">
        <f t="shared" si="24"/>
        <v>0</v>
      </c>
      <c r="AA126" s="212">
        <f t="shared" si="42"/>
        <v>59115</v>
      </c>
      <c r="AB126" s="68">
        <f t="shared" si="43"/>
        <v>1.0453693535864801</v>
      </c>
      <c r="AD126" s="207">
        <f t="shared" si="25"/>
        <v>8.4474624517451066E-2</v>
      </c>
      <c r="AE126" s="213">
        <f t="shared" si="44"/>
        <v>6.969157786651067</v>
      </c>
      <c r="AF126" s="10">
        <f t="shared" si="26"/>
        <v>0</v>
      </c>
      <c r="AG126" s="214"/>
      <c r="AH126" s="214">
        <v>3.5000000000000003E-2</v>
      </c>
      <c r="AI126" s="181"/>
      <c r="AJ126" s="214"/>
      <c r="AK126" s="214"/>
      <c r="AL126" s="214"/>
      <c r="AM126" s="10"/>
      <c r="AN126" s="10"/>
    </row>
    <row r="127" spans="1:40" ht="12.75" customHeight="1">
      <c r="A127" s="201">
        <v>118</v>
      </c>
      <c r="B127" s="201" t="s">
        <v>1384</v>
      </c>
      <c r="C127" s="202">
        <v>842935900</v>
      </c>
      <c r="D127" s="202">
        <f t="shared" si="27"/>
        <v>2992076.5749131963</v>
      </c>
      <c r="E127" s="202">
        <v>247037000</v>
      </c>
      <c r="F127" s="202">
        <f t="shared" si="45"/>
        <v>3519759.1333877845</v>
      </c>
      <c r="G127" s="202">
        <f t="shared" si="28"/>
        <v>6511836</v>
      </c>
      <c r="H127" s="203">
        <f t="shared" si="29"/>
        <v>12447674.145083375</v>
      </c>
      <c r="I127" s="204">
        <f t="shared" si="30"/>
        <v>10269331</v>
      </c>
      <c r="J127" s="204">
        <f t="shared" si="31"/>
        <v>6511836</v>
      </c>
      <c r="K127" s="198">
        <f t="shared" si="32"/>
        <v>52.31</v>
      </c>
      <c r="L127" s="205"/>
      <c r="M127" s="206">
        <v>6441496</v>
      </c>
      <c r="N127" s="207">
        <f t="shared" si="33"/>
        <v>3.2800000000000003E-2</v>
      </c>
      <c r="O127" s="204">
        <f t="shared" si="34"/>
        <v>6652777</v>
      </c>
      <c r="P127" s="208">
        <f t="shared" si="35"/>
        <v>53.445944378514575</v>
      </c>
      <c r="Q127" s="208">
        <f t="shared" si="36"/>
        <v>0</v>
      </c>
      <c r="R127" s="209">
        <f t="shared" si="37"/>
        <v>0</v>
      </c>
      <c r="S127" s="204">
        <f t="shared" si="38"/>
        <v>0</v>
      </c>
      <c r="T127" s="210">
        <f t="shared" si="39"/>
        <v>140941</v>
      </c>
      <c r="U127" s="210">
        <f t="shared" si="23"/>
        <v>119799.84999999999</v>
      </c>
      <c r="V127" s="203">
        <f>MIN(H127*parameters!C$22,ROUND(O127+S127-U127,0))</f>
        <v>6532977</v>
      </c>
      <c r="W127" s="211">
        <f t="shared" si="40"/>
        <v>52.483515585764408</v>
      </c>
      <c r="X127" s="208"/>
      <c r="Y127" s="212">
        <f t="shared" si="41"/>
        <v>0</v>
      </c>
      <c r="Z127" s="212">
        <f t="shared" si="24"/>
        <v>0</v>
      </c>
      <c r="AA127" s="212">
        <f t="shared" si="42"/>
        <v>21141</v>
      </c>
      <c r="AB127" s="68">
        <f t="shared" si="43"/>
        <v>0.17351558576440596</v>
      </c>
      <c r="AD127" s="207">
        <f t="shared" si="25"/>
        <v>2.164381903966869E-2</v>
      </c>
      <c r="AE127" s="213">
        <f t="shared" si="44"/>
        <v>1.1359443785145729</v>
      </c>
      <c r="AF127" s="10">
        <f t="shared" si="26"/>
        <v>0</v>
      </c>
      <c r="AG127" s="214"/>
      <c r="AH127" s="214">
        <v>3.2800000000000003E-2</v>
      </c>
      <c r="AI127" s="181"/>
      <c r="AJ127" s="214"/>
      <c r="AK127" s="214"/>
      <c r="AL127" s="214"/>
      <c r="AM127" s="10"/>
      <c r="AN127" s="10"/>
    </row>
    <row r="128" spans="1:40" ht="12.75" customHeight="1">
      <c r="A128" s="201">
        <v>119</v>
      </c>
      <c r="B128" s="201" t="s">
        <v>1385</v>
      </c>
      <c r="C128" s="202">
        <v>1461991200</v>
      </c>
      <c r="D128" s="202">
        <f t="shared" si="27"/>
        <v>5189468.8816186776</v>
      </c>
      <c r="E128" s="202">
        <v>537794000</v>
      </c>
      <c r="F128" s="202">
        <f t="shared" si="45"/>
        <v>7662436.5717732571</v>
      </c>
      <c r="G128" s="202">
        <f t="shared" si="28"/>
        <v>12851905</v>
      </c>
      <c r="H128" s="203">
        <f t="shared" si="29"/>
        <v>10995815.480778432</v>
      </c>
      <c r="I128" s="204">
        <f t="shared" si="30"/>
        <v>9071548</v>
      </c>
      <c r="J128" s="204">
        <f t="shared" si="31"/>
        <v>9071548</v>
      </c>
      <c r="K128" s="198">
        <f t="shared" si="32"/>
        <v>82.5</v>
      </c>
      <c r="L128" s="205"/>
      <c r="M128" s="206">
        <v>9264211</v>
      </c>
      <c r="N128" s="207">
        <f t="shared" si="33"/>
        <v>4.0599999999999997E-2</v>
      </c>
      <c r="O128" s="204">
        <f t="shared" si="34"/>
        <v>9640338</v>
      </c>
      <c r="P128" s="208">
        <f t="shared" si="35"/>
        <v>87.672788042433822</v>
      </c>
      <c r="Q128" s="208">
        <f t="shared" si="36"/>
        <v>0</v>
      </c>
      <c r="R128" s="209">
        <f t="shared" si="37"/>
        <v>0</v>
      </c>
      <c r="S128" s="204">
        <f t="shared" si="38"/>
        <v>0</v>
      </c>
      <c r="T128" s="210">
        <f t="shared" si="39"/>
        <v>568790</v>
      </c>
      <c r="U128" s="210">
        <f t="shared" si="23"/>
        <v>483471.5</v>
      </c>
      <c r="V128" s="203">
        <f>MIN(H128*parameters!C$22,ROUND(O128+S128-U128,0))</f>
        <v>9156867</v>
      </c>
      <c r="W128" s="211">
        <f t="shared" si="40"/>
        <v>83.27592451880389</v>
      </c>
      <c r="X128" s="208"/>
      <c r="Y128" s="212">
        <f t="shared" si="41"/>
        <v>0</v>
      </c>
      <c r="Z128" s="212">
        <f t="shared" si="24"/>
        <v>0</v>
      </c>
      <c r="AA128" s="212">
        <f t="shared" si="42"/>
        <v>85319</v>
      </c>
      <c r="AB128" s="68">
        <f t="shared" si="43"/>
        <v>0.77592451880389035</v>
      </c>
      <c r="AD128" s="207">
        <f t="shared" si="25"/>
        <v>6.2700434369084526E-2</v>
      </c>
      <c r="AE128" s="213">
        <f t="shared" si="44"/>
        <v>5.1727880424338224</v>
      </c>
      <c r="AF128" s="10">
        <f t="shared" si="26"/>
        <v>0</v>
      </c>
      <c r="AG128" s="214"/>
      <c r="AH128" s="214">
        <v>4.0599999999999997E-2</v>
      </c>
      <c r="AI128" s="181"/>
      <c r="AJ128" s="214"/>
      <c r="AK128" s="214"/>
      <c r="AL128" s="214"/>
      <c r="AM128" s="10"/>
      <c r="AN128" s="10"/>
    </row>
    <row r="129" spans="1:40" ht="12.75" customHeight="1">
      <c r="A129" s="201">
        <v>120</v>
      </c>
      <c r="B129" s="201" t="s">
        <v>1386</v>
      </c>
      <c r="C129" s="202">
        <v>592716700</v>
      </c>
      <c r="D129" s="202">
        <f t="shared" si="27"/>
        <v>2103901.0838544811</v>
      </c>
      <c r="E129" s="202">
        <v>222249000</v>
      </c>
      <c r="F129" s="202">
        <f t="shared" si="45"/>
        <v>3166582.1218534135</v>
      </c>
      <c r="G129" s="202">
        <f t="shared" si="28"/>
        <v>5270483</v>
      </c>
      <c r="H129" s="203">
        <f t="shared" si="29"/>
        <v>6987783.7096305136</v>
      </c>
      <c r="I129" s="204">
        <f t="shared" si="30"/>
        <v>5764922</v>
      </c>
      <c r="J129" s="204">
        <f t="shared" si="31"/>
        <v>5270483</v>
      </c>
      <c r="K129" s="198">
        <f t="shared" si="32"/>
        <v>75.42</v>
      </c>
      <c r="L129" s="205"/>
      <c r="M129" s="206">
        <v>5173441</v>
      </c>
      <c r="N129" s="207">
        <f t="shared" si="33"/>
        <v>3.6600000000000001E-2</v>
      </c>
      <c r="O129" s="204">
        <f t="shared" si="34"/>
        <v>5362789</v>
      </c>
      <c r="P129" s="208">
        <f t="shared" si="35"/>
        <v>76.74520596006775</v>
      </c>
      <c r="Q129" s="208">
        <f t="shared" si="36"/>
        <v>0</v>
      </c>
      <c r="R129" s="209">
        <f t="shared" si="37"/>
        <v>0</v>
      </c>
      <c r="S129" s="204">
        <f t="shared" si="38"/>
        <v>0</v>
      </c>
      <c r="T129" s="210">
        <f t="shared" si="39"/>
        <v>92306</v>
      </c>
      <c r="U129" s="210">
        <f t="shared" si="23"/>
        <v>78460.099999999991</v>
      </c>
      <c r="V129" s="203">
        <f>MIN(H129*parameters!C$22,ROUND(O129+S129-U129,0))</f>
        <v>5284329</v>
      </c>
      <c r="W129" s="211">
        <f t="shared" si="40"/>
        <v>75.62238929515199</v>
      </c>
      <c r="X129" s="208"/>
      <c r="Y129" s="212">
        <f t="shared" si="41"/>
        <v>0</v>
      </c>
      <c r="Z129" s="212">
        <f t="shared" si="24"/>
        <v>0</v>
      </c>
      <c r="AA129" s="212">
        <f t="shared" si="42"/>
        <v>13846</v>
      </c>
      <c r="AB129" s="68">
        <f t="shared" si="43"/>
        <v>0.20238929515198834</v>
      </c>
      <c r="AD129" s="207">
        <f t="shared" si="25"/>
        <v>1.7513764867470402E-2</v>
      </c>
      <c r="AE129" s="213">
        <f t="shared" si="44"/>
        <v>1.3252059600677484</v>
      </c>
      <c r="AF129" s="10">
        <f t="shared" si="26"/>
        <v>0</v>
      </c>
      <c r="AG129" s="214"/>
      <c r="AH129" s="214">
        <v>3.6600000000000001E-2</v>
      </c>
      <c r="AI129" s="181"/>
      <c r="AJ129" s="214"/>
      <c r="AK129" s="214"/>
      <c r="AL129" s="214"/>
      <c r="AM129" s="10"/>
      <c r="AN129" s="10"/>
    </row>
    <row r="130" spans="1:40" ht="12.75" customHeight="1">
      <c r="A130" s="201">
        <v>121</v>
      </c>
      <c r="B130" s="201" t="s">
        <v>1387</v>
      </c>
      <c r="C130" s="202">
        <v>309488700</v>
      </c>
      <c r="D130" s="202">
        <f t="shared" si="27"/>
        <v>1098557.896834549</v>
      </c>
      <c r="E130" s="202">
        <v>8087000</v>
      </c>
      <c r="F130" s="202">
        <f t="shared" si="45"/>
        <v>115222.78894136105</v>
      </c>
      <c r="G130" s="202">
        <f t="shared" si="28"/>
        <v>1213781</v>
      </c>
      <c r="H130" s="203">
        <f t="shared" si="29"/>
        <v>672606.53356161958</v>
      </c>
      <c r="I130" s="204">
        <f t="shared" si="30"/>
        <v>554900</v>
      </c>
      <c r="J130" s="204">
        <f t="shared" si="31"/>
        <v>554900</v>
      </c>
      <c r="K130" s="198">
        <f t="shared" si="32"/>
        <v>82.5</v>
      </c>
      <c r="L130" s="205"/>
      <c r="M130" s="206">
        <v>604602</v>
      </c>
      <c r="N130" s="207">
        <f t="shared" si="33"/>
        <v>5.4999999999999997E-3</v>
      </c>
      <c r="O130" s="204">
        <f t="shared" si="34"/>
        <v>607927</v>
      </c>
      <c r="P130" s="208">
        <f t="shared" si="35"/>
        <v>90.383748843603215</v>
      </c>
      <c r="Q130" s="208">
        <f t="shared" si="36"/>
        <v>0</v>
      </c>
      <c r="R130" s="209">
        <f t="shared" si="37"/>
        <v>0</v>
      </c>
      <c r="S130" s="204">
        <f t="shared" si="38"/>
        <v>0</v>
      </c>
      <c r="T130" s="210">
        <f t="shared" si="39"/>
        <v>53027</v>
      </c>
      <c r="U130" s="210">
        <f t="shared" si="23"/>
        <v>45072.95</v>
      </c>
      <c r="V130" s="203">
        <f>MIN(H130*parameters!C$22,ROUND(O130+S130-U130,0))</f>
        <v>562854</v>
      </c>
      <c r="W130" s="211">
        <f t="shared" si="40"/>
        <v>83.682505583100351</v>
      </c>
      <c r="X130" s="208"/>
      <c r="Y130" s="212">
        <f t="shared" si="41"/>
        <v>0</v>
      </c>
      <c r="Z130" s="212">
        <f t="shared" si="24"/>
        <v>0</v>
      </c>
      <c r="AA130" s="212">
        <f t="shared" si="42"/>
        <v>7954</v>
      </c>
      <c r="AB130" s="68">
        <f t="shared" si="43"/>
        <v>1.182505583100351</v>
      </c>
      <c r="AD130" s="207">
        <f t="shared" si="25"/>
        <v>9.5561362407641015E-2</v>
      </c>
      <c r="AE130" s="213">
        <f t="shared" si="44"/>
        <v>7.8837488436032146</v>
      </c>
      <c r="AF130" s="10">
        <f t="shared" si="26"/>
        <v>0</v>
      </c>
      <c r="AG130" s="214"/>
      <c r="AH130" s="214">
        <v>5.4999999999999997E-3</v>
      </c>
      <c r="AI130" s="181"/>
      <c r="AJ130" s="214"/>
      <c r="AK130" s="214"/>
      <c r="AL130" s="214"/>
      <c r="AM130" s="10"/>
      <c r="AN130" s="10"/>
    </row>
    <row r="131" spans="1:40" ht="12.75" customHeight="1">
      <c r="A131" s="201">
        <v>122</v>
      </c>
      <c r="B131" s="201" t="s">
        <v>1388</v>
      </c>
      <c r="C131" s="202">
        <v>2595375300</v>
      </c>
      <c r="D131" s="202">
        <f t="shared" si="27"/>
        <v>9212517.3909882233</v>
      </c>
      <c r="E131" s="202">
        <v>748793000</v>
      </c>
      <c r="F131" s="202">
        <f t="shared" si="45"/>
        <v>10668729.788520906</v>
      </c>
      <c r="G131" s="202">
        <f t="shared" si="28"/>
        <v>19881247</v>
      </c>
      <c r="H131" s="203">
        <f t="shared" si="29"/>
        <v>25046731.947911408</v>
      </c>
      <c r="I131" s="204">
        <f t="shared" si="30"/>
        <v>20663554</v>
      </c>
      <c r="J131" s="204">
        <f t="shared" si="31"/>
        <v>19881247</v>
      </c>
      <c r="K131" s="198">
        <f t="shared" si="32"/>
        <v>79.38</v>
      </c>
      <c r="L131" s="205"/>
      <c r="M131" s="206">
        <v>18820833</v>
      </c>
      <c r="N131" s="207">
        <f t="shared" si="33"/>
        <v>4.2999999999999997E-2</v>
      </c>
      <c r="O131" s="204">
        <f t="shared" si="34"/>
        <v>19630129</v>
      </c>
      <c r="P131" s="208">
        <f t="shared" si="35"/>
        <v>78.374013187923765</v>
      </c>
      <c r="Q131" s="208">
        <f t="shared" si="36"/>
        <v>1.0059868120762303</v>
      </c>
      <c r="R131" s="209">
        <f t="shared" si="37"/>
        <v>0</v>
      </c>
      <c r="S131" s="204">
        <f t="shared" si="38"/>
        <v>0</v>
      </c>
      <c r="T131" s="210">
        <f t="shared" si="39"/>
        <v>0</v>
      </c>
      <c r="U131" s="210">
        <f t="shared" si="23"/>
        <v>0</v>
      </c>
      <c r="V131" s="203">
        <f>MIN(H131*parameters!C$22,ROUND(O131+S131-U131,0))</f>
        <v>19630129</v>
      </c>
      <c r="W131" s="211">
        <f t="shared" si="40"/>
        <v>78.374013187923765</v>
      </c>
      <c r="X131" s="208"/>
      <c r="Y131" s="212">
        <f t="shared" si="41"/>
        <v>-251118</v>
      </c>
      <c r="Z131" s="212">
        <f t="shared" si="24"/>
        <v>251118</v>
      </c>
      <c r="AA131" s="212">
        <f t="shared" si="42"/>
        <v>0</v>
      </c>
      <c r="AB131" s="68">
        <f t="shared" si="43"/>
        <v>-1.0059868120762303</v>
      </c>
      <c r="AD131" s="207">
        <f t="shared" si="25"/>
        <v>-1.263089785062275E-2</v>
      </c>
      <c r="AE131" s="213">
        <f t="shared" si="44"/>
        <v>-1.0059868120762303</v>
      </c>
      <c r="AF131" s="10">
        <f t="shared" si="26"/>
        <v>0</v>
      </c>
      <c r="AG131" s="214"/>
      <c r="AH131" s="214">
        <v>4.2999999999999997E-2</v>
      </c>
      <c r="AI131" s="181"/>
      <c r="AJ131" s="214"/>
      <c r="AK131" s="214"/>
      <c r="AL131" s="214"/>
      <c r="AM131" s="10"/>
      <c r="AN131" s="10"/>
    </row>
    <row r="132" spans="1:40" ht="12.75" customHeight="1">
      <c r="A132" s="201">
        <v>123</v>
      </c>
      <c r="B132" s="201" t="s">
        <v>1389</v>
      </c>
      <c r="C132" s="202">
        <v>1233299600</v>
      </c>
      <c r="D132" s="202">
        <f t="shared" si="27"/>
        <v>4377707.5374412397</v>
      </c>
      <c r="E132" s="202">
        <v>345002000</v>
      </c>
      <c r="F132" s="202">
        <f t="shared" si="45"/>
        <v>4915554.9190487759</v>
      </c>
      <c r="G132" s="202">
        <f t="shared" si="28"/>
        <v>9293262</v>
      </c>
      <c r="H132" s="203">
        <f t="shared" si="29"/>
        <v>16923697.815817576</v>
      </c>
      <c r="I132" s="204">
        <f t="shared" si="30"/>
        <v>13962051</v>
      </c>
      <c r="J132" s="204">
        <f t="shared" si="31"/>
        <v>9293262</v>
      </c>
      <c r="K132" s="198">
        <f t="shared" si="32"/>
        <v>54.91</v>
      </c>
      <c r="L132" s="205"/>
      <c r="M132" s="206">
        <v>8137026</v>
      </c>
      <c r="N132" s="207">
        <f t="shared" si="33"/>
        <v>4.590000000000001E-2</v>
      </c>
      <c r="O132" s="204">
        <f t="shared" si="34"/>
        <v>8510515</v>
      </c>
      <c r="P132" s="208">
        <f t="shared" si="35"/>
        <v>50.287561811968345</v>
      </c>
      <c r="Q132" s="208">
        <f t="shared" si="36"/>
        <v>4.6224381880316514</v>
      </c>
      <c r="R132" s="209">
        <f t="shared" si="37"/>
        <v>0.01</v>
      </c>
      <c r="S132" s="204">
        <f t="shared" si="38"/>
        <v>81370</v>
      </c>
      <c r="T132" s="210">
        <f t="shared" si="39"/>
        <v>0</v>
      </c>
      <c r="U132" s="210">
        <f t="shared" si="23"/>
        <v>0</v>
      </c>
      <c r="V132" s="203">
        <f>MIN(H132*parameters!C$22,ROUND(O132+S132-U132,0))</f>
        <v>8591885</v>
      </c>
      <c r="W132" s="211">
        <f t="shared" si="40"/>
        <v>50.768366898927226</v>
      </c>
      <c r="X132" s="208"/>
      <c r="Y132" s="212">
        <f t="shared" si="41"/>
        <v>-782747</v>
      </c>
      <c r="Z132" s="212">
        <f t="shared" si="24"/>
        <v>701377</v>
      </c>
      <c r="AA132" s="212">
        <f t="shared" si="42"/>
        <v>0</v>
      </c>
      <c r="AB132" s="68">
        <f t="shared" si="43"/>
        <v>-4.1416331010727703</v>
      </c>
      <c r="AD132" s="207">
        <f t="shared" si="25"/>
        <v>-8.4227368172768616E-2</v>
      </c>
      <c r="AE132" s="213">
        <f t="shared" si="44"/>
        <v>-4.6224381880316514</v>
      </c>
      <c r="AF132" s="10">
        <f t="shared" si="26"/>
        <v>81370.259999999995</v>
      </c>
      <c r="AG132" s="214"/>
      <c r="AH132" s="214">
        <v>4.590000000000001E-2</v>
      </c>
      <c r="AI132" s="181"/>
      <c r="AJ132" s="214"/>
      <c r="AK132" s="214"/>
      <c r="AL132" s="214"/>
      <c r="AM132" s="10"/>
      <c r="AN132" s="10"/>
    </row>
    <row r="133" spans="1:40" ht="12.75" customHeight="1">
      <c r="A133" s="201">
        <v>124</v>
      </c>
      <c r="B133" s="201" t="s">
        <v>1390</v>
      </c>
      <c r="C133" s="202">
        <v>235348800</v>
      </c>
      <c r="D133" s="202">
        <f t="shared" si="27"/>
        <v>835391.67262176261</v>
      </c>
      <c r="E133" s="202">
        <v>47423000</v>
      </c>
      <c r="F133" s="202">
        <f t="shared" si="45"/>
        <v>675678.28860716778</v>
      </c>
      <c r="G133" s="202">
        <f t="shared" si="28"/>
        <v>1511070</v>
      </c>
      <c r="H133" s="203">
        <f t="shared" si="29"/>
        <v>4198392.7780883657</v>
      </c>
      <c r="I133" s="204">
        <f t="shared" si="30"/>
        <v>3463674</v>
      </c>
      <c r="J133" s="204">
        <f t="shared" si="31"/>
        <v>1511070</v>
      </c>
      <c r="K133" s="198">
        <f t="shared" si="32"/>
        <v>35.99</v>
      </c>
      <c r="L133" s="205"/>
      <c r="M133" s="206">
        <v>1584324</v>
      </c>
      <c r="N133" s="207">
        <f t="shared" si="33"/>
        <v>0.03</v>
      </c>
      <c r="O133" s="204">
        <f t="shared" si="34"/>
        <v>1631854</v>
      </c>
      <c r="P133" s="208">
        <f t="shared" si="35"/>
        <v>38.868540564301952</v>
      </c>
      <c r="Q133" s="208">
        <f t="shared" si="36"/>
        <v>0</v>
      </c>
      <c r="R133" s="209">
        <f t="shared" si="37"/>
        <v>0</v>
      </c>
      <c r="S133" s="204">
        <f t="shared" si="38"/>
        <v>0</v>
      </c>
      <c r="T133" s="210">
        <f t="shared" si="39"/>
        <v>120784</v>
      </c>
      <c r="U133" s="210">
        <f t="shared" si="23"/>
        <v>102666.4</v>
      </c>
      <c r="V133" s="203">
        <f>MIN(H133*parameters!C$22,ROUND(O133+S133-U133,0))</f>
        <v>1529188</v>
      </c>
      <c r="W133" s="211">
        <f t="shared" si="40"/>
        <v>36.42317622069362</v>
      </c>
      <c r="X133" s="208"/>
      <c r="Y133" s="212">
        <f t="shared" si="41"/>
        <v>0</v>
      </c>
      <c r="Z133" s="212">
        <f t="shared" si="24"/>
        <v>0</v>
      </c>
      <c r="AA133" s="212">
        <f t="shared" si="42"/>
        <v>18118</v>
      </c>
      <c r="AB133" s="68">
        <f t="shared" si="43"/>
        <v>0.43317622069361761</v>
      </c>
      <c r="AD133" s="207">
        <f t="shared" si="25"/>
        <v>7.9932762876637087E-2</v>
      </c>
      <c r="AE133" s="213">
        <f t="shared" si="44"/>
        <v>2.8785405643019502</v>
      </c>
      <c r="AF133" s="10">
        <f t="shared" si="26"/>
        <v>0</v>
      </c>
      <c r="AG133" s="214"/>
      <c r="AH133" s="214">
        <v>0.03</v>
      </c>
      <c r="AI133" s="181"/>
      <c r="AJ133" s="214"/>
      <c r="AK133" s="214"/>
      <c r="AL133" s="214"/>
      <c r="AM133" s="10"/>
      <c r="AN133" s="10"/>
    </row>
    <row r="134" spans="1:40" ht="12.75" customHeight="1">
      <c r="A134" s="201">
        <v>125</v>
      </c>
      <c r="B134" s="201" t="s">
        <v>1391</v>
      </c>
      <c r="C134" s="202">
        <v>1112579800</v>
      </c>
      <c r="D134" s="202">
        <f t="shared" si="27"/>
        <v>3949201.7807067051</v>
      </c>
      <c r="E134" s="202">
        <v>435978000</v>
      </c>
      <c r="F134" s="202">
        <f t="shared" si="45"/>
        <v>6211772.1129067279</v>
      </c>
      <c r="G134" s="202">
        <f t="shared" si="28"/>
        <v>10160974</v>
      </c>
      <c r="H134" s="203">
        <f t="shared" si="29"/>
        <v>9384139.8965986222</v>
      </c>
      <c r="I134" s="204">
        <f t="shared" si="30"/>
        <v>7741915</v>
      </c>
      <c r="J134" s="204">
        <f t="shared" si="31"/>
        <v>7741915</v>
      </c>
      <c r="K134" s="198">
        <f t="shared" si="32"/>
        <v>82.5</v>
      </c>
      <c r="L134" s="205"/>
      <c r="M134" s="206">
        <v>7835810</v>
      </c>
      <c r="N134" s="207">
        <f t="shared" si="33"/>
        <v>3.49E-2</v>
      </c>
      <c r="O134" s="204">
        <f t="shared" si="34"/>
        <v>8109280</v>
      </c>
      <c r="P134" s="208">
        <f t="shared" si="35"/>
        <v>86.414739010223954</v>
      </c>
      <c r="Q134" s="208">
        <f t="shared" si="36"/>
        <v>0</v>
      </c>
      <c r="R134" s="209">
        <f t="shared" si="37"/>
        <v>0</v>
      </c>
      <c r="S134" s="204">
        <f t="shared" si="38"/>
        <v>0</v>
      </c>
      <c r="T134" s="210">
        <f t="shared" si="39"/>
        <v>367365</v>
      </c>
      <c r="U134" s="210">
        <f t="shared" si="23"/>
        <v>312260.25</v>
      </c>
      <c r="V134" s="203">
        <f>MIN(H134*parameters!C$22,ROUND(O134+S134-U134,0))</f>
        <v>7797020</v>
      </c>
      <c r="W134" s="211">
        <f t="shared" si="40"/>
        <v>83.087209759374005</v>
      </c>
      <c r="X134" s="208"/>
      <c r="Y134" s="212">
        <f t="shared" si="41"/>
        <v>0</v>
      </c>
      <c r="Z134" s="212">
        <f t="shared" si="24"/>
        <v>0</v>
      </c>
      <c r="AA134" s="212">
        <f t="shared" si="42"/>
        <v>55105</v>
      </c>
      <c r="AB134" s="68">
        <f t="shared" si="43"/>
        <v>0.5872097593740051</v>
      </c>
      <c r="AD134" s="207">
        <f t="shared" si="25"/>
        <v>4.74514380485965E-2</v>
      </c>
      <c r="AE134" s="213">
        <f t="shared" si="44"/>
        <v>3.9147390102239541</v>
      </c>
      <c r="AF134" s="10">
        <f t="shared" si="26"/>
        <v>0</v>
      </c>
      <c r="AG134" s="214"/>
      <c r="AH134" s="214">
        <v>3.49E-2</v>
      </c>
      <c r="AI134" s="181"/>
      <c r="AJ134" s="214"/>
      <c r="AK134" s="214"/>
      <c r="AL134" s="214"/>
      <c r="AM134" s="10"/>
      <c r="AN134" s="10"/>
    </row>
    <row r="135" spans="1:40" ht="12.75" customHeight="1">
      <c r="A135" s="201">
        <v>126</v>
      </c>
      <c r="B135" s="201" t="s">
        <v>1392</v>
      </c>
      <c r="C135" s="202">
        <v>5172756600</v>
      </c>
      <c r="D135" s="202">
        <f t="shared" si="27"/>
        <v>18361163.465202551</v>
      </c>
      <c r="E135" s="202">
        <v>416314000</v>
      </c>
      <c r="F135" s="202">
        <f t="shared" si="45"/>
        <v>5931601.3546845289</v>
      </c>
      <c r="G135" s="202">
        <f t="shared" si="28"/>
        <v>24292765</v>
      </c>
      <c r="H135" s="203">
        <f t="shared" si="29"/>
        <v>15445449.664206961</v>
      </c>
      <c r="I135" s="204">
        <f t="shared" si="30"/>
        <v>12742496</v>
      </c>
      <c r="J135" s="204">
        <f t="shared" si="31"/>
        <v>12742496</v>
      </c>
      <c r="K135" s="198">
        <f t="shared" si="32"/>
        <v>82.5</v>
      </c>
      <c r="L135" s="205"/>
      <c r="M135" s="206">
        <v>12542328</v>
      </c>
      <c r="N135" s="207">
        <f t="shared" si="33"/>
        <v>4.1399999999999999E-2</v>
      </c>
      <c r="O135" s="204">
        <f t="shared" si="34"/>
        <v>13061580</v>
      </c>
      <c r="P135" s="208">
        <f t="shared" si="35"/>
        <v>84.56587722576117</v>
      </c>
      <c r="Q135" s="208">
        <f t="shared" si="36"/>
        <v>0</v>
      </c>
      <c r="R135" s="209">
        <f t="shared" si="37"/>
        <v>0</v>
      </c>
      <c r="S135" s="204">
        <f t="shared" si="38"/>
        <v>0</v>
      </c>
      <c r="T135" s="210">
        <f t="shared" si="39"/>
        <v>319084</v>
      </c>
      <c r="U135" s="210">
        <f t="shared" si="23"/>
        <v>271221.39999999997</v>
      </c>
      <c r="V135" s="203">
        <f>MIN(H135*parameters!C$22,ROUND(O135+S135-U135,0))</f>
        <v>12790359</v>
      </c>
      <c r="W135" s="211">
        <f t="shared" si="40"/>
        <v>82.809884322372142</v>
      </c>
      <c r="X135" s="208"/>
      <c r="Y135" s="212">
        <f t="shared" si="41"/>
        <v>0</v>
      </c>
      <c r="Z135" s="212">
        <f t="shared" si="24"/>
        <v>0</v>
      </c>
      <c r="AA135" s="212">
        <f t="shared" si="42"/>
        <v>47863</v>
      </c>
      <c r="AB135" s="68">
        <f t="shared" si="43"/>
        <v>0.3098843223721417</v>
      </c>
      <c r="AD135" s="207">
        <f t="shared" si="25"/>
        <v>2.5040933895525648E-2</v>
      </c>
      <c r="AE135" s="213">
        <f t="shared" si="44"/>
        <v>2.0658772257611702</v>
      </c>
      <c r="AF135" s="10">
        <f t="shared" si="26"/>
        <v>0</v>
      </c>
      <c r="AG135" s="214"/>
      <c r="AH135" s="214">
        <v>4.1399999999999999E-2</v>
      </c>
      <c r="AI135" s="181"/>
      <c r="AJ135" s="214"/>
      <c r="AK135" s="214"/>
      <c r="AL135" s="214"/>
      <c r="AM135" s="10"/>
      <c r="AN135" s="10"/>
    </row>
    <row r="136" spans="1:40" ht="12.75" customHeight="1">
      <c r="A136" s="201">
        <v>127</v>
      </c>
      <c r="B136" s="201" t="s">
        <v>1393</v>
      </c>
      <c r="C136" s="202">
        <v>535723900</v>
      </c>
      <c r="D136" s="202">
        <f t="shared" si="27"/>
        <v>1901600.0289122099</v>
      </c>
      <c r="E136" s="202">
        <v>107325000</v>
      </c>
      <c r="F136" s="202">
        <f t="shared" si="45"/>
        <v>1529156.1547089866</v>
      </c>
      <c r="G136" s="202">
        <f t="shared" si="28"/>
        <v>3430756</v>
      </c>
      <c r="H136" s="203">
        <f t="shared" si="29"/>
        <v>3456804.2799801859</v>
      </c>
      <c r="I136" s="204">
        <f t="shared" si="30"/>
        <v>2851864</v>
      </c>
      <c r="J136" s="204">
        <f t="shared" si="31"/>
        <v>2851864</v>
      </c>
      <c r="K136" s="198">
        <f t="shared" si="32"/>
        <v>82.5</v>
      </c>
      <c r="L136" s="205"/>
      <c r="M136" s="206">
        <v>2835513</v>
      </c>
      <c r="N136" s="207">
        <f t="shared" si="33"/>
        <v>3.4700000000000002E-2</v>
      </c>
      <c r="O136" s="204">
        <f t="shared" si="34"/>
        <v>2933905</v>
      </c>
      <c r="P136" s="208">
        <f t="shared" si="35"/>
        <v>84.873332777082098</v>
      </c>
      <c r="Q136" s="208">
        <f t="shared" si="36"/>
        <v>0</v>
      </c>
      <c r="R136" s="209">
        <f t="shared" si="37"/>
        <v>0</v>
      </c>
      <c r="S136" s="204">
        <f t="shared" si="38"/>
        <v>0</v>
      </c>
      <c r="T136" s="210">
        <f t="shared" si="39"/>
        <v>82041</v>
      </c>
      <c r="U136" s="210">
        <f t="shared" si="23"/>
        <v>69734.849999999991</v>
      </c>
      <c r="V136" s="203">
        <f>MIN(H136*parameters!C$22,ROUND(O136+S136-U136,0))</f>
        <v>2864170</v>
      </c>
      <c r="W136" s="211">
        <f t="shared" si="40"/>
        <v>82.856007110024095</v>
      </c>
      <c r="X136" s="208"/>
      <c r="Y136" s="212">
        <f t="shared" si="41"/>
        <v>0</v>
      </c>
      <c r="Z136" s="212">
        <f t="shared" si="24"/>
        <v>0</v>
      </c>
      <c r="AA136" s="212">
        <f t="shared" si="42"/>
        <v>12306</v>
      </c>
      <c r="AB136" s="68">
        <f t="shared" si="43"/>
        <v>0.35600711002409469</v>
      </c>
      <c r="AD136" s="207">
        <f t="shared" si="25"/>
        <v>2.8767500834541899E-2</v>
      </c>
      <c r="AE136" s="213">
        <f t="shared" si="44"/>
        <v>2.3733327770820978</v>
      </c>
      <c r="AF136" s="10">
        <f t="shared" si="26"/>
        <v>0</v>
      </c>
      <c r="AG136" s="214"/>
      <c r="AH136" s="214">
        <v>3.4700000000000002E-2</v>
      </c>
      <c r="AI136" s="181"/>
      <c r="AJ136" s="214"/>
      <c r="AK136" s="214"/>
      <c r="AL136" s="214"/>
      <c r="AM136" s="10"/>
      <c r="AN136" s="10"/>
    </row>
    <row r="137" spans="1:40" ht="12.75" customHeight="1">
      <c r="A137" s="201">
        <v>128</v>
      </c>
      <c r="B137" s="201" t="s">
        <v>1394</v>
      </c>
      <c r="C137" s="202">
        <v>5812453600</v>
      </c>
      <c r="D137" s="202">
        <f t="shared" si="27"/>
        <v>20631825.337288253</v>
      </c>
      <c r="E137" s="202">
        <v>1669448000</v>
      </c>
      <c r="F137" s="202">
        <f t="shared" si="45"/>
        <v>23786132.626756195</v>
      </c>
      <c r="G137" s="202">
        <f t="shared" si="28"/>
        <v>44417958</v>
      </c>
      <c r="H137" s="203">
        <f t="shared" si="29"/>
        <v>104478194.25933814</v>
      </c>
      <c r="I137" s="204">
        <f t="shared" si="30"/>
        <v>86194510</v>
      </c>
      <c r="J137" s="204">
        <f t="shared" si="31"/>
        <v>44417958</v>
      </c>
      <c r="K137" s="198">
        <f t="shared" si="32"/>
        <v>42.51</v>
      </c>
      <c r="L137" s="205"/>
      <c r="M137" s="206">
        <v>43640312</v>
      </c>
      <c r="N137" s="207">
        <f t="shared" si="33"/>
        <v>4.2999999999999997E-2</v>
      </c>
      <c r="O137" s="204">
        <f t="shared" si="34"/>
        <v>45516845</v>
      </c>
      <c r="P137" s="208">
        <f t="shared" si="35"/>
        <v>43.565880251545174</v>
      </c>
      <c r="Q137" s="208">
        <f t="shared" si="36"/>
        <v>0</v>
      </c>
      <c r="R137" s="209">
        <f t="shared" si="37"/>
        <v>0</v>
      </c>
      <c r="S137" s="204">
        <f t="shared" si="38"/>
        <v>0</v>
      </c>
      <c r="T137" s="210">
        <f t="shared" si="39"/>
        <v>1098887</v>
      </c>
      <c r="U137" s="210">
        <f t="shared" si="23"/>
        <v>934053.95</v>
      </c>
      <c r="V137" s="203">
        <f>MIN(H137*parameters!C$22,ROUND(O137+S137-U137,0))</f>
        <v>44582791</v>
      </c>
      <c r="W137" s="211">
        <f t="shared" si="40"/>
        <v>42.671862120181352</v>
      </c>
      <c r="X137" s="208"/>
      <c r="Y137" s="212">
        <f t="shared" si="41"/>
        <v>0</v>
      </c>
      <c r="Z137" s="212">
        <f t="shared" si="24"/>
        <v>0</v>
      </c>
      <c r="AA137" s="212">
        <f t="shared" si="42"/>
        <v>164833</v>
      </c>
      <c r="AB137" s="68">
        <f t="shared" si="43"/>
        <v>0.16186212018135393</v>
      </c>
      <c r="AD137" s="207">
        <f t="shared" si="25"/>
        <v>2.4739701001113109E-2</v>
      </c>
      <c r="AE137" s="213">
        <f t="shared" si="44"/>
        <v>1.055880251545176</v>
      </c>
      <c r="AF137" s="10">
        <f t="shared" si="26"/>
        <v>0</v>
      </c>
      <c r="AG137" s="214"/>
      <c r="AH137" s="214">
        <v>4.2999999999999997E-2</v>
      </c>
      <c r="AI137" s="181"/>
      <c r="AJ137" s="214"/>
      <c r="AK137" s="214"/>
      <c r="AL137" s="214"/>
      <c r="AM137" s="10"/>
      <c r="AN137" s="10"/>
    </row>
    <row r="138" spans="1:40" ht="12.75" customHeight="1">
      <c r="A138" s="201">
        <v>129</v>
      </c>
      <c r="B138" s="201" t="s">
        <v>1395</v>
      </c>
      <c r="C138" s="202">
        <v>52222400</v>
      </c>
      <c r="D138" s="202">
        <f t="shared" si="27"/>
        <v>185368.09231371793</v>
      </c>
      <c r="E138" s="202">
        <v>5126000</v>
      </c>
      <c r="F138" s="202">
        <f t="shared" si="45"/>
        <v>73034.749117524028</v>
      </c>
      <c r="G138" s="202">
        <f t="shared" si="28"/>
        <v>258403</v>
      </c>
      <c r="H138" s="203">
        <f t="shared" si="29"/>
        <v>337453.53066915035</v>
      </c>
      <c r="I138" s="204">
        <f t="shared" si="30"/>
        <v>278399</v>
      </c>
      <c r="J138" s="204">
        <f t="shared" si="31"/>
        <v>258403</v>
      </c>
      <c r="K138" s="198">
        <f t="shared" si="32"/>
        <v>76.569999999999993</v>
      </c>
      <c r="L138" s="205"/>
      <c r="M138" s="206">
        <v>247755</v>
      </c>
      <c r="N138" s="207">
        <f t="shared" si="33"/>
        <v>3.6700000000000003E-2</v>
      </c>
      <c r="O138" s="204">
        <f t="shared" si="34"/>
        <v>256848</v>
      </c>
      <c r="P138" s="208">
        <f t="shared" si="35"/>
        <v>76.113590955971219</v>
      </c>
      <c r="Q138" s="208">
        <f t="shared" si="36"/>
        <v>0.45640904402877425</v>
      </c>
      <c r="R138" s="209">
        <f t="shared" si="37"/>
        <v>0</v>
      </c>
      <c r="S138" s="204">
        <f t="shared" si="38"/>
        <v>0</v>
      </c>
      <c r="T138" s="210">
        <f t="shared" si="39"/>
        <v>0</v>
      </c>
      <c r="U138" s="210">
        <f t="shared" ref="U138:U201" si="46">MAX(T138*(U$5),0)</f>
        <v>0</v>
      </c>
      <c r="V138" s="203">
        <f>MIN(H138*parameters!C$22,ROUND(O138+S138-U138,0))</f>
        <v>256848</v>
      </c>
      <c r="W138" s="211">
        <f t="shared" si="40"/>
        <v>76.113590955971219</v>
      </c>
      <c r="X138" s="208"/>
      <c r="Y138" s="212">
        <f t="shared" si="41"/>
        <v>-1555</v>
      </c>
      <c r="Z138" s="212">
        <f t="shared" ref="Z138:Z201" si="47">MAX(J138-(O138+S138),0)</f>
        <v>1555</v>
      </c>
      <c r="AA138" s="212">
        <f t="shared" si="42"/>
        <v>0</v>
      </c>
      <c r="AB138" s="68">
        <f t="shared" si="43"/>
        <v>-0.45640904402877425</v>
      </c>
      <c r="AD138" s="207">
        <f t="shared" ref="AD138:AD168" si="48">(O138-J138)/J138</f>
        <v>-6.0177319922756316E-3</v>
      </c>
      <c r="AE138" s="213">
        <f t="shared" si="44"/>
        <v>-0.45640904402877425</v>
      </c>
      <c r="AF138" s="10">
        <f t="shared" ref="AF138:AF201" si="49">IF(AD138&lt;$AF$5, $AF$6*(M138), IF(AND(AD138&lt;$AF$4, AD138&gt;$AF$5), $AF$7*(M138), 0))</f>
        <v>0</v>
      </c>
      <c r="AG138" s="214"/>
      <c r="AH138" s="214">
        <v>3.6700000000000003E-2</v>
      </c>
      <c r="AI138" s="181"/>
      <c r="AJ138" s="214"/>
      <c r="AK138" s="214"/>
      <c r="AL138" s="214"/>
      <c r="AM138" s="10"/>
      <c r="AN138" s="10"/>
    </row>
    <row r="139" spans="1:40" ht="12.75" customHeight="1">
      <c r="A139" s="201">
        <v>130</v>
      </c>
      <c r="B139" s="201" t="s">
        <v>1396</v>
      </c>
      <c r="C139" s="202">
        <v>96911500</v>
      </c>
      <c r="D139" s="202">
        <f t="shared" ref="D139:D202" si="50">D$5*C139</f>
        <v>343996.06066095916</v>
      </c>
      <c r="E139" s="202">
        <v>8295000</v>
      </c>
      <c r="F139" s="202">
        <f t="shared" si="45"/>
        <v>118186.35269798318</v>
      </c>
      <c r="G139" s="202">
        <f t="shared" ref="G139:G202" si="51">ROUND(D139+F139,0)</f>
        <v>462182</v>
      </c>
      <c r="H139" s="203">
        <f t="shared" ref="H139:H202" si="52">(SUMIF(town1755,A139,found1755)/2)</f>
        <v>1091366.2391386831</v>
      </c>
      <c r="I139" s="204">
        <f t="shared" ref="I139:I202" si="53">ROUND(H139*maxloc,0)</f>
        <v>900377</v>
      </c>
      <c r="J139" s="204">
        <f t="shared" ref="J139:J202" si="54">MIN(G139,I139)</f>
        <v>462182</v>
      </c>
      <c r="K139" s="198">
        <f t="shared" ref="K139:K202" si="55">IF(H139&gt;0, ROUND((J139*100/H139), 2), 0)</f>
        <v>42.35</v>
      </c>
      <c r="L139" s="205"/>
      <c r="M139" s="206">
        <v>465994</v>
      </c>
      <c r="N139" s="207">
        <f t="shared" ref="N139:N202" si="56">IF($N$5=1,AH139, IF( $N$5=2,AI139, IF( $N$5=3, AJ139, IF($N$5=4, AK139, 0))))</f>
        <v>4.6799999999999994E-2</v>
      </c>
      <c r="O139" s="204">
        <f t="shared" ref="O139:O202" si="57">ROUND(M139*(1+N139),0)</f>
        <v>487803</v>
      </c>
      <c r="P139" s="208">
        <f t="shared" ref="P139:P202" si="58">O139*100/H139</f>
        <v>44.696544799203146</v>
      </c>
      <c r="Q139" s="208">
        <f t="shared" ref="Q139:Q202" si="59">IF(K139&gt;P139,K139-P139,0)</f>
        <v>0</v>
      </c>
      <c r="R139" s="209">
        <f t="shared" ref="R139:R202" si="60">IF(AND(Q139&gt;$S$4,Q139&lt;=$S$5),$R$4,IF(Q139&gt;$S$5,$R$5,0))</f>
        <v>0</v>
      </c>
      <c r="S139" s="204">
        <f t="shared" ref="S139:S202" si="61">ROUND(R139*M139,0)</f>
        <v>0</v>
      </c>
      <c r="T139" s="210">
        <f t="shared" ref="T139:T202" si="62">MAX(O139-J139,0)</f>
        <v>25621</v>
      </c>
      <c r="U139" s="210">
        <f t="shared" si="46"/>
        <v>21777.85</v>
      </c>
      <c r="V139" s="203">
        <f>MIN(H139*parameters!C$22,ROUND(O139+S139-U139,0))</f>
        <v>466025</v>
      </c>
      <c r="W139" s="211">
        <f t="shared" ref="W139:W202" si="63">V139*100/H139</f>
        <v>42.701064343697446</v>
      </c>
      <c r="X139" s="208"/>
      <c r="Y139" s="212">
        <f t="shared" ref="Y139:Y202" si="64">IF(P139&lt;K139, O139-J139, 0)</f>
        <v>0</v>
      </c>
      <c r="Z139" s="212">
        <f t="shared" si="47"/>
        <v>0</v>
      </c>
      <c r="AA139" s="212">
        <f t="shared" ref="AA139:AA202" si="65">IF(P139&gt;K139, V139-J139,0)</f>
        <v>3843</v>
      </c>
      <c r="AB139" s="68">
        <f t="shared" ref="AB139:AB202" si="66">W139-K139</f>
        <v>0.35106434369744477</v>
      </c>
      <c r="AD139" s="207">
        <f t="shared" si="48"/>
        <v>5.5434871976840293E-2</v>
      </c>
      <c r="AE139" s="213">
        <f t="shared" ref="AE139:AE169" si="67">P139-K139</f>
        <v>2.3465447992031443</v>
      </c>
      <c r="AF139" s="10">
        <f t="shared" si="49"/>
        <v>0</v>
      </c>
      <c r="AG139" s="214"/>
      <c r="AH139" s="214">
        <v>4.6799999999999994E-2</v>
      </c>
      <c r="AI139" s="181"/>
      <c r="AJ139" s="214"/>
      <c r="AK139" s="214"/>
      <c r="AL139" s="214"/>
      <c r="AM139" s="10"/>
      <c r="AN139" s="10"/>
    </row>
    <row r="140" spans="1:40" ht="12.75" customHeight="1">
      <c r="A140" s="201">
        <v>131</v>
      </c>
      <c r="B140" s="201" t="s">
        <v>1397</v>
      </c>
      <c r="C140" s="202">
        <v>6668867000</v>
      </c>
      <c r="D140" s="202">
        <f t="shared" si="50"/>
        <v>23671741.507167559</v>
      </c>
      <c r="E140" s="202">
        <v>2373036000</v>
      </c>
      <c r="F140" s="202">
        <f t="shared" ref="F140:F203" si="68">E140*F$5</f>
        <v>33810785.974805452</v>
      </c>
      <c r="G140" s="202">
        <f t="shared" si="51"/>
        <v>57482527</v>
      </c>
      <c r="H140" s="203">
        <f t="shared" si="52"/>
        <v>41440808.001251943</v>
      </c>
      <c r="I140" s="204">
        <f t="shared" si="53"/>
        <v>34188667</v>
      </c>
      <c r="J140" s="204">
        <f t="shared" si="54"/>
        <v>34188667</v>
      </c>
      <c r="K140" s="198">
        <f t="shared" si="55"/>
        <v>82.5</v>
      </c>
      <c r="L140" s="205"/>
      <c r="M140" s="206">
        <v>33379675</v>
      </c>
      <c r="N140" s="207">
        <f t="shared" si="56"/>
        <v>4.5199999999999997E-2</v>
      </c>
      <c r="O140" s="204">
        <f t="shared" si="57"/>
        <v>34888436</v>
      </c>
      <c r="P140" s="208">
        <f t="shared" si="58"/>
        <v>84.188599795028139</v>
      </c>
      <c r="Q140" s="208">
        <f t="shared" si="59"/>
        <v>0</v>
      </c>
      <c r="R140" s="209">
        <f t="shared" si="60"/>
        <v>0</v>
      </c>
      <c r="S140" s="204">
        <f t="shared" si="61"/>
        <v>0</v>
      </c>
      <c r="T140" s="210">
        <f t="shared" si="62"/>
        <v>699769</v>
      </c>
      <c r="U140" s="210">
        <f t="shared" si="46"/>
        <v>594803.65</v>
      </c>
      <c r="V140" s="203">
        <f>MIN(H140*parameters!C$22,ROUND(O140+S140-U140,0))</f>
        <v>34293632</v>
      </c>
      <c r="W140" s="211">
        <f t="shared" si="63"/>
        <v>82.753289943004916</v>
      </c>
      <c r="X140" s="208"/>
      <c r="Y140" s="212">
        <f t="shared" si="64"/>
        <v>0</v>
      </c>
      <c r="Z140" s="212">
        <f t="shared" si="47"/>
        <v>0</v>
      </c>
      <c r="AA140" s="212">
        <f t="shared" si="65"/>
        <v>104965</v>
      </c>
      <c r="AB140" s="68">
        <f t="shared" si="66"/>
        <v>0.25328994300491559</v>
      </c>
      <c r="AD140" s="207">
        <f t="shared" si="48"/>
        <v>2.0467864394947015E-2</v>
      </c>
      <c r="AE140" s="213">
        <f t="shared" si="67"/>
        <v>1.6885997950281393</v>
      </c>
      <c r="AF140" s="10">
        <f t="shared" si="49"/>
        <v>0</v>
      </c>
      <c r="AG140" s="214"/>
      <c r="AH140" s="214">
        <v>4.5199999999999997E-2</v>
      </c>
      <c r="AI140" s="181"/>
      <c r="AJ140" s="214"/>
      <c r="AK140" s="214"/>
      <c r="AL140" s="214"/>
      <c r="AM140" s="10"/>
      <c r="AN140" s="10"/>
    </row>
    <row r="141" spans="1:40" ht="12.75" customHeight="1">
      <c r="A141" s="201">
        <v>132</v>
      </c>
      <c r="B141" s="201" t="s">
        <v>1398</v>
      </c>
      <c r="C141" s="202">
        <v>303864800</v>
      </c>
      <c r="D141" s="202">
        <f t="shared" si="50"/>
        <v>1078595.3594107018</v>
      </c>
      <c r="E141" s="202">
        <v>59225000</v>
      </c>
      <c r="F141" s="202">
        <f t="shared" si="68"/>
        <v>843832.03599012108</v>
      </c>
      <c r="G141" s="202">
        <f t="shared" si="51"/>
        <v>1922427</v>
      </c>
      <c r="H141" s="203">
        <f t="shared" si="52"/>
        <v>2333370.2600716045</v>
      </c>
      <c r="I141" s="204">
        <f t="shared" si="53"/>
        <v>1925030</v>
      </c>
      <c r="J141" s="204">
        <f t="shared" si="54"/>
        <v>1922427</v>
      </c>
      <c r="K141" s="198">
        <f t="shared" si="55"/>
        <v>82.39</v>
      </c>
      <c r="L141" s="205"/>
      <c r="M141" s="206">
        <v>1946890</v>
      </c>
      <c r="N141" s="207">
        <f t="shared" si="56"/>
        <v>3.3599999999999998E-2</v>
      </c>
      <c r="O141" s="204">
        <f t="shared" si="57"/>
        <v>2012306</v>
      </c>
      <c r="P141" s="208">
        <f t="shared" si="58"/>
        <v>86.240320896960782</v>
      </c>
      <c r="Q141" s="208">
        <f t="shared" si="59"/>
        <v>0</v>
      </c>
      <c r="R141" s="209">
        <f t="shared" si="60"/>
        <v>0</v>
      </c>
      <c r="S141" s="204">
        <f t="shared" si="61"/>
        <v>0</v>
      </c>
      <c r="T141" s="210">
        <f t="shared" si="62"/>
        <v>89879</v>
      </c>
      <c r="U141" s="210">
        <f t="shared" si="46"/>
        <v>76397.149999999994</v>
      </c>
      <c r="V141" s="203">
        <f>MIN(H141*parameters!C$22,ROUND(O141+S141-U141,0))</f>
        <v>1935909</v>
      </c>
      <c r="W141" s="211">
        <f t="shared" si="63"/>
        <v>82.96621556925956</v>
      </c>
      <c r="X141" s="208"/>
      <c r="Y141" s="212">
        <f t="shared" si="64"/>
        <v>0</v>
      </c>
      <c r="Z141" s="212">
        <f t="shared" si="47"/>
        <v>0</v>
      </c>
      <c r="AA141" s="212">
        <f t="shared" si="65"/>
        <v>13482</v>
      </c>
      <c r="AB141" s="68">
        <f t="shared" si="66"/>
        <v>0.57621556925955986</v>
      </c>
      <c r="AD141" s="207">
        <f t="shared" si="48"/>
        <v>4.6752880603528765E-2</v>
      </c>
      <c r="AE141" s="213">
        <f t="shared" si="67"/>
        <v>3.8503208969607812</v>
      </c>
      <c r="AF141" s="10">
        <f t="shared" si="49"/>
        <v>0</v>
      </c>
      <c r="AG141" s="214"/>
      <c r="AH141" s="214">
        <v>3.3599999999999998E-2</v>
      </c>
      <c r="AI141" s="181"/>
      <c r="AJ141" s="214"/>
      <c r="AK141" s="214"/>
      <c r="AL141" s="214"/>
      <c r="AM141" s="10"/>
      <c r="AN141" s="10"/>
    </row>
    <row r="142" spans="1:40" ht="12.75" customHeight="1">
      <c r="A142" s="201">
        <v>133</v>
      </c>
      <c r="B142" s="201" t="s">
        <v>1399</v>
      </c>
      <c r="C142" s="202">
        <v>1127964100</v>
      </c>
      <c r="D142" s="202">
        <f t="shared" si="50"/>
        <v>4003809.7332822653</v>
      </c>
      <c r="E142" s="202">
        <v>311778000</v>
      </c>
      <c r="F142" s="202">
        <f t="shared" si="68"/>
        <v>4442182.6005390957</v>
      </c>
      <c r="G142" s="202">
        <f t="shared" si="51"/>
        <v>8445992</v>
      </c>
      <c r="H142" s="203">
        <f t="shared" si="52"/>
        <v>14983805.42255762</v>
      </c>
      <c r="I142" s="204">
        <f t="shared" si="53"/>
        <v>12361639</v>
      </c>
      <c r="J142" s="204">
        <f t="shared" si="54"/>
        <v>8445992</v>
      </c>
      <c r="K142" s="198">
        <f t="shared" si="55"/>
        <v>56.37</v>
      </c>
      <c r="L142" s="205"/>
      <c r="M142" s="206">
        <v>8429521</v>
      </c>
      <c r="N142" s="207">
        <f t="shared" si="56"/>
        <v>3.4099999999999998E-2</v>
      </c>
      <c r="O142" s="204">
        <f t="shared" si="57"/>
        <v>8716968</v>
      </c>
      <c r="P142" s="208">
        <f t="shared" si="58"/>
        <v>58.175928972468469</v>
      </c>
      <c r="Q142" s="208">
        <f t="shared" si="59"/>
        <v>0</v>
      </c>
      <c r="R142" s="209">
        <f t="shared" si="60"/>
        <v>0</v>
      </c>
      <c r="S142" s="204">
        <f t="shared" si="61"/>
        <v>0</v>
      </c>
      <c r="T142" s="210">
        <f t="shared" si="62"/>
        <v>270976</v>
      </c>
      <c r="U142" s="210">
        <f t="shared" si="46"/>
        <v>230329.60000000001</v>
      </c>
      <c r="V142" s="203">
        <f>MIN(H142*parameters!C$22,ROUND(O142+S142-U142,0))</f>
        <v>8486638</v>
      </c>
      <c r="W142" s="211">
        <f t="shared" si="63"/>
        <v>56.638736026454595</v>
      </c>
      <c r="X142" s="208"/>
      <c r="Y142" s="212">
        <f t="shared" si="64"/>
        <v>0</v>
      </c>
      <c r="Z142" s="212">
        <f t="shared" si="47"/>
        <v>0</v>
      </c>
      <c r="AA142" s="212">
        <f t="shared" si="65"/>
        <v>40646</v>
      </c>
      <c r="AB142" s="68">
        <f t="shared" si="66"/>
        <v>0.26873602645459727</v>
      </c>
      <c r="AD142" s="207">
        <f t="shared" si="48"/>
        <v>3.2083383455726693E-2</v>
      </c>
      <c r="AE142" s="213">
        <f t="shared" si="67"/>
        <v>1.8059289724684717</v>
      </c>
      <c r="AF142" s="10">
        <f t="shared" si="49"/>
        <v>0</v>
      </c>
      <c r="AG142" s="214"/>
      <c r="AH142" s="214">
        <v>3.4099999999999998E-2</v>
      </c>
      <c r="AI142" s="181"/>
      <c r="AJ142" s="214"/>
      <c r="AK142" s="214"/>
      <c r="AL142" s="214"/>
      <c r="AM142" s="10"/>
      <c r="AN142" s="10"/>
    </row>
    <row r="143" spans="1:40" ht="12.75" customHeight="1">
      <c r="A143" s="201">
        <v>134</v>
      </c>
      <c r="B143" s="201" t="s">
        <v>1400</v>
      </c>
      <c r="C143" s="202">
        <v>2129003300</v>
      </c>
      <c r="D143" s="202">
        <f t="shared" si="50"/>
        <v>7557088.1508818073</v>
      </c>
      <c r="E143" s="202">
        <v>752051000</v>
      </c>
      <c r="F143" s="202">
        <f t="shared" si="68"/>
        <v>10715149.455439536</v>
      </c>
      <c r="G143" s="202">
        <f t="shared" si="51"/>
        <v>18272238</v>
      </c>
      <c r="H143" s="203">
        <f t="shared" si="52"/>
        <v>31102392.268649768</v>
      </c>
      <c r="I143" s="204">
        <f t="shared" si="53"/>
        <v>25659474</v>
      </c>
      <c r="J143" s="204">
        <f t="shared" si="54"/>
        <v>18272238</v>
      </c>
      <c r="K143" s="198">
        <f t="shared" si="55"/>
        <v>58.75</v>
      </c>
      <c r="L143" s="205"/>
      <c r="M143" s="206">
        <v>18048725</v>
      </c>
      <c r="N143" s="207">
        <f t="shared" si="56"/>
        <v>4.3400000000000001E-2</v>
      </c>
      <c r="O143" s="204">
        <f t="shared" si="57"/>
        <v>18832040</v>
      </c>
      <c r="P143" s="208">
        <f t="shared" si="58"/>
        <v>60.548525776848692</v>
      </c>
      <c r="Q143" s="208">
        <f t="shared" si="59"/>
        <v>0</v>
      </c>
      <c r="R143" s="209">
        <f t="shared" si="60"/>
        <v>0</v>
      </c>
      <c r="S143" s="204">
        <f t="shared" si="61"/>
        <v>0</v>
      </c>
      <c r="T143" s="210">
        <f t="shared" si="62"/>
        <v>559802</v>
      </c>
      <c r="U143" s="210">
        <f t="shared" si="46"/>
        <v>475831.7</v>
      </c>
      <c r="V143" s="203">
        <f>MIN(H143*parameters!C$22,ROUND(O143+S143-U143,0))</f>
        <v>18356208</v>
      </c>
      <c r="W143" s="211">
        <f t="shared" si="63"/>
        <v>59.018637027809852</v>
      </c>
      <c r="X143" s="208"/>
      <c r="Y143" s="212">
        <f t="shared" si="64"/>
        <v>0</v>
      </c>
      <c r="Z143" s="212">
        <f t="shared" si="47"/>
        <v>0</v>
      </c>
      <c r="AA143" s="212">
        <f t="shared" si="65"/>
        <v>83970</v>
      </c>
      <c r="AB143" s="68">
        <f t="shared" si="66"/>
        <v>0.26863702780985221</v>
      </c>
      <c r="AD143" s="207">
        <f t="shared" si="48"/>
        <v>3.0636750681553075E-2</v>
      </c>
      <c r="AE143" s="213">
        <f t="shared" si="67"/>
        <v>1.7985257768486917</v>
      </c>
      <c r="AF143" s="10">
        <f t="shared" si="49"/>
        <v>0</v>
      </c>
      <c r="AG143" s="214"/>
      <c r="AH143" s="214">
        <v>4.3400000000000001E-2</v>
      </c>
      <c r="AI143" s="181"/>
      <c r="AJ143" s="214"/>
      <c r="AK143" s="214"/>
      <c r="AL143" s="214"/>
      <c r="AM143" s="10"/>
      <c r="AN143" s="10"/>
    </row>
    <row r="144" spans="1:40" ht="12.75" customHeight="1">
      <c r="A144" s="201">
        <v>135</v>
      </c>
      <c r="B144" s="201" t="s">
        <v>1401</v>
      </c>
      <c r="C144" s="202">
        <v>340016400</v>
      </c>
      <c r="D144" s="202">
        <f t="shared" si="50"/>
        <v>1206918.7058307936</v>
      </c>
      <c r="E144" s="202">
        <v>69387000</v>
      </c>
      <c r="F144" s="202">
        <f t="shared" si="68"/>
        <v>988619.22298432293</v>
      </c>
      <c r="G144" s="202">
        <f t="shared" si="51"/>
        <v>2195538</v>
      </c>
      <c r="H144" s="203">
        <f t="shared" si="52"/>
        <v>3835926.6307404265</v>
      </c>
      <c r="I144" s="204">
        <f t="shared" si="53"/>
        <v>3164639</v>
      </c>
      <c r="J144" s="204">
        <f t="shared" si="54"/>
        <v>2195538</v>
      </c>
      <c r="K144" s="198">
        <f t="shared" si="55"/>
        <v>57.24</v>
      </c>
      <c r="L144" s="205"/>
      <c r="M144" s="206">
        <v>2204490</v>
      </c>
      <c r="N144" s="207">
        <f t="shared" si="56"/>
        <v>5.0099999999999999E-2</v>
      </c>
      <c r="O144" s="204">
        <f t="shared" si="57"/>
        <v>2314935</v>
      </c>
      <c r="P144" s="208">
        <f t="shared" si="58"/>
        <v>60.34878199829285</v>
      </c>
      <c r="Q144" s="208">
        <f t="shared" si="59"/>
        <v>0</v>
      </c>
      <c r="R144" s="209">
        <f t="shared" si="60"/>
        <v>0</v>
      </c>
      <c r="S144" s="204">
        <f t="shared" si="61"/>
        <v>0</v>
      </c>
      <c r="T144" s="210">
        <f t="shared" si="62"/>
        <v>119397</v>
      </c>
      <c r="U144" s="210">
        <f t="shared" si="46"/>
        <v>101487.45</v>
      </c>
      <c r="V144" s="203">
        <f>MIN(H144*parameters!C$22,ROUND(O144+S144-U144,0))</f>
        <v>2213448</v>
      </c>
      <c r="W144" s="211">
        <f t="shared" si="63"/>
        <v>57.703084888585344</v>
      </c>
      <c r="X144" s="208"/>
      <c r="Y144" s="212">
        <f t="shared" si="64"/>
        <v>0</v>
      </c>
      <c r="Z144" s="212">
        <f t="shared" si="47"/>
        <v>0</v>
      </c>
      <c r="AA144" s="212">
        <f t="shared" si="65"/>
        <v>17910</v>
      </c>
      <c r="AB144" s="68">
        <f t="shared" si="66"/>
        <v>0.46308488858534247</v>
      </c>
      <c r="AD144" s="207">
        <f t="shared" si="48"/>
        <v>5.4381659529463847E-2</v>
      </c>
      <c r="AE144" s="213">
        <f t="shared" si="67"/>
        <v>3.108781998292848</v>
      </c>
      <c r="AF144" s="10">
        <f t="shared" si="49"/>
        <v>0</v>
      </c>
      <c r="AG144" s="214"/>
      <c r="AH144" s="214">
        <v>5.0099999999999999E-2</v>
      </c>
      <c r="AI144" s="181"/>
      <c r="AJ144" s="214"/>
      <c r="AK144" s="214"/>
      <c r="AL144" s="214"/>
      <c r="AM144" s="10"/>
      <c r="AN144" s="10"/>
    </row>
    <row r="145" spans="1:40" ht="12.75" customHeight="1">
      <c r="A145" s="201">
        <v>136</v>
      </c>
      <c r="B145" s="201" t="s">
        <v>1402</v>
      </c>
      <c r="C145" s="202">
        <v>2407279400</v>
      </c>
      <c r="D145" s="202">
        <f t="shared" si="50"/>
        <v>8544854.1247455403</v>
      </c>
      <c r="E145" s="202">
        <v>751032000</v>
      </c>
      <c r="F145" s="202">
        <f t="shared" si="68"/>
        <v>10700630.842612622</v>
      </c>
      <c r="G145" s="202">
        <f t="shared" si="51"/>
        <v>19245485</v>
      </c>
      <c r="H145" s="203">
        <f t="shared" si="52"/>
        <v>26156360.039175741</v>
      </c>
      <c r="I145" s="204">
        <f t="shared" si="53"/>
        <v>21578997</v>
      </c>
      <c r="J145" s="204">
        <f t="shared" si="54"/>
        <v>19245485</v>
      </c>
      <c r="K145" s="198">
        <f t="shared" si="55"/>
        <v>73.58</v>
      </c>
      <c r="L145" s="205"/>
      <c r="M145" s="206">
        <v>18500918</v>
      </c>
      <c r="N145" s="207">
        <f t="shared" si="56"/>
        <v>4.1900000000000007E-2</v>
      </c>
      <c r="O145" s="204">
        <f t="shared" si="57"/>
        <v>19276106</v>
      </c>
      <c r="P145" s="208">
        <f t="shared" si="58"/>
        <v>73.695674670057969</v>
      </c>
      <c r="Q145" s="208">
        <f t="shared" si="59"/>
        <v>0</v>
      </c>
      <c r="R145" s="209">
        <f t="shared" si="60"/>
        <v>0</v>
      </c>
      <c r="S145" s="204">
        <f t="shared" si="61"/>
        <v>0</v>
      </c>
      <c r="T145" s="210">
        <f t="shared" si="62"/>
        <v>30621</v>
      </c>
      <c r="U145" s="210">
        <f t="shared" si="46"/>
        <v>26027.85</v>
      </c>
      <c r="V145" s="203">
        <f>MIN(H145*parameters!C$22,ROUND(O145+S145-U145,0))</f>
        <v>19250078</v>
      </c>
      <c r="W145" s="211">
        <f t="shared" si="63"/>
        <v>73.596165411273418</v>
      </c>
      <c r="X145" s="208"/>
      <c r="Y145" s="212">
        <f t="shared" si="64"/>
        <v>0</v>
      </c>
      <c r="Z145" s="212">
        <f t="shared" si="47"/>
        <v>0</v>
      </c>
      <c r="AA145" s="212">
        <f t="shared" si="65"/>
        <v>4593</v>
      </c>
      <c r="AB145" s="68">
        <f t="shared" si="66"/>
        <v>1.616541127341975E-2</v>
      </c>
      <c r="AD145" s="207">
        <f t="shared" si="48"/>
        <v>1.591074477987954E-3</v>
      </c>
      <c r="AE145" s="213">
        <f t="shared" si="67"/>
        <v>0.11567467005797027</v>
      </c>
      <c r="AF145" s="10">
        <f t="shared" si="49"/>
        <v>0</v>
      </c>
      <c r="AG145" s="214"/>
      <c r="AH145" s="214">
        <v>4.1900000000000007E-2</v>
      </c>
      <c r="AI145" s="181"/>
      <c r="AJ145" s="214"/>
      <c r="AK145" s="214"/>
      <c r="AL145" s="214"/>
      <c r="AM145" s="10"/>
      <c r="AN145" s="10"/>
    </row>
    <row r="146" spans="1:40" ht="12.75" customHeight="1">
      <c r="A146" s="201">
        <v>137</v>
      </c>
      <c r="B146" s="201" t="s">
        <v>1403</v>
      </c>
      <c r="C146" s="202">
        <v>2101821200</v>
      </c>
      <c r="D146" s="202">
        <f t="shared" si="50"/>
        <v>7460602.8491323534</v>
      </c>
      <c r="E146" s="202">
        <v>633134000</v>
      </c>
      <c r="F146" s="202">
        <f t="shared" si="68"/>
        <v>9020831.6129095703</v>
      </c>
      <c r="G146" s="202">
        <f t="shared" si="51"/>
        <v>16481434</v>
      </c>
      <c r="H146" s="203">
        <f t="shared" si="52"/>
        <v>81981180.868534818</v>
      </c>
      <c r="I146" s="204">
        <f t="shared" si="53"/>
        <v>67634474</v>
      </c>
      <c r="J146" s="204">
        <f t="shared" si="54"/>
        <v>16481434</v>
      </c>
      <c r="K146" s="198">
        <f t="shared" si="55"/>
        <v>20.100000000000001</v>
      </c>
      <c r="L146" s="205"/>
      <c r="M146" s="206">
        <v>10380314</v>
      </c>
      <c r="N146" s="207">
        <f t="shared" si="56"/>
        <v>9.2999999999999992E-3</v>
      </c>
      <c r="O146" s="204">
        <f t="shared" si="57"/>
        <v>10476851</v>
      </c>
      <c r="P146" s="208">
        <f t="shared" si="58"/>
        <v>12.779580495187913</v>
      </c>
      <c r="Q146" s="208">
        <f t="shared" si="59"/>
        <v>7.3204195048120884</v>
      </c>
      <c r="R146" s="209">
        <f t="shared" si="60"/>
        <v>0.01</v>
      </c>
      <c r="S146" s="204">
        <f t="shared" si="61"/>
        <v>103803</v>
      </c>
      <c r="T146" s="210">
        <f t="shared" si="62"/>
        <v>0</v>
      </c>
      <c r="U146" s="210">
        <f t="shared" si="46"/>
        <v>0</v>
      </c>
      <c r="V146" s="203">
        <f>MIN(H146*parameters!C$22,ROUND(O146+S146-U146,0))</f>
        <v>10580654</v>
      </c>
      <c r="W146" s="211">
        <f t="shared" si="63"/>
        <v>12.906198578631304</v>
      </c>
      <c r="X146" s="208"/>
      <c r="Y146" s="212">
        <f t="shared" si="64"/>
        <v>-6004583</v>
      </c>
      <c r="Z146" s="212">
        <f t="shared" si="47"/>
        <v>5900780</v>
      </c>
      <c r="AA146" s="212">
        <f t="shared" si="65"/>
        <v>0</v>
      </c>
      <c r="AB146" s="68">
        <f t="shared" si="66"/>
        <v>-7.1938014213686969</v>
      </c>
      <c r="AD146" s="207">
        <f t="shared" si="48"/>
        <v>-0.36432406306393</v>
      </c>
      <c r="AE146" s="213">
        <f t="shared" si="67"/>
        <v>-7.3204195048120884</v>
      </c>
      <c r="AF146" s="10">
        <f t="shared" si="49"/>
        <v>207606.28</v>
      </c>
      <c r="AG146" s="214"/>
      <c r="AH146" s="214">
        <v>9.2999999999999992E-3</v>
      </c>
      <c r="AI146" s="181"/>
      <c r="AJ146" s="214"/>
      <c r="AK146" s="214"/>
      <c r="AL146" s="214"/>
      <c r="AM146" s="10"/>
      <c r="AN146" s="10"/>
    </row>
    <row r="147" spans="1:40" ht="12.75" customHeight="1">
      <c r="A147" s="201">
        <v>138</v>
      </c>
      <c r="B147" s="201" t="s">
        <v>1404</v>
      </c>
      <c r="C147" s="202">
        <v>708023100</v>
      </c>
      <c r="D147" s="202">
        <f t="shared" si="50"/>
        <v>2513191.4917936507</v>
      </c>
      <c r="E147" s="202">
        <v>228181000</v>
      </c>
      <c r="F147" s="202">
        <f t="shared" si="68"/>
        <v>3251100.6805278482</v>
      </c>
      <c r="G147" s="202">
        <f t="shared" si="51"/>
        <v>5764292</v>
      </c>
      <c r="H147" s="203">
        <f t="shared" si="52"/>
        <v>10479546.956162309</v>
      </c>
      <c r="I147" s="204">
        <f t="shared" si="53"/>
        <v>8645626</v>
      </c>
      <c r="J147" s="204">
        <f t="shared" si="54"/>
        <v>5764292</v>
      </c>
      <c r="K147" s="198">
        <f t="shared" si="55"/>
        <v>55.01</v>
      </c>
      <c r="L147" s="205"/>
      <c r="M147" s="206">
        <v>5679447</v>
      </c>
      <c r="N147" s="207">
        <f t="shared" si="56"/>
        <v>3.9199999999999999E-2</v>
      </c>
      <c r="O147" s="204">
        <f t="shared" si="57"/>
        <v>5902081</v>
      </c>
      <c r="P147" s="208">
        <f t="shared" si="58"/>
        <v>56.320001472290627</v>
      </c>
      <c r="Q147" s="208">
        <f t="shared" si="59"/>
        <v>0</v>
      </c>
      <c r="R147" s="209">
        <f t="shared" si="60"/>
        <v>0</v>
      </c>
      <c r="S147" s="204">
        <f t="shared" si="61"/>
        <v>0</v>
      </c>
      <c r="T147" s="210">
        <f t="shared" si="62"/>
        <v>137789</v>
      </c>
      <c r="U147" s="210">
        <f t="shared" si="46"/>
        <v>117120.65</v>
      </c>
      <c r="V147" s="203">
        <f>MIN(H147*parameters!C$22,ROUND(O147+S147-U147,0))</f>
        <v>5784960</v>
      </c>
      <c r="W147" s="211">
        <f t="shared" si="63"/>
        <v>55.202386364596215</v>
      </c>
      <c r="X147" s="208"/>
      <c r="Y147" s="212">
        <f t="shared" si="64"/>
        <v>0</v>
      </c>
      <c r="Z147" s="212">
        <f t="shared" si="47"/>
        <v>0</v>
      </c>
      <c r="AA147" s="212">
        <f t="shared" si="65"/>
        <v>20668</v>
      </c>
      <c r="AB147" s="68">
        <f t="shared" si="66"/>
        <v>0.19238636459621716</v>
      </c>
      <c r="AD147" s="207">
        <f t="shared" si="48"/>
        <v>2.3903889671099243E-2</v>
      </c>
      <c r="AE147" s="213">
        <f t="shared" si="67"/>
        <v>1.3100014722906295</v>
      </c>
      <c r="AF147" s="10">
        <f t="shared" si="49"/>
        <v>0</v>
      </c>
      <c r="AG147" s="214"/>
      <c r="AH147" s="214">
        <v>3.9199999999999999E-2</v>
      </c>
      <c r="AI147" s="181"/>
      <c r="AJ147" s="214"/>
      <c r="AK147" s="214"/>
      <c r="AL147" s="214"/>
      <c r="AM147" s="10"/>
      <c r="AN147" s="10"/>
    </row>
    <row r="148" spans="1:40" ht="12.75" customHeight="1">
      <c r="A148" s="201">
        <v>139</v>
      </c>
      <c r="B148" s="201" t="s">
        <v>1405</v>
      </c>
      <c r="C148" s="202">
        <v>3551620800</v>
      </c>
      <c r="D148" s="202">
        <f t="shared" si="50"/>
        <v>12606796.553159578</v>
      </c>
      <c r="E148" s="202">
        <v>1312337000</v>
      </c>
      <c r="F148" s="202">
        <f t="shared" si="68"/>
        <v>18698049.854202911</v>
      </c>
      <c r="G148" s="202">
        <f t="shared" si="51"/>
        <v>31304846</v>
      </c>
      <c r="H148" s="203">
        <f t="shared" si="52"/>
        <v>34425643.274785757</v>
      </c>
      <c r="I148" s="204">
        <f t="shared" si="53"/>
        <v>28401156</v>
      </c>
      <c r="J148" s="204">
        <f t="shared" si="54"/>
        <v>28401156</v>
      </c>
      <c r="K148" s="198">
        <f t="shared" si="55"/>
        <v>82.5</v>
      </c>
      <c r="L148" s="205"/>
      <c r="M148" s="206">
        <v>28492398</v>
      </c>
      <c r="N148" s="207">
        <f t="shared" si="56"/>
        <v>6.3899999999999998E-2</v>
      </c>
      <c r="O148" s="204">
        <f t="shared" si="57"/>
        <v>30313062</v>
      </c>
      <c r="P148" s="208">
        <f t="shared" si="58"/>
        <v>88.05372715345041</v>
      </c>
      <c r="Q148" s="208">
        <f t="shared" si="59"/>
        <v>0</v>
      </c>
      <c r="R148" s="209">
        <f t="shared" si="60"/>
        <v>0</v>
      </c>
      <c r="S148" s="204">
        <f t="shared" si="61"/>
        <v>0</v>
      </c>
      <c r="T148" s="210">
        <f t="shared" si="62"/>
        <v>1911906</v>
      </c>
      <c r="U148" s="210">
        <f t="shared" si="46"/>
        <v>1625120.0999999999</v>
      </c>
      <c r="V148" s="203">
        <f>MIN(H148*parameters!C$22,ROUND(O148+S148-U148,0))</f>
        <v>28687942</v>
      </c>
      <c r="W148" s="211">
        <f t="shared" si="63"/>
        <v>83.333060100032469</v>
      </c>
      <c r="X148" s="208"/>
      <c r="Y148" s="212">
        <f t="shared" si="64"/>
        <v>0</v>
      </c>
      <c r="Z148" s="212">
        <f t="shared" si="47"/>
        <v>0</v>
      </c>
      <c r="AA148" s="212">
        <f t="shared" si="65"/>
        <v>286786</v>
      </c>
      <c r="AB148" s="68">
        <f t="shared" si="66"/>
        <v>0.83306010003246911</v>
      </c>
      <c r="AD148" s="207">
        <f t="shared" si="48"/>
        <v>6.7317893680102311E-2</v>
      </c>
      <c r="AE148" s="213">
        <f t="shared" si="67"/>
        <v>5.55372715345041</v>
      </c>
      <c r="AF148" s="10">
        <f t="shared" si="49"/>
        <v>0</v>
      </c>
      <c r="AG148" s="214"/>
      <c r="AH148" s="214">
        <v>6.3899999999999998E-2</v>
      </c>
      <c r="AI148" s="181"/>
      <c r="AJ148" s="214"/>
      <c r="AK148" s="214"/>
      <c r="AL148" s="214"/>
      <c r="AM148" s="10"/>
      <c r="AN148" s="10"/>
    </row>
    <row r="149" spans="1:40" ht="12.75" customHeight="1">
      <c r="A149" s="201">
        <v>140</v>
      </c>
      <c r="B149" s="201" t="s">
        <v>1406</v>
      </c>
      <c r="C149" s="202">
        <v>417293300</v>
      </c>
      <c r="D149" s="202">
        <f t="shared" si="50"/>
        <v>1481219.9928822878</v>
      </c>
      <c r="E149" s="202">
        <v>143008000</v>
      </c>
      <c r="F149" s="202">
        <f t="shared" si="68"/>
        <v>2037564.0658991174</v>
      </c>
      <c r="G149" s="202">
        <f t="shared" si="51"/>
        <v>3518784</v>
      </c>
      <c r="H149" s="203">
        <f t="shared" si="52"/>
        <v>6721321.4839666225</v>
      </c>
      <c r="I149" s="204">
        <f t="shared" si="53"/>
        <v>5545090</v>
      </c>
      <c r="J149" s="204">
        <f t="shared" si="54"/>
        <v>3518784</v>
      </c>
      <c r="K149" s="198">
        <f t="shared" si="55"/>
        <v>52.35</v>
      </c>
      <c r="L149" s="205"/>
      <c r="M149" s="206">
        <v>3621144</v>
      </c>
      <c r="N149" s="207">
        <f t="shared" si="56"/>
        <v>4.36E-2</v>
      </c>
      <c r="O149" s="204">
        <f t="shared" si="57"/>
        <v>3779026</v>
      </c>
      <c r="P149" s="208">
        <f t="shared" si="58"/>
        <v>56.224449448143169</v>
      </c>
      <c r="Q149" s="208">
        <f t="shared" si="59"/>
        <v>0</v>
      </c>
      <c r="R149" s="209">
        <f t="shared" si="60"/>
        <v>0</v>
      </c>
      <c r="S149" s="204">
        <f t="shared" si="61"/>
        <v>0</v>
      </c>
      <c r="T149" s="210">
        <f t="shared" si="62"/>
        <v>260242</v>
      </c>
      <c r="U149" s="210">
        <f t="shared" si="46"/>
        <v>221205.69999999998</v>
      </c>
      <c r="V149" s="203">
        <f>MIN(H149*parameters!C$22,ROUND(O149+S149-U149,0))</f>
        <v>3557820</v>
      </c>
      <c r="W149" s="211">
        <f t="shared" si="63"/>
        <v>52.933340690324101</v>
      </c>
      <c r="X149" s="208"/>
      <c r="Y149" s="212">
        <f t="shared" si="64"/>
        <v>0</v>
      </c>
      <c r="Z149" s="212">
        <f t="shared" si="47"/>
        <v>0</v>
      </c>
      <c r="AA149" s="212">
        <f t="shared" si="65"/>
        <v>39036</v>
      </c>
      <c r="AB149" s="68">
        <f t="shared" si="66"/>
        <v>0.58334069032409985</v>
      </c>
      <c r="AD149" s="207">
        <f t="shared" si="48"/>
        <v>7.3957935468616426E-2</v>
      </c>
      <c r="AE149" s="213">
        <f t="shared" si="67"/>
        <v>3.8744494481431673</v>
      </c>
      <c r="AF149" s="10">
        <f t="shared" si="49"/>
        <v>0</v>
      </c>
      <c r="AG149" s="214"/>
      <c r="AH149" s="214">
        <v>4.36E-2</v>
      </c>
      <c r="AI149" s="181"/>
      <c r="AJ149" s="214"/>
      <c r="AK149" s="214"/>
      <c r="AL149" s="214"/>
      <c r="AM149" s="10"/>
      <c r="AN149" s="10"/>
    </row>
    <row r="150" spans="1:40" ht="12.75" customHeight="1">
      <c r="A150" s="201">
        <v>141</v>
      </c>
      <c r="B150" s="201" t="s">
        <v>1407</v>
      </c>
      <c r="C150" s="202">
        <v>2465036000</v>
      </c>
      <c r="D150" s="202">
        <f t="shared" si="50"/>
        <v>8749866.3562884517</v>
      </c>
      <c r="E150" s="202">
        <v>701468000</v>
      </c>
      <c r="F150" s="202">
        <f t="shared" si="68"/>
        <v>9994447.7943759933</v>
      </c>
      <c r="G150" s="202">
        <f t="shared" si="51"/>
        <v>18744314</v>
      </c>
      <c r="H150" s="203">
        <f t="shared" si="52"/>
        <v>31439014.466094594</v>
      </c>
      <c r="I150" s="204">
        <f t="shared" si="53"/>
        <v>25937187</v>
      </c>
      <c r="J150" s="204">
        <f t="shared" si="54"/>
        <v>18744314</v>
      </c>
      <c r="K150" s="198">
        <f t="shared" si="55"/>
        <v>59.62</v>
      </c>
      <c r="L150" s="205"/>
      <c r="M150" s="206">
        <v>18299064</v>
      </c>
      <c r="N150" s="207">
        <f t="shared" si="56"/>
        <v>4.3999999999999997E-2</v>
      </c>
      <c r="O150" s="204">
        <f t="shared" si="57"/>
        <v>19104223</v>
      </c>
      <c r="P150" s="208">
        <f t="shared" si="58"/>
        <v>60.765972866620707</v>
      </c>
      <c r="Q150" s="208">
        <f t="shared" si="59"/>
        <v>0</v>
      </c>
      <c r="R150" s="209">
        <f t="shared" si="60"/>
        <v>0</v>
      </c>
      <c r="S150" s="204">
        <f t="shared" si="61"/>
        <v>0</v>
      </c>
      <c r="T150" s="210">
        <f t="shared" si="62"/>
        <v>359909</v>
      </c>
      <c r="U150" s="210">
        <f t="shared" si="46"/>
        <v>305922.64999999997</v>
      </c>
      <c r="V150" s="203">
        <f>MIN(H150*parameters!C$22,ROUND(O150+S150-U150,0))</f>
        <v>18798300</v>
      </c>
      <c r="W150" s="211">
        <f t="shared" si="63"/>
        <v>59.792904832538653</v>
      </c>
      <c r="X150" s="208"/>
      <c r="Y150" s="212">
        <f t="shared" si="64"/>
        <v>0</v>
      </c>
      <c r="Z150" s="212">
        <f t="shared" si="47"/>
        <v>0</v>
      </c>
      <c r="AA150" s="212">
        <f t="shared" si="65"/>
        <v>53986</v>
      </c>
      <c r="AB150" s="68">
        <f t="shared" si="66"/>
        <v>0.17290483253865574</v>
      </c>
      <c r="AD150" s="207">
        <f t="shared" si="48"/>
        <v>1.9200969424647923E-2</v>
      </c>
      <c r="AE150" s="213">
        <f t="shared" si="67"/>
        <v>1.1459728666207099</v>
      </c>
      <c r="AF150" s="10">
        <f t="shared" si="49"/>
        <v>0</v>
      </c>
      <c r="AG150" s="214"/>
      <c r="AH150" s="214">
        <v>4.3999999999999997E-2</v>
      </c>
      <c r="AI150" s="181"/>
      <c r="AJ150" s="214"/>
      <c r="AK150" s="214"/>
      <c r="AL150" s="214"/>
      <c r="AM150" s="10"/>
      <c r="AN150" s="10"/>
    </row>
    <row r="151" spans="1:40" ht="12.75" customHeight="1">
      <c r="A151" s="201">
        <v>142</v>
      </c>
      <c r="B151" s="201" t="s">
        <v>1408</v>
      </c>
      <c r="C151" s="202">
        <v>2074982700</v>
      </c>
      <c r="D151" s="202">
        <f t="shared" si="50"/>
        <v>7365337.1863983208</v>
      </c>
      <c r="E151" s="202">
        <v>382370000</v>
      </c>
      <c r="F151" s="202">
        <f t="shared" si="68"/>
        <v>5447970.5462480811</v>
      </c>
      <c r="G151" s="202">
        <f t="shared" si="51"/>
        <v>12813308</v>
      </c>
      <c r="H151" s="203">
        <f t="shared" si="52"/>
        <v>10207764.981851343</v>
      </c>
      <c r="I151" s="204">
        <f t="shared" si="53"/>
        <v>8421406</v>
      </c>
      <c r="J151" s="204">
        <f t="shared" si="54"/>
        <v>8421406</v>
      </c>
      <c r="K151" s="198">
        <f t="shared" si="55"/>
        <v>82.5</v>
      </c>
      <c r="L151" s="205"/>
      <c r="M151" s="206">
        <v>8708283</v>
      </c>
      <c r="N151" s="207">
        <f t="shared" si="56"/>
        <v>3.5299999999999998E-2</v>
      </c>
      <c r="O151" s="204">
        <f t="shared" si="57"/>
        <v>9015685</v>
      </c>
      <c r="P151" s="208">
        <f t="shared" si="58"/>
        <v>88.321831625524553</v>
      </c>
      <c r="Q151" s="208">
        <f t="shared" si="59"/>
        <v>0</v>
      </c>
      <c r="R151" s="209">
        <f t="shared" si="60"/>
        <v>0</v>
      </c>
      <c r="S151" s="204">
        <f t="shared" si="61"/>
        <v>0</v>
      </c>
      <c r="T151" s="210">
        <f t="shared" si="62"/>
        <v>594279</v>
      </c>
      <c r="U151" s="210">
        <f t="shared" si="46"/>
        <v>505137.14999999997</v>
      </c>
      <c r="V151" s="203">
        <f>MIN(H151*parameters!C$22,ROUND(O151+S151-U151,0))</f>
        <v>8510548</v>
      </c>
      <c r="W151" s="211">
        <f t="shared" si="63"/>
        <v>83.373275297101074</v>
      </c>
      <c r="X151" s="208"/>
      <c r="Y151" s="212">
        <f t="shared" si="64"/>
        <v>0</v>
      </c>
      <c r="Z151" s="212">
        <f t="shared" si="47"/>
        <v>0</v>
      </c>
      <c r="AA151" s="212">
        <f t="shared" si="65"/>
        <v>89142</v>
      </c>
      <c r="AB151" s="68">
        <f t="shared" si="66"/>
        <v>0.87327529710107399</v>
      </c>
      <c r="AD151" s="207">
        <f t="shared" si="48"/>
        <v>7.0567670054145354E-2</v>
      </c>
      <c r="AE151" s="213">
        <f t="shared" si="67"/>
        <v>5.8218316255245526</v>
      </c>
      <c r="AF151" s="10">
        <f t="shared" si="49"/>
        <v>0</v>
      </c>
      <c r="AG151" s="214"/>
      <c r="AH151" s="214">
        <v>3.5299999999999998E-2</v>
      </c>
      <c r="AI151" s="181"/>
      <c r="AJ151" s="214"/>
      <c r="AK151" s="214"/>
      <c r="AL151" s="214"/>
      <c r="AM151" s="10"/>
      <c r="AN151" s="10"/>
    </row>
    <row r="152" spans="1:40" ht="12.75" customHeight="1">
      <c r="A152" s="201">
        <v>143</v>
      </c>
      <c r="B152" s="201" t="s">
        <v>1409</v>
      </c>
      <c r="C152" s="202">
        <v>196611000</v>
      </c>
      <c r="D152" s="202">
        <f t="shared" si="50"/>
        <v>697888.37736091018</v>
      </c>
      <c r="E152" s="202">
        <v>62687000</v>
      </c>
      <c r="F152" s="202">
        <f t="shared" si="68"/>
        <v>893158.27505466808</v>
      </c>
      <c r="G152" s="202">
        <f t="shared" si="51"/>
        <v>1591047</v>
      </c>
      <c r="H152" s="203">
        <f t="shared" si="52"/>
        <v>3044278.9069541264</v>
      </c>
      <c r="I152" s="204">
        <f t="shared" si="53"/>
        <v>2511530</v>
      </c>
      <c r="J152" s="204">
        <f t="shared" si="54"/>
        <v>1591047</v>
      </c>
      <c r="K152" s="198">
        <f t="shared" si="55"/>
        <v>52.26</v>
      </c>
      <c r="L152" s="205"/>
      <c r="M152" s="206">
        <v>1681724</v>
      </c>
      <c r="N152" s="207">
        <f t="shared" si="56"/>
        <v>2.87E-2</v>
      </c>
      <c r="O152" s="204">
        <f t="shared" si="57"/>
        <v>1729989</v>
      </c>
      <c r="P152" s="208">
        <f t="shared" si="58"/>
        <v>56.827546124244421</v>
      </c>
      <c r="Q152" s="208">
        <f t="shared" si="59"/>
        <v>0</v>
      </c>
      <c r="R152" s="209">
        <f t="shared" si="60"/>
        <v>0</v>
      </c>
      <c r="S152" s="204">
        <f t="shared" si="61"/>
        <v>0</v>
      </c>
      <c r="T152" s="210">
        <f t="shared" si="62"/>
        <v>138942</v>
      </c>
      <c r="U152" s="210">
        <f t="shared" si="46"/>
        <v>118100.7</v>
      </c>
      <c r="V152" s="203">
        <f>MIN(H152*parameters!C$22,ROUND(O152+S152-U152,0))</f>
        <v>1611888</v>
      </c>
      <c r="W152" s="211">
        <f t="shared" si="63"/>
        <v>52.948105257961807</v>
      </c>
      <c r="X152" s="208"/>
      <c r="Y152" s="212">
        <f t="shared" si="64"/>
        <v>0</v>
      </c>
      <c r="Z152" s="212">
        <f t="shared" si="47"/>
        <v>0</v>
      </c>
      <c r="AA152" s="212">
        <f t="shared" si="65"/>
        <v>20841</v>
      </c>
      <c r="AB152" s="68">
        <f t="shared" si="66"/>
        <v>0.68810525796180855</v>
      </c>
      <c r="AD152" s="207">
        <f t="shared" si="48"/>
        <v>8.7327401390405179E-2</v>
      </c>
      <c r="AE152" s="213">
        <f t="shared" si="67"/>
        <v>4.5675461242444229</v>
      </c>
      <c r="AF152" s="10">
        <f t="shared" si="49"/>
        <v>0</v>
      </c>
      <c r="AG152" s="214"/>
      <c r="AH152" s="214">
        <v>2.87E-2</v>
      </c>
      <c r="AI152" s="181"/>
      <c r="AJ152" s="214"/>
      <c r="AK152" s="214"/>
      <c r="AL152" s="214"/>
      <c r="AM152" s="10"/>
      <c r="AN152" s="10"/>
    </row>
    <row r="153" spans="1:40" ht="12.75" customHeight="1">
      <c r="A153" s="201">
        <v>144</v>
      </c>
      <c r="B153" s="201" t="s">
        <v>1410</v>
      </c>
      <c r="C153" s="202">
        <v>2656625000</v>
      </c>
      <c r="D153" s="202">
        <f t="shared" si="50"/>
        <v>9429928.6942563131</v>
      </c>
      <c r="E153" s="202">
        <v>720344000</v>
      </c>
      <c r="F153" s="202">
        <f t="shared" si="68"/>
        <v>10263391.205289451</v>
      </c>
      <c r="G153" s="202">
        <f t="shared" si="51"/>
        <v>19693320</v>
      </c>
      <c r="H153" s="203">
        <f t="shared" si="52"/>
        <v>18035384.810840275</v>
      </c>
      <c r="I153" s="204">
        <f t="shared" si="53"/>
        <v>14879192</v>
      </c>
      <c r="J153" s="204">
        <f t="shared" si="54"/>
        <v>14879192</v>
      </c>
      <c r="K153" s="198">
        <f t="shared" si="55"/>
        <v>82.5</v>
      </c>
      <c r="L153" s="205"/>
      <c r="M153" s="206">
        <v>15296641</v>
      </c>
      <c r="N153" s="207">
        <f t="shared" si="56"/>
        <v>4.1500000000000002E-2</v>
      </c>
      <c r="O153" s="204">
        <f t="shared" si="57"/>
        <v>15931452</v>
      </c>
      <c r="P153" s="208">
        <f t="shared" si="58"/>
        <v>88.334416853830064</v>
      </c>
      <c r="Q153" s="208">
        <f t="shared" si="59"/>
        <v>0</v>
      </c>
      <c r="R153" s="209">
        <f t="shared" si="60"/>
        <v>0</v>
      </c>
      <c r="S153" s="204">
        <f t="shared" si="61"/>
        <v>0</v>
      </c>
      <c r="T153" s="210">
        <f t="shared" si="62"/>
        <v>1052260</v>
      </c>
      <c r="U153" s="210">
        <f t="shared" si="46"/>
        <v>894421</v>
      </c>
      <c r="V153" s="203">
        <f>MIN(H153*parameters!C$22,ROUND(O153+S153-U153,0))</f>
        <v>15037031</v>
      </c>
      <c r="W153" s="211">
        <f t="shared" si="63"/>
        <v>83.375160317965069</v>
      </c>
      <c r="X153" s="208"/>
      <c r="Y153" s="212">
        <f t="shared" si="64"/>
        <v>0</v>
      </c>
      <c r="Z153" s="212">
        <f t="shared" si="47"/>
        <v>0</v>
      </c>
      <c r="AA153" s="212">
        <f t="shared" si="65"/>
        <v>157839</v>
      </c>
      <c r="AB153" s="68">
        <f t="shared" si="66"/>
        <v>0.87516031796506866</v>
      </c>
      <c r="AD153" s="207">
        <f t="shared" si="48"/>
        <v>7.0720238034430907E-2</v>
      </c>
      <c r="AE153" s="213">
        <f t="shared" si="67"/>
        <v>5.8344168538300636</v>
      </c>
      <c r="AF153" s="10">
        <f t="shared" si="49"/>
        <v>0</v>
      </c>
      <c r="AG153" s="214"/>
      <c r="AH153" s="214">
        <v>4.1500000000000002E-2</v>
      </c>
      <c r="AI153" s="181"/>
      <c r="AJ153" s="214"/>
      <c r="AK153" s="214"/>
      <c r="AL153" s="214"/>
      <c r="AM153" s="10"/>
      <c r="AN153" s="10"/>
    </row>
    <row r="154" spans="1:40" ht="12.75" customHeight="1">
      <c r="A154" s="201">
        <v>145</v>
      </c>
      <c r="B154" s="201" t="s">
        <v>1411</v>
      </c>
      <c r="C154" s="202">
        <v>1801085800</v>
      </c>
      <c r="D154" s="202">
        <f t="shared" si="50"/>
        <v>6393115.5756787611</v>
      </c>
      <c r="E154" s="202">
        <v>487974000</v>
      </c>
      <c r="F154" s="202">
        <f t="shared" si="68"/>
        <v>6952606.0604515541</v>
      </c>
      <c r="G154" s="202">
        <f t="shared" si="51"/>
        <v>13345722</v>
      </c>
      <c r="H154" s="203">
        <f t="shared" si="52"/>
        <v>21565273.443147279</v>
      </c>
      <c r="I154" s="204">
        <f t="shared" si="53"/>
        <v>17791351</v>
      </c>
      <c r="J154" s="204">
        <f t="shared" si="54"/>
        <v>13345722</v>
      </c>
      <c r="K154" s="198">
        <f t="shared" si="55"/>
        <v>61.89</v>
      </c>
      <c r="L154" s="205"/>
      <c r="M154" s="206">
        <v>13275024</v>
      </c>
      <c r="N154" s="207">
        <f t="shared" si="56"/>
        <v>4.3299999999999998E-2</v>
      </c>
      <c r="O154" s="204">
        <f t="shared" si="57"/>
        <v>13849833</v>
      </c>
      <c r="P154" s="208">
        <f t="shared" si="58"/>
        <v>64.222849000790262</v>
      </c>
      <c r="Q154" s="208">
        <f t="shared" si="59"/>
        <v>0</v>
      </c>
      <c r="R154" s="209">
        <f t="shared" si="60"/>
        <v>0</v>
      </c>
      <c r="S154" s="204">
        <f t="shared" si="61"/>
        <v>0</v>
      </c>
      <c r="T154" s="210">
        <f t="shared" si="62"/>
        <v>504111</v>
      </c>
      <c r="U154" s="210">
        <f t="shared" si="46"/>
        <v>428494.35</v>
      </c>
      <c r="V154" s="203">
        <f>MIN(H154*parameters!C$22,ROUND(O154+S154-U154,0))</f>
        <v>13421339</v>
      </c>
      <c r="W154" s="211">
        <f t="shared" si="63"/>
        <v>62.235886020099834</v>
      </c>
      <c r="X154" s="208"/>
      <c r="Y154" s="212">
        <f t="shared" si="64"/>
        <v>0</v>
      </c>
      <c r="Z154" s="212">
        <f t="shared" si="47"/>
        <v>0</v>
      </c>
      <c r="AA154" s="212">
        <f t="shared" si="65"/>
        <v>75617</v>
      </c>
      <c r="AB154" s="68">
        <f t="shared" si="66"/>
        <v>0.34588602009983305</v>
      </c>
      <c r="AD154" s="207">
        <f t="shared" si="48"/>
        <v>3.7773228005198972E-2</v>
      </c>
      <c r="AE154" s="213">
        <f t="shared" si="67"/>
        <v>2.3328490007902616</v>
      </c>
      <c r="AF154" s="10">
        <f t="shared" si="49"/>
        <v>0</v>
      </c>
      <c r="AG154" s="214"/>
      <c r="AH154" s="214">
        <v>4.3299999999999998E-2</v>
      </c>
      <c r="AI154" s="181"/>
      <c r="AJ154" s="214"/>
      <c r="AK154" s="214"/>
      <c r="AL154" s="214"/>
      <c r="AM154" s="10"/>
      <c r="AN154" s="10"/>
    </row>
    <row r="155" spans="1:40" ht="12.75" customHeight="1">
      <c r="A155" s="201">
        <v>146</v>
      </c>
      <c r="B155" s="201" t="s">
        <v>1412</v>
      </c>
      <c r="C155" s="202">
        <v>1560763600</v>
      </c>
      <c r="D155" s="202">
        <f t="shared" si="50"/>
        <v>5540070.3737225924</v>
      </c>
      <c r="E155" s="202">
        <v>410726000</v>
      </c>
      <c r="F155" s="202">
        <f t="shared" si="68"/>
        <v>5851984.074530662</v>
      </c>
      <c r="G155" s="202">
        <f t="shared" si="51"/>
        <v>11392054</v>
      </c>
      <c r="H155" s="203">
        <f t="shared" si="52"/>
        <v>17348656.15893634</v>
      </c>
      <c r="I155" s="204">
        <f t="shared" si="53"/>
        <v>14312641</v>
      </c>
      <c r="J155" s="204">
        <f t="shared" si="54"/>
        <v>11392054</v>
      </c>
      <c r="K155" s="198">
        <f t="shared" si="55"/>
        <v>65.67</v>
      </c>
      <c r="L155" s="205"/>
      <c r="M155" s="206">
        <v>11506071</v>
      </c>
      <c r="N155" s="207">
        <f t="shared" si="56"/>
        <v>0.04</v>
      </c>
      <c r="O155" s="204">
        <f t="shared" si="57"/>
        <v>11966314</v>
      </c>
      <c r="P155" s="208">
        <f t="shared" si="58"/>
        <v>68.975451991053035</v>
      </c>
      <c r="Q155" s="208">
        <f t="shared" si="59"/>
        <v>0</v>
      </c>
      <c r="R155" s="209">
        <f t="shared" si="60"/>
        <v>0</v>
      </c>
      <c r="S155" s="204">
        <f t="shared" si="61"/>
        <v>0</v>
      </c>
      <c r="T155" s="210">
        <f t="shared" si="62"/>
        <v>574260</v>
      </c>
      <c r="U155" s="210">
        <f t="shared" si="46"/>
        <v>488121</v>
      </c>
      <c r="V155" s="203">
        <f>MIN(H155*parameters!C$22,ROUND(O155+S155-U155,0))</f>
        <v>11478193</v>
      </c>
      <c r="W155" s="211">
        <f t="shared" si="63"/>
        <v>66.161856542920475</v>
      </c>
      <c r="X155" s="208"/>
      <c r="Y155" s="212">
        <f t="shared" si="64"/>
        <v>0</v>
      </c>
      <c r="Z155" s="212">
        <f t="shared" si="47"/>
        <v>0</v>
      </c>
      <c r="AA155" s="212">
        <f t="shared" si="65"/>
        <v>86139</v>
      </c>
      <c r="AB155" s="68">
        <f t="shared" si="66"/>
        <v>0.49185654292047332</v>
      </c>
      <c r="AD155" s="207">
        <f t="shared" si="48"/>
        <v>5.0408820042461173E-2</v>
      </c>
      <c r="AE155" s="213">
        <f t="shared" si="67"/>
        <v>3.3054519910530331</v>
      </c>
      <c r="AF155" s="10">
        <f t="shared" si="49"/>
        <v>0</v>
      </c>
      <c r="AG155" s="214"/>
      <c r="AH155" s="214">
        <v>0.04</v>
      </c>
      <c r="AI155" s="181"/>
      <c r="AJ155" s="214"/>
      <c r="AK155" s="214"/>
      <c r="AL155" s="214"/>
      <c r="AM155" s="10"/>
      <c r="AN155" s="10"/>
    </row>
    <row r="156" spans="1:40" ht="12.75" customHeight="1">
      <c r="A156" s="201">
        <v>147</v>
      </c>
      <c r="B156" s="201" t="s">
        <v>1413</v>
      </c>
      <c r="C156" s="202">
        <v>892728400</v>
      </c>
      <c r="D156" s="202">
        <f t="shared" si="50"/>
        <v>3168819.5192537629</v>
      </c>
      <c r="E156" s="202">
        <v>265787000</v>
      </c>
      <c r="F156" s="202">
        <f t="shared" si="68"/>
        <v>3786907.3085640576</v>
      </c>
      <c r="G156" s="202">
        <f t="shared" si="51"/>
        <v>6955727</v>
      </c>
      <c r="H156" s="203">
        <f t="shared" si="52"/>
        <v>10114727.333894985</v>
      </c>
      <c r="I156" s="204">
        <f t="shared" si="53"/>
        <v>8344650</v>
      </c>
      <c r="J156" s="204">
        <f t="shared" si="54"/>
        <v>6955727</v>
      </c>
      <c r="K156" s="198">
        <f t="shared" si="55"/>
        <v>68.77</v>
      </c>
      <c r="L156" s="205"/>
      <c r="M156" s="206">
        <v>6936897</v>
      </c>
      <c r="N156" s="207">
        <f t="shared" si="56"/>
        <v>4.7300000000000002E-2</v>
      </c>
      <c r="O156" s="204">
        <f t="shared" si="57"/>
        <v>7265012</v>
      </c>
      <c r="P156" s="208">
        <f t="shared" si="58"/>
        <v>71.826078550378341</v>
      </c>
      <c r="Q156" s="208">
        <f t="shared" si="59"/>
        <v>0</v>
      </c>
      <c r="R156" s="209">
        <f t="shared" si="60"/>
        <v>0</v>
      </c>
      <c r="S156" s="204">
        <f t="shared" si="61"/>
        <v>0</v>
      </c>
      <c r="T156" s="210">
        <f t="shared" si="62"/>
        <v>309285</v>
      </c>
      <c r="U156" s="210">
        <f t="shared" si="46"/>
        <v>262892.25</v>
      </c>
      <c r="V156" s="203">
        <f>MIN(H156*parameters!C$22,ROUND(O156+S156-U156,0))</f>
        <v>7002120</v>
      </c>
      <c r="W156" s="211">
        <f t="shared" si="63"/>
        <v>69.226977345553607</v>
      </c>
      <c r="X156" s="208"/>
      <c r="Y156" s="212">
        <f t="shared" si="64"/>
        <v>0</v>
      </c>
      <c r="Z156" s="212">
        <f t="shared" si="47"/>
        <v>0</v>
      </c>
      <c r="AA156" s="212">
        <f t="shared" si="65"/>
        <v>46393</v>
      </c>
      <c r="AB156" s="68">
        <f t="shared" si="66"/>
        <v>0.4569773455536108</v>
      </c>
      <c r="AD156" s="207">
        <f t="shared" si="48"/>
        <v>4.446479857533224E-2</v>
      </c>
      <c r="AE156" s="213">
        <f t="shared" si="67"/>
        <v>3.056078550378345</v>
      </c>
      <c r="AF156" s="10">
        <f t="shared" si="49"/>
        <v>0</v>
      </c>
      <c r="AG156" s="214"/>
      <c r="AH156" s="214">
        <v>4.7300000000000002E-2</v>
      </c>
      <c r="AI156" s="181"/>
      <c r="AJ156" s="214"/>
      <c r="AK156" s="214"/>
      <c r="AL156" s="214"/>
      <c r="AM156" s="10"/>
      <c r="AN156" s="10"/>
    </row>
    <row r="157" spans="1:40" ht="12.75" customHeight="1">
      <c r="A157" s="201">
        <v>148</v>
      </c>
      <c r="B157" s="201" t="s">
        <v>1414</v>
      </c>
      <c r="C157" s="202">
        <v>413758100</v>
      </c>
      <c r="D157" s="202">
        <f t="shared" si="50"/>
        <v>1468671.4834314114</v>
      </c>
      <c r="E157" s="202">
        <v>74344000</v>
      </c>
      <c r="F157" s="202">
        <f t="shared" si="68"/>
        <v>1059246.0765495915</v>
      </c>
      <c r="G157" s="202">
        <f t="shared" si="51"/>
        <v>2527918</v>
      </c>
      <c r="H157" s="203">
        <f t="shared" si="52"/>
        <v>4250295.5188636109</v>
      </c>
      <c r="I157" s="204">
        <f t="shared" si="53"/>
        <v>3506494</v>
      </c>
      <c r="J157" s="204">
        <f t="shared" si="54"/>
        <v>2527918</v>
      </c>
      <c r="K157" s="198">
        <f t="shared" si="55"/>
        <v>59.48</v>
      </c>
      <c r="L157" s="205"/>
      <c r="M157" s="206">
        <v>2668578</v>
      </c>
      <c r="N157" s="207">
        <f t="shared" si="56"/>
        <v>3.2800000000000003E-2</v>
      </c>
      <c r="O157" s="204">
        <f t="shared" si="57"/>
        <v>2756107</v>
      </c>
      <c r="P157" s="208">
        <f t="shared" si="58"/>
        <v>64.845067543371485</v>
      </c>
      <c r="Q157" s="208">
        <f t="shared" si="59"/>
        <v>0</v>
      </c>
      <c r="R157" s="209">
        <f t="shared" si="60"/>
        <v>0</v>
      </c>
      <c r="S157" s="204">
        <f t="shared" si="61"/>
        <v>0</v>
      </c>
      <c r="T157" s="210">
        <f t="shared" si="62"/>
        <v>228189</v>
      </c>
      <c r="U157" s="210">
        <f t="shared" si="46"/>
        <v>193960.65</v>
      </c>
      <c r="V157" s="203">
        <f>MIN(H157*parameters!C$22,ROUND(O157+S157-U157,0))</f>
        <v>2562146</v>
      </c>
      <c r="W157" s="211">
        <f t="shared" si="63"/>
        <v>60.281596623780963</v>
      </c>
      <c r="X157" s="208"/>
      <c r="Y157" s="212">
        <f t="shared" si="64"/>
        <v>0</v>
      </c>
      <c r="Z157" s="212">
        <f t="shared" si="47"/>
        <v>0</v>
      </c>
      <c r="AA157" s="212">
        <f t="shared" si="65"/>
        <v>34228</v>
      </c>
      <c r="AB157" s="68">
        <f t="shared" si="66"/>
        <v>0.80159662378096641</v>
      </c>
      <c r="AD157" s="207">
        <f t="shared" si="48"/>
        <v>9.0267564058644306E-2</v>
      </c>
      <c r="AE157" s="213">
        <f t="shared" si="67"/>
        <v>5.3650675433714881</v>
      </c>
      <c r="AF157" s="10">
        <f t="shared" si="49"/>
        <v>0</v>
      </c>
      <c r="AG157" s="214"/>
      <c r="AH157" s="214">
        <v>3.2800000000000003E-2</v>
      </c>
      <c r="AI157" s="181"/>
      <c r="AJ157" s="214"/>
      <c r="AK157" s="214"/>
      <c r="AL157" s="214"/>
      <c r="AM157" s="10"/>
      <c r="AN157" s="10"/>
    </row>
    <row r="158" spans="1:40" ht="12.75" customHeight="1">
      <c r="A158" s="201">
        <v>149</v>
      </c>
      <c r="B158" s="201" t="s">
        <v>1415</v>
      </c>
      <c r="C158" s="202">
        <v>3559850600</v>
      </c>
      <c r="D158" s="202">
        <f t="shared" si="50"/>
        <v>12636008.966340961</v>
      </c>
      <c r="E158" s="202">
        <v>1105146000</v>
      </c>
      <c r="F158" s="202">
        <f t="shared" si="68"/>
        <v>15746012.650845729</v>
      </c>
      <c r="G158" s="202">
        <f t="shared" si="51"/>
        <v>28382022</v>
      </c>
      <c r="H158" s="203">
        <f t="shared" si="52"/>
        <v>210921294.58957532</v>
      </c>
      <c r="I158" s="204">
        <f t="shared" si="53"/>
        <v>174010068</v>
      </c>
      <c r="J158" s="204">
        <f t="shared" si="54"/>
        <v>28382022</v>
      </c>
      <c r="K158" s="198">
        <f t="shared" si="55"/>
        <v>13.46</v>
      </c>
      <c r="L158" s="205"/>
      <c r="M158" s="206">
        <v>9745521</v>
      </c>
      <c r="N158" s="207">
        <f t="shared" si="56"/>
        <v>5.1200000000000002E-2</v>
      </c>
      <c r="O158" s="204">
        <f t="shared" si="57"/>
        <v>10244492</v>
      </c>
      <c r="P158" s="208">
        <f t="shared" si="58"/>
        <v>4.8570212030674353</v>
      </c>
      <c r="Q158" s="208">
        <f t="shared" si="59"/>
        <v>8.6029787969325646</v>
      </c>
      <c r="R158" s="209">
        <f t="shared" si="60"/>
        <v>0.02</v>
      </c>
      <c r="S158" s="204">
        <f t="shared" si="61"/>
        <v>194910</v>
      </c>
      <c r="T158" s="210">
        <f t="shared" si="62"/>
        <v>0</v>
      </c>
      <c r="U158" s="210">
        <f t="shared" si="46"/>
        <v>0</v>
      </c>
      <c r="V158" s="203">
        <f>MIN(H158*parameters!C$22,ROUND(O158+S158-U158,0))</f>
        <v>10439402</v>
      </c>
      <c r="W158" s="211">
        <f t="shared" si="63"/>
        <v>4.949430080217212</v>
      </c>
      <c r="X158" s="208"/>
      <c r="Y158" s="212">
        <f t="shared" si="64"/>
        <v>-18137530</v>
      </c>
      <c r="Z158" s="212">
        <f t="shared" si="47"/>
        <v>17942620</v>
      </c>
      <c r="AA158" s="212">
        <f t="shared" si="65"/>
        <v>0</v>
      </c>
      <c r="AB158" s="68">
        <f t="shared" si="66"/>
        <v>-8.5105699197827889</v>
      </c>
      <c r="AD158" s="207">
        <f t="shared" si="48"/>
        <v>-0.63904995916076734</v>
      </c>
      <c r="AE158" s="213">
        <f t="shared" si="67"/>
        <v>-8.6029787969325646</v>
      </c>
      <c r="AF158" s="10">
        <f t="shared" si="49"/>
        <v>194910.42</v>
      </c>
      <c r="AG158" s="214"/>
      <c r="AH158" s="214">
        <v>5.1200000000000002E-2</v>
      </c>
      <c r="AI158" s="181"/>
      <c r="AJ158" s="214"/>
      <c r="AK158" s="214"/>
      <c r="AL158" s="214"/>
      <c r="AM158" s="10"/>
      <c r="AN158" s="10"/>
    </row>
    <row r="159" spans="1:40" ht="12.75" customHeight="1">
      <c r="A159" s="201">
        <v>150</v>
      </c>
      <c r="B159" s="201" t="s">
        <v>1416</v>
      </c>
      <c r="C159" s="202">
        <v>971502900</v>
      </c>
      <c r="D159" s="202">
        <f t="shared" si="50"/>
        <v>3448436.6718160152</v>
      </c>
      <c r="E159" s="202">
        <v>154298000</v>
      </c>
      <c r="F159" s="202">
        <f t="shared" si="68"/>
        <v>2198422.8871119241</v>
      </c>
      <c r="G159" s="202">
        <f t="shared" si="51"/>
        <v>5646860</v>
      </c>
      <c r="H159" s="203">
        <f t="shared" si="52"/>
        <v>6757761.9564577993</v>
      </c>
      <c r="I159" s="204">
        <f t="shared" si="53"/>
        <v>5575154</v>
      </c>
      <c r="J159" s="204">
        <f t="shared" si="54"/>
        <v>5575154</v>
      </c>
      <c r="K159" s="198">
        <f t="shared" si="55"/>
        <v>82.5</v>
      </c>
      <c r="L159" s="205"/>
      <c r="M159" s="206">
        <v>5425885</v>
      </c>
      <c r="N159" s="207">
        <f t="shared" si="56"/>
        <v>4.2299999999999997E-2</v>
      </c>
      <c r="O159" s="204">
        <f t="shared" si="57"/>
        <v>5655400</v>
      </c>
      <c r="P159" s="208">
        <f t="shared" si="58"/>
        <v>83.687469852287876</v>
      </c>
      <c r="Q159" s="208">
        <f t="shared" si="59"/>
        <v>0</v>
      </c>
      <c r="R159" s="209">
        <f t="shared" si="60"/>
        <v>0</v>
      </c>
      <c r="S159" s="204">
        <f t="shared" si="61"/>
        <v>0</v>
      </c>
      <c r="T159" s="210">
        <f t="shared" si="62"/>
        <v>80246</v>
      </c>
      <c r="U159" s="210">
        <f t="shared" si="46"/>
        <v>68209.099999999991</v>
      </c>
      <c r="V159" s="203">
        <f>MIN(H159*parameters!C$22,ROUND(O159+S159-U159,0))</f>
        <v>5587191</v>
      </c>
      <c r="W159" s="211">
        <f t="shared" si="63"/>
        <v>82.678126811803608</v>
      </c>
      <c r="X159" s="208"/>
      <c r="Y159" s="212">
        <f t="shared" si="64"/>
        <v>0</v>
      </c>
      <c r="Z159" s="212">
        <f t="shared" si="47"/>
        <v>0</v>
      </c>
      <c r="AA159" s="212">
        <f t="shared" si="65"/>
        <v>12037</v>
      </c>
      <c r="AB159" s="68">
        <f t="shared" si="66"/>
        <v>0.17812681180360812</v>
      </c>
      <c r="AD159" s="207">
        <f t="shared" si="48"/>
        <v>1.4393503748954737E-2</v>
      </c>
      <c r="AE159" s="213">
        <f t="shared" si="67"/>
        <v>1.1874698522878759</v>
      </c>
      <c r="AF159" s="10">
        <f t="shared" si="49"/>
        <v>0</v>
      </c>
      <c r="AG159" s="214"/>
      <c r="AH159" s="214">
        <v>4.2299999999999997E-2</v>
      </c>
      <c r="AI159" s="181"/>
      <c r="AJ159" s="214"/>
      <c r="AK159" s="214"/>
      <c r="AL159" s="214"/>
      <c r="AM159" s="10"/>
      <c r="AN159" s="10"/>
    </row>
    <row r="160" spans="1:40" ht="12.75" customHeight="1">
      <c r="A160" s="201">
        <v>151</v>
      </c>
      <c r="B160" s="201" t="s">
        <v>1417</v>
      </c>
      <c r="C160" s="202">
        <v>938090200</v>
      </c>
      <c r="D160" s="202">
        <f t="shared" si="50"/>
        <v>3329835.2965814308</v>
      </c>
      <c r="E160" s="202">
        <v>308510000</v>
      </c>
      <c r="F160" s="202">
        <f t="shared" si="68"/>
        <v>4395620.4545937059</v>
      </c>
      <c r="G160" s="202">
        <f t="shared" si="51"/>
        <v>7725456</v>
      </c>
      <c r="H160" s="203">
        <f t="shared" si="52"/>
        <v>16281458.222080152</v>
      </c>
      <c r="I160" s="204">
        <f t="shared" si="53"/>
        <v>13432203</v>
      </c>
      <c r="J160" s="204">
        <f t="shared" si="54"/>
        <v>7725456</v>
      </c>
      <c r="K160" s="198">
        <f t="shared" si="55"/>
        <v>47.45</v>
      </c>
      <c r="L160" s="205"/>
      <c r="M160" s="206">
        <v>7913187</v>
      </c>
      <c r="N160" s="207">
        <f t="shared" si="56"/>
        <v>3.8300000000000001E-2</v>
      </c>
      <c r="O160" s="204">
        <f t="shared" si="57"/>
        <v>8216262</v>
      </c>
      <c r="P160" s="208">
        <f t="shared" si="58"/>
        <v>50.463919680471186</v>
      </c>
      <c r="Q160" s="208">
        <f t="shared" si="59"/>
        <v>0</v>
      </c>
      <c r="R160" s="209">
        <f t="shared" si="60"/>
        <v>0</v>
      </c>
      <c r="S160" s="204">
        <f t="shared" si="61"/>
        <v>0</v>
      </c>
      <c r="T160" s="210">
        <f t="shared" si="62"/>
        <v>490806</v>
      </c>
      <c r="U160" s="210">
        <f t="shared" si="46"/>
        <v>417185.1</v>
      </c>
      <c r="V160" s="203">
        <f>MIN(H160*parameters!C$22,ROUND(O160+S160-U160,0))</f>
        <v>7799077</v>
      </c>
      <c r="W160" s="211">
        <f t="shared" si="63"/>
        <v>47.901587767017432</v>
      </c>
      <c r="X160" s="208"/>
      <c r="Y160" s="212">
        <f t="shared" si="64"/>
        <v>0</v>
      </c>
      <c r="Z160" s="212">
        <f t="shared" si="47"/>
        <v>0</v>
      </c>
      <c r="AA160" s="212">
        <f t="shared" si="65"/>
        <v>73621</v>
      </c>
      <c r="AB160" s="68">
        <f t="shared" si="66"/>
        <v>0.45158776701742909</v>
      </c>
      <c r="AD160" s="207">
        <f t="shared" si="48"/>
        <v>6.3531007101716719E-2</v>
      </c>
      <c r="AE160" s="213">
        <f t="shared" si="67"/>
        <v>3.013919680471183</v>
      </c>
      <c r="AF160" s="10">
        <f t="shared" si="49"/>
        <v>0</v>
      </c>
      <c r="AG160" s="214"/>
      <c r="AH160" s="214">
        <v>3.8300000000000001E-2</v>
      </c>
      <c r="AI160" s="181"/>
      <c r="AJ160" s="214"/>
      <c r="AK160" s="214"/>
      <c r="AL160" s="214"/>
      <c r="AM160" s="10"/>
      <c r="AN160" s="10"/>
    </row>
    <row r="161" spans="1:40" ht="12.75" customHeight="1">
      <c r="A161" s="201">
        <v>152</v>
      </c>
      <c r="B161" s="201" t="s">
        <v>1418</v>
      </c>
      <c r="C161" s="202">
        <v>1236509800</v>
      </c>
      <c r="D161" s="202">
        <f t="shared" si="50"/>
        <v>4389102.4302448165</v>
      </c>
      <c r="E161" s="202">
        <v>213779000</v>
      </c>
      <c r="F161" s="202">
        <f t="shared" si="68"/>
        <v>3045902.3861871185</v>
      </c>
      <c r="G161" s="202">
        <f t="shared" si="51"/>
        <v>7435005</v>
      </c>
      <c r="H161" s="203">
        <f t="shared" si="52"/>
        <v>5339115.7336442946</v>
      </c>
      <c r="I161" s="204">
        <f t="shared" si="53"/>
        <v>4404770</v>
      </c>
      <c r="J161" s="204">
        <f t="shared" si="54"/>
        <v>4404770</v>
      </c>
      <c r="K161" s="198">
        <f t="shared" si="55"/>
        <v>82.5</v>
      </c>
      <c r="L161" s="205"/>
      <c r="M161" s="206">
        <v>4408169</v>
      </c>
      <c r="N161" s="207">
        <f t="shared" si="56"/>
        <v>3.6999999999999998E-2</v>
      </c>
      <c r="O161" s="204">
        <f t="shared" si="57"/>
        <v>4571271</v>
      </c>
      <c r="P161" s="208">
        <f t="shared" si="58"/>
        <v>85.618503663336199</v>
      </c>
      <c r="Q161" s="208">
        <f t="shared" si="59"/>
        <v>0</v>
      </c>
      <c r="R161" s="209">
        <f t="shared" si="60"/>
        <v>0</v>
      </c>
      <c r="S161" s="204">
        <f t="shared" si="61"/>
        <v>0</v>
      </c>
      <c r="T161" s="210">
        <f t="shared" si="62"/>
        <v>166501</v>
      </c>
      <c r="U161" s="210">
        <f t="shared" si="46"/>
        <v>141525.85</v>
      </c>
      <c r="V161" s="203">
        <f>MIN(H161*parameters!C$22,ROUND(O161+S161-U161,0))</f>
        <v>4429745</v>
      </c>
      <c r="W161" s="211">
        <f t="shared" si="63"/>
        <v>82.967765094247369</v>
      </c>
      <c r="X161" s="208"/>
      <c r="Y161" s="212">
        <f t="shared" si="64"/>
        <v>0</v>
      </c>
      <c r="Z161" s="212">
        <f t="shared" si="47"/>
        <v>0</v>
      </c>
      <c r="AA161" s="212">
        <f t="shared" si="65"/>
        <v>24975</v>
      </c>
      <c r="AB161" s="68">
        <f t="shared" si="66"/>
        <v>0.46776509424736901</v>
      </c>
      <c r="AD161" s="207">
        <f t="shared" si="48"/>
        <v>3.7800157556467193E-2</v>
      </c>
      <c r="AE161" s="213">
        <f t="shared" si="67"/>
        <v>3.1185036633361989</v>
      </c>
      <c r="AF161" s="10">
        <f t="shared" si="49"/>
        <v>0</v>
      </c>
      <c r="AG161" s="214"/>
      <c r="AH161" s="214">
        <v>3.6999999999999998E-2</v>
      </c>
      <c r="AI161" s="181"/>
      <c r="AJ161" s="214"/>
      <c r="AK161" s="214"/>
      <c r="AL161" s="214"/>
      <c r="AM161" s="10"/>
      <c r="AN161" s="10"/>
    </row>
    <row r="162" spans="1:40" ht="12.75" customHeight="1">
      <c r="A162" s="201">
        <v>153</v>
      </c>
      <c r="B162" s="201" t="s">
        <v>1419</v>
      </c>
      <c r="C162" s="202">
        <v>3443640600</v>
      </c>
      <c r="D162" s="202">
        <f t="shared" si="50"/>
        <v>12223511.149163328</v>
      </c>
      <c r="E162" s="202">
        <v>1090701000</v>
      </c>
      <c r="F162" s="202">
        <f t="shared" si="68"/>
        <v>15540201.696689928</v>
      </c>
      <c r="G162" s="202">
        <f t="shared" si="51"/>
        <v>27763713</v>
      </c>
      <c r="H162" s="203">
        <f t="shared" si="52"/>
        <v>69633698.04886961</v>
      </c>
      <c r="I162" s="204">
        <f t="shared" si="53"/>
        <v>57447801</v>
      </c>
      <c r="J162" s="204">
        <f t="shared" si="54"/>
        <v>27763713</v>
      </c>
      <c r="K162" s="198">
        <f t="shared" si="55"/>
        <v>39.869999999999997</v>
      </c>
      <c r="L162" s="205"/>
      <c r="M162" s="206">
        <v>27478840</v>
      </c>
      <c r="N162" s="207">
        <f t="shared" si="56"/>
        <v>3.8600000000000002E-2</v>
      </c>
      <c r="O162" s="204">
        <f t="shared" si="57"/>
        <v>28539523</v>
      </c>
      <c r="P162" s="208">
        <f t="shared" si="58"/>
        <v>40.985218076412778</v>
      </c>
      <c r="Q162" s="208">
        <f t="shared" si="59"/>
        <v>0</v>
      </c>
      <c r="R162" s="209">
        <f t="shared" si="60"/>
        <v>0</v>
      </c>
      <c r="S162" s="204">
        <f t="shared" si="61"/>
        <v>0</v>
      </c>
      <c r="T162" s="210">
        <f t="shared" si="62"/>
        <v>775810</v>
      </c>
      <c r="U162" s="210">
        <f t="shared" si="46"/>
        <v>659438.5</v>
      </c>
      <c r="V162" s="203">
        <f>MIN(H162*parameters!C$22,ROUND(O162+S162-U162,0))</f>
        <v>27880085</v>
      </c>
      <c r="W162" s="211">
        <f t="shared" si="63"/>
        <v>40.038208196889791</v>
      </c>
      <c r="X162" s="208"/>
      <c r="Y162" s="212">
        <f t="shared" si="64"/>
        <v>0</v>
      </c>
      <c r="Z162" s="212">
        <f t="shared" si="47"/>
        <v>0</v>
      </c>
      <c r="AA162" s="212">
        <f t="shared" si="65"/>
        <v>116372</v>
      </c>
      <c r="AB162" s="68">
        <f t="shared" si="66"/>
        <v>0.16820819688979327</v>
      </c>
      <c r="AD162" s="207">
        <f t="shared" si="48"/>
        <v>2.7943308591325662E-2</v>
      </c>
      <c r="AE162" s="213">
        <f t="shared" si="67"/>
        <v>1.1152180764127806</v>
      </c>
      <c r="AF162" s="10">
        <f t="shared" si="49"/>
        <v>0</v>
      </c>
      <c r="AG162" s="214"/>
      <c r="AH162" s="214">
        <v>3.8600000000000002E-2</v>
      </c>
      <c r="AI162" s="181"/>
      <c r="AJ162" s="214"/>
      <c r="AK162" s="214"/>
      <c r="AL162" s="214"/>
      <c r="AM162" s="10"/>
      <c r="AN162" s="10"/>
    </row>
    <row r="163" spans="1:40" ht="12.75" customHeight="1">
      <c r="A163" s="201">
        <v>154</v>
      </c>
      <c r="B163" s="201" t="s">
        <v>1420</v>
      </c>
      <c r="C163" s="202">
        <v>263543700</v>
      </c>
      <c r="D163" s="202">
        <f t="shared" si="50"/>
        <v>935471.99880317226</v>
      </c>
      <c r="E163" s="202">
        <v>69352000</v>
      </c>
      <c r="F163" s="202">
        <f t="shared" si="68"/>
        <v>988120.54639066057</v>
      </c>
      <c r="G163" s="202">
        <f t="shared" si="51"/>
        <v>1923593</v>
      </c>
      <c r="H163" s="203">
        <f t="shared" si="52"/>
        <v>2109765.9190095435</v>
      </c>
      <c r="I163" s="204">
        <f t="shared" si="53"/>
        <v>1740557</v>
      </c>
      <c r="J163" s="204">
        <f t="shared" si="54"/>
        <v>1740557</v>
      </c>
      <c r="K163" s="198">
        <f t="shared" si="55"/>
        <v>82.5</v>
      </c>
      <c r="L163" s="205"/>
      <c r="M163" s="206">
        <v>1735189</v>
      </c>
      <c r="N163" s="207">
        <f t="shared" si="56"/>
        <v>3.15E-2</v>
      </c>
      <c r="O163" s="204">
        <f t="shared" si="57"/>
        <v>1789847</v>
      </c>
      <c r="P163" s="208">
        <f t="shared" si="58"/>
        <v>84.836283678346007</v>
      </c>
      <c r="Q163" s="208">
        <f t="shared" si="59"/>
        <v>0</v>
      </c>
      <c r="R163" s="209">
        <f t="shared" si="60"/>
        <v>0</v>
      </c>
      <c r="S163" s="204">
        <f t="shared" si="61"/>
        <v>0</v>
      </c>
      <c r="T163" s="210">
        <f t="shared" si="62"/>
        <v>49290</v>
      </c>
      <c r="U163" s="210">
        <f t="shared" si="46"/>
        <v>41896.5</v>
      </c>
      <c r="V163" s="203">
        <f>MIN(H163*parameters!C$22,ROUND(O163+S163-U163,0))</f>
        <v>1747951</v>
      </c>
      <c r="W163" s="211">
        <f t="shared" si="63"/>
        <v>82.850470957488866</v>
      </c>
      <c r="X163" s="208"/>
      <c r="Y163" s="212">
        <f t="shared" si="64"/>
        <v>0</v>
      </c>
      <c r="Z163" s="212">
        <f t="shared" si="47"/>
        <v>0</v>
      </c>
      <c r="AA163" s="212">
        <f t="shared" si="65"/>
        <v>7394</v>
      </c>
      <c r="AB163" s="68">
        <f t="shared" si="66"/>
        <v>0.35047095748886647</v>
      </c>
      <c r="AD163" s="207">
        <f t="shared" si="48"/>
        <v>2.831852102516608E-2</v>
      </c>
      <c r="AE163" s="213">
        <f t="shared" si="67"/>
        <v>2.3362836783460068</v>
      </c>
      <c r="AF163" s="10">
        <f t="shared" si="49"/>
        <v>0</v>
      </c>
      <c r="AG163" s="214"/>
      <c r="AH163" s="214">
        <v>3.15E-2</v>
      </c>
      <c r="AI163" s="181"/>
      <c r="AJ163" s="214"/>
      <c r="AK163" s="214"/>
      <c r="AL163" s="214"/>
      <c r="AM163" s="10"/>
      <c r="AN163" s="10"/>
    </row>
    <row r="164" spans="1:40" ht="12.75" customHeight="1">
      <c r="A164" s="201">
        <v>155</v>
      </c>
      <c r="B164" s="201" t="s">
        <v>1421</v>
      </c>
      <c r="C164" s="202">
        <v>10863785200</v>
      </c>
      <c r="D164" s="202">
        <f t="shared" si="50"/>
        <v>38561979.875111111</v>
      </c>
      <c r="E164" s="202">
        <v>3471009000</v>
      </c>
      <c r="F164" s="202">
        <f t="shared" si="68"/>
        <v>49454598.419755742</v>
      </c>
      <c r="G164" s="202">
        <f t="shared" si="51"/>
        <v>88016578</v>
      </c>
      <c r="H164" s="203">
        <f t="shared" si="52"/>
        <v>74972570.014732406</v>
      </c>
      <c r="I164" s="204">
        <f t="shared" si="53"/>
        <v>61852370</v>
      </c>
      <c r="J164" s="204">
        <f t="shared" si="54"/>
        <v>61852370</v>
      </c>
      <c r="K164" s="198">
        <f t="shared" si="55"/>
        <v>82.5</v>
      </c>
      <c r="L164" s="205"/>
      <c r="M164" s="206">
        <v>58154188</v>
      </c>
      <c r="N164" s="207">
        <f t="shared" si="56"/>
        <v>4.5499999999999999E-2</v>
      </c>
      <c r="O164" s="204">
        <f t="shared" si="57"/>
        <v>60800204</v>
      </c>
      <c r="P164" s="208">
        <f t="shared" si="58"/>
        <v>81.096598379984201</v>
      </c>
      <c r="Q164" s="208">
        <f t="shared" si="59"/>
        <v>1.4034016200157993</v>
      </c>
      <c r="R164" s="209">
        <f t="shared" si="60"/>
        <v>0</v>
      </c>
      <c r="S164" s="204">
        <f t="shared" si="61"/>
        <v>0</v>
      </c>
      <c r="T164" s="210">
        <f t="shared" si="62"/>
        <v>0</v>
      </c>
      <c r="U164" s="210">
        <f t="shared" si="46"/>
        <v>0</v>
      </c>
      <c r="V164" s="203">
        <f>MIN(H164*parameters!C$22,ROUND(O164+S164-U164,0))</f>
        <v>60800204</v>
      </c>
      <c r="W164" s="211">
        <f t="shared" si="63"/>
        <v>81.096598379984201</v>
      </c>
      <c r="X164" s="208"/>
      <c r="Y164" s="212">
        <f t="shared" si="64"/>
        <v>-1052166</v>
      </c>
      <c r="Z164" s="212">
        <f t="shared" si="47"/>
        <v>1052166</v>
      </c>
      <c r="AA164" s="212">
        <f t="shared" si="65"/>
        <v>0</v>
      </c>
      <c r="AB164" s="68">
        <f t="shared" si="66"/>
        <v>-1.4034016200157993</v>
      </c>
      <c r="AD164" s="207">
        <f t="shared" si="48"/>
        <v>-1.7010924561176879E-2</v>
      </c>
      <c r="AE164" s="213">
        <f t="shared" si="67"/>
        <v>-1.4034016200157993</v>
      </c>
      <c r="AF164" s="10">
        <f t="shared" si="49"/>
        <v>0</v>
      </c>
      <c r="AG164" s="214"/>
      <c r="AH164" s="214">
        <v>4.5499999999999999E-2</v>
      </c>
      <c r="AI164" s="181"/>
      <c r="AJ164" s="214"/>
      <c r="AK164" s="214"/>
      <c r="AL164" s="214"/>
      <c r="AM164" s="10"/>
      <c r="AN164" s="10"/>
    </row>
    <row r="165" spans="1:40" ht="12.75" customHeight="1">
      <c r="A165" s="201">
        <v>156</v>
      </c>
      <c r="B165" s="201" t="s">
        <v>1422</v>
      </c>
      <c r="C165" s="202">
        <v>84406000</v>
      </c>
      <c r="D165" s="202">
        <f t="shared" si="50"/>
        <v>299606.66686769808</v>
      </c>
      <c r="E165" s="202">
        <v>23572000</v>
      </c>
      <c r="F165" s="202">
        <f t="shared" si="68"/>
        <v>335851.56188027241</v>
      </c>
      <c r="G165" s="202">
        <f t="shared" si="51"/>
        <v>635458</v>
      </c>
      <c r="H165" s="203">
        <f t="shared" si="52"/>
        <v>664645.4578918803</v>
      </c>
      <c r="I165" s="204">
        <f t="shared" si="53"/>
        <v>548333</v>
      </c>
      <c r="J165" s="204">
        <f t="shared" si="54"/>
        <v>548333</v>
      </c>
      <c r="K165" s="198">
        <f t="shared" si="55"/>
        <v>82.5</v>
      </c>
      <c r="L165" s="205"/>
      <c r="M165" s="206">
        <v>582712</v>
      </c>
      <c r="N165" s="207">
        <f t="shared" si="56"/>
        <v>2.7300000000000001E-2</v>
      </c>
      <c r="O165" s="204">
        <f t="shared" si="57"/>
        <v>598620</v>
      </c>
      <c r="P165" s="208">
        <f t="shared" si="58"/>
        <v>90.066063476714405</v>
      </c>
      <c r="Q165" s="208">
        <f t="shared" si="59"/>
        <v>0</v>
      </c>
      <c r="R165" s="209">
        <f t="shared" si="60"/>
        <v>0</v>
      </c>
      <c r="S165" s="204">
        <f t="shared" si="61"/>
        <v>0</v>
      </c>
      <c r="T165" s="210">
        <f t="shared" si="62"/>
        <v>50287</v>
      </c>
      <c r="U165" s="210">
        <f t="shared" si="46"/>
        <v>42743.95</v>
      </c>
      <c r="V165" s="203">
        <f>MIN(H165*parameters!C$22,ROUND(O165+S165-U165,0))</f>
        <v>555876</v>
      </c>
      <c r="W165" s="211">
        <f t="shared" si="63"/>
        <v>83.634965589492651</v>
      </c>
      <c r="X165" s="208"/>
      <c r="Y165" s="212">
        <f t="shared" si="64"/>
        <v>0</v>
      </c>
      <c r="Z165" s="212">
        <f t="shared" si="47"/>
        <v>0</v>
      </c>
      <c r="AA165" s="212">
        <f t="shared" si="65"/>
        <v>7543</v>
      </c>
      <c r="AB165" s="68">
        <f t="shared" si="66"/>
        <v>1.1349655894926514</v>
      </c>
      <c r="AD165" s="207">
        <f t="shared" si="48"/>
        <v>9.1708870339738804E-2</v>
      </c>
      <c r="AE165" s="213">
        <f t="shared" si="67"/>
        <v>7.5660634767144046</v>
      </c>
      <c r="AF165" s="10">
        <f t="shared" si="49"/>
        <v>0</v>
      </c>
      <c r="AG165" s="214"/>
      <c r="AH165" s="214">
        <v>2.7300000000000001E-2</v>
      </c>
      <c r="AI165" s="181"/>
      <c r="AJ165" s="214"/>
      <c r="AK165" s="214"/>
      <c r="AL165" s="214"/>
      <c r="AM165" s="10"/>
      <c r="AN165" s="10"/>
    </row>
    <row r="166" spans="1:40" ht="12.75" customHeight="1">
      <c r="A166" s="201">
        <v>157</v>
      </c>
      <c r="B166" s="201" t="s">
        <v>1423</v>
      </c>
      <c r="C166" s="202">
        <v>2091782100</v>
      </c>
      <c r="D166" s="202">
        <f t="shared" si="50"/>
        <v>7424968.1633357098</v>
      </c>
      <c r="E166" s="202">
        <v>996997000</v>
      </c>
      <c r="F166" s="202">
        <f t="shared" si="68"/>
        <v>14205116.224331662</v>
      </c>
      <c r="G166" s="202">
        <f t="shared" si="51"/>
        <v>21630084</v>
      </c>
      <c r="H166" s="203">
        <f t="shared" si="52"/>
        <v>8446298.5553220883</v>
      </c>
      <c r="I166" s="204">
        <f t="shared" si="53"/>
        <v>6968196</v>
      </c>
      <c r="J166" s="204">
        <f t="shared" si="54"/>
        <v>6968196</v>
      </c>
      <c r="K166" s="198">
        <f t="shared" si="55"/>
        <v>82.5</v>
      </c>
      <c r="L166" s="205"/>
      <c r="M166" s="206">
        <v>7127220</v>
      </c>
      <c r="N166" s="207">
        <f t="shared" si="56"/>
        <v>2.8500000000000001E-2</v>
      </c>
      <c r="O166" s="204">
        <f t="shared" si="57"/>
        <v>7330346</v>
      </c>
      <c r="P166" s="208">
        <f t="shared" si="58"/>
        <v>86.787673345753134</v>
      </c>
      <c r="Q166" s="208">
        <f t="shared" si="59"/>
        <v>0</v>
      </c>
      <c r="R166" s="209">
        <f t="shared" si="60"/>
        <v>0</v>
      </c>
      <c r="S166" s="204">
        <f t="shared" si="61"/>
        <v>0</v>
      </c>
      <c r="T166" s="210">
        <f t="shared" si="62"/>
        <v>362150</v>
      </c>
      <c r="U166" s="210">
        <f t="shared" si="46"/>
        <v>307827.5</v>
      </c>
      <c r="V166" s="203">
        <f>MIN(H166*parameters!C$22,ROUND(O166+S166-U166,0))</f>
        <v>7022519</v>
      </c>
      <c r="W166" s="211">
        <f t="shared" si="63"/>
        <v>83.143153820617059</v>
      </c>
      <c r="X166" s="208"/>
      <c r="Y166" s="212">
        <f t="shared" si="64"/>
        <v>0</v>
      </c>
      <c r="Z166" s="212">
        <f t="shared" si="47"/>
        <v>0</v>
      </c>
      <c r="AA166" s="212">
        <f t="shared" si="65"/>
        <v>54323</v>
      </c>
      <c r="AB166" s="68">
        <f t="shared" si="66"/>
        <v>0.64315382061705861</v>
      </c>
      <c r="AD166" s="207">
        <f t="shared" si="48"/>
        <v>5.1971844649605151E-2</v>
      </c>
      <c r="AE166" s="213">
        <f t="shared" si="67"/>
        <v>4.2876733457531344</v>
      </c>
      <c r="AF166" s="10">
        <f t="shared" si="49"/>
        <v>0</v>
      </c>
      <c r="AG166" s="214"/>
      <c r="AH166" s="214">
        <v>2.8500000000000001E-2</v>
      </c>
      <c r="AI166" s="181"/>
      <c r="AJ166" s="214"/>
      <c r="AK166" s="214"/>
      <c r="AL166" s="214"/>
      <c r="AM166" s="10"/>
      <c r="AN166" s="10"/>
    </row>
    <row r="167" spans="1:40" ht="12.75" customHeight="1">
      <c r="A167" s="201">
        <v>158</v>
      </c>
      <c r="B167" s="201" t="s">
        <v>1424</v>
      </c>
      <c r="C167" s="202">
        <v>1710179700</v>
      </c>
      <c r="D167" s="202">
        <f t="shared" si="50"/>
        <v>6070436.2209060946</v>
      </c>
      <c r="E167" s="202">
        <v>476673000</v>
      </c>
      <c r="F167" s="202">
        <f t="shared" si="68"/>
        <v>6791590.512309311</v>
      </c>
      <c r="G167" s="202">
        <f t="shared" si="51"/>
        <v>12862027</v>
      </c>
      <c r="H167" s="203">
        <f t="shared" si="52"/>
        <v>15790683.564821722</v>
      </c>
      <c r="I167" s="204">
        <f t="shared" si="53"/>
        <v>13027314</v>
      </c>
      <c r="J167" s="204">
        <f t="shared" si="54"/>
        <v>12862027</v>
      </c>
      <c r="K167" s="198">
        <f t="shared" si="55"/>
        <v>81.45</v>
      </c>
      <c r="L167" s="205"/>
      <c r="M167" s="206">
        <v>12042144</v>
      </c>
      <c r="N167" s="207">
        <f t="shared" si="56"/>
        <v>4.82E-2</v>
      </c>
      <c r="O167" s="204">
        <f t="shared" si="57"/>
        <v>12622575</v>
      </c>
      <c r="P167" s="208">
        <f t="shared" si="58"/>
        <v>79.93684977717119</v>
      </c>
      <c r="Q167" s="208">
        <f t="shared" si="59"/>
        <v>1.5131502228288127</v>
      </c>
      <c r="R167" s="209">
        <f t="shared" si="60"/>
        <v>0</v>
      </c>
      <c r="S167" s="204">
        <f t="shared" si="61"/>
        <v>0</v>
      </c>
      <c r="T167" s="210">
        <f t="shared" si="62"/>
        <v>0</v>
      </c>
      <c r="U167" s="210">
        <f t="shared" si="46"/>
        <v>0</v>
      </c>
      <c r="V167" s="203">
        <f>MIN(H167*parameters!C$22,ROUND(O167+S167-U167,0))</f>
        <v>12622575</v>
      </c>
      <c r="W167" s="211">
        <f t="shared" si="63"/>
        <v>79.93684977717119</v>
      </c>
      <c r="X167" s="208"/>
      <c r="Y167" s="212">
        <f t="shared" si="64"/>
        <v>-239452</v>
      </c>
      <c r="Z167" s="212">
        <f t="shared" si="47"/>
        <v>239452</v>
      </c>
      <c r="AA167" s="212">
        <f t="shared" si="65"/>
        <v>0</v>
      </c>
      <c r="AB167" s="68">
        <f t="shared" si="66"/>
        <v>-1.5131502228288127</v>
      </c>
      <c r="AD167" s="207">
        <f t="shared" si="48"/>
        <v>-1.8616972270389418E-2</v>
      </c>
      <c r="AE167" s="213">
        <f t="shared" si="67"/>
        <v>-1.5131502228288127</v>
      </c>
      <c r="AF167" s="10">
        <f t="shared" si="49"/>
        <v>0</v>
      </c>
      <c r="AG167" s="214"/>
      <c r="AH167" s="214">
        <v>4.82E-2</v>
      </c>
      <c r="AI167" s="181"/>
      <c r="AJ167" s="214"/>
      <c r="AK167" s="214"/>
      <c r="AL167" s="214"/>
      <c r="AM167" s="10"/>
      <c r="AN167" s="10"/>
    </row>
    <row r="168" spans="1:40" ht="12.75" customHeight="1">
      <c r="A168" s="201">
        <v>159</v>
      </c>
      <c r="B168" s="201" t="s">
        <v>1425</v>
      </c>
      <c r="C168" s="202">
        <v>2077458300</v>
      </c>
      <c r="D168" s="202">
        <f t="shared" si="50"/>
        <v>7374124.5506200315</v>
      </c>
      <c r="E168" s="202">
        <v>1105089000</v>
      </c>
      <c r="F168" s="202">
        <f t="shared" si="68"/>
        <v>15745200.520393193</v>
      </c>
      <c r="G168" s="202">
        <f t="shared" si="51"/>
        <v>23119325</v>
      </c>
      <c r="H168" s="203">
        <f t="shared" si="52"/>
        <v>26663231.188728545</v>
      </c>
      <c r="I168" s="204">
        <f t="shared" si="53"/>
        <v>21997166</v>
      </c>
      <c r="J168" s="204">
        <f t="shared" si="54"/>
        <v>21997166</v>
      </c>
      <c r="K168" s="198">
        <f t="shared" si="55"/>
        <v>82.5</v>
      </c>
      <c r="L168" s="205"/>
      <c r="M168" s="206">
        <v>21477556</v>
      </c>
      <c r="N168" s="207">
        <f t="shared" si="56"/>
        <v>3.2000000000000001E-2</v>
      </c>
      <c r="O168" s="204">
        <f t="shared" si="57"/>
        <v>22164838</v>
      </c>
      <c r="P168" s="208">
        <f t="shared" si="58"/>
        <v>83.12885202514326</v>
      </c>
      <c r="Q168" s="208">
        <f t="shared" si="59"/>
        <v>0</v>
      </c>
      <c r="R168" s="209">
        <f t="shared" si="60"/>
        <v>0</v>
      </c>
      <c r="S168" s="204">
        <f t="shared" si="61"/>
        <v>0</v>
      </c>
      <c r="T168" s="210">
        <f t="shared" si="62"/>
        <v>167672</v>
      </c>
      <c r="U168" s="210">
        <f t="shared" si="46"/>
        <v>142521.19999999998</v>
      </c>
      <c r="V168" s="203">
        <f>MIN(H168*parameters!C$22,ROUND(O168+S168-U168,0))</f>
        <v>22022317</v>
      </c>
      <c r="W168" s="211">
        <f t="shared" si="63"/>
        <v>82.594329412369135</v>
      </c>
      <c r="X168" s="208"/>
      <c r="Y168" s="212">
        <f t="shared" si="64"/>
        <v>0</v>
      </c>
      <c r="Z168" s="212">
        <f t="shared" si="47"/>
        <v>0</v>
      </c>
      <c r="AA168" s="212">
        <f t="shared" si="65"/>
        <v>25151</v>
      </c>
      <c r="AB168" s="68">
        <f t="shared" si="66"/>
        <v>9.4329412369134502E-2</v>
      </c>
      <c r="AD168" s="207">
        <f t="shared" si="48"/>
        <v>7.6224364538595565E-3</v>
      </c>
      <c r="AE168" s="213">
        <f t="shared" si="67"/>
        <v>0.62885202514326011</v>
      </c>
      <c r="AF168" s="10">
        <f t="shared" si="49"/>
        <v>0</v>
      </c>
      <c r="AG168" s="214"/>
      <c r="AH168" s="214">
        <v>3.2000000000000001E-2</v>
      </c>
      <c r="AI168" s="181"/>
      <c r="AJ168" s="214"/>
      <c r="AK168" s="214"/>
      <c r="AL168" s="214"/>
      <c r="AM168" s="10"/>
      <c r="AN168" s="10"/>
    </row>
    <row r="169" spans="1:40" ht="12.75" customHeight="1">
      <c r="A169" s="201">
        <v>160</v>
      </c>
      <c r="B169" s="201" t="s">
        <v>1426</v>
      </c>
      <c r="C169" s="202">
        <v>7154033100</v>
      </c>
      <c r="D169" s="202">
        <f t="shared" si="50"/>
        <v>25393882.09075404</v>
      </c>
      <c r="E169" s="202">
        <v>2180162000</v>
      </c>
      <c r="F169" s="202">
        <f t="shared" si="68"/>
        <v>31062735.994061533</v>
      </c>
      <c r="G169" s="202">
        <f t="shared" si="51"/>
        <v>56456618</v>
      </c>
      <c r="H169" s="203">
        <f t="shared" si="52"/>
        <v>217496309.3430233</v>
      </c>
      <c r="I169" s="204">
        <f t="shared" si="53"/>
        <v>179434455</v>
      </c>
      <c r="J169" s="204">
        <f t="shared" si="54"/>
        <v>56456618</v>
      </c>
      <c r="K169" s="198">
        <f t="shared" si="55"/>
        <v>25.96</v>
      </c>
      <c r="L169" s="205"/>
      <c r="M169" s="206">
        <v>50996098</v>
      </c>
      <c r="N169" s="207">
        <f t="shared" si="56"/>
        <v>2.9300000000000003E-2</v>
      </c>
      <c r="O169" s="204">
        <f t="shared" si="57"/>
        <v>52490284</v>
      </c>
      <c r="P169" s="208">
        <f t="shared" si="58"/>
        <v>24.133873424590021</v>
      </c>
      <c r="Q169" s="208">
        <f t="shared" si="59"/>
        <v>1.8261265754099796</v>
      </c>
      <c r="R169" s="209">
        <f t="shared" si="60"/>
        <v>0</v>
      </c>
      <c r="S169" s="204">
        <f t="shared" si="61"/>
        <v>0</v>
      </c>
      <c r="T169" s="210">
        <f t="shared" si="62"/>
        <v>0</v>
      </c>
      <c r="U169" s="210">
        <f t="shared" si="46"/>
        <v>0</v>
      </c>
      <c r="V169" s="203">
        <f>MIN(H169*parameters!C$22,ROUND(O169+S169-U169,0))</f>
        <v>52490284</v>
      </c>
      <c r="W169" s="211">
        <f t="shared" si="63"/>
        <v>24.133873424590021</v>
      </c>
      <c r="X169" s="208"/>
      <c r="Y169" s="212">
        <f t="shared" si="64"/>
        <v>-3966334</v>
      </c>
      <c r="Z169" s="212">
        <f t="shared" si="47"/>
        <v>3966334</v>
      </c>
      <c r="AA169" s="212">
        <f t="shared" si="65"/>
        <v>0</v>
      </c>
      <c r="AB169" s="68">
        <f t="shared" si="66"/>
        <v>-1.8261265754099796</v>
      </c>
      <c r="AD169" s="207">
        <f>(O169-J169)/J169</f>
        <v>-7.0254544825905083E-2</v>
      </c>
      <c r="AE169" s="213">
        <f t="shared" si="67"/>
        <v>-1.8261265754099796</v>
      </c>
      <c r="AF169" s="10">
        <f t="shared" si="49"/>
        <v>509960.98000000004</v>
      </c>
      <c r="AG169" s="214"/>
      <c r="AH169" s="214">
        <v>2.9300000000000003E-2</v>
      </c>
      <c r="AI169" s="181"/>
      <c r="AJ169" s="214"/>
      <c r="AK169" s="214"/>
      <c r="AL169" s="214"/>
      <c r="AM169" s="10"/>
      <c r="AN169" s="10"/>
    </row>
    <row r="170" spans="1:40" ht="12.75" customHeight="1">
      <c r="A170" s="201">
        <v>161</v>
      </c>
      <c r="B170" s="201" t="s">
        <v>1427</v>
      </c>
      <c r="C170" s="202">
        <v>2094585700</v>
      </c>
      <c r="D170" s="202">
        <f t="shared" si="50"/>
        <v>7434919.7929737717</v>
      </c>
      <c r="E170" s="202">
        <v>553134000</v>
      </c>
      <c r="F170" s="202">
        <f t="shared" si="68"/>
        <v>7880999.3988241386</v>
      </c>
      <c r="G170" s="202">
        <f t="shared" si="51"/>
        <v>15315919</v>
      </c>
      <c r="H170" s="203">
        <f t="shared" si="52"/>
        <v>27107617.460779078</v>
      </c>
      <c r="I170" s="204">
        <f t="shared" si="53"/>
        <v>22363784</v>
      </c>
      <c r="J170" s="204">
        <f t="shared" si="54"/>
        <v>15315919</v>
      </c>
      <c r="K170" s="198">
        <f t="shared" si="55"/>
        <v>56.5</v>
      </c>
      <c r="L170" s="205"/>
      <c r="M170" s="206">
        <v>15449969</v>
      </c>
      <c r="N170" s="207">
        <f t="shared" si="56"/>
        <v>4.4400000000000002E-2</v>
      </c>
      <c r="O170" s="204">
        <f t="shared" si="57"/>
        <v>16135948</v>
      </c>
      <c r="P170" s="208">
        <f t="shared" si="58"/>
        <v>59.525511688168294</v>
      </c>
      <c r="Q170" s="208">
        <f t="shared" si="59"/>
        <v>0</v>
      </c>
      <c r="R170" s="209">
        <f t="shared" si="60"/>
        <v>0</v>
      </c>
      <c r="S170" s="204">
        <f t="shared" si="61"/>
        <v>0</v>
      </c>
      <c r="T170" s="210">
        <f t="shared" si="62"/>
        <v>820029</v>
      </c>
      <c r="U170" s="210">
        <f t="shared" si="46"/>
        <v>697024.65</v>
      </c>
      <c r="V170" s="203">
        <f>MIN(H170*parameters!C$22,ROUND(O170+S170-U170,0))</f>
        <v>15438923</v>
      </c>
      <c r="W170" s="211">
        <f t="shared" si="63"/>
        <v>56.954186484068387</v>
      </c>
      <c r="X170" s="208"/>
      <c r="Y170" s="212">
        <f t="shared" si="64"/>
        <v>0</v>
      </c>
      <c r="Z170" s="212">
        <f t="shared" si="47"/>
        <v>0</v>
      </c>
      <c r="AA170" s="212">
        <f t="shared" si="65"/>
        <v>123004</v>
      </c>
      <c r="AB170" s="68">
        <f t="shared" si="66"/>
        <v>0.45418648406838713</v>
      </c>
      <c r="AD170" s="207">
        <f t="shared" ref="AD170:AD233" si="69">(O170-J170)/J170</f>
        <v>5.3540959572847047E-2</v>
      </c>
      <c r="AE170" s="213">
        <f t="shared" ref="AE170:AE233" si="70">P170-K170</f>
        <v>3.0255116881682937</v>
      </c>
      <c r="AF170" s="10">
        <f t="shared" si="49"/>
        <v>0</v>
      </c>
      <c r="AG170" s="214"/>
      <c r="AH170" s="214">
        <v>4.4400000000000002E-2</v>
      </c>
      <c r="AI170" s="181"/>
      <c r="AJ170" s="214"/>
      <c r="AK170" s="214"/>
      <c r="AL170" s="214"/>
      <c r="AM170" s="10"/>
      <c r="AN170" s="10"/>
    </row>
    <row r="171" spans="1:40" ht="12.75" customHeight="1">
      <c r="A171" s="201">
        <v>162</v>
      </c>
      <c r="B171" s="201" t="s">
        <v>1428</v>
      </c>
      <c r="C171" s="202">
        <v>1293035700</v>
      </c>
      <c r="D171" s="202">
        <f t="shared" si="50"/>
        <v>4589746.1817636276</v>
      </c>
      <c r="E171" s="202">
        <v>381509000</v>
      </c>
      <c r="F171" s="202">
        <f t="shared" si="68"/>
        <v>5435703.1020439863</v>
      </c>
      <c r="G171" s="202">
        <f t="shared" si="51"/>
        <v>10025449</v>
      </c>
      <c r="H171" s="203">
        <f t="shared" si="52"/>
        <v>17990815.884199616</v>
      </c>
      <c r="I171" s="204">
        <f t="shared" si="53"/>
        <v>14842423</v>
      </c>
      <c r="J171" s="204">
        <f t="shared" si="54"/>
        <v>10025449</v>
      </c>
      <c r="K171" s="198">
        <f t="shared" si="55"/>
        <v>55.73</v>
      </c>
      <c r="L171" s="205"/>
      <c r="M171" s="206">
        <v>10011569</v>
      </c>
      <c r="N171" s="207">
        <f t="shared" si="56"/>
        <v>4.2599999999999999E-2</v>
      </c>
      <c r="O171" s="204">
        <f t="shared" si="57"/>
        <v>10438062</v>
      </c>
      <c r="P171" s="208">
        <f t="shared" si="58"/>
        <v>58.018836206128924</v>
      </c>
      <c r="Q171" s="208">
        <f t="shared" si="59"/>
        <v>0</v>
      </c>
      <c r="R171" s="209">
        <f t="shared" si="60"/>
        <v>0</v>
      </c>
      <c r="S171" s="204">
        <f t="shared" si="61"/>
        <v>0</v>
      </c>
      <c r="T171" s="210">
        <f t="shared" si="62"/>
        <v>412613</v>
      </c>
      <c r="U171" s="210">
        <f t="shared" si="46"/>
        <v>350721.05</v>
      </c>
      <c r="V171" s="203">
        <f>MIN(H171*parameters!C$22,ROUND(O171+S171-U171,0))</f>
        <v>10087341</v>
      </c>
      <c r="W171" s="211">
        <f t="shared" si="63"/>
        <v>56.069391543599643</v>
      </c>
      <c r="X171" s="208"/>
      <c r="Y171" s="212">
        <f t="shared" si="64"/>
        <v>0</v>
      </c>
      <c r="Z171" s="212">
        <f t="shared" si="47"/>
        <v>0</v>
      </c>
      <c r="AA171" s="212">
        <f t="shared" si="65"/>
        <v>61892</v>
      </c>
      <c r="AB171" s="68">
        <f t="shared" si="66"/>
        <v>0.33939154359964618</v>
      </c>
      <c r="AD171" s="207">
        <f t="shared" si="69"/>
        <v>4.1156560668754089E-2</v>
      </c>
      <c r="AE171" s="213">
        <f t="shared" si="70"/>
        <v>2.2888362061289271</v>
      </c>
      <c r="AF171" s="10">
        <f t="shared" si="49"/>
        <v>0</v>
      </c>
      <c r="AG171" s="214"/>
      <c r="AH171" s="214">
        <v>4.2599999999999999E-2</v>
      </c>
      <c r="AI171" s="181"/>
      <c r="AJ171" s="214"/>
      <c r="AK171" s="214"/>
      <c r="AL171" s="214"/>
      <c r="AM171" s="10"/>
      <c r="AN171" s="10"/>
    </row>
    <row r="172" spans="1:40" ht="12.75" customHeight="1">
      <c r="A172" s="201">
        <v>163</v>
      </c>
      <c r="B172" s="201" t="s">
        <v>1429</v>
      </c>
      <c r="C172" s="202">
        <v>6738721300</v>
      </c>
      <c r="D172" s="202">
        <f t="shared" si="50"/>
        <v>23919695.609830596</v>
      </c>
      <c r="E172" s="202">
        <v>1775220000</v>
      </c>
      <c r="F172" s="202">
        <f t="shared" si="68"/>
        <v>25293161.788609248</v>
      </c>
      <c r="G172" s="202">
        <f t="shared" si="51"/>
        <v>49212857</v>
      </c>
      <c r="H172" s="203">
        <f t="shared" si="52"/>
        <v>201554686.66682765</v>
      </c>
      <c r="I172" s="204">
        <f t="shared" si="53"/>
        <v>166282617</v>
      </c>
      <c r="J172" s="204">
        <f t="shared" si="54"/>
        <v>49212857</v>
      </c>
      <c r="K172" s="198">
        <f t="shared" si="55"/>
        <v>24.42</v>
      </c>
      <c r="L172" s="205"/>
      <c r="M172" s="206">
        <v>46018423</v>
      </c>
      <c r="N172" s="207">
        <f t="shared" si="56"/>
        <v>4.5499999999999999E-2</v>
      </c>
      <c r="O172" s="204">
        <f t="shared" si="57"/>
        <v>48112261</v>
      </c>
      <c r="P172" s="208">
        <f t="shared" si="58"/>
        <v>23.870574182941304</v>
      </c>
      <c r="Q172" s="208">
        <f t="shared" si="59"/>
        <v>0.54942581705869742</v>
      </c>
      <c r="R172" s="209">
        <f t="shared" si="60"/>
        <v>0</v>
      </c>
      <c r="S172" s="204">
        <f t="shared" si="61"/>
        <v>0</v>
      </c>
      <c r="T172" s="210">
        <f t="shared" si="62"/>
        <v>0</v>
      </c>
      <c r="U172" s="210">
        <f t="shared" si="46"/>
        <v>0</v>
      </c>
      <c r="V172" s="203">
        <f>MIN(H172*parameters!C$22,ROUND(O172+S172-U172,0))</f>
        <v>48112261</v>
      </c>
      <c r="W172" s="211">
        <f t="shared" si="63"/>
        <v>23.870574182941304</v>
      </c>
      <c r="X172" s="208"/>
      <c r="Y172" s="212">
        <f t="shared" si="64"/>
        <v>-1100596</v>
      </c>
      <c r="Z172" s="212">
        <f t="shared" si="47"/>
        <v>1100596</v>
      </c>
      <c r="AA172" s="212">
        <f t="shared" si="65"/>
        <v>0</v>
      </c>
      <c r="AB172" s="68">
        <f t="shared" si="66"/>
        <v>-0.54942581705869742</v>
      </c>
      <c r="AD172" s="207">
        <f t="shared" si="69"/>
        <v>-2.2363993214212296E-2</v>
      </c>
      <c r="AE172" s="213">
        <f t="shared" si="70"/>
        <v>-0.54942581705869742</v>
      </c>
      <c r="AF172" s="10">
        <f t="shared" si="49"/>
        <v>0</v>
      </c>
      <c r="AG172" s="214"/>
      <c r="AH172" s="214">
        <v>4.5499999999999999E-2</v>
      </c>
      <c r="AI172" s="181"/>
      <c r="AJ172" s="214"/>
      <c r="AK172" s="214"/>
      <c r="AL172" s="214"/>
      <c r="AM172" s="10"/>
      <c r="AN172" s="10"/>
    </row>
    <row r="173" spans="1:40" ht="12.75" customHeight="1">
      <c r="A173" s="201">
        <v>164</v>
      </c>
      <c r="B173" s="201" t="s">
        <v>1430</v>
      </c>
      <c r="C173" s="202">
        <v>3007167600</v>
      </c>
      <c r="D173" s="202">
        <f t="shared" si="50"/>
        <v>10674211.091018828</v>
      </c>
      <c r="E173" s="202">
        <v>891656000</v>
      </c>
      <c r="F173" s="202">
        <f t="shared" si="68"/>
        <v>12704227.908531994</v>
      </c>
      <c r="G173" s="202">
        <f t="shared" si="51"/>
        <v>23378439</v>
      </c>
      <c r="H173" s="203">
        <f t="shared" si="52"/>
        <v>21407499.189333264</v>
      </c>
      <c r="I173" s="204">
        <f t="shared" si="53"/>
        <v>17661187</v>
      </c>
      <c r="J173" s="204">
        <f t="shared" si="54"/>
        <v>17661187</v>
      </c>
      <c r="K173" s="198">
        <f t="shared" si="55"/>
        <v>82.5</v>
      </c>
      <c r="L173" s="205"/>
      <c r="M173" s="206">
        <v>17050430</v>
      </c>
      <c r="N173" s="207">
        <f t="shared" si="56"/>
        <v>5.050000000000001E-2</v>
      </c>
      <c r="O173" s="204">
        <f t="shared" si="57"/>
        <v>17911477</v>
      </c>
      <c r="P173" s="208">
        <f t="shared" si="58"/>
        <v>83.669170516305655</v>
      </c>
      <c r="Q173" s="208">
        <f t="shared" si="59"/>
        <v>0</v>
      </c>
      <c r="R173" s="209">
        <f t="shared" si="60"/>
        <v>0</v>
      </c>
      <c r="S173" s="204">
        <f t="shared" si="61"/>
        <v>0</v>
      </c>
      <c r="T173" s="210">
        <f t="shared" si="62"/>
        <v>250290</v>
      </c>
      <c r="U173" s="210">
        <f t="shared" si="46"/>
        <v>212746.5</v>
      </c>
      <c r="V173" s="203">
        <f>MIN(H173*parameters!C$22,ROUND(O173+S173-U173,0))</f>
        <v>17698731</v>
      </c>
      <c r="W173" s="211">
        <f t="shared" si="63"/>
        <v>82.675378583308628</v>
      </c>
      <c r="X173" s="208"/>
      <c r="Y173" s="212">
        <f t="shared" si="64"/>
        <v>0</v>
      </c>
      <c r="Z173" s="212">
        <f t="shared" si="47"/>
        <v>0</v>
      </c>
      <c r="AA173" s="212">
        <f t="shared" si="65"/>
        <v>37544</v>
      </c>
      <c r="AB173" s="68">
        <f t="shared" si="66"/>
        <v>0.17537858330862832</v>
      </c>
      <c r="AD173" s="207">
        <f t="shared" si="69"/>
        <v>1.4171754140873996E-2</v>
      </c>
      <c r="AE173" s="213">
        <f t="shared" si="70"/>
        <v>1.1691705163056554</v>
      </c>
      <c r="AF173" s="10">
        <f t="shared" si="49"/>
        <v>0</v>
      </c>
      <c r="AG173" s="214"/>
      <c r="AH173" s="214">
        <v>5.050000000000001E-2</v>
      </c>
      <c r="AI173" s="181"/>
      <c r="AJ173" s="214"/>
      <c r="AK173" s="214"/>
      <c r="AL173" s="214"/>
      <c r="AM173" s="10"/>
      <c r="AN173" s="10"/>
    </row>
    <row r="174" spans="1:40" ht="12.75" customHeight="1">
      <c r="A174" s="201">
        <v>165</v>
      </c>
      <c r="B174" s="201" t="s">
        <v>1431</v>
      </c>
      <c r="C174" s="202">
        <v>6275190000</v>
      </c>
      <c r="D174" s="202">
        <f t="shared" si="50"/>
        <v>22274349.689139519</v>
      </c>
      <c r="E174" s="202">
        <v>1490264000</v>
      </c>
      <c r="F174" s="202">
        <f t="shared" si="68"/>
        <v>21233136.433647644</v>
      </c>
      <c r="G174" s="202">
        <f t="shared" si="51"/>
        <v>43507486</v>
      </c>
      <c r="H174" s="203">
        <f t="shared" si="52"/>
        <v>90202361.421671525</v>
      </c>
      <c r="I174" s="204">
        <f t="shared" si="53"/>
        <v>74416948</v>
      </c>
      <c r="J174" s="204">
        <f t="shared" si="54"/>
        <v>43507486</v>
      </c>
      <c r="K174" s="198">
        <f t="shared" si="55"/>
        <v>48.23</v>
      </c>
      <c r="L174" s="205"/>
      <c r="M174" s="206">
        <v>38670508</v>
      </c>
      <c r="N174" s="207">
        <f t="shared" si="56"/>
        <v>2.8400000000000002E-2</v>
      </c>
      <c r="O174" s="204">
        <f t="shared" si="57"/>
        <v>39768750</v>
      </c>
      <c r="P174" s="208">
        <f t="shared" si="58"/>
        <v>44.088369055098127</v>
      </c>
      <c r="Q174" s="208">
        <f t="shared" si="59"/>
        <v>4.1416309449018698</v>
      </c>
      <c r="R174" s="209">
        <f t="shared" si="60"/>
        <v>0.01</v>
      </c>
      <c r="S174" s="204">
        <f t="shared" si="61"/>
        <v>386705</v>
      </c>
      <c r="T174" s="210">
        <f t="shared" si="62"/>
        <v>0</v>
      </c>
      <c r="U174" s="210">
        <f t="shared" si="46"/>
        <v>0</v>
      </c>
      <c r="V174" s="203">
        <f>MIN(H174*parameters!C$22,ROUND(O174+S174-U174,0))</f>
        <v>40155455</v>
      </c>
      <c r="W174" s="211">
        <f t="shared" si="63"/>
        <v>44.517077343778354</v>
      </c>
      <c r="X174" s="208"/>
      <c r="Y174" s="212">
        <f t="shared" si="64"/>
        <v>-3738736</v>
      </c>
      <c r="Z174" s="212">
        <f t="shared" si="47"/>
        <v>3352031</v>
      </c>
      <c r="AA174" s="212">
        <f t="shared" si="65"/>
        <v>0</v>
      </c>
      <c r="AB174" s="68">
        <f t="shared" si="66"/>
        <v>-3.7129226562216431</v>
      </c>
      <c r="AD174" s="207">
        <f t="shared" si="69"/>
        <v>-8.5933165616602164E-2</v>
      </c>
      <c r="AE174" s="213">
        <f t="shared" si="70"/>
        <v>-4.1416309449018698</v>
      </c>
      <c r="AF174" s="10">
        <f t="shared" si="49"/>
        <v>386705.08</v>
      </c>
      <c r="AG174" s="214"/>
      <c r="AH174" s="214">
        <v>2.8400000000000002E-2</v>
      </c>
      <c r="AI174" s="181"/>
      <c r="AJ174" s="214"/>
      <c r="AK174" s="214"/>
      <c r="AL174" s="214"/>
      <c r="AM174" s="10"/>
      <c r="AN174" s="10"/>
    </row>
    <row r="175" spans="1:40" ht="12.75" customHeight="1">
      <c r="A175" s="201">
        <v>166</v>
      </c>
      <c r="B175" s="201" t="s">
        <v>1432</v>
      </c>
      <c r="C175" s="202">
        <v>2394763100</v>
      </c>
      <c r="D175" s="202">
        <f t="shared" si="50"/>
        <v>8500426.3953836914</v>
      </c>
      <c r="E175" s="202">
        <v>637890000</v>
      </c>
      <c r="F175" s="202">
        <f t="shared" si="68"/>
        <v>9088594.6380369496</v>
      </c>
      <c r="G175" s="202">
        <f t="shared" si="51"/>
        <v>17589021</v>
      </c>
      <c r="H175" s="203">
        <f t="shared" si="52"/>
        <v>8240505.4324734835</v>
      </c>
      <c r="I175" s="204">
        <f t="shared" si="53"/>
        <v>6798417</v>
      </c>
      <c r="J175" s="204">
        <f t="shared" si="54"/>
        <v>6798417</v>
      </c>
      <c r="K175" s="198">
        <f t="shared" si="55"/>
        <v>82.5</v>
      </c>
      <c r="L175" s="205"/>
      <c r="M175" s="206">
        <v>6893356</v>
      </c>
      <c r="N175" s="207">
        <f t="shared" si="56"/>
        <v>3.6499999999999998E-2</v>
      </c>
      <c r="O175" s="204">
        <f t="shared" si="57"/>
        <v>7144963</v>
      </c>
      <c r="P175" s="208">
        <f t="shared" si="58"/>
        <v>86.705397606362069</v>
      </c>
      <c r="Q175" s="208">
        <f t="shared" si="59"/>
        <v>0</v>
      </c>
      <c r="R175" s="209">
        <f t="shared" si="60"/>
        <v>0</v>
      </c>
      <c r="S175" s="204">
        <f t="shared" si="61"/>
        <v>0</v>
      </c>
      <c r="T175" s="210">
        <f t="shared" si="62"/>
        <v>346546</v>
      </c>
      <c r="U175" s="210">
        <f t="shared" si="46"/>
        <v>294564.09999999998</v>
      </c>
      <c r="V175" s="203">
        <f>MIN(H175*parameters!C$22,ROUND(O175+S175-U175,0))</f>
        <v>6850399</v>
      </c>
      <c r="W175" s="211">
        <f t="shared" si="63"/>
        <v>83.130811042300024</v>
      </c>
      <c r="X175" s="208"/>
      <c r="Y175" s="212">
        <f t="shared" si="64"/>
        <v>0</v>
      </c>
      <c r="Z175" s="212">
        <f t="shared" si="47"/>
        <v>0</v>
      </c>
      <c r="AA175" s="212">
        <f t="shared" si="65"/>
        <v>51982</v>
      </c>
      <c r="AB175" s="68">
        <f t="shared" si="66"/>
        <v>0.63081104230002438</v>
      </c>
      <c r="AD175" s="207">
        <f t="shared" si="69"/>
        <v>5.0974513625745524E-2</v>
      </c>
      <c r="AE175" s="213">
        <f t="shared" si="70"/>
        <v>4.2053976063620695</v>
      </c>
      <c r="AF175" s="10">
        <f t="shared" si="49"/>
        <v>0</v>
      </c>
      <c r="AG175" s="214"/>
      <c r="AH175" s="214">
        <v>3.6499999999999998E-2</v>
      </c>
      <c r="AI175" s="181"/>
      <c r="AJ175" s="214"/>
      <c r="AK175" s="214"/>
      <c r="AL175" s="214"/>
      <c r="AM175" s="10"/>
      <c r="AN175" s="10"/>
    </row>
    <row r="176" spans="1:40" ht="12.75" customHeight="1">
      <c r="A176" s="201">
        <v>167</v>
      </c>
      <c r="B176" s="201" t="s">
        <v>1433</v>
      </c>
      <c r="C176" s="202">
        <v>3521948200</v>
      </c>
      <c r="D176" s="202">
        <f t="shared" si="50"/>
        <v>12501470.998302121</v>
      </c>
      <c r="E176" s="202">
        <v>1090091000</v>
      </c>
      <c r="F176" s="202">
        <f t="shared" si="68"/>
        <v>15531510.476057528</v>
      </c>
      <c r="G176" s="202">
        <f t="shared" si="51"/>
        <v>28032981</v>
      </c>
      <c r="H176" s="203">
        <f t="shared" si="52"/>
        <v>41646620.927123532</v>
      </c>
      <c r="I176" s="204">
        <f t="shared" si="53"/>
        <v>34358462</v>
      </c>
      <c r="J176" s="204">
        <f t="shared" si="54"/>
        <v>28032981</v>
      </c>
      <c r="K176" s="198">
        <f t="shared" si="55"/>
        <v>67.31</v>
      </c>
      <c r="L176" s="205"/>
      <c r="M176" s="206">
        <v>27251878</v>
      </c>
      <c r="N176" s="207">
        <f t="shared" si="56"/>
        <v>0.05</v>
      </c>
      <c r="O176" s="204">
        <f t="shared" si="57"/>
        <v>28614472</v>
      </c>
      <c r="P176" s="208">
        <f t="shared" si="58"/>
        <v>68.707787962129771</v>
      </c>
      <c r="Q176" s="208">
        <f t="shared" si="59"/>
        <v>0</v>
      </c>
      <c r="R176" s="209">
        <f t="shared" si="60"/>
        <v>0</v>
      </c>
      <c r="S176" s="204">
        <f t="shared" si="61"/>
        <v>0</v>
      </c>
      <c r="T176" s="210">
        <f t="shared" si="62"/>
        <v>581491</v>
      </c>
      <c r="U176" s="210">
        <f t="shared" si="46"/>
        <v>494267.35</v>
      </c>
      <c r="V176" s="203">
        <f>MIN(H176*parameters!C$22,ROUND(O176+S176-U176,0))</f>
        <v>28120205</v>
      </c>
      <c r="W176" s="211">
        <f t="shared" si="63"/>
        <v>67.520976189657503</v>
      </c>
      <c r="X176" s="208"/>
      <c r="Y176" s="212">
        <f t="shared" si="64"/>
        <v>0</v>
      </c>
      <c r="Z176" s="212">
        <f t="shared" si="47"/>
        <v>0</v>
      </c>
      <c r="AA176" s="212">
        <f t="shared" si="65"/>
        <v>87224</v>
      </c>
      <c r="AB176" s="68">
        <f t="shared" si="66"/>
        <v>0.21097618965750087</v>
      </c>
      <c r="AD176" s="207">
        <f t="shared" si="69"/>
        <v>2.0743102561943019E-2</v>
      </c>
      <c r="AE176" s="213">
        <f t="shared" si="70"/>
        <v>1.3977879621297689</v>
      </c>
      <c r="AF176" s="10">
        <f t="shared" si="49"/>
        <v>0</v>
      </c>
      <c r="AG176" s="214"/>
      <c r="AH176" s="214">
        <v>0.05</v>
      </c>
      <c r="AI176" s="181"/>
      <c r="AJ176" s="214"/>
      <c r="AK176" s="214"/>
      <c r="AL176" s="214"/>
      <c r="AM176" s="10"/>
      <c r="AN176" s="10"/>
    </row>
    <row r="177" spans="1:40" ht="12.75" customHeight="1">
      <c r="A177" s="201">
        <v>168</v>
      </c>
      <c r="B177" s="201" t="s">
        <v>1434</v>
      </c>
      <c r="C177" s="202">
        <v>5735475100</v>
      </c>
      <c r="D177" s="202">
        <f t="shared" si="50"/>
        <v>20358583.247798465</v>
      </c>
      <c r="E177" s="202">
        <v>1584397000</v>
      </c>
      <c r="F177" s="202">
        <f t="shared" si="68"/>
        <v>22574334.256253943</v>
      </c>
      <c r="G177" s="202">
        <f t="shared" si="51"/>
        <v>42932918</v>
      </c>
      <c r="H177" s="203">
        <f t="shared" si="52"/>
        <v>31143219.791864295</v>
      </c>
      <c r="I177" s="204">
        <f t="shared" si="53"/>
        <v>25693156</v>
      </c>
      <c r="J177" s="204">
        <f t="shared" si="54"/>
        <v>25693156</v>
      </c>
      <c r="K177" s="198">
        <f t="shared" si="55"/>
        <v>82.5</v>
      </c>
      <c r="L177" s="205"/>
      <c r="M177" s="206">
        <v>25774972</v>
      </c>
      <c r="N177" s="207">
        <f t="shared" si="56"/>
        <v>2.87E-2</v>
      </c>
      <c r="O177" s="204">
        <f t="shared" si="57"/>
        <v>26514714</v>
      </c>
      <c r="P177" s="208">
        <f t="shared" si="58"/>
        <v>85.137998502411037</v>
      </c>
      <c r="Q177" s="208">
        <f t="shared" si="59"/>
        <v>0</v>
      </c>
      <c r="R177" s="209">
        <f t="shared" si="60"/>
        <v>0</v>
      </c>
      <c r="S177" s="204">
        <f t="shared" si="61"/>
        <v>0</v>
      </c>
      <c r="T177" s="210">
        <f t="shared" si="62"/>
        <v>821558</v>
      </c>
      <c r="U177" s="210">
        <f t="shared" si="46"/>
        <v>698324.29999999993</v>
      </c>
      <c r="V177" s="203">
        <f>MIN(H177*parameters!C$22,ROUND(O177+S177-U177,0))</f>
        <v>25816390</v>
      </c>
      <c r="W177" s="211">
        <f t="shared" si="63"/>
        <v>82.895699842648099</v>
      </c>
      <c r="X177" s="208"/>
      <c r="Y177" s="212">
        <f t="shared" si="64"/>
        <v>0</v>
      </c>
      <c r="Z177" s="212">
        <f t="shared" si="47"/>
        <v>0</v>
      </c>
      <c r="AA177" s="212">
        <f t="shared" si="65"/>
        <v>123234</v>
      </c>
      <c r="AB177" s="68">
        <f t="shared" si="66"/>
        <v>0.39569984264809932</v>
      </c>
      <c r="AD177" s="207">
        <f t="shared" si="69"/>
        <v>3.1975752608982722E-2</v>
      </c>
      <c r="AE177" s="213">
        <f t="shared" si="70"/>
        <v>2.6379985024110368</v>
      </c>
      <c r="AF177" s="10">
        <f t="shared" si="49"/>
        <v>0</v>
      </c>
      <c r="AG177" s="214"/>
      <c r="AH177" s="214">
        <v>2.87E-2</v>
      </c>
      <c r="AI177" s="181"/>
      <c r="AJ177" s="214"/>
      <c r="AK177" s="214"/>
      <c r="AL177" s="214"/>
      <c r="AM177" s="10"/>
      <c r="AN177" s="10"/>
    </row>
    <row r="178" spans="1:40" ht="12.75" customHeight="1">
      <c r="A178" s="201">
        <v>169</v>
      </c>
      <c r="B178" s="201" t="s">
        <v>1435</v>
      </c>
      <c r="C178" s="202">
        <v>1612928900</v>
      </c>
      <c r="D178" s="202">
        <f t="shared" si="50"/>
        <v>5725235.7844653539</v>
      </c>
      <c r="E178" s="202">
        <v>293977000</v>
      </c>
      <c r="F178" s="202">
        <f t="shared" si="68"/>
        <v>4188555.6850024113</v>
      </c>
      <c r="G178" s="202">
        <f t="shared" si="51"/>
        <v>9913791</v>
      </c>
      <c r="H178" s="203">
        <f t="shared" si="52"/>
        <v>8000335.1220500758</v>
      </c>
      <c r="I178" s="204">
        <f t="shared" si="53"/>
        <v>6600276</v>
      </c>
      <c r="J178" s="204">
        <f t="shared" si="54"/>
        <v>6600276</v>
      </c>
      <c r="K178" s="198">
        <f t="shared" si="55"/>
        <v>82.5</v>
      </c>
      <c r="L178" s="205"/>
      <c r="M178" s="206">
        <v>6254774</v>
      </c>
      <c r="N178" s="207">
        <f t="shared" si="56"/>
        <v>3.3700000000000001E-2</v>
      </c>
      <c r="O178" s="204">
        <f t="shared" si="57"/>
        <v>6465560</v>
      </c>
      <c r="P178" s="208">
        <f t="shared" si="58"/>
        <v>80.816114592249832</v>
      </c>
      <c r="Q178" s="208">
        <f t="shared" si="59"/>
        <v>1.6838854077501679</v>
      </c>
      <c r="R178" s="209">
        <f t="shared" si="60"/>
        <v>0</v>
      </c>
      <c r="S178" s="204">
        <f t="shared" si="61"/>
        <v>0</v>
      </c>
      <c r="T178" s="210">
        <f t="shared" si="62"/>
        <v>0</v>
      </c>
      <c r="U178" s="210">
        <f t="shared" si="46"/>
        <v>0</v>
      </c>
      <c r="V178" s="203">
        <f>MIN(H178*parameters!C$22,ROUND(O178+S178-U178,0))</f>
        <v>6465560</v>
      </c>
      <c r="W178" s="211">
        <f t="shared" si="63"/>
        <v>80.816114592249832</v>
      </c>
      <c r="X178" s="208"/>
      <c r="Y178" s="212">
        <f t="shared" si="64"/>
        <v>-134716</v>
      </c>
      <c r="Z178" s="212">
        <f t="shared" si="47"/>
        <v>134716</v>
      </c>
      <c r="AA178" s="212">
        <f t="shared" si="65"/>
        <v>0</v>
      </c>
      <c r="AB178" s="68">
        <f t="shared" si="66"/>
        <v>-1.6838854077501679</v>
      </c>
      <c r="AD178" s="207">
        <f t="shared" si="69"/>
        <v>-2.0410661614756718E-2</v>
      </c>
      <c r="AE178" s="213">
        <f t="shared" si="70"/>
        <v>-1.6838854077501679</v>
      </c>
      <c r="AF178" s="10">
        <f t="shared" si="49"/>
        <v>0</v>
      </c>
      <c r="AG178" s="214"/>
      <c r="AH178" s="214">
        <v>3.3700000000000001E-2</v>
      </c>
      <c r="AI178" s="181"/>
      <c r="AJ178" s="214"/>
      <c r="AK178" s="214"/>
      <c r="AL178" s="214"/>
      <c r="AM178" s="10"/>
      <c r="AN178" s="10"/>
    </row>
    <row r="179" spans="1:40" ht="12.75" customHeight="1">
      <c r="A179" s="201">
        <v>170</v>
      </c>
      <c r="B179" s="201" t="s">
        <v>1436</v>
      </c>
      <c r="C179" s="202">
        <v>5355166300</v>
      </c>
      <c r="D179" s="202">
        <f t="shared" si="50"/>
        <v>19008643.054584075</v>
      </c>
      <c r="E179" s="202">
        <v>1294674000</v>
      </c>
      <c r="F179" s="202">
        <f t="shared" si="68"/>
        <v>18446389.149235524</v>
      </c>
      <c r="G179" s="202">
        <f t="shared" si="51"/>
        <v>37455032</v>
      </c>
      <c r="H179" s="203">
        <f t="shared" si="52"/>
        <v>63832708.726162508</v>
      </c>
      <c r="I179" s="204">
        <f t="shared" si="53"/>
        <v>52661985</v>
      </c>
      <c r="J179" s="204">
        <f t="shared" si="54"/>
        <v>37455032</v>
      </c>
      <c r="K179" s="198">
        <f t="shared" si="55"/>
        <v>58.68</v>
      </c>
      <c r="L179" s="205"/>
      <c r="M179" s="206">
        <v>35849730</v>
      </c>
      <c r="N179" s="207">
        <f t="shared" si="56"/>
        <v>6.0999999999999995E-3</v>
      </c>
      <c r="O179" s="204">
        <f t="shared" si="57"/>
        <v>36068413</v>
      </c>
      <c r="P179" s="208">
        <f t="shared" si="58"/>
        <v>56.504594148950758</v>
      </c>
      <c r="Q179" s="208">
        <f t="shared" si="59"/>
        <v>2.1754058510492413</v>
      </c>
      <c r="R179" s="209">
        <f t="shared" si="60"/>
        <v>0</v>
      </c>
      <c r="S179" s="204">
        <f t="shared" si="61"/>
        <v>0</v>
      </c>
      <c r="T179" s="210">
        <f t="shared" si="62"/>
        <v>0</v>
      </c>
      <c r="U179" s="210">
        <f t="shared" si="46"/>
        <v>0</v>
      </c>
      <c r="V179" s="203">
        <f>MIN(H179*parameters!C$22,ROUND(O179+S179-U179,0))</f>
        <v>36068413</v>
      </c>
      <c r="W179" s="211">
        <f t="shared" si="63"/>
        <v>56.504594148950758</v>
      </c>
      <c r="X179" s="208"/>
      <c r="Y179" s="212">
        <f t="shared" si="64"/>
        <v>-1386619</v>
      </c>
      <c r="Z179" s="212">
        <f t="shared" si="47"/>
        <v>1386619</v>
      </c>
      <c r="AA179" s="212">
        <f t="shared" si="65"/>
        <v>0</v>
      </c>
      <c r="AB179" s="68">
        <f t="shared" si="66"/>
        <v>-2.1754058510492413</v>
      </c>
      <c r="AD179" s="207">
        <f t="shared" si="69"/>
        <v>-3.7020900155685356E-2</v>
      </c>
      <c r="AE179" s="213">
        <f t="shared" si="70"/>
        <v>-2.1754058510492413</v>
      </c>
      <c r="AF179" s="10">
        <f t="shared" si="49"/>
        <v>0</v>
      </c>
      <c r="AG179" s="214"/>
      <c r="AH179" s="214">
        <v>6.0999999999999995E-3</v>
      </c>
      <c r="AI179" s="181"/>
      <c r="AJ179" s="214"/>
      <c r="AK179" s="214"/>
      <c r="AL179" s="214"/>
      <c r="AM179" s="10"/>
      <c r="AN179" s="10"/>
    </row>
    <row r="180" spans="1:40" ht="12.75" customHeight="1">
      <c r="A180" s="201">
        <v>171</v>
      </c>
      <c r="B180" s="201" t="s">
        <v>1437</v>
      </c>
      <c r="C180" s="202">
        <v>4661838100</v>
      </c>
      <c r="D180" s="202">
        <f t="shared" si="50"/>
        <v>16547612.428237833</v>
      </c>
      <c r="E180" s="202">
        <v>1213390000</v>
      </c>
      <c r="F180" s="202">
        <f t="shared" si="68"/>
        <v>17288262.628114022</v>
      </c>
      <c r="G180" s="202">
        <f t="shared" si="51"/>
        <v>33835875</v>
      </c>
      <c r="H180" s="203">
        <f t="shared" si="52"/>
        <v>41036767.216783047</v>
      </c>
      <c r="I180" s="204">
        <f t="shared" si="53"/>
        <v>33855333</v>
      </c>
      <c r="J180" s="204">
        <f t="shared" si="54"/>
        <v>33835875</v>
      </c>
      <c r="K180" s="198">
        <f t="shared" si="55"/>
        <v>82.45</v>
      </c>
      <c r="L180" s="205"/>
      <c r="M180" s="206">
        <v>32421451</v>
      </c>
      <c r="N180" s="207">
        <f t="shared" si="56"/>
        <v>4.130000000000001E-2</v>
      </c>
      <c r="O180" s="204">
        <f t="shared" si="57"/>
        <v>33760457</v>
      </c>
      <c r="P180" s="208">
        <f t="shared" si="58"/>
        <v>82.26880256345531</v>
      </c>
      <c r="Q180" s="208">
        <f t="shared" si="59"/>
        <v>0.18119743654469289</v>
      </c>
      <c r="R180" s="209">
        <f t="shared" si="60"/>
        <v>0</v>
      </c>
      <c r="S180" s="204">
        <f t="shared" si="61"/>
        <v>0</v>
      </c>
      <c r="T180" s="210">
        <f t="shared" si="62"/>
        <v>0</v>
      </c>
      <c r="U180" s="210">
        <f t="shared" si="46"/>
        <v>0</v>
      </c>
      <c r="V180" s="203">
        <f>MIN(H180*parameters!C$22,ROUND(O180+S180-U180,0))</f>
        <v>33760457</v>
      </c>
      <c r="W180" s="211">
        <f t="shared" si="63"/>
        <v>82.26880256345531</v>
      </c>
      <c r="X180" s="208"/>
      <c r="Y180" s="212">
        <f t="shared" si="64"/>
        <v>-75418</v>
      </c>
      <c r="Z180" s="212">
        <f t="shared" si="47"/>
        <v>75418</v>
      </c>
      <c r="AA180" s="212">
        <f t="shared" si="65"/>
        <v>0</v>
      </c>
      <c r="AB180" s="68">
        <f t="shared" si="66"/>
        <v>-0.18119743654469289</v>
      </c>
      <c r="AD180" s="207">
        <f t="shared" si="69"/>
        <v>-2.228936003576086E-3</v>
      </c>
      <c r="AE180" s="213">
        <f t="shared" si="70"/>
        <v>-0.18119743654469289</v>
      </c>
      <c r="AF180" s="10">
        <f t="shared" si="49"/>
        <v>0</v>
      </c>
      <c r="AG180" s="214"/>
      <c r="AH180" s="214">
        <v>4.130000000000001E-2</v>
      </c>
      <c r="AI180" s="181"/>
      <c r="AJ180" s="214"/>
      <c r="AK180" s="214"/>
      <c r="AL180" s="214"/>
      <c r="AM180" s="10"/>
      <c r="AN180" s="10"/>
    </row>
    <row r="181" spans="1:40" ht="12.75" customHeight="1">
      <c r="A181" s="201">
        <v>172</v>
      </c>
      <c r="B181" s="201" t="s">
        <v>1438</v>
      </c>
      <c r="C181" s="202">
        <v>5088701800</v>
      </c>
      <c r="D181" s="202">
        <f t="shared" si="50"/>
        <v>18062803.414231874</v>
      </c>
      <c r="E181" s="202">
        <v>485767000</v>
      </c>
      <c r="F181" s="202">
        <f t="shared" si="68"/>
        <v>6921160.9392454727</v>
      </c>
      <c r="G181" s="202">
        <f t="shared" si="51"/>
        <v>24983964</v>
      </c>
      <c r="H181" s="203">
        <f t="shared" si="52"/>
        <v>17398645.470603641</v>
      </c>
      <c r="I181" s="204">
        <f t="shared" si="53"/>
        <v>14353883</v>
      </c>
      <c r="J181" s="204">
        <f t="shared" si="54"/>
        <v>14353883</v>
      </c>
      <c r="K181" s="198">
        <f t="shared" si="55"/>
        <v>82.5</v>
      </c>
      <c r="L181" s="205"/>
      <c r="M181" s="206">
        <v>14873404</v>
      </c>
      <c r="N181" s="207">
        <f t="shared" si="56"/>
        <v>4.4400000000000002E-2</v>
      </c>
      <c r="O181" s="204">
        <f t="shared" si="57"/>
        <v>15533783</v>
      </c>
      <c r="P181" s="208">
        <f t="shared" si="58"/>
        <v>89.281565201414836</v>
      </c>
      <c r="Q181" s="208">
        <f t="shared" si="59"/>
        <v>0</v>
      </c>
      <c r="R181" s="209">
        <f t="shared" si="60"/>
        <v>0</v>
      </c>
      <c r="S181" s="204">
        <f t="shared" si="61"/>
        <v>0</v>
      </c>
      <c r="T181" s="210">
        <f t="shared" si="62"/>
        <v>1179900</v>
      </c>
      <c r="U181" s="210">
        <f t="shared" si="46"/>
        <v>1002915</v>
      </c>
      <c r="V181" s="203">
        <f>MIN(H181*parameters!C$22,ROUND(O181+S181-U181,0))</f>
        <v>14530868</v>
      </c>
      <c r="W181" s="211">
        <f t="shared" si="63"/>
        <v>83.517237158208815</v>
      </c>
      <c r="X181" s="208"/>
      <c r="Y181" s="212">
        <f t="shared" si="64"/>
        <v>0</v>
      </c>
      <c r="Z181" s="212">
        <f t="shared" si="47"/>
        <v>0</v>
      </c>
      <c r="AA181" s="212">
        <f t="shared" si="65"/>
        <v>176985</v>
      </c>
      <c r="AB181" s="68">
        <f t="shared" si="66"/>
        <v>1.0172371582088147</v>
      </c>
      <c r="AD181" s="207">
        <f t="shared" si="69"/>
        <v>8.2200753621859676E-2</v>
      </c>
      <c r="AE181" s="213">
        <f t="shared" si="70"/>
        <v>6.7815652014148355</v>
      </c>
      <c r="AF181" s="10">
        <f t="shared" si="49"/>
        <v>0</v>
      </c>
      <c r="AG181" s="214"/>
      <c r="AH181" s="214">
        <v>4.4400000000000002E-2</v>
      </c>
      <c r="AI181" s="181"/>
      <c r="AJ181" s="214"/>
      <c r="AK181" s="214"/>
      <c r="AL181" s="214"/>
      <c r="AM181" s="10"/>
      <c r="AN181" s="10"/>
    </row>
    <row r="182" spans="1:40" ht="12.75" customHeight="1">
      <c r="A182" s="201">
        <v>173</v>
      </c>
      <c r="B182" s="201" t="s">
        <v>1439</v>
      </c>
      <c r="C182" s="202">
        <v>1699019800</v>
      </c>
      <c r="D182" s="202">
        <f t="shared" si="50"/>
        <v>6030823.1549916239</v>
      </c>
      <c r="E182" s="202">
        <v>341896000</v>
      </c>
      <c r="F182" s="202">
        <f t="shared" si="68"/>
        <v>4871300.9333369089</v>
      </c>
      <c r="G182" s="202">
        <f t="shared" si="51"/>
        <v>10902124</v>
      </c>
      <c r="H182" s="203">
        <f t="shared" si="52"/>
        <v>8754460.2784648519</v>
      </c>
      <c r="I182" s="204">
        <f t="shared" si="53"/>
        <v>7222430</v>
      </c>
      <c r="J182" s="204">
        <f t="shared" si="54"/>
        <v>7222430</v>
      </c>
      <c r="K182" s="198">
        <f t="shared" si="55"/>
        <v>82.5</v>
      </c>
      <c r="L182" s="205"/>
      <c r="M182" s="206">
        <v>7422098</v>
      </c>
      <c r="N182" s="207">
        <f t="shared" si="56"/>
        <v>3.6900000000000002E-2</v>
      </c>
      <c r="O182" s="204">
        <f t="shared" si="57"/>
        <v>7695973</v>
      </c>
      <c r="P182" s="208">
        <f t="shared" si="58"/>
        <v>87.909165787539976</v>
      </c>
      <c r="Q182" s="208">
        <f t="shared" si="59"/>
        <v>0</v>
      </c>
      <c r="R182" s="209">
        <f t="shared" si="60"/>
        <v>0</v>
      </c>
      <c r="S182" s="204">
        <f t="shared" si="61"/>
        <v>0</v>
      </c>
      <c r="T182" s="210">
        <f t="shared" si="62"/>
        <v>473543</v>
      </c>
      <c r="U182" s="210">
        <f t="shared" si="46"/>
        <v>402511.55</v>
      </c>
      <c r="V182" s="203">
        <f>MIN(H182*parameters!C$22,ROUND(O182+S182-U182,0))</f>
        <v>7293461</v>
      </c>
      <c r="W182" s="211">
        <f t="shared" si="63"/>
        <v>83.311372352002408</v>
      </c>
      <c r="X182" s="208"/>
      <c r="Y182" s="212">
        <f t="shared" si="64"/>
        <v>0</v>
      </c>
      <c r="Z182" s="212">
        <f t="shared" si="47"/>
        <v>0</v>
      </c>
      <c r="AA182" s="212">
        <f t="shared" si="65"/>
        <v>71031</v>
      </c>
      <c r="AB182" s="68">
        <f t="shared" si="66"/>
        <v>0.81137235200240809</v>
      </c>
      <c r="AD182" s="207">
        <f t="shared" si="69"/>
        <v>6.5565606035641738E-2</v>
      </c>
      <c r="AE182" s="213">
        <f t="shared" si="70"/>
        <v>5.4091657875399761</v>
      </c>
      <c r="AF182" s="10">
        <f t="shared" si="49"/>
        <v>0</v>
      </c>
      <c r="AG182" s="214"/>
      <c r="AH182" s="214">
        <v>3.6900000000000002E-2</v>
      </c>
      <c r="AI182" s="181"/>
      <c r="AJ182" s="214"/>
      <c r="AK182" s="214"/>
      <c r="AL182" s="214"/>
      <c r="AM182" s="10"/>
      <c r="AN182" s="10"/>
    </row>
    <row r="183" spans="1:40" ht="12.75" customHeight="1">
      <c r="A183" s="201">
        <v>174</v>
      </c>
      <c r="B183" s="201" t="s">
        <v>1440</v>
      </c>
      <c r="C183" s="202">
        <v>1322157600</v>
      </c>
      <c r="D183" s="202">
        <f t="shared" si="50"/>
        <v>4693116.9775821054</v>
      </c>
      <c r="E183" s="202">
        <v>399554000</v>
      </c>
      <c r="F183" s="202">
        <f t="shared" si="68"/>
        <v>5692806.5058336314</v>
      </c>
      <c r="G183" s="202">
        <f t="shared" si="51"/>
        <v>10385923</v>
      </c>
      <c r="H183" s="203">
        <f t="shared" si="52"/>
        <v>15656345.639720682</v>
      </c>
      <c r="I183" s="204">
        <f t="shared" si="53"/>
        <v>12916485</v>
      </c>
      <c r="J183" s="204">
        <f t="shared" si="54"/>
        <v>10385923</v>
      </c>
      <c r="K183" s="198">
        <f t="shared" si="55"/>
        <v>66.34</v>
      </c>
      <c r="L183" s="205"/>
      <c r="M183" s="206">
        <v>10011830</v>
      </c>
      <c r="N183" s="207">
        <f t="shared" si="56"/>
        <v>3.3500000000000002E-2</v>
      </c>
      <c r="O183" s="204">
        <f t="shared" si="57"/>
        <v>10347226</v>
      </c>
      <c r="P183" s="208">
        <f t="shared" si="58"/>
        <v>66.089662543912766</v>
      </c>
      <c r="Q183" s="208">
        <f t="shared" si="59"/>
        <v>0.25033745608723734</v>
      </c>
      <c r="R183" s="209">
        <f t="shared" si="60"/>
        <v>0</v>
      </c>
      <c r="S183" s="204">
        <f t="shared" si="61"/>
        <v>0</v>
      </c>
      <c r="T183" s="210">
        <f t="shared" si="62"/>
        <v>0</v>
      </c>
      <c r="U183" s="210">
        <f t="shared" si="46"/>
        <v>0</v>
      </c>
      <c r="V183" s="203">
        <f>MIN(H183*parameters!C$22,ROUND(O183+S183-U183,0))</f>
        <v>10347226</v>
      </c>
      <c r="W183" s="211">
        <f t="shared" si="63"/>
        <v>66.089662543912766</v>
      </c>
      <c r="X183" s="208"/>
      <c r="Y183" s="212">
        <f t="shared" si="64"/>
        <v>-38697</v>
      </c>
      <c r="Z183" s="212">
        <f t="shared" si="47"/>
        <v>38697</v>
      </c>
      <c r="AA183" s="212">
        <f t="shared" si="65"/>
        <v>0</v>
      </c>
      <c r="AB183" s="68">
        <f t="shared" si="66"/>
        <v>-0.25033745608723734</v>
      </c>
      <c r="AD183" s="207">
        <f t="shared" si="69"/>
        <v>-3.7259086168846042E-3</v>
      </c>
      <c r="AE183" s="213">
        <f t="shared" si="70"/>
        <v>-0.25033745608723734</v>
      </c>
      <c r="AF183" s="10">
        <f t="shared" si="49"/>
        <v>0</v>
      </c>
      <c r="AG183" s="214"/>
      <c r="AH183" s="214">
        <v>3.3500000000000002E-2</v>
      </c>
      <c r="AI183" s="181"/>
      <c r="AJ183" s="214"/>
      <c r="AK183" s="214"/>
      <c r="AL183" s="214"/>
      <c r="AM183" s="10"/>
      <c r="AN183" s="10"/>
    </row>
    <row r="184" spans="1:40" ht="12.75" customHeight="1">
      <c r="A184" s="201">
        <v>175</v>
      </c>
      <c r="B184" s="201" t="s">
        <v>1441</v>
      </c>
      <c r="C184" s="202">
        <v>2639413000</v>
      </c>
      <c r="D184" s="202">
        <f t="shared" si="50"/>
        <v>9368833.1566153057</v>
      </c>
      <c r="E184" s="202">
        <v>1094807000</v>
      </c>
      <c r="F184" s="202">
        <f t="shared" si="68"/>
        <v>15598703.585077863</v>
      </c>
      <c r="G184" s="202">
        <f t="shared" si="51"/>
        <v>24967537</v>
      </c>
      <c r="H184" s="203">
        <f t="shared" si="52"/>
        <v>24063067.369486731</v>
      </c>
      <c r="I184" s="204">
        <f t="shared" si="53"/>
        <v>19852031</v>
      </c>
      <c r="J184" s="204">
        <f t="shared" si="54"/>
        <v>19852031</v>
      </c>
      <c r="K184" s="198">
        <f t="shared" si="55"/>
        <v>82.5</v>
      </c>
      <c r="L184" s="205"/>
      <c r="M184" s="206">
        <v>19668163</v>
      </c>
      <c r="N184" s="207">
        <f t="shared" si="56"/>
        <v>3.4799999999999998E-2</v>
      </c>
      <c r="O184" s="204">
        <f t="shared" si="57"/>
        <v>20352615</v>
      </c>
      <c r="P184" s="208">
        <f t="shared" si="58"/>
        <v>84.580301785666009</v>
      </c>
      <c r="Q184" s="208">
        <f t="shared" si="59"/>
        <v>0</v>
      </c>
      <c r="R184" s="209">
        <f t="shared" si="60"/>
        <v>0</v>
      </c>
      <c r="S184" s="204">
        <f t="shared" si="61"/>
        <v>0</v>
      </c>
      <c r="T184" s="210">
        <f t="shared" si="62"/>
        <v>500584</v>
      </c>
      <c r="U184" s="210">
        <f t="shared" si="46"/>
        <v>425496.39999999997</v>
      </c>
      <c r="V184" s="203">
        <f>MIN(H184*parameters!C$22,ROUND(O184+S184-U184,0))</f>
        <v>19927119</v>
      </c>
      <c r="W184" s="211">
        <f t="shared" si="63"/>
        <v>82.812048414362437</v>
      </c>
      <c r="X184" s="208"/>
      <c r="Y184" s="212">
        <f t="shared" si="64"/>
        <v>0</v>
      </c>
      <c r="Z184" s="212">
        <f t="shared" si="47"/>
        <v>0</v>
      </c>
      <c r="AA184" s="212">
        <f t="shared" si="65"/>
        <v>75088</v>
      </c>
      <c r="AB184" s="68">
        <f t="shared" si="66"/>
        <v>0.31204841436243669</v>
      </c>
      <c r="AD184" s="207">
        <f t="shared" si="69"/>
        <v>2.5215757521232965E-2</v>
      </c>
      <c r="AE184" s="213">
        <f t="shared" si="70"/>
        <v>2.0803017856660091</v>
      </c>
      <c r="AF184" s="10">
        <f t="shared" si="49"/>
        <v>0</v>
      </c>
      <c r="AG184" s="214"/>
      <c r="AH184" s="214">
        <v>3.4799999999999998E-2</v>
      </c>
      <c r="AI184" s="181"/>
      <c r="AJ184" s="214"/>
      <c r="AK184" s="214"/>
      <c r="AL184" s="214"/>
      <c r="AM184" s="10"/>
      <c r="AN184" s="10"/>
    </row>
    <row r="185" spans="1:40" ht="12.75" customHeight="1">
      <c r="A185" s="201">
        <v>176</v>
      </c>
      <c r="B185" s="201" t="s">
        <v>1442</v>
      </c>
      <c r="C185" s="202">
        <v>8962552200</v>
      </c>
      <c r="D185" s="202">
        <f t="shared" si="50"/>
        <v>31813382.831430875</v>
      </c>
      <c r="E185" s="202">
        <v>1976085000</v>
      </c>
      <c r="F185" s="202">
        <f t="shared" si="68"/>
        <v>28155066.759637624</v>
      </c>
      <c r="G185" s="202">
        <f t="shared" si="51"/>
        <v>59968450</v>
      </c>
      <c r="H185" s="203">
        <f t="shared" si="52"/>
        <v>54710623.722724512</v>
      </c>
      <c r="I185" s="204">
        <f t="shared" si="53"/>
        <v>45136265</v>
      </c>
      <c r="J185" s="204">
        <f t="shared" si="54"/>
        <v>45136265</v>
      </c>
      <c r="K185" s="198">
        <f t="shared" si="55"/>
        <v>82.5</v>
      </c>
      <c r="L185" s="205"/>
      <c r="M185" s="206">
        <v>44545699</v>
      </c>
      <c r="N185" s="207">
        <f t="shared" si="56"/>
        <v>4.3400000000000001E-2</v>
      </c>
      <c r="O185" s="204">
        <f t="shared" si="57"/>
        <v>46478982</v>
      </c>
      <c r="P185" s="208">
        <f t="shared" si="58"/>
        <v>84.954217000992756</v>
      </c>
      <c r="Q185" s="208">
        <f t="shared" si="59"/>
        <v>0</v>
      </c>
      <c r="R185" s="209">
        <f t="shared" si="60"/>
        <v>0</v>
      </c>
      <c r="S185" s="204">
        <f t="shared" si="61"/>
        <v>0</v>
      </c>
      <c r="T185" s="210">
        <f t="shared" si="62"/>
        <v>1342717</v>
      </c>
      <c r="U185" s="210">
        <f t="shared" si="46"/>
        <v>1141309.45</v>
      </c>
      <c r="V185" s="203">
        <f>MIN(H185*parameters!C$22,ROUND(O185+S185-U185,0))</f>
        <v>45337673</v>
      </c>
      <c r="W185" s="211">
        <f t="shared" si="63"/>
        <v>82.868134038780155</v>
      </c>
      <c r="X185" s="208"/>
      <c r="Y185" s="212">
        <f t="shared" si="64"/>
        <v>0</v>
      </c>
      <c r="Z185" s="212">
        <f t="shared" si="47"/>
        <v>0</v>
      </c>
      <c r="AA185" s="212">
        <f t="shared" si="65"/>
        <v>201408</v>
      </c>
      <c r="AB185" s="68">
        <f t="shared" si="66"/>
        <v>0.36813403878015549</v>
      </c>
      <c r="AD185" s="207">
        <f t="shared" si="69"/>
        <v>2.9748075078875048E-2</v>
      </c>
      <c r="AE185" s="213">
        <f t="shared" si="70"/>
        <v>2.454217000992756</v>
      </c>
      <c r="AF185" s="10">
        <f t="shared" si="49"/>
        <v>0</v>
      </c>
      <c r="AG185" s="214"/>
      <c r="AH185" s="214">
        <v>4.3400000000000001E-2</v>
      </c>
      <c r="AI185" s="181"/>
      <c r="AJ185" s="214"/>
      <c r="AK185" s="214"/>
      <c r="AL185" s="214"/>
      <c r="AM185" s="10"/>
      <c r="AN185" s="10"/>
    </row>
    <row r="186" spans="1:40" ht="12.75" customHeight="1">
      <c r="A186" s="201">
        <v>177</v>
      </c>
      <c r="B186" s="201" t="s">
        <v>1443</v>
      </c>
      <c r="C186" s="202">
        <v>1890229500</v>
      </c>
      <c r="D186" s="202">
        <f t="shared" si="50"/>
        <v>6709539.1335923448</v>
      </c>
      <c r="E186" s="202">
        <v>631012000</v>
      </c>
      <c r="F186" s="202">
        <f t="shared" si="68"/>
        <v>8990597.5634309538</v>
      </c>
      <c r="G186" s="202">
        <f t="shared" si="51"/>
        <v>15700137</v>
      </c>
      <c r="H186" s="203">
        <f t="shared" si="52"/>
        <v>23144947.731939219</v>
      </c>
      <c r="I186" s="204">
        <f t="shared" si="53"/>
        <v>19094582</v>
      </c>
      <c r="J186" s="204">
        <f t="shared" si="54"/>
        <v>15700137</v>
      </c>
      <c r="K186" s="198">
        <f t="shared" si="55"/>
        <v>67.83</v>
      </c>
      <c r="L186" s="205"/>
      <c r="M186" s="206">
        <v>15202189</v>
      </c>
      <c r="N186" s="207">
        <f t="shared" si="56"/>
        <v>5.3199999999999997E-2</v>
      </c>
      <c r="O186" s="204">
        <f t="shared" si="57"/>
        <v>16010945</v>
      </c>
      <c r="P186" s="208">
        <f t="shared" si="58"/>
        <v>69.176846651096369</v>
      </c>
      <c r="Q186" s="208">
        <f t="shared" si="59"/>
        <v>0</v>
      </c>
      <c r="R186" s="209">
        <f t="shared" si="60"/>
        <v>0</v>
      </c>
      <c r="S186" s="204">
        <f t="shared" si="61"/>
        <v>0</v>
      </c>
      <c r="T186" s="210">
        <f t="shared" si="62"/>
        <v>310808</v>
      </c>
      <c r="U186" s="210">
        <f t="shared" si="46"/>
        <v>264186.8</v>
      </c>
      <c r="V186" s="203">
        <f>MIN(H186*parameters!C$22,ROUND(O186+S186-U186,0))</f>
        <v>15746758</v>
      </c>
      <c r="W186" s="211">
        <f t="shared" si="63"/>
        <v>68.035400997125706</v>
      </c>
      <c r="X186" s="208"/>
      <c r="Y186" s="212">
        <f t="shared" si="64"/>
        <v>0</v>
      </c>
      <c r="Z186" s="212">
        <f t="shared" si="47"/>
        <v>0</v>
      </c>
      <c r="AA186" s="212">
        <f t="shared" si="65"/>
        <v>46621</v>
      </c>
      <c r="AB186" s="68">
        <f t="shared" si="66"/>
        <v>0.20540099712570736</v>
      </c>
      <c r="AD186" s="207">
        <f t="shared" si="69"/>
        <v>1.9796515151428298E-2</v>
      </c>
      <c r="AE186" s="213">
        <f t="shared" si="70"/>
        <v>1.3468466510963708</v>
      </c>
      <c r="AF186" s="10">
        <f t="shared" si="49"/>
        <v>0</v>
      </c>
      <c r="AG186" s="214"/>
      <c r="AH186" s="214">
        <v>5.3199999999999997E-2</v>
      </c>
      <c r="AI186" s="181"/>
      <c r="AJ186" s="214"/>
      <c r="AK186" s="214"/>
      <c r="AL186" s="214"/>
      <c r="AM186" s="10"/>
      <c r="AN186" s="10"/>
    </row>
    <row r="187" spans="1:40" ht="12.75" customHeight="1">
      <c r="A187" s="201">
        <v>178</v>
      </c>
      <c r="B187" s="201" t="s">
        <v>1444</v>
      </c>
      <c r="C187" s="202">
        <v>4523617700</v>
      </c>
      <c r="D187" s="202">
        <f t="shared" si="50"/>
        <v>16056986.722279489</v>
      </c>
      <c r="E187" s="202">
        <v>1251016000</v>
      </c>
      <c r="F187" s="202">
        <f t="shared" si="68"/>
        <v>17824354.214203753</v>
      </c>
      <c r="G187" s="202">
        <f t="shared" si="51"/>
        <v>33881341</v>
      </c>
      <c r="H187" s="203">
        <f t="shared" si="52"/>
        <v>38391639.377491832</v>
      </c>
      <c r="I187" s="204">
        <f t="shared" si="53"/>
        <v>31673102</v>
      </c>
      <c r="J187" s="204">
        <f t="shared" si="54"/>
        <v>31673102</v>
      </c>
      <c r="K187" s="198">
        <f t="shared" si="55"/>
        <v>82.5</v>
      </c>
      <c r="L187" s="205"/>
      <c r="M187" s="206">
        <v>30637193</v>
      </c>
      <c r="N187" s="207">
        <f t="shared" si="56"/>
        <v>4.2799999999999991E-2</v>
      </c>
      <c r="O187" s="204">
        <f t="shared" si="57"/>
        <v>31948465</v>
      </c>
      <c r="P187" s="208">
        <f t="shared" si="58"/>
        <v>83.217246041154155</v>
      </c>
      <c r="Q187" s="208">
        <f t="shared" si="59"/>
        <v>0</v>
      </c>
      <c r="R187" s="209">
        <f t="shared" si="60"/>
        <v>0</v>
      </c>
      <c r="S187" s="204">
        <f t="shared" si="61"/>
        <v>0</v>
      </c>
      <c r="T187" s="210">
        <f t="shared" si="62"/>
        <v>275363</v>
      </c>
      <c r="U187" s="210">
        <f t="shared" si="46"/>
        <v>234058.55</v>
      </c>
      <c r="V187" s="203">
        <f>MIN(H187*parameters!C$22,ROUND(O187+S187-U187,0))</f>
        <v>31714406</v>
      </c>
      <c r="W187" s="211">
        <f t="shared" si="63"/>
        <v>82.607584657073687</v>
      </c>
      <c r="X187" s="208"/>
      <c r="Y187" s="212">
        <f t="shared" si="64"/>
        <v>0</v>
      </c>
      <c r="Z187" s="212">
        <f t="shared" si="47"/>
        <v>0</v>
      </c>
      <c r="AA187" s="212">
        <f t="shared" si="65"/>
        <v>41304</v>
      </c>
      <c r="AB187" s="68">
        <f t="shared" si="66"/>
        <v>0.10758465707368714</v>
      </c>
      <c r="AD187" s="207">
        <f t="shared" si="69"/>
        <v>8.6939068992989699E-3</v>
      </c>
      <c r="AE187" s="213">
        <f t="shared" si="70"/>
        <v>0.71724604115415502</v>
      </c>
      <c r="AF187" s="10">
        <f t="shared" si="49"/>
        <v>0</v>
      </c>
      <c r="AG187" s="214"/>
      <c r="AH187" s="214">
        <v>4.2799999999999991E-2</v>
      </c>
      <c r="AI187" s="181"/>
      <c r="AJ187" s="214"/>
      <c r="AK187" s="214"/>
      <c r="AL187" s="214"/>
      <c r="AM187" s="10"/>
      <c r="AN187" s="10"/>
    </row>
    <row r="188" spans="1:40" ht="12.75" customHeight="1">
      <c r="A188" s="201">
        <v>179</v>
      </c>
      <c r="B188" s="201" t="s">
        <v>1445</v>
      </c>
      <c r="C188" s="202">
        <v>901857400</v>
      </c>
      <c r="D188" s="202">
        <f t="shared" si="50"/>
        <v>3201223.7234789981</v>
      </c>
      <c r="E188" s="202">
        <v>307084000</v>
      </c>
      <c r="F188" s="202">
        <f t="shared" si="68"/>
        <v>4375302.945377633</v>
      </c>
      <c r="G188" s="202">
        <f t="shared" si="51"/>
        <v>7576527</v>
      </c>
      <c r="H188" s="203">
        <f t="shared" si="52"/>
        <v>10323998.552202094</v>
      </c>
      <c r="I188" s="204">
        <f t="shared" si="53"/>
        <v>8517299</v>
      </c>
      <c r="J188" s="204">
        <f t="shared" si="54"/>
        <v>7576527</v>
      </c>
      <c r="K188" s="198">
        <f t="shared" si="55"/>
        <v>73.39</v>
      </c>
      <c r="L188" s="205"/>
      <c r="M188" s="206">
        <v>6976578</v>
      </c>
      <c r="N188" s="207">
        <f t="shared" si="56"/>
        <v>5.0799999999999998E-2</v>
      </c>
      <c r="O188" s="204">
        <f t="shared" si="57"/>
        <v>7330988</v>
      </c>
      <c r="P188" s="208">
        <f t="shared" si="58"/>
        <v>71.009192445463015</v>
      </c>
      <c r="Q188" s="208">
        <f t="shared" si="59"/>
        <v>2.380807554536986</v>
      </c>
      <c r="R188" s="209">
        <f t="shared" si="60"/>
        <v>0</v>
      </c>
      <c r="S188" s="204">
        <f t="shared" si="61"/>
        <v>0</v>
      </c>
      <c r="T188" s="210">
        <f t="shared" si="62"/>
        <v>0</v>
      </c>
      <c r="U188" s="210">
        <f t="shared" si="46"/>
        <v>0</v>
      </c>
      <c r="V188" s="203">
        <f>MIN(H188*parameters!C$22,ROUND(O188+S188-U188,0))</f>
        <v>7330988</v>
      </c>
      <c r="W188" s="211">
        <f t="shared" si="63"/>
        <v>71.009192445463015</v>
      </c>
      <c r="X188" s="208"/>
      <c r="Y188" s="212">
        <f t="shared" si="64"/>
        <v>-245539</v>
      </c>
      <c r="Z188" s="212">
        <f t="shared" si="47"/>
        <v>245539</v>
      </c>
      <c r="AA188" s="212">
        <f t="shared" si="65"/>
        <v>0</v>
      </c>
      <c r="AB188" s="68">
        <f t="shared" si="66"/>
        <v>-2.380807554536986</v>
      </c>
      <c r="AD188" s="207">
        <f t="shared" si="69"/>
        <v>-3.2407856528459546E-2</v>
      </c>
      <c r="AE188" s="213">
        <f t="shared" si="70"/>
        <v>-2.380807554536986</v>
      </c>
      <c r="AF188" s="10">
        <f t="shared" si="49"/>
        <v>0</v>
      </c>
      <c r="AG188" s="214"/>
      <c r="AH188" s="214">
        <v>5.0799999999999998E-2</v>
      </c>
      <c r="AI188" s="181"/>
      <c r="AJ188" s="214"/>
      <c r="AK188" s="214"/>
      <c r="AL188" s="214"/>
      <c r="AM188" s="10"/>
      <c r="AN188" s="10"/>
    </row>
    <row r="189" spans="1:40" ht="12.75" customHeight="1">
      <c r="A189" s="201">
        <v>180</v>
      </c>
      <c r="B189" s="201" t="s">
        <v>1446</v>
      </c>
      <c r="C189" s="202">
        <v>746617400</v>
      </c>
      <c r="D189" s="202">
        <f t="shared" si="50"/>
        <v>2650185.420934849</v>
      </c>
      <c r="E189" s="202">
        <v>221181000</v>
      </c>
      <c r="F189" s="202">
        <f t="shared" si="68"/>
        <v>3151365.3617953728</v>
      </c>
      <c r="G189" s="202">
        <f t="shared" si="51"/>
        <v>5801551</v>
      </c>
      <c r="H189" s="203">
        <f t="shared" si="52"/>
        <v>9207038.9983233102</v>
      </c>
      <c r="I189" s="204">
        <f t="shared" si="53"/>
        <v>7595807</v>
      </c>
      <c r="J189" s="204">
        <f t="shared" si="54"/>
        <v>5801551</v>
      </c>
      <c r="K189" s="198">
        <f t="shared" si="55"/>
        <v>63.01</v>
      </c>
      <c r="L189" s="205"/>
      <c r="M189" s="206">
        <v>5806995</v>
      </c>
      <c r="N189" s="207">
        <f t="shared" si="56"/>
        <v>4.2599999999999999E-2</v>
      </c>
      <c r="O189" s="204">
        <f t="shared" si="57"/>
        <v>6054373</v>
      </c>
      <c r="P189" s="208">
        <f t="shared" si="58"/>
        <v>65.758090099352884</v>
      </c>
      <c r="Q189" s="208">
        <f t="shared" si="59"/>
        <v>0</v>
      </c>
      <c r="R189" s="209">
        <f t="shared" si="60"/>
        <v>0</v>
      </c>
      <c r="S189" s="204">
        <f t="shared" si="61"/>
        <v>0</v>
      </c>
      <c r="T189" s="210">
        <f t="shared" si="62"/>
        <v>252822</v>
      </c>
      <c r="U189" s="210">
        <f t="shared" si="46"/>
        <v>214898.69999999998</v>
      </c>
      <c r="V189" s="203">
        <f>MIN(H189*parameters!C$22,ROUND(O189+S189-U189,0))</f>
        <v>5839474</v>
      </c>
      <c r="W189" s="211">
        <f t="shared" si="63"/>
        <v>63.424017222729525</v>
      </c>
      <c r="X189" s="208"/>
      <c r="Y189" s="212">
        <f t="shared" si="64"/>
        <v>0</v>
      </c>
      <c r="Z189" s="212">
        <f t="shared" si="47"/>
        <v>0</v>
      </c>
      <c r="AA189" s="212">
        <f t="shared" si="65"/>
        <v>37923</v>
      </c>
      <c r="AB189" s="68">
        <f t="shared" si="66"/>
        <v>0.41401722272952668</v>
      </c>
      <c r="AD189" s="207">
        <f t="shared" si="69"/>
        <v>4.3578346549052141E-2</v>
      </c>
      <c r="AE189" s="213">
        <f t="shared" si="70"/>
        <v>2.7480900993528863</v>
      </c>
      <c r="AF189" s="10">
        <f t="shared" si="49"/>
        <v>0</v>
      </c>
      <c r="AG189" s="214"/>
      <c r="AH189" s="214">
        <v>4.2599999999999999E-2</v>
      </c>
      <c r="AI189" s="181"/>
      <c r="AJ189" s="214"/>
      <c r="AK189" s="214"/>
      <c r="AL189" s="214"/>
      <c r="AM189" s="10"/>
      <c r="AN189" s="10"/>
    </row>
    <row r="190" spans="1:40" ht="12.75" customHeight="1">
      <c r="A190" s="201">
        <v>181</v>
      </c>
      <c r="B190" s="201" t="s">
        <v>1447</v>
      </c>
      <c r="C190" s="202">
        <v>5170366300</v>
      </c>
      <c r="D190" s="202">
        <f t="shared" si="50"/>
        <v>18352678.880980887</v>
      </c>
      <c r="E190" s="202">
        <v>1405122000</v>
      </c>
      <c r="F190" s="202">
        <f t="shared" si="68"/>
        <v>20020041.504001871</v>
      </c>
      <c r="G190" s="202">
        <f t="shared" si="51"/>
        <v>38372720</v>
      </c>
      <c r="H190" s="203">
        <f t="shared" si="52"/>
        <v>82768413.786114618</v>
      </c>
      <c r="I190" s="204">
        <f t="shared" si="53"/>
        <v>68283941</v>
      </c>
      <c r="J190" s="204">
        <f t="shared" si="54"/>
        <v>38372720</v>
      </c>
      <c r="K190" s="198">
        <f t="shared" si="55"/>
        <v>46.36</v>
      </c>
      <c r="L190" s="205"/>
      <c r="M190" s="206">
        <v>37055017</v>
      </c>
      <c r="N190" s="207">
        <f t="shared" si="56"/>
        <v>4.6199999999999998E-2</v>
      </c>
      <c r="O190" s="204">
        <f t="shared" si="57"/>
        <v>38766959</v>
      </c>
      <c r="P190" s="208">
        <f t="shared" si="58"/>
        <v>46.8378663147748</v>
      </c>
      <c r="Q190" s="208">
        <f t="shared" si="59"/>
        <v>0</v>
      </c>
      <c r="R190" s="209">
        <f t="shared" si="60"/>
        <v>0</v>
      </c>
      <c r="S190" s="204">
        <f t="shared" si="61"/>
        <v>0</v>
      </c>
      <c r="T190" s="210">
        <f t="shared" si="62"/>
        <v>394239</v>
      </c>
      <c r="U190" s="210">
        <f t="shared" si="46"/>
        <v>335103.14999999997</v>
      </c>
      <c r="V190" s="203">
        <f>MIN(H190*parameters!C$22,ROUND(O190+S190-U190,0))</f>
        <v>38431856</v>
      </c>
      <c r="W190" s="211">
        <f t="shared" si="63"/>
        <v>46.432998099146126</v>
      </c>
      <c r="X190" s="208"/>
      <c r="Y190" s="212">
        <f t="shared" si="64"/>
        <v>0</v>
      </c>
      <c r="Z190" s="212">
        <f t="shared" si="47"/>
        <v>0</v>
      </c>
      <c r="AA190" s="212">
        <f t="shared" si="65"/>
        <v>59136</v>
      </c>
      <c r="AB190" s="68">
        <f t="shared" si="66"/>
        <v>7.2998099146126094E-2</v>
      </c>
      <c r="AD190" s="207">
        <f t="shared" si="69"/>
        <v>1.0273939402784061E-2</v>
      </c>
      <c r="AE190" s="213">
        <f t="shared" si="70"/>
        <v>0.47786631477480057</v>
      </c>
      <c r="AF190" s="10">
        <f t="shared" si="49"/>
        <v>0</v>
      </c>
      <c r="AG190" s="214"/>
      <c r="AH190" s="214">
        <v>4.6199999999999998E-2</v>
      </c>
      <c r="AI190" s="181"/>
      <c r="AJ190" s="214"/>
      <c r="AK190" s="214"/>
      <c r="AL190" s="214"/>
      <c r="AM190" s="10"/>
      <c r="AN190" s="10"/>
    </row>
    <row r="191" spans="1:40" ht="12.75" customHeight="1">
      <c r="A191" s="201">
        <v>182</v>
      </c>
      <c r="B191" s="201" t="s">
        <v>1448</v>
      </c>
      <c r="C191" s="202">
        <v>2456342300</v>
      </c>
      <c r="D191" s="202">
        <f t="shared" si="50"/>
        <v>8719007.2884526607</v>
      </c>
      <c r="E191" s="202">
        <v>648687000</v>
      </c>
      <c r="F191" s="202">
        <f t="shared" si="68"/>
        <v>9242429.2432304546</v>
      </c>
      <c r="G191" s="202">
        <f t="shared" si="51"/>
        <v>17961437</v>
      </c>
      <c r="H191" s="203">
        <f t="shared" si="52"/>
        <v>34015595.064182416</v>
      </c>
      <c r="I191" s="204">
        <f t="shared" si="53"/>
        <v>28062866</v>
      </c>
      <c r="J191" s="204">
        <f t="shared" si="54"/>
        <v>17961437</v>
      </c>
      <c r="K191" s="198">
        <f t="shared" si="55"/>
        <v>52.8</v>
      </c>
      <c r="L191" s="205"/>
      <c r="M191" s="206">
        <v>18074382</v>
      </c>
      <c r="N191" s="207">
        <f t="shared" si="56"/>
        <v>4.1599999999999998E-2</v>
      </c>
      <c r="O191" s="204">
        <f t="shared" si="57"/>
        <v>18826276</v>
      </c>
      <c r="P191" s="208">
        <f t="shared" si="58"/>
        <v>55.346013981168319</v>
      </c>
      <c r="Q191" s="208">
        <f t="shared" si="59"/>
        <v>0</v>
      </c>
      <c r="R191" s="209">
        <f t="shared" si="60"/>
        <v>0</v>
      </c>
      <c r="S191" s="204">
        <f t="shared" si="61"/>
        <v>0</v>
      </c>
      <c r="T191" s="210">
        <f t="shared" si="62"/>
        <v>864839</v>
      </c>
      <c r="U191" s="210">
        <f t="shared" si="46"/>
        <v>735113.15</v>
      </c>
      <c r="V191" s="203">
        <f>MIN(H191*parameters!C$22,ROUND(O191+S191-U191,0))</f>
        <v>18091163</v>
      </c>
      <c r="W191" s="211">
        <f t="shared" si="63"/>
        <v>53.184908174808179</v>
      </c>
      <c r="X191" s="208"/>
      <c r="Y191" s="212">
        <f t="shared" si="64"/>
        <v>0</v>
      </c>
      <c r="Z191" s="212">
        <f t="shared" si="47"/>
        <v>0</v>
      </c>
      <c r="AA191" s="212">
        <f t="shared" si="65"/>
        <v>129726</v>
      </c>
      <c r="AB191" s="68">
        <f t="shared" si="66"/>
        <v>0.38490817480818151</v>
      </c>
      <c r="AD191" s="207">
        <f t="shared" si="69"/>
        <v>4.8149766636155E-2</v>
      </c>
      <c r="AE191" s="213">
        <f t="shared" si="70"/>
        <v>2.546013981168322</v>
      </c>
      <c r="AF191" s="10">
        <f t="shared" si="49"/>
        <v>0</v>
      </c>
      <c r="AG191" s="214"/>
      <c r="AH191" s="214">
        <v>4.1599999999999998E-2</v>
      </c>
      <c r="AI191" s="181"/>
      <c r="AJ191" s="214"/>
      <c r="AK191" s="214"/>
      <c r="AL191" s="214"/>
      <c r="AM191" s="10"/>
      <c r="AN191" s="10"/>
    </row>
    <row r="192" spans="1:40" ht="12.75" customHeight="1">
      <c r="A192" s="201">
        <v>183</v>
      </c>
      <c r="B192" s="201" t="s">
        <v>1449</v>
      </c>
      <c r="C192" s="202">
        <v>65947000</v>
      </c>
      <c r="D192" s="202">
        <f t="shared" si="50"/>
        <v>234084.79089074337</v>
      </c>
      <c r="E192" s="202">
        <v>9089000</v>
      </c>
      <c r="F192" s="202">
        <f t="shared" si="68"/>
        <v>129499.18742278109</v>
      </c>
      <c r="G192" s="202">
        <f t="shared" si="51"/>
        <v>363584</v>
      </c>
      <c r="H192" s="203">
        <f t="shared" si="52"/>
        <v>432596.25119522359</v>
      </c>
      <c r="I192" s="204">
        <f t="shared" si="53"/>
        <v>356892</v>
      </c>
      <c r="J192" s="204">
        <f t="shared" si="54"/>
        <v>356892</v>
      </c>
      <c r="K192" s="198">
        <f t="shared" si="55"/>
        <v>82.5</v>
      </c>
      <c r="L192" s="205"/>
      <c r="M192" s="206">
        <v>363683</v>
      </c>
      <c r="N192" s="207">
        <f t="shared" si="56"/>
        <v>2.7300000000000001E-2</v>
      </c>
      <c r="O192" s="204">
        <f t="shared" si="57"/>
        <v>373612</v>
      </c>
      <c r="P192" s="208">
        <f t="shared" si="58"/>
        <v>86.365057248587902</v>
      </c>
      <c r="Q192" s="208">
        <f t="shared" si="59"/>
        <v>0</v>
      </c>
      <c r="R192" s="209">
        <f t="shared" si="60"/>
        <v>0</v>
      </c>
      <c r="S192" s="204">
        <f t="shared" si="61"/>
        <v>0</v>
      </c>
      <c r="T192" s="210">
        <f t="shared" si="62"/>
        <v>16720</v>
      </c>
      <c r="U192" s="210">
        <f t="shared" si="46"/>
        <v>14212</v>
      </c>
      <c r="V192" s="203">
        <f>MIN(H192*parameters!C$22,ROUND(O192+S192-U192,0))</f>
        <v>359400</v>
      </c>
      <c r="W192" s="211">
        <f t="shared" si="63"/>
        <v>83.0797768142953</v>
      </c>
      <c r="X192" s="208"/>
      <c r="Y192" s="212">
        <f t="shared" si="64"/>
        <v>0</v>
      </c>
      <c r="Z192" s="212">
        <f t="shared" si="47"/>
        <v>0</v>
      </c>
      <c r="AA192" s="212">
        <f t="shared" si="65"/>
        <v>2508</v>
      </c>
      <c r="AB192" s="68">
        <f t="shared" si="66"/>
        <v>0.57977681429530037</v>
      </c>
      <c r="AD192" s="207">
        <f t="shared" si="69"/>
        <v>4.6848906672046442E-2</v>
      </c>
      <c r="AE192" s="213">
        <f t="shared" si="70"/>
        <v>3.8650572485879024</v>
      </c>
      <c r="AF192" s="10">
        <f t="shared" si="49"/>
        <v>0</v>
      </c>
      <c r="AG192" s="214"/>
      <c r="AH192" s="214">
        <v>2.7300000000000001E-2</v>
      </c>
      <c r="AI192" s="181"/>
      <c r="AJ192" s="214"/>
      <c r="AK192" s="214"/>
      <c r="AL192" s="214"/>
      <c r="AM192" s="10"/>
      <c r="AN192" s="10"/>
    </row>
    <row r="193" spans="1:40" ht="12.75" customHeight="1">
      <c r="A193" s="201">
        <v>184</v>
      </c>
      <c r="B193" s="201" t="s">
        <v>1450</v>
      </c>
      <c r="C193" s="202">
        <v>1895561200</v>
      </c>
      <c r="D193" s="202">
        <f t="shared" si="50"/>
        <v>6728464.4809105275</v>
      </c>
      <c r="E193" s="202">
        <v>445200000</v>
      </c>
      <c r="F193" s="202">
        <f t="shared" si="68"/>
        <v>6343166.2713854266</v>
      </c>
      <c r="G193" s="202">
        <f t="shared" si="51"/>
        <v>13071631</v>
      </c>
      <c r="H193" s="203">
        <f t="shared" si="52"/>
        <v>13520000.006645856</v>
      </c>
      <c r="I193" s="204">
        <f t="shared" si="53"/>
        <v>11154000</v>
      </c>
      <c r="J193" s="204">
        <f t="shared" si="54"/>
        <v>11154000</v>
      </c>
      <c r="K193" s="198">
        <f t="shared" si="55"/>
        <v>82.5</v>
      </c>
      <c r="L193" s="205"/>
      <c r="M193" s="206">
        <v>11574298</v>
      </c>
      <c r="N193" s="207">
        <f t="shared" si="56"/>
        <v>6.3899999999999998E-2</v>
      </c>
      <c r="O193" s="204">
        <f t="shared" si="57"/>
        <v>12313896</v>
      </c>
      <c r="P193" s="208">
        <f t="shared" si="58"/>
        <v>91.079112381264892</v>
      </c>
      <c r="Q193" s="208">
        <f t="shared" si="59"/>
        <v>0</v>
      </c>
      <c r="R193" s="209">
        <f t="shared" si="60"/>
        <v>0</v>
      </c>
      <c r="S193" s="204">
        <f t="shared" si="61"/>
        <v>0</v>
      </c>
      <c r="T193" s="210">
        <f t="shared" si="62"/>
        <v>1159896</v>
      </c>
      <c r="U193" s="210">
        <f t="shared" si="46"/>
        <v>985911.6</v>
      </c>
      <c r="V193" s="203">
        <f>MIN(H193*parameters!C$22,ROUND(O193+S193-U193,0))</f>
        <v>11327984</v>
      </c>
      <c r="W193" s="211">
        <f t="shared" si="63"/>
        <v>83.786863864139391</v>
      </c>
      <c r="X193" s="208"/>
      <c r="Y193" s="212">
        <f t="shared" si="64"/>
        <v>0</v>
      </c>
      <c r="Z193" s="212">
        <f t="shared" si="47"/>
        <v>0</v>
      </c>
      <c r="AA193" s="212">
        <f t="shared" si="65"/>
        <v>173984</v>
      </c>
      <c r="AB193" s="68">
        <f t="shared" si="66"/>
        <v>1.2868638641393915</v>
      </c>
      <c r="AD193" s="207">
        <f t="shared" si="69"/>
        <v>0.10398924152770307</v>
      </c>
      <c r="AE193" s="213">
        <f t="shared" si="70"/>
        <v>8.579112381264892</v>
      </c>
      <c r="AF193" s="10">
        <f t="shared" si="49"/>
        <v>0</v>
      </c>
      <c r="AG193" s="214"/>
      <c r="AH193" s="214">
        <v>6.3899999999999998E-2</v>
      </c>
      <c r="AI193" s="181"/>
      <c r="AJ193" s="214"/>
      <c r="AK193" s="214"/>
      <c r="AL193" s="214"/>
      <c r="AM193" s="10"/>
      <c r="AN193" s="10"/>
    </row>
    <row r="194" spans="1:40" ht="12.75" customHeight="1">
      <c r="A194" s="201">
        <v>185</v>
      </c>
      <c r="B194" s="201" t="s">
        <v>1451</v>
      </c>
      <c r="C194" s="202">
        <v>3206234500</v>
      </c>
      <c r="D194" s="202">
        <f t="shared" si="50"/>
        <v>11380816.905684672</v>
      </c>
      <c r="E194" s="202">
        <v>910696000</v>
      </c>
      <c r="F194" s="202">
        <f t="shared" si="68"/>
        <v>12975507.975484326</v>
      </c>
      <c r="G194" s="202">
        <f t="shared" si="51"/>
        <v>24356325</v>
      </c>
      <c r="H194" s="203">
        <f t="shared" si="52"/>
        <v>48819999.818467744</v>
      </c>
      <c r="I194" s="204">
        <f t="shared" si="53"/>
        <v>40276500</v>
      </c>
      <c r="J194" s="204">
        <f t="shared" si="54"/>
        <v>24356325</v>
      </c>
      <c r="K194" s="198">
        <f t="shared" si="55"/>
        <v>49.89</v>
      </c>
      <c r="L194" s="205"/>
      <c r="M194" s="206">
        <v>24067247</v>
      </c>
      <c r="N194" s="207">
        <f t="shared" si="56"/>
        <v>4.1099999999999998E-2</v>
      </c>
      <c r="O194" s="204">
        <f t="shared" si="57"/>
        <v>25056411</v>
      </c>
      <c r="P194" s="208">
        <f t="shared" si="58"/>
        <v>51.324070244100248</v>
      </c>
      <c r="Q194" s="208">
        <f t="shared" si="59"/>
        <v>0</v>
      </c>
      <c r="R194" s="209">
        <f t="shared" si="60"/>
        <v>0</v>
      </c>
      <c r="S194" s="204">
        <f t="shared" si="61"/>
        <v>0</v>
      </c>
      <c r="T194" s="210">
        <f t="shared" si="62"/>
        <v>700086</v>
      </c>
      <c r="U194" s="210">
        <f t="shared" si="46"/>
        <v>595073.1</v>
      </c>
      <c r="V194" s="203">
        <f>MIN(H194*parameters!C$22,ROUND(O194+S194-U194,0))</f>
        <v>24461338</v>
      </c>
      <c r="W194" s="211">
        <f t="shared" si="63"/>
        <v>50.105157908555967</v>
      </c>
      <c r="X194" s="208"/>
      <c r="Y194" s="212">
        <f t="shared" si="64"/>
        <v>0</v>
      </c>
      <c r="Z194" s="212">
        <f t="shared" si="47"/>
        <v>0</v>
      </c>
      <c r="AA194" s="212">
        <f t="shared" si="65"/>
        <v>105013</v>
      </c>
      <c r="AB194" s="68">
        <f t="shared" si="66"/>
        <v>0.21515790855596606</v>
      </c>
      <c r="AD194" s="207">
        <f t="shared" si="69"/>
        <v>2.8743498865284479E-2</v>
      </c>
      <c r="AE194" s="213">
        <f t="shared" si="70"/>
        <v>1.4340702441002477</v>
      </c>
      <c r="AF194" s="10">
        <f t="shared" si="49"/>
        <v>0</v>
      </c>
      <c r="AG194" s="214"/>
      <c r="AH194" s="214">
        <v>4.1099999999999998E-2</v>
      </c>
      <c r="AI194" s="181"/>
      <c r="AJ194" s="214"/>
      <c r="AK194" s="214"/>
      <c r="AL194" s="214"/>
      <c r="AM194" s="10"/>
      <c r="AN194" s="10"/>
    </row>
    <row r="195" spans="1:40" ht="12.75" customHeight="1">
      <c r="A195" s="201">
        <v>186</v>
      </c>
      <c r="B195" s="201" t="s">
        <v>1452</v>
      </c>
      <c r="C195" s="202">
        <v>1531502600</v>
      </c>
      <c r="D195" s="202">
        <f t="shared" si="50"/>
        <v>5436205.8299790705</v>
      </c>
      <c r="E195" s="202">
        <v>406127000</v>
      </c>
      <c r="F195" s="202">
        <f t="shared" si="68"/>
        <v>5786457.9701234261</v>
      </c>
      <c r="G195" s="202">
        <f t="shared" si="51"/>
        <v>11222664</v>
      </c>
      <c r="H195" s="203">
        <f t="shared" si="52"/>
        <v>18853061.840606079</v>
      </c>
      <c r="I195" s="204">
        <f t="shared" si="53"/>
        <v>15553776</v>
      </c>
      <c r="J195" s="204">
        <f t="shared" si="54"/>
        <v>11222664</v>
      </c>
      <c r="K195" s="198">
        <f t="shared" si="55"/>
        <v>59.53</v>
      </c>
      <c r="L195" s="205"/>
      <c r="M195" s="206">
        <v>11054199</v>
      </c>
      <c r="N195" s="207">
        <f t="shared" si="56"/>
        <v>4.4600000000000001E-2</v>
      </c>
      <c r="O195" s="204">
        <f t="shared" si="57"/>
        <v>11547216</v>
      </c>
      <c r="P195" s="208">
        <f t="shared" si="58"/>
        <v>61.248491611741223</v>
      </c>
      <c r="Q195" s="208">
        <f t="shared" si="59"/>
        <v>0</v>
      </c>
      <c r="R195" s="209">
        <f t="shared" si="60"/>
        <v>0</v>
      </c>
      <c r="S195" s="204">
        <f t="shared" si="61"/>
        <v>0</v>
      </c>
      <c r="T195" s="210">
        <f t="shared" si="62"/>
        <v>324552</v>
      </c>
      <c r="U195" s="210">
        <f t="shared" si="46"/>
        <v>275869.2</v>
      </c>
      <c r="V195" s="203">
        <f>MIN(H195*parameters!C$22,ROUND(O195+S195-U195,0))</f>
        <v>11271347</v>
      </c>
      <c r="W195" s="211">
        <f t="shared" si="63"/>
        <v>59.785233270298626</v>
      </c>
      <c r="X195" s="208"/>
      <c r="Y195" s="212">
        <f t="shared" si="64"/>
        <v>0</v>
      </c>
      <c r="Z195" s="212">
        <f t="shared" si="47"/>
        <v>0</v>
      </c>
      <c r="AA195" s="212">
        <f t="shared" si="65"/>
        <v>48683</v>
      </c>
      <c r="AB195" s="68">
        <f t="shared" si="66"/>
        <v>0.25523327029862486</v>
      </c>
      <c r="AD195" s="207">
        <f t="shared" si="69"/>
        <v>2.8919336799177093E-2</v>
      </c>
      <c r="AE195" s="213">
        <f t="shared" si="70"/>
        <v>1.7184916117412214</v>
      </c>
      <c r="AF195" s="10">
        <f t="shared" si="49"/>
        <v>0</v>
      </c>
      <c r="AG195" s="214"/>
      <c r="AH195" s="214">
        <v>4.4600000000000001E-2</v>
      </c>
      <c r="AI195" s="181"/>
      <c r="AJ195" s="214"/>
      <c r="AK195" s="214"/>
      <c r="AL195" s="214"/>
      <c r="AM195" s="10"/>
      <c r="AN195" s="10"/>
    </row>
    <row r="196" spans="1:40" ht="12.75" customHeight="1">
      <c r="A196" s="201">
        <v>187</v>
      </c>
      <c r="B196" s="201" t="s">
        <v>1453</v>
      </c>
      <c r="C196" s="202">
        <v>1158638500</v>
      </c>
      <c r="D196" s="202">
        <f t="shared" si="50"/>
        <v>4112691.2670851527</v>
      </c>
      <c r="E196" s="202">
        <v>330097000</v>
      </c>
      <c r="F196" s="202">
        <f t="shared" si="68"/>
        <v>4703189.9296619836</v>
      </c>
      <c r="G196" s="202">
        <f t="shared" si="51"/>
        <v>8815881</v>
      </c>
      <c r="H196" s="203">
        <f t="shared" si="52"/>
        <v>12344626.366351752</v>
      </c>
      <c r="I196" s="204">
        <f t="shared" si="53"/>
        <v>10184317</v>
      </c>
      <c r="J196" s="204">
        <f t="shared" si="54"/>
        <v>8815881</v>
      </c>
      <c r="K196" s="198">
        <f t="shared" si="55"/>
        <v>71.41</v>
      </c>
      <c r="L196" s="205"/>
      <c r="M196" s="206">
        <v>8510648</v>
      </c>
      <c r="N196" s="207">
        <f t="shared" si="56"/>
        <v>4.8799999999999996E-2</v>
      </c>
      <c r="O196" s="204">
        <f t="shared" si="57"/>
        <v>8925968</v>
      </c>
      <c r="P196" s="208">
        <f t="shared" si="58"/>
        <v>72.306505965461</v>
      </c>
      <c r="Q196" s="208">
        <f t="shared" si="59"/>
        <v>0</v>
      </c>
      <c r="R196" s="209">
        <f t="shared" si="60"/>
        <v>0</v>
      </c>
      <c r="S196" s="204">
        <f t="shared" si="61"/>
        <v>0</v>
      </c>
      <c r="T196" s="210">
        <f t="shared" si="62"/>
        <v>110087</v>
      </c>
      <c r="U196" s="210">
        <f t="shared" si="46"/>
        <v>93573.95</v>
      </c>
      <c r="V196" s="203">
        <f>MIN(H196*parameters!C$22,ROUND(O196+S196-U196,0))</f>
        <v>8832394</v>
      </c>
      <c r="W196" s="211">
        <f t="shared" si="63"/>
        <v>71.548491933905865</v>
      </c>
      <c r="X196" s="208"/>
      <c r="Y196" s="212">
        <f t="shared" si="64"/>
        <v>0</v>
      </c>
      <c r="Z196" s="212">
        <f t="shared" si="47"/>
        <v>0</v>
      </c>
      <c r="AA196" s="212">
        <f t="shared" si="65"/>
        <v>16513</v>
      </c>
      <c r="AB196" s="68">
        <f t="shared" si="66"/>
        <v>0.13849193390586834</v>
      </c>
      <c r="AD196" s="207">
        <f t="shared" si="69"/>
        <v>1.2487350952219069E-2</v>
      </c>
      <c r="AE196" s="213">
        <f t="shared" si="70"/>
        <v>0.89650596546100303</v>
      </c>
      <c r="AF196" s="10">
        <f t="shared" si="49"/>
        <v>0</v>
      </c>
      <c r="AG196" s="214"/>
      <c r="AH196" s="214">
        <v>4.8799999999999996E-2</v>
      </c>
      <c r="AI196" s="181"/>
      <c r="AJ196" s="214"/>
      <c r="AK196" s="214"/>
      <c r="AL196" s="214"/>
      <c r="AM196" s="10"/>
      <c r="AN196" s="10"/>
    </row>
    <row r="197" spans="1:40" ht="12.75" customHeight="1">
      <c r="A197" s="201">
        <v>188</v>
      </c>
      <c r="B197" s="201" t="s">
        <v>1454</v>
      </c>
      <c r="C197" s="202">
        <v>287812000</v>
      </c>
      <c r="D197" s="202">
        <f t="shared" si="50"/>
        <v>1021614.5061313878</v>
      </c>
      <c r="E197" s="202">
        <v>95433000</v>
      </c>
      <c r="F197" s="202">
        <f t="shared" si="68"/>
        <v>1359720.0960851873</v>
      </c>
      <c r="G197" s="202">
        <f t="shared" si="51"/>
        <v>2381335</v>
      </c>
      <c r="H197" s="203">
        <f t="shared" si="52"/>
        <v>5500981.3565437421</v>
      </c>
      <c r="I197" s="204">
        <f t="shared" si="53"/>
        <v>4538310</v>
      </c>
      <c r="J197" s="204">
        <f t="shared" si="54"/>
        <v>2381335</v>
      </c>
      <c r="K197" s="198">
        <f t="shared" si="55"/>
        <v>43.29</v>
      </c>
      <c r="L197" s="205"/>
      <c r="M197" s="206">
        <v>2254606</v>
      </c>
      <c r="N197" s="207">
        <f t="shared" si="56"/>
        <v>3.2599999999999997E-2</v>
      </c>
      <c r="O197" s="204">
        <f t="shared" si="57"/>
        <v>2328106</v>
      </c>
      <c r="P197" s="208">
        <f t="shared" si="58"/>
        <v>42.321648613307524</v>
      </c>
      <c r="Q197" s="208">
        <f t="shared" si="59"/>
        <v>0.96835138669247556</v>
      </c>
      <c r="R197" s="209">
        <f t="shared" si="60"/>
        <v>0</v>
      </c>
      <c r="S197" s="204">
        <f t="shared" si="61"/>
        <v>0</v>
      </c>
      <c r="T197" s="210">
        <f t="shared" si="62"/>
        <v>0</v>
      </c>
      <c r="U197" s="210">
        <f t="shared" si="46"/>
        <v>0</v>
      </c>
      <c r="V197" s="203">
        <f>MIN(H197*parameters!C$22,ROUND(O197+S197-U197,0))</f>
        <v>2328106</v>
      </c>
      <c r="W197" s="211">
        <f t="shared" si="63"/>
        <v>42.321648613307524</v>
      </c>
      <c r="X197" s="208"/>
      <c r="Y197" s="212">
        <f t="shared" si="64"/>
        <v>-53229</v>
      </c>
      <c r="Z197" s="212">
        <f t="shared" si="47"/>
        <v>53229</v>
      </c>
      <c r="AA197" s="212">
        <f t="shared" si="65"/>
        <v>0</v>
      </c>
      <c r="AB197" s="68">
        <f t="shared" si="66"/>
        <v>-0.96835138669247556</v>
      </c>
      <c r="AD197" s="207">
        <f t="shared" si="69"/>
        <v>-2.2352587939118183E-2</v>
      </c>
      <c r="AE197" s="213">
        <f t="shared" si="70"/>
        <v>-0.96835138669247556</v>
      </c>
      <c r="AF197" s="10">
        <f t="shared" si="49"/>
        <v>0</v>
      </c>
      <c r="AG197" s="214"/>
      <c r="AH197" s="214">
        <v>3.2599999999999997E-2</v>
      </c>
      <c r="AI197" s="181"/>
      <c r="AJ197" s="214"/>
      <c r="AK197" s="214"/>
      <c r="AL197" s="214"/>
      <c r="AM197" s="10"/>
      <c r="AN197" s="10"/>
    </row>
    <row r="198" spans="1:40" ht="12.75" customHeight="1">
      <c r="A198" s="201">
        <v>189</v>
      </c>
      <c r="B198" s="201" t="s">
        <v>1455</v>
      </c>
      <c r="C198" s="202">
        <v>5448423500</v>
      </c>
      <c r="D198" s="202">
        <f t="shared" si="50"/>
        <v>19339667.849662792</v>
      </c>
      <c r="E198" s="202">
        <v>1682923000</v>
      </c>
      <c r="F198" s="202">
        <f t="shared" si="68"/>
        <v>23978123.115316208</v>
      </c>
      <c r="G198" s="202">
        <f t="shared" si="51"/>
        <v>43317791</v>
      </c>
      <c r="H198" s="203">
        <f t="shared" si="52"/>
        <v>40539480.971463695</v>
      </c>
      <c r="I198" s="204">
        <f t="shared" si="53"/>
        <v>33445072</v>
      </c>
      <c r="J198" s="204">
        <f t="shared" si="54"/>
        <v>33445072</v>
      </c>
      <c r="K198" s="198">
        <f t="shared" si="55"/>
        <v>82.5</v>
      </c>
      <c r="L198" s="205"/>
      <c r="M198" s="206">
        <v>31578373</v>
      </c>
      <c r="N198" s="207">
        <f t="shared" si="56"/>
        <v>3.9399999999999998E-2</v>
      </c>
      <c r="O198" s="204">
        <f t="shared" si="57"/>
        <v>32822561</v>
      </c>
      <c r="P198" s="208">
        <f t="shared" si="58"/>
        <v>80.964433222774261</v>
      </c>
      <c r="Q198" s="208">
        <f t="shared" si="59"/>
        <v>1.5355667772257391</v>
      </c>
      <c r="R198" s="209">
        <f t="shared" si="60"/>
        <v>0</v>
      </c>
      <c r="S198" s="204">
        <f t="shared" si="61"/>
        <v>0</v>
      </c>
      <c r="T198" s="210">
        <f t="shared" si="62"/>
        <v>0</v>
      </c>
      <c r="U198" s="210">
        <f t="shared" si="46"/>
        <v>0</v>
      </c>
      <c r="V198" s="203">
        <f>MIN(H198*parameters!C$22,ROUND(O198+S198-U198,0))</f>
        <v>32822561</v>
      </c>
      <c r="W198" s="211">
        <f t="shared" si="63"/>
        <v>80.964433222774261</v>
      </c>
      <c r="X198" s="208"/>
      <c r="Y198" s="212">
        <f t="shared" si="64"/>
        <v>-622511</v>
      </c>
      <c r="Z198" s="212">
        <f t="shared" si="47"/>
        <v>622511</v>
      </c>
      <c r="AA198" s="212">
        <f t="shared" si="65"/>
        <v>0</v>
      </c>
      <c r="AB198" s="68">
        <f t="shared" si="66"/>
        <v>-1.5355667772257391</v>
      </c>
      <c r="AD198" s="207">
        <f t="shared" si="69"/>
        <v>-1.8612936458919867E-2</v>
      </c>
      <c r="AE198" s="213">
        <f t="shared" si="70"/>
        <v>-1.5355667772257391</v>
      </c>
      <c r="AF198" s="10">
        <f t="shared" si="49"/>
        <v>0</v>
      </c>
      <c r="AG198" s="214"/>
      <c r="AH198" s="214">
        <v>3.9399999999999998E-2</v>
      </c>
      <c r="AI198" s="181"/>
      <c r="AJ198" s="214"/>
      <c r="AK198" s="214"/>
      <c r="AL198" s="214"/>
      <c r="AM198" s="10"/>
      <c r="AN198" s="10"/>
    </row>
    <row r="199" spans="1:40" ht="12.75" customHeight="1">
      <c r="A199" s="201">
        <v>190</v>
      </c>
      <c r="B199" s="201" t="s">
        <v>1456</v>
      </c>
      <c r="C199" s="202">
        <v>26041800</v>
      </c>
      <c r="D199" s="202">
        <f t="shared" si="50"/>
        <v>92437.704632789377</v>
      </c>
      <c r="E199" s="202">
        <v>696000</v>
      </c>
      <c r="F199" s="202">
        <f t="shared" si="68"/>
        <v>9916.5402625432544</v>
      </c>
      <c r="G199" s="202">
        <f t="shared" si="51"/>
        <v>102354</v>
      </c>
      <c r="H199" s="203">
        <f t="shared" si="52"/>
        <v>166556.02325570033</v>
      </c>
      <c r="I199" s="204">
        <f t="shared" si="53"/>
        <v>137409</v>
      </c>
      <c r="J199" s="204">
        <f t="shared" si="54"/>
        <v>102354</v>
      </c>
      <c r="K199" s="198">
        <f t="shared" si="55"/>
        <v>61.45</v>
      </c>
      <c r="L199" s="205"/>
      <c r="M199" s="206">
        <v>86272</v>
      </c>
      <c r="N199" s="207">
        <f t="shared" si="56"/>
        <v>7.6700000000000004E-2</v>
      </c>
      <c r="O199" s="204">
        <f t="shared" si="57"/>
        <v>92889</v>
      </c>
      <c r="P199" s="208">
        <f t="shared" si="58"/>
        <v>55.770423779508015</v>
      </c>
      <c r="Q199" s="208">
        <f t="shared" si="59"/>
        <v>5.6795762204919882</v>
      </c>
      <c r="R199" s="209">
        <f t="shared" si="60"/>
        <v>0.01</v>
      </c>
      <c r="S199" s="204">
        <f t="shared" si="61"/>
        <v>863</v>
      </c>
      <c r="T199" s="210">
        <f t="shared" si="62"/>
        <v>0</v>
      </c>
      <c r="U199" s="210">
        <f t="shared" si="46"/>
        <v>0</v>
      </c>
      <c r="V199" s="203">
        <f>MIN(H199*parameters!C$22,ROUND(O199+S199-U199,0))</f>
        <v>93752</v>
      </c>
      <c r="W199" s="211">
        <f t="shared" si="63"/>
        <v>56.28856775480881</v>
      </c>
      <c r="X199" s="208"/>
      <c r="Y199" s="212">
        <f t="shared" si="64"/>
        <v>-9465</v>
      </c>
      <c r="Z199" s="212">
        <f t="shared" si="47"/>
        <v>8602</v>
      </c>
      <c r="AA199" s="212">
        <f t="shared" si="65"/>
        <v>0</v>
      </c>
      <c r="AB199" s="68">
        <f t="shared" si="66"/>
        <v>-5.1614322451911931</v>
      </c>
      <c r="AD199" s="207">
        <f t="shared" si="69"/>
        <v>-9.2473181311917466E-2</v>
      </c>
      <c r="AE199" s="213">
        <f t="shared" si="70"/>
        <v>-5.6795762204919882</v>
      </c>
      <c r="AF199" s="10">
        <f t="shared" si="49"/>
        <v>862.72</v>
      </c>
      <c r="AG199" s="214"/>
      <c r="AH199" s="214">
        <v>7.6700000000000004E-2</v>
      </c>
      <c r="AI199" s="181"/>
      <c r="AJ199" s="214"/>
      <c r="AK199" s="214"/>
      <c r="AL199" s="214"/>
      <c r="AM199" s="10"/>
      <c r="AN199" s="10"/>
    </row>
    <row r="200" spans="1:40" ht="12.75" customHeight="1">
      <c r="A200" s="201">
        <v>191</v>
      </c>
      <c r="B200" s="201" t="s">
        <v>1457</v>
      </c>
      <c r="C200" s="202">
        <v>771423700</v>
      </c>
      <c r="D200" s="202">
        <f t="shared" si="50"/>
        <v>2738237.6075130566</v>
      </c>
      <c r="E200" s="202">
        <v>233896000</v>
      </c>
      <c r="F200" s="202">
        <f t="shared" si="68"/>
        <v>3332527.444321576</v>
      </c>
      <c r="G200" s="202">
        <f t="shared" si="51"/>
        <v>6070765</v>
      </c>
      <c r="H200" s="203">
        <f t="shared" si="52"/>
        <v>11399865.826948073</v>
      </c>
      <c r="I200" s="204">
        <f t="shared" si="53"/>
        <v>9404889</v>
      </c>
      <c r="J200" s="204">
        <f t="shared" si="54"/>
        <v>6070765</v>
      </c>
      <c r="K200" s="198">
        <f t="shared" si="55"/>
        <v>53.25</v>
      </c>
      <c r="L200" s="205"/>
      <c r="M200" s="206">
        <v>6308970</v>
      </c>
      <c r="N200" s="207">
        <f t="shared" si="56"/>
        <v>3.7699999999999997E-2</v>
      </c>
      <c r="O200" s="204">
        <f t="shared" si="57"/>
        <v>6546818</v>
      </c>
      <c r="P200" s="208">
        <f t="shared" si="58"/>
        <v>57.428903983448798</v>
      </c>
      <c r="Q200" s="208">
        <f t="shared" si="59"/>
        <v>0</v>
      </c>
      <c r="R200" s="209">
        <f t="shared" si="60"/>
        <v>0</v>
      </c>
      <c r="S200" s="204">
        <f t="shared" si="61"/>
        <v>0</v>
      </c>
      <c r="T200" s="210">
        <f t="shared" si="62"/>
        <v>476053</v>
      </c>
      <c r="U200" s="210">
        <f t="shared" si="46"/>
        <v>404645.05</v>
      </c>
      <c r="V200" s="203">
        <f>MIN(H200*parameters!C$22,ROUND(O200+S200-U200,0))</f>
        <v>6142173</v>
      </c>
      <c r="W200" s="211">
        <f t="shared" si="63"/>
        <v>53.8793446628166</v>
      </c>
      <c r="X200" s="208"/>
      <c r="Y200" s="212">
        <f t="shared" si="64"/>
        <v>0</v>
      </c>
      <c r="Z200" s="212">
        <f t="shared" si="47"/>
        <v>0</v>
      </c>
      <c r="AA200" s="212">
        <f t="shared" si="65"/>
        <v>71408</v>
      </c>
      <c r="AB200" s="68">
        <f t="shared" si="66"/>
        <v>0.62934466281659951</v>
      </c>
      <c r="AD200" s="207">
        <f t="shared" si="69"/>
        <v>7.8417299961372255E-2</v>
      </c>
      <c r="AE200" s="213">
        <f t="shared" si="70"/>
        <v>4.178903983448798</v>
      </c>
      <c r="AF200" s="10">
        <f t="shared" si="49"/>
        <v>0</v>
      </c>
      <c r="AG200" s="214"/>
      <c r="AH200" s="214">
        <v>3.7699999999999997E-2</v>
      </c>
      <c r="AI200" s="181"/>
      <c r="AJ200" s="214"/>
      <c r="AK200" s="214"/>
      <c r="AL200" s="214"/>
      <c r="AM200" s="10"/>
      <c r="AN200" s="10"/>
    </row>
    <row r="201" spans="1:40" ht="12.75" customHeight="1">
      <c r="A201" s="201">
        <v>192</v>
      </c>
      <c r="B201" s="201" t="s">
        <v>1458</v>
      </c>
      <c r="C201" s="202">
        <v>819151800</v>
      </c>
      <c r="D201" s="202">
        <f t="shared" si="50"/>
        <v>2907652.7789099738</v>
      </c>
      <c r="E201" s="202">
        <v>182050000</v>
      </c>
      <c r="F201" s="202">
        <f t="shared" si="68"/>
        <v>2593830.6821781602</v>
      </c>
      <c r="G201" s="202">
        <f t="shared" si="51"/>
        <v>5501483</v>
      </c>
      <c r="H201" s="203">
        <f t="shared" si="52"/>
        <v>10940185.12331349</v>
      </c>
      <c r="I201" s="204">
        <f t="shared" si="53"/>
        <v>9025653</v>
      </c>
      <c r="J201" s="204">
        <f t="shared" si="54"/>
        <v>5501483</v>
      </c>
      <c r="K201" s="198">
        <f t="shared" si="55"/>
        <v>50.29</v>
      </c>
      <c r="L201" s="205"/>
      <c r="M201" s="206">
        <v>5554506</v>
      </c>
      <c r="N201" s="207">
        <f t="shared" si="56"/>
        <v>3.5499999999999997E-2</v>
      </c>
      <c r="O201" s="204">
        <f t="shared" si="57"/>
        <v>5751691</v>
      </c>
      <c r="P201" s="208">
        <f t="shared" si="58"/>
        <v>52.573982388498798</v>
      </c>
      <c r="Q201" s="208">
        <f t="shared" si="59"/>
        <v>0</v>
      </c>
      <c r="R201" s="209">
        <f t="shared" si="60"/>
        <v>0</v>
      </c>
      <c r="S201" s="204">
        <f t="shared" si="61"/>
        <v>0</v>
      </c>
      <c r="T201" s="210">
        <f t="shared" si="62"/>
        <v>250208</v>
      </c>
      <c r="U201" s="210">
        <f t="shared" si="46"/>
        <v>212676.8</v>
      </c>
      <c r="V201" s="203">
        <f>MIN(H201*parameters!C$22,ROUND(O201+S201-U201,0))</f>
        <v>5539014</v>
      </c>
      <c r="W201" s="211">
        <f t="shared" si="63"/>
        <v>50.629984205627231</v>
      </c>
      <c r="X201" s="208"/>
      <c r="Y201" s="212">
        <f t="shared" si="64"/>
        <v>0</v>
      </c>
      <c r="Z201" s="212">
        <f t="shared" si="47"/>
        <v>0</v>
      </c>
      <c r="AA201" s="212">
        <f t="shared" si="65"/>
        <v>37531</v>
      </c>
      <c r="AB201" s="68">
        <f t="shared" si="66"/>
        <v>0.33998420562723197</v>
      </c>
      <c r="AD201" s="207">
        <f t="shared" si="69"/>
        <v>4.5480100547434212E-2</v>
      </c>
      <c r="AE201" s="213">
        <f t="shared" si="70"/>
        <v>2.2839823884987993</v>
      </c>
      <c r="AF201" s="10">
        <f t="shared" si="49"/>
        <v>0</v>
      </c>
      <c r="AG201" s="214"/>
      <c r="AH201" s="214">
        <v>3.5499999999999997E-2</v>
      </c>
      <c r="AI201" s="181"/>
      <c r="AJ201" s="214"/>
      <c r="AK201" s="214"/>
      <c r="AL201" s="214"/>
      <c r="AM201" s="10"/>
      <c r="AN201" s="10"/>
    </row>
    <row r="202" spans="1:40" ht="12.75" customHeight="1">
      <c r="A202" s="201">
        <v>193</v>
      </c>
      <c r="B202" s="201" t="s">
        <v>1459</v>
      </c>
      <c r="C202" s="202">
        <v>512880300</v>
      </c>
      <c r="D202" s="202">
        <f t="shared" si="50"/>
        <v>1820514.6220067891</v>
      </c>
      <c r="E202" s="202">
        <v>31466000</v>
      </c>
      <c r="F202" s="202">
        <f t="shared" si="68"/>
        <v>448324.50560515234</v>
      </c>
      <c r="G202" s="202">
        <f t="shared" si="51"/>
        <v>2268839</v>
      </c>
      <c r="H202" s="203">
        <f t="shared" si="52"/>
        <v>856769.42753290886</v>
      </c>
      <c r="I202" s="204">
        <f t="shared" si="53"/>
        <v>706835</v>
      </c>
      <c r="J202" s="204">
        <f t="shared" si="54"/>
        <v>706835</v>
      </c>
      <c r="K202" s="198">
        <f t="shared" si="55"/>
        <v>82.5</v>
      </c>
      <c r="L202" s="205"/>
      <c r="M202" s="206">
        <v>718629</v>
      </c>
      <c r="N202" s="207">
        <f t="shared" si="56"/>
        <v>3.1600000000000003E-2</v>
      </c>
      <c r="O202" s="204">
        <f t="shared" si="57"/>
        <v>741338</v>
      </c>
      <c r="P202" s="208">
        <f t="shared" si="58"/>
        <v>86.527130424658495</v>
      </c>
      <c r="Q202" s="208">
        <f t="shared" si="59"/>
        <v>0</v>
      </c>
      <c r="R202" s="209">
        <f t="shared" si="60"/>
        <v>0</v>
      </c>
      <c r="S202" s="204">
        <f t="shared" si="61"/>
        <v>0</v>
      </c>
      <c r="T202" s="210">
        <f t="shared" si="62"/>
        <v>34503</v>
      </c>
      <c r="U202" s="210">
        <f t="shared" ref="U202:U265" si="71">MAX(T202*(U$5),0)</f>
        <v>29327.55</v>
      </c>
      <c r="V202" s="203">
        <f>MIN(H202*parameters!C$22,ROUND(O202+S202-U202,0))</f>
        <v>712010</v>
      </c>
      <c r="W202" s="211">
        <f t="shared" si="63"/>
        <v>83.104039093721212</v>
      </c>
      <c r="X202" s="208"/>
      <c r="Y202" s="212">
        <f t="shared" si="64"/>
        <v>0</v>
      </c>
      <c r="Z202" s="212">
        <f t="shared" ref="Z202:Z265" si="72">MAX(J202-(O202+S202),0)</f>
        <v>0</v>
      </c>
      <c r="AA202" s="212">
        <f t="shared" si="65"/>
        <v>5175</v>
      </c>
      <c r="AB202" s="68">
        <f t="shared" si="66"/>
        <v>0.60403909372121234</v>
      </c>
      <c r="AD202" s="207">
        <f t="shared" si="69"/>
        <v>4.8813372286318588E-2</v>
      </c>
      <c r="AE202" s="213">
        <f t="shared" si="70"/>
        <v>4.0271304246584947</v>
      </c>
      <c r="AF202" s="10">
        <f t="shared" ref="AF202:AF265" si="73">IF(AD202&lt;$AF$5, $AF$6*(M202), IF(AND(AD202&lt;$AF$4, AD202&gt;$AF$5), $AF$7*(M202), 0))</f>
        <v>0</v>
      </c>
      <c r="AG202" s="214"/>
      <c r="AH202" s="214">
        <v>3.1600000000000003E-2</v>
      </c>
      <c r="AI202" s="181"/>
      <c r="AJ202" s="214"/>
      <c r="AK202" s="214"/>
      <c r="AL202" s="214"/>
      <c r="AM202" s="10"/>
      <c r="AN202" s="10"/>
    </row>
    <row r="203" spans="1:40" ht="12.75" customHeight="1">
      <c r="A203" s="201">
        <v>194</v>
      </c>
      <c r="B203" s="201" t="s">
        <v>1460</v>
      </c>
      <c r="C203" s="202">
        <v>107499100</v>
      </c>
      <c r="D203" s="202">
        <f t="shared" ref="D203:D266" si="74">D$5*C203</f>
        <v>381577.69639927684</v>
      </c>
      <c r="E203" s="202">
        <v>35063000</v>
      </c>
      <c r="F203" s="202">
        <f t="shared" si="68"/>
        <v>499574.21153096855</v>
      </c>
      <c r="G203" s="202">
        <f t="shared" ref="G203:G266" si="75">ROUND(D203+F203,0)</f>
        <v>881152</v>
      </c>
      <c r="H203" s="203">
        <f t="shared" ref="H203:H266" si="76">(SUMIF(town1755,A203,found1755)/2)</f>
        <v>787152.22509010462</v>
      </c>
      <c r="I203" s="204">
        <f t="shared" ref="I203:I266" si="77">ROUND(H203*maxloc,0)</f>
        <v>649401</v>
      </c>
      <c r="J203" s="204">
        <f t="shared" ref="J203:J266" si="78">MIN(G203,I203)</f>
        <v>649401</v>
      </c>
      <c r="K203" s="198">
        <f t="shared" ref="K203:K266" si="79">IF(H203&gt;0, ROUND((J203*100/H203), 2), 0)</f>
        <v>82.5</v>
      </c>
      <c r="L203" s="205"/>
      <c r="M203" s="206">
        <v>698154</v>
      </c>
      <c r="N203" s="207">
        <f t="shared" ref="N203:N266" si="80">IF($N$5=1,AH203, IF( $N$5=2,AI203, IF( $N$5=3, AJ203, IF($N$5=4, AK203, 0))))</f>
        <v>3.4799999999999998E-2</v>
      </c>
      <c r="O203" s="204">
        <f t="shared" ref="O203:O266" si="81">ROUND(M203*(1+N203),0)</f>
        <v>722450</v>
      </c>
      <c r="P203" s="208">
        <f t="shared" ref="P203:P266" si="82">O203*100/H203</f>
        <v>91.780214420063643</v>
      </c>
      <c r="Q203" s="208">
        <f t="shared" ref="Q203:Q266" si="83">IF(K203&gt;P203,K203-P203,0)</f>
        <v>0</v>
      </c>
      <c r="R203" s="209">
        <f t="shared" ref="R203:R266" si="84">IF(AND(Q203&gt;$S$4,Q203&lt;=$S$5),$R$4,IF(Q203&gt;$S$5,$R$5,0))</f>
        <v>0</v>
      </c>
      <c r="S203" s="204">
        <f t="shared" ref="S203:S266" si="85">ROUND(R203*M203,0)</f>
        <v>0</v>
      </c>
      <c r="T203" s="210">
        <f t="shared" ref="T203:T266" si="86">MAX(O203-J203,0)</f>
        <v>73049</v>
      </c>
      <c r="U203" s="210">
        <f t="shared" si="71"/>
        <v>62091.65</v>
      </c>
      <c r="V203" s="203">
        <f>MIN(H203*parameters!C$22,ROUND(O203+S203-U203,0))</f>
        <v>660358</v>
      </c>
      <c r="W203" s="211">
        <f t="shared" ref="W203:W266" si="87">V203*100/H203</f>
        <v>83.892032436852915</v>
      </c>
      <c r="X203" s="208"/>
      <c r="Y203" s="212">
        <f t="shared" ref="Y203:Y266" si="88">IF(P203&lt;K203, O203-J203, 0)</f>
        <v>0</v>
      </c>
      <c r="Z203" s="212">
        <f t="shared" si="72"/>
        <v>0</v>
      </c>
      <c r="AA203" s="212">
        <f t="shared" ref="AA203:AA266" si="89">IF(P203&gt;K203, V203-J203,0)</f>
        <v>10957</v>
      </c>
      <c r="AB203" s="68">
        <f t="shared" ref="AB203:AB266" si="90">W203-K203</f>
        <v>1.3920324368529151</v>
      </c>
      <c r="AD203" s="207">
        <f t="shared" si="69"/>
        <v>0.11248673777835266</v>
      </c>
      <c r="AE203" s="213">
        <f t="shared" si="70"/>
        <v>9.2802144200636434</v>
      </c>
      <c r="AF203" s="10">
        <f t="shared" si="73"/>
        <v>0</v>
      </c>
      <c r="AG203" s="214"/>
      <c r="AH203" s="214">
        <v>3.4799999999999998E-2</v>
      </c>
      <c r="AI203" s="181"/>
      <c r="AJ203" s="214"/>
      <c r="AK203" s="214"/>
      <c r="AL203" s="214"/>
      <c r="AM203" s="10"/>
      <c r="AN203" s="10"/>
    </row>
    <row r="204" spans="1:40" ht="12.75" customHeight="1">
      <c r="A204" s="201">
        <v>195</v>
      </c>
      <c r="B204" s="201" t="s">
        <v>1461</v>
      </c>
      <c r="C204" s="202">
        <v>84080700</v>
      </c>
      <c r="D204" s="202">
        <f t="shared" si="74"/>
        <v>298451.98534349288</v>
      </c>
      <c r="E204" s="202">
        <v>3078000</v>
      </c>
      <c r="F204" s="202">
        <f t="shared" ref="F204:F267" si="91">E204*F$5</f>
        <v>43855.04443693698</v>
      </c>
      <c r="G204" s="202">
        <f t="shared" si="75"/>
        <v>342307</v>
      </c>
      <c r="H204" s="203">
        <f t="shared" si="76"/>
        <v>32643.359126604621</v>
      </c>
      <c r="I204" s="204">
        <f t="shared" si="77"/>
        <v>26931</v>
      </c>
      <c r="J204" s="204">
        <f t="shared" si="78"/>
        <v>26931</v>
      </c>
      <c r="K204" s="198">
        <f t="shared" si="79"/>
        <v>82.5</v>
      </c>
      <c r="L204" s="205"/>
      <c r="M204" s="206">
        <v>51679.476000000002</v>
      </c>
      <c r="N204" s="207">
        <f t="shared" si="80"/>
        <v>2.0400000000000001E-2</v>
      </c>
      <c r="O204" s="204">
        <f t="shared" si="81"/>
        <v>52734</v>
      </c>
      <c r="P204" s="208">
        <f t="shared" si="82"/>
        <v>161.54587460032977</v>
      </c>
      <c r="Q204" s="208">
        <f t="shared" si="83"/>
        <v>0</v>
      </c>
      <c r="R204" s="209">
        <f t="shared" si="84"/>
        <v>0</v>
      </c>
      <c r="S204" s="204">
        <f t="shared" si="85"/>
        <v>0</v>
      </c>
      <c r="T204" s="210">
        <f t="shared" si="86"/>
        <v>25803</v>
      </c>
      <c r="U204" s="210">
        <f t="shared" si="71"/>
        <v>21932.55</v>
      </c>
      <c r="V204" s="203">
        <f>MIN(H204*parameters!C$22,ROUND(O204+S204-U204,0))</f>
        <v>29379.023213944158</v>
      </c>
      <c r="W204" s="211">
        <f t="shared" si="87"/>
        <v>89.999999999999986</v>
      </c>
      <c r="X204" s="208"/>
      <c r="Y204" s="212">
        <f t="shared" si="88"/>
        <v>0</v>
      </c>
      <c r="Z204" s="212">
        <f t="shared" si="72"/>
        <v>0</v>
      </c>
      <c r="AA204" s="212">
        <f t="shared" si="89"/>
        <v>2448.0232139441578</v>
      </c>
      <c r="AB204" s="68">
        <f t="shared" si="90"/>
        <v>7.4999999999999858</v>
      </c>
      <c r="AD204" s="207">
        <f t="shared" si="69"/>
        <v>0.95811518324607325</v>
      </c>
      <c r="AE204" s="213">
        <f t="shared" si="70"/>
        <v>79.045874600329768</v>
      </c>
      <c r="AF204" s="10">
        <f t="shared" si="73"/>
        <v>0</v>
      </c>
      <c r="AG204" s="214"/>
      <c r="AH204" s="214">
        <v>2.0400000000000001E-2</v>
      </c>
      <c r="AI204" s="181"/>
      <c r="AJ204" s="214"/>
      <c r="AK204" s="214"/>
      <c r="AL204" s="214"/>
      <c r="AM204" s="10"/>
      <c r="AN204" s="10"/>
    </row>
    <row r="205" spans="1:40" ht="12.75" customHeight="1">
      <c r="A205" s="201">
        <v>196</v>
      </c>
      <c r="B205" s="201" t="s">
        <v>1462</v>
      </c>
      <c r="C205" s="202">
        <v>855781400</v>
      </c>
      <c r="D205" s="202">
        <f t="shared" si="74"/>
        <v>3037672.8291990175</v>
      </c>
      <c r="E205" s="202">
        <v>236770000</v>
      </c>
      <c r="F205" s="202">
        <f t="shared" si="91"/>
        <v>3373475.9166125953</v>
      </c>
      <c r="G205" s="202">
        <f t="shared" si="75"/>
        <v>6411149</v>
      </c>
      <c r="H205" s="203">
        <f t="shared" si="76"/>
        <v>2672079.1204803996</v>
      </c>
      <c r="I205" s="204">
        <f t="shared" si="77"/>
        <v>2204465</v>
      </c>
      <c r="J205" s="204">
        <f t="shared" si="78"/>
        <v>2204465</v>
      </c>
      <c r="K205" s="198">
        <f t="shared" si="79"/>
        <v>82.5</v>
      </c>
      <c r="L205" s="205"/>
      <c r="M205" s="206">
        <v>2191872</v>
      </c>
      <c r="N205" s="207">
        <f t="shared" si="80"/>
        <v>2.7099999999999999E-2</v>
      </c>
      <c r="O205" s="204">
        <f t="shared" si="81"/>
        <v>2251272</v>
      </c>
      <c r="P205" s="208">
        <f t="shared" si="82"/>
        <v>84.251696843290148</v>
      </c>
      <c r="Q205" s="208">
        <f t="shared" si="83"/>
        <v>0</v>
      </c>
      <c r="R205" s="209">
        <f t="shared" si="84"/>
        <v>0</v>
      </c>
      <c r="S205" s="204">
        <f t="shared" si="85"/>
        <v>0</v>
      </c>
      <c r="T205" s="210">
        <f t="shared" si="86"/>
        <v>46807</v>
      </c>
      <c r="U205" s="210">
        <f t="shared" si="71"/>
        <v>39785.949999999997</v>
      </c>
      <c r="V205" s="203">
        <f>MIN(H205*parameters!C$22,ROUND(O205+S205-U205,0))</f>
        <v>2211486</v>
      </c>
      <c r="W205" s="211">
        <f t="shared" si="87"/>
        <v>82.762743926624751</v>
      </c>
      <c r="X205" s="208"/>
      <c r="Y205" s="212">
        <f t="shared" si="88"/>
        <v>0</v>
      </c>
      <c r="Z205" s="212">
        <f t="shared" si="72"/>
        <v>0</v>
      </c>
      <c r="AA205" s="212">
        <f t="shared" si="89"/>
        <v>7021</v>
      </c>
      <c r="AB205" s="68">
        <f t="shared" si="90"/>
        <v>0.26274392662475066</v>
      </c>
      <c r="AD205" s="207">
        <f t="shared" si="69"/>
        <v>2.1232816125454475E-2</v>
      </c>
      <c r="AE205" s="213">
        <f t="shared" si="70"/>
        <v>1.7516968432901479</v>
      </c>
      <c r="AF205" s="10">
        <f t="shared" si="73"/>
        <v>0</v>
      </c>
      <c r="AG205" s="214"/>
      <c r="AH205" s="214">
        <v>2.7099999999999999E-2</v>
      </c>
      <c r="AI205" s="181"/>
      <c r="AJ205" s="214"/>
      <c r="AK205" s="214"/>
      <c r="AL205" s="214"/>
      <c r="AM205" s="10"/>
      <c r="AN205" s="10"/>
    </row>
    <row r="206" spans="1:40" ht="12.75" customHeight="1">
      <c r="A206" s="201">
        <v>197</v>
      </c>
      <c r="B206" s="201" t="s">
        <v>1463</v>
      </c>
      <c r="C206" s="202">
        <v>21682664300</v>
      </c>
      <c r="D206" s="202">
        <f t="shared" si="74"/>
        <v>76964561.520913556</v>
      </c>
      <c r="E206" s="202">
        <v>623516000</v>
      </c>
      <c r="F206" s="202">
        <f t="shared" si="91"/>
        <v>8883795.2849711496</v>
      </c>
      <c r="G206" s="202">
        <f t="shared" si="75"/>
        <v>85848357</v>
      </c>
      <c r="H206" s="203">
        <f t="shared" si="76"/>
        <v>16351990.158213655</v>
      </c>
      <c r="I206" s="204">
        <f t="shared" si="77"/>
        <v>13490392</v>
      </c>
      <c r="J206" s="204">
        <f t="shared" si="78"/>
        <v>13490392</v>
      </c>
      <c r="K206" s="198">
        <f t="shared" si="79"/>
        <v>82.5</v>
      </c>
      <c r="L206" s="205"/>
      <c r="M206" s="206">
        <v>12702303</v>
      </c>
      <c r="N206" s="207">
        <f t="shared" si="80"/>
        <v>5.04E-2</v>
      </c>
      <c r="O206" s="204">
        <f t="shared" si="81"/>
        <v>13342499</v>
      </c>
      <c r="P206" s="208">
        <f t="shared" si="82"/>
        <v>81.595566477870108</v>
      </c>
      <c r="Q206" s="208">
        <f t="shared" si="83"/>
        <v>0.90443352212989225</v>
      </c>
      <c r="R206" s="209">
        <f t="shared" si="84"/>
        <v>0</v>
      </c>
      <c r="S206" s="204">
        <f t="shared" si="85"/>
        <v>0</v>
      </c>
      <c r="T206" s="210">
        <f t="shared" si="86"/>
        <v>0</v>
      </c>
      <c r="U206" s="210">
        <f t="shared" si="71"/>
        <v>0</v>
      </c>
      <c r="V206" s="203">
        <f>MIN(H206*parameters!C$22,ROUND(O206+S206-U206,0))</f>
        <v>13342499</v>
      </c>
      <c r="W206" s="211">
        <f t="shared" si="87"/>
        <v>81.595566477870108</v>
      </c>
      <c r="X206" s="208"/>
      <c r="Y206" s="212">
        <f t="shared" si="88"/>
        <v>-147893</v>
      </c>
      <c r="Z206" s="212">
        <f t="shared" si="72"/>
        <v>147893</v>
      </c>
      <c r="AA206" s="212">
        <f t="shared" si="89"/>
        <v>0</v>
      </c>
      <c r="AB206" s="68">
        <f t="shared" si="90"/>
        <v>-0.90443352212989225</v>
      </c>
      <c r="AD206" s="207">
        <f t="shared" si="69"/>
        <v>-1.0962839330391586E-2</v>
      </c>
      <c r="AE206" s="213">
        <f t="shared" si="70"/>
        <v>-0.90443352212989225</v>
      </c>
      <c r="AF206" s="10">
        <f t="shared" si="73"/>
        <v>0</v>
      </c>
      <c r="AG206" s="214"/>
      <c r="AH206" s="214">
        <v>5.04E-2</v>
      </c>
      <c r="AI206" s="181"/>
      <c r="AJ206" s="214"/>
      <c r="AK206" s="214"/>
      <c r="AL206" s="214"/>
      <c r="AM206" s="10"/>
      <c r="AN206" s="10"/>
    </row>
    <row r="207" spans="1:40" ht="12.75" customHeight="1">
      <c r="A207" s="201">
        <v>198</v>
      </c>
      <c r="B207" s="201" t="s">
        <v>1464</v>
      </c>
      <c r="C207" s="202">
        <v>7812219900</v>
      </c>
      <c r="D207" s="202">
        <f t="shared" si="74"/>
        <v>27730175.166178964</v>
      </c>
      <c r="E207" s="202">
        <v>1938364000</v>
      </c>
      <c r="F207" s="202">
        <f t="shared" si="91"/>
        <v>27617621.622793667</v>
      </c>
      <c r="G207" s="202">
        <f t="shared" si="75"/>
        <v>55347797</v>
      </c>
      <c r="H207" s="203">
        <f t="shared" si="76"/>
        <v>54153410.664757311</v>
      </c>
      <c r="I207" s="204">
        <f t="shared" si="77"/>
        <v>44676564</v>
      </c>
      <c r="J207" s="204">
        <f t="shared" si="78"/>
        <v>44676564</v>
      </c>
      <c r="K207" s="198">
        <f t="shared" si="79"/>
        <v>82.5</v>
      </c>
      <c r="L207" s="205"/>
      <c r="M207" s="206">
        <v>44495721</v>
      </c>
      <c r="N207" s="207">
        <f t="shared" si="80"/>
        <v>3.8199999999999998E-2</v>
      </c>
      <c r="O207" s="204">
        <f t="shared" si="81"/>
        <v>46195458</v>
      </c>
      <c r="P207" s="208">
        <f t="shared" si="82"/>
        <v>85.304798779855446</v>
      </c>
      <c r="Q207" s="208">
        <f t="shared" si="83"/>
        <v>0</v>
      </c>
      <c r="R207" s="209">
        <f t="shared" si="84"/>
        <v>0</v>
      </c>
      <c r="S207" s="204">
        <f t="shared" si="85"/>
        <v>0</v>
      </c>
      <c r="T207" s="210">
        <f t="shared" si="86"/>
        <v>1518894</v>
      </c>
      <c r="U207" s="210">
        <f t="shared" si="71"/>
        <v>1291059.8999999999</v>
      </c>
      <c r="V207" s="203">
        <f>MIN(H207*parameters!C$22,ROUND(O207+S207-U207,0))</f>
        <v>44904398</v>
      </c>
      <c r="W207" s="211">
        <f t="shared" si="87"/>
        <v>82.920719948713199</v>
      </c>
      <c r="X207" s="208"/>
      <c r="Y207" s="212">
        <f t="shared" si="88"/>
        <v>0</v>
      </c>
      <c r="Z207" s="212">
        <f t="shared" si="72"/>
        <v>0</v>
      </c>
      <c r="AA207" s="212">
        <f t="shared" si="89"/>
        <v>227834</v>
      </c>
      <c r="AB207" s="68">
        <f t="shared" si="90"/>
        <v>0.42071994871319873</v>
      </c>
      <c r="AD207" s="207">
        <f t="shared" si="69"/>
        <v>3.3997556302673593E-2</v>
      </c>
      <c r="AE207" s="213">
        <f t="shared" si="70"/>
        <v>2.8047987798554459</v>
      </c>
      <c r="AF207" s="10">
        <f t="shared" si="73"/>
        <v>0</v>
      </c>
      <c r="AG207" s="214"/>
      <c r="AH207" s="214">
        <v>3.8199999999999998E-2</v>
      </c>
      <c r="AI207" s="181"/>
      <c r="AJ207" s="214"/>
      <c r="AK207" s="214"/>
      <c r="AL207" s="214"/>
      <c r="AM207" s="10"/>
      <c r="AN207" s="10"/>
    </row>
    <row r="208" spans="1:40" ht="12.75" customHeight="1">
      <c r="A208" s="201">
        <v>199</v>
      </c>
      <c r="B208" s="201" t="s">
        <v>1465</v>
      </c>
      <c r="C208" s="202">
        <v>9675551500</v>
      </c>
      <c r="D208" s="202">
        <f t="shared" si="74"/>
        <v>34344237.791410044</v>
      </c>
      <c r="E208" s="202">
        <v>3139408000</v>
      </c>
      <c r="F208" s="202">
        <f t="shared" si="91"/>
        <v>44729979.644468956</v>
      </c>
      <c r="G208" s="202">
        <f t="shared" si="75"/>
        <v>79074217</v>
      </c>
      <c r="H208" s="203">
        <f t="shared" si="76"/>
        <v>54467962.760156922</v>
      </c>
      <c r="I208" s="204">
        <f t="shared" si="77"/>
        <v>44936069</v>
      </c>
      <c r="J208" s="204">
        <f t="shared" si="78"/>
        <v>44936069</v>
      </c>
      <c r="K208" s="198">
        <f t="shared" si="79"/>
        <v>82.5</v>
      </c>
      <c r="L208" s="205"/>
      <c r="M208" s="206">
        <v>44121311</v>
      </c>
      <c r="N208" s="207">
        <f t="shared" si="80"/>
        <v>6.1699999999999998E-2</v>
      </c>
      <c r="O208" s="204">
        <f t="shared" si="81"/>
        <v>46843596</v>
      </c>
      <c r="P208" s="208">
        <f t="shared" si="82"/>
        <v>86.002107709205319</v>
      </c>
      <c r="Q208" s="208">
        <f t="shared" si="83"/>
        <v>0</v>
      </c>
      <c r="R208" s="209">
        <f t="shared" si="84"/>
        <v>0</v>
      </c>
      <c r="S208" s="204">
        <f t="shared" si="85"/>
        <v>0</v>
      </c>
      <c r="T208" s="210">
        <f t="shared" si="86"/>
        <v>1907527</v>
      </c>
      <c r="U208" s="210">
        <f t="shared" si="71"/>
        <v>1621397.95</v>
      </c>
      <c r="V208" s="203">
        <f>MIN(H208*parameters!C$22,ROUND(O208+S208-U208,0))</f>
        <v>45222198</v>
      </c>
      <c r="W208" s="211">
        <f t="shared" si="87"/>
        <v>83.025315632109226</v>
      </c>
      <c r="X208" s="208"/>
      <c r="Y208" s="212">
        <f t="shared" si="88"/>
        <v>0</v>
      </c>
      <c r="Z208" s="212">
        <f t="shared" si="72"/>
        <v>0</v>
      </c>
      <c r="AA208" s="212">
        <f t="shared" si="89"/>
        <v>286129</v>
      </c>
      <c r="AB208" s="68">
        <f t="shared" si="90"/>
        <v>0.52531563210922627</v>
      </c>
      <c r="AD208" s="207">
        <f t="shared" si="69"/>
        <v>4.2449796843600181E-2</v>
      </c>
      <c r="AE208" s="213">
        <f t="shared" si="70"/>
        <v>3.502107709205319</v>
      </c>
      <c r="AF208" s="10">
        <f t="shared" si="73"/>
        <v>0</v>
      </c>
      <c r="AG208" s="214"/>
      <c r="AH208" s="214">
        <v>6.1699999999999998E-2</v>
      </c>
      <c r="AI208" s="181"/>
      <c r="AJ208" s="214"/>
      <c r="AK208" s="214"/>
      <c r="AL208" s="214"/>
      <c r="AM208" s="10"/>
      <c r="AN208" s="10"/>
    </row>
    <row r="209" spans="1:40" ht="12.75" customHeight="1">
      <c r="A209" s="201">
        <v>200</v>
      </c>
      <c r="B209" s="201" t="s">
        <v>1466</v>
      </c>
      <c r="C209" s="202">
        <v>41454700</v>
      </c>
      <c r="D209" s="202">
        <f t="shared" si="74"/>
        <v>147147.17547331189</v>
      </c>
      <c r="E209" s="202">
        <v>5516000</v>
      </c>
      <c r="F209" s="202">
        <f t="shared" si="91"/>
        <v>78591.4311611905</v>
      </c>
      <c r="G209" s="202">
        <f t="shared" si="75"/>
        <v>225739</v>
      </c>
      <c r="H209" s="203">
        <f t="shared" si="76"/>
        <v>288557.29529165302</v>
      </c>
      <c r="I209" s="204">
        <f t="shared" si="77"/>
        <v>238060</v>
      </c>
      <c r="J209" s="204">
        <f t="shared" si="78"/>
        <v>225739</v>
      </c>
      <c r="K209" s="198">
        <f t="shared" si="79"/>
        <v>78.23</v>
      </c>
      <c r="L209" s="205"/>
      <c r="M209" s="206">
        <v>193546</v>
      </c>
      <c r="N209" s="207">
        <f t="shared" si="80"/>
        <v>3.6999999999999998E-2</v>
      </c>
      <c r="O209" s="204">
        <f t="shared" si="81"/>
        <v>200707</v>
      </c>
      <c r="P209" s="208">
        <f t="shared" si="82"/>
        <v>69.555337284798071</v>
      </c>
      <c r="Q209" s="208">
        <f t="shared" si="83"/>
        <v>8.6746627152019329</v>
      </c>
      <c r="R209" s="209">
        <f t="shared" si="84"/>
        <v>0.02</v>
      </c>
      <c r="S209" s="204">
        <f t="shared" si="85"/>
        <v>3871</v>
      </c>
      <c r="T209" s="210">
        <f t="shared" si="86"/>
        <v>0</v>
      </c>
      <c r="U209" s="210">
        <f t="shared" si="71"/>
        <v>0</v>
      </c>
      <c r="V209" s="203">
        <f>MIN(H209*parameters!C$22,ROUND(O209+S209-U209,0))</f>
        <v>204578</v>
      </c>
      <c r="W209" s="211">
        <f t="shared" si="87"/>
        <v>70.896838630687611</v>
      </c>
      <c r="X209" s="208"/>
      <c r="Y209" s="212">
        <f t="shared" si="88"/>
        <v>-25032</v>
      </c>
      <c r="Z209" s="212">
        <f t="shared" si="72"/>
        <v>21161</v>
      </c>
      <c r="AA209" s="212">
        <f t="shared" si="89"/>
        <v>0</v>
      </c>
      <c r="AB209" s="68">
        <f t="shared" si="90"/>
        <v>-7.3331613693123927</v>
      </c>
      <c r="AD209" s="207">
        <f t="shared" si="69"/>
        <v>-0.11088912416551859</v>
      </c>
      <c r="AE209" s="213">
        <f t="shared" si="70"/>
        <v>-8.6746627152019329</v>
      </c>
      <c r="AF209" s="10">
        <f t="shared" si="73"/>
        <v>3870.92</v>
      </c>
      <c r="AG209" s="214"/>
      <c r="AH209" s="214">
        <v>3.6999999999999998E-2</v>
      </c>
      <c r="AI209" s="181"/>
      <c r="AJ209" s="214"/>
      <c r="AK209" s="214"/>
      <c r="AL209" s="214"/>
      <c r="AM209" s="10"/>
      <c r="AN209" s="10"/>
    </row>
    <row r="210" spans="1:40" ht="12.75" customHeight="1">
      <c r="A210" s="201">
        <v>201</v>
      </c>
      <c r="B210" s="201" t="s">
        <v>1467</v>
      </c>
      <c r="C210" s="202">
        <v>5618295200</v>
      </c>
      <c r="D210" s="202">
        <f t="shared" si="74"/>
        <v>19942642.683586322</v>
      </c>
      <c r="E210" s="202">
        <v>1532624000</v>
      </c>
      <c r="F210" s="202">
        <f t="shared" si="91"/>
        <v>21836677.59100588</v>
      </c>
      <c r="G210" s="202">
        <f t="shared" si="75"/>
        <v>41779320</v>
      </c>
      <c r="H210" s="203">
        <f t="shared" si="76"/>
        <v>192622665.60628578</v>
      </c>
      <c r="I210" s="204">
        <f t="shared" si="77"/>
        <v>158913699</v>
      </c>
      <c r="J210" s="204">
        <f t="shared" si="78"/>
        <v>41779320</v>
      </c>
      <c r="K210" s="198">
        <f t="shared" si="79"/>
        <v>21.69</v>
      </c>
      <c r="L210" s="205"/>
      <c r="M210" s="206">
        <v>29782113</v>
      </c>
      <c r="N210" s="207">
        <f t="shared" si="80"/>
        <v>5.1400000000000008E-2</v>
      </c>
      <c r="O210" s="204">
        <f t="shared" si="81"/>
        <v>31312914</v>
      </c>
      <c r="P210" s="208">
        <f t="shared" si="82"/>
        <v>16.25609006159355</v>
      </c>
      <c r="Q210" s="208">
        <f t="shared" si="83"/>
        <v>5.4339099384064511</v>
      </c>
      <c r="R210" s="209">
        <f t="shared" si="84"/>
        <v>0.01</v>
      </c>
      <c r="S210" s="204">
        <f t="shared" si="85"/>
        <v>297821</v>
      </c>
      <c r="T210" s="210">
        <f t="shared" si="86"/>
        <v>0</v>
      </c>
      <c r="U210" s="210">
        <f t="shared" si="71"/>
        <v>0</v>
      </c>
      <c r="V210" s="203">
        <f>MIN(H210*parameters!C$22,ROUND(O210+S210-U210,0))</f>
        <v>31610735</v>
      </c>
      <c r="W210" s="211">
        <f t="shared" si="87"/>
        <v>16.410703745846437</v>
      </c>
      <c r="X210" s="208"/>
      <c r="Y210" s="212">
        <f t="shared" si="88"/>
        <v>-10466406</v>
      </c>
      <c r="Z210" s="212">
        <f t="shared" si="72"/>
        <v>10168585</v>
      </c>
      <c r="AA210" s="212">
        <f t="shared" si="89"/>
        <v>0</v>
      </c>
      <c r="AB210" s="68">
        <f t="shared" si="90"/>
        <v>-5.2792962541535644</v>
      </c>
      <c r="AD210" s="207">
        <f t="shared" si="69"/>
        <v>-0.25051642774463539</v>
      </c>
      <c r="AE210" s="213">
        <f t="shared" si="70"/>
        <v>-5.4339099384064511</v>
      </c>
      <c r="AF210" s="10">
        <f t="shared" si="73"/>
        <v>595642.26</v>
      </c>
      <c r="AG210" s="214"/>
      <c r="AH210" s="214">
        <v>5.1400000000000008E-2</v>
      </c>
      <c r="AI210" s="181"/>
      <c r="AJ210" s="214"/>
      <c r="AK210" s="214"/>
      <c r="AL210" s="214"/>
      <c r="AM210" s="10"/>
      <c r="AN210" s="10"/>
    </row>
    <row r="211" spans="1:40" ht="12.75" customHeight="1">
      <c r="A211" s="201">
        <v>202</v>
      </c>
      <c r="B211" s="201" t="s">
        <v>1468</v>
      </c>
      <c r="C211" s="202">
        <v>106822200</v>
      </c>
      <c r="D211" s="202">
        <f t="shared" si="74"/>
        <v>379174.97914217727</v>
      </c>
      <c r="E211" s="202">
        <v>37514000</v>
      </c>
      <c r="F211" s="202">
        <f t="shared" si="91"/>
        <v>534495.82099001098</v>
      </c>
      <c r="G211" s="202">
        <f t="shared" si="75"/>
        <v>913671</v>
      </c>
      <c r="H211" s="203">
        <f t="shared" si="76"/>
        <v>1639456.8107168945</v>
      </c>
      <c r="I211" s="204">
        <f t="shared" si="77"/>
        <v>1352552</v>
      </c>
      <c r="J211" s="204">
        <f t="shared" si="78"/>
        <v>913671</v>
      </c>
      <c r="K211" s="198">
        <f t="shared" si="79"/>
        <v>55.73</v>
      </c>
      <c r="L211" s="205"/>
      <c r="M211" s="206">
        <v>968844</v>
      </c>
      <c r="N211" s="207">
        <f t="shared" si="80"/>
        <v>3.27E-2</v>
      </c>
      <c r="O211" s="204">
        <f t="shared" si="81"/>
        <v>1000525</v>
      </c>
      <c r="P211" s="208">
        <f t="shared" si="82"/>
        <v>61.027835162214174</v>
      </c>
      <c r="Q211" s="208">
        <f t="shared" si="83"/>
        <v>0</v>
      </c>
      <c r="R211" s="209">
        <f t="shared" si="84"/>
        <v>0</v>
      </c>
      <c r="S211" s="204">
        <f t="shared" si="85"/>
        <v>0</v>
      </c>
      <c r="T211" s="210">
        <f t="shared" si="86"/>
        <v>86854</v>
      </c>
      <c r="U211" s="210">
        <f t="shared" si="71"/>
        <v>73825.899999999994</v>
      </c>
      <c r="V211" s="203">
        <f>MIN(H211*parameters!C$22,ROUND(O211+S211-U211,0))</f>
        <v>926699</v>
      </c>
      <c r="W211" s="211">
        <f t="shared" si="87"/>
        <v>56.524758318871307</v>
      </c>
      <c r="X211" s="208"/>
      <c r="Y211" s="212">
        <f t="shared" si="88"/>
        <v>0</v>
      </c>
      <c r="Z211" s="212">
        <f t="shared" si="72"/>
        <v>0</v>
      </c>
      <c r="AA211" s="212">
        <f t="shared" si="89"/>
        <v>13028</v>
      </c>
      <c r="AB211" s="68">
        <f t="shared" si="90"/>
        <v>0.79475831887130965</v>
      </c>
      <c r="AD211" s="207">
        <f t="shared" si="69"/>
        <v>9.5060475816787449E-2</v>
      </c>
      <c r="AE211" s="213">
        <f t="shared" si="70"/>
        <v>5.2978351622141773</v>
      </c>
      <c r="AF211" s="10">
        <f t="shared" si="73"/>
        <v>0</v>
      </c>
      <c r="AG211" s="214"/>
      <c r="AH211" s="214">
        <v>3.27E-2</v>
      </c>
      <c r="AI211" s="181"/>
      <c r="AJ211" s="214"/>
      <c r="AK211" s="214"/>
      <c r="AL211" s="214"/>
      <c r="AM211" s="10"/>
      <c r="AN211" s="10"/>
    </row>
    <row r="212" spans="1:40" ht="12.75" customHeight="1">
      <c r="A212" s="201">
        <v>203</v>
      </c>
      <c r="B212" s="201" t="s">
        <v>1469</v>
      </c>
      <c r="C212" s="202">
        <v>1397923000</v>
      </c>
      <c r="D212" s="202">
        <f t="shared" si="74"/>
        <v>4962053.0598262334</v>
      </c>
      <c r="E212" s="202">
        <v>390494000</v>
      </c>
      <c r="F212" s="202">
        <f t="shared" si="91"/>
        <v>5563720.5075884564</v>
      </c>
      <c r="G212" s="202">
        <f t="shared" si="75"/>
        <v>10525774</v>
      </c>
      <c r="H212" s="203">
        <f t="shared" si="76"/>
        <v>7670815.2649765415</v>
      </c>
      <c r="I212" s="204">
        <f t="shared" si="77"/>
        <v>6328423</v>
      </c>
      <c r="J212" s="204">
        <f t="shared" si="78"/>
        <v>6328423</v>
      </c>
      <c r="K212" s="198">
        <f t="shared" si="79"/>
        <v>82.5</v>
      </c>
      <c r="L212" s="205"/>
      <c r="M212" s="206">
        <v>6727948</v>
      </c>
      <c r="N212" s="207">
        <f t="shared" si="80"/>
        <v>4.0199999999999993E-2</v>
      </c>
      <c r="O212" s="204">
        <f t="shared" si="81"/>
        <v>6998412</v>
      </c>
      <c r="P212" s="208">
        <f t="shared" si="82"/>
        <v>91.234265958057875</v>
      </c>
      <c r="Q212" s="208">
        <f t="shared" si="83"/>
        <v>0</v>
      </c>
      <c r="R212" s="209">
        <f t="shared" si="84"/>
        <v>0</v>
      </c>
      <c r="S212" s="204">
        <f t="shared" si="85"/>
        <v>0</v>
      </c>
      <c r="T212" s="210">
        <f t="shared" si="86"/>
        <v>669989</v>
      </c>
      <c r="U212" s="210">
        <f t="shared" si="71"/>
        <v>569490.65</v>
      </c>
      <c r="V212" s="203">
        <f>MIN(H212*parameters!C$22,ROUND(O212+S212-U212,0))</f>
        <v>6428921</v>
      </c>
      <c r="W212" s="211">
        <f t="shared" si="87"/>
        <v>83.810139834200015</v>
      </c>
      <c r="X212" s="208"/>
      <c r="Y212" s="212">
        <f t="shared" si="88"/>
        <v>0</v>
      </c>
      <c r="Z212" s="212">
        <f t="shared" si="72"/>
        <v>0</v>
      </c>
      <c r="AA212" s="212">
        <f t="shared" si="89"/>
        <v>100498</v>
      </c>
      <c r="AB212" s="68">
        <f t="shared" si="90"/>
        <v>1.3101398342000152</v>
      </c>
      <c r="AD212" s="207">
        <f t="shared" si="69"/>
        <v>0.10586981938470295</v>
      </c>
      <c r="AE212" s="213">
        <f t="shared" si="70"/>
        <v>8.7342659580578754</v>
      </c>
      <c r="AF212" s="10">
        <f t="shared" si="73"/>
        <v>0</v>
      </c>
      <c r="AG212" s="214"/>
      <c r="AH212" s="214">
        <v>4.0199999999999993E-2</v>
      </c>
      <c r="AI212" s="181"/>
      <c r="AJ212" s="214"/>
      <c r="AK212" s="214"/>
      <c r="AL212" s="214"/>
      <c r="AM212" s="10"/>
      <c r="AN212" s="10"/>
    </row>
    <row r="213" spans="1:40" ht="12.75" customHeight="1">
      <c r="A213" s="201">
        <v>204</v>
      </c>
      <c r="B213" s="201" t="s">
        <v>1470</v>
      </c>
      <c r="C213" s="202">
        <v>4020718600</v>
      </c>
      <c r="D213" s="202">
        <f t="shared" si="74"/>
        <v>14271901.26482664</v>
      </c>
      <c r="E213" s="202">
        <v>933250000</v>
      </c>
      <c r="F213" s="202">
        <f t="shared" si="91"/>
        <v>13296855.172440363</v>
      </c>
      <c r="G213" s="202">
        <f t="shared" si="75"/>
        <v>27568756</v>
      </c>
      <c r="H213" s="203">
        <f t="shared" si="76"/>
        <v>23086754.85847662</v>
      </c>
      <c r="I213" s="204">
        <f t="shared" si="77"/>
        <v>19046573</v>
      </c>
      <c r="J213" s="204">
        <f t="shared" si="78"/>
        <v>19046573</v>
      </c>
      <c r="K213" s="198">
        <f t="shared" si="79"/>
        <v>82.5</v>
      </c>
      <c r="L213" s="205"/>
      <c r="M213" s="206">
        <v>18792981</v>
      </c>
      <c r="N213" s="207">
        <f t="shared" si="80"/>
        <v>3.7600000000000001E-2</v>
      </c>
      <c r="O213" s="204">
        <f t="shared" si="81"/>
        <v>19499597</v>
      </c>
      <c r="P213" s="208">
        <f t="shared" si="82"/>
        <v>84.46226903492439</v>
      </c>
      <c r="Q213" s="208">
        <f t="shared" si="83"/>
        <v>0</v>
      </c>
      <c r="R213" s="209">
        <f t="shared" si="84"/>
        <v>0</v>
      </c>
      <c r="S213" s="204">
        <f t="shared" si="85"/>
        <v>0</v>
      </c>
      <c r="T213" s="210">
        <f t="shared" si="86"/>
        <v>453024</v>
      </c>
      <c r="U213" s="210">
        <f t="shared" si="71"/>
        <v>385070.39999999997</v>
      </c>
      <c r="V213" s="203">
        <f>MIN(H213*parameters!C$22,ROUND(O213+S213-U213,0))</f>
        <v>19114527</v>
      </c>
      <c r="W213" s="211">
        <f t="shared" si="87"/>
        <v>82.794342977925453</v>
      </c>
      <c r="X213" s="208"/>
      <c r="Y213" s="212">
        <f t="shared" si="88"/>
        <v>0</v>
      </c>
      <c r="Z213" s="212">
        <f t="shared" si="72"/>
        <v>0</v>
      </c>
      <c r="AA213" s="212">
        <f t="shared" si="89"/>
        <v>67954</v>
      </c>
      <c r="AB213" s="68">
        <f t="shared" si="90"/>
        <v>0.29434297792545294</v>
      </c>
      <c r="AD213" s="207">
        <f t="shared" si="69"/>
        <v>2.3785066216373937E-2</v>
      </c>
      <c r="AE213" s="213">
        <f t="shared" si="70"/>
        <v>1.9622690349243896</v>
      </c>
      <c r="AF213" s="10">
        <f t="shared" si="73"/>
        <v>0</v>
      </c>
      <c r="AG213" s="214"/>
      <c r="AH213" s="214">
        <v>3.7600000000000001E-2</v>
      </c>
      <c r="AI213" s="181"/>
      <c r="AJ213" s="214"/>
      <c r="AK213" s="214"/>
      <c r="AL213" s="214"/>
      <c r="AM213" s="10"/>
      <c r="AN213" s="10"/>
    </row>
    <row r="214" spans="1:40" ht="12.75" customHeight="1">
      <c r="A214" s="201">
        <v>205</v>
      </c>
      <c r="B214" s="201" t="s">
        <v>1471</v>
      </c>
      <c r="C214" s="202">
        <v>509073000</v>
      </c>
      <c r="D214" s="202">
        <f t="shared" si="74"/>
        <v>1807000.2692028962</v>
      </c>
      <c r="E214" s="202">
        <v>51493000</v>
      </c>
      <c r="F214" s="202">
        <f t="shared" si="91"/>
        <v>733667.25249876408</v>
      </c>
      <c r="G214" s="202">
        <f t="shared" si="75"/>
        <v>2540668</v>
      </c>
      <c r="H214" s="203">
        <f t="shared" si="76"/>
        <v>1620636.1459781919</v>
      </c>
      <c r="I214" s="204">
        <f t="shared" si="77"/>
        <v>1337025</v>
      </c>
      <c r="J214" s="204">
        <f t="shared" si="78"/>
        <v>1337025</v>
      </c>
      <c r="K214" s="198">
        <f t="shared" si="79"/>
        <v>82.5</v>
      </c>
      <c r="L214" s="205"/>
      <c r="M214" s="206">
        <v>1360966</v>
      </c>
      <c r="N214" s="207">
        <f t="shared" si="80"/>
        <v>3.2500000000000001E-2</v>
      </c>
      <c r="O214" s="204">
        <f t="shared" si="81"/>
        <v>1405197</v>
      </c>
      <c r="P214" s="208">
        <f t="shared" si="82"/>
        <v>86.706507409893902</v>
      </c>
      <c r="Q214" s="208">
        <f t="shared" si="83"/>
        <v>0</v>
      </c>
      <c r="R214" s="209">
        <f t="shared" si="84"/>
        <v>0</v>
      </c>
      <c r="S214" s="204">
        <f t="shared" si="85"/>
        <v>0</v>
      </c>
      <c r="T214" s="210">
        <f t="shared" si="86"/>
        <v>68172</v>
      </c>
      <c r="U214" s="210">
        <f t="shared" si="71"/>
        <v>57946.2</v>
      </c>
      <c r="V214" s="203">
        <f>MIN(H214*parameters!C$22,ROUND(O214+S214-U214,0))</f>
        <v>1347251</v>
      </c>
      <c r="W214" s="211">
        <f t="shared" si="87"/>
        <v>83.130997870396087</v>
      </c>
      <c r="X214" s="208"/>
      <c r="Y214" s="212">
        <f t="shared" si="88"/>
        <v>0</v>
      </c>
      <c r="Z214" s="212">
        <f t="shared" si="72"/>
        <v>0</v>
      </c>
      <c r="AA214" s="212">
        <f t="shared" si="89"/>
        <v>10226</v>
      </c>
      <c r="AB214" s="68">
        <f t="shared" si="90"/>
        <v>0.63099787039608657</v>
      </c>
      <c r="AD214" s="207">
        <f t="shared" si="69"/>
        <v>5.0987827452740227E-2</v>
      </c>
      <c r="AE214" s="213">
        <f t="shared" si="70"/>
        <v>4.2065074098939021</v>
      </c>
      <c r="AF214" s="10">
        <f t="shared" si="73"/>
        <v>0</v>
      </c>
      <c r="AG214" s="214"/>
      <c r="AH214" s="214">
        <v>3.2500000000000001E-2</v>
      </c>
      <c r="AI214" s="181"/>
      <c r="AJ214" s="214"/>
      <c r="AK214" s="214"/>
      <c r="AL214" s="214"/>
      <c r="AM214" s="10"/>
      <c r="AN214" s="10"/>
    </row>
    <row r="215" spans="1:40" ht="12.75" customHeight="1">
      <c r="A215" s="201">
        <v>206</v>
      </c>
      <c r="B215" s="201" t="s">
        <v>1472</v>
      </c>
      <c r="C215" s="202">
        <v>107358200</v>
      </c>
      <c r="D215" s="202">
        <f t="shared" si="74"/>
        <v>381077.55921280128</v>
      </c>
      <c r="E215" s="202">
        <v>25280000</v>
      </c>
      <c r="F215" s="202">
        <f t="shared" si="91"/>
        <v>360186.97965099639</v>
      </c>
      <c r="G215" s="202">
        <f t="shared" si="75"/>
        <v>741265</v>
      </c>
      <c r="H215" s="203">
        <f t="shared" si="76"/>
        <v>1365549.2939932318</v>
      </c>
      <c r="I215" s="204">
        <f t="shared" si="77"/>
        <v>1126578</v>
      </c>
      <c r="J215" s="204">
        <f t="shared" si="78"/>
        <v>741265</v>
      </c>
      <c r="K215" s="198">
        <f t="shared" si="79"/>
        <v>54.28</v>
      </c>
      <c r="L215" s="205"/>
      <c r="M215" s="206">
        <v>777547</v>
      </c>
      <c r="N215" s="207">
        <f t="shared" si="80"/>
        <v>2.5399999999999999E-2</v>
      </c>
      <c r="O215" s="204">
        <f t="shared" si="81"/>
        <v>797297</v>
      </c>
      <c r="P215" s="208">
        <f t="shared" si="82"/>
        <v>58.386541116248544</v>
      </c>
      <c r="Q215" s="208">
        <f t="shared" si="83"/>
        <v>0</v>
      </c>
      <c r="R215" s="209">
        <f t="shared" si="84"/>
        <v>0</v>
      </c>
      <c r="S215" s="204">
        <f t="shared" si="85"/>
        <v>0</v>
      </c>
      <c r="T215" s="210">
        <f t="shared" si="86"/>
        <v>56032</v>
      </c>
      <c r="U215" s="210">
        <f t="shared" si="71"/>
        <v>47627.199999999997</v>
      </c>
      <c r="V215" s="203">
        <f>MIN(H215*parameters!C$22,ROUND(O215+S215-U215,0))</f>
        <v>749670</v>
      </c>
      <c r="W215" s="211">
        <f t="shared" si="87"/>
        <v>54.898787125272072</v>
      </c>
      <c r="X215" s="208"/>
      <c r="Y215" s="212">
        <f t="shared" si="88"/>
        <v>0</v>
      </c>
      <c r="Z215" s="212">
        <f t="shared" si="72"/>
        <v>0</v>
      </c>
      <c r="AA215" s="212">
        <f t="shared" si="89"/>
        <v>8405</v>
      </c>
      <c r="AB215" s="68">
        <f t="shared" si="90"/>
        <v>0.61878712527207114</v>
      </c>
      <c r="AD215" s="207">
        <f t="shared" si="69"/>
        <v>7.5589701388842051E-2</v>
      </c>
      <c r="AE215" s="213">
        <f t="shared" si="70"/>
        <v>4.1065411162485432</v>
      </c>
      <c r="AF215" s="10">
        <f t="shared" si="73"/>
        <v>0</v>
      </c>
      <c r="AG215" s="214"/>
      <c r="AH215" s="214">
        <v>2.5399999999999999E-2</v>
      </c>
      <c r="AI215" s="181"/>
      <c r="AJ215" s="214"/>
      <c r="AK215" s="214"/>
      <c r="AL215" s="214"/>
      <c r="AM215" s="10"/>
      <c r="AN215" s="10"/>
    </row>
    <row r="216" spans="1:40" ht="12.75" customHeight="1">
      <c r="A216" s="201">
        <v>207</v>
      </c>
      <c r="B216" s="201" t="s">
        <v>1473</v>
      </c>
      <c r="C216" s="202">
        <v>26237044400</v>
      </c>
      <c r="D216" s="202">
        <f t="shared" si="74"/>
        <v>93130742.140888125</v>
      </c>
      <c r="E216" s="202">
        <v>10339483000</v>
      </c>
      <c r="F216" s="202">
        <f t="shared" si="91"/>
        <v>147315947.50485849</v>
      </c>
      <c r="G216" s="202">
        <f t="shared" si="75"/>
        <v>240446690</v>
      </c>
      <c r="H216" s="203">
        <f t="shared" si="76"/>
        <v>131452274.44548996</v>
      </c>
      <c r="I216" s="204">
        <f t="shared" si="77"/>
        <v>108448126</v>
      </c>
      <c r="J216" s="204">
        <f t="shared" si="78"/>
        <v>108448126</v>
      </c>
      <c r="K216" s="198">
        <f t="shared" si="79"/>
        <v>82.5</v>
      </c>
      <c r="L216" s="205"/>
      <c r="M216" s="206">
        <v>105306467</v>
      </c>
      <c r="N216" s="207">
        <f t="shared" si="80"/>
        <v>4.3400000000000001E-2</v>
      </c>
      <c r="O216" s="204">
        <f t="shared" si="81"/>
        <v>109876768</v>
      </c>
      <c r="P216" s="208">
        <f t="shared" si="82"/>
        <v>83.586813893861688</v>
      </c>
      <c r="Q216" s="208">
        <f t="shared" si="83"/>
        <v>0</v>
      </c>
      <c r="R216" s="209">
        <f t="shared" si="84"/>
        <v>0</v>
      </c>
      <c r="S216" s="204">
        <f t="shared" si="85"/>
        <v>0</v>
      </c>
      <c r="T216" s="210">
        <f t="shared" si="86"/>
        <v>1428642</v>
      </c>
      <c r="U216" s="210">
        <f t="shared" si="71"/>
        <v>1214345.7</v>
      </c>
      <c r="V216" s="203">
        <f>MIN(H216*parameters!C$22,ROUND(O216+S216-U216,0))</f>
        <v>108662422</v>
      </c>
      <c r="W216" s="211">
        <f t="shared" si="87"/>
        <v>82.663021585875754</v>
      </c>
      <c r="X216" s="208"/>
      <c r="Y216" s="212">
        <f t="shared" si="88"/>
        <v>0</v>
      </c>
      <c r="Z216" s="212">
        <f t="shared" si="72"/>
        <v>0</v>
      </c>
      <c r="AA216" s="212">
        <f t="shared" si="89"/>
        <v>214296</v>
      </c>
      <c r="AB216" s="68">
        <f t="shared" si="90"/>
        <v>0.16302158587575377</v>
      </c>
      <c r="AD216" s="207">
        <f t="shared" si="69"/>
        <v>1.3173505644532761E-2</v>
      </c>
      <c r="AE216" s="213">
        <f t="shared" si="70"/>
        <v>1.086813893861688</v>
      </c>
      <c r="AF216" s="10">
        <f t="shared" si="73"/>
        <v>0</v>
      </c>
      <c r="AG216" s="214"/>
      <c r="AH216" s="214">
        <v>4.3400000000000001E-2</v>
      </c>
      <c r="AI216" s="181"/>
      <c r="AJ216" s="214"/>
      <c r="AK216" s="214"/>
      <c r="AL216" s="214"/>
      <c r="AM216" s="10"/>
      <c r="AN216" s="10"/>
    </row>
    <row r="217" spans="1:40" ht="12.75" customHeight="1">
      <c r="A217" s="201">
        <v>208</v>
      </c>
      <c r="B217" s="201" t="s">
        <v>1474</v>
      </c>
      <c r="C217" s="202">
        <v>1697790600</v>
      </c>
      <c r="D217" s="202">
        <f t="shared" si="74"/>
        <v>6026459.9993520509</v>
      </c>
      <c r="E217" s="202">
        <v>595626000</v>
      </c>
      <c r="F217" s="202">
        <f t="shared" si="91"/>
        <v>8486421.2793356162</v>
      </c>
      <c r="G217" s="202">
        <f t="shared" si="75"/>
        <v>14512881</v>
      </c>
      <c r="H217" s="203">
        <f t="shared" si="76"/>
        <v>16363494.181666972</v>
      </c>
      <c r="I217" s="204">
        <f t="shared" si="77"/>
        <v>13499883</v>
      </c>
      <c r="J217" s="204">
        <f t="shared" si="78"/>
        <v>13499883</v>
      </c>
      <c r="K217" s="198">
        <f t="shared" si="79"/>
        <v>82.5</v>
      </c>
      <c r="L217" s="205"/>
      <c r="M217" s="206">
        <v>13301095</v>
      </c>
      <c r="N217" s="207">
        <f t="shared" si="80"/>
        <v>4.9299999999999997E-2</v>
      </c>
      <c r="O217" s="204">
        <f t="shared" si="81"/>
        <v>13956839</v>
      </c>
      <c r="P217" s="208">
        <f t="shared" si="82"/>
        <v>85.292534987036603</v>
      </c>
      <c r="Q217" s="208">
        <f t="shared" si="83"/>
        <v>0</v>
      </c>
      <c r="R217" s="209">
        <f t="shared" si="84"/>
        <v>0</v>
      </c>
      <c r="S217" s="204">
        <f t="shared" si="85"/>
        <v>0</v>
      </c>
      <c r="T217" s="210">
        <f t="shared" si="86"/>
        <v>456956</v>
      </c>
      <c r="U217" s="210">
        <f t="shared" si="71"/>
        <v>388412.6</v>
      </c>
      <c r="V217" s="203">
        <f>MIN(H217*parameters!C$22,ROUND(O217+S217-U217,0))</f>
        <v>13568426</v>
      </c>
      <c r="W217" s="211">
        <f t="shared" si="87"/>
        <v>82.918879362584676</v>
      </c>
      <c r="X217" s="208"/>
      <c r="Y217" s="212">
        <f t="shared" si="88"/>
        <v>0</v>
      </c>
      <c r="Z217" s="212">
        <f t="shared" si="72"/>
        <v>0</v>
      </c>
      <c r="AA217" s="212">
        <f t="shared" si="89"/>
        <v>68543</v>
      </c>
      <c r="AB217" s="68">
        <f t="shared" si="90"/>
        <v>0.41887936258467562</v>
      </c>
      <c r="AD217" s="207">
        <f t="shared" si="69"/>
        <v>3.3848885949604154E-2</v>
      </c>
      <c r="AE217" s="213">
        <f t="shared" si="70"/>
        <v>2.7925349870366034</v>
      </c>
      <c r="AF217" s="10">
        <f t="shared" si="73"/>
        <v>0</v>
      </c>
      <c r="AG217" s="214"/>
      <c r="AH217" s="214">
        <v>4.9299999999999997E-2</v>
      </c>
      <c r="AI217" s="181"/>
      <c r="AJ217" s="214"/>
      <c r="AK217" s="214"/>
      <c r="AL217" s="214"/>
      <c r="AM217" s="10"/>
      <c r="AN217" s="10"/>
    </row>
    <row r="218" spans="1:40" ht="12.75" customHeight="1">
      <c r="A218" s="201">
        <v>209</v>
      </c>
      <c r="B218" s="201" t="s">
        <v>1475</v>
      </c>
      <c r="C218" s="202">
        <v>763510200</v>
      </c>
      <c r="D218" s="202">
        <f t="shared" si="74"/>
        <v>2710147.9295487232</v>
      </c>
      <c r="E218" s="202">
        <v>210410000</v>
      </c>
      <c r="F218" s="202">
        <f t="shared" si="91"/>
        <v>2997901.2020714455</v>
      </c>
      <c r="G218" s="202">
        <f t="shared" si="75"/>
        <v>5708049</v>
      </c>
      <c r="H218" s="203">
        <f t="shared" si="76"/>
        <v>19380854.74112355</v>
      </c>
      <c r="I218" s="204">
        <f t="shared" si="77"/>
        <v>15989205</v>
      </c>
      <c r="J218" s="204">
        <f t="shared" si="78"/>
        <v>5708049</v>
      </c>
      <c r="K218" s="198">
        <f t="shared" si="79"/>
        <v>29.45</v>
      </c>
      <c r="L218" s="205"/>
      <c r="M218" s="206">
        <v>5841596</v>
      </c>
      <c r="N218" s="207">
        <f t="shared" si="80"/>
        <v>4.2500000000000003E-2</v>
      </c>
      <c r="O218" s="204">
        <f t="shared" si="81"/>
        <v>6089864</v>
      </c>
      <c r="P218" s="208">
        <f t="shared" si="82"/>
        <v>31.422061004761225</v>
      </c>
      <c r="Q218" s="208">
        <f t="shared" si="83"/>
        <v>0</v>
      </c>
      <c r="R218" s="209">
        <f t="shared" si="84"/>
        <v>0</v>
      </c>
      <c r="S218" s="204">
        <f t="shared" si="85"/>
        <v>0</v>
      </c>
      <c r="T218" s="210">
        <f t="shared" si="86"/>
        <v>381815</v>
      </c>
      <c r="U218" s="210">
        <f t="shared" si="71"/>
        <v>324542.75</v>
      </c>
      <c r="V218" s="203">
        <f>MIN(H218*parameters!C$22,ROUND(O218+S218-U218,0))</f>
        <v>5765321</v>
      </c>
      <c r="W218" s="211">
        <f t="shared" si="87"/>
        <v>29.747506376830582</v>
      </c>
      <c r="X218" s="208"/>
      <c r="Y218" s="212">
        <f t="shared" si="88"/>
        <v>0</v>
      </c>
      <c r="Z218" s="212">
        <f t="shared" si="72"/>
        <v>0</v>
      </c>
      <c r="AA218" s="212">
        <f t="shared" si="89"/>
        <v>57272</v>
      </c>
      <c r="AB218" s="68">
        <f t="shared" si="90"/>
        <v>0.29750637683058301</v>
      </c>
      <c r="AD218" s="207">
        <f t="shared" si="69"/>
        <v>6.6890631107056023E-2</v>
      </c>
      <c r="AE218" s="213">
        <f t="shared" si="70"/>
        <v>1.9720610047612261</v>
      </c>
      <c r="AF218" s="10">
        <f t="shared" si="73"/>
        <v>0</v>
      </c>
      <c r="AG218" s="214"/>
      <c r="AH218" s="214">
        <v>4.2500000000000003E-2</v>
      </c>
      <c r="AI218" s="181"/>
      <c r="AJ218" s="214"/>
      <c r="AK218" s="214"/>
      <c r="AL218" s="214"/>
      <c r="AM218" s="10"/>
      <c r="AN218" s="10"/>
    </row>
    <row r="219" spans="1:40" ht="12.75" customHeight="1">
      <c r="A219" s="201">
        <v>210</v>
      </c>
      <c r="B219" s="201" t="s">
        <v>1476</v>
      </c>
      <c r="C219" s="202">
        <v>3523921000</v>
      </c>
      <c r="D219" s="202">
        <f t="shared" si="74"/>
        <v>12508473.628830716</v>
      </c>
      <c r="E219" s="202">
        <v>933486000</v>
      </c>
      <c r="F219" s="202">
        <f t="shared" si="91"/>
        <v>13300217.677471913</v>
      </c>
      <c r="G219" s="202">
        <f t="shared" si="75"/>
        <v>25808691</v>
      </c>
      <c r="H219" s="203">
        <f t="shared" si="76"/>
        <v>30167934.862896629</v>
      </c>
      <c r="I219" s="204">
        <f t="shared" si="77"/>
        <v>24888546</v>
      </c>
      <c r="J219" s="204">
        <f t="shared" si="78"/>
        <v>24888546</v>
      </c>
      <c r="K219" s="198">
        <f t="shared" si="79"/>
        <v>82.5</v>
      </c>
      <c r="L219" s="205"/>
      <c r="M219" s="206">
        <v>24554605</v>
      </c>
      <c r="N219" s="207">
        <f t="shared" si="80"/>
        <v>4.5999999999999999E-2</v>
      </c>
      <c r="O219" s="204">
        <f t="shared" si="81"/>
        <v>25684117</v>
      </c>
      <c r="P219" s="208">
        <f t="shared" si="82"/>
        <v>85.137140201097253</v>
      </c>
      <c r="Q219" s="208">
        <f t="shared" si="83"/>
        <v>0</v>
      </c>
      <c r="R219" s="209">
        <f t="shared" si="84"/>
        <v>0</v>
      </c>
      <c r="S219" s="204">
        <f t="shared" si="85"/>
        <v>0</v>
      </c>
      <c r="T219" s="210">
        <f t="shared" si="86"/>
        <v>795571</v>
      </c>
      <c r="U219" s="210">
        <f t="shared" si="71"/>
        <v>676235.35</v>
      </c>
      <c r="V219" s="203">
        <f>MIN(H219*parameters!C$22,ROUND(O219+S219-U219,0))</f>
        <v>25007882</v>
      </c>
      <c r="W219" s="211">
        <f t="shared" si="87"/>
        <v>82.895571452446518</v>
      </c>
      <c r="X219" s="208"/>
      <c r="Y219" s="212">
        <f t="shared" si="88"/>
        <v>0</v>
      </c>
      <c r="Z219" s="212">
        <f t="shared" si="72"/>
        <v>0</v>
      </c>
      <c r="AA219" s="212">
        <f t="shared" si="89"/>
        <v>119336</v>
      </c>
      <c r="AB219" s="68">
        <f t="shared" si="90"/>
        <v>0.39557145244651792</v>
      </c>
      <c r="AD219" s="207">
        <f t="shared" si="69"/>
        <v>3.1965346629730801E-2</v>
      </c>
      <c r="AE219" s="213">
        <f t="shared" si="70"/>
        <v>2.6371402010972531</v>
      </c>
      <c r="AF219" s="10">
        <f t="shared" si="73"/>
        <v>0</v>
      </c>
      <c r="AG219" s="214"/>
      <c r="AH219" s="214">
        <v>4.5999999999999999E-2</v>
      </c>
      <c r="AI219" s="181"/>
      <c r="AJ219" s="214"/>
      <c r="AK219" s="214"/>
      <c r="AL219" s="214"/>
      <c r="AM219" s="10"/>
      <c r="AN219" s="10"/>
    </row>
    <row r="220" spans="1:40" ht="12.75" customHeight="1">
      <c r="A220" s="201">
        <v>211</v>
      </c>
      <c r="B220" s="201" t="s">
        <v>1477</v>
      </c>
      <c r="C220" s="202">
        <v>4736933700</v>
      </c>
      <c r="D220" s="202">
        <f t="shared" si="74"/>
        <v>16814170.995311618</v>
      </c>
      <c r="E220" s="202">
        <v>1596546000</v>
      </c>
      <c r="F220" s="202">
        <f t="shared" si="91"/>
        <v>22747432.025865491</v>
      </c>
      <c r="G220" s="202">
        <f t="shared" si="75"/>
        <v>39561603</v>
      </c>
      <c r="H220" s="203">
        <f t="shared" si="76"/>
        <v>46767610.307984203</v>
      </c>
      <c r="I220" s="204">
        <f t="shared" si="77"/>
        <v>38583279</v>
      </c>
      <c r="J220" s="204">
        <f t="shared" si="78"/>
        <v>38583279</v>
      </c>
      <c r="K220" s="198">
        <f t="shared" si="79"/>
        <v>82.5</v>
      </c>
      <c r="L220" s="205"/>
      <c r="M220" s="206">
        <v>37474160</v>
      </c>
      <c r="N220" s="207">
        <f t="shared" si="80"/>
        <v>3.8699999999999998E-2</v>
      </c>
      <c r="O220" s="204">
        <f t="shared" si="81"/>
        <v>38924410</v>
      </c>
      <c r="P220" s="208">
        <f t="shared" si="82"/>
        <v>83.229418274028845</v>
      </c>
      <c r="Q220" s="208">
        <f t="shared" si="83"/>
        <v>0</v>
      </c>
      <c r="R220" s="209">
        <f t="shared" si="84"/>
        <v>0</v>
      </c>
      <c r="S220" s="204">
        <f t="shared" si="85"/>
        <v>0</v>
      </c>
      <c r="T220" s="210">
        <f t="shared" si="86"/>
        <v>341131</v>
      </c>
      <c r="U220" s="210">
        <f t="shared" si="71"/>
        <v>289961.34999999998</v>
      </c>
      <c r="V220" s="203">
        <f>MIN(H220*parameters!C$22,ROUND(O220+S220-U220,0))</f>
        <v>38634449</v>
      </c>
      <c r="W220" s="211">
        <f t="shared" si="87"/>
        <v>82.609414390806052</v>
      </c>
      <c r="X220" s="208"/>
      <c r="Y220" s="212">
        <f t="shared" si="88"/>
        <v>0</v>
      </c>
      <c r="Z220" s="212">
        <f t="shared" si="72"/>
        <v>0</v>
      </c>
      <c r="AA220" s="212">
        <f t="shared" si="89"/>
        <v>51170</v>
      </c>
      <c r="AB220" s="68">
        <f t="shared" si="90"/>
        <v>0.10941439080605164</v>
      </c>
      <c r="AD220" s="207">
        <f t="shared" si="69"/>
        <v>8.8414206578969097E-3</v>
      </c>
      <c r="AE220" s="213">
        <f t="shared" si="70"/>
        <v>0.72941827402884485</v>
      </c>
      <c r="AF220" s="10">
        <f t="shared" si="73"/>
        <v>0</v>
      </c>
      <c r="AG220" s="214"/>
      <c r="AH220" s="214">
        <v>3.8699999999999998E-2</v>
      </c>
      <c r="AI220" s="181"/>
      <c r="AJ220" s="214"/>
      <c r="AK220" s="214"/>
      <c r="AL220" s="214"/>
      <c r="AM220" s="10"/>
      <c r="AN220" s="10"/>
    </row>
    <row r="221" spans="1:40" ht="12.75" customHeight="1">
      <c r="A221" s="201">
        <v>212</v>
      </c>
      <c r="B221" s="201" t="s">
        <v>1478</v>
      </c>
      <c r="C221" s="202">
        <v>3832030100</v>
      </c>
      <c r="D221" s="202">
        <f t="shared" si="74"/>
        <v>13602134.51173722</v>
      </c>
      <c r="E221" s="202">
        <v>1122162000</v>
      </c>
      <c r="F221" s="202">
        <f t="shared" si="91"/>
        <v>15988454.962781699</v>
      </c>
      <c r="G221" s="202">
        <f t="shared" si="75"/>
        <v>29590589</v>
      </c>
      <c r="H221" s="203">
        <f t="shared" si="76"/>
        <v>48092308.090374246</v>
      </c>
      <c r="I221" s="204">
        <f t="shared" si="77"/>
        <v>39676154</v>
      </c>
      <c r="J221" s="204">
        <f t="shared" si="78"/>
        <v>29590589</v>
      </c>
      <c r="K221" s="198">
        <f t="shared" si="79"/>
        <v>61.53</v>
      </c>
      <c r="L221" s="205"/>
      <c r="M221" s="206">
        <v>28644250</v>
      </c>
      <c r="N221" s="207">
        <f t="shared" si="80"/>
        <v>3.2099999999999997E-2</v>
      </c>
      <c r="O221" s="204">
        <f t="shared" si="81"/>
        <v>29563730</v>
      </c>
      <c r="P221" s="208">
        <f t="shared" si="82"/>
        <v>61.472886567316216</v>
      </c>
      <c r="Q221" s="208">
        <f t="shared" si="83"/>
        <v>5.7113432683784993E-2</v>
      </c>
      <c r="R221" s="209">
        <f t="shared" si="84"/>
        <v>0</v>
      </c>
      <c r="S221" s="204">
        <f t="shared" si="85"/>
        <v>0</v>
      </c>
      <c r="T221" s="210">
        <f t="shared" si="86"/>
        <v>0</v>
      </c>
      <c r="U221" s="210">
        <f t="shared" si="71"/>
        <v>0</v>
      </c>
      <c r="V221" s="203">
        <f>MIN(H221*parameters!C$22,ROUND(O221+S221-U221,0))</f>
        <v>29563730</v>
      </c>
      <c r="W221" s="211">
        <f t="shared" si="87"/>
        <v>61.472886567316216</v>
      </c>
      <c r="X221" s="208"/>
      <c r="Y221" s="212">
        <f t="shared" si="88"/>
        <v>-26859</v>
      </c>
      <c r="Z221" s="212">
        <f t="shared" si="72"/>
        <v>26859</v>
      </c>
      <c r="AA221" s="212">
        <f t="shared" si="89"/>
        <v>0</v>
      </c>
      <c r="AB221" s="68">
        <f t="shared" si="90"/>
        <v>-5.7113432683784993E-2</v>
      </c>
      <c r="AD221" s="207">
        <f t="shared" si="69"/>
        <v>-9.0768723799313357E-4</v>
      </c>
      <c r="AE221" s="213">
        <f t="shared" si="70"/>
        <v>-5.7113432683784993E-2</v>
      </c>
      <c r="AF221" s="10">
        <f t="shared" si="73"/>
        <v>0</v>
      </c>
      <c r="AG221" s="214"/>
      <c r="AH221" s="214">
        <v>3.2099999999999997E-2</v>
      </c>
      <c r="AI221" s="181"/>
      <c r="AJ221" s="214"/>
      <c r="AK221" s="214"/>
      <c r="AL221" s="214"/>
      <c r="AM221" s="10"/>
      <c r="AN221" s="10"/>
    </row>
    <row r="222" spans="1:40" ht="12.75" customHeight="1">
      <c r="A222" s="201">
        <v>213</v>
      </c>
      <c r="B222" s="201" t="s">
        <v>1479</v>
      </c>
      <c r="C222" s="202">
        <v>2719405300</v>
      </c>
      <c r="D222" s="202">
        <f t="shared" si="74"/>
        <v>9652772.9994947333</v>
      </c>
      <c r="E222" s="202">
        <v>774857000</v>
      </c>
      <c r="F222" s="202">
        <f t="shared" si="91"/>
        <v>11040087.123869941</v>
      </c>
      <c r="G222" s="202">
        <f t="shared" si="75"/>
        <v>20692860</v>
      </c>
      <c r="H222" s="203">
        <f t="shared" si="76"/>
        <v>24764135.758490991</v>
      </c>
      <c r="I222" s="204">
        <f t="shared" si="77"/>
        <v>20430412</v>
      </c>
      <c r="J222" s="204">
        <f t="shared" si="78"/>
        <v>20430412</v>
      </c>
      <c r="K222" s="198">
        <f t="shared" si="79"/>
        <v>82.5</v>
      </c>
      <c r="L222" s="205"/>
      <c r="M222" s="206">
        <v>20804986</v>
      </c>
      <c r="N222" s="207">
        <f t="shared" si="80"/>
        <v>4.2299999999999997E-2</v>
      </c>
      <c r="O222" s="204">
        <f t="shared" si="81"/>
        <v>21685037</v>
      </c>
      <c r="P222" s="208">
        <f t="shared" si="82"/>
        <v>87.566298341603755</v>
      </c>
      <c r="Q222" s="208">
        <f t="shared" si="83"/>
        <v>0</v>
      </c>
      <c r="R222" s="209">
        <f t="shared" si="84"/>
        <v>0</v>
      </c>
      <c r="S222" s="204">
        <f t="shared" si="85"/>
        <v>0</v>
      </c>
      <c r="T222" s="210">
        <f t="shared" si="86"/>
        <v>1254625</v>
      </c>
      <c r="U222" s="210">
        <f t="shared" si="71"/>
        <v>1066431.25</v>
      </c>
      <c r="V222" s="203">
        <f>MIN(H222*parameters!C$22,ROUND(O222+S222-U222,0))</f>
        <v>20618606</v>
      </c>
      <c r="W222" s="211">
        <f t="shared" si="87"/>
        <v>83.259945758173316</v>
      </c>
      <c r="X222" s="208"/>
      <c r="Y222" s="212">
        <f t="shared" si="88"/>
        <v>0</v>
      </c>
      <c r="Z222" s="212">
        <f t="shared" si="72"/>
        <v>0</v>
      </c>
      <c r="AA222" s="212">
        <f t="shared" si="89"/>
        <v>188194</v>
      </c>
      <c r="AB222" s="68">
        <f t="shared" si="90"/>
        <v>0.75994575817331622</v>
      </c>
      <c r="AD222" s="207">
        <f t="shared" si="69"/>
        <v>6.1409676907151947E-2</v>
      </c>
      <c r="AE222" s="213">
        <f t="shared" si="70"/>
        <v>5.0662983416037548</v>
      </c>
      <c r="AF222" s="10">
        <f t="shared" si="73"/>
        <v>0</v>
      </c>
      <c r="AG222" s="214"/>
      <c r="AH222" s="214">
        <v>4.2299999999999997E-2</v>
      </c>
      <c r="AI222" s="181"/>
      <c r="AJ222" s="214"/>
      <c r="AK222" s="214"/>
      <c r="AL222" s="214"/>
      <c r="AM222" s="10"/>
      <c r="AN222" s="10"/>
    </row>
    <row r="223" spans="1:40" ht="12.75" customHeight="1">
      <c r="A223" s="201">
        <v>214</v>
      </c>
      <c r="B223" s="201" t="s">
        <v>1480</v>
      </c>
      <c r="C223" s="202">
        <v>1560578700</v>
      </c>
      <c r="D223" s="202">
        <f t="shared" si="74"/>
        <v>5539414.0545900213</v>
      </c>
      <c r="E223" s="202">
        <v>517711000</v>
      </c>
      <c r="F223" s="202">
        <f t="shared" si="91"/>
        <v>7376295.9423297858</v>
      </c>
      <c r="G223" s="202">
        <f t="shared" si="75"/>
        <v>12915710</v>
      </c>
      <c r="H223" s="203">
        <f t="shared" si="76"/>
        <v>25834918.730513573</v>
      </c>
      <c r="I223" s="204">
        <f t="shared" si="77"/>
        <v>21313808</v>
      </c>
      <c r="J223" s="204">
        <f t="shared" si="78"/>
        <v>12915710</v>
      </c>
      <c r="K223" s="198">
        <f t="shared" si="79"/>
        <v>49.99</v>
      </c>
      <c r="L223" s="205"/>
      <c r="M223" s="206">
        <v>11895078</v>
      </c>
      <c r="N223" s="207">
        <f t="shared" si="80"/>
        <v>4.5699999999999991E-2</v>
      </c>
      <c r="O223" s="204">
        <f t="shared" si="81"/>
        <v>12438683</v>
      </c>
      <c r="P223" s="208">
        <f t="shared" si="82"/>
        <v>48.146785866636755</v>
      </c>
      <c r="Q223" s="208">
        <f t="shared" si="83"/>
        <v>1.8432141333632472</v>
      </c>
      <c r="R223" s="209">
        <f t="shared" si="84"/>
        <v>0</v>
      </c>
      <c r="S223" s="204">
        <f t="shared" si="85"/>
        <v>0</v>
      </c>
      <c r="T223" s="210">
        <f t="shared" si="86"/>
        <v>0</v>
      </c>
      <c r="U223" s="210">
        <f t="shared" si="71"/>
        <v>0</v>
      </c>
      <c r="V223" s="203">
        <f>MIN(H223*parameters!C$22,ROUND(O223+S223-U223,0))</f>
        <v>12438683</v>
      </c>
      <c r="W223" s="211">
        <f t="shared" si="87"/>
        <v>48.146785866636755</v>
      </c>
      <c r="X223" s="208"/>
      <c r="Y223" s="212">
        <f t="shared" si="88"/>
        <v>-477027</v>
      </c>
      <c r="Z223" s="212">
        <f t="shared" si="72"/>
        <v>477027</v>
      </c>
      <c r="AA223" s="212">
        <f t="shared" si="89"/>
        <v>0</v>
      </c>
      <c r="AB223" s="68">
        <f t="shared" si="90"/>
        <v>-1.8432141333632472</v>
      </c>
      <c r="AD223" s="207">
        <f t="shared" si="69"/>
        <v>-3.6933858068971821E-2</v>
      </c>
      <c r="AE223" s="213">
        <f t="shared" si="70"/>
        <v>-1.8432141333632472</v>
      </c>
      <c r="AF223" s="10">
        <f t="shared" si="73"/>
        <v>0</v>
      </c>
      <c r="AG223" s="214"/>
      <c r="AH223" s="214">
        <v>4.5699999999999991E-2</v>
      </c>
      <c r="AI223" s="181"/>
      <c r="AJ223" s="214"/>
      <c r="AK223" s="214"/>
      <c r="AL223" s="214"/>
      <c r="AM223" s="10"/>
      <c r="AN223" s="10"/>
    </row>
    <row r="224" spans="1:40" ht="12.75" customHeight="1">
      <c r="A224" s="201">
        <v>215</v>
      </c>
      <c r="B224" s="201" t="s">
        <v>1481</v>
      </c>
      <c r="C224" s="202">
        <v>399804700</v>
      </c>
      <c r="D224" s="202">
        <f t="shared" si="74"/>
        <v>1419142.6387346867</v>
      </c>
      <c r="E224" s="202">
        <v>118603000</v>
      </c>
      <c r="F224" s="202">
        <f t="shared" si="91"/>
        <v>1689844.0010896805</v>
      </c>
      <c r="G224" s="202">
        <f t="shared" si="75"/>
        <v>3108987</v>
      </c>
      <c r="H224" s="203">
        <f t="shared" si="76"/>
        <v>6912370.0812819665</v>
      </c>
      <c r="I224" s="204">
        <f t="shared" si="77"/>
        <v>5702705</v>
      </c>
      <c r="J224" s="204">
        <f t="shared" si="78"/>
        <v>3108987</v>
      </c>
      <c r="K224" s="198">
        <f t="shared" si="79"/>
        <v>44.98</v>
      </c>
      <c r="L224" s="205"/>
      <c r="M224" s="206">
        <v>3195094</v>
      </c>
      <c r="N224" s="207">
        <f t="shared" si="80"/>
        <v>2.86E-2</v>
      </c>
      <c r="O224" s="204">
        <f t="shared" si="81"/>
        <v>3286474</v>
      </c>
      <c r="P224" s="208">
        <f t="shared" si="82"/>
        <v>47.544821260358376</v>
      </c>
      <c r="Q224" s="208">
        <f t="shared" si="83"/>
        <v>0</v>
      </c>
      <c r="R224" s="209">
        <f t="shared" si="84"/>
        <v>0</v>
      </c>
      <c r="S224" s="204">
        <f t="shared" si="85"/>
        <v>0</v>
      </c>
      <c r="T224" s="210">
        <f t="shared" si="86"/>
        <v>177487</v>
      </c>
      <c r="U224" s="210">
        <f t="shared" si="71"/>
        <v>150863.94999999998</v>
      </c>
      <c r="V224" s="203">
        <f>MIN(H224*parameters!C$22,ROUND(O224+S224-U224,0))</f>
        <v>3135610</v>
      </c>
      <c r="W224" s="211">
        <f t="shared" si="87"/>
        <v>45.362299227741445</v>
      </c>
      <c r="X224" s="208"/>
      <c r="Y224" s="212">
        <f t="shared" si="88"/>
        <v>0</v>
      </c>
      <c r="Z224" s="212">
        <f t="shared" si="72"/>
        <v>0</v>
      </c>
      <c r="AA224" s="212">
        <f t="shared" si="89"/>
        <v>26623</v>
      </c>
      <c r="AB224" s="68">
        <f t="shared" si="90"/>
        <v>0.38229922774144853</v>
      </c>
      <c r="AD224" s="207">
        <f t="shared" si="69"/>
        <v>5.708836994172057E-2</v>
      </c>
      <c r="AE224" s="213">
        <f t="shared" si="70"/>
        <v>2.5648212603583787</v>
      </c>
      <c r="AF224" s="10">
        <f t="shared" si="73"/>
        <v>0</v>
      </c>
      <c r="AG224" s="214"/>
      <c r="AH224" s="214">
        <v>2.86E-2</v>
      </c>
      <c r="AI224" s="181"/>
      <c r="AJ224" s="214"/>
      <c r="AK224" s="214"/>
      <c r="AL224" s="214"/>
      <c r="AM224" s="10"/>
      <c r="AN224" s="10"/>
    </row>
    <row r="225" spans="1:40" ht="12.75" customHeight="1">
      <c r="A225" s="201">
        <v>216</v>
      </c>
      <c r="B225" s="201" t="s">
        <v>1482</v>
      </c>
      <c r="C225" s="202">
        <v>459130600</v>
      </c>
      <c r="D225" s="202">
        <f t="shared" si="74"/>
        <v>1629725.2413686982</v>
      </c>
      <c r="E225" s="202">
        <v>84849000</v>
      </c>
      <c r="F225" s="202">
        <f t="shared" si="91"/>
        <v>1208920.2941616848</v>
      </c>
      <c r="G225" s="202">
        <f t="shared" si="75"/>
        <v>2838646</v>
      </c>
      <c r="H225" s="203">
        <f t="shared" si="76"/>
        <v>3953149.5361195989</v>
      </c>
      <c r="I225" s="204">
        <f t="shared" si="77"/>
        <v>3261348</v>
      </c>
      <c r="J225" s="204">
        <f t="shared" si="78"/>
        <v>2838646</v>
      </c>
      <c r="K225" s="198">
        <f t="shared" si="79"/>
        <v>71.81</v>
      </c>
      <c r="L225" s="205"/>
      <c r="M225" s="206">
        <v>2837867</v>
      </c>
      <c r="N225" s="207">
        <f t="shared" si="80"/>
        <v>4.9599999999999998E-2</v>
      </c>
      <c r="O225" s="204">
        <f t="shared" si="81"/>
        <v>2978625</v>
      </c>
      <c r="P225" s="208">
        <f t="shared" si="82"/>
        <v>75.348148932504344</v>
      </c>
      <c r="Q225" s="208">
        <f t="shared" si="83"/>
        <v>0</v>
      </c>
      <c r="R225" s="209">
        <f t="shared" si="84"/>
        <v>0</v>
      </c>
      <c r="S225" s="204">
        <f t="shared" si="85"/>
        <v>0</v>
      </c>
      <c r="T225" s="210">
        <f t="shared" si="86"/>
        <v>139979</v>
      </c>
      <c r="U225" s="210">
        <f t="shared" si="71"/>
        <v>118982.15</v>
      </c>
      <c r="V225" s="203">
        <f>MIN(H225*parameters!C$22,ROUND(O225+S225-U225,0))</f>
        <v>2859643</v>
      </c>
      <c r="W225" s="211">
        <f t="shared" si="87"/>
        <v>72.338346269769957</v>
      </c>
      <c r="X225" s="208"/>
      <c r="Y225" s="212">
        <f t="shared" si="88"/>
        <v>0</v>
      </c>
      <c r="Z225" s="212">
        <f t="shared" si="72"/>
        <v>0</v>
      </c>
      <c r="AA225" s="212">
        <f t="shared" si="89"/>
        <v>20997</v>
      </c>
      <c r="AB225" s="68">
        <f t="shared" si="90"/>
        <v>0.5283462697699548</v>
      </c>
      <c r="AD225" s="207">
        <f t="shared" si="69"/>
        <v>4.9311890246265297E-2</v>
      </c>
      <c r="AE225" s="213">
        <f t="shared" si="70"/>
        <v>3.5381489325043418</v>
      </c>
      <c r="AF225" s="10">
        <f t="shared" si="73"/>
        <v>0</v>
      </c>
      <c r="AG225" s="214"/>
      <c r="AH225" s="214">
        <v>4.9599999999999998E-2</v>
      </c>
      <c r="AI225" s="181"/>
      <c r="AJ225" s="214"/>
      <c r="AK225" s="214"/>
      <c r="AL225" s="214"/>
      <c r="AM225" s="10"/>
      <c r="AN225" s="10"/>
    </row>
    <row r="226" spans="1:40" ht="12.75" customHeight="1">
      <c r="A226" s="201">
        <v>217</v>
      </c>
      <c r="B226" s="201" t="s">
        <v>1483</v>
      </c>
      <c r="C226" s="202">
        <v>2977971300</v>
      </c>
      <c r="D226" s="202">
        <f t="shared" si="74"/>
        <v>10570576.20572786</v>
      </c>
      <c r="E226" s="202">
        <v>850335000</v>
      </c>
      <c r="F226" s="202">
        <f t="shared" si="91"/>
        <v>12115490.322054192</v>
      </c>
      <c r="G226" s="202">
        <f t="shared" si="75"/>
        <v>22686067</v>
      </c>
      <c r="H226" s="203">
        <f t="shared" si="76"/>
        <v>24519577.034991857</v>
      </c>
      <c r="I226" s="204">
        <f t="shared" si="77"/>
        <v>20228651</v>
      </c>
      <c r="J226" s="204">
        <f t="shared" si="78"/>
        <v>20228651</v>
      </c>
      <c r="K226" s="198">
        <f t="shared" si="79"/>
        <v>82.5</v>
      </c>
      <c r="L226" s="205"/>
      <c r="M226" s="206">
        <v>20218567</v>
      </c>
      <c r="N226" s="207">
        <f t="shared" si="80"/>
        <v>4.3700000000000003E-2</v>
      </c>
      <c r="O226" s="204">
        <f t="shared" si="81"/>
        <v>21102118</v>
      </c>
      <c r="P226" s="208">
        <f t="shared" si="82"/>
        <v>86.062324688085752</v>
      </c>
      <c r="Q226" s="208">
        <f t="shared" si="83"/>
        <v>0</v>
      </c>
      <c r="R226" s="209">
        <f t="shared" si="84"/>
        <v>0</v>
      </c>
      <c r="S226" s="204">
        <f t="shared" si="85"/>
        <v>0</v>
      </c>
      <c r="T226" s="210">
        <f t="shared" si="86"/>
        <v>873467</v>
      </c>
      <c r="U226" s="210">
        <f t="shared" si="71"/>
        <v>742446.95</v>
      </c>
      <c r="V226" s="203">
        <f>MIN(H226*parameters!C$22,ROUND(O226+S226-U226,0))</f>
        <v>20359671</v>
      </c>
      <c r="W226" s="211">
        <f t="shared" si="87"/>
        <v>83.034348312553433</v>
      </c>
      <c r="X226" s="208"/>
      <c r="Y226" s="212">
        <f t="shared" si="88"/>
        <v>0</v>
      </c>
      <c r="Z226" s="212">
        <f t="shared" si="72"/>
        <v>0</v>
      </c>
      <c r="AA226" s="212">
        <f t="shared" si="89"/>
        <v>131020</v>
      </c>
      <c r="AB226" s="68">
        <f t="shared" si="90"/>
        <v>0.5343483125534334</v>
      </c>
      <c r="AD226" s="207">
        <f t="shared" si="69"/>
        <v>4.3179695966873918E-2</v>
      </c>
      <c r="AE226" s="213">
        <f t="shared" si="70"/>
        <v>3.5623246880857522</v>
      </c>
      <c r="AF226" s="10">
        <f t="shared" si="73"/>
        <v>0</v>
      </c>
      <c r="AG226" s="214"/>
      <c r="AH226" s="214">
        <v>4.3700000000000003E-2</v>
      </c>
      <c r="AI226" s="181"/>
      <c r="AJ226" s="214"/>
      <c r="AK226" s="214"/>
      <c r="AL226" s="214"/>
      <c r="AM226" s="10"/>
      <c r="AN226" s="10"/>
    </row>
    <row r="227" spans="1:40" ht="12.75" customHeight="1">
      <c r="A227" s="201">
        <v>218</v>
      </c>
      <c r="B227" s="201" t="s">
        <v>1484</v>
      </c>
      <c r="C227" s="202">
        <v>2191751500</v>
      </c>
      <c r="D227" s="202">
        <f t="shared" si="74"/>
        <v>7779818.5142913722</v>
      </c>
      <c r="E227" s="202">
        <v>660095000</v>
      </c>
      <c r="F227" s="202">
        <f t="shared" si="91"/>
        <v>9404969.3169590365</v>
      </c>
      <c r="G227" s="202">
        <f t="shared" si="75"/>
        <v>17184788</v>
      </c>
      <c r="H227" s="203">
        <f t="shared" si="76"/>
        <v>26265311.011500232</v>
      </c>
      <c r="I227" s="204">
        <f t="shared" si="77"/>
        <v>21668882</v>
      </c>
      <c r="J227" s="204">
        <f t="shared" si="78"/>
        <v>17184788</v>
      </c>
      <c r="K227" s="198">
        <f t="shared" si="79"/>
        <v>65.430000000000007</v>
      </c>
      <c r="L227" s="205"/>
      <c r="M227" s="206">
        <v>16935780</v>
      </c>
      <c r="N227" s="207">
        <f t="shared" si="80"/>
        <v>3.1099999999999999E-2</v>
      </c>
      <c r="O227" s="204">
        <f t="shared" si="81"/>
        <v>17462483</v>
      </c>
      <c r="P227" s="208">
        <f t="shared" si="82"/>
        <v>66.484965635297726</v>
      </c>
      <c r="Q227" s="208">
        <f t="shared" si="83"/>
        <v>0</v>
      </c>
      <c r="R227" s="209">
        <f t="shared" si="84"/>
        <v>0</v>
      </c>
      <c r="S227" s="204">
        <f t="shared" si="85"/>
        <v>0</v>
      </c>
      <c r="T227" s="210">
        <f t="shared" si="86"/>
        <v>277695</v>
      </c>
      <c r="U227" s="210">
        <f t="shared" si="71"/>
        <v>236040.75</v>
      </c>
      <c r="V227" s="203">
        <f>MIN(H227*parameters!C$22,ROUND(O227+S227-U227,0))</f>
        <v>17226442</v>
      </c>
      <c r="W227" s="211">
        <f t="shared" si="87"/>
        <v>65.586286004599089</v>
      </c>
      <c r="X227" s="208"/>
      <c r="Y227" s="212">
        <f t="shared" si="88"/>
        <v>0</v>
      </c>
      <c r="Z227" s="212">
        <f t="shared" si="72"/>
        <v>0</v>
      </c>
      <c r="AA227" s="212">
        <f t="shared" si="89"/>
        <v>41654</v>
      </c>
      <c r="AB227" s="68">
        <f t="shared" si="90"/>
        <v>0.15628600459908171</v>
      </c>
      <c r="AD227" s="207">
        <f t="shared" si="69"/>
        <v>1.6159349769109752E-2</v>
      </c>
      <c r="AE227" s="213">
        <f t="shared" si="70"/>
        <v>1.0549656352977195</v>
      </c>
      <c r="AF227" s="10">
        <f t="shared" si="73"/>
        <v>0</v>
      </c>
      <c r="AG227" s="214"/>
      <c r="AH227" s="214">
        <v>3.1099999999999999E-2</v>
      </c>
      <c r="AI227" s="181"/>
      <c r="AJ227" s="214"/>
      <c r="AK227" s="214"/>
      <c r="AL227" s="214"/>
      <c r="AM227" s="10"/>
      <c r="AN227" s="10"/>
    </row>
    <row r="228" spans="1:40" ht="12.75" customHeight="1">
      <c r="A228" s="201">
        <v>219</v>
      </c>
      <c r="B228" s="201" t="s">
        <v>1485</v>
      </c>
      <c r="C228" s="202">
        <v>2543299700</v>
      </c>
      <c r="D228" s="202">
        <f t="shared" si="74"/>
        <v>9027670.3784401156</v>
      </c>
      <c r="E228" s="202">
        <v>874408000</v>
      </c>
      <c r="F228" s="202">
        <f t="shared" si="91"/>
        <v>12458480.083175175</v>
      </c>
      <c r="G228" s="202">
        <f t="shared" si="75"/>
        <v>21486150</v>
      </c>
      <c r="H228" s="203">
        <f t="shared" si="76"/>
        <v>20945117.128687657</v>
      </c>
      <c r="I228" s="204">
        <f t="shared" si="77"/>
        <v>17279722</v>
      </c>
      <c r="J228" s="204">
        <f t="shared" si="78"/>
        <v>17279722</v>
      </c>
      <c r="K228" s="198">
        <f t="shared" si="79"/>
        <v>82.5</v>
      </c>
      <c r="L228" s="205"/>
      <c r="M228" s="206">
        <v>17120129</v>
      </c>
      <c r="N228" s="207">
        <f t="shared" si="80"/>
        <v>4.4600000000000001E-2</v>
      </c>
      <c r="O228" s="204">
        <f t="shared" si="81"/>
        <v>17883687</v>
      </c>
      <c r="P228" s="208">
        <f t="shared" si="82"/>
        <v>85.383561667962482</v>
      </c>
      <c r="Q228" s="208">
        <f t="shared" si="83"/>
        <v>0</v>
      </c>
      <c r="R228" s="209">
        <f t="shared" si="84"/>
        <v>0</v>
      </c>
      <c r="S228" s="204">
        <f t="shared" si="85"/>
        <v>0</v>
      </c>
      <c r="T228" s="210">
        <f t="shared" si="86"/>
        <v>603965</v>
      </c>
      <c r="U228" s="210">
        <f t="shared" si="71"/>
        <v>513370.25</v>
      </c>
      <c r="V228" s="203">
        <f>MIN(H228*parameters!C$22,ROUND(O228+S228-U228,0))</f>
        <v>17370317</v>
      </c>
      <c r="W228" s="211">
        <f t="shared" si="87"/>
        <v>82.932536940596037</v>
      </c>
      <c r="X228" s="208"/>
      <c r="Y228" s="212">
        <f t="shared" si="88"/>
        <v>0</v>
      </c>
      <c r="Z228" s="212">
        <f t="shared" si="72"/>
        <v>0</v>
      </c>
      <c r="AA228" s="212">
        <f t="shared" si="89"/>
        <v>90595</v>
      </c>
      <c r="AB228" s="68">
        <f t="shared" si="90"/>
        <v>0.43253694059603731</v>
      </c>
      <c r="AD228" s="207">
        <f t="shared" si="69"/>
        <v>3.4952240551092202E-2</v>
      </c>
      <c r="AE228" s="213">
        <f t="shared" si="70"/>
        <v>2.883561667962482</v>
      </c>
      <c r="AF228" s="10">
        <f t="shared" si="73"/>
        <v>0</v>
      </c>
      <c r="AG228" s="214"/>
      <c r="AH228" s="214">
        <v>4.4600000000000001E-2</v>
      </c>
      <c r="AI228" s="181"/>
      <c r="AJ228" s="214"/>
      <c r="AK228" s="214"/>
      <c r="AL228" s="214"/>
      <c r="AM228" s="10"/>
      <c r="AN228" s="10"/>
    </row>
    <row r="229" spans="1:40" ht="12.75" customHeight="1">
      <c r="A229" s="201">
        <v>220</v>
      </c>
      <c r="B229" s="201" t="s">
        <v>1486</v>
      </c>
      <c r="C229" s="202">
        <v>5011923000</v>
      </c>
      <c r="D229" s="202">
        <f t="shared" si="74"/>
        <v>17790270.177801982</v>
      </c>
      <c r="E229" s="202">
        <v>1185800000</v>
      </c>
      <c r="F229" s="202">
        <f t="shared" si="91"/>
        <v>16895162.993281309</v>
      </c>
      <c r="G229" s="202">
        <f t="shared" si="75"/>
        <v>34685433</v>
      </c>
      <c r="H229" s="203">
        <f t="shared" si="76"/>
        <v>37702636.938836694</v>
      </c>
      <c r="I229" s="204">
        <f t="shared" si="77"/>
        <v>31104675</v>
      </c>
      <c r="J229" s="204">
        <f t="shared" si="78"/>
        <v>31104675</v>
      </c>
      <c r="K229" s="198">
        <f t="shared" si="79"/>
        <v>82.5</v>
      </c>
      <c r="L229" s="205"/>
      <c r="M229" s="206">
        <v>31098049</v>
      </c>
      <c r="N229" s="207">
        <f t="shared" si="80"/>
        <v>4.3799999999999999E-2</v>
      </c>
      <c r="O229" s="204">
        <f t="shared" si="81"/>
        <v>32460144</v>
      </c>
      <c r="P229" s="208">
        <f t="shared" si="82"/>
        <v>86.095155764989713</v>
      </c>
      <c r="Q229" s="208">
        <f t="shared" si="83"/>
        <v>0</v>
      </c>
      <c r="R229" s="209">
        <f t="shared" si="84"/>
        <v>0</v>
      </c>
      <c r="S229" s="204">
        <f t="shared" si="85"/>
        <v>0</v>
      </c>
      <c r="T229" s="210">
        <f t="shared" si="86"/>
        <v>1355469</v>
      </c>
      <c r="U229" s="210">
        <f t="shared" si="71"/>
        <v>1152148.6499999999</v>
      </c>
      <c r="V229" s="203">
        <f>MIN(H229*parameters!C$22,ROUND(O229+S229-U229,0))</f>
        <v>31307995</v>
      </c>
      <c r="W229" s="211">
        <f t="shared" si="87"/>
        <v>83.039271366587869</v>
      </c>
      <c r="X229" s="208"/>
      <c r="Y229" s="212">
        <f t="shared" si="88"/>
        <v>0</v>
      </c>
      <c r="Z229" s="212">
        <f t="shared" si="72"/>
        <v>0</v>
      </c>
      <c r="AA229" s="212">
        <f t="shared" si="89"/>
        <v>203320</v>
      </c>
      <c r="AB229" s="68">
        <f t="shared" si="90"/>
        <v>0.53927136658786878</v>
      </c>
      <c r="AD229" s="207">
        <f t="shared" si="69"/>
        <v>4.3577661557306094E-2</v>
      </c>
      <c r="AE229" s="213">
        <f t="shared" si="70"/>
        <v>3.5951557649897126</v>
      </c>
      <c r="AF229" s="10">
        <f t="shared" si="73"/>
        <v>0</v>
      </c>
      <c r="AG229" s="214"/>
      <c r="AH229" s="214">
        <v>4.3799999999999999E-2</v>
      </c>
      <c r="AI229" s="181"/>
      <c r="AJ229" s="214"/>
      <c r="AK229" s="214"/>
      <c r="AL229" s="214"/>
      <c r="AM229" s="10"/>
      <c r="AN229" s="10"/>
    </row>
    <row r="230" spans="1:40" ht="12.75" customHeight="1">
      <c r="A230" s="201">
        <v>221</v>
      </c>
      <c r="B230" s="201" t="s">
        <v>1487</v>
      </c>
      <c r="C230" s="202">
        <v>2830191100</v>
      </c>
      <c r="D230" s="202">
        <f t="shared" si="74"/>
        <v>10046017.132308414</v>
      </c>
      <c r="E230" s="202">
        <v>96888000</v>
      </c>
      <c r="F230" s="202">
        <f t="shared" si="91"/>
        <v>1380450.794478866</v>
      </c>
      <c r="G230" s="202">
        <f t="shared" si="75"/>
        <v>11426468</v>
      </c>
      <c r="H230" s="203">
        <f t="shared" si="76"/>
        <v>6933259.3445596155</v>
      </c>
      <c r="I230" s="204">
        <f t="shared" si="77"/>
        <v>5719939</v>
      </c>
      <c r="J230" s="204">
        <f t="shared" si="78"/>
        <v>5719939</v>
      </c>
      <c r="K230" s="198">
        <f t="shared" si="79"/>
        <v>82.5</v>
      </c>
      <c r="L230" s="205"/>
      <c r="M230" s="206">
        <v>5430956</v>
      </c>
      <c r="N230" s="207">
        <f t="shared" si="80"/>
        <v>6.6100000000000006E-2</v>
      </c>
      <c r="O230" s="204">
        <f t="shared" si="81"/>
        <v>5789942</v>
      </c>
      <c r="P230" s="208">
        <f t="shared" si="82"/>
        <v>83.509670016068952</v>
      </c>
      <c r="Q230" s="208">
        <f t="shared" si="83"/>
        <v>0</v>
      </c>
      <c r="R230" s="209">
        <f t="shared" si="84"/>
        <v>0</v>
      </c>
      <c r="S230" s="204">
        <f t="shared" si="85"/>
        <v>0</v>
      </c>
      <c r="T230" s="210">
        <f t="shared" si="86"/>
        <v>70003</v>
      </c>
      <c r="U230" s="210">
        <f t="shared" si="71"/>
        <v>59502.549999999996</v>
      </c>
      <c r="V230" s="203">
        <f>MIN(H230*parameters!C$22,ROUND(O230+S230-U230,0))</f>
        <v>5730439</v>
      </c>
      <c r="W230" s="211">
        <f t="shared" si="87"/>
        <v>82.651444511397898</v>
      </c>
      <c r="X230" s="208"/>
      <c r="Y230" s="212">
        <f t="shared" si="88"/>
        <v>0</v>
      </c>
      <c r="Z230" s="212">
        <f t="shared" si="72"/>
        <v>0</v>
      </c>
      <c r="AA230" s="212">
        <f t="shared" si="89"/>
        <v>10500</v>
      </c>
      <c r="AB230" s="68">
        <f t="shared" si="90"/>
        <v>0.15144451139789794</v>
      </c>
      <c r="AD230" s="207">
        <f t="shared" si="69"/>
        <v>1.2238417227876032E-2</v>
      </c>
      <c r="AE230" s="213">
        <f t="shared" si="70"/>
        <v>1.0096700160689522</v>
      </c>
      <c r="AF230" s="10">
        <f t="shared" si="73"/>
        <v>0</v>
      </c>
      <c r="AG230" s="214"/>
      <c r="AH230" s="214">
        <v>6.6100000000000006E-2</v>
      </c>
      <c r="AI230" s="181"/>
      <c r="AJ230" s="214"/>
      <c r="AK230" s="214"/>
      <c r="AL230" s="214"/>
      <c r="AM230" s="10"/>
      <c r="AN230" s="10"/>
    </row>
    <row r="231" spans="1:40" ht="12.75" customHeight="1">
      <c r="A231" s="201">
        <v>222</v>
      </c>
      <c r="B231" s="201" t="s">
        <v>1488</v>
      </c>
      <c r="C231" s="202">
        <v>203703900</v>
      </c>
      <c r="D231" s="202">
        <f t="shared" si="74"/>
        <v>723065.26203055331</v>
      </c>
      <c r="E231" s="202">
        <v>64656000</v>
      </c>
      <c r="F231" s="202">
        <f t="shared" si="91"/>
        <v>921212.39542384574</v>
      </c>
      <c r="G231" s="202">
        <f t="shared" si="75"/>
        <v>1644278</v>
      </c>
      <c r="H231" s="203">
        <f t="shared" si="76"/>
        <v>2678688.9534124457</v>
      </c>
      <c r="I231" s="204">
        <f t="shared" si="77"/>
        <v>2209918</v>
      </c>
      <c r="J231" s="204">
        <f t="shared" si="78"/>
        <v>1644278</v>
      </c>
      <c r="K231" s="198">
        <f t="shared" si="79"/>
        <v>61.38</v>
      </c>
      <c r="L231" s="205"/>
      <c r="M231" s="206">
        <v>1583537</v>
      </c>
      <c r="N231" s="207">
        <f t="shared" si="80"/>
        <v>2.6699999999999998E-2</v>
      </c>
      <c r="O231" s="204">
        <f t="shared" si="81"/>
        <v>1625817</v>
      </c>
      <c r="P231" s="208">
        <f t="shared" si="82"/>
        <v>60.694504971502305</v>
      </c>
      <c r="Q231" s="208">
        <f t="shared" si="83"/>
        <v>0.68549502849769794</v>
      </c>
      <c r="R231" s="209">
        <f t="shared" si="84"/>
        <v>0</v>
      </c>
      <c r="S231" s="204">
        <f t="shared" si="85"/>
        <v>0</v>
      </c>
      <c r="T231" s="210">
        <f t="shared" si="86"/>
        <v>0</v>
      </c>
      <c r="U231" s="210">
        <f t="shared" si="71"/>
        <v>0</v>
      </c>
      <c r="V231" s="203">
        <f>MIN(H231*parameters!C$22,ROUND(O231+S231-U231,0))</f>
        <v>1625817</v>
      </c>
      <c r="W231" s="211">
        <f t="shared" si="87"/>
        <v>60.694504971502305</v>
      </c>
      <c r="X231" s="208"/>
      <c r="Y231" s="212">
        <f t="shared" si="88"/>
        <v>-18461</v>
      </c>
      <c r="Z231" s="212">
        <f t="shared" si="72"/>
        <v>18461</v>
      </c>
      <c r="AA231" s="212">
        <f t="shared" si="89"/>
        <v>0</v>
      </c>
      <c r="AB231" s="68">
        <f t="shared" si="90"/>
        <v>-0.68549502849769794</v>
      </c>
      <c r="AD231" s="207">
        <f t="shared" si="69"/>
        <v>-1.122742018077235E-2</v>
      </c>
      <c r="AE231" s="213">
        <f t="shared" si="70"/>
        <v>-0.68549502849769794</v>
      </c>
      <c r="AF231" s="10">
        <f t="shared" si="73"/>
        <v>0</v>
      </c>
      <c r="AG231" s="214"/>
      <c r="AH231" s="214">
        <v>2.6699999999999998E-2</v>
      </c>
      <c r="AI231" s="181"/>
      <c r="AJ231" s="214"/>
      <c r="AK231" s="214"/>
      <c r="AL231" s="214"/>
      <c r="AM231" s="10"/>
      <c r="AN231" s="10"/>
    </row>
    <row r="232" spans="1:40" ht="12.75" customHeight="1">
      <c r="A232" s="201">
        <v>223</v>
      </c>
      <c r="B232" s="201" t="s">
        <v>1489</v>
      </c>
      <c r="C232" s="202">
        <v>491968000</v>
      </c>
      <c r="D232" s="202">
        <f t="shared" si="74"/>
        <v>1746284.5376580774</v>
      </c>
      <c r="E232" s="202">
        <v>139627000</v>
      </c>
      <c r="F232" s="202">
        <f t="shared" si="91"/>
        <v>1989391.9069513318</v>
      </c>
      <c r="G232" s="202">
        <f t="shared" si="75"/>
        <v>3735676</v>
      </c>
      <c r="H232" s="203">
        <f t="shared" si="76"/>
        <v>13550180.796948969</v>
      </c>
      <c r="I232" s="204">
        <f t="shared" si="77"/>
        <v>11178899</v>
      </c>
      <c r="J232" s="204">
        <f t="shared" si="78"/>
        <v>3735676</v>
      </c>
      <c r="K232" s="198">
        <f t="shared" si="79"/>
        <v>27.57</v>
      </c>
      <c r="L232" s="205"/>
      <c r="M232" s="206">
        <v>3872478</v>
      </c>
      <c r="N232" s="207">
        <f t="shared" si="80"/>
        <v>3.9100000000000003E-2</v>
      </c>
      <c r="O232" s="204">
        <f t="shared" si="81"/>
        <v>4023892</v>
      </c>
      <c r="P232" s="208">
        <f t="shared" si="82"/>
        <v>29.696223691022933</v>
      </c>
      <c r="Q232" s="208">
        <f t="shared" si="83"/>
        <v>0</v>
      </c>
      <c r="R232" s="209">
        <f t="shared" si="84"/>
        <v>0</v>
      </c>
      <c r="S232" s="204">
        <f t="shared" si="85"/>
        <v>0</v>
      </c>
      <c r="T232" s="210">
        <f t="shared" si="86"/>
        <v>288216</v>
      </c>
      <c r="U232" s="210">
        <f t="shared" si="71"/>
        <v>244983.6</v>
      </c>
      <c r="V232" s="203">
        <f>MIN(H232*parameters!C$22,ROUND(O232+S232-U232,0))</f>
        <v>3778908</v>
      </c>
      <c r="W232" s="211">
        <f t="shared" si="87"/>
        <v>27.888247814751512</v>
      </c>
      <c r="X232" s="208"/>
      <c r="Y232" s="212">
        <f t="shared" si="88"/>
        <v>0</v>
      </c>
      <c r="Z232" s="212">
        <f t="shared" si="72"/>
        <v>0</v>
      </c>
      <c r="AA232" s="212">
        <f t="shared" si="89"/>
        <v>43232</v>
      </c>
      <c r="AB232" s="68">
        <f t="shared" si="90"/>
        <v>0.31824781475151198</v>
      </c>
      <c r="AD232" s="207">
        <f t="shared" si="69"/>
        <v>7.7152301216700803E-2</v>
      </c>
      <c r="AE232" s="213">
        <f t="shared" si="70"/>
        <v>2.1262236910229326</v>
      </c>
      <c r="AF232" s="10">
        <f t="shared" si="73"/>
        <v>0</v>
      </c>
      <c r="AG232" s="214"/>
      <c r="AH232" s="214">
        <v>3.9100000000000003E-2</v>
      </c>
      <c r="AI232" s="181"/>
      <c r="AJ232" s="214"/>
      <c r="AK232" s="214"/>
      <c r="AL232" s="214"/>
      <c r="AM232" s="10"/>
      <c r="AN232" s="10"/>
    </row>
    <row r="233" spans="1:40" ht="12.75" customHeight="1">
      <c r="A233" s="201">
        <v>224</v>
      </c>
      <c r="B233" s="201" t="s">
        <v>1490</v>
      </c>
      <c r="C233" s="202">
        <v>3997189000</v>
      </c>
      <c r="D233" s="202">
        <f t="shared" si="74"/>
        <v>14188380.839397995</v>
      </c>
      <c r="E233" s="202">
        <v>270731000</v>
      </c>
      <c r="F233" s="202">
        <f t="shared" si="91"/>
        <v>3857348.9393945369</v>
      </c>
      <c r="G233" s="202">
        <f t="shared" si="75"/>
        <v>18045730</v>
      </c>
      <c r="H233" s="203">
        <f t="shared" si="76"/>
        <v>4875494.4573643114</v>
      </c>
      <c r="I233" s="204">
        <f t="shared" si="77"/>
        <v>4022283</v>
      </c>
      <c r="J233" s="204">
        <f t="shared" si="78"/>
        <v>4022283</v>
      </c>
      <c r="K233" s="198">
        <f t="shared" si="79"/>
        <v>82.5</v>
      </c>
      <c r="L233" s="205"/>
      <c r="M233" s="206">
        <v>4033534</v>
      </c>
      <c r="N233" s="207">
        <f t="shared" si="80"/>
        <v>3.6299999999999999E-2</v>
      </c>
      <c r="O233" s="204">
        <f t="shared" si="81"/>
        <v>4179951</v>
      </c>
      <c r="P233" s="208">
        <f t="shared" si="82"/>
        <v>85.733888871236218</v>
      </c>
      <c r="Q233" s="208">
        <f t="shared" si="83"/>
        <v>0</v>
      </c>
      <c r="R233" s="209">
        <f t="shared" si="84"/>
        <v>0</v>
      </c>
      <c r="S233" s="204">
        <f t="shared" si="85"/>
        <v>0</v>
      </c>
      <c r="T233" s="210">
        <f t="shared" si="86"/>
        <v>157668</v>
      </c>
      <c r="U233" s="210">
        <f t="shared" si="71"/>
        <v>134017.79999999999</v>
      </c>
      <c r="V233" s="203">
        <f>MIN(H233*parameters!C$22,ROUND(O233+S233-U233,0))</f>
        <v>4045933</v>
      </c>
      <c r="W233" s="211">
        <f t="shared" si="87"/>
        <v>82.985080495553021</v>
      </c>
      <c r="X233" s="208"/>
      <c r="Y233" s="212">
        <f t="shared" si="88"/>
        <v>0</v>
      </c>
      <c r="Z233" s="212">
        <f t="shared" si="72"/>
        <v>0</v>
      </c>
      <c r="AA233" s="212">
        <f t="shared" si="89"/>
        <v>23650</v>
      </c>
      <c r="AB233" s="68">
        <f t="shared" si="90"/>
        <v>0.4850804955530208</v>
      </c>
      <c r="AD233" s="207">
        <f t="shared" si="69"/>
        <v>3.9198634208483095E-2</v>
      </c>
      <c r="AE233" s="213">
        <f t="shared" si="70"/>
        <v>3.2338888712362177</v>
      </c>
      <c r="AF233" s="10">
        <f t="shared" si="73"/>
        <v>0</v>
      </c>
      <c r="AG233" s="214"/>
      <c r="AH233" s="214">
        <v>3.6299999999999999E-2</v>
      </c>
      <c r="AI233" s="181"/>
      <c r="AJ233" s="214"/>
      <c r="AK233" s="214"/>
      <c r="AL233" s="214"/>
      <c r="AM233" s="10"/>
      <c r="AN233" s="10"/>
    </row>
    <row r="234" spans="1:40" ht="12.75" customHeight="1">
      <c r="A234" s="201">
        <v>225</v>
      </c>
      <c r="B234" s="201" t="s">
        <v>1491</v>
      </c>
      <c r="C234" s="202">
        <v>651204800</v>
      </c>
      <c r="D234" s="202">
        <f t="shared" si="74"/>
        <v>2311509.8402512376</v>
      </c>
      <c r="E234" s="202">
        <v>45385000</v>
      </c>
      <c r="F234" s="202">
        <f t="shared" si="91"/>
        <v>646641.0629533414</v>
      </c>
      <c r="G234" s="202">
        <f t="shared" si="75"/>
        <v>2958151</v>
      </c>
      <c r="H234" s="203">
        <f t="shared" si="76"/>
        <v>1514902.1916247443</v>
      </c>
      <c r="I234" s="204">
        <f t="shared" si="77"/>
        <v>1249794</v>
      </c>
      <c r="J234" s="204">
        <f t="shared" si="78"/>
        <v>1249794</v>
      </c>
      <c r="K234" s="198">
        <f t="shared" si="79"/>
        <v>82.5</v>
      </c>
      <c r="L234" s="205"/>
      <c r="M234" s="206">
        <v>1294185</v>
      </c>
      <c r="N234" s="207">
        <f t="shared" si="80"/>
        <v>2.7199999999999998E-2</v>
      </c>
      <c r="O234" s="204">
        <f t="shared" si="81"/>
        <v>1329387</v>
      </c>
      <c r="P234" s="208">
        <f t="shared" si="82"/>
        <v>87.75398222734249</v>
      </c>
      <c r="Q234" s="208">
        <f t="shared" si="83"/>
        <v>0</v>
      </c>
      <c r="R234" s="209">
        <f t="shared" si="84"/>
        <v>0</v>
      </c>
      <c r="S234" s="204">
        <f t="shared" si="85"/>
        <v>0</v>
      </c>
      <c r="T234" s="210">
        <f t="shared" si="86"/>
        <v>79593</v>
      </c>
      <c r="U234" s="210">
        <f t="shared" si="71"/>
        <v>67654.05</v>
      </c>
      <c r="V234" s="203">
        <f>MIN(H234*parameters!C$22,ROUND(O234+S234-U234,0))</f>
        <v>1261733</v>
      </c>
      <c r="W234" s="211">
        <f t="shared" si="87"/>
        <v>83.288083347927667</v>
      </c>
      <c r="X234" s="208"/>
      <c r="Y234" s="212">
        <f t="shared" si="88"/>
        <v>0</v>
      </c>
      <c r="Z234" s="212">
        <f t="shared" si="72"/>
        <v>0</v>
      </c>
      <c r="AA234" s="212">
        <f t="shared" si="89"/>
        <v>11939</v>
      </c>
      <c r="AB234" s="68">
        <f t="shared" si="90"/>
        <v>0.78808334792766743</v>
      </c>
      <c r="AD234" s="207">
        <f t="shared" ref="AD234:AD297" si="92">(O234-J234)/J234</f>
        <v>6.3684895270740616E-2</v>
      </c>
      <c r="AE234" s="213">
        <f t="shared" ref="AE234:AE297" si="93">P234-K234</f>
        <v>5.2539822273424903</v>
      </c>
      <c r="AF234" s="10">
        <f t="shared" si="73"/>
        <v>0</v>
      </c>
      <c r="AG234" s="214"/>
      <c r="AH234" s="214">
        <v>2.7199999999999998E-2</v>
      </c>
      <c r="AI234" s="181"/>
      <c r="AJ234" s="214"/>
      <c r="AK234" s="214"/>
      <c r="AL234" s="214"/>
      <c r="AM234" s="10"/>
      <c r="AN234" s="10"/>
    </row>
    <row r="235" spans="1:40" ht="12.75" customHeight="1">
      <c r="A235" s="201">
        <v>226</v>
      </c>
      <c r="B235" s="201" t="s">
        <v>1492</v>
      </c>
      <c r="C235" s="202">
        <v>1330862700</v>
      </c>
      <c r="D235" s="202">
        <f t="shared" si="74"/>
        <v>4724016.5107402932</v>
      </c>
      <c r="E235" s="202">
        <v>380107000</v>
      </c>
      <c r="F235" s="202">
        <f t="shared" si="91"/>
        <v>5415727.5424921392</v>
      </c>
      <c r="G235" s="202">
        <f t="shared" si="75"/>
        <v>10139744</v>
      </c>
      <c r="H235" s="203">
        <f t="shared" si="76"/>
        <v>21287480.665297668</v>
      </c>
      <c r="I235" s="204">
        <f t="shared" si="77"/>
        <v>17562172</v>
      </c>
      <c r="J235" s="204">
        <f t="shared" si="78"/>
        <v>10139744</v>
      </c>
      <c r="K235" s="198">
        <f t="shared" si="79"/>
        <v>47.63</v>
      </c>
      <c r="L235" s="205"/>
      <c r="M235" s="206">
        <v>10297865</v>
      </c>
      <c r="N235" s="207">
        <f t="shared" si="80"/>
        <v>4.58E-2</v>
      </c>
      <c r="O235" s="204">
        <f t="shared" si="81"/>
        <v>10769507</v>
      </c>
      <c r="P235" s="208">
        <f t="shared" si="82"/>
        <v>50.590801087872215</v>
      </c>
      <c r="Q235" s="208">
        <f t="shared" si="83"/>
        <v>0</v>
      </c>
      <c r="R235" s="209">
        <f t="shared" si="84"/>
        <v>0</v>
      </c>
      <c r="S235" s="204">
        <f t="shared" si="85"/>
        <v>0</v>
      </c>
      <c r="T235" s="210">
        <f t="shared" si="86"/>
        <v>629763</v>
      </c>
      <c r="U235" s="210">
        <f t="shared" si="71"/>
        <v>535298.54999999993</v>
      </c>
      <c r="V235" s="203">
        <f>MIN(H235*parameters!C$22,ROUND(O235+S235-U235,0))</f>
        <v>10234208</v>
      </c>
      <c r="W235" s="211">
        <f t="shared" si="87"/>
        <v>48.076182244917106</v>
      </c>
      <c r="X235" s="208"/>
      <c r="Y235" s="212">
        <f t="shared" si="88"/>
        <v>0</v>
      </c>
      <c r="Z235" s="212">
        <f t="shared" si="72"/>
        <v>0</v>
      </c>
      <c r="AA235" s="212">
        <f t="shared" si="89"/>
        <v>94464</v>
      </c>
      <c r="AB235" s="68">
        <f t="shared" si="90"/>
        <v>0.44618224491710379</v>
      </c>
      <c r="AD235" s="207">
        <f t="shared" si="92"/>
        <v>6.2108372755761879E-2</v>
      </c>
      <c r="AE235" s="213">
        <f t="shared" si="93"/>
        <v>2.9608010878722126</v>
      </c>
      <c r="AF235" s="10">
        <f t="shared" si="73"/>
        <v>0</v>
      </c>
      <c r="AG235" s="214"/>
      <c r="AH235" s="214">
        <v>4.58E-2</v>
      </c>
      <c r="AI235" s="181"/>
      <c r="AJ235" s="214"/>
      <c r="AK235" s="214"/>
      <c r="AL235" s="214"/>
      <c r="AM235" s="10"/>
      <c r="AN235" s="10"/>
    </row>
    <row r="236" spans="1:40" ht="12.75" customHeight="1">
      <c r="A236" s="201">
        <v>227</v>
      </c>
      <c r="B236" s="201" t="s">
        <v>1493</v>
      </c>
      <c r="C236" s="202">
        <v>921680800</v>
      </c>
      <c r="D236" s="202">
        <f t="shared" si="74"/>
        <v>3271588.6596208024</v>
      </c>
      <c r="E236" s="202">
        <v>298047000</v>
      </c>
      <c r="F236" s="202">
        <f t="shared" si="91"/>
        <v>4246544.6488940073</v>
      </c>
      <c r="G236" s="202">
        <f t="shared" si="75"/>
        <v>7518133</v>
      </c>
      <c r="H236" s="203">
        <f t="shared" si="76"/>
        <v>18331428.872639913</v>
      </c>
      <c r="I236" s="204">
        <f t="shared" si="77"/>
        <v>15123429</v>
      </c>
      <c r="J236" s="204">
        <f t="shared" si="78"/>
        <v>7518133</v>
      </c>
      <c r="K236" s="198">
        <f t="shared" si="79"/>
        <v>41.01</v>
      </c>
      <c r="L236" s="205"/>
      <c r="M236" s="206">
        <v>7664852</v>
      </c>
      <c r="N236" s="207">
        <f t="shared" si="80"/>
        <v>3.9800000000000002E-2</v>
      </c>
      <c r="O236" s="204">
        <f t="shared" si="81"/>
        <v>7969913</v>
      </c>
      <c r="P236" s="208">
        <f t="shared" si="82"/>
        <v>43.476769079879432</v>
      </c>
      <c r="Q236" s="208">
        <f t="shared" si="83"/>
        <v>0</v>
      </c>
      <c r="R236" s="209">
        <f t="shared" si="84"/>
        <v>0</v>
      </c>
      <c r="S236" s="204">
        <f t="shared" si="85"/>
        <v>0</v>
      </c>
      <c r="T236" s="210">
        <f t="shared" si="86"/>
        <v>451780</v>
      </c>
      <c r="U236" s="210">
        <f t="shared" si="71"/>
        <v>384013</v>
      </c>
      <c r="V236" s="203">
        <f>MIN(H236*parameters!C$22,ROUND(O236+S236-U236,0))</f>
        <v>7585900</v>
      </c>
      <c r="W236" s="211">
        <f t="shared" si="87"/>
        <v>41.381935105572339</v>
      </c>
      <c r="X236" s="208"/>
      <c r="Y236" s="212">
        <f t="shared" si="88"/>
        <v>0</v>
      </c>
      <c r="Z236" s="212">
        <f t="shared" si="72"/>
        <v>0</v>
      </c>
      <c r="AA236" s="212">
        <f t="shared" si="89"/>
        <v>67767</v>
      </c>
      <c r="AB236" s="68">
        <f t="shared" si="90"/>
        <v>0.37193510557234077</v>
      </c>
      <c r="AD236" s="207">
        <f t="shared" si="92"/>
        <v>6.0092046788743962E-2</v>
      </c>
      <c r="AE236" s="213">
        <f t="shared" si="93"/>
        <v>2.4667690798794339</v>
      </c>
      <c r="AF236" s="10">
        <f t="shared" si="73"/>
        <v>0</v>
      </c>
      <c r="AG236" s="214"/>
      <c r="AH236" s="214">
        <v>3.9800000000000002E-2</v>
      </c>
      <c r="AI236" s="181"/>
      <c r="AJ236" s="214"/>
      <c r="AK236" s="214"/>
      <c r="AL236" s="214"/>
      <c r="AM236" s="10"/>
      <c r="AN236" s="10"/>
    </row>
    <row r="237" spans="1:40" ht="12.75" customHeight="1">
      <c r="A237" s="201">
        <v>228</v>
      </c>
      <c r="B237" s="201" t="s">
        <v>1494</v>
      </c>
      <c r="C237" s="202">
        <v>476325100</v>
      </c>
      <c r="D237" s="202">
        <f t="shared" si="74"/>
        <v>1690758.6611902348</v>
      </c>
      <c r="E237" s="202">
        <v>179401000</v>
      </c>
      <c r="F237" s="202">
        <f t="shared" si="91"/>
        <v>2556087.9879892562</v>
      </c>
      <c r="G237" s="202">
        <f t="shared" si="75"/>
        <v>4246847</v>
      </c>
      <c r="H237" s="203">
        <f t="shared" si="76"/>
        <v>6950898.0275027156</v>
      </c>
      <c r="I237" s="204">
        <f t="shared" si="77"/>
        <v>5734491</v>
      </c>
      <c r="J237" s="204">
        <f t="shared" si="78"/>
        <v>4246847</v>
      </c>
      <c r="K237" s="198">
        <f t="shared" si="79"/>
        <v>61.1</v>
      </c>
      <c r="L237" s="205"/>
      <c r="M237" s="206">
        <v>4364547</v>
      </c>
      <c r="N237" s="207">
        <f t="shared" si="80"/>
        <v>3.6900000000000002E-2</v>
      </c>
      <c r="O237" s="204">
        <f t="shared" si="81"/>
        <v>4525599</v>
      </c>
      <c r="P237" s="208">
        <f t="shared" si="82"/>
        <v>65.10811958531832</v>
      </c>
      <c r="Q237" s="208">
        <f t="shared" si="83"/>
        <v>0</v>
      </c>
      <c r="R237" s="209">
        <f t="shared" si="84"/>
        <v>0</v>
      </c>
      <c r="S237" s="204">
        <f t="shared" si="85"/>
        <v>0</v>
      </c>
      <c r="T237" s="210">
        <f t="shared" si="86"/>
        <v>278752</v>
      </c>
      <c r="U237" s="210">
        <f t="shared" si="71"/>
        <v>236939.19999999998</v>
      </c>
      <c r="V237" s="203">
        <f>MIN(H237*parameters!C$22,ROUND(O237+S237-U237,0))</f>
        <v>4288660</v>
      </c>
      <c r="W237" s="211">
        <f t="shared" si="87"/>
        <v>61.699365794621052</v>
      </c>
      <c r="X237" s="208"/>
      <c r="Y237" s="212">
        <f t="shared" si="88"/>
        <v>0</v>
      </c>
      <c r="Z237" s="212">
        <f t="shared" si="72"/>
        <v>0</v>
      </c>
      <c r="AA237" s="212">
        <f t="shared" si="89"/>
        <v>41813</v>
      </c>
      <c r="AB237" s="68">
        <f t="shared" si="90"/>
        <v>0.59936579462105044</v>
      </c>
      <c r="AD237" s="207">
        <f t="shared" si="92"/>
        <v>6.563740111193081E-2</v>
      </c>
      <c r="AE237" s="213">
        <f t="shared" si="93"/>
        <v>4.0081195853183189</v>
      </c>
      <c r="AF237" s="10">
        <f t="shared" si="73"/>
        <v>0</v>
      </c>
      <c r="AG237" s="214"/>
      <c r="AH237" s="214">
        <v>3.6900000000000002E-2</v>
      </c>
      <c r="AI237" s="181"/>
      <c r="AJ237" s="214"/>
      <c r="AK237" s="214"/>
      <c r="AL237" s="214"/>
      <c r="AM237" s="10"/>
      <c r="AN237" s="10"/>
    </row>
    <row r="238" spans="1:40" ht="12.75" customHeight="1">
      <c r="A238" s="201">
        <v>229</v>
      </c>
      <c r="B238" s="201" t="s">
        <v>1495</v>
      </c>
      <c r="C238" s="202">
        <v>7211777900</v>
      </c>
      <c r="D238" s="202">
        <f t="shared" si="74"/>
        <v>25598852.437138677</v>
      </c>
      <c r="E238" s="202">
        <v>1607439000</v>
      </c>
      <c r="F238" s="202">
        <f t="shared" si="91"/>
        <v>22902634.429715898</v>
      </c>
      <c r="G238" s="202">
        <f t="shared" si="75"/>
        <v>48501487</v>
      </c>
      <c r="H238" s="203">
        <f t="shared" si="76"/>
        <v>68092155.211395979</v>
      </c>
      <c r="I238" s="204">
        <f t="shared" si="77"/>
        <v>56176028</v>
      </c>
      <c r="J238" s="204">
        <f t="shared" si="78"/>
        <v>48501487</v>
      </c>
      <c r="K238" s="198">
        <f t="shared" si="79"/>
        <v>71.23</v>
      </c>
      <c r="L238" s="205"/>
      <c r="M238" s="206">
        <v>47348028</v>
      </c>
      <c r="N238" s="207">
        <f t="shared" si="80"/>
        <v>3.0499999999999999E-2</v>
      </c>
      <c r="O238" s="204">
        <f t="shared" si="81"/>
        <v>48792143</v>
      </c>
      <c r="P238" s="208">
        <f t="shared" si="82"/>
        <v>71.656041505107325</v>
      </c>
      <c r="Q238" s="208">
        <f t="shared" si="83"/>
        <v>0</v>
      </c>
      <c r="R238" s="209">
        <f t="shared" si="84"/>
        <v>0</v>
      </c>
      <c r="S238" s="204">
        <f t="shared" si="85"/>
        <v>0</v>
      </c>
      <c r="T238" s="210">
        <f t="shared" si="86"/>
        <v>290656</v>
      </c>
      <c r="U238" s="210">
        <f t="shared" si="71"/>
        <v>247057.6</v>
      </c>
      <c r="V238" s="203">
        <f>MIN(H238*parameters!C$22,ROUND(O238+S238-U238,0))</f>
        <v>48545085</v>
      </c>
      <c r="W238" s="211">
        <f t="shared" si="87"/>
        <v>71.29321263115996</v>
      </c>
      <c r="X238" s="208"/>
      <c r="Y238" s="212">
        <f t="shared" si="88"/>
        <v>0</v>
      </c>
      <c r="Z238" s="212">
        <f t="shared" si="72"/>
        <v>0</v>
      </c>
      <c r="AA238" s="212">
        <f t="shared" si="89"/>
        <v>43598</v>
      </c>
      <c r="AB238" s="68">
        <f t="shared" si="90"/>
        <v>6.3212631159956345E-2</v>
      </c>
      <c r="AD238" s="207">
        <f t="shared" si="92"/>
        <v>5.992723480828536E-3</v>
      </c>
      <c r="AE238" s="213">
        <f t="shared" si="93"/>
        <v>0.42604150510732097</v>
      </c>
      <c r="AF238" s="10">
        <f t="shared" si="73"/>
        <v>0</v>
      </c>
      <c r="AG238" s="214"/>
      <c r="AH238" s="214">
        <v>3.0499999999999999E-2</v>
      </c>
      <c r="AI238" s="181"/>
      <c r="AJ238" s="214"/>
      <c r="AK238" s="214"/>
      <c r="AL238" s="214"/>
      <c r="AM238" s="10"/>
      <c r="AN238" s="10"/>
    </row>
    <row r="239" spans="1:40" ht="12.75" customHeight="1">
      <c r="A239" s="201">
        <v>230</v>
      </c>
      <c r="B239" s="201" t="s">
        <v>1496</v>
      </c>
      <c r="C239" s="202">
        <v>178528700</v>
      </c>
      <c r="D239" s="202">
        <f t="shared" si="74"/>
        <v>633703.63181791827</v>
      </c>
      <c r="E239" s="202">
        <v>47946000</v>
      </c>
      <c r="F239" s="202">
        <f t="shared" si="91"/>
        <v>683129.94170675124</v>
      </c>
      <c r="G239" s="202">
        <f t="shared" si="75"/>
        <v>1316834</v>
      </c>
      <c r="H239" s="203">
        <f t="shared" si="76"/>
        <v>1546350.2718169419</v>
      </c>
      <c r="I239" s="204">
        <f t="shared" si="77"/>
        <v>1275739</v>
      </c>
      <c r="J239" s="204">
        <f t="shared" si="78"/>
        <v>1275739</v>
      </c>
      <c r="K239" s="198">
        <f t="shared" si="79"/>
        <v>82.5</v>
      </c>
      <c r="L239" s="205"/>
      <c r="M239" s="206">
        <v>1098154</v>
      </c>
      <c r="N239" s="207">
        <f t="shared" si="80"/>
        <v>3.2399999999999998E-2</v>
      </c>
      <c r="O239" s="204">
        <f t="shared" si="81"/>
        <v>1133734</v>
      </c>
      <c r="P239" s="208">
        <f t="shared" si="82"/>
        <v>73.316765332079456</v>
      </c>
      <c r="Q239" s="208">
        <f t="shared" si="83"/>
        <v>9.1832346679205443</v>
      </c>
      <c r="R239" s="209">
        <f t="shared" si="84"/>
        <v>0.02</v>
      </c>
      <c r="S239" s="204">
        <f t="shared" si="85"/>
        <v>21963</v>
      </c>
      <c r="T239" s="210">
        <f t="shared" si="86"/>
        <v>0</v>
      </c>
      <c r="U239" s="210">
        <f t="shared" si="71"/>
        <v>0</v>
      </c>
      <c r="V239" s="203">
        <f>MIN(H239*parameters!C$22,ROUND(O239+S239-U239,0))</f>
        <v>1155697</v>
      </c>
      <c r="W239" s="211">
        <f t="shared" si="87"/>
        <v>74.737077430850817</v>
      </c>
      <c r="X239" s="208"/>
      <c r="Y239" s="212">
        <f t="shared" si="88"/>
        <v>-142005</v>
      </c>
      <c r="Z239" s="212">
        <f t="shared" si="72"/>
        <v>120042</v>
      </c>
      <c r="AA239" s="212">
        <f t="shared" si="89"/>
        <v>0</v>
      </c>
      <c r="AB239" s="68">
        <f t="shared" si="90"/>
        <v>-7.7629225691491826</v>
      </c>
      <c r="AD239" s="207">
        <f t="shared" si="92"/>
        <v>-0.11131195330706359</v>
      </c>
      <c r="AE239" s="213">
        <f t="shared" si="93"/>
        <v>-9.1832346679205443</v>
      </c>
      <c r="AF239" s="10">
        <f t="shared" si="73"/>
        <v>21963.08</v>
      </c>
      <c r="AG239" s="214"/>
      <c r="AH239" s="214">
        <v>3.2399999999999998E-2</v>
      </c>
      <c r="AI239" s="181"/>
      <c r="AJ239" s="214"/>
      <c r="AK239" s="214"/>
      <c r="AL239" s="214"/>
      <c r="AM239" s="10"/>
      <c r="AN239" s="10"/>
    </row>
    <row r="240" spans="1:40" ht="12.75" customHeight="1">
      <c r="A240" s="201">
        <v>231</v>
      </c>
      <c r="B240" s="201" t="s">
        <v>1497</v>
      </c>
      <c r="C240" s="202">
        <v>2575492400</v>
      </c>
      <c r="D240" s="202">
        <f t="shared" si="74"/>
        <v>9141941.2542602215</v>
      </c>
      <c r="E240" s="202">
        <v>686989000</v>
      </c>
      <c r="F240" s="202">
        <f t="shared" si="91"/>
        <v>9788152.4115292057</v>
      </c>
      <c r="G240" s="202">
        <f t="shared" si="75"/>
        <v>18930094</v>
      </c>
      <c r="H240" s="203">
        <f t="shared" si="76"/>
        <v>30076801.769575488</v>
      </c>
      <c r="I240" s="204">
        <f t="shared" si="77"/>
        <v>24813361</v>
      </c>
      <c r="J240" s="204">
        <f t="shared" si="78"/>
        <v>18930094</v>
      </c>
      <c r="K240" s="198">
        <f t="shared" si="79"/>
        <v>62.94</v>
      </c>
      <c r="L240" s="205"/>
      <c r="M240" s="206">
        <v>18592537</v>
      </c>
      <c r="N240" s="207">
        <f t="shared" si="80"/>
        <v>3.9199999999999999E-2</v>
      </c>
      <c r="O240" s="204">
        <f t="shared" si="81"/>
        <v>19321364</v>
      </c>
      <c r="P240" s="208">
        <f t="shared" si="82"/>
        <v>64.240088251486682</v>
      </c>
      <c r="Q240" s="208">
        <f t="shared" si="83"/>
        <v>0</v>
      </c>
      <c r="R240" s="209">
        <f t="shared" si="84"/>
        <v>0</v>
      </c>
      <c r="S240" s="204">
        <f t="shared" si="85"/>
        <v>0</v>
      </c>
      <c r="T240" s="210">
        <f t="shared" si="86"/>
        <v>391270</v>
      </c>
      <c r="U240" s="210">
        <f t="shared" si="71"/>
        <v>332579.5</v>
      </c>
      <c r="V240" s="203">
        <f>MIN(H240*parameters!C$22,ROUND(O240+S240-U240,0))</f>
        <v>18988785</v>
      </c>
      <c r="W240" s="211">
        <f t="shared" si="87"/>
        <v>63.134322410597228</v>
      </c>
      <c r="X240" s="208"/>
      <c r="Y240" s="212">
        <f t="shared" si="88"/>
        <v>0</v>
      </c>
      <c r="Z240" s="212">
        <f t="shared" si="72"/>
        <v>0</v>
      </c>
      <c r="AA240" s="212">
        <f t="shared" si="89"/>
        <v>58691</v>
      </c>
      <c r="AB240" s="68">
        <f t="shared" si="90"/>
        <v>0.19432241059723054</v>
      </c>
      <c r="AD240" s="207">
        <f t="shared" si="92"/>
        <v>2.0669205340448919E-2</v>
      </c>
      <c r="AE240" s="213">
        <f t="shared" si="93"/>
        <v>1.3000882514866845</v>
      </c>
      <c r="AF240" s="10">
        <f t="shared" si="73"/>
        <v>0</v>
      </c>
      <c r="AG240" s="214"/>
      <c r="AH240" s="214">
        <v>3.9199999999999999E-2</v>
      </c>
      <c r="AI240" s="181"/>
      <c r="AJ240" s="214"/>
      <c r="AK240" s="214"/>
      <c r="AL240" s="214"/>
      <c r="AM240" s="10"/>
      <c r="AN240" s="10"/>
    </row>
    <row r="241" spans="1:40" ht="12.75" customHeight="1">
      <c r="A241" s="201">
        <v>232</v>
      </c>
      <c r="B241" s="201" t="s">
        <v>1498</v>
      </c>
      <c r="C241" s="202">
        <v>1178064200</v>
      </c>
      <c r="D241" s="202">
        <f t="shared" si="74"/>
        <v>4181644.5314096301</v>
      </c>
      <c r="E241" s="202">
        <v>410066000</v>
      </c>
      <c r="F241" s="202">
        <f t="shared" si="91"/>
        <v>5842580.4587644571</v>
      </c>
      <c r="G241" s="202">
        <f t="shared" si="75"/>
        <v>10024225</v>
      </c>
      <c r="H241" s="203">
        <f t="shared" si="76"/>
        <v>17833615.85219818</v>
      </c>
      <c r="I241" s="204">
        <f t="shared" si="77"/>
        <v>14712733</v>
      </c>
      <c r="J241" s="204">
        <f t="shared" si="78"/>
        <v>10024225</v>
      </c>
      <c r="K241" s="198">
        <f t="shared" si="79"/>
        <v>56.21</v>
      </c>
      <c r="L241" s="205"/>
      <c r="M241" s="206">
        <v>10121662</v>
      </c>
      <c r="N241" s="207">
        <f t="shared" si="80"/>
        <v>3.78E-2</v>
      </c>
      <c r="O241" s="204">
        <f t="shared" si="81"/>
        <v>10504261</v>
      </c>
      <c r="P241" s="208">
        <f t="shared" si="82"/>
        <v>58.901465003269315</v>
      </c>
      <c r="Q241" s="208">
        <f t="shared" si="83"/>
        <v>0</v>
      </c>
      <c r="R241" s="209">
        <f t="shared" si="84"/>
        <v>0</v>
      </c>
      <c r="S241" s="204">
        <f t="shared" si="85"/>
        <v>0</v>
      </c>
      <c r="T241" s="210">
        <f t="shared" si="86"/>
        <v>480036</v>
      </c>
      <c r="U241" s="210">
        <f t="shared" si="71"/>
        <v>408030.6</v>
      </c>
      <c r="V241" s="203">
        <f>MIN(H241*parameters!C$22,ROUND(O241+S241-U241,0))</f>
        <v>10096230</v>
      </c>
      <c r="W241" s="211">
        <f t="shared" si="87"/>
        <v>56.613476950920941</v>
      </c>
      <c r="X241" s="208"/>
      <c r="Y241" s="212">
        <f t="shared" si="88"/>
        <v>0</v>
      </c>
      <c r="Z241" s="212">
        <f t="shared" si="72"/>
        <v>0</v>
      </c>
      <c r="AA241" s="212">
        <f t="shared" si="89"/>
        <v>72005</v>
      </c>
      <c r="AB241" s="68">
        <f t="shared" si="90"/>
        <v>0.40347695092093971</v>
      </c>
      <c r="AD241" s="207">
        <f t="shared" si="92"/>
        <v>4.7887592307634758E-2</v>
      </c>
      <c r="AE241" s="213">
        <f t="shared" si="93"/>
        <v>2.6914650032693146</v>
      </c>
      <c r="AF241" s="10">
        <f t="shared" si="73"/>
        <v>0</v>
      </c>
      <c r="AG241" s="214"/>
      <c r="AH241" s="214">
        <v>3.78E-2</v>
      </c>
      <c r="AI241" s="181"/>
      <c r="AJ241" s="214"/>
      <c r="AK241" s="214"/>
      <c r="AL241" s="214"/>
      <c r="AM241" s="10"/>
      <c r="AN241" s="10"/>
    </row>
    <row r="242" spans="1:40" ht="12.75" customHeight="1">
      <c r="A242" s="201">
        <v>233</v>
      </c>
      <c r="B242" s="201" t="s">
        <v>1499</v>
      </c>
      <c r="C242" s="202">
        <v>86536600</v>
      </c>
      <c r="D242" s="202">
        <f t="shared" si="74"/>
        <v>307169.4226484283</v>
      </c>
      <c r="E242" s="202">
        <v>15545000</v>
      </c>
      <c r="F242" s="202">
        <f t="shared" si="91"/>
        <v>221483.64709947541</v>
      </c>
      <c r="G242" s="202">
        <f t="shared" si="75"/>
        <v>528653</v>
      </c>
      <c r="H242" s="203">
        <f t="shared" si="76"/>
        <v>1206370.8809575555</v>
      </c>
      <c r="I242" s="204">
        <f t="shared" si="77"/>
        <v>995256</v>
      </c>
      <c r="J242" s="204">
        <f t="shared" si="78"/>
        <v>528653</v>
      </c>
      <c r="K242" s="198">
        <f t="shared" si="79"/>
        <v>43.82</v>
      </c>
      <c r="L242" s="205"/>
      <c r="M242" s="206">
        <v>567948</v>
      </c>
      <c r="N242" s="207">
        <f t="shared" si="80"/>
        <v>2.53E-2</v>
      </c>
      <c r="O242" s="204">
        <f t="shared" si="81"/>
        <v>582317</v>
      </c>
      <c r="P242" s="208">
        <f t="shared" si="82"/>
        <v>48.27014719866137</v>
      </c>
      <c r="Q242" s="208">
        <f t="shared" si="83"/>
        <v>0</v>
      </c>
      <c r="R242" s="209">
        <f t="shared" si="84"/>
        <v>0</v>
      </c>
      <c r="S242" s="204">
        <f t="shared" si="85"/>
        <v>0</v>
      </c>
      <c r="T242" s="210">
        <f t="shared" si="86"/>
        <v>53664</v>
      </c>
      <c r="U242" s="210">
        <f t="shared" si="71"/>
        <v>45614.400000000001</v>
      </c>
      <c r="V242" s="203">
        <f>MIN(H242*parameters!C$22,ROUND(O242+S242-U242,0))</f>
        <v>536703</v>
      </c>
      <c r="W242" s="211">
        <f t="shared" si="87"/>
        <v>44.489054607650395</v>
      </c>
      <c r="X242" s="208"/>
      <c r="Y242" s="212">
        <f t="shared" si="88"/>
        <v>0</v>
      </c>
      <c r="Z242" s="212">
        <f t="shared" si="72"/>
        <v>0</v>
      </c>
      <c r="AA242" s="212">
        <f t="shared" si="89"/>
        <v>8050</v>
      </c>
      <c r="AB242" s="68">
        <f t="shared" si="90"/>
        <v>0.66905460765039493</v>
      </c>
      <c r="AD242" s="207">
        <f t="shared" si="92"/>
        <v>0.10151082089763985</v>
      </c>
      <c r="AE242" s="213">
        <f t="shared" si="93"/>
        <v>4.4501471986613694</v>
      </c>
      <c r="AF242" s="10">
        <f t="shared" si="73"/>
        <v>0</v>
      </c>
      <c r="AG242" s="214"/>
      <c r="AH242" s="214">
        <v>2.53E-2</v>
      </c>
      <c r="AI242" s="181"/>
      <c r="AJ242" s="214"/>
      <c r="AK242" s="214"/>
      <c r="AL242" s="214"/>
      <c r="AM242" s="10"/>
      <c r="AN242" s="10"/>
    </row>
    <row r="243" spans="1:40" ht="12.75" customHeight="1">
      <c r="A243" s="201">
        <v>234</v>
      </c>
      <c r="B243" s="201" t="s">
        <v>1500</v>
      </c>
      <c r="C243" s="202">
        <v>155803200</v>
      </c>
      <c r="D243" s="202">
        <f t="shared" si="74"/>
        <v>553037.43145417783</v>
      </c>
      <c r="E243" s="202">
        <v>37025000</v>
      </c>
      <c r="F243" s="202">
        <f t="shared" si="91"/>
        <v>527528.59658141376</v>
      </c>
      <c r="G243" s="202">
        <f t="shared" si="75"/>
        <v>1080566</v>
      </c>
      <c r="H243" s="203">
        <f t="shared" si="76"/>
        <v>1357271.8021759223</v>
      </c>
      <c r="I243" s="204">
        <f t="shared" si="77"/>
        <v>1119749</v>
      </c>
      <c r="J243" s="204">
        <f t="shared" si="78"/>
        <v>1080566</v>
      </c>
      <c r="K243" s="198">
        <f t="shared" si="79"/>
        <v>79.61</v>
      </c>
      <c r="L243" s="205"/>
      <c r="M243" s="206">
        <v>1080392</v>
      </c>
      <c r="N243" s="207">
        <f t="shared" si="80"/>
        <v>3.2199999999999999E-2</v>
      </c>
      <c r="O243" s="204">
        <f t="shared" si="81"/>
        <v>1115181</v>
      </c>
      <c r="P243" s="208">
        <f t="shared" si="82"/>
        <v>82.163425056955262</v>
      </c>
      <c r="Q243" s="208">
        <f t="shared" si="83"/>
        <v>0</v>
      </c>
      <c r="R243" s="209">
        <f t="shared" si="84"/>
        <v>0</v>
      </c>
      <c r="S243" s="204">
        <f t="shared" si="85"/>
        <v>0</v>
      </c>
      <c r="T243" s="210">
        <f t="shared" si="86"/>
        <v>34615</v>
      </c>
      <c r="U243" s="210">
        <f t="shared" si="71"/>
        <v>29422.75</v>
      </c>
      <c r="V243" s="203">
        <f>MIN(H243*parameters!C$22,ROUND(O243+S243-U243,0))</f>
        <v>1085758</v>
      </c>
      <c r="W243" s="211">
        <f t="shared" si="87"/>
        <v>79.995620498367202</v>
      </c>
      <c r="X243" s="208"/>
      <c r="Y243" s="212">
        <f t="shared" si="88"/>
        <v>0</v>
      </c>
      <c r="Z243" s="212">
        <f t="shared" si="72"/>
        <v>0</v>
      </c>
      <c r="AA243" s="212">
        <f t="shared" si="89"/>
        <v>5192</v>
      </c>
      <c r="AB243" s="68">
        <f t="shared" si="90"/>
        <v>0.38562049836720291</v>
      </c>
      <c r="AD243" s="207">
        <f t="shared" si="92"/>
        <v>3.2034137664890439E-2</v>
      </c>
      <c r="AE243" s="213">
        <f t="shared" si="93"/>
        <v>2.5534250569552626</v>
      </c>
      <c r="AF243" s="10">
        <f t="shared" si="73"/>
        <v>0</v>
      </c>
      <c r="AG243" s="214"/>
      <c r="AH243" s="214">
        <v>3.2199999999999999E-2</v>
      </c>
      <c r="AI243" s="181"/>
      <c r="AJ243" s="214"/>
      <c r="AK243" s="214"/>
      <c r="AL243" s="214"/>
      <c r="AM243" s="10"/>
      <c r="AN243" s="10"/>
    </row>
    <row r="244" spans="1:40" ht="12.75" customHeight="1">
      <c r="A244" s="201">
        <v>235</v>
      </c>
      <c r="B244" s="201" t="s">
        <v>1501</v>
      </c>
      <c r="C244" s="202">
        <v>192525000</v>
      </c>
      <c r="D244" s="202">
        <f t="shared" si="74"/>
        <v>683384.75391208648</v>
      </c>
      <c r="E244" s="202">
        <v>43050000</v>
      </c>
      <c r="F244" s="202">
        <f t="shared" si="91"/>
        <v>613372.21020472283</v>
      </c>
      <c r="G244" s="202">
        <f t="shared" si="75"/>
        <v>1296757</v>
      </c>
      <c r="H244" s="203">
        <f t="shared" si="76"/>
        <v>2684019.603564112</v>
      </c>
      <c r="I244" s="204">
        <f t="shared" si="77"/>
        <v>2214316</v>
      </c>
      <c r="J244" s="204">
        <f t="shared" si="78"/>
        <v>1296757</v>
      </c>
      <c r="K244" s="198">
        <f t="shared" si="79"/>
        <v>48.31</v>
      </c>
      <c r="L244" s="205"/>
      <c r="M244" s="206">
        <v>1343636</v>
      </c>
      <c r="N244" s="207">
        <f t="shared" si="80"/>
        <v>2.9300000000000003E-2</v>
      </c>
      <c r="O244" s="204">
        <f t="shared" si="81"/>
        <v>1383005</v>
      </c>
      <c r="P244" s="208">
        <f t="shared" si="82"/>
        <v>51.527380730137232</v>
      </c>
      <c r="Q244" s="208">
        <f t="shared" si="83"/>
        <v>0</v>
      </c>
      <c r="R244" s="209">
        <f t="shared" si="84"/>
        <v>0</v>
      </c>
      <c r="S244" s="204">
        <f t="shared" si="85"/>
        <v>0</v>
      </c>
      <c r="T244" s="210">
        <f t="shared" si="86"/>
        <v>86248</v>
      </c>
      <c r="U244" s="210">
        <f t="shared" si="71"/>
        <v>73310.8</v>
      </c>
      <c r="V244" s="203">
        <f>MIN(H244*parameters!C$22,ROUND(O244+S244-U244,0))</f>
        <v>1309694</v>
      </c>
      <c r="W244" s="211">
        <f t="shared" si="87"/>
        <v>48.795992334067016</v>
      </c>
      <c r="X244" s="208"/>
      <c r="Y244" s="212">
        <f t="shared" si="88"/>
        <v>0</v>
      </c>
      <c r="Z244" s="212">
        <f t="shared" si="72"/>
        <v>0</v>
      </c>
      <c r="AA244" s="212">
        <f t="shared" si="89"/>
        <v>12937</v>
      </c>
      <c r="AB244" s="68">
        <f t="shared" si="90"/>
        <v>0.48599233406701359</v>
      </c>
      <c r="AD244" s="207">
        <f t="shared" si="92"/>
        <v>6.6510533584935347E-2</v>
      </c>
      <c r="AE244" s="213">
        <f t="shared" si="93"/>
        <v>3.2173807301372292</v>
      </c>
      <c r="AF244" s="10">
        <f t="shared" si="73"/>
        <v>0</v>
      </c>
      <c r="AG244" s="214"/>
      <c r="AH244" s="214">
        <v>2.9300000000000003E-2</v>
      </c>
      <c r="AI244" s="181"/>
      <c r="AJ244" s="214"/>
      <c r="AK244" s="214"/>
      <c r="AL244" s="214"/>
      <c r="AM244" s="10"/>
      <c r="AN244" s="10"/>
    </row>
    <row r="245" spans="1:40" ht="12.75" customHeight="1">
      <c r="A245" s="201">
        <v>236</v>
      </c>
      <c r="B245" s="201" t="s">
        <v>1502</v>
      </c>
      <c r="C245" s="202">
        <v>3465640800</v>
      </c>
      <c r="D245" s="202">
        <f t="shared" si="74"/>
        <v>12301602.832129264</v>
      </c>
      <c r="E245" s="202">
        <v>1097182000</v>
      </c>
      <c r="F245" s="202">
        <f t="shared" si="91"/>
        <v>15632542.353933524</v>
      </c>
      <c r="G245" s="202">
        <f t="shared" si="75"/>
        <v>27934145</v>
      </c>
      <c r="H245" s="203">
        <f t="shared" si="76"/>
        <v>68570957.773763955</v>
      </c>
      <c r="I245" s="204">
        <f t="shared" si="77"/>
        <v>56571040</v>
      </c>
      <c r="J245" s="204">
        <f t="shared" si="78"/>
        <v>27934145</v>
      </c>
      <c r="K245" s="198">
        <f t="shared" si="79"/>
        <v>40.74</v>
      </c>
      <c r="L245" s="205"/>
      <c r="M245" s="206">
        <v>28442404</v>
      </c>
      <c r="N245" s="207">
        <f t="shared" si="80"/>
        <v>3.5000000000000005E-3</v>
      </c>
      <c r="O245" s="204">
        <f t="shared" si="81"/>
        <v>28541952</v>
      </c>
      <c r="P245" s="208">
        <f t="shared" si="82"/>
        <v>41.623965781794112</v>
      </c>
      <c r="Q245" s="208">
        <f t="shared" si="83"/>
        <v>0</v>
      </c>
      <c r="R245" s="209">
        <f t="shared" si="84"/>
        <v>0</v>
      </c>
      <c r="S245" s="204">
        <f t="shared" si="85"/>
        <v>0</v>
      </c>
      <c r="T245" s="210">
        <f t="shared" si="86"/>
        <v>607807</v>
      </c>
      <c r="U245" s="210">
        <f t="shared" si="71"/>
        <v>516635.95</v>
      </c>
      <c r="V245" s="203">
        <f>MIN(H245*parameters!C$22,ROUND(O245+S245-U245,0))</f>
        <v>28025316</v>
      </c>
      <c r="W245" s="211">
        <f t="shared" si="87"/>
        <v>40.870533108876614</v>
      </c>
      <c r="X245" s="208"/>
      <c r="Y245" s="212">
        <f t="shared" si="88"/>
        <v>0</v>
      </c>
      <c r="Z245" s="212">
        <f t="shared" si="72"/>
        <v>0</v>
      </c>
      <c r="AA245" s="212">
        <f t="shared" si="89"/>
        <v>91171</v>
      </c>
      <c r="AB245" s="68">
        <f t="shared" si="90"/>
        <v>0.1305331088766124</v>
      </c>
      <c r="AD245" s="207">
        <f t="shared" si="92"/>
        <v>2.1758568232534053E-2</v>
      </c>
      <c r="AE245" s="213">
        <f t="shared" si="93"/>
        <v>0.88396578179411023</v>
      </c>
      <c r="AF245" s="10">
        <f t="shared" si="73"/>
        <v>0</v>
      </c>
      <c r="AG245" s="214"/>
      <c r="AH245" s="214">
        <v>3.5000000000000005E-3</v>
      </c>
      <c r="AI245" s="181"/>
      <c r="AJ245" s="214"/>
      <c r="AK245" s="214"/>
      <c r="AL245" s="214"/>
      <c r="AM245" s="10"/>
      <c r="AN245" s="10"/>
    </row>
    <row r="246" spans="1:40" ht="12.75" customHeight="1">
      <c r="A246" s="201">
        <v>237</v>
      </c>
      <c r="B246" s="201" t="s">
        <v>1503</v>
      </c>
      <c r="C246" s="202">
        <v>86493600</v>
      </c>
      <c r="D246" s="202">
        <f t="shared" si="74"/>
        <v>307016.79029201635</v>
      </c>
      <c r="E246" s="202">
        <v>13612000</v>
      </c>
      <c r="F246" s="202">
        <f t="shared" si="91"/>
        <v>193942.45122663619</v>
      </c>
      <c r="G246" s="202">
        <f t="shared" si="75"/>
        <v>500959</v>
      </c>
      <c r="H246" s="203">
        <f t="shared" si="76"/>
        <v>707063.1567471918</v>
      </c>
      <c r="I246" s="204">
        <f t="shared" si="77"/>
        <v>583327</v>
      </c>
      <c r="J246" s="204">
        <f t="shared" si="78"/>
        <v>500959</v>
      </c>
      <c r="K246" s="198">
        <f t="shared" si="79"/>
        <v>70.849999999999994</v>
      </c>
      <c r="L246" s="205"/>
      <c r="M246" s="206">
        <v>518126</v>
      </c>
      <c r="N246" s="207">
        <f t="shared" si="80"/>
        <v>4.7500000000000001E-2</v>
      </c>
      <c r="O246" s="204">
        <f t="shared" si="81"/>
        <v>542737</v>
      </c>
      <c r="P246" s="208">
        <f t="shared" si="82"/>
        <v>76.759338231797287</v>
      </c>
      <c r="Q246" s="208">
        <f t="shared" si="83"/>
        <v>0</v>
      </c>
      <c r="R246" s="209">
        <f t="shared" si="84"/>
        <v>0</v>
      </c>
      <c r="S246" s="204">
        <f t="shared" si="85"/>
        <v>0</v>
      </c>
      <c r="T246" s="210">
        <f t="shared" si="86"/>
        <v>41778</v>
      </c>
      <c r="U246" s="210">
        <f t="shared" si="71"/>
        <v>35511.299999999996</v>
      </c>
      <c r="V246" s="203">
        <f>MIN(H246*parameters!C$22,ROUND(O246+S246-U246,0))</f>
        <v>507226</v>
      </c>
      <c r="W246" s="211">
        <f t="shared" si="87"/>
        <v>71.737014601845118</v>
      </c>
      <c r="X246" s="208"/>
      <c r="Y246" s="212">
        <f t="shared" si="88"/>
        <v>0</v>
      </c>
      <c r="Z246" s="212">
        <f t="shared" si="72"/>
        <v>0</v>
      </c>
      <c r="AA246" s="212">
        <f t="shared" si="89"/>
        <v>6267</v>
      </c>
      <c r="AB246" s="68">
        <f t="shared" si="90"/>
        <v>0.88701460184512371</v>
      </c>
      <c r="AD246" s="207">
        <f t="shared" si="92"/>
        <v>8.3396046383037339E-2</v>
      </c>
      <c r="AE246" s="213">
        <f t="shared" si="93"/>
        <v>5.9093382317972925</v>
      </c>
      <c r="AF246" s="10">
        <f t="shared" si="73"/>
        <v>0</v>
      </c>
      <c r="AG246" s="214"/>
      <c r="AH246" s="214">
        <v>4.7500000000000001E-2</v>
      </c>
      <c r="AI246" s="181"/>
      <c r="AJ246" s="214"/>
      <c r="AK246" s="214"/>
      <c r="AL246" s="214"/>
      <c r="AM246" s="10"/>
      <c r="AN246" s="10"/>
    </row>
    <row r="247" spans="1:40" ht="12.75" customHeight="1">
      <c r="A247" s="201">
        <v>238</v>
      </c>
      <c r="B247" s="201" t="s">
        <v>1504</v>
      </c>
      <c r="C247" s="202">
        <v>1390184300</v>
      </c>
      <c r="D247" s="202">
        <f t="shared" si="74"/>
        <v>4934583.8501386633</v>
      </c>
      <c r="E247" s="202">
        <v>345529000</v>
      </c>
      <c r="F247" s="202">
        <f t="shared" si="91"/>
        <v>4923063.5637590634</v>
      </c>
      <c r="G247" s="202">
        <f t="shared" si="75"/>
        <v>9857647</v>
      </c>
      <c r="H247" s="203">
        <f t="shared" si="76"/>
        <v>13904591.958460519</v>
      </c>
      <c r="I247" s="204">
        <f t="shared" si="77"/>
        <v>11471288</v>
      </c>
      <c r="J247" s="204">
        <f t="shared" si="78"/>
        <v>9857647</v>
      </c>
      <c r="K247" s="198">
        <f t="shared" si="79"/>
        <v>70.89</v>
      </c>
      <c r="L247" s="205"/>
      <c r="M247" s="206">
        <v>9525775</v>
      </c>
      <c r="N247" s="207">
        <f t="shared" si="80"/>
        <v>4.9000000000000002E-2</v>
      </c>
      <c r="O247" s="204">
        <f t="shared" si="81"/>
        <v>9992538</v>
      </c>
      <c r="P247" s="208">
        <f t="shared" si="82"/>
        <v>71.865021496872089</v>
      </c>
      <c r="Q247" s="208">
        <f t="shared" si="83"/>
        <v>0</v>
      </c>
      <c r="R247" s="209">
        <f t="shared" si="84"/>
        <v>0</v>
      </c>
      <c r="S247" s="204">
        <f t="shared" si="85"/>
        <v>0</v>
      </c>
      <c r="T247" s="210">
        <f t="shared" si="86"/>
        <v>134891</v>
      </c>
      <c r="U247" s="210">
        <f t="shared" si="71"/>
        <v>114657.34999999999</v>
      </c>
      <c r="V247" s="203">
        <f>MIN(H247*parameters!C$22,ROUND(O247+S247-U247,0))</f>
        <v>9877881</v>
      </c>
      <c r="W247" s="211">
        <f t="shared" si="87"/>
        <v>71.0404234047991</v>
      </c>
      <c r="X247" s="208"/>
      <c r="Y247" s="212">
        <f t="shared" si="88"/>
        <v>0</v>
      </c>
      <c r="Z247" s="212">
        <f t="shared" si="72"/>
        <v>0</v>
      </c>
      <c r="AA247" s="212">
        <f t="shared" si="89"/>
        <v>20234</v>
      </c>
      <c r="AB247" s="68">
        <f t="shared" si="90"/>
        <v>0.1504234047990991</v>
      </c>
      <c r="AD247" s="207">
        <f t="shared" si="92"/>
        <v>1.3683894341114061E-2</v>
      </c>
      <c r="AE247" s="213">
        <f t="shared" si="93"/>
        <v>0.97502149687208828</v>
      </c>
      <c r="AF247" s="10">
        <f t="shared" si="73"/>
        <v>0</v>
      </c>
      <c r="AG247" s="214"/>
      <c r="AH247" s="214">
        <v>4.9000000000000002E-2</v>
      </c>
      <c r="AI247" s="181"/>
      <c r="AJ247" s="214"/>
      <c r="AK247" s="214"/>
      <c r="AL247" s="214"/>
      <c r="AM247" s="10"/>
      <c r="AN247" s="10"/>
    </row>
    <row r="248" spans="1:40" ht="12.75" customHeight="1">
      <c r="A248" s="201">
        <v>239</v>
      </c>
      <c r="B248" s="201" t="s">
        <v>1505</v>
      </c>
      <c r="C248" s="202">
        <v>9660314400</v>
      </c>
      <c r="D248" s="202">
        <f t="shared" si="74"/>
        <v>34290152.33843597</v>
      </c>
      <c r="E248" s="202">
        <v>1957664000</v>
      </c>
      <c r="F248" s="202">
        <f t="shared" si="91"/>
        <v>27892606.14444178</v>
      </c>
      <c r="G248" s="202">
        <f t="shared" si="75"/>
        <v>62182758</v>
      </c>
      <c r="H248" s="203">
        <f t="shared" si="76"/>
        <v>88349686.529343486</v>
      </c>
      <c r="I248" s="204">
        <f t="shared" si="77"/>
        <v>72888491</v>
      </c>
      <c r="J248" s="204">
        <f t="shared" si="78"/>
        <v>62182758</v>
      </c>
      <c r="K248" s="198">
        <f t="shared" si="79"/>
        <v>70.38</v>
      </c>
      <c r="L248" s="205"/>
      <c r="M248" s="206">
        <v>61058495</v>
      </c>
      <c r="N248" s="207">
        <f t="shared" si="80"/>
        <v>4.9200000000000001E-2</v>
      </c>
      <c r="O248" s="204">
        <f t="shared" si="81"/>
        <v>64062573</v>
      </c>
      <c r="P248" s="208">
        <f t="shared" si="82"/>
        <v>72.510243687987469</v>
      </c>
      <c r="Q248" s="208">
        <f t="shared" si="83"/>
        <v>0</v>
      </c>
      <c r="R248" s="209">
        <f t="shared" si="84"/>
        <v>0</v>
      </c>
      <c r="S248" s="204">
        <f t="shared" si="85"/>
        <v>0</v>
      </c>
      <c r="T248" s="210">
        <f t="shared" si="86"/>
        <v>1879815</v>
      </c>
      <c r="U248" s="210">
        <f t="shared" si="71"/>
        <v>1597842.75</v>
      </c>
      <c r="V248" s="203">
        <f>MIN(H248*parameters!C$22,ROUND(O248+S248-U248,0))</f>
        <v>62464730</v>
      </c>
      <c r="W248" s="211">
        <f t="shared" si="87"/>
        <v>70.701699636765156</v>
      </c>
      <c r="X248" s="208"/>
      <c r="Y248" s="212">
        <f t="shared" si="88"/>
        <v>0</v>
      </c>
      <c r="Z248" s="212">
        <f t="shared" si="72"/>
        <v>0</v>
      </c>
      <c r="AA248" s="212">
        <f t="shared" si="89"/>
        <v>281972</v>
      </c>
      <c r="AB248" s="68">
        <f t="shared" si="90"/>
        <v>0.32169963676516034</v>
      </c>
      <c r="AD248" s="207">
        <f t="shared" si="92"/>
        <v>3.0230486077828841E-2</v>
      </c>
      <c r="AE248" s="213">
        <f t="shared" si="93"/>
        <v>2.1302436879874733</v>
      </c>
      <c r="AF248" s="10">
        <f t="shared" si="73"/>
        <v>0</v>
      </c>
      <c r="AG248" s="214"/>
      <c r="AH248" s="214">
        <v>4.9200000000000001E-2</v>
      </c>
      <c r="AI248" s="181"/>
      <c r="AJ248" s="214"/>
      <c r="AK248" s="214"/>
      <c r="AL248" s="214"/>
      <c r="AM248" s="10"/>
      <c r="AN248" s="10"/>
    </row>
    <row r="249" spans="1:40" ht="12.75" customHeight="1">
      <c r="A249" s="201">
        <v>240</v>
      </c>
      <c r="B249" s="201" t="s">
        <v>1506</v>
      </c>
      <c r="C249" s="202">
        <v>504133700</v>
      </c>
      <c r="D249" s="202">
        <f t="shared" si="74"/>
        <v>1789467.7808767154</v>
      </c>
      <c r="E249" s="202">
        <v>102601000</v>
      </c>
      <c r="F249" s="202">
        <f t="shared" si="91"/>
        <v>1461849.0624672421</v>
      </c>
      <c r="G249" s="202">
        <f t="shared" si="75"/>
        <v>3251317</v>
      </c>
      <c r="H249" s="203">
        <f t="shared" si="76"/>
        <v>4560803.0295502152</v>
      </c>
      <c r="I249" s="204">
        <f t="shared" si="77"/>
        <v>3762662</v>
      </c>
      <c r="J249" s="204">
        <f t="shared" si="78"/>
        <v>3251317</v>
      </c>
      <c r="K249" s="198">
        <f t="shared" si="79"/>
        <v>71.290000000000006</v>
      </c>
      <c r="L249" s="205"/>
      <c r="M249" s="206">
        <f>3403661-12181</f>
        <v>3391480</v>
      </c>
      <c r="N249" s="207">
        <f t="shared" si="80"/>
        <v>4.1500000000000002E-2</v>
      </c>
      <c r="O249" s="204">
        <f t="shared" si="81"/>
        <v>3532226</v>
      </c>
      <c r="P249" s="208">
        <f t="shared" si="82"/>
        <v>77.447457763777777</v>
      </c>
      <c r="Q249" s="208">
        <f t="shared" si="83"/>
        <v>0</v>
      </c>
      <c r="R249" s="209">
        <f t="shared" si="84"/>
        <v>0</v>
      </c>
      <c r="S249" s="204">
        <f t="shared" si="85"/>
        <v>0</v>
      </c>
      <c r="T249" s="210">
        <f t="shared" si="86"/>
        <v>280909</v>
      </c>
      <c r="U249" s="210">
        <f t="shared" si="71"/>
        <v>238772.65</v>
      </c>
      <c r="V249" s="203">
        <f>MIN(H249*parameters!C$22,ROUND(O249+S249-U249,0))</f>
        <v>3293453</v>
      </c>
      <c r="W249" s="211">
        <f t="shared" si="87"/>
        <v>72.212129720603158</v>
      </c>
      <c r="X249" s="208"/>
      <c r="Y249" s="212">
        <f t="shared" si="88"/>
        <v>0</v>
      </c>
      <c r="Z249" s="212">
        <f t="shared" si="72"/>
        <v>0</v>
      </c>
      <c r="AA249" s="212">
        <f t="shared" si="89"/>
        <v>42136</v>
      </c>
      <c r="AB249" s="68">
        <f t="shared" si="90"/>
        <v>0.92212972060315224</v>
      </c>
      <c r="AD249" s="207">
        <f t="shared" si="92"/>
        <v>8.6398527119933247E-2</v>
      </c>
      <c r="AE249" s="213">
        <f t="shared" si="93"/>
        <v>6.1574577637777708</v>
      </c>
      <c r="AF249" s="10">
        <f t="shared" si="73"/>
        <v>0</v>
      </c>
      <c r="AG249" s="214"/>
      <c r="AH249" s="214">
        <v>4.1500000000000002E-2</v>
      </c>
      <c r="AI249" s="181"/>
      <c r="AJ249" s="214"/>
      <c r="AK249" s="214"/>
      <c r="AL249" s="214"/>
      <c r="AM249" s="10"/>
      <c r="AN249" s="10"/>
    </row>
    <row r="250" spans="1:40" ht="12.75" customHeight="1">
      <c r="A250" s="201">
        <v>241</v>
      </c>
      <c r="B250" s="201" t="s">
        <v>1507</v>
      </c>
      <c r="C250" s="202">
        <v>467603100</v>
      </c>
      <c r="D250" s="202">
        <f t="shared" si="74"/>
        <v>1659799.1399663875</v>
      </c>
      <c r="E250" s="202">
        <v>174316000</v>
      </c>
      <c r="F250" s="202">
        <f t="shared" si="91"/>
        <v>2483637.402881451</v>
      </c>
      <c r="G250" s="202">
        <f t="shared" si="75"/>
        <v>4143437</v>
      </c>
      <c r="H250" s="203">
        <f t="shared" si="76"/>
        <v>4497010.8022664934</v>
      </c>
      <c r="I250" s="204">
        <f t="shared" si="77"/>
        <v>3710034</v>
      </c>
      <c r="J250" s="204">
        <f t="shared" si="78"/>
        <v>3710034</v>
      </c>
      <c r="K250" s="198">
        <f t="shared" si="79"/>
        <v>82.5</v>
      </c>
      <c r="L250" s="205"/>
      <c r="M250" s="206">
        <v>3719658</v>
      </c>
      <c r="N250" s="207">
        <f t="shared" si="80"/>
        <v>2.7199999999999998E-2</v>
      </c>
      <c r="O250" s="204">
        <f t="shared" si="81"/>
        <v>3820833</v>
      </c>
      <c r="P250" s="208">
        <f t="shared" si="82"/>
        <v>84.963838603062726</v>
      </c>
      <c r="Q250" s="208">
        <f t="shared" si="83"/>
        <v>0</v>
      </c>
      <c r="R250" s="209">
        <f t="shared" si="84"/>
        <v>0</v>
      </c>
      <c r="S250" s="204">
        <f t="shared" si="85"/>
        <v>0</v>
      </c>
      <c r="T250" s="210">
        <f t="shared" si="86"/>
        <v>110799</v>
      </c>
      <c r="U250" s="210">
        <f t="shared" si="71"/>
        <v>94179.15</v>
      </c>
      <c r="V250" s="203">
        <f>MIN(H250*parameters!C$22,ROUND(O250+S250-U250,0))</f>
        <v>3726654</v>
      </c>
      <c r="W250" s="211">
        <f t="shared" si="87"/>
        <v>82.869580791795443</v>
      </c>
      <c r="X250" s="208"/>
      <c r="Y250" s="212">
        <f t="shared" si="88"/>
        <v>0</v>
      </c>
      <c r="Z250" s="212">
        <f t="shared" si="72"/>
        <v>0</v>
      </c>
      <c r="AA250" s="212">
        <f t="shared" si="89"/>
        <v>16620</v>
      </c>
      <c r="AB250" s="68">
        <f t="shared" si="90"/>
        <v>0.36958079179544256</v>
      </c>
      <c r="AD250" s="207">
        <f t="shared" si="92"/>
        <v>2.9864685876194126E-2</v>
      </c>
      <c r="AE250" s="213">
        <f t="shared" si="93"/>
        <v>2.463838603062726</v>
      </c>
      <c r="AF250" s="10">
        <f t="shared" si="73"/>
        <v>0</v>
      </c>
      <c r="AG250" s="214"/>
      <c r="AH250" s="214">
        <v>2.7199999999999998E-2</v>
      </c>
      <c r="AI250" s="181"/>
      <c r="AJ250" s="214"/>
      <c r="AK250" s="214"/>
      <c r="AL250" s="214"/>
      <c r="AM250" s="10"/>
      <c r="AN250" s="10"/>
    </row>
    <row r="251" spans="1:40" ht="12.75" customHeight="1">
      <c r="A251" s="201">
        <v>242</v>
      </c>
      <c r="B251" s="201" t="s">
        <v>1508</v>
      </c>
      <c r="C251" s="202">
        <v>2783272800</v>
      </c>
      <c r="D251" s="202">
        <f t="shared" si="74"/>
        <v>9879476.4186375998</v>
      </c>
      <c r="E251" s="202">
        <v>136792000</v>
      </c>
      <c r="F251" s="202">
        <f t="shared" si="91"/>
        <v>1948999.1028646794</v>
      </c>
      <c r="G251" s="202">
        <f t="shared" si="75"/>
        <v>11828476</v>
      </c>
      <c r="H251" s="203">
        <f t="shared" si="76"/>
        <v>1382529.3027229349</v>
      </c>
      <c r="I251" s="204">
        <f t="shared" si="77"/>
        <v>1140587</v>
      </c>
      <c r="J251" s="204">
        <f t="shared" si="78"/>
        <v>1140587</v>
      </c>
      <c r="K251" s="198">
        <f t="shared" si="79"/>
        <v>82.5</v>
      </c>
      <c r="L251" s="205"/>
      <c r="M251" s="206">
        <v>1212031</v>
      </c>
      <c r="N251" s="207">
        <f t="shared" si="80"/>
        <v>4.1700000000000001E-2</v>
      </c>
      <c r="O251" s="204">
        <f t="shared" si="81"/>
        <v>1262573</v>
      </c>
      <c r="P251" s="208">
        <f t="shared" si="82"/>
        <v>91.323416980263843</v>
      </c>
      <c r="Q251" s="208">
        <f t="shared" si="83"/>
        <v>0</v>
      </c>
      <c r="R251" s="209">
        <f t="shared" si="84"/>
        <v>0</v>
      </c>
      <c r="S251" s="204">
        <f t="shared" si="85"/>
        <v>0</v>
      </c>
      <c r="T251" s="210">
        <f t="shared" si="86"/>
        <v>121986</v>
      </c>
      <c r="U251" s="210">
        <f t="shared" si="71"/>
        <v>103688.09999999999</v>
      </c>
      <c r="V251" s="203">
        <f>MIN(H251*parameters!C$22,ROUND(O251+S251-U251,0))</f>
        <v>1158885</v>
      </c>
      <c r="W251" s="211">
        <f t="shared" si="87"/>
        <v>83.823539777243028</v>
      </c>
      <c r="X251" s="208"/>
      <c r="Y251" s="212">
        <f t="shared" si="88"/>
        <v>0</v>
      </c>
      <c r="Z251" s="212">
        <f t="shared" si="72"/>
        <v>0</v>
      </c>
      <c r="AA251" s="212">
        <f t="shared" si="89"/>
        <v>18298</v>
      </c>
      <c r="AB251" s="68">
        <f t="shared" si="90"/>
        <v>1.3235397772430275</v>
      </c>
      <c r="AD251" s="207">
        <f t="shared" si="92"/>
        <v>0.10695019318999778</v>
      </c>
      <c r="AE251" s="213">
        <f t="shared" si="93"/>
        <v>8.8234169802638434</v>
      </c>
      <c r="AF251" s="10">
        <f t="shared" si="73"/>
        <v>0</v>
      </c>
      <c r="AG251" s="214"/>
      <c r="AH251" s="214">
        <v>4.1700000000000001E-2</v>
      </c>
      <c r="AI251" s="181"/>
      <c r="AJ251" s="214"/>
      <c r="AK251" s="214"/>
      <c r="AL251" s="214"/>
      <c r="AM251" s="10"/>
      <c r="AN251" s="10"/>
    </row>
    <row r="252" spans="1:40" ht="12.75" customHeight="1">
      <c r="A252" s="201">
        <v>243</v>
      </c>
      <c r="B252" s="201" t="s">
        <v>1509</v>
      </c>
      <c r="C252" s="202">
        <v>12930445600</v>
      </c>
      <c r="D252" s="202">
        <f t="shared" si="74"/>
        <v>45897776.311282285</v>
      </c>
      <c r="E252" s="202">
        <v>2911230000</v>
      </c>
      <c r="F252" s="202">
        <f t="shared" si="91"/>
        <v>41478921.707649134</v>
      </c>
      <c r="G252" s="202">
        <f t="shared" si="75"/>
        <v>87376698</v>
      </c>
      <c r="H252" s="203">
        <f t="shared" si="76"/>
        <v>112827884.54837127</v>
      </c>
      <c r="I252" s="204">
        <f t="shared" si="77"/>
        <v>93083005</v>
      </c>
      <c r="J252" s="204">
        <f t="shared" si="78"/>
        <v>87376698</v>
      </c>
      <c r="K252" s="198">
        <f t="shared" si="79"/>
        <v>77.44</v>
      </c>
      <c r="L252" s="205"/>
      <c r="M252" s="206">
        <v>85719865</v>
      </c>
      <c r="N252" s="207">
        <f t="shared" si="80"/>
        <v>3.9399999999999998E-2</v>
      </c>
      <c r="O252" s="204">
        <f t="shared" si="81"/>
        <v>89097228</v>
      </c>
      <c r="P252" s="208">
        <f t="shared" si="82"/>
        <v>78.967383246295356</v>
      </c>
      <c r="Q252" s="208">
        <f t="shared" si="83"/>
        <v>0</v>
      </c>
      <c r="R252" s="209">
        <f t="shared" si="84"/>
        <v>0</v>
      </c>
      <c r="S252" s="204">
        <f t="shared" si="85"/>
        <v>0</v>
      </c>
      <c r="T252" s="210">
        <f t="shared" si="86"/>
        <v>1720530</v>
      </c>
      <c r="U252" s="210">
        <f t="shared" si="71"/>
        <v>1462450.5</v>
      </c>
      <c r="V252" s="203">
        <f>MIN(H252*parameters!C$22,ROUND(O252+S252-U252,0))</f>
        <v>87634778</v>
      </c>
      <c r="W252" s="211">
        <f t="shared" si="87"/>
        <v>77.671205438961721</v>
      </c>
      <c r="X252" s="208"/>
      <c r="Y252" s="212">
        <f t="shared" si="88"/>
        <v>0</v>
      </c>
      <c r="Z252" s="212">
        <f t="shared" si="72"/>
        <v>0</v>
      </c>
      <c r="AA252" s="212">
        <f t="shared" si="89"/>
        <v>258080</v>
      </c>
      <c r="AB252" s="68">
        <f t="shared" si="90"/>
        <v>0.23120543896172308</v>
      </c>
      <c r="AD252" s="207">
        <f t="shared" si="92"/>
        <v>1.9690947808533574E-2</v>
      </c>
      <c r="AE252" s="213">
        <f t="shared" si="93"/>
        <v>1.5273832462953578</v>
      </c>
      <c r="AF252" s="10">
        <f t="shared" si="73"/>
        <v>0</v>
      </c>
      <c r="AG252" s="214"/>
      <c r="AH252" s="214">
        <v>3.9399999999999998E-2</v>
      </c>
      <c r="AI252" s="181"/>
      <c r="AJ252" s="214"/>
      <c r="AK252" s="214"/>
      <c r="AL252" s="214"/>
      <c r="AM252" s="10"/>
      <c r="AN252" s="10"/>
    </row>
    <row r="253" spans="1:40" ht="12.75" customHeight="1">
      <c r="A253" s="201">
        <v>244</v>
      </c>
      <c r="B253" s="201" t="s">
        <v>1510</v>
      </c>
      <c r="C253" s="202">
        <v>3154751600</v>
      </c>
      <c r="D253" s="202">
        <f t="shared" si="74"/>
        <v>11198073.734942272</v>
      </c>
      <c r="E253" s="202">
        <v>866592000</v>
      </c>
      <c r="F253" s="202">
        <f t="shared" si="91"/>
        <v>12347118.475859029</v>
      </c>
      <c r="G253" s="202">
        <f t="shared" si="75"/>
        <v>23545192</v>
      </c>
      <c r="H253" s="203">
        <f t="shared" si="76"/>
        <v>42075386.124126405</v>
      </c>
      <c r="I253" s="204">
        <f t="shared" si="77"/>
        <v>34712194</v>
      </c>
      <c r="J253" s="204">
        <f t="shared" si="78"/>
        <v>23545192</v>
      </c>
      <c r="K253" s="198">
        <f t="shared" si="79"/>
        <v>55.96</v>
      </c>
      <c r="L253" s="205"/>
      <c r="M253" s="206">
        <v>23032584</v>
      </c>
      <c r="N253" s="207">
        <f t="shared" si="80"/>
        <v>3.6299999999999999E-2</v>
      </c>
      <c r="O253" s="204">
        <f t="shared" si="81"/>
        <v>23868667</v>
      </c>
      <c r="P253" s="208">
        <f t="shared" si="82"/>
        <v>56.728337393233076</v>
      </c>
      <c r="Q253" s="208">
        <f t="shared" si="83"/>
        <v>0</v>
      </c>
      <c r="R253" s="209">
        <f t="shared" si="84"/>
        <v>0</v>
      </c>
      <c r="S253" s="204">
        <f t="shared" si="85"/>
        <v>0</v>
      </c>
      <c r="T253" s="210">
        <f t="shared" si="86"/>
        <v>323475</v>
      </c>
      <c r="U253" s="210">
        <f t="shared" si="71"/>
        <v>274953.75</v>
      </c>
      <c r="V253" s="203">
        <f>MIN(H253*parameters!C$22,ROUND(O253+S253-U253,0))</f>
        <v>23593713</v>
      </c>
      <c r="W253" s="211">
        <f t="shared" si="87"/>
        <v>56.074857947580789</v>
      </c>
      <c r="X253" s="208"/>
      <c r="Y253" s="212">
        <f t="shared" si="88"/>
        <v>0</v>
      </c>
      <c r="Z253" s="212">
        <f t="shared" si="72"/>
        <v>0</v>
      </c>
      <c r="AA253" s="212">
        <f t="shared" si="89"/>
        <v>48521</v>
      </c>
      <c r="AB253" s="68">
        <f t="shared" si="90"/>
        <v>0.11485794758078782</v>
      </c>
      <c r="AD253" s="207">
        <f t="shared" si="92"/>
        <v>1.3738473655258364E-2</v>
      </c>
      <c r="AE253" s="213">
        <f t="shared" si="93"/>
        <v>0.76833739323307526</v>
      </c>
      <c r="AF253" s="10">
        <f t="shared" si="73"/>
        <v>0</v>
      </c>
      <c r="AG253" s="214"/>
      <c r="AH253" s="214">
        <v>3.6299999999999999E-2</v>
      </c>
      <c r="AI253" s="181"/>
      <c r="AJ253" s="214"/>
      <c r="AK253" s="214"/>
      <c r="AL253" s="214"/>
      <c r="AM253" s="10"/>
      <c r="AN253" s="10"/>
    </row>
    <row r="254" spans="1:40" ht="12.75" customHeight="1">
      <c r="A254" s="201">
        <v>245</v>
      </c>
      <c r="B254" s="201" t="s">
        <v>1511</v>
      </c>
      <c r="C254" s="202">
        <v>2011714400</v>
      </c>
      <c r="D254" s="202">
        <f t="shared" si="74"/>
        <v>7140760.6813941086</v>
      </c>
      <c r="E254" s="202">
        <v>508138000</v>
      </c>
      <c r="F254" s="202">
        <f t="shared" si="91"/>
        <v>7239900.7700117873</v>
      </c>
      <c r="G254" s="202">
        <f t="shared" si="75"/>
        <v>14380661</v>
      </c>
      <c r="H254" s="203">
        <f t="shared" si="76"/>
        <v>23780670.161392819</v>
      </c>
      <c r="I254" s="204">
        <f t="shared" si="77"/>
        <v>19619053</v>
      </c>
      <c r="J254" s="204">
        <f t="shared" si="78"/>
        <v>14380661</v>
      </c>
      <c r="K254" s="198">
        <f t="shared" si="79"/>
        <v>60.47</v>
      </c>
      <c r="L254" s="205"/>
      <c r="M254" s="206">
        <v>14152968</v>
      </c>
      <c r="N254" s="207">
        <f t="shared" si="80"/>
        <v>4.2199999999999994E-2</v>
      </c>
      <c r="O254" s="204">
        <f t="shared" si="81"/>
        <v>14750223</v>
      </c>
      <c r="P254" s="208">
        <f t="shared" si="82"/>
        <v>62.026103132898797</v>
      </c>
      <c r="Q254" s="208">
        <f t="shared" si="83"/>
        <v>0</v>
      </c>
      <c r="R254" s="209">
        <f t="shared" si="84"/>
        <v>0</v>
      </c>
      <c r="S254" s="204">
        <f t="shared" si="85"/>
        <v>0</v>
      </c>
      <c r="T254" s="210">
        <f t="shared" si="86"/>
        <v>369562</v>
      </c>
      <c r="U254" s="210">
        <f t="shared" si="71"/>
        <v>314127.7</v>
      </c>
      <c r="V254" s="203">
        <f>MIN(H254*parameters!C$22,ROUND(O254+S254-U254,0))</f>
        <v>14436095</v>
      </c>
      <c r="W254" s="211">
        <f t="shared" si="87"/>
        <v>60.705164749463421</v>
      </c>
      <c r="X254" s="208"/>
      <c r="Y254" s="212">
        <f t="shared" si="88"/>
        <v>0</v>
      </c>
      <c r="Z254" s="212">
        <f t="shared" si="72"/>
        <v>0</v>
      </c>
      <c r="AA254" s="212">
        <f t="shared" si="89"/>
        <v>55434</v>
      </c>
      <c r="AB254" s="68">
        <f t="shared" si="90"/>
        <v>0.23516474946342214</v>
      </c>
      <c r="AD254" s="207">
        <f t="shared" si="92"/>
        <v>2.5698540560826794E-2</v>
      </c>
      <c r="AE254" s="213">
        <f t="shared" si="93"/>
        <v>1.556103132898798</v>
      </c>
      <c r="AF254" s="10">
        <f t="shared" si="73"/>
        <v>0</v>
      </c>
      <c r="AG254" s="214"/>
      <c r="AH254" s="214">
        <v>4.2199999999999994E-2</v>
      </c>
      <c r="AI254" s="181"/>
      <c r="AJ254" s="214"/>
      <c r="AK254" s="214"/>
      <c r="AL254" s="214"/>
      <c r="AM254" s="10"/>
      <c r="AN254" s="10"/>
    </row>
    <row r="255" spans="1:40" ht="12.75" customHeight="1">
      <c r="A255" s="201">
        <v>246</v>
      </c>
      <c r="B255" s="201" t="s">
        <v>1512</v>
      </c>
      <c r="C255" s="202">
        <v>4649555300</v>
      </c>
      <c r="D255" s="202">
        <f t="shared" si="74"/>
        <v>16504013.528067198</v>
      </c>
      <c r="E255" s="202">
        <v>1326944000</v>
      </c>
      <c r="F255" s="202">
        <f t="shared" si="91"/>
        <v>18906168.968592234</v>
      </c>
      <c r="G255" s="202">
        <f t="shared" si="75"/>
        <v>35410182</v>
      </c>
      <c r="H255" s="203">
        <f t="shared" si="76"/>
        <v>40573732.420614175</v>
      </c>
      <c r="I255" s="204">
        <f t="shared" si="77"/>
        <v>33473329</v>
      </c>
      <c r="J255" s="204">
        <f t="shared" si="78"/>
        <v>33473329</v>
      </c>
      <c r="K255" s="198">
        <f t="shared" si="79"/>
        <v>82.5</v>
      </c>
      <c r="L255" s="205"/>
      <c r="M255" s="206">
        <v>33144489</v>
      </c>
      <c r="N255" s="207">
        <f t="shared" si="80"/>
        <v>3.9100000000000003E-2</v>
      </c>
      <c r="O255" s="204">
        <f t="shared" si="81"/>
        <v>34440439</v>
      </c>
      <c r="P255" s="208">
        <f t="shared" si="82"/>
        <v>84.883585870206872</v>
      </c>
      <c r="Q255" s="208">
        <f t="shared" si="83"/>
        <v>0</v>
      </c>
      <c r="R255" s="209">
        <f t="shared" si="84"/>
        <v>0</v>
      </c>
      <c r="S255" s="204">
        <f t="shared" si="85"/>
        <v>0</v>
      </c>
      <c r="T255" s="210">
        <f t="shared" si="86"/>
        <v>967110</v>
      </c>
      <c r="U255" s="210">
        <f t="shared" si="71"/>
        <v>822043.5</v>
      </c>
      <c r="V255" s="203">
        <f>MIN(H255*parameters!C$22,ROUND(O255+S255-U255,0))</f>
        <v>33618396</v>
      </c>
      <c r="W255" s="211">
        <f t="shared" si="87"/>
        <v>82.857538595388377</v>
      </c>
      <c r="X255" s="208"/>
      <c r="Y255" s="212">
        <f t="shared" si="88"/>
        <v>0</v>
      </c>
      <c r="Z255" s="212">
        <f t="shared" si="72"/>
        <v>0</v>
      </c>
      <c r="AA255" s="212">
        <f t="shared" si="89"/>
        <v>145067</v>
      </c>
      <c r="AB255" s="68">
        <f t="shared" si="90"/>
        <v>0.35753859538837673</v>
      </c>
      <c r="AD255" s="207">
        <f t="shared" si="92"/>
        <v>2.8891957534310377E-2</v>
      </c>
      <c r="AE255" s="213">
        <f t="shared" si="93"/>
        <v>2.383585870206872</v>
      </c>
      <c r="AF255" s="10">
        <f t="shared" si="73"/>
        <v>0</v>
      </c>
      <c r="AG255" s="214"/>
      <c r="AH255" s="214">
        <v>3.9100000000000003E-2</v>
      </c>
      <c r="AI255" s="181"/>
      <c r="AJ255" s="214"/>
      <c r="AK255" s="214"/>
      <c r="AL255" s="214"/>
      <c r="AM255" s="10"/>
      <c r="AN255" s="10"/>
    </row>
    <row r="256" spans="1:40" ht="12.75" customHeight="1">
      <c r="A256" s="201">
        <v>247</v>
      </c>
      <c r="B256" s="201" t="s">
        <v>1513</v>
      </c>
      <c r="C256" s="202">
        <v>1758293500</v>
      </c>
      <c r="D256" s="202">
        <f t="shared" si="74"/>
        <v>6241220.4690441303</v>
      </c>
      <c r="E256" s="202">
        <v>516147000</v>
      </c>
      <c r="F256" s="202">
        <f t="shared" si="91"/>
        <v>7354012.2225444149</v>
      </c>
      <c r="G256" s="202">
        <f t="shared" si="75"/>
        <v>13595233</v>
      </c>
      <c r="H256" s="203">
        <f t="shared" si="76"/>
        <v>18005440.891682368</v>
      </c>
      <c r="I256" s="204">
        <f t="shared" si="77"/>
        <v>14854489</v>
      </c>
      <c r="J256" s="204">
        <f t="shared" si="78"/>
        <v>13595233</v>
      </c>
      <c r="K256" s="198">
        <f t="shared" si="79"/>
        <v>75.510000000000005</v>
      </c>
      <c r="L256" s="205"/>
      <c r="M256" s="206">
        <v>12727857</v>
      </c>
      <c r="N256" s="207">
        <f t="shared" si="80"/>
        <v>4.1799999999999997E-2</v>
      </c>
      <c r="O256" s="204">
        <f t="shared" si="81"/>
        <v>13259881</v>
      </c>
      <c r="P256" s="208">
        <f t="shared" si="82"/>
        <v>73.643745131092103</v>
      </c>
      <c r="Q256" s="208">
        <f t="shared" si="83"/>
        <v>1.8662548689079017</v>
      </c>
      <c r="R256" s="209">
        <f t="shared" si="84"/>
        <v>0</v>
      </c>
      <c r="S256" s="204">
        <f t="shared" si="85"/>
        <v>0</v>
      </c>
      <c r="T256" s="210">
        <f t="shared" si="86"/>
        <v>0</v>
      </c>
      <c r="U256" s="210">
        <f t="shared" si="71"/>
        <v>0</v>
      </c>
      <c r="V256" s="203">
        <f>MIN(H256*parameters!C$22,ROUND(O256+S256-U256,0))</f>
        <v>13259881</v>
      </c>
      <c r="W256" s="211">
        <f t="shared" si="87"/>
        <v>73.643745131092103</v>
      </c>
      <c r="X256" s="208"/>
      <c r="Y256" s="212">
        <f t="shared" si="88"/>
        <v>-335352</v>
      </c>
      <c r="Z256" s="212">
        <f t="shared" si="72"/>
        <v>335352</v>
      </c>
      <c r="AA256" s="212">
        <f t="shared" si="89"/>
        <v>0</v>
      </c>
      <c r="AB256" s="68">
        <f t="shared" si="90"/>
        <v>-1.8662548689079017</v>
      </c>
      <c r="AD256" s="207">
        <f t="shared" si="92"/>
        <v>-2.4666881398796182E-2</v>
      </c>
      <c r="AE256" s="213">
        <f t="shared" si="93"/>
        <v>-1.8662548689079017</v>
      </c>
      <c r="AF256" s="10">
        <f t="shared" si="73"/>
        <v>0</v>
      </c>
      <c r="AG256" s="214"/>
      <c r="AH256" s="214">
        <v>4.1799999999999997E-2</v>
      </c>
      <c r="AI256" s="181"/>
      <c r="AJ256" s="214"/>
      <c r="AK256" s="214"/>
      <c r="AL256" s="214"/>
      <c r="AM256" s="10"/>
      <c r="AN256" s="10"/>
    </row>
    <row r="257" spans="1:40" ht="12.75" customHeight="1">
      <c r="A257" s="201">
        <v>248</v>
      </c>
      <c r="B257" s="201" t="s">
        <v>1514</v>
      </c>
      <c r="C257" s="202">
        <v>4907377600</v>
      </c>
      <c r="D257" s="202">
        <f t="shared" si="74"/>
        <v>17419176.904452335</v>
      </c>
      <c r="E257" s="202">
        <v>1151225000</v>
      </c>
      <c r="F257" s="202">
        <f t="shared" si="91"/>
        <v>16402541.758256262</v>
      </c>
      <c r="G257" s="202">
        <f t="shared" si="75"/>
        <v>33821719</v>
      </c>
      <c r="H257" s="203">
        <f t="shared" si="76"/>
        <v>92382373.199347898</v>
      </c>
      <c r="I257" s="204">
        <f t="shared" si="77"/>
        <v>76215458</v>
      </c>
      <c r="J257" s="204">
        <f t="shared" si="78"/>
        <v>33821719</v>
      </c>
      <c r="K257" s="198">
        <f t="shared" si="79"/>
        <v>36.61</v>
      </c>
      <c r="L257" s="205"/>
      <c r="M257" s="206">
        <v>31739707</v>
      </c>
      <c r="N257" s="207">
        <f t="shared" si="80"/>
        <v>3.9399999999999998E-2</v>
      </c>
      <c r="O257" s="204">
        <f t="shared" si="81"/>
        <v>32990251</v>
      </c>
      <c r="P257" s="208">
        <f t="shared" si="82"/>
        <v>35.71054721533487</v>
      </c>
      <c r="Q257" s="208">
        <f t="shared" si="83"/>
        <v>0.89945278466512946</v>
      </c>
      <c r="R257" s="209">
        <f t="shared" si="84"/>
        <v>0</v>
      </c>
      <c r="S257" s="204">
        <f t="shared" si="85"/>
        <v>0</v>
      </c>
      <c r="T257" s="210">
        <f t="shared" si="86"/>
        <v>0</v>
      </c>
      <c r="U257" s="210">
        <f t="shared" si="71"/>
        <v>0</v>
      </c>
      <c r="V257" s="203">
        <f>MIN(H257*parameters!C$22,ROUND(O257+S257-U257,0))</f>
        <v>32990251</v>
      </c>
      <c r="W257" s="211">
        <f t="shared" si="87"/>
        <v>35.71054721533487</v>
      </c>
      <c r="X257" s="208"/>
      <c r="Y257" s="212">
        <f t="shared" si="88"/>
        <v>-831468</v>
      </c>
      <c r="Z257" s="212">
        <f t="shared" si="72"/>
        <v>831468</v>
      </c>
      <c r="AA257" s="212">
        <f t="shared" si="89"/>
        <v>0</v>
      </c>
      <c r="AB257" s="68">
        <f t="shared" si="90"/>
        <v>-0.89945278466512946</v>
      </c>
      <c r="AD257" s="207">
        <f t="shared" si="92"/>
        <v>-2.4583848029723149E-2</v>
      </c>
      <c r="AE257" s="213">
        <f t="shared" si="93"/>
        <v>-0.89945278466512946</v>
      </c>
      <c r="AF257" s="10">
        <f t="shared" si="73"/>
        <v>0</v>
      </c>
      <c r="AG257" s="214"/>
      <c r="AH257" s="214">
        <v>3.9399999999999998E-2</v>
      </c>
      <c r="AI257" s="181"/>
      <c r="AJ257" s="214"/>
      <c r="AK257" s="214"/>
      <c r="AL257" s="214"/>
      <c r="AM257" s="10"/>
      <c r="AN257" s="10"/>
    </row>
    <row r="258" spans="1:40" ht="12.75" customHeight="1">
      <c r="A258" s="201">
        <v>249</v>
      </c>
      <c r="B258" s="201" t="s">
        <v>1515</v>
      </c>
      <c r="C258" s="202">
        <v>400517600</v>
      </c>
      <c r="D258" s="202">
        <f t="shared" si="74"/>
        <v>1421673.1412204104</v>
      </c>
      <c r="E258" s="202">
        <v>102261000</v>
      </c>
      <c r="F258" s="202">
        <f t="shared" si="91"/>
        <v>1457004.775557379</v>
      </c>
      <c r="G258" s="202">
        <f t="shared" si="75"/>
        <v>2878678</v>
      </c>
      <c r="H258" s="203">
        <f t="shared" si="76"/>
        <v>1268580.5002314509</v>
      </c>
      <c r="I258" s="204">
        <f t="shared" si="77"/>
        <v>1046579</v>
      </c>
      <c r="J258" s="204">
        <f t="shared" si="78"/>
        <v>1046579</v>
      </c>
      <c r="K258" s="198">
        <f t="shared" si="79"/>
        <v>82.5</v>
      </c>
      <c r="L258" s="205"/>
      <c r="M258" s="206">
        <v>1015683</v>
      </c>
      <c r="N258" s="207">
        <f t="shared" si="80"/>
        <v>3.6299999999999999E-2</v>
      </c>
      <c r="O258" s="204">
        <f t="shared" si="81"/>
        <v>1052552</v>
      </c>
      <c r="P258" s="208">
        <f t="shared" si="82"/>
        <v>82.970848109990911</v>
      </c>
      <c r="Q258" s="208">
        <f t="shared" si="83"/>
        <v>0</v>
      </c>
      <c r="R258" s="209">
        <f t="shared" si="84"/>
        <v>0</v>
      </c>
      <c r="S258" s="204">
        <f t="shared" si="85"/>
        <v>0</v>
      </c>
      <c r="T258" s="210">
        <f t="shared" si="86"/>
        <v>5973</v>
      </c>
      <c r="U258" s="210">
        <f t="shared" si="71"/>
        <v>5077.05</v>
      </c>
      <c r="V258" s="203">
        <f>MIN(H258*parameters!C$22,ROUND(O258+S258-U258,0))</f>
        <v>1047475</v>
      </c>
      <c r="W258" s="211">
        <f t="shared" si="87"/>
        <v>82.570637007969893</v>
      </c>
      <c r="X258" s="208"/>
      <c r="Y258" s="212">
        <f t="shared" si="88"/>
        <v>0</v>
      </c>
      <c r="Z258" s="212">
        <f t="shared" si="72"/>
        <v>0</v>
      </c>
      <c r="AA258" s="212">
        <f t="shared" si="89"/>
        <v>896</v>
      </c>
      <c r="AB258" s="68">
        <f t="shared" si="90"/>
        <v>7.0637007969892807E-2</v>
      </c>
      <c r="AD258" s="207">
        <f t="shared" si="92"/>
        <v>5.7071659186740797E-3</v>
      </c>
      <c r="AE258" s="213">
        <f t="shared" si="93"/>
        <v>0.47084810999091076</v>
      </c>
      <c r="AF258" s="10">
        <f t="shared" si="73"/>
        <v>0</v>
      </c>
      <c r="AG258" s="214"/>
      <c r="AH258" s="214">
        <v>3.6299999999999999E-2</v>
      </c>
      <c r="AI258" s="181"/>
      <c r="AJ258" s="214"/>
      <c r="AK258" s="214"/>
      <c r="AL258" s="214"/>
      <c r="AM258" s="10"/>
      <c r="AN258" s="10"/>
    </row>
    <row r="259" spans="1:40" ht="12.75" customHeight="1">
      <c r="A259" s="201">
        <v>250</v>
      </c>
      <c r="B259" s="201" t="s">
        <v>1516</v>
      </c>
      <c r="C259" s="202">
        <v>868815700</v>
      </c>
      <c r="D259" s="202">
        <f t="shared" si="74"/>
        <v>3083939.2460171776</v>
      </c>
      <c r="E259" s="202">
        <v>207825000</v>
      </c>
      <c r="F259" s="202">
        <f t="shared" si="91"/>
        <v>2961070.37365381</v>
      </c>
      <c r="G259" s="202">
        <f t="shared" si="75"/>
        <v>6045010</v>
      </c>
      <c r="H259" s="203">
        <f t="shared" si="76"/>
        <v>9717182.2132431976</v>
      </c>
      <c r="I259" s="204">
        <f t="shared" si="77"/>
        <v>8016675</v>
      </c>
      <c r="J259" s="204">
        <f t="shared" si="78"/>
        <v>6045010</v>
      </c>
      <c r="K259" s="198">
        <f t="shared" si="79"/>
        <v>62.21</v>
      </c>
      <c r="L259" s="205"/>
      <c r="M259" s="206">
        <v>6124139</v>
      </c>
      <c r="N259" s="207">
        <f t="shared" si="80"/>
        <v>3.4099999999999998E-2</v>
      </c>
      <c r="O259" s="204">
        <f t="shared" si="81"/>
        <v>6332972</v>
      </c>
      <c r="P259" s="208">
        <f t="shared" si="82"/>
        <v>65.17292627660126</v>
      </c>
      <c r="Q259" s="208">
        <f t="shared" si="83"/>
        <v>0</v>
      </c>
      <c r="R259" s="209">
        <f t="shared" si="84"/>
        <v>0</v>
      </c>
      <c r="S259" s="204">
        <f t="shared" si="85"/>
        <v>0</v>
      </c>
      <c r="T259" s="210">
        <f t="shared" si="86"/>
        <v>287962</v>
      </c>
      <c r="U259" s="210">
        <f t="shared" si="71"/>
        <v>244767.69999999998</v>
      </c>
      <c r="V259" s="203">
        <f>MIN(H259*parameters!C$22,ROUND(O259+S259-U259,0))</f>
        <v>6088204</v>
      </c>
      <c r="W259" s="211">
        <f t="shared" si="87"/>
        <v>62.654006752107684</v>
      </c>
      <c r="X259" s="208"/>
      <c r="Y259" s="212">
        <f t="shared" si="88"/>
        <v>0</v>
      </c>
      <c r="Z259" s="212">
        <f t="shared" si="72"/>
        <v>0</v>
      </c>
      <c r="AA259" s="212">
        <f t="shared" si="89"/>
        <v>43194</v>
      </c>
      <c r="AB259" s="68">
        <f t="shared" si="90"/>
        <v>0.4440067521076827</v>
      </c>
      <c r="AD259" s="207">
        <f t="shared" si="92"/>
        <v>4.7636314910976162E-2</v>
      </c>
      <c r="AE259" s="213">
        <f t="shared" si="93"/>
        <v>2.9629262766012587</v>
      </c>
      <c r="AF259" s="10">
        <f t="shared" si="73"/>
        <v>0</v>
      </c>
      <c r="AG259" s="214"/>
      <c r="AH259" s="214">
        <v>3.4099999999999998E-2</v>
      </c>
      <c r="AI259" s="181"/>
      <c r="AJ259" s="214"/>
      <c r="AK259" s="214"/>
      <c r="AL259" s="214"/>
      <c r="AM259" s="10"/>
      <c r="AN259" s="10"/>
    </row>
    <row r="260" spans="1:40" ht="12.75" customHeight="1">
      <c r="A260" s="201">
        <v>251</v>
      </c>
      <c r="B260" s="201" t="s">
        <v>1517</v>
      </c>
      <c r="C260" s="202">
        <v>1963877100</v>
      </c>
      <c r="D260" s="202">
        <f t="shared" si="74"/>
        <v>6970957.8948036982</v>
      </c>
      <c r="E260" s="202">
        <v>488378000</v>
      </c>
      <c r="F260" s="202">
        <f t="shared" si="91"/>
        <v>6958362.213132686</v>
      </c>
      <c r="G260" s="202">
        <f t="shared" si="75"/>
        <v>13929320</v>
      </c>
      <c r="H260" s="203">
        <f t="shared" si="76"/>
        <v>28324665.210020766</v>
      </c>
      <c r="I260" s="204">
        <f t="shared" si="77"/>
        <v>23367849</v>
      </c>
      <c r="J260" s="204">
        <f t="shared" si="78"/>
        <v>13929320</v>
      </c>
      <c r="K260" s="198">
        <f t="shared" si="79"/>
        <v>49.18</v>
      </c>
      <c r="L260" s="205"/>
      <c r="M260" s="206">
        <v>13586740</v>
      </c>
      <c r="N260" s="207">
        <f t="shared" si="80"/>
        <v>4.4900000000000002E-2</v>
      </c>
      <c r="O260" s="204">
        <f t="shared" si="81"/>
        <v>14196785</v>
      </c>
      <c r="P260" s="208">
        <f t="shared" si="82"/>
        <v>50.12163390011554</v>
      </c>
      <c r="Q260" s="208">
        <f t="shared" si="83"/>
        <v>0</v>
      </c>
      <c r="R260" s="209">
        <f t="shared" si="84"/>
        <v>0</v>
      </c>
      <c r="S260" s="204">
        <f t="shared" si="85"/>
        <v>0</v>
      </c>
      <c r="T260" s="210">
        <f t="shared" si="86"/>
        <v>267465</v>
      </c>
      <c r="U260" s="210">
        <f t="shared" si="71"/>
        <v>227345.25</v>
      </c>
      <c r="V260" s="203">
        <f>MIN(H260*parameters!C$22,ROUND(O260+S260-U260,0))</f>
        <v>13969440</v>
      </c>
      <c r="W260" s="211">
        <f t="shared" si="87"/>
        <v>49.318994227892439</v>
      </c>
      <c r="X260" s="208"/>
      <c r="Y260" s="212">
        <f t="shared" si="88"/>
        <v>0</v>
      </c>
      <c r="Z260" s="212">
        <f t="shared" si="72"/>
        <v>0</v>
      </c>
      <c r="AA260" s="212">
        <f t="shared" si="89"/>
        <v>40120</v>
      </c>
      <c r="AB260" s="68">
        <f t="shared" si="90"/>
        <v>0.13899422789243943</v>
      </c>
      <c r="AD260" s="207">
        <f t="shared" si="92"/>
        <v>1.9201583422593493E-2</v>
      </c>
      <c r="AE260" s="213">
        <f t="shared" si="93"/>
        <v>0.94163390011554071</v>
      </c>
      <c r="AF260" s="10">
        <f t="shared" si="73"/>
        <v>0</v>
      </c>
      <c r="AG260" s="214"/>
      <c r="AH260" s="214">
        <v>4.4900000000000002E-2</v>
      </c>
      <c r="AI260" s="181"/>
      <c r="AJ260" s="214"/>
      <c r="AK260" s="214"/>
      <c r="AL260" s="214"/>
      <c r="AM260" s="10"/>
      <c r="AN260" s="10"/>
    </row>
    <row r="261" spans="1:40" ht="12.75" customHeight="1">
      <c r="A261" s="201">
        <v>252</v>
      </c>
      <c r="B261" s="201" t="s">
        <v>1518</v>
      </c>
      <c r="C261" s="202">
        <v>1939370400</v>
      </c>
      <c r="D261" s="202">
        <f t="shared" si="74"/>
        <v>6883969.1652948176</v>
      </c>
      <c r="E261" s="202">
        <v>346523000</v>
      </c>
      <c r="F261" s="202">
        <f t="shared" si="91"/>
        <v>4937225.9790190747</v>
      </c>
      <c r="G261" s="202">
        <f t="shared" si="75"/>
        <v>11821195</v>
      </c>
      <c r="H261" s="203">
        <f t="shared" si="76"/>
        <v>7787749.6324109565</v>
      </c>
      <c r="I261" s="204">
        <f t="shared" si="77"/>
        <v>6424893</v>
      </c>
      <c r="J261" s="204">
        <f t="shared" si="78"/>
        <v>6424893</v>
      </c>
      <c r="K261" s="198">
        <f t="shared" si="79"/>
        <v>82.5</v>
      </c>
      <c r="L261" s="205"/>
      <c r="M261" s="206">
        <v>6659881</v>
      </c>
      <c r="N261" s="207">
        <f t="shared" si="80"/>
        <v>2.8300000000000002E-2</v>
      </c>
      <c r="O261" s="204">
        <f t="shared" si="81"/>
        <v>6848356</v>
      </c>
      <c r="P261" s="208">
        <f t="shared" si="82"/>
        <v>87.93754708675533</v>
      </c>
      <c r="Q261" s="208">
        <f t="shared" si="83"/>
        <v>0</v>
      </c>
      <c r="R261" s="209">
        <f t="shared" si="84"/>
        <v>0</v>
      </c>
      <c r="S261" s="204">
        <f t="shared" si="85"/>
        <v>0</v>
      </c>
      <c r="T261" s="210">
        <f t="shared" si="86"/>
        <v>423463</v>
      </c>
      <c r="U261" s="210">
        <f t="shared" si="71"/>
        <v>359943.55</v>
      </c>
      <c r="V261" s="203">
        <f>MIN(H261*parameters!C$22,ROUND(O261+S261-U261,0))</f>
        <v>6488412</v>
      </c>
      <c r="W261" s="211">
        <f t="shared" si="87"/>
        <v>83.315621408739318</v>
      </c>
      <c r="X261" s="208"/>
      <c r="Y261" s="212">
        <f t="shared" si="88"/>
        <v>0</v>
      </c>
      <c r="Z261" s="212">
        <f t="shared" si="72"/>
        <v>0</v>
      </c>
      <c r="AA261" s="212">
        <f t="shared" si="89"/>
        <v>63519</v>
      </c>
      <c r="AB261" s="68">
        <f t="shared" si="90"/>
        <v>0.8156214087393181</v>
      </c>
      <c r="AD261" s="207">
        <f t="shared" si="92"/>
        <v>6.5909735773031553E-2</v>
      </c>
      <c r="AE261" s="213">
        <f t="shared" si="93"/>
        <v>5.4375470867553304</v>
      </c>
      <c r="AF261" s="10">
        <f t="shared" si="73"/>
        <v>0</v>
      </c>
      <c r="AG261" s="214"/>
      <c r="AH261" s="214">
        <v>2.8300000000000002E-2</v>
      </c>
      <c r="AI261" s="181"/>
      <c r="AJ261" s="214"/>
      <c r="AK261" s="214"/>
      <c r="AL261" s="214"/>
      <c r="AM261" s="10"/>
      <c r="AN261" s="10"/>
    </row>
    <row r="262" spans="1:40" ht="12.75" customHeight="1">
      <c r="A262" s="201">
        <v>253</v>
      </c>
      <c r="B262" s="201" t="s">
        <v>1519</v>
      </c>
      <c r="C262" s="202">
        <v>297787500</v>
      </c>
      <c r="D262" s="202">
        <f t="shared" si="74"/>
        <v>1057023.438024129</v>
      </c>
      <c r="E262" s="202">
        <v>11259000</v>
      </c>
      <c r="F262" s="202">
        <f t="shared" si="91"/>
        <v>160417.13622984843</v>
      </c>
      <c r="G262" s="202">
        <f t="shared" si="75"/>
        <v>1217441</v>
      </c>
      <c r="H262" s="203">
        <f t="shared" si="76"/>
        <v>637861.27157375612</v>
      </c>
      <c r="I262" s="204">
        <f t="shared" si="77"/>
        <v>526236</v>
      </c>
      <c r="J262" s="204">
        <f t="shared" si="78"/>
        <v>526236</v>
      </c>
      <c r="K262" s="198">
        <f t="shared" si="79"/>
        <v>82.5</v>
      </c>
      <c r="L262" s="205"/>
      <c r="M262" s="206">
        <v>535088</v>
      </c>
      <c r="N262" s="207">
        <f t="shared" si="80"/>
        <v>3.44E-2</v>
      </c>
      <c r="O262" s="204">
        <f t="shared" si="81"/>
        <v>553495</v>
      </c>
      <c r="P262" s="208">
        <f t="shared" si="82"/>
        <v>86.773570471584776</v>
      </c>
      <c r="Q262" s="208">
        <f t="shared" si="83"/>
        <v>0</v>
      </c>
      <c r="R262" s="209">
        <f t="shared" si="84"/>
        <v>0</v>
      </c>
      <c r="S262" s="204">
        <f t="shared" si="85"/>
        <v>0</v>
      </c>
      <c r="T262" s="210">
        <f t="shared" si="86"/>
        <v>27259</v>
      </c>
      <c r="U262" s="210">
        <f t="shared" si="71"/>
        <v>23170.149999999998</v>
      </c>
      <c r="V262" s="203">
        <f>MIN(H262*parameters!C$22,ROUND(O262+S262-U262,0))</f>
        <v>530325</v>
      </c>
      <c r="W262" s="211">
        <f t="shared" si="87"/>
        <v>83.141119179655092</v>
      </c>
      <c r="X262" s="208"/>
      <c r="Y262" s="212">
        <f t="shared" si="88"/>
        <v>0</v>
      </c>
      <c r="Z262" s="212">
        <f t="shared" si="72"/>
        <v>0</v>
      </c>
      <c r="AA262" s="212">
        <f t="shared" si="89"/>
        <v>4089</v>
      </c>
      <c r="AB262" s="68">
        <f t="shared" si="90"/>
        <v>0.64111917965509235</v>
      </c>
      <c r="AD262" s="207">
        <f t="shared" si="92"/>
        <v>5.1799952872855527E-2</v>
      </c>
      <c r="AE262" s="213">
        <f t="shared" si="93"/>
        <v>4.273570471584776</v>
      </c>
      <c r="AF262" s="10">
        <f t="shared" si="73"/>
        <v>0</v>
      </c>
      <c r="AG262" s="214"/>
      <c r="AH262" s="214">
        <v>3.44E-2</v>
      </c>
      <c r="AI262" s="181"/>
      <c r="AJ262" s="214"/>
      <c r="AK262" s="214"/>
      <c r="AL262" s="214"/>
      <c r="AM262" s="10"/>
      <c r="AN262" s="10"/>
    </row>
    <row r="263" spans="1:40" ht="12.75" customHeight="1">
      <c r="A263" s="201">
        <v>254</v>
      </c>
      <c r="B263" s="201" t="s">
        <v>1520</v>
      </c>
      <c r="C263" s="202">
        <v>1010513300</v>
      </c>
      <c r="D263" s="202">
        <f t="shared" si="74"/>
        <v>3586907.5852247262</v>
      </c>
      <c r="E263" s="202">
        <v>275562000</v>
      </c>
      <c r="F263" s="202">
        <f t="shared" si="91"/>
        <v>3926180.557222621</v>
      </c>
      <c r="G263" s="202">
        <f t="shared" si="75"/>
        <v>7513088</v>
      </c>
      <c r="H263" s="203">
        <f t="shared" si="76"/>
        <v>8402083.6884062812</v>
      </c>
      <c r="I263" s="204">
        <f t="shared" si="77"/>
        <v>6931719</v>
      </c>
      <c r="J263" s="204">
        <f t="shared" si="78"/>
        <v>6931719</v>
      </c>
      <c r="K263" s="198">
        <f t="shared" si="79"/>
        <v>82.5</v>
      </c>
      <c r="L263" s="205"/>
      <c r="M263" s="206">
        <v>7047409</v>
      </c>
      <c r="N263" s="207">
        <f t="shared" si="80"/>
        <v>4.0899999999999999E-2</v>
      </c>
      <c r="O263" s="204">
        <f t="shared" si="81"/>
        <v>7335648</v>
      </c>
      <c r="P263" s="208">
        <f t="shared" si="82"/>
        <v>87.307485524360871</v>
      </c>
      <c r="Q263" s="208">
        <f t="shared" si="83"/>
        <v>0</v>
      </c>
      <c r="R263" s="209">
        <f t="shared" si="84"/>
        <v>0</v>
      </c>
      <c r="S263" s="204">
        <f t="shared" si="85"/>
        <v>0</v>
      </c>
      <c r="T263" s="210">
        <f t="shared" si="86"/>
        <v>403929</v>
      </c>
      <c r="U263" s="210">
        <f t="shared" si="71"/>
        <v>343339.64999999997</v>
      </c>
      <c r="V263" s="203">
        <f>MIN(H263*parameters!C$22,ROUND(O263+S263-U263,0))</f>
        <v>6992308</v>
      </c>
      <c r="W263" s="211">
        <f t="shared" si="87"/>
        <v>83.221118228665375</v>
      </c>
      <c r="X263" s="208"/>
      <c r="Y263" s="212">
        <f t="shared" si="88"/>
        <v>0</v>
      </c>
      <c r="Z263" s="212">
        <f t="shared" si="72"/>
        <v>0</v>
      </c>
      <c r="AA263" s="212">
        <f t="shared" si="89"/>
        <v>60589</v>
      </c>
      <c r="AB263" s="68">
        <f t="shared" si="90"/>
        <v>0.72111822866537523</v>
      </c>
      <c r="AD263" s="207">
        <f t="shared" si="92"/>
        <v>5.8272558365392482E-2</v>
      </c>
      <c r="AE263" s="213">
        <f t="shared" si="93"/>
        <v>4.807485524360871</v>
      </c>
      <c r="AF263" s="10">
        <f t="shared" si="73"/>
        <v>0</v>
      </c>
      <c r="AG263" s="214"/>
      <c r="AH263" s="214">
        <v>4.0899999999999999E-2</v>
      </c>
      <c r="AI263" s="181"/>
      <c r="AJ263" s="214"/>
      <c r="AK263" s="214"/>
      <c r="AL263" s="214"/>
      <c r="AM263" s="10"/>
      <c r="AN263" s="10"/>
    </row>
    <row r="264" spans="1:40" ht="12.75" customHeight="1">
      <c r="A264" s="201">
        <v>255</v>
      </c>
      <c r="B264" s="201" t="s">
        <v>1521</v>
      </c>
      <c r="C264" s="202">
        <v>129382800</v>
      </c>
      <c r="D264" s="202">
        <f t="shared" si="74"/>
        <v>459255.85216702608</v>
      </c>
      <c r="E264" s="202">
        <v>30248000</v>
      </c>
      <c r="F264" s="202">
        <f t="shared" si="91"/>
        <v>430970.56014570169</v>
      </c>
      <c r="G264" s="202">
        <f t="shared" si="75"/>
        <v>890226</v>
      </c>
      <c r="H264" s="203">
        <f t="shared" si="76"/>
        <v>1610290.2762152287</v>
      </c>
      <c r="I264" s="204">
        <f t="shared" si="77"/>
        <v>1328489</v>
      </c>
      <c r="J264" s="204">
        <f t="shared" si="78"/>
        <v>890226</v>
      </c>
      <c r="K264" s="198">
        <f t="shared" si="79"/>
        <v>55.28</v>
      </c>
      <c r="L264" s="205"/>
      <c r="M264" s="206">
        <v>507090</v>
      </c>
      <c r="N264" s="207">
        <f t="shared" si="80"/>
        <v>2.9499999999999998E-2</v>
      </c>
      <c r="O264" s="204">
        <f t="shared" si="81"/>
        <v>522049</v>
      </c>
      <c r="P264" s="208">
        <f t="shared" si="82"/>
        <v>32.419558616910123</v>
      </c>
      <c r="Q264" s="208">
        <f t="shared" si="83"/>
        <v>22.860441383089878</v>
      </c>
      <c r="R264" s="209">
        <f t="shared" si="84"/>
        <v>0.02</v>
      </c>
      <c r="S264" s="204">
        <f t="shared" si="85"/>
        <v>10142</v>
      </c>
      <c r="T264" s="210">
        <f t="shared" si="86"/>
        <v>0</v>
      </c>
      <c r="U264" s="210">
        <f t="shared" si="71"/>
        <v>0</v>
      </c>
      <c r="V264" s="203">
        <f>MIN(H264*parameters!C$22,ROUND(O264+S264-U264,0))</f>
        <v>532191</v>
      </c>
      <c r="W264" s="211">
        <f t="shared" si="87"/>
        <v>33.049382950435714</v>
      </c>
      <c r="X264" s="208"/>
      <c r="Y264" s="212">
        <f t="shared" si="88"/>
        <v>-368177</v>
      </c>
      <c r="Z264" s="212">
        <f t="shared" si="72"/>
        <v>358035</v>
      </c>
      <c r="AA264" s="212">
        <f t="shared" si="89"/>
        <v>0</v>
      </c>
      <c r="AB264" s="68">
        <f t="shared" si="90"/>
        <v>-22.230617049564287</v>
      </c>
      <c r="AD264" s="207">
        <f t="shared" si="92"/>
        <v>-0.4135770017950498</v>
      </c>
      <c r="AE264" s="213">
        <f t="shared" si="93"/>
        <v>-22.860441383089878</v>
      </c>
      <c r="AF264" s="10">
        <f t="shared" si="73"/>
        <v>10141.800000000001</v>
      </c>
      <c r="AG264" s="214"/>
      <c r="AH264" s="214">
        <v>2.9499999999999998E-2</v>
      </c>
      <c r="AI264" s="181"/>
      <c r="AJ264" s="214"/>
      <c r="AK264" s="214"/>
      <c r="AL264" s="214"/>
      <c r="AM264" s="10"/>
      <c r="AN264" s="10"/>
    </row>
    <row r="265" spans="1:40" ht="12.75" customHeight="1">
      <c r="A265" s="201">
        <v>256</v>
      </c>
      <c r="B265" s="201" t="s">
        <v>1522</v>
      </c>
      <c r="C265" s="202">
        <v>137623100</v>
      </c>
      <c r="D265" s="202">
        <f t="shared" si="74"/>
        <v>488505.53604009072</v>
      </c>
      <c r="E265" s="202">
        <v>43084000</v>
      </c>
      <c r="F265" s="202">
        <f t="shared" si="91"/>
        <v>613856.63889570918</v>
      </c>
      <c r="G265" s="202">
        <f t="shared" si="75"/>
        <v>1102362</v>
      </c>
      <c r="H265" s="203">
        <f t="shared" si="76"/>
        <v>2872320.7963405224</v>
      </c>
      <c r="I265" s="204">
        <f t="shared" si="77"/>
        <v>2369665</v>
      </c>
      <c r="J265" s="204">
        <f t="shared" si="78"/>
        <v>1102362</v>
      </c>
      <c r="K265" s="198">
        <f t="shared" si="79"/>
        <v>38.380000000000003</v>
      </c>
      <c r="L265" s="205"/>
      <c r="M265" s="206">
        <v>1167811</v>
      </c>
      <c r="N265" s="207">
        <f t="shared" si="80"/>
        <v>2.58E-2</v>
      </c>
      <c r="O265" s="204">
        <f t="shared" si="81"/>
        <v>1197941</v>
      </c>
      <c r="P265" s="208">
        <f t="shared" si="82"/>
        <v>41.70637908990652</v>
      </c>
      <c r="Q265" s="208">
        <f t="shared" si="83"/>
        <v>0</v>
      </c>
      <c r="R265" s="209">
        <f t="shared" si="84"/>
        <v>0</v>
      </c>
      <c r="S265" s="204">
        <f t="shared" si="85"/>
        <v>0</v>
      </c>
      <c r="T265" s="210">
        <f t="shared" si="86"/>
        <v>95579</v>
      </c>
      <c r="U265" s="210">
        <f t="shared" si="71"/>
        <v>81242.149999999994</v>
      </c>
      <c r="V265" s="203">
        <f>MIN(H265*parameters!C$22,ROUND(O265+S265-U265,0))</f>
        <v>1116699</v>
      </c>
      <c r="W265" s="211">
        <f t="shared" si="87"/>
        <v>38.877934575508746</v>
      </c>
      <c r="X265" s="208"/>
      <c r="Y265" s="212">
        <f t="shared" si="88"/>
        <v>0</v>
      </c>
      <c r="Z265" s="212">
        <f t="shared" si="72"/>
        <v>0</v>
      </c>
      <c r="AA265" s="212">
        <f t="shared" si="89"/>
        <v>14337</v>
      </c>
      <c r="AB265" s="68">
        <f t="shared" si="90"/>
        <v>0.49793457550874365</v>
      </c>
      <c r="AD265" s="207">
        <f t="shared" si="92"/>
        <v>8.6703823244995745E-2</v>
      </c>
      <c r="AE265" s="213">
        <f t="shared" si="93"/>
        <v>3.3263790899065171</v>
      </c>
      <c r="AF265" s="10">
        <f t="shared" si="73"/>
        <v>0</v>
      </c>
      <c r="AG265" s="214"/>
      <c r="AH265" s="214">
        <v>2.58E-2</v>
      </c>
      <c r="AI265" s="181"/>
      <c r="AJ265" s="214"/>
      <c r="AK265" s="214"/>
      <c r="AL265" s="214"/>
      <c r="AM265" s="10"/>
      <c r="AN265" s="10"/>
    </row>
    <row r="266" spans="1:40" ht="12.75" customHeight="1">
      <c r="A266" s="201">
        <v>257</v>
      </c>
      <c r="B266" s="201" t="s">
        <v>1523</v>
      </c>
      <c r="C266" s="202">
        <v>816084800</v>
      </c>
      <c r="D266" s="202">
        <f t="shared" si="74"/>
        <v>2896766.1873491458</v>
      </c>
      <c r="E266" s="202">
        <v>305804000</v>
      </c>
      <c r="F266" s="202">
        <f t="shared" si="91"/>
        <v>4357065.6299522659</v>
      </c>
      <c r="G266" s="202">
        <f t="shared" si="75"/>
        <v>7253832</v>
      </c>
      <c r="H266" s="203">
        <f t="shared" si="76"/>
        <v>16199398.672161877</v>
      </c>
      <c r="I266" s="204">
        <f t="shared" si="77"/>
        <v>13364504</v>
      </c>
      <c r="J266" s="204">
        <f t="shared" si="78"/>
        <v>7253832</v>
      </c>
      <c r="K266" s="198">
        <f t="shared" si="79"/>
        <v>44.78</v>
      </c>
      <c r="L266" s="205"/>
      <c r="M266" s="206">
        <v>7032773</v>
      </c>
      <c r="N266" s="207">
        <f t="shared" si="80"/>
        <v>4.7500000000000001E-2</v>
      </c>
      <c r="O266" s="204">
        <f t="shared" si="81"/>
        <v>7366830</v>
      </c>
      <c r="P266" s="208">
        <f t="shared" si="82"/>
        <v>45.475947281053401</v>
      </c>
      <c r="Q266" s="208">
        <f t="shared" si="83"/>
        <v>0</v>
      </c>
      <c r="R266" s="209">
        <f t="shared" si="84"/>
        <v>0</v>
      </c>
      <c r="S266" s="204">
        <f t="shared" si="85"/>
        <v>0</v>
      </c>
      <c r="T266" s="210">
        <f t="shared" si="86"/>
        <v>112998</v>
      </c>
      <c r="U266" s="210">
        <f t="shared" ref="U266:U329" si="94">MAX(T266*(U$5),0)</f>
        <v>96048.3</v>
      </c>
      <c r="V266" s="203">
        <f>MIN(H266*parameters!C$22,ROUND(O266+S266-U266,0))</f>
        <v>7270782</v>
      </c>
      <c r="W266" s="211">
        <f t="shared" si="87"/>
        <v>44.883036383903523</v>
      </c>
      <c r="X266" s="208"/>
      <c r="Y266" s="212">
        <f t="shared" si="88"/>
        <v>0</v>
      </c>
      <c r="Z266" s="212">
        <f t="shared" ref="Z266:Z329" si="95">MAX(J266-(O266+S266),0)</f>
        <v>0</v>
      </c>
      <c r="AA266" s="212">
        <f t="shared" si="89"/>
        <v>16950</v>
      </c>
      <c r="AB266" s="68">
        <f t="shared" si="90"/>
        <v>0.10303638390352177</v>
      </c>
      <c r="AD266" s="207">
        <f t="shared" si="92"/>
        <v>1.5577697415655616E-2</v>
      </c>
      <c r="AE266" s="213">
        <f t="shared" si="93"/>
        <v>0.69594728105339954</v>
      </c>
      <c r="AF266" s="10">
        <f t="shared" ref="AF266:AF329" si="96">IF(AD266&lt;$AF$5, $AF$6*(M266), IF(AND(AD266&lt;$AF$4, AD266&gt;$AF$5), $AF$7*(M266), 0))</f>
        <v>0</v>
      </c>
      <c r="AG266" s="214"/>
      <c r="AH266" s="214">
        <v>4.7500000000000001E-2</v>
      </c>
      <c r="AI266" s="181"/>
      <c r="AJ266" s="214"/>
      <c r="AK266" s="214"/>
      <c r="AL266" s="214"/>
      <c r="AM266" s="10"/>
      <c r="AN266" s="10"/>
    </row>
    <row r="267" spans="1:40" ht="12.75" customHeight="1">
      <c r="A267" s="201">
        <v>258</v>
      </c>
      <c r="B267" s="201" t="s">
        <v>1524</v>
      </c>
      <c r="C267" s="202">
        <v>4790270400</v>
      </c>
      <c r="D267" s="202">
        <f t="shared" ref="D267:D330" si="97">D$5*C267</f>
        <v>17003494.395410217</v>
      </c>
      <c r="E267" s="202">
        <v>1201348000</v>
      </c>
      <c r="F267" s="202">
        <f t="shared" si="91"/>
        <v>17116689.384088814</v>
      </c>
      <c r="G267" s="202">
        <f t="shared" ref="G267:G330" si="98">ROUND(D267+F267,0)</f>
        <v>34120184</v>
      </c>
      <c r="H267" s="203">
        <f t="shared" ref="H267:H330" si="99">(SUMIF(town1755,A267,found1755)/2)</f>
        <v>55743234.755487196</v>
      </c>
      <c r="I267" s="204">
        <f t="shared" ref="I267:I330" si="100">ROUND(H267*maxloc,0)</f>
        <v>45988169</v>
      </c>
      <c r="J267" s="204">
        <f t="shared" ref="J267:J330" si="101">MIN(G267,I267)</f>
        <v>34120184</v>
      </c>
      <c r="K267" s="198">
        <f t="shared" ref="K267:K330" si="102">IF(H267&gt;0, ROUND((J267*100/H267), 2), 0)</f>
        <v>61.21</v>
      </c>
      <c r="L267" s="205"/>
      <c r="M267" s="206">
        <v>33006255</v>
      </c>
      <c r="N267" s="207">
        <f t="shared" ref="N267:N330" si="103">IF($N$5=1,AH267, IF( $N$5=2,AI267, IF( $N$5=3, AJ267, IF($N$5=4, AK267, 0))))</f>
        <v>3.7600000000000001E-2</v>
      </c>
      <c r="O267" s="204">
        <f t="shared" ref="O267:O330" si="104">ROUND(M267*(1+N267),0)</f>
        <v>34247290</v>
      </c>
      <c r="P267" s="208">
        <f t="shared" ref="P267:P330" si="105">O267*100/H267</f>
        <v>61.437572021470821</v>
      </c>
      <c r="Q267" s="208">
        <f t="shared" ref="Q267:Q330" si="106">IF(K267&gt;P267,K267-P267,0)</f>
        <v>0</v>
      </c>
      <c r="R267" s="209">
        <f t="shared" ref="R267:R330" si="107">IF(AND(Q267&gt;$S$4,Q267&lt;=$S$5),$R$4,IF(Q267&gt;$S$5,$R$5,0))</f>
        <v>0</v>
      </c>
      <c r="S267" s="204">
        <f t="shared" ref="S267:S330" si="108">ROUND(R267*M267,0)</f>
        <v>0</v>
      </c>
      <c r="T267" s="210">
        <f t="shared" ref="T267:T330" si="109">MAX(O267-J267,0)</f>
        <v>127106</v>
      </c>
      <c r="U267" s="210">
        <f t="shared" si="94"/>
        <v>108040.09999999999</v>
      </c>
      <c r="V267" s="203">
        <f>MIN(H267*parameters!C$22,ROUND(O267+S267-U267,0))</f>
        <v>34139250</v>
      </c>
      <c r="W267" s="211">
        <f t="shared" ref="W267:W330" si="110">V267*100/H267</f>
        <v>61.243754779837985</v>
      </c>
      <c r="X267" s="208"/>
      <c r="Y267" s="212">
        <f t="shared" ref="Y267:Y330" si="111">IF(P267&lt;K267, O267-J267, 0)</f>
        <v>0</v>
      </c>
      <c r="Z267" s="212">
        <f t="shared" si="95"/>
        <v>0</v>
      </c>
      <c r="AA267" s="212">
        <f t="shared" ref="AA267:AA330" si="112">IF(P267&gt;K267, V267-J267,0)</f>
        <v>19066</v>
      </c>
      <c r="AB267" s="68">
        <f t="shared" ref="AB267:AB330" si="113">W267-K267</f>
        <v>3.3754779837984472E-2</v>
      </c>
      <c r="AD267" s="207">
        <f t="shared" si="92"/>
        <v>3.7252436856729729E-3</v>
      </c>
      <c r="AE267" s="213">
        <f t="shared" si="93"/>
        <v>0.22757202147082012</v>
      </c>
      <c r="AF267" s="10">
        <f t="shared" si="96"/>
        <v>0</v>
      </c>
      <c r="AG267" s="214"/>
      <c r="AH267" s="214">
        <v>3.7600000000000001E-2</v>
      </c>
      <c r="AI267" s="181"/>
      <c r="AJ267" s="214"/>
      <c r="AK267" s="214"/>
      <c r="AL267" s="214"/>
      <c r="AM267" s="10"/>
      <c r="AN267" s="10"/>
    </row>
    <row r="268" spans="1:40" ht="12.75" customHeight="1">
      <c r="A268" s="201">
        <v>259</v>
      </c>
      <c r="B268" s="201" t="s">
        <v>1525</v>
      </c>
      <c r="C268" s="202">
        <v>1587264800</v>
      </c>
      <c r="D268" s="202">
        <f t="shared" si="97"/>
        <v>5634138.759856212</v>
      </c>
      <c r="E268" s="202">
        <v>230256000</v>
      </c>
      <c r="F268" s="202">
        <f t="shared" ref="F268:F331" si="114">E268*F$5</f>
        <v>3280665.0785806892</v>
      </c>
      <c r="G268" s="202">
        <f t="shared" si="98"/>
        <v>8914804</v>
      </c>
      <c r="H268" s="203">
        <f t="shared" si="99"/>
        <v>9943034.020896256</v>
      </c>
      <c r="I268" s="204">
        <f t="shared" si="100"/>
        <v>8203003</v>
      </c>
      <c r="J268" s="204">
        <f t="shared" si="101"/>
        <v>8203003</v>
      </c>
      <c r="K268" s="198">
        <f t="shared" si="102"/>
        <v>82.5</v>
      </c>
      <c r="L268" s="205"/>
      <c r="M268" s="206">
        <v>8442484</v>
      </c>
      <c r="N268" s="207">
        <f t="shared" si="103"/>
        <v>5.0700000000000002E-2</v>
      </c>
      <c r="O268" s="204">
        <f t="shared" si="104"/>
        <v>8870518</v>
      </c>
      <c r="P268" s="208">
        <f t="shared" si="105"/>
        <v>89.213392827156596</v>
      </c>
      <c r="Q268" s="208">
        <f t="shared" si="106"/>
        <v>0</v>
      </c>
      <c r="R268" s="209">
        <f t="shared" si="107"/>
        <v>0</v>
      </c>
      <c r="S268" s="204">
        <f t="shared" si="108"/>
        <v>0</v>
      </c>
      <c r="T268" s="210">
        <f t="shared" si="109"/>
        <v>667515</v>
      </c>
      <c r="U268" s="210">
        <f t="shared" si="94"/>
        <v>567387.75</v>
      </c>
      <c r="V268" s="203">
        <f>MIN(H268*parameters!C$22,ROUND(O268+S268-U268,0))</f>
        <v>8303130</v>
      </c>
      <c r="W268" s="211">
        <f t="shared" si="110"/>
        <v>83.507005834940941</v>
      </c>
      <c r="X268" s="208"/>
      <c r="Y268" s="212">
        <f t="shared" si="111"/>
        <v>0</v>
      </c>
      <c r="Z268" s="212">
        <f t="shared" si="95"/>
        <v>0</v>
      </c>
      <c r="AA268" s="212">
        <f t="shared" si="112"/>
        <v>100127</v>
      </c>
      <c r="AB268" s="68">
        <f t="shared" si="113"/>
        <v>1.0070058349409408</v>
      </c>
      <c r="AD268" s="207">
        <f t="shared" si="92"/>
        <v>8.1374467374935741E-2</v>
      </c>
      <c r="AE268" s="213">
        <f t="shared" si="93"/>
        <v>6.7133928271565964</v>
      </c>
      <c r="AF268" s="10">
        <f t="shared" si="96"/>
        <v>0</v>
      </c>
      <c r="AG268" s="214"/>
      <c r="AH268" s="214">
        <v>5.0700000000000002E-2</v>
      </c>
      <c r="AI268" s="181"/>
      <c r="AJ268" s="214"/>
      <c r="AK268" s="214"/>
      <c r="AL268" s="214"/>
      <c r="AM268" s="10"/>
      <c r="AN268" s="10"/>
    </row>
    <row r="269" spans="1:40" ht="12.75" customHeight="1">
      <c r="A269" s="201">
        <v>260</v>
      </c>
      <c r="B269" s="201" t="s">
        <v>1526</v>
      </c>
      <c r="C269" s="202">
        <v>222124900</v>
      </c>
      <c r="D269" s="202">
        <f t="shared" si="97"/>
        <v>788452.253599516</v>
      </c>
      <c r="E269" s="202">
        <v>19214000</v>
      </c>
      <c r="F269" s="202">
        <f t="shared" si="114"/>
        <v>273759.20201796852</v>
      </c>
      <c r="G269" s="202">
        <f t="shared" si="98"/>
        <v>1062211</v>
      </c>
      <c r="H269" s="203">
        <f t="shared" si="99"/>
        <v>854038.81944231491</v>
      </c>
      <c r="I269" s="204">
        <f t="shared" si="100"/>
        <v>704582</v>
      </c>
      <c r="J269" s="204">
        <f t="shared" si="101"/>
        <v>704582</v>
      </c>
      <c r="K269" s="198">
        <f t="shared" si="102"/>
        <v>82.5</v>
      </c>
      <c r="L269" s="205"/>
      <c r="M269" s="206">
        <v>763139</v>
      </c>
      <c r="N269" s="207">
        <f t="shared" si="103"/>
        <v>2.9899999999999996E-2</v>
      </c>
      <c r="O269" s="204">
        <f t="shared" si="104"/>
        <v>785957</v>
      </c>
      <c r="P269" s="208">
        <f t="shared" si="105"/>
        <v>92.028252358976829</v>
      </c>
      <c r="Q269" s="208">
        <f t="shared" si="106"/>
        <v>0</v>
      </c>
      <c r="R269" s="209">
        <f t="shared" si="107"/>
        <v>0</v>
      </c>
      <c r="S269" s="204">
        <f t="shared" si="108"/>
        <v>0</v>
      </c>
      <c r="T269" s="210">
        <f t="shared" si="109"/>
        <v>81375</v>
      </c>
      <c r="U269" s="210">
        <f t="shared" si="94"/>
        <v>69168.75</v>
      </c>
      <c r="V269" s="203">
        <f>MIN(H269*parameters!C$22,ROUND(O269+S269-U269,0))</f>
        <v>716788</v>
      </c>
      <c r="W269" s="211">
        <f t="shared" si="110"/>
        <v>83.929205989495969</v>
      </c>
      <c r="X269" s="208"/>
      <c r="Y269" s="212">
        <f t="shared" si="111"/>
        <v>0</v>
      </c>
      <c r="Z269" s="212">
        <f t="shared" si="95"/>
        <v>0</v>
      </c>
      <c r="AA269" s="212">
        <f t="shared" si="112"/>
        <v>12206</v>
      </c>
      <c r="AB269" s="68">
        <f t="shared" si="113"/>
        <v>1.4292059894959692</v>
      </c>
      <c r="AD269" s="207">
        <f t="shared" si="92"/>
        <v>0.11549400921397368</v>
      </c>
      <c r="AE269" s="213">
        <f t="shared" si="93"/>
        <v>9.5282523589768289</v>
      </c>
      <c r="AF269" s="10">
        <f t="shared" si="96"/>
        <v>0</v>
      </c>
      <c r="AG269" s="214"/>
      <c r="AH269" s="214">
        <v>2.9899999999999996E-2</v>
      </c>
      <c r="AI269" s="181"/>
      <c r="AJ269" s="214"/>
      <c r="AK269" s="214"/>
      <c r="AL269" s="214"/>
      <c r="AM269" s="10"/>
      <c r="AN269" s="10"/>
    </row>
    <row r="270" spans="1:40" ht="12.75" customHeight="1">
      <c r="A270" s="201">
        <v>261</v>
      </c>
      <c r="B270" s="201" t="s">
        <v>1527</v>
      </c>
      <c r="C270" s="202">
        <v>4063013700</v>
      </c>
      <c r="D270" s="202">
        <f t="shared" si="97"/>
        <v>14422031.515470386</v>
      </c>
      <c r="E270" s="202">
        <v>750561000</v>
      </c>
      <c r="F270" s="202">
        <f t="shared" si="114"/>
        <v>10693920.080452194</v>
      </c>
      <c r="G270" s="202">
        <f t="shared" si="98"/>
        <v>25115952</v>
      </c>
      <c r="H270" s="203">
        <f t="shared" si="99"/>
        <v>30122979.006934393</v>
      </c>
      <c r="I270" s="204">
        <f t="shared" si="100"/>
        <v>24851458</v>
      </c>
      <c r="J270" s="204">
        <f t="shared" si="101"/>
        <v>24851458</v>
      </c>
      <c r="K270" s="198">
        <f t="shared" si="102"/>
        <v>82.5</v>
      </c>
      <c r="L270" s="205"/>
      <c r="M270" s="206">
        <v>25087976</v>
      </c>
      <c r="N270" s="207">
        <f t="shared" si="103"/>
        <v>4.2700000000000002E-2</v>
      </c>
      <c r="O270" s="204">
        <f t="shared" si="104"/>
        <v>26159233</v>
      </c>
      <c r="P270" s="208">
        <f t="shared" si="105"/>
        <v>86.841454140302901</v>
      </c>
      <c r="Q270" s="208">
        <f t="shared" si="106"/>
        <v>0</v>
      </c>
      <c r="R270" s="209">
        <f t="shared" si="107"/>
        <v>0</v>
      </c>
      <c r="S270" s="204">
        <f t="shared" si="108"/>
        <v>0</v>
      </c>
      <c r="T270" s="210">
        <f t="shared" si="109"/>
        <v>1307775</v>
      </c>
      <c r="U270" s="210">
        <f t="shared" si="94"/>
        <v>1111608.75</v>
      </c>
      <c r="V270" s="203">
        <f>MIN(H270*parameters!C$22,ROUND(O270+S270-U270,0))</f>
        <v>25047624</v>
      </c>
      <c r="W270" s="211">
        <f t="shared" si="110"/>
        <v>83.151218192045235</v>
      </c>
      <c r="X270" s="208"/>
      <c r="Y270" s="212">
        <f t="shared" si="111"/>
        <v>0</v>
      </c>
      <c r="Z270" s="212">
        <f t="shared" si="95"/>
        <v>0</v>
      </c>
      <c r="AA270" s="212">
        <f t="shared" si="112"/>
        <v>196166</v>
      </c>
      <c r="AB270" s="68">
        <f t="shared" si="113"/>
        <v>0.6512181920452349</v>
      </c>
      <c r="AD270" s="207">
        <f t="shared" si="92"/>
        <v>5.2623673025542404E-2</v>
      </c>
      <c r="AE270" s="213">
        <f t="shared" si="93"/>
        <v>4.3414541403029006</v>
      </c>
      <c r="AF270" s="10">
        <f t="shared" si="96"/>
        <v>0</v>
      </c>
      <c r="AG270" s="214"/>
      <c r="AH270" s="214">
        <v>4.2700000000000002E-2</v>
      </c>
      <c r="AI270" s="181"/>
      <c r="AJ270" s="214"/>
      <c r="AK270" s="214"/>
      <c r="AL270" s="214"/>
      <c r="AM270" s="10"/>
      <c r="AN270" s="10"/>
    </row>
    <row r="271" spans="1:40" ht="12.75" customHeight="1">
      <c r="A271" s="201">
        <v>262</v>
      </c>
      <c r="B271" s="201" t="s">
        <v>1528</v>
      </c>
      <c r="C271" s="202">
        <v>4162848900</v>
      </c>
      <c r="D271" s="202">
        <f t="shared" si="97"/>
        <v>14776405.511490455</v>
      </c>
      <c r="E271" s="202">
        <v>866440000</v>
      </c>
      <c r="F271" s="202">
        <f t="shared" si="114"/>
        <v>12344952.794652266</v>
      </c>
      <c r="G271" s="202">
        <f t="shared" si="98"/>
        <v>27121358</v>
      </c>
      <c r="H271" s="203">
        <f t="shared" si="99"/>
        <v>31064376.091137774</v>
      </c>
      <c r="I271" s="204">
        <f t="shared" si="100"/>
        <v>25628110</v>
      </c>
      <c r="J271" s="204">
        <f t="shared" si="101"/>
        <v>25628110</v>
      </c>
      <c r="K271" s="198">
        <f t="shared" si="102"/>
        <v>82.5</v>
      </c>
      <c r="L271" s="205"/>
      <c r="M271" s="206">
        <v>25875863</v>
      </c>
      <c r="N271" s="207">
        <f t="shared" si="103"/>
        <v>4.5199999999999997E-2</v>
      </c>
      <c r="O271" s="204">
        <f t="shared" si="104"/>
        <v>27045452</v>
      </c>
      <c r="P271" s="208">
        <f t="shared" si="105"/>
        <v>87.062595175428882</v>
      </c>
      <c r="Q271" s="208">
        <f t="shared" si="106"/>
        <v>0</v>
      </c>
      <c r="R271" s="209">
        <f t="shared" si="107"/>
        <v>0</v>
      </c>
      <c r="S271" s="204">
        <f t="shared" si="108"/>
        <v>0</v>
      </c>
      <c r="T271" s="210">
        <f t="shared" si="109"/>
        <v>1417342</v>
      </c>
      <c r="U271" s="210">
        <f t="shared" si="94"/>
        <v>1204740.7</v>
      </c>
      <c r="V271" s="203">
        <f>MIN(H271*parameters!C$22,ROUND(O271+S271-U271,0))</f>
        <v>25840711</v>
      </c>
      <c r="W271" s="211">
        <f t="shared" si="110"/>
        <v>83.184387557592018</v>
      </c>
      <c r="X271" s="208"/>
      <c r="Y271" s="212">
        <f t="shared" si="111"/>
        <v>0</v>
      </c>
      <c r="Z271" s="212">
        <f t="shared" si="95"/>
        <v>0</v>
      </c>
      <c r="AA271" s="212">
        <f t="shared" si="112"/>
        <v>212601</v>
      </c>
      <c r="AB271" s="68">
        <f t="shared" si="113"/>
        <v>0.68438755759201797</v>
      </c>
      <c r="AD271" s="207">
        <f t="shared" si="92"/>
        <v>5.5304195276202575E-2</v>
      </c>
      <c r="AE271" s="213">
        <f t="shared" si="93"/>
        <v>4.562595175428882</v>
      </c>
      <c r="AF271" s="10">
        <f t="shared" si="96"/>
        <v>0</v>
      </c>
      <c r="AG271" s="214"/>
      <c r="AH271" s="214">
        <v>4.5199999999999997E-2</v>
      </c>
      <c r="AI271" s="181"/>
      <c r="AJ271" s="214"/>
      <c r="AK271" s="214"/>
      <c r="AL271" s="214"/>
      <c r="AM271" s="10"/>
      <c r="AN271" s="10"/>
    </row>
    <row r="272" spans="1:40" ht="12.75" customHeight="1">
      <c r="A272" s="201">
        <v>263</v>
      </c>
      <c r="B272" s="201" t="s">
        <v>1529</v>
      </c>
      <c r="C272" s="202">
        <v>70533300</v>
      </c>
      <c r="D272" s="202">
        <f t="shared" si="97"/>
        <v>250364.27405847225</v>
      </c>
      <c r="E272" s="202">
        <v>16228000</v>
      </c>
      <c r="F272" s="202">
        <f t="shared" si="114"/>
        <v>231214.96462722978</v>
      </c>
      <c r="G272" s="202">
        <f t="shared" si="98"/>
        <v>481579</v>
      </c>
      <c r="H272" s="203">
        <f t="shared" si="99"/>
        <v>972110.57500114385</v>
      </c>
      <c r="I272" s="204">
        <f t="shared" si="100"/>
        <v>801991</v>
      </c>
      <c r="J272" s="204">
        <f t="shared" si="101"/>
        <v>481579</v>
      </c>
      <c r="K272" s="198">
        <f t="shared" si="102"/>
        <v>49.54</v>
      </c>
      <c r="L272" s="205"/>
      <c r="M272" s="206">
        <v>484231</v>
      </c>
      <c r="N272" s="207">
        <f t="shared" si="103"/>
        <v>3.7999999999999999E-2</v>
      </c>
      <c r="O272" s="204">
        <f t="shared" si="104"/>
        <v>502632</v>
      </c>
      <c r="P272" s="208">
        <f t="shared" si="105"/>
        <v>51.705229109292283</v>
      </c>
      <c r="Q272" s="208">
        <f t="shared" si="106"/>
        <v>0</v>
      </c>
      <c r="R272" s="209">
        <f t="shared" si="107"/>
        <v>0</v>
      </c>
      <c r="S272" s="204">
        <f t="shared" si="108"/>
        <v>0</v>
      </c>
      <c r="T272" s="210">
        <f t="shared" si="109"/>
        <v>21053</v>
      </c>
      <c r="U272" s="210">
        <f t="shared" si="94"/>
        <v>17895.05</v>
      </c>
      <c r="V272" s="203">
        <f>MIN(H272*parameters!C$22,ROUND(O272+S272-U272,0))</f>
        <v>484737</v>
      </c>
      <c r="W272" s="211">
        <f t="shared" si="110"/>
        <v>49.864389141063469</v>
      </c>
      <c r="X272" s="208"/>
      <c r="Y272" s="212">
        <f t="shared" si="111"/>
        <v>0</v>
      </c>
      <c r="Z272" s="212">
        <f t="shared" si="95"/>
        <v>0</v>
      </c>
      <c r="AA272" s="212">
        <f t="shared" si="112"/>
        <v>3158</v>
      </c>
      <c r="AB272" s="68">
        <f t="shared" si="113"/>
        <v>0.32438914106347028</v>
      </c>
      <c r="AD272" s="207">
        <f t="shared" si="92"/>
        <v>4.3716607244086637E-2</v>
      </c>
      <c r="AE272" s="213">
        <f t="shared" si="93"/>
        <v>2.1652291092922837</v>
      </c>
      <c r="AF272" s="10">
        <f t="shared" si="96"/>
        <v>0</v>
      </c>
      <c r="AG272" s="214"/>
      <c r="AH272" s="214">
        <v>3.7999999999999999E-2</v>
      </c>
      <c r="AI272" s="181"/>
      <c r="AJ272" s="214"/>
      <c r="AK272" s="214"/>
      <c r="AL272" s="214"/>
      <c r="AM272" s="10"/>
      <c r="AN272" s="10"/>
    </row>
    <row r="273" spans="1:40" ht="12.75" customHeight="1">
      <c r="A273" s="201">
        <v>264</v>
      </c>
      <c r="B273" s="201" t="s">
        <v>1530</v>
      </c>
      <c r="C273" s="202">
        <v>4433619600</v>
      </c>
      <c r="D273" s="202">
        <f t="shared" si="97"/>
        <v>15737530.394939896</v>
      </c>
      <c r="E273" s="202">
        <v>1061547000</v>
      </c>
      <c r="F273" s="202">
        <f t="shared" si="114"/>
        <v>15124818.342071844</v>
      </c>
      <c r="G273" s="202">
        <f t="shared" si="98"/>
        <v>30862349</v>
      </c>
      <c r="H273" s="203">
        <f t="shared" si="99"/>
        <v>29268985.563280154</v>
      </c>
      <c r="I273" s="204">
        <f t="shared" si="100"/>
        <v>24146913</v>
      </c>
      <c r="J273" s="204">
        <f t="shared" si="101"/>
        <v>24146913</v>
      </c>
      <c r="K273" s="198">
        <f t="shared" si="102"/>
        <v>82.5</v>
      </c>
      <c r="L273" s="205"/>
      <c r="M273" s="206">
        <v>23727553</v>
      </c>
      <c r="N273" s="207">
        <f t="shared" si="103"/>
        <v>3.8300000000000001E-2</v>
      </c>
      <c r="O273" s="204">
        <f t="shared" si="104"/>
        <v>24636318</v>
      </c>
      <c r="P273" s="208">
        <f t="shared" si="105"/>
        <v>84.17209385933711</v>
      </c>
      <c r="Q273" s="208">
        <f t="shared" si="106"/>
        <v>0</v>
      </c>
      <c r="R273" s="209">
        <f t="shared" si="107"/>
        <v>0</v>
      </c>
      <c r="S273" s="204">
        <f t="shared" si="108"/>
        <v>0</v>
      </c>
      <c r="T273" s="210">
        <f t="shared" si="109"/>
        <v>489405</v>
      </c>
      <c r="U273" s="210">
        <f t="shared" si="94"/>
        <v>415994.25</v>
      </c>
      <c r="V273" s="203">
        <f>MIN(H273*parameters!C$22,ROUND(O273+S273-U273,0))</f>
        <v>24220324</v>
      </c>
      <c r="W273" s="211">
        <f t="shared" si="110"/>
        <v>82.750814672531632</v>
      </c>
      <c r="X273" s="208"/>
      <c r="Y273" s="212">
        <f t="shared" si="111"/>
        <v>0</v>
      </c>
      <c r="Z273" s="212">
        <f t="shared" si="95"/>
        <v>0</v>
      </c>
      <c r="AA273" s="212">
        <f t="shared" si="112"/>
        <v>73411</v>
      </c>
      <c r="AB273" s="68">
        <f t="shared" si="113"/>
        <v>0.25081467253163225</v>
      </c>
      <c r="AD273" s="207">
        <f t="shared" si="92"/>
        <v>2.0267808145910827E-2</v>
      </c>
      <c r="AE273" s="213">
        <f t="shared" si="93"/>
        <v>1.6720938593371102</v>
      </c>
      <c r="AF273" s="10">
        <f t="shared" si="96"/>
        <v>0</v>
      </c>
      <c r="AG273" s="214"/>
      <c r="AH273" s="214">
        <v>3.8300000000000001E-2</v>
      </c>
      <c r="AI273" s="181"/>
      <c r="AJ273" s="214"/>
      <c r="AK273" s="214"/>
      <c r="AL273" s="214"/>
      <c r="AM273" s="10"/>
      <c r="AN273" s="10"/>
    </row>
    <row r="274" spans="1:40" ht="12.75" customHeight="1">
      <c r="A274" s="201">
        <v>265</v>
      </c>
      <c r="B274" s="201" t="s">
        <v>1531</v>
      </c>
      <c r="C274" s="202">
        <v>2241360800</v>
      </c>
      <c r="D274" s="202">
        <f t="shared" si="97"/>
        <v>7955911.17380183</v>
      </c>
      <c r="E274" s="202">
        <v>510804000</v>
      </c>
      <c r="F274" s="202">
        <f t="shared" si="114"/>
        <v>7277885.6785461847</v>
      </c>
      <c r="G274" s="202">
        <f t="shared" si="98"/>
        <v>15233797</v>
      </c>
      <c r="H274" s="203">
        <f t="shared" si="99"/>
        <v>20161330.772556245</v>
      </c>
      <c r="I274" s="204">
        <f t="shared" si="100"/>
        <v>16633098</v>
      </c>
      <c r="J274" s="204">
        <f t="shared" si="101"/>
        <v>15233797</v>
      </c>
      <c r="K274" s="198">
        <f t="shared" si="102"/>
        <v>75.56</v>
      </c>
      <c r="L274" s="205"/>
      <c r="M274" s="206">
        <v>15158201</v>
      </c>
      <c r="N274" s="207">
        <f t="shared" si="103"/>
        <v>4.6300000000000001E-2</v>
      </c>
      <c r="O274" s="204">
        <f t="shared" si="104"/>
        <v>15860026</v>
      </c>
      <c r="P274" s="208">
        <f t="shared" si="105"/>
        <v>78.665571131786535</v>
      </c>
      <c r="Q274" s="208">
        <f t="shared" si="106"/>
        <v>0</v>
      </c>
      <c r="R274" s="209">
        <f t="shared" si="107"/>
        <v>0</v>
      </c>
      <c r="S274" s="204">
        <f t="shared" si="108"/>
        <v>0</v>
      </c>
      <c r="T274" s="210">
        <f t="shared" si="109"/>
        <v>626229</v>
      </c>
      <c r="U274" s="210">
        <f t="shared" si="94"/>
        <v>532294.65</v>
      </c>
      <c r="V274" s="203">
        <f>MIN(H274*parameters!C$22,ROUND(O274+S274-U274,0))</f>
        <v>15327731</v>
      </c>
      <c r="W274" s="211">
        <f t="shared" si="110"/>
        <v>76.025393228825067</v>
      </c>
      <c r="X274" s="208"/>
      <c r="Y274" s="212">
        <f t="shared" si="111"/>
        <v>0</v>
      </c>
      <c r="Z274" s="212">
        <f t="shared" si="95"/>
        <v>0</v>
      </c>
      <c r="AA274" s="212">
        <f t="shared" si="112"/>
        <v>93934</v>
      </c>
      <c r="AB274" s="68">
        <f t="shared" si="113"/>
        <v>0.4653932288250644</v>
      </c>
      <c r="AD274" s="207">
        <f t="shared" si="92"/>
        <v>4.1107873499955393E-2</v>
      </c>
      <c r="AE274" s="213">
        <f t="shared" si="93"/>
        <v>3.1055711317865331</v>
      </c>
      <c r="AF274" s="10">
        <f t="shared" si="96"/>
        <v>0</v>
      </c>
      <c r="AG274" s="214"/>
      <c r="AH274" s="214">
        <v>4.6300000000000001E-2</v>
      </c>
      <c r="AI274" s="181"/>
      <c r="AJ274" s="214"/>
      <c r="AK274" s="214"/>
      <c r="AL274" s="214"/>
      <c r="AM274" s="10"/>
      <c r="AN274" s="10"/>
    </row>
    <row r="275" spans="1:40" ht="12.75" customHeight="1">
      <c r="A275" s="201">
        <v>266</v>
      </c>
      <c r="B275" s="201" t="s">
        <v>1532</v>
      </c>
      <c r="C275" s="202">
        <v>3353753400</v>
      </c>
      <c r="D275" s="202">
        <f t="shared" si="97"/>
        <v>11904448.47131969</v>
      </c>
      <c r="E275" s="202">
        <v>1136972000</v>
      </c>
      <c r="F275" s="202">
        <f t="shared" si="114"/>
        <v>16199466.401414266</v>
      </c>
      <c r="G275" s="202">
        <f t="shared" si="98"/>
        <v>28103915</v>
      </c>
      <c r="H275" s="203">
        <f t="shared" si="99"/>
        <v>33438230.971820053</v>
      </c>
      <c r="I275" s="204">
        <f t="shared" si="100"/>
        <v>27586541</v>
      </c>
      <c r="J275" s="204">
        <f t="shared" si="101"/>
        <v>27586541</v>
      </c>
      <c r="K275" s="198">
        <f t="shared" si="102"/>
        <v>82.5</v>
      </c>
      <c r="L275" s="205"/>
      <c r="M275" s="206">
        <v>26720741</v>
      </c>
      <c r="N275" s="207">
        <f t="shared" si="103"/>
        <v>3.27E-2</v>
      </c>
      <c r="O275" s="204">
        <f t="shared" si="104"/>
        <v>27594509</v>
      </c>
      <c r="P275" s="208">
        <f t="shared" si="105"/>
        <v>82.523830352314903</v>
      </c>
      <c r="Q275" s="208">
        <f t="shared" si="106"/>
        <v>0</v>
      </c>
      <c r="R275" s="209">
        <f t="shared" si="107"/>
        <v>0</v>
      </c>
      <c r="S275" s="204">
        <f t="shared" si="108"/>
        <v>0</v>
      </c>
      <c r="T275" s="210">
        <f t="shared" si="109"/>
        <v>7968</v>
      </c>
      <c r="U275" s="210">
        <f t="shared" si="94"/>
        <v>6772.8</v>
      </c>
      <c r="V275" s="203">
        <f>MIN(H275*parameters!C$22,ROUND(O275+S275-U275,0))</f>
        <v>27587736</v>
      </c>
      <c r="W275" s="211">
        <f t="shared" si="110"/>
        <v>82.503575094177279</v>
      </c>
      <c r="X275" s="208"/>
      <c r="Y275" s="212">
        <f t="shared" si="111"/>
        <v>0</v>
      </c>
      <c r="Z275" s="212">
        <f t="shared" si="95"/>
        <v>0</v>
      </c>
      <c r="AA275" s="212">
        <f t="shared" si="112"/>
        <v>1195</v>
      </c>
      <c r="AB275" s="68">
        <f t="shared" si="113"/>
        <v>3.5750941772789702E-3</v>
      </c>
      <c r="AD275" s="207">
        <f t="shared" si="92"/>
        <v>2.8883650182891723E-4</v>
      </c>
      <c r="AE275" s="213">
        <f t="shared" si="93"/>
        <v>2.3830352314902825E-2</v>
      </c>
      <c r="AF275" s="10">
        <f t="shared" si="96"/>
        <v>0</v>
      </c>
      <c r="AG275" s="214"/>
      <c r="AH275" s="214">
        <v>3.27E-2</v>
      </c>
      <c r="AI275" s="181"/>
      <c r="AJ275" s="214"/>
      <c r="AK275" s="214"/>
      <c r="AL275" s="214"/>
      <c r="AM275" s="10"/>
      <c r="AN275" s="10"/>
    </row>
    <row r="276" spans="1:40" ht="12.75" customHeight="1">
      <c r="A276" s="201">
        <v>267</v>
      </c>
      <c r="B276" s="201" t="s">
        <v>1533</v>
      </c>
      <c r="C276" s="202">
        <v>646313000</v>
      </c>
      <c r="D276" s="202">
        <f t="shared" si="97"/>
        <v>2294145.9574350468</v>
      </c>
      <c r="E276" s="202">
        <v>116622000</v>
      </c>
      <c r="F276" s="202">
        <f t="shared" si="114"/>
        <v>1661618.90588839</v>
      </c>
      <c r="G276" s="202">
        <f t="shared" si="98"/>
        <v>3955765</v>
      </c>
      <c r="H276" s="203">
        <f t="shared" si="99"/>
        <v>3593253.2059649169</v>
      </c>
      <c r="I276" s="204">
        <f t="shared" si="100"/>
        <v>2964434</v>
      </c>
      <c r="J276" s="204">
        <f t="shared" si="101"/>
        <v>2964434</v>
      </c>
      <c r="K276" s="198">
        <f t="shared" si="102"/>
        <v>82.5</v>
      </c>
      <c r="L276" s="205"/>
      <c r="M276" s="206">
        <v>3202604</v>
      </c>
      <c r="N276" s="207">
        <f t="shared" si="103"/>
        <v>4.9599999999999998E-2</v>
      </c>
      <c r="O276" s="204">
        <f t="shared" si="104"/>
        <v>3361453</v>
      </c>
      <c r="P276" s="208">
        <f t="shared" si="105"/>
        <v>93.549015538896029</v>
      </c>
      <c r="Q276" s="208">
        <f t="shared" si="106"/>
        <v>0</v>
      </c>
      <c r="R276" s="209">
        <f t="shared" si="107"/>
        <v>0</v>
      </c>
      <c r="S276" s="204">
        <f t="shared" si="108"/>
        <v>0</v>
      </c>
      <c r="T276" s="210">
        <f t="shared" si="109"/>
        <v>397019</v>
      </c>
      <c r="U276" s="210">
        <f t="shared" si="94"/>
        <v>337466.14999999997</v>
      </c>
      <c r="V276" s="203">
        <f>MIN(H276*parameters!C$22,ROUND(O276+S276-U276,0))</f>
        <v>3023987</v>
      </c>
      <c r="W276" s="211">
        <f t="shared" si="110"/>
        <v>84.157358991013595</v>
      </c>
      <c r="X276" s="208"/>
      <c r="Y276" s="212">
        <f t="shared" si="111"/>
        <v>0</v>
      </c>
      <c r="Z276" s="212">
        <f t="shared" si="95"/>
        <v>0</v>
      </c>
      <c r="AA276" s="212">
        <f t="shared" si="112"/>
        <v>59553</v>
      </c>
      <c r="AB276" s="68">
        <f t="shared" si="113"/>
        <v>1.6573589910135951</v>
      </c>
      <c r="AD276" s="207">
        <f t="shared" si="92"/>
        <v>0.13392742088371676</v>
      </c>
      <c r="AE276" s="213">
        <f t="shared" si="93"/>
        <v>11.049015538896029</v>
      </c>
      <c r="AF276" s="10">
        <f t="shared" si="96"/>
        <v>0</v>
      </c>
      <c r="AG276" s="214"/>
      <c r="AH276" s="214">
        <v>4.9599999999999998E-2</v>
      </c>
      <c r="AI276" s="181"/>
      <c r="AJ276" s="214"/>
      <c r="AK276" s="214"/>
      <c r="AL276" s="214"/>
      <c r="AM276" s="10"/>
      <c r="AN276" s="10"/>
    </row>
    <row r="277" spans="1:40" ht="12.75" customHeight="1">
      <c r="A277" s="201">
        <v>268</v>
      </c>
      <c r="B277" s="201" t="s">
        <v>1534</v>
      </c>
      <c r="C277" s="202">
        <v>243225400</v>
      </c>
      <c r="D277" s="202">
        <f t="shared" si="97"/>
        <v>863350.37072675652</v>
      </c>
      <c r="E277" s="202">
        <v>37268480</v>
      </c>
      <c r="F277" s="202">
        <f t="shared" si="114"/>
        <v>530997.67592498276</v>
      </c>
      <c r="G277" s="202">
        <f t="shared" si="98"/>
        <v>1394348</v>
      </c>
      <c r="H277" s="203">
        <f t="shared" si="99"/>
        <v>1834721.9750292969</v>
      </c>
      <c r="I277" s="204">
        <f t="shared" si="100"/>
        <v>1513646</v>
      </c>
      <c r="J277" s="204">
        <f t="shared" si="101"/>
        <v>1394348</v>
      </c>
      <c r="K277" s="198">
        <f t="shared" si="102"/>
        <v>76</v>
      </c>
      <c r="L277" s="205"/>
      <c r="M277" s="206">
        <v>1445448</v>
      </c>
      <c r="N277" s="207">
        <f t="shared" si="103"/>
        <v>4.2099999999999999E-2</v>
      </c>
      <c r="O277" s="204">
        <f t="shared" si="104"/>
        <v>1506301</v>
      </c>
      <c r="P277" s="208">
        <f t="shared" si="105"/>
        <v>82.099687064354654</v>
      </c>
      <c r="Q277" s="208">
        <f t="shared" si="106"/>
        <v>0</v>
      </c>
      <c r="R277" s="209">
        <f t="shared" si="107"/>
        <v>0</v>
      </c>
      <c r="S277" s="204">
        <f t="shared" si="108"/>
        <v>0</v>
      </c>
      <c r="T277" s="210">
        <f t="shared" si="109"/>
        <v>111953</v>
      </c>
      <c r="U277" s="210">
        <f t="shared" si="94"/>
        <v>95160.05</v>
      </c>
      <c r="V277" s="203">
        <f>MIN(H277*parameters!C$22,ROUND(O277+S277-U277,0))</f>
        <v>1411141</v>
      </c>
      <c r="W277" s="211">
        <f t="shared" si="110"/>
        <v>76.913070165710906</v>
      </c>
      <c r="X277" s="208"/>
      <c r="Y277" s="212">
        <f t="shared" si="111"/>
        <v>0</v>
      </c>
      <c r="Z277" s="212">
        <f t="shared" si="95"/>
        <v>0</v>
      </c>
      <c r="AA277" s="212">
        <f t="shared" si="112"/>
        <v>16793</v>
      </c>
      <c r="AB277" s="68">
        <f t="shared" si="113"/>
        <v>0.91307016571090571</v>
      </c>
      <c r="AD277" s="207">
        <f t="shared" si="92"/>
        <v>8.0290573085054801E-2</v>
      </c>
      <c r="AE277" s="213">
        <f t="shared" si="93"/>
        <v>6.0996870643546544</v>
      </c>
      <c r="AF277" s="10">
        <f t="shared" si="96"/>
        <v>0</v>
      </c>
      <c r="AG277" s="214"/>
      <c r="AH277" s="214">
        <v>4.2099999999999999E-2</v>
      </c>
      <c r="AI277" s="181"/>
      <c r="AJ277" s="214"/>
      <c r="AK277" s="214"/>
      <c r="AL277" s="214"/>
      <c r="AM277" s="10"/>
      <c r="AN277" s="10"/>
    </row>
    <row r="278" spans="1:40" ht="12.75" customHeight="1">
      <c r="A278" s="201">
        <v>269</v>
      </c>
      <c r="B278" s="201" t="s">
        <v>1535</v>
      </c>
      <c r="C278" s="202">
        <v>1231829100</v>
      </c>
      <c r="D278" s="202">
        <f t="shared" si="97"/>
        <v>4372487.8658109177</v>
      </c>
      <c r="E278" s="202">
        <v>847775000</v>
      </c>
      <c r="F278" s="202">
        <f t="shared" si="114"/>
        <v>12079015.691203458</v>
      </c>
      <c r="G278" s="202">
        <f t="shared" si="98"/>
        <v>16451504</v>
      </c>
      <c r="H278" s="203">
        <f t="shared" si="99"/>
        <v>9034858.6422971115</v>
      </c>
      <c r="I278" s="204">
        <f t="shared" si="100"/>
        <v>7453758</v>
      </c>
      <c r="J278" s="204">
        <f t="shared" si="101"/>
        <v>7453758</v>
      </c>
      <c r="K278" s="198">
        <f t="shared" si="102"/>
        <v>82.5</v>
      </c>
      <c r="L278" s="205"/>
      <c r="M278" s="206">
        <v>7289526</v>
      </c>
      <c r="N278" s="207">
        <f t="shared" si="103"/>
        <v>0.03</v>
      </c>
      <c r="O278" s="204">
        <f t="shared" si="104"/>
        <v>7508212</v>
      </c>
      <c r="P278" s="208">
        <f t="shared" si="105"/>
        <v>83.102705833713387</v>
      </c>
      <c r="Q278" s="208">
        <f t="shared" si="106"/>
        <v>0</v>
      </c>
      <c r="R278" s="209">
        <f t="shared" si="107"/>
        <v>0</v>
      </c>
      <c r="S278" s="204">
        <f t="shared" si="108"/>
        <v>0</v>
      </c>
      <c r="T278" s="210">
        <f t="shared" si="109"/>
        <v>54454</v>
      </c>
      <c r="U278" s="210">
        <f t="shared" si="94"/>
        <v>46285.9</v>
      </c>
      <c r="V278" s="203">
        <f>MIN(H278*parameters!C$22,ROUND(O278+S278-U278,0))</f>
        <v>7461926</v>
      </c>
      <c r="W278" s="211">
        <f t="shared" si="110"/>
        <v>82.590401194177474</v>
      </c>
      <c r="X278" s="208"/>
      <c r="Y278" s="212">
        <f t="shared" si="111"/>
        <v>0</v>
      </c>
      <c r="Z278" s="212">
        <f t="shared" si="95"/>
        <v>0</v>
      </c>
      <c r="AA278" s="212">
        <f t="shared" si="112"/>
        <v>8168</v>
      </c>
      <c r="AB278" s="68">
        <f t="shared" si="113"/>
        <v>9.0401194177474054E-2</v>
      </c>
      <c r="AD278" s="207">
        <f t="shared" si="92"/>
        <v>7.3055765963960725E-3</v>
      </c>
      <c r="AE278" s="213">
        <f t="shared" si="93"/>
        <v>0.6027058337133866</v>
      </c>
      <c r="AF278" s="10">
        <f t="shared" si="96"/>
        <v>0</v>
      </c>
      <c r="AG278" s="214"/>
      <c r="AH278" s="214">
        <v>0.03</v>
      </c>
      <c r="AI278" s="181"/>
      <c r="AJ278" s="214"/>
      <c r="AK278" s="214"/>
      <c r="AL278" s="214"/>
      <c r="AM278" s="10"/>
      <c r="AN278" s="10"/>
    </row>
    <row r="279" spans="1:40" ht="12.75" customHeight="1">
      <c r="A279" s="201">
        <v>270</v>
      </c>
      <c r="B279" s="201" t="s">
        <v>1536</v>
      </c>
      <c r="C279" s="202">
        <v>627194900</v>
      </c>
      <c r="D279" s="202">
        <f t="shared" si="97"/>
        <v>2226284.5468973676</v>
      </c>
      <c r="E279" s="202">
        <v>192199000</v>
      </c>
      <c r="F279" s="202">
        <f t="shared" si="114"/>
        <v>2738432.6464375732</v>
      </c>
      <c r="G279" s="202">
        <f t="shared" si="98"/>
        <v>4964717</v>
      </c>
      <c r="H279" s="203">
        <f t="shared" si="99"/>
        <v>8713110.5847746078</v>
      </c>
      <c r="I279" s="204">
        <f t="shared" si="100"/>
        <v>7188316</v>
      </c>
      <c r="J279" s="204">
        <f t="shared" si="101"/>
        <v>4964717</v>
      </c>
      <c r="K279" s="198">
        <f t="shared" si="102"/>
        <v>56.98</v>
      </c>
      <c r="L279" s="205"/>
      <c r="M279" s="206">
        <v>4826595</v>
      </c>
      <c r="N279" s="207">
        <f t="shared" si="103"/>
        <v>4.4500000000000005E-2</v>
      </c>
      <c r="O279" s="204">
        <f t="shared" si="104"/>
        <v>5041378</v>
      </c>
      <c r="P279" s="208">
        <f t="shared" si="105"/>
        <v>57.859681120188732</v>
      </c>
      <c r="Q279" s="208">
        <f t="shared" si="106"/>
        <v>0</v>
      </c>
      <c r="R279" s="209">
        <f t="shared" si="107"/>
        <v>0</v>
      </c>
      <c r="S279" s="204">
        <f t="shared" si="108"/>
        <v>0</v>
      </c>
      <c r="T279" s="210">
        <f t="shared" si="109"/>
        <v>76661</v>
      </c>
      <c r="U279" s="210">
        <f t="shared" si="94"/>
        <v>65161.85</v>
      </c>
      <c r="V279" s="203">
        <f>MIN(H279*parameters!C$22,ROUND(O279+S279-U279,0))</f>
        <v>4976216</v>
      </c>
      <c r="W279" s="211">
        <f t="shared" si="110"/>
        <v>57.111819614633362</v>
      </c>
      <c r="X279" s="208"/>
      <c r="Y279" s="212">
        <f t="shared" si="111"/>
        <v>0</v>
      </c>
      <c r="Z279" s="212">
        <f t="shared" si="95"/>
        <v>0</v>
      </c>
      <c r="AA279" s="212">
        <f t="shared" si="112"/>
        <v>11499</v>
      </c>
      <c r="AB279" s="68">
        <f t="shared" si="113"/>
        <v>0.13181961463336478</v>
      </c>
      <c r="AD279" s="207">
        <f t="shared" si="92"/>
        <v>1.5441162104506662E-2</v>
      </c>
      <c r="AE279" s="213">
        <f t="shared" si="93"/>
        <v>0.87968112018873512</v>
      </c>
      <c r="AF279" s="10">
        <f t="shared" si="96"/>
        <v>0</v>
      </c>
      <c r="AG279" s="214"/>
      <c r="AH279" s="214">
        <v>4.4500000000000005E-2</v>
      </c>
      <c r="AI279" s="181"/>
      <c r="AJ279" s="214"/>
      <c r="AK279" s="214"/>
      <c r="AL279" s="214"/>
      <c r="AM279" s="10"/>
      <c r="AN279" s="10"/>
    </row>
    <row r="280" spans="1:40" ht="12.75" customHeight="1">
      <c r="A280" s="201">
        <v>271</v>
      </c>
      <c r="B280" s="201" t="s">
        <v>1537</v>
      </c>
      <c r="C280" s="202">
        <v>5538400100</v>
      </c>
      <c r="D280" s="202">
        <f t="shared" si="97"/>
        <v>19659047.860824179</v>
      </c>
      <c r="E280" s="202">
        <v>1883130000</v>
      </c>
      <c r="F280" s="202">
        <f t="shared" si="114"/>
        <v>26830652.966383733</v>
      </c>
      <c r="G280" s="202">
        <f t="shared" si="98"/>
        <v>46489701</v>
      </c>
      <c r="H280" s="203">
        <f t="shared" si="99"/>
        <v>58194036.86341849</v>
      </c>
      <c r="I280" s="204">
        <f t="shared" si="100"/>
        <v>48010080</v>
      </c>
      <c r="J280" s="204">
        <f t="shared" si="101"/>
        <v>46489701</v>
      </c>
      <c r="K280" s="198">
        <f t="shared" si="102"/>
        <v>79.89</v>
      </c>
      <c r="L280" s="205"/>
      <c r="M280" s="206">
        <v>42573214</v>
      </c>
      <c r="N280" s="207">
        <f t="shared" si="103"/>
        <v>3.8899999999999997E-2</v>
      </c>
      <c r="O280" s="204">
        <f t="shared" si="104"/>
        <v>44229312</v>
      </c>
      <c r="P280" s="208">
        <f t="shared" si="105"/>
        <v>76.003168681709226</v>
      </c>
      <c r="Q280" s="208">
        <f t="shared" si="106"/>
        <v>3.8868313182907741</v>
      </c>
      <c r="R280" s="209">
        <f t="shared" si="107"/>
        <v>0.01</v>
      </c>
      <c r="S280" s="204">
        <f t="shared" si="108"/>
        <v>425732</v>
      </c>
      <c r="T280" s="210">
        <f t="shared" si="109"/>
        <v>0</v>
      </c>
      <c r="U280" s="210">
        <f t="shared" si="94"/>
        <v>0</v>
      </c>
      <c r="V280" s="203">
        <f>MIN(H280*parameters!C$22,ROUND(O280+S280-U280,0))</f>
        <v>44655044</v>
      </c>
      <c r="W280" s="211">
        <f t="shared" si="110"/>
        <v>76.734741920044954</v>
      </c>
      <c r="X280" s="208"/>
      <c r="Y280" s="212">
        <f t="shared" si="111"/>
        <v>-2260389</v>
      </c>
      <c r="Z280" s="212">
        <f t="shared" si="95"/>
        <v>1834657</v>
      </c>
      <c r="AA280" s="212">
        <f t="shared" si="112"/>
        <v>0</v>
      </c>
      <c r="AB280" s="68">
        <f t="shared" si="113"/>
        <v>-3.1552580799550469</v>
      </c>
      <c r="AD280" s="207">
        <f t="shared" si="92"/>
        <v>-4.8621284959436496E-2</v>
      </c>
      <c r="AE280" s="213">
        <f t="shared" si="93"/>
        <v>-3.8868313182907741</v>
      </c>
      <c r="AF280" s="10">
        <f t="shared" si="96"/>
        <v>0</v>
      </c>
      <c r="AG280" s="214"/>
      <c r="AH280" s="214">
        <v>3.8899999999999997E-2</v>
      </c>
      <c r="AI280" s="181"/>
      <c r="AJ280" s="214"/>
      <c r="AK280" s="214"/>
      <c r="AL280" s="214"/>
      <c r="AM280" s="10"/>
      <c r="AN280" s="10"/>
    </row>
    <row r="281" spans="1:40" ht="12.75" customHeight="1">
      <c r="A281" s="201">
        <v>272</v>
      </c>
      <c r="B281" s="201" t="s">
        <v>1538</v>
      </c>
      <c r="C281" s="202">
        <v>226950300</v>
      </c>
      <c r="D281" s="202">
        <f t="shared" si="97"/>
        <v>805580.44366068929</v>
      </c>
      <c r="E281" s="202">
        <v>45850000</v>
      </c>
      <c r="F281" s="202">
        <f t="shared" si="114"/>
        <v>653266.33769771294</v>
      </c>
      <c r="G281" s="202">
        <f t="shared" si="98"/>
        <v>1458847</v>
      </c>
      <c r="H281" s="203">
        <f t="shared" si="99"/>
        <v>2491323.825872534</v>
      </c>
      <c r="I281" s="204">
        <f t="shared" si="100"/>
        <v>2055342</v>
      </c>
      <c r="J281" s="204">
        <f t="shared" si="101"/>
        <v>1458847</v>
      </c>
      <c r="K281" s="198">
        <f t="shared" si="102"/>
        <v>58.56</v>
      </c>
      <c r="L281" s="205"/>
      <c r="M281" s="206">
        <v>1449279</v>
      </c>
      <c r="N281" s="207">
        <f t="shared" si="103"/>
        <v>2.76E-2</v>
      </c>
      <c r="O281" s="204">
        <f t="shared" si="104"/>
        <v>1489279</v>
      </c>
      <c r="P281" s="208">
        <f t="shared" si="105"/>
        <v>59.778619886092535</v>
      </c>
      <c r="Q281" s="208">
        <f t="shared" si="106"/>
        <v>0</v>
      </c>
      <c r="R281" s="209">
        <f t="shared" si="107"/>
        <v>0</v>
      </c>
      <c r="S281" s="204">
        <f t="shared" si="108"/>
        <v>0</v>
      </c>
      <c r="T281" s="210">
        <f t="shared" si="109"/>
        <v>30432</v>
      </c>
      <c r="U281" s="210">
        <f t="shared" si="94"/>
        <v>25867.200000000001</v>
      </c>
      <c r="V281" s="203">
        <f>MIN(H281*parameters!C$22,ROUND(O281+S281-U281,0))</f>
        <v>1463412</v>
      </c>
      <c r="W281" s="211">
        <f t="shared" si="110"/>
        <v>58.740336555303912</v>
      </c>
      <c r="X281" s="208"/>
      <c r="Y281" s="212">
        <f t="shared" si="111"/>
        <v>0</v>
      </c>
      <c r="Z281" s="212">
        <f t="shared" si="95"/>
        <v>0</v>
      </c>
      <c r="AA281" s="212">
        <f t="shared" si="112"/>
        <v>4565</v>
      </c>
      <c r="AB281" s="68">
        <f t="shared" si="113"/>
        <v>0.18033655530391002</v>
      </c>
      <c r="AD281" s="207">
        <f t="shared" si="92"/>
        <v>2.086030954582626E-2</v>
      </c>
      <c r="AE281" s="213">
        <f t="shared" si="93"/>
        <v>1.218619886092533</v>
      </c>
      <c r="AF281" s="10">
        <f t="shared" si="96"/>
        <v>0</v>
      </c>
      <c r="AG281" s="214"/>
      <c r="AH281" s="214">
        <v>2.76E-2</v>
      </c>
      <c r="AI281" s="181"/>
      <c r="AJ281" s="214"/>
      <c r="AK281" s="214"/>
      <c r="AL281" s="214"/>
      <c r="AM281" s="10"/>
      <c r="AN281" s="10"/>
    </row>
    <row r="282" spans="1:40" ht="12.75" customHeight="1">
      <c r="A282" s="201">
        <v>273</v>
      </c>
      <c r="B282" s="201" t="s">
        <v>1539</v>
      </c>
      <c r="C282" s="202">
        <v>2108404600</v>
      </c>
      <c r="D282" s="202">
        <f t="shared" si="97"/>
        <v>7483971.2178579979</v>
      </c>
      <c r="E282" s="202">
        <v>514541000</v>
      </c>
      <c r="F282" s="202">
        <f t="shared" si="114"/>
        <v>7331130.0908466503</v>
      </c>
      <c r="G282" s="202">
        <f t="shared" si="98"/>
        <v>14815101</v>
      </c>
      <c r="H282" s="203">
        <f t="shared" si="99"/>
        <v>26807992.337494317</v>
      </c>
      <c r="I282" s="204">
        <f t="shared" si="100"/>
        <v>22116594</v>
      </c>
      <c r="J282" s="204">
        <f t="shared" si="101"/>
        <v>14815101</v>
      </c>
      <c r="K282" s="198">
        <f t="shared" si="102"/>
        <v>55.26</v>
      </c>
      <c r="L282" s="205"/>
      <c r="M282" s="206">
        <v>15918751</v>
      </c>
      <c r="N282" s="207">
        <f t="shared" si="103"/>
        <v>8.6E-3</v>
      </c>
      <c r="O282" s="204">
        <f t="shared" si="104"/>
        <v>16055652</v>
      </c>
      <c r="P282" s="208">
        <f t="shared" si="105"/>
        <v>59.89128838098096</v>
      </c>
      <c r="Q282" s="208">
        <f t="shared" si="106"/>
        <v>0</v>
      </c>
      <c r="R282" s="209">
        <f t="shared" si="107"/>
        <v>0</v>
      </c>
      <c r="S282" s="204">
        <f t="shared" si="108"/>
        <v>0</v>
      </c>
      <c r="T282" s="210">
        <f t="shared" si="109"/>
        <v>1240551</v>
      </c>
      <c r="U282" s="210">
        <f t="shared" si="94"/>
        <v>1054468.3499999999</v>
      </c>
      <c r="V282" s="203">
        <f>MIN(H282*parameters!C$22,ROUND(O282+S282-U282,0))</f>
        <v>15001184</v>
      </c>
      <c r="W282" s="211">
        <f t="shared" si="110"/>
        <v>55.957879318769329</v>
      </c>
      <c r="X282" s="208"/>
      <c r="Y282" s="212">
        <f t="shared" si="111"/>
        <v>0</v>
      </c>
      <c r="Z282" s="212">
        <f t="shared" si="95"/>
        <v>0</v>
      </c>
      <c r="AA282" s="212">
        <f t="shared" si="112"/>
        <v>186083</v>
      </c>
      <c r="AB282" s="68">
        <f t="shared" si="113"/>
        <v>0.69787931876933129</v>
      </c>
      <c r="AD282" s="207">
        <f t="shared" si="92"/>
        <v>8.3735574938031132E-2</v>
      </c>
      <c r="AE282" s="213">
        <f t="shared" si="93"/>
        <v>4.631288380980962</v>
      </c>
      <c r="AF282" s="10">
        <f t="shared" si="96"/>
        <v>0</v>
      </c>
      <c r="AG282" s="214"/>
      <c r="AH282" s="214">
        <v>8.6E-3</v>
      </c>
      <c r="AI282" s="181"/>
      <c r="AJ282" s="214"/>
      <c r="AK282" s="214"/>
      <c r="AL282" s="214"/>
      <c r="AM282" s="10"/>
      <c r="AN282" s="10"/>
    </row>
    <row r="283" spans="1:40" ht="12.75" customHeight="1">
      <c r="A283" s="201">
        <v>274</v>
      </c>
      <c r="B283" s="201" t="s">
        <v>1540</v>
      </c>
      <c r="C283" s="202">
        <v>12444120100</v>
      </c>
      <c r="D283" s="202">
        <f t="shared" si="97"/>
        <v>44171520.333416171</v>
      </c>
      <c r="E283" s="202">
        <v>2682684000</v>
      </c>
      <c r="F283" s="202">
        <f t="shared" si="114"/>
        <v>38222620.542644523</v>
      </c>
      <c r="G283" s="202">
        <f t="shared" si="98"/>
        <v>82394141</v>
      </c>
      <c r="H283" s="203">
        <f t="shared" si="99"/>
        <v>64130648.10950844</v>
      </c>
      <c r="I283" s="204">
        <f t="shared" si="100"/>
        <v>52907785</v>
      </c>
      <c r="J283" s="204">
        <f t="shared" si="101"/>
        <v>52907785</v>
      </c>
      <c r="K283" s="198">
        <f t="shared" si="102"/>
        <v>82.5</v>
      </c>
      <c r="L283" s="205"/>
      <c r="M283" s="206">
        <v>51954315</v>
      </c>
      <c r="N283" s="207">
        <f t="shared" si="103"/>
        <v>5.96E-2</v>
      </c>
      <c r="O283" s="204">
        <f t="shared" si="104"/>
        <v>55050792</v>
      </c>
      <c r="P283" s="208">
        <f t="shared" si="105"/>
        <v>85.841627400983342</v>
      </c>
      <c r="Q283" s="208">
        <f t="shared" si="106"/>
        <v>0</v>
      </c>
      <c r="R283" s="209">
        <f t="shared" si="107"/>
        <v>0</v>
      </c>
      <c r="S283" s="204">
        <f t="shared" si="108"/>
        <v>0</v>
      </c>
      <c r="T283" s="210">
        <f t="shared" si="109"/>
        <v>2143007</v>
      </c>
      <c r="U283" s="210">
        <f t="shared" si="94"/>
        <v>1821555.95</v>
      </c>
      <c r="V283" s="203">
        <f>MIN(H283*parameters!C$22,ROUND(O283+S283-U283,0))</f>
        <v>53229236</v>
      </c>
      <c r="W283" s="211">
        <f t="shared" si="110"/>
        <v>83.001244442605085</v>
      </c>
      <c r="X283" s="208"/>
      <c r="Y283" s="212">
        <f t="shared" si="111"/>
        <v>0</v>
      </c>
      <c r="Z283" s="212">
        <f t="shared" si="95"/>
        <v>0</v>
      </c>
      <c r="AA283" s="212">
        <f t="shared" si="112"/>
        <v>321451</v>
      </c>
      <c r="AB283" s="68">
        <f t="shared" si="113"/>
        <v>0.50124444260508483</v>
      </c>
      <c r="AD283" s="207">
        <f t="shared" si="92"/>
        <v>4.0504568467570508E-2</v>
      </c>
      <c r="AE283" s="213">
        <f t="shared" si="93"/>
        <v>3.3416274009833415</v>
      </c>
      <c r="AF283" s="10">
        <f t="shared" si="96"/>
        <v>0</v>
      </c>
      <c r="AG283" s="214"/>
      <c r="AH283" s="214">
        <v>5.96E-2</v>
      </c>
      <c r="AI283" s="181"/>
      <c r="AJ283" s="214"/>
      <c r="AK283" s="214"/>
      <c r="AL283" s="214"/>
      <c r="AM283" s="10"/>
      <c r="AN283" s="10"/>
    </row>
    <row r="284" spans="1:40" ht="12.75" customHeight="1">
      <c r="A284" s="201">
        <v>275</v>
      </c>
      <c r="B284" s="201" t="s">
        <v>1541</v>
      </c>
      <c r="C284" s="202">
        <v>718908600</v>
      </c>
      <c r="D284" s="202">
        <f t="shared" si="97"/>
        <v>2551830.5502988319</v>
      </c>
      <c r="E284" s="202">
        <v>223029000</v>
      </c>
      <c r="F284" s="202">
        <f t="shared" si="114"/>
        <v>3177695.4859407465</v>
      </c>
      <c r="G284" s="202">
        <f t="shared" si="98"/>
        <v>5729526</v>
      </c>
      <c r="H284" s="203">
        <f t="shared" si="99"/>
        <v>8918598.1096214056</v>
      </c>
      <c r="I284" s="204">
        <f t="shared" si="100"/>
        <v>7357843</v>
      </c>
      <c r="J284" s="204">
        <f t="shared" si="101"/>
        <v>5729526</v>
      </c>
      <c r="K284" s="198">
        <f t="shared" si="102"/>
        <v>64.239999999999995</v>
      </c>
      <c r="L284" s="205"/>
      <c r="M284" s="206">
        <v>5769959</v>
      </c>
      <c r="N284" s="207">
        <f t="shared" si="103"/>
        <v>4.0800000000000003E-2</v>
      </c>
      <c r="O284" s="204">
        <f t="shared" si="104"/>
        <v>6005373</v>
      </c>
      <c r="P284" s="208">
        <f t="shared" si="105"/>
        <v>67.335392022221399</v>
      </c>
      <c r="Q284" s="208">
        <f t="shared" si="106"/>
        <v>0</v>
      </c>
      <c r="R284" s="209">
        <f t="shared" si="107"/>
        <v>0</v>
      </c>
      <c r="S284" s="204">
        <f t="shared" si="108"/>
        <v>0</v>
      </c>
      <c r="T284" s="210">
        <f t="shared" si="109"/>
        <v>275847</v>
      </c>
      <c r="U284" s="210">
        <f t="shared" si="94"/>
        <v>234469.94999999998</v>
      </c>
      <c r="V284" s="203">
        <f>MIN(H284*parameters!C$22,ROUND(O284+S284-U284,0))</f>
        <v>5770903</v>
      </c>
      <c r="W284" s="211">
        <f t="shared" si="110"/>
        <v>64.706391397705602</v>
      </c>
      <c r="X284" s="208"/>
      <c r="Y284" s="212">
        <f t="shared" si="111"/>
        <v>0</v>
      </c>
      <c r="Z284" s="212">
        <f t="shared" si="95"/>
        <v>0</v>
      </c>
      <c r="AA284" s="212">
        <f t="shared" si="112"/>
        <v>41377</v>
      </c>
      <c r="AB284" s="68">
        <f t="shared" si="113"/>
        <v>0.46639139770560689</v>
      </c>
      <c r="AD284" s="207">
        <f t="shared" si="92"/>
        <v>4.8144820356867214E-2</v>
      </c>
      <c r="AE284" s="213">
        <f t="shared" si="93"/>
        <v>3.0953920222214037</v>
      </c>
      <c r="AF284" s="10">
        <f t="shared" si="96"/>
        <v>0</v>
      </c>
      <c r="AG284" s="214"/>
      <c r="AH284" s="214">
        <v>4.0800000000000003E-2</v>
      </c>
      <c r="AI284" s="181"/>
      <c r="AJ284" s="214"/>
      <c r="AK284" s="214"/>
      <c r="AL284" s="214"/>
      <c r="AM284" s="10"/>
      <c r="AN284" s="10"/>
    </row>
    <row r="285" spans="1:40" ht="12.75" customHeight="1">
      <c r="A285" s="201">
        <v>276</v>
      </c>
      <c r="B285" s="201" t="s">
        <v>1542</v>
      </c>
      <c r="C285" s="202">
        <v>2478686000</v>
      </c>
      <c r="D285" s="202">
        <f t="shared" si="97"/>
        <v>8798318.2554750498</v>
      </c>
      <c r="E285" s="202">
        <v>1134403000</v>
      </c>
      <c r="F285" s="202">
        <f t="shared" si="114"/>
        <v>16162863.539439447</v>
      </c>
      <c r="G285" s="202">
        <f t="shared" si="98"/>
        <v>24961182</v>
      </c>
      <c r="H285" s="203">
        <f t="shared" si="99"/>
        <v>18093230.135768354</v>
      </c>
      <c r="I285" s="204">
        <f t="shared" si="100"/>
        <v>14926915</v>
      </c>
      <c r="J285" s="204">
        <f t="shared" si="101"/>
        <v>14926915</v>
      </c>
      <c r="K285" s="198">
        <f t="shared" si="102"/>
        <v>82.5</v>
      </c>
      <c r="L285" s="205"/>
      <c r="M285" s="206">
        <v>15002030</v>
      </c>
      <c r="N285" s="207">
        <f t="shared" si="103"/>
        <v>4.7E-2</v>
      </c>
      <c r="O285" s="204">
        <f t="shared" si="104"/>
        <v>15707125</v>
      </c>
      <c r="P285" s="208">
        <f t="shared" si="105"/>
        <v>86.812166109293642</v>
      </c>
      <c r="Q285" s="208">
        <f t="shared" si="106"/>
        <v>0</v>
      </c>
      <c r="R285" s="209">
        <f t="shared" si="107"/>
        <v>0</v>
      </c>
      <c r="S285" s="204">
        <f t="shared" si="108"/>
        <v>0</v>
      </c>
      <c r="T285" s="210">
        <f t="shared" si="109"/>
        <v>780210</v>
      </c>
      <c r="U285" s="210">
        <f t="shared" si="94"/>
        <v>663178.5</v>
      </c>
      <c r="V285" s="203">
        <f>MIN(H285*parameters!C$22,ROUND(O285+S285-U285,0))</f>
        <v>15043947</v>
      </c>
      <c r="W285" s="211">
        <f t="shared" si="110"/>
        <v>83.146828328125608</v>
      </c>
      <c r="X285" s="208"/>
      <c r="Y285" s="212">
        <f t="shared" si="111"/>
        <v>0</v>
      </c>
      <c r="Z285" s="212">
        <f t="shared" si="95"/>
        <v>0</v>
      </c>
      <c r="AA285" s="212">
        <f t="shared" si="112"/>
        <v>117032</v>
      </c>
      <c r="AB285" s="68">
        <f t="shared" si="113"/>
        <v>0.64682832812560775</v>
      </c>
      <c r="AD285" s="207">
        <f t="shared" si="92"/>
        <v>5.2268670385005878E-2</v>
      </c>
      <c r="AE285" s="213">
        <f t="shared" si="93"/>
        <v>4.3121661092936421</v>
      </c>
      <c r="AF285" s="10">
        <f t="shared" si="96"/>
        <v>0</v>
      </c>
      <c r="AG285" s="214"/>
      <c r="AH285" s="214">
        <v>4.7E-2</v>
      </c>
      <c r="AI285" s="181"/>
      <c r="AJ285" s="214"/>
      <c r="AK285" s="214"/>
      <c r="AL285" s="214"/>
      <c r="AM285" s="10"/>
      <c r="AN285" s="10"/>
    </row>
    <row r="286" spans="1:40" ht="12.75" customHeight="1">
      <c r="A286" s="201">
        <v>277</v>
      </c>
      <c r="B286" s="201" t="s">
        <v>1543</v>
      </c>
      <c r="C286" s="202">
        <v>977795700</v>
      </c>
      <c r="D286" s="202">
        <f t="shared" si="97"/>
        <v>3470773.5297794901</v>
      </c>
      <c r="E286" s="202">
        <v>317801000</v>
      </c>
      <c r="F286" s="202">
        <f t="shared" si="114"/>
        <v>4527997.7183570527</v>
      </c>
      <c r="G286" s="202">
        <f t="shared" si="98"/>
        <v>7998771</v>
      </c>
      <c r="H286" s="203">
        <f t="shared" si="99"/>
        <v>31529030.878932294</v>
      </c>
      <c r="I286" s="204">
        <f t="shared" si="100"/>
        <v>26011450</v>
      </c>
      <c r="J286" s="204">
        <f t="shared" si="101"/>
        <v>7998771</v>
      </c>
      <c r="K286" s="198">
        <f t="shared" si="102"/>
        <v>25.37</v>
      </c>
      <c r="L286" s="205"/>
      <c r="M286" s="206">
        <v>8260825</v>
      </c>
      <c r="N286" s="207">
        <f t="shared" si="103"/>
        <v>4.3900000000000008E-2</v>
      </c>
      <c r="O286" s="204">
        <f t="shared" si="104"/>
        <v>8623475</v>
      </c>
      <c r="P286" s="208">
        <f t="shared" si="105"/>
        <v>27.350904102042058</v>
      </c>
      <c r="Q286" s="208">
        <f t="shared" si="106"/>
        <v>0</v>
      </c>
      <c r="R286" s="209">
        <f t="shared" si="107"/>
        <v>0</v>
      </c>
      <c r="S286" s="204">
        <f t="shared" si="108"/>
        <v>0</v>
      </c>
      <c r="T286" s="210">
        <f t="shared" si="109"/>
        <v>624704</v>
      </c>
      <c r="U286" s="210">
        <f t="shared" si="94"/>
        <v>530998.4</v>
      </c>
      <c r="V286" s="203">
        <f>MIN(H286*parameters!C$22,ROUND(O286+S286-U286,0))</f>
        <v>8092477</v>
      </c>
      <c r="W286" s="211">
        <f t="shared" si="110"/>
        <v>25.666748309119122</v>
      </c>
      <c r="X286" s="208"/>
      <c r="Y286" s="212">
        <f t="shared" si="111"/>
        <v>0</v>
      </c>
      <c r="Z286" s="212">
        <f t="shared" si="95"/>
        <v>0</v>
      </c>
      <c r="AA286" s="212">
        <f t="shared" si="112"/>
        <v>93706</v>
      </c>
      <c r="AB286" s="68">
        <f t="shared" si="113"/>
        <v>0.29674830911912053</v>
      </c>
      <c r="AD286" s="207">
        <f t="shared" si="92"/>
        <v>7.8099998112209995E-2</v>
      </c>
      <c r="AE286" s="213">
        <f t="shared" si="93"/>
        <v>1.9809041020420572</v>
      </c>
      <c r="AF286" s="10">
        <f t="shared" si="96"/>
        <v>0</v>
      </c>
      <c r="AG286" s="214"/>
      <c r="AH286" s="214">
        <v>4.3900000000000008E-2</v>
      </c>
      <c r="AI286" s="181"/>
      <c r="AJ286" s="214"/>
      <c r="AK286" s="214"/>
      <c r="AL286" s="214"/>
      <c r="AM286" s="10"/>
      <c r="AN286" s="10"/>
    </row>
    <row r="287" spans="1:40" ht="12.75" customHeight="1">
      <c r="A287" s="201">
        <v>278</v>
      </c>
      <c r="B287" s="201" t="s">
        <v>1544</v>
      </c>
      <c r="C287" s="202">
        <v>1511272400</v>
      </c>
      <c r="D287" s="202">
        <f t="shared" si="97"/>
        <v>5364396.9207538152</v>
      </c>
      <c r="E287" s="202">
        <v>522764000</v>
      </c>
      <c r="F287" s="202">
        <f t="shared" si="114"/>
        <v>7448290.5945519563</v>
      </c>
      <c r="G287" s="202">
        <f t="shared" si="98"/>
        <v>12812688</v>
      </c>
      <c r="H287" s="203">
        <f t="shared" si="99"/>
        <v>19637074.331034068</v>
      </c>
      <c r="I287" s="204">
        <f t="shared" si="100"/>
        <v>16200586</v>
      </c>
      <c r="J287" s="204">
        <f t="shared" si="101"/>
        <v>12812688</v>
      </c>
      <c r="K287" s="198">
        <f t="shared" si="102"/>
        <v>65.25</v>
      </c>
      <c r="L287" s="205"/>
      <c r="M287" s="206">
        <v>12973564</v>
      </c>
      <c r="N287" s="207">
        <f t="shared" si="103"/>
        <v>3.0800000000000001E-2</v>
      </c>
      <c r="O287" s="204">
        <f t="shared" si="104"/>
        <v>13373150</v>
      </c>
      <c r="P287" s="208">
        <f t="shared" si="105"/>
        <v>68.101539845298248</v>
      </c>
      <c r="Q287" s="208">
        <f t="shared" si="106"/>
        <v>0</v>
      </c>
      <c r="R287" s="209">
        <f t="shared" si="107"/>
        <v>0</v>
      </c>
      <c r="S287" s="204">
        <f t="shared" si="108"/>
        <v>0</v>
      </c>
      <c r="T287" s="210">
        <f t="shared" si="109"/>
        <v>560462</v>
      </c>
      <c r="U287" s="210">
        <f t="shared" si="94"/>
        <v>476392.7</v>
      </c>
      <c r="V287" s="203">
        <f>MIN(H287*parameters!C$22,ROUND(O287+S287-U287,0))</f>
        <v>12896757</v>
      </c>
      <c r="W287" s="211">
        <f t="shared" si="110"/>
        <v>65.675552185582987</v>
      </c>
      <c r="X287" s="208"/>
      <c r="Y287" s="212">
        <f t="shared" si="111"/>
        <v>0</v>
      </c>
      <c r="Z287" s="212">
        <f t="shared" si="95"/>
        <v>0</v>
      </c>
      <c r="AA287" s="212">
        <f t="shared" si="112"/>
        <v>84069</v>
      </c>
      <c r="AB287" s="68">
        <f t="shared" si="113"/>
        <v>0.42555218558298691</v>
      </c>
      <c r="AD287" s="207">
        <f t="shared" si="92"/>
        <v>4.3742733765155292E-2</v>
      </c>
      <c r="AE287" s="213">
        <f t="shared" si="93"/>
        <v>2.8515398452982481</v>
      </c>
      <c r="AF287" s="10">
        <f t="shared" si="96"/>
        <v>0</v>
      </c>
      <c r="AG287" s="214"/>
      <c r="AH287" s="214">
        <v>3.0800000000000001E-2</v>
      </c>
      <c r="AI287" s="181"/>
      <c r="AJ287" s="214"/>
      <c r="AK287" s="214"/>
      <c r="AL287" s="214"/>
      <c r="AM287" s="10"/>
      <c r="AN287" s="10"/>
    </row>
    <row r="288" spans="1:40" ht="12.75" customHeight="1">
      <c r="A288" s="201">
        <v>279</v>
      </c>
      <c r="B288" s="201" t="s">
        <v>1545</v>
      </c>
      <c r="C288" s="202">
        <v>1035358900</v>
      </c>
      <c r="D288" s="202">
        <f t="shared" si="97"/>
        <v>3675099.2706775148</v>
      </c>
      <c r="E288" s="202">
        <v>343218000</v>
      </c>
      <c r="F288" s="202">
        <f t="shared" si="114"/>
        <v>4890136.6606746707</v>
      </c>
      <c r="G288" s="202">
        <f t="shared" si="98"/>
        <v>8565236</v>
      </c>
      <c r="H288" s="203">
        <f t="shared" si="99"/>
        <v>13215136.49526022</v>
      </c>
      <c r="I288" s="204">
        <f t="shared" si="100"/>
        <v>10902488</v>
      </c>
      <c r="J288" s="204">
        <f t="shared" si="101"/>
        <v>8565236</v>
      </c>
      <c r="K288" s="198">
        <f t="shared" si="102"/>
        <v>64.81</v>
      </c>
      <c r="L288" s="205"/>
      <c r="M288" s="206">
        <v>8462115</v>
      </c>
      <c r="N288" s="207">
        <f t="shared" si="103"/>
        <v>3.27E-2</v>
      </c>
      <c r="O288" s="204">
        <f t="shared" si="104"/>
        <v>8738826</v>
      </c>
      <c r="P288" s="208">
        <f t="shared" si="105"/>
        <v>66.127398707794612</v>
      </c>
      <c r="Q288" s="208">
        <f t="shared" si="106"/>
        <v>0</v>
      </c>
      <c r="R288" s="209">
        <f t="shared" si="107"/>
        <v>0</v>
      </c>
      <c r="S288" s="204">
        <f t="shared" si="108"/>
        <v>0</v>
      </c>
      <c r="T288" s="210">
        <f t="shared" si="109"/>
        <v>173590</v>
      </c>
      <c r="U288" s="210">
        <f t="shared" si="94"/>
        <v>147551.5</v>
      </c>
      <c r="V288" s="203">
        <f>MIN(H288*parameters!C$22,ROUND(O288+S288-U288,0))</f>
        <v>8591275</v>
      </c>
      <c r="W288" s="211">
        <f t="shared" si="110"/>
        <v>65.010868431675846</v>
      </c>
      <c r="X288" s="208"/>
      <c r="Y288" s="212">
        <f t="shared" si="111"/>
        <v>0</v>
      </c>
      <c r="Z288" s="212">
        <f t="shared" si="95"/>
        <v>0</v>
      </c>
      <c r="AA288" s="212">
        <f t="shared" si="112"/>
        <v>26039</v>
      </c>
      <c r="AB288" s="68">
        <f t="shared" si="113"/>
        <v>0.20086843167584334</v>
      </c>
      <c r="AD288" s="207">
        <f t="shared" si="92"/>
        <v>2.0266808760435788E-2</v>
      </c>
      <c r="AE288" s="213">
        <f t="shared" si="93"/>
        <v>1.3173987077946094</v>
      </c>
      <c r="AF288" s="10">
        <f t="shared" si="96"/>
        <v>0</v>
      </c>
      <c r="AG288" s="214"/>
      <c r="AH288" s="214">
        <v>3.27E-2</v>
      </c>
      <c r="AI288" s="181"/>
      <c r="AJ288" s="214"/>
      <c r="AK288" s="214"/>
      <c r="AL288" s="214"/>
      <c r="AM288" s="10"/>
      <c r="AN288" s="10"/>
    </row>
    <row r="289" spans="1:40" ht="12.75" customHeight="1">
      <c r="A289" s="201">
        <v>280</v>
      </c>
      <c r="B289" s="201" t="s">
        <v>1546</v>
      </c>
      <c r="C289" s="202">
        <v>969303200</v>
      </c>
      <c r="D289" s="202">
        <f t="shared" si="97"/>
        <v>3440628.6393881207</v>
      </c>
      <c r="E289" s="202">
        <v>299467000</v>
      </c>
      <c r="F289" s="202">
        <f t="shared" si="114"/>
        <v>4266776.6706940243</v>
      </c>
      <c r="G289" s="202">
        <f t="shared" si="98"/>
        <v>7707405</v>
      </c>
      <c r="H289" s="203">
        <f t="shared" si="99"/>
        <v>17044291.372737296</v>
      </c>
      <c r="I289" s="204">
        <f t="shared" si="100"/>
        <v>14061540</v>
      </c>
      <c r="J289" s="204">
        <f t="shared" si="101"/>
        <v>7707405</v>
      </c>
      <c r="K289" s="198">
        <f t="shared" si="102"/>
        <v>45.22</v>
      </c>
      <c r="L289" s="205"/>
      <c r="M289" s="206">
        <v>7159790</v>
      </c>
      <c r="N289" s="207">
        <f t="shared" si="103"/>
        <v>3.8100000000000002E-2</v>
      </c>
      <c r="O289" s="204">
        <f t="shared" si="104"/>
        <v>7432578</v>
      </c>
      <c r="P289" s="208">
        <f t="shared" si="105"/>
        <v>43.607433347968723</v>
      </c>
      <c r="Q289" s="208">
        <f t="shared" si="106"/>
        <v>1.6125666520312762</v>
      </c>
      <c r="R289" s="209">
        <f t="shared" si="107"/>
        <v>0</v>
      </c>
      <c r="S289" s="204">
        <f t="shared" si="108"/>
        <v>0</v>
      </c>
      <c r="T289" s="210">
        <f t="shared" si="109"/>
        <v>0</v>
      </c>
      <c r="U289" s="210">
        <f t="shared" si="94"/>
        <v>0</v>
      </c>
      <c r="V289" s="203">
        <f>MIN(H289*parameters!C$22,ROUND(O289+S289-U289,0))</f>
        <v>7432578</v>
      </c>
      <c r="W289" s="211">
        <f t="shared" si="110"/>
        <v>43.607433347968723</v>
      </c>
      <c r="X289" s="208"/>
      <c r="Y289" s="212">
        <f t="shared" si="111"/>
        <v>-274827</v>
      </c>
      <c r="Z289" s="212">
        <f t="shared" si="95"/>
        <v>274827</v>
      </c>
      <c r="AA289" s="212">
        <f t="shared" si="112"/>
        <v>0</v>
      </c>
      <c r="AB289" s="68">
        <f t="shared" si="113"/>
        <v>-1.6125666520312762</v>
      </c>
      <c r="AD289" s="207">
        <f t="shared" si="92"/>
        <v>-3.5657526755114077E-2</v>
      </c>
      <c r="AE289" s="213">
        <f t="shared" si="93"/>
        <v>-1.6125666520312762</v>
      </c>
      <c r="AF289" s="10">
        <f t="shared" si="96"/>
        <v>0</v>
      </c>
      <c r="AG289" s="214"/>
      <c r="AH289" s="214">
        <v>3.8100000000000002E-2</v>
      </c>
      <c r="AI289" s="181"/>
      <c r="AJ289" s="214"/>
      <c r="AK289" s="214"/>
      <c r="AL289" s="214"/>
      <c r="AM289" s="10"/>
      <c r="AN289" s="10"/>
    </row>
    <row r="290" spans="1:40" ht="12.75" customHeight="1">
      <c r="A290" s="201">
        <v>281</v>
      </c>
      <c r="B290" s="201" t="s">
        <v>1547</v>
      </c>
      <c r="C290" s="202">
        <v>7518915400</v>
      </c>
      <c r="D290" s="202">
        <f t="shared" si="97"/>
        <v>26689064.538708206</v>
      </c>
      <c r="E290" s="202">
        <v>2210367000</v>
      </c>
      <c r="F290" s="202">
        <f t="shared" si="114"/>
        <v>31493093.894392163</v>
      </c>
      <c r="G290" s="202">
        <f t="shared" si="98"/>
        <v>58182158</v>
      </c>
      <c r="H290" s="203">
        <f t="shared" si="99"/>
        <v>370375982.61382222</v>
      </c>
      <c r="I290" s="204">
        <f t="shared" si="100"/>
        <v>305560186</v>
      </c>
      <c r="J290" s="204">
        <f t="shared" si="101"/>
        <v>58182158</v>
      </c>
      <c r="K290" s="198">
        <f t="shared" si="102"/>
        <v>15.71</v>
      </c>
      <c r="L290" s="205"/>
      <c r="M290" s="206">
        <v>36682622</v>
      </c>
      <c r="N290" s="207">
        <f t="shared" si="103"/>
        <v>8.3999999999999995E-3</v>
      </c>
      <c r="O290" s="204">
        <f t="shared" si="104"/>
        <v>36990756</v>
      </c>
      <c r="P290" s="208">
        <f t="shared" si="105"/>
        <v>9.9873527810708342</v>
      </c>
      <c r="Q290" s="208">
        <f t="shared" si="106"/>
        <v>5.7226472189291666</v>
      </c>
      <c r="R290" s="209">
        <f t="shared" si="107"/>
        <v>0.01</v>
      </c>
      <c r="S290" s="204">
        <f t="shared" si="108"/>
        <v>366826</v>
      </c>
      <c r="T290" s="210">
        <f t="shared" si="109"/>
        <v>0</v>
      </c>
      <c r="U290" s="210">
        <f t="shared" si="94"/>
        <v>0</v>
      </c>
      <c r="V290" s="203">
        <f>MIN(H290*parameters!C$22,ROUND(O290+S290-U290,0))</f>
        <v>37357582</v>
      </c>
      <c r="W290" s="211">
        <f t="shared" si="110"/>
        <v>10.086394300289015</v>
      </c>
      <c r="X290" s="208"/>
      <c r="Y290" s="212">
        <f t="shared" si="111"/>
        <v>-21191402</v>
      </c>
      <c r="Z290" s="212">
        <f t="shared" si="95"/>
        <v>20824576</v>
      </c>
      <c r="AA290" s="212">
        <f t="shared" si="112"/>
        <v>0</v>
      </c>
      <c r="AB290" s="68">
        <f t="shared" si="113"/>
        <v>-5.6236056997109856</v>
      </c>
      <c r="AD290" s="207">
        <f t="shared" si="92"/>
        <v>-0.364225094572807</v>
      </c>
      <c r="AE290" s="213">
        <f t="shared" si="93"/>
        <v>-5.7226472189291666</v>
      </c>
      <c r="AF290" s="10">
        <f t="shared" si="96"/>
        <v>733652.44000000006</v>
      </c>
      <c r="AG290" s="214"/>
      <c r="AH290" s="214">
        <v>8.3999999999999995E-3</v>
      </c>
      <c r="AI290" s="181"/>
      <c r="AJ290" s="214"/>
      <c r="AK290" s="214"/>
      <c r="AL290" s="214"/>
      <c r="AM290" s="10"/>
      <c r="AN290" s="10"/>
    </row>
    <row r="291" spans="1:40" ht="12.75" customHeight="1">
      <c r="A291" s="201">
        <v>282</v>
      </c>
      <c r="B291" s="201" t="s">
        <v>1548</v>
      </c>
      <c r="C291" s="202">
        <v>1034769600</v>
      </c>
      <c r="D291" s="202">
        <f t="shared" si="97"/>
        <v>3673007.4974767338</v>
      </c>
      <c r="E291" s="202">
        <v>371217000</v>
      </c>
      <c r="F291" s="202">
        <f t="shared" si="114"/>
        <v>5289063.6877018958</v>
      </c>
      <c r="G291" s="202">
        <f t="shared" si="98"/>
        <v>8962071</v>
      </c>
      <c r="H291" s="203">
        <f t="shared" si="99"/>
        <v>11879199.40921542</v>
      </c>
      <c r="I291" s="204">
        <f t="shared" si="100"/>
        <v>9800340</v>
      </c>
      <c r="J291" s="204">
        <f t="shared" si="101"/>
        <v>8962071</v>
      </c>
      <c r="K291" s="198">
        <f t="shared" si="102"/>
        <v>75.44</v>
      </c>
      <c r="L291" s="205"/>
      <c r="M291" s="206">
        <v>8719699</v>
      </c>
      <c r="N291" s="207">
        <f t="shared" si="103"/>
        <v>3.4099999999999998E-2</v>
      </c>
      <c r="O291" s="204">
        <f t="shared" si="104"/>
        <v>9017041</v>
      </c>
      <c r="P291" s="208">
        <f t="shared" si="105"/>
        <v>75.906133817443376</v>
      </c>
      <c r="Q291" s="208">
        <f t="shared" si="106"/>
        <v>0</v>
      </c>
      <c r="R291" s="209">
        <f t="shared" si="107"/>
        <v>0</v>
      </c>
      <c r="S291" s="204">
        <f t="shared" si="108"/>
        <v>0</v>
      </c>
      <c r="T291" s="210">
        <f t="shared" si="109"/>
        <v>54970</v>
      </c>
      <c r="U291" s="210">
        <f t="shared" si="94"/>
        <v>46724.5</v>
      </c>
      <c r="V291" s="203">
        <f>MIN(H291*parameters!C$22,ROUND(O291+S291-U291,0))</f>
        <v>8970317</v>
      </c>
      <c r="W291" s="211">
        <f t="shared" si="110"/>
        <v>75.512807647973119</v>
      </c>
      <c r="X291" s="208"/>
      <c r="Y291" s="212">
        <f t="shared" si="111"/>
        <v>0</v>
      </c>
      <c r="Z291" s="212">
        <f t="shared" si="95"/>
        <v>0</v>
      </c>
      <c r="AA291" s="212">
        <f t="shared" si="112"/>
        <v>8246</v>
      </c>
      <c r="AB291" s="68">
        <f t="shared" si="113"/>
        <v>7.2807647973121448E-2</v>
      </c>
      <c r="AD291" s="207">
        <f t="shared" si="92"/>
        <v>6.1336269261870391E-3</v>
      </c>
      <c r="AE291" s="213">
        <f t="shared" si="93"/>
        <v>0.46613381744337801</v>
      </c>
      <c r="AF291" s="10">
        <f t="shared" si="96"/>
        <v>0</v>
      </c>
      <c r="AG291" s="214"/>
      <c r="AH291" s="214">
        <v>3.4099999999999998E-2</v>
      </c>
      <c r="AI291" s="181"/>
      <c r="AJ291" s="214"/>
      <c r="AK291" s="214"/>
      <c r="AL291" s="214"/>
      <c r="AM291" s="10"/>
      <c r="AN291" s="10"/>
    </row>
    <row r="292" spans="1:40" ht="12.75" customHeight="1">
      <c r="A292" s="201">
        <v>283</v>
      </c>
      <c r="B292" s="201" t="s">
        <v>1549</v>
      </c>
      <c r="C292" s="202">
        <v>865718600</v>
      </c>
      <c r="D292" s="202">
        <f t="shared" si="97"/>
        <v>3072945.8118068618</v>
      </c>
      <c r="E292" s="202">
        <v>65511000</v>
      </c>
      <c r="F292" s="202">
        <f t="shared" si="114"/>
        <v>933394.35221188376</v>
      </c>
      <c r="G292" s="202">
        <f t="shared" si="98"/>
        <v>4006340</v>
      </c>
      <c r="H292" s="203">
        <f t="shared" si="99"/>
        <v>1636141.9700497673</v>
      </c>
      <c r="I292" s="204">
        <f t="shared" si="100"/>
        <v>1349817</v>
      </c>
      <c r="J292" s="204">
        <f t="shared" si="101"/>
        <v>1349817</v>
      </c>
      <c r="K292" s="198">
        <f t="shared" si="102"/>
        <v>82.5</v>
      </c>
      <c r="L292" s="205"/>
      <c r="M292" s="206">
        <v>1329805</v>
      </c>
      <c r="N292" s="207">
        <f t="shared" si="103"/>
        <v>3.7699999999999997E-2</v>
      </c>
      <c r="O292" s="204">
        <f t="shared" si="104"/>
        <v>1379939</v>
      </c>
      <c r="P292" s="208">
        <f t="shared" si="105"/>
        <v>84.341030623279337</v>
      </c>
      <c r="Q292" s="208">
        <f t="shared" si="106"/>
        <v>0</v>
      </c>
      <c r="R292" s="209">
        <f t="shared" si="107"/>
        <v>0</v>
      </c>
      <c r="S292" s="204">
        <f t="shared" si="108"/>
        <v>0</v>
      </c>
      <c r="T292" s="210">
        <f t="shared" si="109"/>
        <v>30122</v>
      </c>
      <c r="U292" s="210">
        <f t="shared" si="94"/>
        <v>25603.7</v>
      </c>
      <c r="V292" s="203">
        <f>MIN(H292*parameters!C$22,ROUND(O292+S292-U292,0))</f>
        <v>1354335</v>
      </c>
      <c r="W292" s="211">
        <f t="shared" si="110"/>
        <v>82.776129748618615</v>
      </c>
      <c r="X292" s="208"/>
      <c r="Y292" s="212">
        <f t="shared" si="111"/>
        <v>0</v>
      </c>
      <c r="Z292" s="212">
        <f t="shared" si="95"/>
        <v>0</v>
      </c>
      <c r="AA292" s="212">
        <f t="shared" si="112"/>
        <v>4518</v>
      </c>
      <c r="AB292" s="68">
        <f t="shared" si="113"/>
        <v>0.27612974861861517</v>
      </c>
      <c r="AD292" s="207">
        <f t="shared" si="92"/>
        <v>2.2315617598533725E-2</v>
      </c>
      <c r="AE292" s="213">
        <f t="shared" si="93"/>
        <v>1.8410306232793374</v>
      </c>
      <c r="AF292" s="10">
        <f t="shared" si="96"/>
        <v>0</v>
      </c>
      <c r="AG292" s="214"/>
      <c r="AH292" s="214">
        <v>3.7699999999999997E-2</v>
      </c>
      <c r="AI292" s="181"/>
      <c r="AJ292" s="214"/>
      <c r="AK292" s="214"/>
      <c r="AL292" s="214"/>
      <c r="AM292" s="10"/>
      <c r="AN292" s="10"/>
    </row>
    <row r="293" spans="1:40" ht="12.75" customHeight="1">
      <c r="A293" s="201">
        <v>284</v>
      </c>
      <c r="B293" s="201" t="s">
        <v>1550</v>
      </c>
      <c r="C293" s="202">
        <v>3511953600</v>
      </c>
      <c r="D293" s="202">
        <f t="shared" si="97"/>
        <v>12465994.269246416</v>
      </c>
      <c r="E293" s="202">
        <v>880965000</v>
      </c>
      <c r="F293" s="202">
        <f t="shared" si="114"/>
        <v>12551903.581022153</v>
      </c>
      <c r="G293" s="202">
        <f t="shared" si="98"/>
        <v>25017898</v>
      </c>
      <c r="H293" s="203">
        <f t="shared" si="99"/>
        <v>25657167.244062662</v>
      </c>
      <c r="I293" s="204">
        <f t="shared" si="100"/>
        <v>21167163</v>
      </c>
      <c r="J293" s="204">
        <f t="shared" si="101"/>
        <v>21167163</v>
      </c>
      <c r="K293" s="198">
        <f t="shared" si="102"/>
        <v>82.5</v>
      </c>
      <c r="L293" s="205"/>
      <c r="M293" s="206">
        <v>20709209</v>
      </c>
      <c r="N293" s="207">
        <f t="shared" si="103"/>
        <v>3.7600000000000001E-2</v>
      </c>
      <c r="O293" s="204">
        <f t="shared" si="104"/>
        <v>21487875</v>
      </c>
      <c r="P293" s="208">
        <f t="shared" si="105"/>
        <v>83.749989995378471</v>
      </c>
      <c r="Q293" s="208">
        <f t="shared" si="106"/>
        <v>0</v>
      </c>
      <c r="R293" s="209">
        <f t="shared" si="107"/>
        <v>0</v>
      </c>
      <c r="S293" s="204">
        <f t="shared" si="108"/>
        <v>0</v>
      </c>
      <c r="T293" s="210">
        <f t="shared" si="109"/>
        <v>320712</v>
      </c>
      <c r="U293" s="210">
        <f t="shared" si="94"/>
        <v>272605.2</v>
      </c>
      <c r="V293" s="203">
        <f>MIN(H293*parameters!C$22,ROUND(O293+S293-U293,0))</f>
        <v>21215270</v>
      </c>
      <c r="W293" s="211">
        <f t="shared" si="110"/>
        <v>82.68749935716086</v>
      </c>
      <c r="X293" s="208"/>
      <c r="Y293" s="212">
        <f t="shared" si="111"/>
        <v>0</v>
      </c>
      <c r="Z293" s="212">
        <f t="shared" si="95"/>
        <v>0</v>
      </c>
      <c r="AA293" s="212">
        <f t="shared" si="112"/>
        <v>48107</v>
      </c>
      <c r="AB293" s="68">
        <f t="shared" si="113"/>
        <v>0.18749935716085986</v>
      </c>
      <c r="AD293" s="207">
        <f t="shared" si="92"/>
        <v>1.5151392749231439E-2</v>
      </c>
      <c r="AE293" s="213">
        <f t="shared" si="93"/>
        <v>1.2499899953784706</v>
      </c>
      <c r="AF293" s="10">
        <f t="shared" si="96"/>
        <v>0</v>
      </c>
      <c r="AG293" s="214"/>
      <c r="AH293" s="214">
        <v>3.7600000000000001E-2</v>
      </c>
      <c r="AI293" s="181"/>
      <c r="AJ293" s="214"/>
      <c r="AK293" s="214"/>
      <c r="AL293" s="214"/>
      <c r="AM293" s="10"/>
      <c r="AN293" s="10"/>
    </row>
    <row r="294" spans="1:40" ht="12.75" customHeight="1">
      <c r="A294" s="201">
        <v>285</v>
      </c>
      <c r="B294" s="201" t="s">
        <v>1551</v>
      </c>
      <c r="C294" s="202">
        <v>3704878300</v>
      </c>
      <c r="D294" s="202">
        <f t="shared" si="97"/>
        <v>13150797.794155197</v>
      </c>
      <c r="E294" s="202">
        <v>873375000</v>
      </c>
      <c r="F294" s="202">
        <f t="shared" si="114"/>
        <v>12443761.999710796</v>
      </c>
      <c r="G294" s="202">
        <f t="shared" si="98"/>
        <v>25594560</v>
      </c>
      <c r="H294" s="203">
        <f t="shared" si="99"/>
        <v>41517552.46813044</v>
      </c>
      <c r="I294" s="204">
        <f t="shared" si="100"/>
        <v>34251981</v>
      </c>
      <c r="J294" s="204">
        <f t="shared" si="101"/>
        <v>25594560</v>
      </c>
      <c r="K294" s="198">
        <f t="shared" si="102"/>
        <v>61.65</v>
      </c>
      <c r="L294" s="205"/>
      <c r="M294" s="206">
        <v>24564689</v>
      </c>
      <c r="N294" s="207">
        <f t="shared" si="103"/>
        <v>5.2299999999999992E-2</v>
      </c>
      <c r="O294" s="204">
        <f t="shared" si="104"/>
        <v>25849422</v>
      </c>
      <c r="P294" s="208">
        <f t="shared" si="105"/>
        <v>62.26143031876083</v>
      </c>
      <c r="Q294" s="208">
        <f t="shared" si="106"/>
        <v>0</v>
      </c>
      <c r="R294" s="209">
        <f t="shared" si="107"/>
        <v>0</v>
      </c>
      <c r="S294" s="204">
        <f t="shared" si="108"/>
        <v>0</v>
      </c>
      <c r="T294" s="210">
        <f t="shared" si="109"/>
        <v>254862</v>
      </c>
      <c r="U294" s="210">
        <f t="shared" si="94"/>
        <v>216632.69999999998</v>
      </c>
      <c r="V294" s="203">
        <f>MIN(H294*parameters!C$22,ROUND(O294+S294-U294,0))</f>
        <v>25632789</v>
      </c>
      <c r="W294" s="211">
        <f t="shared" si="110"/>
        <v>61.739643780004016</v>
      </c>
      <c r="X294" s="208"/>
      <c r="Y294" s="212">
        <f t="shared" si="111"/>
        <v>0</v>
      </c>
      <c r="Z294" s="212">
        <f t="shared" si="95"/>
        <v>0</v>
      </c>
      <c r="AA294" s="212">
        <f t="shared" si="112"/>
        <v>38229</v>
      </c>
      <c r="AB294" s="68">
        <f t="shared" si="113"/>
        <v>8.9643780004017515E-2</v>
      </c>
      <c r="AD294" s="207">
        <f t="shared" si="92"/>
        <v>9.9576628783616516E-3</v>
      </c>
      <c r="AE294" s="213">
        <f t="shared" si="93"/>
        <v>0.61143031876083143</v>
      </c>
      <c r="AF294" s="10">
        <f t="shared" si="96"/>
        <v>0</v>
      </c>
      <c r="AG294" s="214"/>
      <c r="AH294" s="214">
        <v>5.2299999999999992E-2</v>
      </c>
      <c r="AI294" s="181"/>
      <c r="AJ294" s="214"/>
      <c r="AK294" s="214"/>
      <c r="AL294" s="214"/>
      <c r="AM294" s="10"/>
      <c r="AN294" s="10"/>
    </row>
    <row r="295" spans="1:40" ht="12.75" customHeight="1">
      <c r="A295" s="201">
        <v>286</v>
      </c>
      <c r="B295" s="201" t="s">
        <v>1552</v>
      </c>
      <c r="C295" s="202">
        <v>1278975600</v>
      </c>
      <c r="D295" s="202">
        <f t="shared" si="97"/>
        <v>4539838.5958476206</v>
      </c>
      <c r="E295" s="202">
        <v>452361000</v>
      </c>
      <c r="F295" s="202">
        <f t="shared" si="114"/>
        <v>6445195.5024487488</v>
      </c>
      <c r="G295" s="202">
        <f t="shared" si="98"/>
        <v>10985034</v>
      </c>
      <c r="H295" s="203">
        <f t="shared" si="99"/>
        <v>12323540.949997082</v>
      </c>
      <c r="I295" s="204">
        <f t="shared" si="100"/>
        <v>10166921</v>
      </c>
      <c r="J295" s="204">
        <f t="shared" si="101"/>
        <v>10166921</v>
      </c>
      <c r="K295" s="198">
        <f t="shared" si="102"/>
        <v>82.5</v>
      </c>
      <c r="L295" s="205"/>
      <c r="M295" s="206">
        <v>10241079</v>
      </c>
      <c r="N295" s="207">
        <f t="shared" si="103"/>
        <v>3.6200000000000003E-2</v>
      </c>
      <c r="O295" s="204">
        <f t="shared" si="104"/>
        <v>10611806</v>
      </c>
      <c r="P295" s="208">
        <f t="shared" si="105"/>
        <v>86.110039663579911</v>
      </c>
      <c r="Q295" s="208">
        <f t="shared" si="106"/>
        <v>0</v>
      </c>
      <c r="R295" s="209">
        <f t="shared" si="107"/>
        <v>0</v>
      </c>
      <c r="S295" s="204">
        <f t="shared" si="108"/>
        <v>0</v>
      </c>
      <c r="T295" s="210">
        <f t="shared" si="109"/>
        <v>444885</v>
      </c>
      <c r="U295" s="210">
        <f t="shared" si="94"/>
        <v>378152.25</v>
      </c>
      <c r="V295" s="203">
        <f>MIN(H295*parameters!C$22,ROUND(O295+S295-U295,0))</f>
        <v>10233654</v>
      </c>
      <c r="W295" s="211">
        <f t="shared" si="110"/>
        <v>83.041506021063071</v>
      </c>
      <c r="X295" s="208"/>
      <c r="Y295" s="212">
        <f t="shared" si="111"/>
        <v>0</v>
      </c>
      <c r="Z295" s="212">
        <f t="shared" si="95"/>
        <v>0</v>
      </c>
      <c r="AA295" s="212">
        <f t="shared" si="112"/>
        <v>66733</v>
      </c>
      <c r="AB295" s="68">
        <f t="shared" si="113"/>
        <v>0.54150602106307133</v>
      </c>
      <c r="AD295" s="207">
        <f t="shared" si="92"/>
        <v>4.3758085658381726E-2</v>
      </c>
      <c r="AE295" s="213">
        <f t="shared" si="93"/>
        <v>3.6100396635799115</v>
      </c>
      <c r="AF295" s="10">
        <f t="shared" si="96"/>
        <v>0</v>
      </c>
      <c r="AG295" s="214"/>
      <c r="AH295" s="214">
        <v>3.6200000000000003E-2</v>
      </c>
      <c r="AI295" s="181"/>
      <c r="AJ295" s="214"/>
      <c r="AK295" s="214"/>
      <c r="AL295" s="214"/>
      <c r="AM295" s="10"/>
      <c r="AN295" s="10"/>
    </row>
    <row r="296" spans="1:40" ht="12.75" customHeight="1">
      <c r="A296" s="201">
        <v>287</v>
      </c>
      <c r="B296" s="201" t="s">
        <v>1553</v>
      </c>
      <c r="C296" s="202">
        <v>1208235600</v>
      </c>
      <c r="D296" s="202">
        <f t="shared" si="97"/>
        <v>4288740.6216014652</v>
      </c>
      <c r="E296" s="202">
        <v>398329000</v>
      </c>
      <c r="F296" s="202">
        <f t="shared" si="114"/>
        <v>5675352.8250554483</v>
      </c>
      <c r="G296" s="202">
        <f t="shared" si="98"/>
        <v>9964093</v>
      </c>
      <c r="H296" s="203">
        <f t="shared" si="99"/>
        <v>17399656.381554656</v>
      </c>
      <c r="I296" s="204">
        <f t="shared" si="100"/>
        <v>14354717</v>
      </c>
      <c r="J296" s="204">
        <f t="shared" si="101"/>
        <v>9964093</v>
      </c>
      <c r="K296" s="198">
        <f t="shared" si="102"/>
        <v>57.27</v>
      </c>
      <c r="L296" s="205"/>
      <c r="M296" s="206">
        <v>9800991</v>
      </c>
      <c r="N296" s="207">
        <f t="shared" si="103"/>
        <v>4.4299999999999999E-2</v>
      </c>
      <c r="O296" s="204">
        <f t="shared" si="104"/>
        <v>10235175</v>
      </c>
      <c r="P296" s="208">
        <f t="shared" si="105"/>
        <v>58.82400649503797</v>
      </c>
      <c r="Q296" s="208">
        <f t="shared" si="106"/>
        <v>0</v>
      </c>
      <c r="R296" s="209">
        <f t="shared" si="107"/>
        <v>0</v>
      </c>
      <c r="S296" s="204">
        <f t="shared" si="108"/>
        <v>0</v>
      </c>
      <c r="T296" s="210">
        <f t="shared" si="109"/>
        <v>271082</v>
      </c>
      <c r="U296" s="210">
        <f t="shared" si="94"/>
        <v>230419.69999999998</v>
      </c>
      <c r="V296" s="203">
        <f>MIN(H296*parameters!C$22,ROUND(O296+S296-U296,0))</f>
        <v>10004755</v>
      </c>
      <c r="W296" s="211">
        <f t="shared" si="110"/>
        <v>57.49972746936556</v>
      </c>
      <c r="X296" s="208"/>
      <c r="Y296" s="212">
        <f t="shared" si="111"/>
        <v>0</v>
      </c>
      <c r="Z296" s="212">
        <f t="shared" si="95"/>
        <v>0</v>
      </c>
      <c r="AA296" s="212">
        <f t="shared" si="112"/>
        <v>40662</v>
      </c>
      <c r="AB296" s="68">
        <f t="shared" si="113"/>
        <v>0.22972746936555666</v>
      </c>
      <c r="AD296" s="207">
        <f t="shared" si="92"/>
        <v>2.7205888182697611E-2</v>
      </c>
      <c r="AE296" s="213">
        <f t="shared" si="93"/>
        <v>1.5540064950379673</v>
      </c>
      <c r="AF296" s="10">
        <f t="shared" si="96"/>
        <v>0</v>
      </c>
      <c r="AG296" s="214"/>
      <c r="AH296" s="214">
        <v>4.4299999999999999E-2</v>
      </c>
      <c r="AI296" s="181"/>
      <c r="AJ296" s="214"/>
      <c r="AK296" s="214"/>
      <c r="AL296" s="214"/>
      <c r="AM296" s="10"/>
      <c r="AN296" s="10"/>
    </row>
    <row r="297" spans="1:40" ht="12.75" customHeight="1">
      <c r="A297" s="201">
        <v>288</v>
      </c>
      <c r="B297" s="201" t="s">
        <v>1554</v>
      </c>
      <c r="C297" s="202">
        <v>4535401000</v>
      </c>
      <c r="D297" s="202">
        <f t="shared" si="97"/>
        <v>16098812.602402965</v>
      </c>
      <c r="E297" s="202">
        <v>2113870000</v>
      </c>
      <c r="F297" s="202">
        <f t="shared" si="114"/>
        <v>30118214.02985964</v>
      </c>
      <c r="G297" s="202">
        <f t="shared" si="98"/>
        <v>46217027</v>
      </c>
      <c r="H297" s="203">
        <f t="shared" si="99"/>
        <v>40547093.822663046</v>
      </c>
      <c r="I297" s="204">
        <f t="shared" si="100"/>
        <v>33451352</v>
      </c>
      <c r="J297" s="204">
        <f t="shared" si="101"/>
        <v>33451352</v>
      </c>
      <c r="K297" s="198">
        <f t="shared" si="102"/>
        <v>82.5</v>
      </c>
      <c r="L297" s="205"/>
      <c r="M297" s="206">
        <v>33942148</v>
      </c>
      <c r="N297" s="207">
        <f t="shared" si="103"/>
        <v>3.4700000000000002E-2</v>
      </c>
      <c r="O297" s="204">
        <f t="shared" si="104"/>
        <v>35119941</v>
      </c>
      <c r="P297" s="208">
        <f t="shared" si="105"/>
        <v>86.61518666072773</v>
      </c>
      <c r="Q297" s="208">
        <f t="shared" si="106"/>
        <v>0</v>
      </c>
      <c r="R297" s="209">
        <f t="shared" si="107"/>
        <v>0</v>
      </c>
      <c r="S297" s="204">
        <f t="shared" si="108"/>
        <v>0</v>
      </c>
      <c r="T297" s="210">
        <f t="shared" si="109"/>
        <v>1668589</v>
      </c>
      <c r="U297" s="210">
        <f t="shared" si="94"/>
        <v>1418300.65</v>
      </c>
      <c r="V297" s="203">
        <f>MIN(H297*parameters!C$22,ROUND(O297+S297-U297,0))</f>
        <v>33701640</v>
      </c>
      <c r="W297" s="211">
        <f t="shared" si="110"/>
        <v>83.117276289634091</v>
      </c>
      <c r="X297" s="208"/>
      <c r="Y297" s="212">
        <f t="shared" si="111"/>
        <v>0</v>
      </c>
      <c r="Z297" s="212">
        <f t="shared" si="95"/>
        <v>0</v>
      </c>
      <c r="AA297" s="212">
        <f t="shared" si="112"/>
        <v>250288</v>
      </c>
      <c r="AB297" s="68">
        <f t="shared" si="113"/>
        <v>0.61727628963409131</v>
      </c>
      <c r="AD297" s="207">
        <f t="shared" si="92"/>
        <v>4.9881063103219263E-2</v>
      </c>
      <c r="AE297" s="213">
        <f t="shared" si="93"/>
        <v>4.1151866607277299</v>
      </c>
      <c r="AF297" s="10">
        <f t="shared" si="96"/>
        <v>0</v>
      </c>
      <c r="AG297" s="214"/>
      <c r="AH297" s="214">
        <v>3.4700000000000002E-2</v>
      </c>
      <c r="AI297" s="181"/>
      <c r="AJ297" s="214"/>
      <c r="AK297" s="214"/>
      <c r="AL297" s="214"/>
      <c r="AM297" s="10"/>
      <c r="AN297" s="10"/>
    </row>
    <row r="298" spans="1:40" ht="12.75" customHeight="1">
      <c r="A298" s="201">
        <v>289</v>
      </c>
      <c r="B298" s="201" t="s">
        <v>1555</v>
      </c>
      <c r="C298" s="202">
        <v>345157100</v>
      </c>
      <c r="D298" s="202">
        <f t="shared" si="97"/>
        <v>1225166.0815193322</v>
      </c>
      <c r="E298" s="202">
        <v>98693000</v>
      </c>
      <c r="F298" s="202">
        <f t="shared" si="114"/>
        <v>1406168.2588091686</v>
      </c>
      <c r="G298" s="202">
        <f t="shared" si="98"/>
        <v>2631334</v>
      </c>
      <c r="H298" s="203">
        <f t="shared" si="99"/>
        <v>3484782.9007582818</v>
      </c>
      <c r="I298" s="204">
        <f t="shared" si="100"/>
        <v>2874946</v>
      </c>
      <c r="J298" s="204">
        <f t="shared" si="101"/>
        <v>2631334</v>
      </c>
      <c r="K298" s="198">
        <f t="shared" si="102"/>
        <v>75.510000000000005</v>
      </c>
      <c r="L298" s="205"/>
      <c r="M298" s="206">
        <v>2689381</v>
      </c>
      <c r="N298" s="207">
        <f t="shared" si="103"/>
        <v>3.7900000000000003E-2</v>
      </c>
      <c r="O298" s="204">
        <f t="shared" si="104"/>
        <v>2791309</v>
      </c>
      <c r="P298" s="208">
        <f t="shared" si="105"/>
        <v>80.099939637347759</v>
      </c>
      <c r="Q298" s="208">
        <f t="shared" si="106"/>
        <v>0</v>
      </c>
      <c r="R298" s="209">
        <f t="shared" si="107"/>
        <v>0</v>
      </c>
      <c r="S298" s="204">
        <f t="shared" si="108"/>
        <v>0</v>
      </c>
      <c r="T298" s="210">
        <f t="shared" si="109"/>
        <v>159975</v>
      </c>
      <c r="U298" s="210">
        <f t="shared" si="94"/>
        <v>135978.75</v>
      </c>
      <c r="V298" s="203">
        <f>MIN(H298*parameters!C$22,ROUND(O298+S298-U298,0))</f>
        <v>2655330</v>
      </c>
      <c r="W298" s="211">
        <f t="shared" si="110"/>
        <v>76.197860114103676</v>
      </c>
      <c r="X298" s="208"/>
      <c r="Y298" s="212">
        <f t="shared" si="111"/>
        <v>0</v>
      </c>
      <c r="Z298" s="212">
        <f t="shared" si="95"/>
        <v>0</v>
      </c>
      <c r="AA298" s="212">
        <f t="shared" si="112"/>
        <v>23996</v>
      </c>
      <c r="AB298" s="68">
        <f t="shared" si="113"/>
        <v>0.68786011410367109</v>
      </c>
      <c r="AD298" s="207">
        <f t="shared" ref="AD298:AD360" si="115">(O298-J298)/J298</f>
        <v>6.0796158906471012E-2</v>
      </c>
      <c r="AE298" s="213">
        <f t="shared" ref="AE298:AE360" si="116">P298-K298</f>
        <v>4.5899396373477543</v>
      </c>
      <c r="AF298" s="10">
        <f t="shared" si="96"/>
        <v>0</v>
      </c>
      <c r="AG298" s="214"/>
      <c r="AH298" s="214">
        <v>3.7900000000000003E-2</v>
      </c>
      <c r="AI298" s="181"/>
      <c r="AJ298" s="214"/>
      <c r="AK298" s="214"/>
      <c r="AL298" s="214"/>
      <c r="AM298" s="10"/>
      <c r="AN298" s="10"/>
    </row>
    <row r="299" spans="1:40" ht="12.75" customHeight="1">
      <c r="A299" s="201">
        <v>290</v>
      </c>
      <c r="B299" s="201" t="s">
        <v>1556</v>
      </c>
      <c r="C299" s="202">
        <v>1316652900</v>
      </c>
      <c r="D299" s="202">
        <f t="shared" si="97"/>
        <v>4673577.5512485914</v>
      </c>
      <c r="E299" s="202">
        <v>421547000</v>
      </c>
      <c r="F299" s="202">
        <f t="shared" si="114"/>
        <v>6006160.6293883929</v>
      </c>
      <c r="G299" s="202">
        <f t="shared" si="98"/>
        <v>10679738</v>
      </c>
      <c r="H299" s="203">
        <f t="shared" si="99"/>
        <v>14879111.604730142</v>
      </c>
      <c r="I299" s="204">
        <f t="shared" si="100"/>
        <v>12275267</v>
      </c>
      <c r="J299" s="204">
        <f t="shared" si="101"/>
        <v>10679738</v>
      </c>
      <c r="K299" s="198">
        <f t="shared" si="102"/>
        <v>71.78</v>
      </c>
      <c r="L299" s="205"/>
      <c r="M299" s="206">
        <v>10909888</v>
      </c>
      <c r="N299" s="207">
        <f t="shared" si="103"/>
        <v>3.6600000000000001E-2</v>
      </c>
      <c r="O299" s="204">
        <f t="shared" si="104"/>
        <v>11309190</v>
      </c>
      <c r="P299" s="208">
        <f t="shared" si="105"/>
        <v>76.007158897879052</v>
      </c>
      <c r="Q299" s="208">
        <f t="shared" si="106"/>
        <v>0</v>
      </c>
      <c r="R299" s="209">
        <f t="shared" si="107"/>
        <v>0</v>
      </c>
      <c r="S299" s="204">
        <f t="shared" si="108"/>
        <v>0</v>
      </c>
      <c r="T299" s="210">
        <f t="shared" si="109"/>
        <v>629452</v>
      </c>
      <c r="U299" s="210">
        <f t="shared" si="94"/>
        <v>535034.19999999995</v>
      </c>
      <c r="V299" s="203">
        <f>MIN(H299*parameters!C$22,ROUND(O299+S299-U299,0))</f>
        <v>10774156</v>
      </c>
      <c r="W299" s="211">
        <f t="shared" si="110"/>
        <v>72.41128560777004</v>
      </c>
      <c r="X299" s="208"/>
      <c r="Y299" s="212">
        <f t="shared" si="111"/>
        <v>0</v>
      </c>
      <c r="Z299" s="212">
        <f t="shared" si="95"/>
        <v>0</v>
      </c>
      <c r="AA299" s="212">
        <f t="shared" si="112"/>
        <v>94418</v>
      </c>
      <c r="AB299" s="68">
        <f t="shared" si="113"/>
        <v>0.63128560777003884</v>
      </c>
      <c r="AD299" s="207">
        <f t="shared" si="115"/>
        <v>5.8938899062879635E-2</v>
      </c>
      <c r="AE299" s="213">
        <f t="shared" si="116"/>
        <v>4.2271588978790504</v>
      </c>
      <c r="AF299" s="10">
        <f t="shared" si="96"/>
        <v>0</v>
      </c>
      <c r="AG299" s="214"/>
      <c r="AH299" s="214">
        <v>3.6600000000000001E-2</v>
      </c>
      <c r="AI299" s="181"/>
      <c r="AJ299" s="214"/>
      <c r="AK299" s="214"/>
      <c r="AL299" s="214"/>
      <c r="AM299" s="10"/>
      <c r="AN299" s="10"/>
    </row>
    <row r="300" spans="1:40" ht="12.75" customHeight="1">
      <c r="A300" s="201">
        <v>291</v>
      </c>
      <c r="B300" s="201" t="s">
        <v>1557</v>
      </c>
      <c r="C300" s="202">
        <v>2701749700</v>
      </c>
      <c r="D300" s="202">
        <f t="shared" si="97"/>
        <v>9590102.8638699055</v>
      </c>
      <c r="E300" s="202">
        <v>968754000</v>
      </c>
      <c r="F300" s="202">
        <f t="shared" si="114"/>
        <v>13802712.709051477</v>
      </c>
      <c r="G300" s="202">
        <f t="shared" si="98"/>
        <v>23392816</v>
      </c>
      <c r="H300" s="203">
        <f t="shared" si="99"/>
        <v>20974109.562827919</v>
      </c>
      <c r="I300" s="204">
        <f t="shared" si="100"/>
        <v>17303640</v>
      </c>
      <c r="J300" s="204">
        <f t="shared" si="101"/>
        <v>17303640</v>
      </c>
      <c r="K300" s="198">
        <f t="shared" si="102"/>
        <v>82.5</v>
      </c>
      <c r="L300" s="205"/>
      <c r="M300" s="206">
        <v>17304008</v>
      </c>
      <c r="N300" s="207">
        <f t="shared" si="103"/>
        <v>4.6399999999999997E-2</v>
      </c>
      <c r="O300" s="204">
        <f t="shared" si="104"/>
        <v>18106914</v>
      </c>
      <c r="P300" s="208">
        <f t="shared" si="105"/>
        <v>86.329834149863487</v>
      </c>
      <c r="Q300" s="208">
        <f t="shared" si="106"/>
        <v>0</v>
      </c>
      <c r="R300" s="209">
        <f t="shared" si="107"/>
        <v>0</v>
      </c>
      <c r="S300" s="204">
        <f t="shared" si="108"/>
        <v>0</v>
      </c>
      <c r="T300" s="210">
        <f t="shared" si="109"/>
        <v>803274</v>
      </c>
      <c r="U300" s="210">
        <f t="shared" si="94"/>
        <v>682782.9</v>
      </c>
      <c r="V300" s="203">
        <f>MIN(H300*parameters!C$22,ROUND(O300+S300-U300,0))</f>
        <v>17424131</v>
      </c>
      <c r="W300" s="211">
        <f t="shared" si="110"/>
        <v>83.074473067884185</v>
      </c>
      <c r="X300" s="208"/>
      <c r="Y300" s="212">
        <f t="shared" si="111"/>
        <v>0</v>
      </c>
      <c r="Z300" s="212">
        <f t="shared" si="95"/>
        <v>0</v>
      </c>
      <c r="AA300" s="212">
        <f t="shared" si="112"/>
        <v>120491</v>
      </c>
      <c r="AB300" s="68">
        <f t="shared" si="113"/>
        <v>0.57447306788418473</v>
      </c>
      <c r="AD300" s="207">
        <f t="shared" si="115"/>
        <v>4.6422255664126159E-2</v>
      </c>
      <c r="AE300" s="213">
        <f t="shared" si="116"/>
        <v>3.8298341498634869</v>
      </c>
      <c r="AF300" s="10">
        <f t="shared" si="96"/>
        <v>0</v>
      </c>
      <c r="AG300" s="214"/>
      <c r="AH300" s="214">
        <v>4.6399999999999997E-2</v>
      </c>
      <c r="AI300" s="181"/>
      <c r="AJ300" s="214"/>
      <c r="AK300" s="214"/>
      <c r="AL300" s="214"/>
      <c r="AM300" s="10"/>
      <c r="AN300" s="10"/>
    </row>
    <row r="301" spans="1:40" ht="12.75" customHeight="1">
      <c r="A301" s="201">
        <v>292</v>
      </c>
      <c r="B301" s="201" t="s">
        <v>1558</v>
      </c>
      <c r="C301" s="202">
        <v>2116120800</v>
      </c>
      <c r="D301" s="202">
        <f t="shared" si="97"/>
        <v>7511360.5617776783</v>
      </c>
      <c r="E301" s="202">
        <v>490539000</v>
      </c>
      <c r="F301" s="202">
        <f t="shared" si="114"/>
        <v>6989151.9308156688</v>
      </c>
      <c r="G301" s="202">
        <f t="shared" si="98"/>
        <v>14500512</v>
      </c>
      <c r="H301" s="203">
        <f t="shared" si="99"/>
        <v>22752087.863802806</v>
      </c>
      <c r="I301" s="204">
        <f t="shared" si="100"/>
        <v>18770472</v>
      </c>
      <c r="J301" s="204">
        <f t="shared" si="101"/>
        <v>14500512</v>
      </c>
      <c r="K301" s="198">
        <f t="shared" si="102"/>
        <v>63.73</v>
      </c>
      <c r="L301" s="205"/>
      <c r="M301" s="206">
        <v>14350757</v>
      </c>
      <c r="N301" s="207">
        <f t="shared" si="103"/>
        <v>3.2800000000000003E-2</v>
      </c>
      <c r="O301" s="204">
        <f t="shared" si="104"/>
        <v>14821462</v>
      </c>
      <c r="P301" s="208">
        <f t="shared" si="105"/>
        <v>65.143305039622533</v>
      </c>
      <c r="Q301" s="208">
        <f t="shared" si="106"/>
        <v>0</v>
      </c>
      <c r="R301" s="209">
        <f t="shared" si="107"/>
        <v>0</v>
      </c>
      <c r="S301" s="204">
        <f t="shared" si="108"/>
        <v>0</v>
      </c>
      <c r="T301" s="210">
        <f t="shared" si="109"/>
        <v>320950</v>
      </c>
      <c r="U301" s="210">
        <f t="shared" si="94"/>
        <v>272807.5</v>
      </c>
      <c r="V301" s="203">
        <f>MIN(H301*parameters!C$22,ROUND(O301+S301-U301,0))</f>
        <v>14548655</v>
      </c>
      <c r="W301" s="211">
        <f t="shared" si="110"/>
        <v>63.944263432394834</v>
      </c>
      <c r="X301" s="208"/>
      <c r="Y301" s="212">
        <f t="shared" si="111"/>
        <v>0</v>
      </c>
      <c r="Z301" s="212">
        <f t="shared" si="95"/>
        <v>0</v>
      </c>
      <c r="AA301" s="212">
        <f t="shared" si="112"/>
        <v>48143</v>
      </c>
      <c r="AB301" s="68">
        <f t="shared" si="113"/>
        <v>0.21426343239483714</v>
      </c>
      <c r="AD301" s="207">
        <f t="shared" si="115"/>
        <v>2.2133701209998653E-2</v>
      </c>
      <c r="AE301" s="213">
        <f t="shared" si="116"/>
        <v>1.4133050396225357</v>
      </c>
      <c r="AF301" s="10">
        <f t="shared" si="96"/>
        <v>0</v>
      </c>
      <c r="AG301" s="214"/>
      <c r="AH301" s="214">
        <v>3.2800000000000003E-2</v>
      </c>
      <c r="AI301" s="181"/>
      <c r="AJ301" s="214"/>
      <c r="AK301" s="214"/>
      <c r="AL301" s="214"/>
      <c r="AM301" s="10"/>
      <c r="AN301" s="10"/>
    </row>
    <row r="302" spans="1:40" ht="12.75" customHeight="1">
      <c r="A302" s="201">
        <v>293</v>
      </c>
      <c r="B302" s="201" t="s">
        <v>1559</v>
      </c>
      <c r="C302" s="202">
        <v>4820997700</v>
      </c>
      <c r="D302" s="202">
        <f t="shared" si="97"/>
        <v>17112563.702507388</v>
      </c>
      <c r="E302" s="202">
        <v>1332051000</v>
      </c>
      <c r="F302" s="202">
        <f t="shared" si="114"/>
        <v>18978933.007558916</v>
      </c>
      <c r="G302" s="202">
        <f t="shared" si="98"/>
        <v>36091497</v>
      </c>
      <c r="H302" s="203">
        <f t="shared" si="99"/>
        <v>100586332.78253365</v>
      </c>
      <c r="I302" s="204">
        <f t="shared" si="100"/>
        <v>82983725</v>
      </c>
      <c r="J302" s="204">
        <f t="shared" si="101"/>
        <v>36091497</v>
      </c>
      <c r="K302" s="198">
        <f t="shared" si="102"/>
        <v>35.880000000000003</v>
      </c>
      <c r="L302" s="205"/>
      <c r="M302" s="206">
        <v>36774721</v>
      </c>
      <c r="N302" s="207">
        <f t="shared" si="103"/>
        <v>4.5499999999999999E-2</v>
      </c>
      <c r="O302" s="204">
        <f t="shared" si="104"/>
        <v>38447971</v>
      </c>
      <c r="P302" s="208">
        <f t="shared" si="105"/>
        <v>38.223852024831267</v>
      </c>
      <c r="Q302" s="208">
        <f t="shared" si="106"/>
        <v>0</v>
      </c>
      <c r="R302" s="209">
        <f t="shared" si="107"/>
        <v>0</v>
      </c>
      <c r="S302" s="204">
        <f t="shared" si="108"/>
        <v>0</v>
      </c>
      <c r="T302" s="210">
        <f t="shared" si="109"/>
        <v>2356474</v>
      </c>
      <c r="U302" s="210">
        <f t="shared" si="94"/>
        <v>2003002.9</v>
      </c>
      <c r="V302" s="203">
        <f>MIN(H302*parameters!C$22,ROUND(O302+S302-U302,0))</f>
        <v>36444968</v>
      </c>
      <c r="W302" s="211">
        <f t="shared" si="110"/>
        <v>36.232524828987998</v>
      </c>
      <c r="X302" s="208"/>
      <c r="Y302" s="212">
        <f t="shared" si="111"/>
        <v>0</v>
      </c>
      <c r="Z302" s="212">
        <f t="shared" si="95"/>
        <v>0</v>
      </c>
      <c r="AA302" s="212">
        <f t="shared" si="112"/>
        <v>353471</v>
      </c>
      <c r="AB302" s="68">
        <f t="shared" si="113"/>
        <v>0.35252482898799542</v>
      </c>
      <c r="AD302" s="207">
        <f t="shared" si="115"/>
        <v>6.5291666898715781E-2</v>
      </c>
      <c r="AE302" s="213">
        <f t="shared" si="116"/>
        <v>2.3438520248312642</v>
      </c>
      <c r="AF302" s="10">
        <f t="shared" si="96"/>
        <v>0</v>
      </c>
      <c r="AG302" s="214"/>
      <c r="AH302" s="214">
        <v>4.5499999999999999E-2</v>
      </c>
      <c r="AI302" s="181"/>
      <c r="AJ302" s="214"/>
      <c r="AK302" s="214"/>
      <c r="AL302" s="214"/>
      <c r="AM302" s="10"/>
      <c r="AN302" s="10"/>
    </row>
    <row r="303" spans="1:40" ht="12.75" customHeight="1">
      <c r="A303" s="201">
        <v>294</v>
      </c>
      <c r="B303" s="201" t="s">
        <v>1560</v>
      </c>
      <c r="C303" s="202">
        <v>590377600</v>
      </c>
      <c r="D303" s="202">
        <f t="shared" si="97"/>
        <v>2095598.238624637</v>
      </c>
      <c r="E303" s="202">
        <v>194856000</v>
      </c>
      <c r="F303" s="202">
        <f t="shared" si="114"/>
        <v>2776289.3238478857</v>
      </c>
      <c r="G303" s="202">
        <f t="shared" si="98"/>
        <v>4871888</v>
      </c>
      <c r="H303" s="203">
        <f t="shared" si="99"/>
        <v>12754136.502140282</v>
      </c>
      <c r="I303" s="204">
        <f t="shared" si="100"/>
        <v>10522163</v>
      </c>
      <c r="J303" s="204">
        <f t="shared" si="101"/>
        <v>4871888</v>
      </c>
      <c r="K303" s="198">
        <f t="shared" si="102"/>
        <v>38.200000000000003</v>
      </c>
      <c r="L303" s="205"/>
      <c r="M303" s="206">
        <v>4759981</v>
      </c>
      <c r="N303" s="207">
        <f t="shared" si="103"/>
        <v>1.5599999999999998E-2</v>
      </c>
      <c r="O303" s="204">
        <f t="shared" si="104"/>
        <v>4834237</v>
      </c>
      <c r="P303" s="208">
        <f t="shared" si="105"/>
        <v>37.903287291842631</v>
      </c>
      <c r="Q303" s="208">
        <f t="shared" si="106"/>
        <v>0.29671270815737216</v>
      </c>
      <c r="R303" s="209">
        <f t="shared" si="107"/>
        <v>0</v>
      </c>
      <c r="S303" s="204">
        <f t="shared" si="108"/>
        <v>0</v>
      </c>
      <c r="T303" s="210">
        <f t="shared" si="109"/>
        <v>0</v>
      </c>
      <c r="U303" s="210">
        <f t="shared" si="94"/>
        <v>0</v>
      </c>
      <c r="V303" s="203">
        <f>MIN(H303*parameters!C$22,ROUND(O303+S303-U303,0))</f>
        <v>4834237</v>
      </c>
      <c r="W303" s="211">
        <f t="shared" si="110"/>
        <v>37.903287291842631</v>
      </c>
      <c r="X303" s="208"/>
      <c r="Y303" s="212">
        <f t="shared" si="111"/>
        <v>-37651</v>
      </c>
      <c r="Z303" s="212">
        <f t="shared" si="95"/>
        <v>37651</v>
      </c>
      <c r="AA303" s="212">
        <f t="shared" si="112"/>
        <v>0</v>
      </c>
      <c r="AB303" s="68">
        <f t="shared" si="113"/>
        <v>-0.29671270815737216</v>
      </c>
      <c r="AD303" s="207">
        <f t="shared" si="115"/>
        <v>-7.7282154269556281E-3</v>
      </c>
      <c r="AE303" s="213">
        <f t="shared" si="116"/>
        <v>-0.29671270815737216</v>
      </c>
      <c r="AF303" s="10">
        <f t="shared" si="96"/>
        <v>0</v>
      </c>
      <c r="AG303" s="214"/>
      <c r="AH303" s="214">
        <v>1.5599999999999998E-2</v>
      </c>
      <c r="AI303" s="181"/>
      <c r="AJ303" s="214"/>
      <c r="AK303" s="214"/>
      <c r="AL303" s="214"/>
      <c r="AM303" s="10"/>
      <c r="AN303" s="10"/>
    </row>
    <row r="304" spans="1:40" ht="12.75" customHeight="1">
      <c r="A304" s="201">
        <v>295</v>
      </c>
      <c r="B304" s="201" t="s">
        <v>1561</v>
      </c>
      <c r="C304" s="202">
        <v>4367128200</v>
      </c>
      <c r="D304" s="202">
        <f t="shared" si="97"/>
        <v>15501513.207425183</v>
      </c>
      <c r="E304" s="202">
        <v>1126301000</v>
      </c>
      <c r="F304" s="202">
        <f t="shared" si="114"/>
        <v>16047427.031957945</v>
      </c>
      <c r="G304" s="202">
        <f t="shared" si="98"/>
        <v>31548940</v>
      </c>
      <c r="H304" s="203">
        <f t="shared" si="99"/>
        <v>39772844.746629447</v>
      </c>
      <c r="I304" s="204">
        <f t="shared" si="100"/>
        <v>32812597</v>
      </c>
      <c r="J304" s="204">
        <f t="shared" si="101"/>
        <v>31548940</v>
      </c>
      <c r="K304" s="198">
        <f t="shared" si="102"/>
        <v>79.319999999999993</v>
      </c>
      <c r="L304" s="205"/>
      <c r="M304" s="206">
        <v>30868818</v>
      </c>
      <c r="N304" s="207">
        <f t="shared" si="103"/>
        <v>4.1700000000000001E-2</v>
      </c>
      <c r="O304" s="204">
        <f t="shared" si="104"/>
        <v>32156048</v>
      </c>
      <c r="P304" s="208">
        <f t="shared" si="105"/>
        <v>80.849253315542811</v>
      </c>
      <c r="Q304" s="208">
        <f t="shared" si="106"/>
        <v>0</v>
      </c>
      <c r="R304" s="209">
        <f t="shared" si="107"/>
        <v>0</v>
      </c>
      <c r="S304" s="204">
        <f t="shared" si="108"/>
        <v>0</v>
      </c>
      <c r="T304" s="210">
        <f t="shared" si="109"/>
        <v>607108</v>
      </c>
      <c r="U304" s="210">
        <f t="shared" si="94"/>
        <v>516041.8</v>
      </c>
      <c r="V304" s="203">
        <f>MIN(H304*parameters!C$22,ROUND(O304+S304-U304,0))</f>
        <v>31640006</v>
      </c>
      <c r="W304" s="211">
        <f t="shared" si="110"/>
        <v>79.551780119226535</v>
      </c>
      <c r="X304" s="208"/>
      <c r="Y304" s="212">
        <f t="shared" si="111"/>
        <v>0</v>
      </c>
      <c r="Z304" s="212">
        <f t="shared" si="95"/>
        <v>0</v>
      </c>
      <c r="AA304" s="212">
        <f t="shared" si="112"/>
        <v>91066</v>
      </c>
      <c r="AB304" s="68">
        <f t="shared" si="113"/>
        <v>0.23178011922654207</v>
      </c>
      <c r="AD304" s="207">
        <f t="shared" si="115"/>
        <v>1.9243372360529386E-2</v>
      </c>
      <c r="AE304" s="213">
        <f t="shared" si="116"/>
        <v>1.5292533155428174</v>
      </c>
      <c r="AF304" s="10">
        <f t="shared" si="96"/>
        <v>0</v>
      </c>
      <c r="AG304" s="214"/>
      <c r="AH304" s="214">
        <v>4.1700000000000001E-2</v>
      </c>
      <c r="AI304" s="181"/>
      <c r="AJ304" s="214"/>
      <c r="AK304" s="214"/>
      <c r="AL304" s="214"/>
      <c r="AM304" s="10"/>
      <c r="AN304" s="10"/>
    </row>
    <row r="305" spans="1:40" ht="12.75" customHeight="1">
      <c r="A305" s="201">
        <v>296</v>
      </c>
      <c r="B305" s="201" t="s">
        <v>1562</v>
      </c>
      <c r="C305" s="202">
        <v>2712566800</v>
      </c>
      <c r="D305" s="202">
        <f t="shared" si="97"/>
        <v>9628499.1304407008</v>
      </c>
      <c r="E305" s="202">
        <v>93406496</v>
      </c>
      <c r="F305" s="202">
        <f t="shared" si="114"/>
        <v>1330846.664320525</v>
      </c>
      <c r="G305" s="202">
        <f t="shared" si="98"/>
        <v>10959346</v>
      </c>
      <c r="H305" s="203">
        <f t="shared" si="99"/>
        <v>5991752.1228865348</v>
      </c>
      <c r="I305" s="204">
        <f t="shared" si="100"/>
        <v>4943196</v>
      </c>
      <c r="J305" s="204">
        <f t="shared" si="101"/>
        <v>4943196</v>
      </c>
      <c r="K305" s="198">
        <f t="shared" si="102"/>
        <v>82.5</v>
      </c>
      <c r="L305" s="205"/>
      <c r="M305" s="206">
        <v>4712421</v>
      </c>
      <c r="N305" s="207">
        <f t="shared" si="103"/>
        <v>3.5400000000000001E-2</v>
      </c>
      <c r="O305" s="204">
        <f t="shared" si="104"/>
        <v>4879241</v>
      </c>
      <c r="P305" s="208">
        <f t="shared" si="105"/>
        <v>81.43262437981862</v>
      </c>
      <c r="Q305" s="208">
        <f t="shared" si="106"/>
        <v>1.0673756201813802</v>
      </c>
      <c r="R305" s="209">
        <f t="shared" si="107"/>
        <v>0</v>
      </c>
      <c r="S305" s="204">
        <f t="shared" si="108"/>
        <v>0</v>
      </c>
      <c r="T305" s="210">
        <f t="shared" si="109"/>
        <v>0</v>
      </c>
      <c r="U305" s="210">
        <f t="shared" si="94"/>
        <v>0</v>
      </c>
      <c r="V305" s="203">
        <f>MIN(H305*parameters!C$22,ROUND(O305+S305-U305,0))</f>
        <v>4879241</v>
      </c>
      <c r="W305" s="211">
        <f t="shared" si="110"/>
        <v>81.43262437981862</v>
      </c>
      <c r="X305" s="208"/>
      <c r="Y305" s="212">
        <f t="shared" si="111"/>
        <v>-63955</v>
      </c>
      <c r="Z305" s="212">
        <f t="shared" si="95"/>
        <v>63955</v>
      </c>
      <c r="AA305" s="212">
        <f t="shared" si="112"/>
        <v>0</v>
      </c>
      <c r="AB305" s="68">
        <f t="shared" si="113"/>
        <v>-1.0673756201813802</v>
      </c>
      <c r="AD305" s="207">
        <f t="shared" si="115"/>
        <v>-1.2937985869870425E-2</v>
      </c>
      <c r="AE305" s="213">
        <f t="shared" si="116"/>
        <v>-1.0673756201813802</v>
      </c>
      <c r="AF305" s="10">
        <f t="shared" si="96"/>
        <v>0</v>
      </c>
      <c r="AG305" s="214"/>
      <c r="AH305" s="214">
        <v>3.5400000000000001E-2</v>
      </c>
      <c r="AI305" s="181"/>
      <c r="AJ305" s="214"/>
      <c r="AK305" s="214"/>
      <c r="AL305" s="214"/>
      <c r="AM305" s="10"/>
      <c r="AN305" s="10"/>
    </row>
    <row r="306" spans="1:40" ht="12.75" customHeight="1">
      <c r="A306" s="201">
        <v>297</v>
      </c>
      <c r="B306" s="201" t="s">
        <v>1563</v>
      </c>
      <c r="C306" s="202">
        <v>208056500</v>
      </c>
      <c r="D306" s="202">
        <f t="shared" si="97"/>
        <v>738515.20608913142</v>
      </c>
      <c r="E306" s="202">
        <v>10847000</v>
      </c>
      <c r="F306" s="202">
        <f t="shared" si="114"/>
        <v>154547.00032730846</v>
      </c>
      <c r="G306" s="202">
        <f t="shared" si="98"/>
        <v>893062</v>
      </c>
      <c r="H306" s="203">
        <f t="shared" si="99"/>
        <v>492285.71383370378</v>
      </c>
      <c r="I306" s="204">
        <f t="shared" si="100"/>
        <v>406136</v>
      </c>
      <c r="J306" s="204">
        <f t="shared" si="101"/>
        <v>406136</v>
      </c>
      <c r="K306" s="198">
        <f t="shared" si="102"/>
        <v>82.5</v>
      </c>
      <c r="L306" s="205"/>
      <c r="M306" s="206">
        <v>434470</v>
      </c>
      <c r="N306" s="207">
        <f t="shared" si="103"/>
        <v>3.4299999999999997E-2</v>
      </c>
      <c r="O306" s="204">
        <f t="shared" si="104"/>
        <v>449372</v>
      </c>
      <c r="P306" s="208">
        <f t="shared" si="105"/>
        <v>91.282762707146077</v>
      </c>
      <c r="Q306" s="208">
        <f t="shared" si="106"/>
        <v>0</v>
      </c>
      <c r="R306" s="209">
        <f t="shared" si="107"/>
        <v>0</v>
      </c>
      <c r="S306" s="204">
        <f t="shared" si="108"/>
        <v>0</v>
      </c>
      <c r="T306" s="210">
        <f t="shared" si="109"/>
        <v>43236</v>
      </c>
      <c r="U306" s="210">
        <f t="shared" si="94"/>
        <v>36750.6</v>
      </c>
      <c r="V306" s="203">
        <f>MIN(H306*parameters!C$22,ROUND(O306+S306-U306,0))</f>
        <v>412621</v>
      </c>
      <c r="W306" s="211">
        <f t="shared" si="110"/>
        <v>83.817382549391866</v>
      </c>
      <c r="X306" s="208"/>
      <c r="Y306" s="212">
        <f t="shared" si="111"/>
        <v>0</v>
      </c>
      <c r="Z306" s="212">
        <f t="shared" si="95"/>
        <v>0</v>
      </c>
      <c r="AA306" s="212">
        <f t="shared" si="112"/>
        <v>6485</v>
      </c>
      <c r="AB306" s="68">
        <f t="shared" si="113"/>
        <v>1.3173825493918656</v>
      </c>
      <c r="AD306" s="207">
        <f t="shared" si="115"/>
        <v>0.10645695038115312</v>
      </c>
      <c r="AE306" s="213">
        <f t="shared" si="116"/>
        <v>8.7827627071460768</v>
      </c>
      <c r="AF306" s="10">
        <f t="shared" si="96"/>
        <v>0</v>
      </c>
      <c r="AG306" s="214"/>
      <c r="AH306" s="214">
        <v>3.4299999999999997E-2</v>
      </c>
      <c r="AI306" s="181"/>
      <c r="AJ306" s="214"/>
      <c r="AK306" s="214"/>
      <c r="AL306" s="214"/>
      <c r="AM306" s="10"/>
      <c r="AN306" s="10"/>
    </row>
    <row r="307" spans="1:40" ht="12.75" customHeight="1">
      <c r="A307" s="201">
        <v>298</v>
      </c>
      <c r="B307" s="201" t="s">
        <v>1564</v>
      </c>
      <c r="C307" s="202">
        <v>1346531300</v>
      </c>
      <c r="D307" s="202">
        <f t="shared" si="97"/>
        <v>4779633.6116630146</v>
      </c>
      <c r="E307" s="202">
        <v>458475000</v>
      </c>
      <c r="F307" s="202">
        <f t="shared" si="114"/>
        <v>6532307.1794102276</v>
      </c>
      <c r="G307" s="202">
        <f t="shared" si="98"/>
        <v>11311941</v>
      </c>
      <c r="H307" s="203">
        <f t="shared" si="99"/>
        <v>10587571.080359533</v>
      </c>
      <c r="I307" s="204">
        <f t="shared" si="100"/>
        <v>8734746</v>
      </c>
      <c r="J307" s="204">
        <f t="shared" si="101"/>
        <v>8734746</v>
      </c>
      <c r="K307" s="198">
        <f t="shared" si="102"/>
        <v>82.5</v>
      </c>
      <c r="L307" s="205"/>
      <c r="M307" s="206">
        <v>8819985</v>
      </c>
      <c r="N307" s="207">
        <f t="shared" si="103"/>
        <v>4.0099999999999997E-2</v>
      </c>
      <c r="O307" s="204">
        <f t="shared" si="104"/>
        <v>9173666</v>
      </c>
      <c r="P307" s="208">
        <f t="shared" si="105"/>
        <v>86.645614280858084</v>
      </c>
      <c r="Q307" s="208">
        <f t="shared" si="106"/>
        <v>0</v>
      </c>
      <c r="R307" s="209">
        <f t="shared" si="107"/>
        <v>0</v>
      </c>
      <c r="S307" s="204">
        <f t="shared" si="108"/>
        <v>0</v>
      </c>
      <c r="T307" s="210">
        <f t="shared" si="109"/>
        <v>438920</v>
      </c>
      <c r="U307" s="210">
        <f t="shared" si="94"/>
        <v>373082</v>
      </c>
      <c r="V307" s="203">
        <f>MIN(H307*parameters!C$22,ROUND(O307+S307-U307,0))</f>
        <v>8800584</v>
      </c>
      <c r="W307" s="211">
        <f t="shared" si="110"/>
        <v>83.121841007759727</v>
      </c>
      <c r="X307" s="208"/>
      <c r="Y307" s="212">
        <f t="shared" si="111"/>
        <v>0</v>
      </c>
      <c r="Z307" s="212">
        <f t="shared" si="95"/>
        <v>0</v>
      </c>
      <c r="AA307" s="212">
        <f t="shared" si="112"/>
        <v>65838</v>
      </c>
      <c r="AB307" s="68">
        <f t="shared" si="113"/>
        <v>0.62184100775972695</v>
      </c>
      <c r="AD307" s="207">
        <f t="shared" si="115"/>
        <v>5.0249887060253386E-2</v>
      </c>
      <c r="AE307" s="213">
        <f t="shared" si="116"/>
        <v>4.1456142808580836</v>
      </c>
      <c r="AF307" s="10">
        <f t="shared" si="96"/>
        <v>0</v>
      </c>
      <c r="AG307" s="214"/>
      <c r="AH307" s="214">
        <v>4.0099999999999997E-2</v>
      </c>
      <c r="AI307" s="181"/>
      <c r="AJ307" s="214"/>
      <c r="AK307" s="214"/>
      <c r="AL307" s="214"/>
      <c r="AM307" s="10"/>
      <c r="AN307" s="10"/>
    </row>
    <row r="308" spans="1:40" ht="12.75" customHeight="1">
      <c r="A308" s="201">
        <v>299</v>
      </c>
      <c r="B308" s="201" t="s">
        <v>1565</v>
      </c>
      <c r="C308" s="202">
        <v>837732800</v>
      </c>
      <c r="D308" s="202">
        <f t="shared" si="97"/>
        <v>2973607.7048283764</v>
      </c>
      <c r="E308" s="202">
        <v>308469000</v>
      </c>
      <c r="F308" s="202">
        <f t="shared" si="114"/>
        <v>4395036.2905839868</v>
      </c>
      <c r="G308" s="202">
        <f t="shared" si="98"/>
        <v>7368644</v>
      </c>
      <c r="H308" s="203">
        <f t="shared" si="99"/>
        <v>13866381.814463956</v>
      </c>
      <c r="I308" s="204">
        <f t="shared" si="100"/>
        <v>11439765</v>
      </c>
      <c r="J308" s="204">
        <f t="shared" si="101"/>
        <v>7368644</v>
      </c>
      <c r="K308" s="198">
        <f t="shared" si="102"/>
        <v>53.14</v>
      </c>
      <c r="L308" s="205"/>
      <c r="M308" s="206">
        <v>7083237</v>
      </c>
      <c r="N308" s="207">
        <f t="shared" si="103"/>
        <v>3.1699999999999999E-2</v>
      </c>
      <c r="O308" s="204">
        <f t="shared" si="104"/>
        <v>7307776</v>
      </c>
      <c r="P308" s="208">
        <f t="shared" si="105"/>
        <v>52.701390296185942</v>
      </c>
      <c r="Q308" s="208">
        <f t="shared" si="106"/>
        <v>0.43860970381405906</v>
      </c>
      <c r="R308" s="209">
        <f t="shared" si="107"/>
        <v>0</v>
      </c>
      <c r="S308" s="204">
        <f t="shared" si="108"/>
        <v>0</v>
      </c>
      <c r="T308" s="210">
        <f t="shared" si="109"/>
        <v>0</v>
      </c>
      <c r="U308" s="210">
        <f t="shared" si="94"/>
        <v>0</v>
      </c>
      <c r="V308" s="203">
        <f>MIN(H308*parameters!C$22,ROUND(O308+S308-U308,0))</f>
        <v>7307776</v>
      </c>
      <c r="W308" s="211">
        <f t="shared" si="110"/>
        <v>52.701390296185942</v>
      </c>
      <c r="X308" s="208"/>
      <c r="Y308" s="212">
        <f t="shared" si="111"/>
        <v>-60868</v>
      </c>
      <c r="Z308" s="212">
        <f t="shared" si="95"/>
        <v>60868</v>
      </c>
      <c r="AA308" s="212">
        <f t="shared" si="112"/>
        <v>0</v>
      </c>
      <c r="AB308" s="68">
        <f t="shared" si="113"/>
        <v>-0.43860970381405906</v>
      </c>
      <c r="AD308" s="207">
        <f t="shared" si="115"/>
        <v>-8.2604072065362369E-3</v>
      </c>
      <c r="AE308" s="213">
        <f t="shared" si="116"/>
        <v>-0.43860970381405906</v>
      </c>
      <c r="AF308" s="10">
        <f t="shared" si="96"/>
        <v>0</v>
      </c>
      <c r="AG308" s="214"/>
      <c r="AH308" s="214">
        <v>3.1699999999999999E-2</v>
      </c>
      <c r="AI308" s="181"/>
      <c r="AJ308" s="214"/>
      <c r="AK308" s="214"/>
      <c r="AL308" s="214"/>
      <c r="AM308" s="10"/>
      <c r="AN308" s="10"/>
    </row>
    <row r="309" spans="1:40" ht="12.75" customHeight="1">
      <c r="A309" s="201">
        <v>300</v>
      </c>
      <c r="B309" s="201" t="s">
        <v>1566</v>
      </c>
      <c r="C309" s="202">
        <v>2189935300</v>
      </c>
      <c r="D309" s="202">
        <f t="shared" si="97"/>
        <v>7773371.7495072912</v>
      </c>
      <c r="E309" s="202">
        <v>75827000</v>
      </c>
      <c r="F309" s="202">
        <f t="shared" si="114"/>
        <v>1080375.7162182003</v>
      </c>
      <c r="G309" s="202">
        <f t="shared" si="98"/>
        <v>8853747</v>
      </c>
      <c r="H309" s="203">
        <f t="shared" si="99"/>
        <v>2052876.8371080952</v>
      </c>
      <c r="I309" s="204">
        <f t="shared" si="100"/>
        <v>1693623</v>
      </c>
      <c r="J309" s="204">
        <f t="shared" si="101"/>
        <v>1693623</v>
      </c>
      <c r="K309" s="198">
        <f t="shared" si="102"/>
        <v>82.5</v>
      </c>
      <c r="L309" s="205"/>
      <c r="M309" s="206">
        <v>1610115</v>
      </c>
      <c r="N309" s="207">
        <f t="shared" si="103"/>
        <v>2.9700000000000001E-2</v>
      </c>
      <c r="O309" s="204">
        <f t="shared" si="104"/>
        <v>1657935</v>
      </c>
      <c r="P309" s="208">
        <f t="shared" si="105"/>
        <v>80.761542535379135</v>
      </c>
      <c r="Q309" s="208">
        <f t="shared" si="106"/>
        <v>1.7384574646208648</v>
      </c>
      <c r="R309" s="209">
        <f t="shared" si="107"/>
        <v>0</v>
      </c>
      <c r="S309" s="204">
        <f t="shared" si="108"/>
        <v>0</v>
      </c>
      <c r="T309" s="210">
        <f t="shared" si="109"/>
        <v>0</v>
      </c>
      <c r="U309" s="210">
        <f t="shared" si="94"/>
        <v>0</v>
      </c>
      <c r="V309" s="203">
        <f>MIN(H309*parameters!C$22,ROUND(O309+S309-U309,0))</f>
        <v>1657935</v>
      </c>
      <c r="W309" s="211">
        <f t="shared" si="110"/>
        <v>80.761542535379135</v>
      </c>
      <c r="X309" s="208"/>
      <c r="Y309" s="212">
        <f t="shared" si="111"/>
        <v>-35688</v>
      </c>
      <c r="Z309" s="212">
        <f t="shared" si="95"/>
        <v>35688</v>
      </c>
      <c r="AA309" s="212">
        <f t="shared" si="112"/>
        <v>0</v>
      </c>
      <c r="AB309" s="68">
        <f t="shared" si="113"/>
        <v>-1.7384574646208648</v>
      </c>
      <c r="AD309" s="207">
        <f t="shared" si="115"/>
        <v>-2.1071985914220579E-2</v>
      </c>
      <c r="AE309" s="213">
        <f t="shared" si="116"/>
        <v>-1.7384574646208648</v>
      </c>
      <c r="AF309" s="10">
        <f t="shared" si="96"/>
        <v>0</v>
      </c>
      <c r="AG309" s="214"/>
      <c r="AH309" s="214">
        <v>2.9700000000000001E-2</v>
      </c>
      <c r="AI309" s="181"/>
      <c r="AJ309" s="214"/>
      <c r="AK309" s="214"/>
      <c r="AL309" s="214"/>
      <c r="AM309" s="10"/>
      <c r="AN309" s="10"/>
    </row>
    <row r="310" spans="1:40" ht="12.75" customHeight="1">
      <c r="A310" s="201">
        <v>301</v>
      </c>
      <c r="B310" s="201" t="s">
        <v>1567</v>
      </c>
      <c r="C310" s="202">
        <v>1511907700</v>
      </c>
      <c r="D310" s="202">
        <f t="shared" si="97"/>
        <v>5366651.9750800608</v>
      </c>
      <c r="E310" s="202">
        <v>504784000</v>
      </c>
      <c r="F310" s="202">
        <f t="shared" si="114"/>
        <v>7192113.3044362562</v>
      </c>
      <c r="G310" s="202">
        <f t="shared" si="98"/>
        <v>12558765</v>
      </c>
      <c r="H310" s="203">
        <f t="shared" si="99"/>
        <v>18125643.010586902</v>
      </c>
      <c r="I310" s="204">
        <f t="shared" si="100"/>
        <v>14953655</v>
      </c>
      <c r="J310" s="204">
        <f t="shared" si="101"/>
        <v>12558765</v>
      </c>
      <c r="K310" s="198">
        <f t="shared" si="102"/>
        <v>69.290000000000006</v>
      </c>
      <c r="L310" s="205"/>
      <c r="M310" s="206">
        <v>12216273</v>
      </c>
      <c r="N310" s="207">
        <f t="shared" si="103"/>
        <v>3.7100000000000001E-2</v>
      </c>
      <c r="O310" s="204">
        <f t="shared" si="104"/>
        <v>12669497</v>
      </c>
      <c r="P310" s="208">
        <f t="shared" si="105"/>
        <v>69.898193363953752</v>
      </c>
      <c r="Q310" s="208">
        <f t="shared" si="106"/>
        <v>0</v>
      </c>
      <c r="R310" s="209">
        <f t="shared" si="107"/>
        <v>0</v>
      </c>
      <c r="S310" s="204">
        <f t="shared" si="108"/>
        <v>0</v>
      </c>
      <c r="T310" s="210">
        <f t="shared" si="109"/>
        <v>110732</v>
      </c>
      <c r="U310" s="210">
        <f t="shared" si="94"/>
        <v>94122.2</v>
      </c>
      <c r="V310" s="203">
        <f>MIN(H310*parameters!C$22,ROUND(O310+S310-U310,0))</f>
        <v>12575375</v>
      </c>
      <c r="W310" s="211">
        <f t="shared" si="110"/>
        <v>69.37891799289504</v>
      </c>
      <c r="X310" s="208"/>
      <c r="Y310" s="212">
        <f t="shared" si="111"/>
        <v>0</v>
      </c>
      <c r="Z310" s="212">
        <f t="shared" si="95"/>
        <v>0</v>
      </c>
      <c r="AA310" s="212">
        <f t="shared" si="112"/>
        <v>16610</v>
      </c>
      <c r="AB310" s="68">
        <f t="shared" si="113"/>
        <v>8.8917992895034104E-2</v>
      </c>
      <c r="AD310" s="207">
        <f t="shared" si="115"/>
        <v>8.8171090071356532E-3</v>
      </c>
      <c r="AE310" s="213">
        <f t="shared" si="116"/>
        <v>0.60819336395374535</v>
      </c>
      <c r="AF310" s="10">
        <f t="shared" si="96"/>
        <v>0</v>
      </c>
      <c r="AG310" s="214"/>
      <c r="AH310" s="214">
        <v>3.7100000000000001E-2</v>
      </c>
      <c r="AI310" s="181"/>
      <c r="AJ310" s="214"/>
      <c r="AK310" s="214"/>
      <c r="AL310" s="214"/>
      <c r="AM310" s="10"/>
      <c r="AN310" s="10"/>
    </row>
    <row r="311" spans="1:40" ht="12.75" customHeight="1">
      <c r="A311" s="201">
        <v>302</v>
      </c>
      <c r="B311" s="201" t="s">
        <v>1568</v>
      </c>
      <c r="C311" s="202">
        <v>194705100</v>
      </c>
      <c r="D311" s="202">
        <f t="shared" si="97"/>
        <v>691123.21438217477</v>
      </c>
      <c r="E311" s="202">
        <v>7951000</v>
      </c>
      <c r="F311" s="202">
        <f t="shared" si="114"/>
        <v>113285.07417741582</v>
      </c>
      <c r="G311" s="202">
        <f t="shared" si="98"/>
        <v>804408</v>
      </c>
      <c r="H311" s="203">
        <f t="shared" si="99"/>
        <v>234931.13370609152</v>
      </c>
      <c r="I311" s="204">
        <f t="shared" si="100"/>
        <v>193818</v>
      </c>
      <c r="J311" s="204">
        <f t="shared" si="101"/>
        <v>193818</v>
      </c>
      <c r="K311" s="198">
        <f t="shared" si="102"/>
        <v>82.5</v>
      </c>
      <c r="L311" s="205"/>
      <c r="M311" s="206">
        <v>192376</v>
      </c>
      <c r="N311" s="207">
        <f t="shared" si="103"/>
        <v>2.98E-2</v>
      </c>
      <c r="O311" s="204">
        <f t="shared" si="104"/>
        <v>198109</v>
      </c>
      <c r="P311" s="208">
        <f t="shared" si="105"/>
        <v>84.326413819567435</v>
      </c>
      <c r="Q311" s="208">
        <f t="shared" si="106"/>
        <v>0</v>
      </c>
      <c r="R311" s="209">
        <f t="shared" si="107"/>
        <v>0</v>
      </c>
      <c r="S311" s="204">
        <f t="shared" si="108"/>
        <v>0</v>
      </c>
      <c r="T311" s="210">
        <f t="shared" si="109"/>
        <v>4291</v>
      </c>
      <c r="U311" s="210">
        <f t="shared" si="94"/>
        <v>3647.35</v>
      </c>
      <c r="V311" s="203">
        <f>MIN(H311*parameters!C$22,ROUND(O311+S311-U311,0))</f>
        <v>194462</v>
      </c>
      <c r="W311" s="211">
        <f t="shared" si="110"/>
        <v>82.774044006989698</v>
      </c>
      <c r="X311" s="208"/>
      <c r="Y311" s="212">
        <f t="shared" si="111"/>
        <v>0</v>
      </c>
      <c r="Z311" s="212">
        <f t="shared" si="95"/>
        <v>0</v>
      </c>
      <c r="AA311" s="212">
        <f t="shared" si="112"/>
        <v>644</v>
      </c>
      <c r="AB311" s="68">
        <f t="shared" si="113"/>
        <v>0.27404400698969766</v>
      </c>
      <c r="AD311" s="207">
        <f t="shared" si="115"/>
        <v>2.2139326584734133E-2</v>
      </c>
      <c r="AE311" s="213">
        <f t="shared" si="116"/>
        <v>1.8264138195674349</v>
      </c>
      <c r="AF311" s="10">
        <f t="shared" si="96"/>
        <v>0</v>
      </c>
      <c r="AG311" s="214"/>
      <c r="AH311" s="214">
        <v>2.98E-2</v>
      </c>
      <c r="AI311" s="181"/>
      <c r="AJ311" s="214"/>
      <c r="AK311" s="214"/>
      <c r="AL311" s="214"/>
      <c r="AM311" s="10"/>
      <c r="AN311" s="10"/>
    </row>
    <row r="312" spans="1:40" ht="12.75" customHeight="1">
      <c r="A312" s="201">
        <v>303</v>
      </c>
      <c r="B312" s="201" t="s">
        <v>1569</v>
      </c>
      <c r="C312" s="202">
        <v>1052676000</v>
      </c>
      <c r="D312" s="202">
        <f t="shared" si="97"/>
        <v>3736567.8701943099</v>
      </c>
      <c r="E312" s="202">
        <v>388616000</v>
      </c>
      <c r="F312" s="202">
        <f t="shared" si="114"/>
        <v>5536962.9463628009</v>
      </c>
      <c r="G312" s="202">
        <f t="shared" si="98"/>
        <v>9273531</v>
      </c>
      <c r="H312" s="203">
        <f t="shared" si="99"/>
        <v>13096806.629313234</v>
      </c>
      <c r="I312" s="204">
        <f t="shared" si="100"/>
        <v>10804865</v>
      </c>
      <c r="J312" s="204">
        <f t="shared" si="101"/>
        <v>9273531</v>
      </c>
      <c r="K312" s="198">
        <f t="shared" si="102"/>
        <v>70.81</v>
      </c>
      <c r="L312" s="205"/>
      <c r="M312" s="206">
        <v>8381242</v>
      </c>
      <c r="N312" s="207">
        <f t="shared" si="103"/>
        <v>3.3000000000000002E-2</v>
      </c>
      <c r="O312" s="204">
        <f t="shared" si="104"/>
        <v>8657823</v>
      </c>
      <c r="P312" s="208">
        <f t="shared" si="105"/>
        <v>66.106366575055674</v>
      </c>
      <c r="Q312" s="208">
        <f t="shared" si="106"/>
        <v>4.7036334249443286</v>
      </c>
      <c r="R312" s="209">
        <f t="shared" si="107"/>
        <v>0.01</v>
      </c>
      <c r="S312" s="204">
        <f t="shared" si="108"/>
        <v>83812</v>
      </c>
      <c r="T312" s="210">
        <f t="shared" si="109"/>
        <v>0</v>
      </c>
      <c r="U312" s="210">
        <f t="shared" si="94"/>
        <v>0</v>
      </c>
      <c r="V312" s="203">
        <f>MIN(H312*parameters!C$22,ROUND(O312+S312-U312,0))</f>
        <v>8741635</v>
      </c>
      <c r="W312" s="211">
        <f t="shared" si="110"/>
        <v>66.746308832524861</v>
      </c>
      <c r="X312" s="208"/>
      <c r="Y312" s="212">
        <f t="shared" si="111"/>
        <v>-615708</v>
      </c>
      <c r="Z312" s="212">
        <f t="shared" si="95"/>
        <v>531896</v>
      </c>
      <c r="AA312" s="212">
        <f t="shared" si="112"/>
        <v>0</v>
      </c>
      <c r="AB312" s="68">
        <f t="shared" si="113"/>
        <v>-4.0636911674751417</v>
      </c>
      <c r="AD312" s="207">
        <f t="shared" si="115"/>
        <v>-6.6394127544297854E-2</v>
      </c>
      <c r="AE312" s="213">
        <f t="shared" si="116"/>
        <v>-4.7036334249443286</v>
      </c>
      <c r="AF312" s="10">
        <f t="shared" si="96"/>
        <v>83812.42</v>
      </c>
      <c r="AG312" s="214"/>
      <c r="AH312" s="214">
        <v>3.3000000000000002E-2</v>
      </c>
      <c r="AI312" s="181"/>
      <c r="AJ312" s="214"/>
      <c r="AK312" s="214"/>
      <c r="AL312" s="214"/>
      <c r="AM312" s="10"/>
      <c r="AN312" s="10"/>
    </row>
    <row r="313" spans="1:40" ht="12.75" customHeight="1">
      <c r="A313" s="201">
        <v>304</v>
      </c>
      <c r="B313" s="201" t="s">
        <v>1570</v>
      </c>
      <c r="C313" s="202">
        <v>1575033900</v>
      </c>
      <c r="D313" s="202">
        <f t="shared" si="97"/>
        <v>5590724.0833901772</v>
      </c>
      <c r="E313" s="202">
        <v>469132000</v>
      </c>
      <c r="F313" s="202">
        <f t="shared" si="114"/>
        <v>6684147.0782290837</v>
      </c>
      <c r="G313" s="202">
        <f t="shared" si="98"/>
        <v>12274871</v>
      </c>
      <c r="H313" s="203">
        <f t="shared" si="99"/>
        <v>20569124.838266931</v>
      </c>
      <c r="I313" s="204">
        <f t="shared" si="100"/>
        <v>16969528</v>
      </c>
      <c r="J313" s="204">
        <f t="shared" si="101"/>
        <v>12274871</v>
      </c>
      <c r="K313" s="198">
        <f t="shared" si="102"/>
        <v>59.68</v>
      </c>
      <c r="L313" s="205"/>
      <c r="M313" s="206">
        <v>12144534</v>
      </c>
      <c r="N313" s="207">
        <f t="shared" si="103"/>
        <v>3.9899999999999998E-2</v>
      </c>
      <c r="O313" s="204">
        <f t="shared" si="104"/>
        <v>12629101</v>
      </c>
      <c r="P313" s="208">
        <f t="shared" si="105"/>
        <v>61.398339011996953</v>
      </c>
      <c r="Q313" s="208">
        <f t="shared" si="106"/>
        <v>0</v>
      </c>
      <c r="R313" s="209">
        <f t="shared" si="107"/>
        <v>0</v>
      </c>
      <c r="S313" s="204">
        <f t="shared" si="108"/>
        <v>0</v>
      </c>
      <c r="T313" s="210">
        <f t="shared" si="109"/>
        <v>354230</v>
      </c>
      <c r="U313" s="210">
        <f t="shared" si="94"/>
        <v>301095.5</v>
      </c>
      <c r="V313" s="203">
        <f>MIN(H313*parameters!C$22,ROUND(O313+S313-U313,0))</f>
        <v>12328006</v>
      </c>
      <c r="W313" s="211">
        <f t="shared" si="110"/>
        <v>59.934518833124578</v>
      </c>
      <c r="X313" s="208"/>
      <c r="Y313" s="212">
        <f t="shared" si="111"/>
        <v>0</v>
      </c>
      <c r="Z313" s="212">
        <f t="shared" si="95"/>
        <v>0</v>
      </c>
      <c r="AA313" s="212">
        <f t="shared" si="112"/>
        <v>53135</v>
      </c>
      <c r="AB313" s="68">
        <f t="shared" si="113"/>
        <v>0.25451883312457824</v>
      </c>
      <c r="AD313" s="207">
        <f t="shared" si="115"/>
        <v>2.8858144415529908E-2</v>
      </c>
      <c r="AE313" s="213">
        <f t="shared" si="116"/>
        <v>1.718339011996953</v>
      </c>
      <c r="AF313" s="10">
        <f t="shared" si="96"/>
        <v>0</v>
      </c>
      <c r="AG313" s="214"/>
      <c r="AH313" s="214">
        <v>3.9899999999999998E-2</v>
      </c>
      <c r="AI313" s="181"/>
      <c r="AJ313" s="214"/>
      <c r="AK313" s="214"/>
      <c r="AL313" s="214"/>
      <c r="AM313" s="10"/>
      <c r="AN313" s="10"/>
    </row>
    <row r="314" spans="1:40" ht="12.75" customHeight="1">
      <c r="A314" s="201">
        <v>305</v>
      </c>
      <c r="B314" s="201" t="s">
        <v>1571</v>
      </c>
      <c r="C314" s="202">
        <v>4491011000</v>
      </c>
      <c r="D314" s="202">
        <f t="shared" si="97"/>
        <v>15941246.316330209</v>
      </c>
      <c r="E314" s="202">
        <v>1125314000</v>
      </c>
      <c r="F314" s="202">
        <f t="shared" si="114"/>
        <v>16033364.352016667</v>
      </c>
      <c r="G314" s="202">
        <f t="shared" si="98"/>
        <v>31974611</v>
      </c>
      <c r="H314" s="203">
        <f t="shared" si="99"/>
        <v>36792735.129069544</v>
      </c>
      <c r="I314" s="204">
        <f t="shared" si="100"/>
        <v>30354006</v>
      </c>
      <c r="J314" s="204">
        <f t="shared" si="101"/>
        <v>30354006</v>
      </c>
      <c r="K314" s="198">
        <f t="shared" si="102"/>
        <v>82.5</v>
      </c>
      <c r="L314" s="205"/>
      <c r="M314" s="206">
        <v>29254375</v>
      </c>
      <c r="N314" s="207">
        <f t="shared" si="103"/>
        <v>4.0399999999999998E-2</v>
      </c>
      <c r="O314" s="204">
        <f t="shared" si="104"/>
        <v>30436252</v>
      </c>
      <c r="P314" s="208">
        <f t="shared" si="105"/>
        <v>82.723537386468024</v>
      </c>
      <c r="Q314" s="208">
        <f t="shared" si="106"/>
        <v>0</v>
      </c>
      <c r="R314" s="209">
        <f t="shared" si="107"/>
        <v>0</v>
      </c>
      <c r="S314" s="204">
        <f t="shared" si="108"/>
        <v>0</v>
      </c>
      <c r="T314" s="210">
        <f t="shared" si="109"/>
        <v>82246</v>
      </c>
      <c r="U314" s="210">
        <f t="shared" si="94"/>
        <v>69909.099999999991</v>
      </c>
      <c r="V314" s="203">
        <f>MIN(H314*parameters!C$22,ROUND(O314+S314-U314,0))</f>
        <v>30366343</v>
      </c>
      <c r="W314" s="211">
        <f t="shared" si="110"/>
        <v>82.533529767423786</v>
      </c>
      <c r="X314" s="208"/>
      <c r="Y314" s="212">
        <f t="shared" si="111"/>
        <v>0</v>
      </c>
      <c r="Z314" s="212">
        <f t="shared" si="95"/>
        <v>0</v>
      </c>
      <c r="AA314" s="212">
        <f t="shared" si="112"/>
        <v>12337</v>
      </c>
      <c r="AB314" s="68">
        <f t="shared" si="113"/>
        <v>3.3529767423786438E-2</v>
      </c>
      <c r="AD314" s="207">
        <f t="shared" si="115"/>
        <v>2.7095599836146835E-3</v>
      </c>
      <c r="AE314" s="213">
        <f t="shared" si="116"/>
        <v>0.22353738646802412</v>
      </c>
      <c r="AF314" s="10">
        <f t="shared" si="96"/>
        <v>0</v>
      </c>
      <c r="AG314" s="214"/>
      <c r="AH314" s="214">
        <v>4.0399999999999998E-2</v>
      </c>
      <c r="AI314" s="181"/>
      <c r="AJ314" s="214"/>
      <c r="AK314" s="214"/>
      <c r="AL314" s="214"/>
      <c r="AM314" s="10"/>
      <c r="AN314" s="10"/>
    </row>
    <row r="315" spans="1:40" ht="12.75" customHeight="1">
      <c r="A315" s="201">
        <v>306</v>
      </c>
      <c r="B315" s="201" t="s">
        <v>1572</v>
      </c>
      <c r="C315" s="202">
        <v>165863300</v>
      </c>
      <c r="D315" s="202">
        <f t="shared" si="97"/>
        <v>588746.65863418556</v>
      </c>
      <c r="E315" s="202">
        <v>39782000</v>
      </c>
      <c r="F315" s="202">
        <f t="shared" si="114"/>
        <v>566810.06425933295</v>
      </c>
      <c r="G315" s="202">
        <f t="shared" si="98"/>
        <v>1155557</v>
      </c>
      <c r="H315" s="203">
        <f t="shared" si="99"/>
        <v>3112458.7613782231</v>
      </c>
      <c r="I315" s="204">
        <f t="shared" si="100"/>
        <v>2567778</v>
      </c>
      <c r="J315" s="204">
        <f t="shared" si="101"/>
        <v>1155557</v>
      </c>
      <c r="K315" s="198">
        <f t="shared" si="102"/>
        <v>37.130000000000003</v>
      </c>
      <c r="L315" s="205"/>
      <c r="M315" s="206">
        <v>1223471</v>
      </c>
      <c r="N315" s="207">
        <f t="shared" si="103"/>
        <v>3.0700000000000002E-2</v>
      </c>
      <c r="O315" s="204">
        <f t="shared" si="104"/>
        <v>1261032</v>
      </c>
      <c r="P315" s="208">
        <f t="shared" si="105"/>
        <v>40.515621143253455</v>
      </c>
      <c r="Q315" s="208">
        <f t="shared" si="106"/>
        <v>0</v>
      </c>
      <c r="R315" s="209">
        <f t="shared" si="107"/>
        <v>0</v>
      </c>
      <c r="S315" s="204">
        <f t="shared" si="108"/>
        <v>0</v>
      </c>
      <c r="T315" s="210">
        <f t="shared" si="109"/>
        <v>105475</v>
      </c>
      <c r="U315" s="210">
        <f t="shared" si="94"/>
        <v>89653.75</v>
      </c>
      <c r="V315" s="203">
        <f>MIN(H315*parameters!C$22,ROUND(O315+S315-U315,0))</f>
        <v>1171378</v>
      </c>
      <c r="W315" s="211">
        <f t="shared" si="110"/>
        <v>37.635133179445049</v>
      </c>
      <c r="X315" s="208"/>
      <c r="Y315" s="212">
        <f t="shared" si="111"/>
        <v>0</v>
      </c>
      <c r="Z315" s="212">
        <f t="shared" si="95"/>
        <v>0</v>
      </c>
      <c r="AA315" s="212">
        <f t="shared" si="112"/>
        <v>15821</v>
      </c>
      <c r="AB315" s="68">
        <f t="shared" si="113"/>
        <v>0.50513317944504621</v>
      </c>
      <c r="AD315" s="207">
        <f t="shared" si="115"/>
        <v>9.1276328212282043E-2</v>
      </c>
      <c r="AE315" s="213">
        <f t="shared" si="116"/>
        <v>3.3856211432534522</v>
      </c>
      <c r="AF315" s="10">
        <f t="shared" si="96"/>
        <v>0</v>
      </c>
      <c r="AG315" s="214"/>
      <c r="AH315" s="214">
        <v>3.0700000000000002E-2</v>
      </c>
      <c r="AI315" s="181"/>
      <c r="AJ315" s="214"/>
      <c r="AK315" s="214"/>
      <c r="AL315" s="214"/>
      <c r="AM315" s="10"/>
      <c r="AN315" s="10"/>
    </row>
    <row r="316" spans="1:40" ht="12.75" customHeight="1">
      <c r="A316" s="201">
        <v>307</v>
      </c>
      <c r="B316" s="201" t="s">
        <v>1573</v>
      </c>
      <c r="C316" s="202">
        <v>4386626800</v>
      </c>
      <c r="D316" s="202">
        <f t="shared" si="97"/>
        <v>15570725.236837624</v>
      </c>
      <c r="E316" s="202">
        <v>1257171000</v>
      </c>
      <c r="F316" s="202">
        <f t="shared" si="114"/>
        <v>17912050.055174951</v>
      </c>
      <c r="G316" s="202">
        <f t="shared" si="98"/>
        <v>33482775</v>
      </c>
      <c r="H316" s="203">
        <f t="shared" si="99"/>
        <v>38120376.262632556</v>
      </c>
      <c r="I316" s="204">
        <f t="shared" si="100"/>
        <v>31449310</v>
      </c>
      <c r="J316" s="204">
        <f t="shared" si="101"/>
        <v>31449310</v>
      </c>
      <c r="K316" s="198">
        <f t="shared" si="102"/>
        <v>82.5</v>
      </c>
      <c r="L316" s="205"/>
      <c r="M316" s="206">
        <v>31563452</v>
      </c>
      <c r="N316" s="207">
        <f t="shared" si="103"/>
        <v>4.3999999999999997E-2</v>
      </c>
      <c r="O316" s="204">
        <f t="shared" si="104"/>
        <v>32952244</v>
      </c>
      <c r="P316" s="208">
        <f t="shared" si="105"/>
        <v>86.442599026236238</v>
      </c>
      <c r="Q316" s="208">
        <f t="shared" si="106"/>
        <v>0</v>
      </c>
      <c r="R316" s="209">
        <f t="shared" si="107"/>
        <v>0</v>
      </c>
      <c r="S316" s="204">
        <f t="shared" si="108"/>
        <v>0</v>
      </c>
      <c r="T316" s="210">
        <f t="shared" si="109"/>
        <v>1502934</v>
      </c>
      <c r="U316" s="210">
        <f t="shared" si="94"/>
        <v>1277493.8999999999</v>
      </c>
      <c r="V316" s="203">
        <f>MIN(H316*parameters!C$22,ROUND(O316+S316-U316,0))</f>
        <v>31674750</v>
      </c>
      <c r="W316" s="211">
        <f t="shared" si="110"/>
        <v>83.091388662522533</v>
      </c>
      <c r="X316" s="208"/>
      <c r="Y316" s="212">
        <f t="shared" si="111"/>
        <v>0</v>
      </c>
      <c r="Z316" s="212">
        <f t="shared" si="95"/>
        <v>0</v>
      </c>
      <c r="AA316" s="212">
        <f t="shared" si="112"/>
        <v>225440</v>
      </c>
      <c r="AB316" s="68">
        <f t="shared" si="113"/>
        <v>0.59138866252253308</v>
      </c>
      <c r="AD316" s="207">
        <f t="shared" si="115"/>
        <v>4.7789092988049661E-2</v>
      </c>
      <c r="AE316" s="213">
        <f t="shared" si="116"/>
        <v>3.9425990262362376</v>
      </c>
      <c r="AF316" s="10">
        <f t="shared" si="96"/>
        <v>0</v>
      </c>
      <c r="AG316" s="214"/>
      <c r="AH316" s="214">
        <v>4.3999999999999997E-2</v>
      </c>
      <c r="AI316" s="181"/>
      <c r="AJ316" s="214"/>
      <c r="AK316" s="214"/>
      <c r="AL316" s="214"/>
      <c r="AM316" s="10"/>
      <c r="AN316" s="10"/>
    </row>
    <row r="317" spans="1:40" ht="12.75" customHeight="1">
      <c r="A317" s="201">
        <v>308</v>
      </c>
      <c r="B317" s="201" t="s">
        <v>1574</v>
      </c>
      <c r="C317" s="202">
        <v>10593326800</v>
      </c>
      <c r="D317" s="202">
        <f t="shared" si="97"/>
        <v>37601963.528519988</v>
      </c>
      <c r="E317" s="202">
        <v>2094061000</v>
      </c>
      <c r="F317" s="202">
        <f t="shared" si="114"/>
        <v>29835977.325749412</v>
      </c>
      <c r="G317" s="202">
        <f t="shared" si="98"/>
        <v>67437941</v>
      </c>
      <c r="H317" s="203">
        <f t="shared" si="99"/>
        <v>65721454.701030053</v>
      </c>
      <c r="I317" s="204">
        <f t="shared" si="100"/>
        <v>54220200</v>
      </c>
      <c r="J317" s="204">
        <f t="shared" si="101"/>
        <v>54220200</v>
      </c>
      <c r="K317" s="198">
        <f t="shared" si="102"/>
        <v>82.5</v>
      </c>
      <c r="L317" s="205"/>
      <c r="M317" s="206">
        <v>51887299</v>
      </c>
      <c r="N317" s="207">
        <f t="shared" si="103"/>
        <v>5.33E-2</v>
      </c>
      <c r="O317" s="204">
        <f t="shared" si="104"/>
        <v>54652892</v>
      </c>
      <c r="P317" s="208">
        <f t="shared" si="105"/>
        <v>83.158372328516677</v>
      </c>
      <c r="Q317" s="208">
        <f t="shared" si="106"/>
        <v>0</v>
      </c>
      <c r="R317" s="209">
        <f t="shared" si="107"/>
        <v>0</v>
      </c>
      <c r="S317" s="204">
        <f t="shared" si="108"/>
        <v>0</v>
      </c>
      <c r="T317" s="210">
        <f t="shared" si="109"/>
        <v>432692</v>
      </c>
      <c r="U317" s="210">
        <f t="shared" si="94"/>
        <v>367788.2</v>
      </c>
      <c r="V317" s="203">
        <f>MIN(H317*parameters!C$22,ROUND(O317+S317-U317,0))</f>
        <v>54285104</v>
      </c>
      <c r="W317" s="211">
        <f t="shared" si="110"/>
        <v>82.598755987592568</v>
      </c>
      <c r="X317" s="208"/>
      <c r="Y317" s="212">
        <f t="shared" si="111"/>
        <v>0</v>
      </c>
      <c r="Z317" s="212">
        <f t="shared" si="95"/>
        <v>0</v>
      </c>
      <c r="AA317" s="212">
        <f t="shared" si="112"/>
        <v>64904</v>
      </c>
      <c r="AB317" s="68">
        <f t="shared" si="113"/>
        <v>9.8755987592568317E-2</v>
      </c>
      <c r="AD317" s="207">
        <f t="shared" si="115"/>
        <v>7.9802730347730173E-3</v>
      </c>
      <c r="AE317" s="213">
        <f t="shared" si="116"/>
        <v>0.65837232851667693</v>
      </c>
      <c r="AF317" s="10">
        <f t="shared" si="96"/>
        <v>0</v>
      </c>
      <c r="AG317" s="214"/>
      <c r="AH317" s="214">
        <v>5.33E-2</v>
      </c>
      <c r="AI317" s="181"/>
      <c r="AJ317" s="214"/>
      <c r="AK317" s="214"/>
      <c r="AL317" s="214"/>
      <c r="AM317" s="10"/>
      <c r="AN317" s="10"/>
    </row>
    <row r="318" spans="1:40" ht="12.75" customHeight="1">
      <c r="A318" s="201">
        <v>309</v>
      </c>
      <c r="B318" s="201" t="s">
        <v>1575</v>
      </c>
      <c r="C318" s="202">
        <v>715239800</v>
      </c>
      <c r="D318" s="202">
        <f t="shared" si="97"/>
        <v>2538807.8156661731</v>
      </c>
      <c r="E318" s="202">
        <v>224454000</v>
      </c>
      <c r="F318" s="202">
        <f t="shared" si="114"/>
        <v>3197998.747254143</v>
      </c>
      <c r="G318" s="202">
        <f t="shared" si="98"/>
        <v>5736807</v>
      </c>
      <c r="H318" s="203">
        <f t="shared" si="99"/>
        <v>16499767.804028625</v>
      </c>
      <c r="I318" s="204">
        <f t="shared" si="100"/>
        <v>13612308</v>
      </c>
      <c r="J318" s="204">
        <f t="shared" si="101"/>
        <v>5736807</v>
      </c>
      <c r="K318" s="198">
        <f t="shared" si="102"/>
        <v>34.770000000000003</v>
      </c>
      <c r="L318" s="205"/>
      <c r="M318" s="206">
        <v>6034435</v>
      </c>
      <c r="N318" s="207">
        <f t="shared" si="103"/>
        <v>3.4500000000000003E-2</v>
      </c>
      <c r="O318" s="204">
        <f t="shared" si="104"/>
        <v>6242623</v>
      </c>
      <c r="P318" s="208">
        <f t="shared" si="105"/>
        <v>37.834611214806223</v>
      </c>
      <c r="Q318" s="208">
        <f t="shared" si="106"/>
        <v>0</v>
      </c>
      <c r="R318" s="209">
        <f t="shared" si="107"/>
        <v>0</v>
      </c>
      <c r="S318" s="204">
        <f t="shared" si="108"/>
        <v>0</v>
      </c>
      <c r="T318" s="210">
        <f t="shared" si="109"/>
        <v>505816</v>
      </c>
      <c r="U318" s="210">
        <f t="shared" si="94"/>
        <v>429943.6</v>
      </c>
      <c r="V318" s="203">
        <f>MIN(H318*parameters!C$22,ROUND(O318+S318-U318,0))</f>
        <v>5812679</v>
      </c>
      <c r="W318" s="211">
        <f t="shared" si="110"/>
        <v>35.228853333201222</v>
      </c>
      <c r="X318" s="208"/>
      <c r="Y318" s="212">
        <f t="shared" si="111"/>
        <v>0</v>
      </c>
      <c r="Z318" s="212">
        <f t="shared" si="95"/>
        <v>0</v>
      </c>
      <c r="AA318" s="212">
        <f t="shared" si="112"/>
        <v>75872</v>
      </c>
      <c r="AB318" s="68">
        <f t="shared" si="113"/>
        <v>0.45885333320121902</v>
      </c>
      <c r="AD318" s="207">
        <f t="shared" si="115"/>
        <v>8.8170301005419907E-2</v>
      </c>
      <c r="AE318" s="213">
        <f t="shared" si="116"/>
        <v>3.0646112148062201</v>
      </c>
      <c r="AF318" s="10">
        <f t="shared" si="96"/>
        <v>0</v>
      </c>
      <c r="AG318" s="214"/>
      <c r="AH318" s="214">
        <v>3.4500000000000003E-2</v>
      </c>
      <c r="AI318" s="181"/>
      <c r="AJ318" s="214"/>
      <c r="AK318" s="214"/>
      <c r="AL318" s="214"/>
      <c r="AM318" s="10"/>
      <c r="AN318" s="10"/>
    </row>
    <row r="319" spans="1:40" ht="12.75" customHeight="1">
      <c r="A319" s="201">
        <v>310</v>
      </c>
      <c r="B319" s="201" t="s">
        <v>1576</v>
      </c>
      <c r="C319" s="202">
        <v>3397641400</v>
      </c>
      <c r="D319" s="202">
        <f t="shared" si="97"/>
        <v>12060232.86337108</v>
      </c>
      <c r="E319" s="202">
        <v>505447000</v>
      </c>
      <c r="F319" s="202">
        <f t="shared" si="114"/>
        <v>7201559.6639104886</v>
      </c>
      <c r="G319" s="202">
        <f t="shared" si="98"/>
        <v>19261793</v>
      </c>
      <c r="H319" s="203">
        <f t="shared" si="99"/>
        <v>34363684.462589279</v>
      </c>
      <c r="I319" s="204">
        <f t="shared" si="100"/>
        <v>28350040</v>
      </c>
      <c r="J319" s="204">
        <f t="shared" si="101"/>
        <v>19261793</v>
      </c>
      <c r="K319" s="198">
        <f t="shared" si="102"/>
        <v>56.05</v>
      </c>
      <c r="L319" s="205"/>
      <c r="M319" s="206">
        <v>19644307</v>
      </c>
      <c r="N319" s="207">
        <f t="shared" si="103"/>
        <v>3.7600000000000001E-2</v>
      </c>
      <c r="O319" s="204">
        <f t="shared" si="104"/>
        <v>20382933</v>
      </c>
      <c r="P319" s="208">
        <f t="shared" si="105"/>
        <v>59.315330468100107</v>
      </c>
      <c r="Q319" s="208">
        <f t="shared" si="106"/>
        <v>0</v>
      </c>
      <c r="R319" s="209">
        <f t="shared" si="107"/>
        <v>0</v>
      </c>
      <c r="S319" s="204">
        <f t="shared" si="108"/>
        <v>0</v>
      </c>
      <c r="T319" s="210">
        <f t="shared" si="109"/>
        <v>1121140</v>
      </c>
      <c r="U319" s="210">
        <f t="shared" si="94"/>
        <v>952969</v>
      </c>
      <c r="V319" s="203">
        <f>MIN(H319*parameters!C$22,ROUND(O319+S319-U319,0))</f>
        <v>19429964</v>
      </c>
      <c r="W319" s="211">
        <f t="shared" si="110"/>
        <v>56.542144138102607</v>
      </c>
      <c r="X319" s="208"/>
      <c r="Y319" s="212">
        <f t="shared" si="111"/>
        <v>0</v>
      </c>
      <c r="Z319" s="212">
        <f t="shared" si="95"/>
        <v>0</v>
      </c>
      <c r="AA319" s="212">
        <f t="shared" si="112"/>
        <v>168171</v>
      </c>
      <c r="AB319" s="68">
        <f t="shared" si="113"/>
        <v>0.49214413810260993</v>
      </c>
      <c r="AD319" s="207">
        <f t="shared" si="115"/>
        <v>5.8205380984002894E-2</v>
      </c>
      <c r="AE319" s="213">
        <f t="shared" si="116"/>
        <v>3.2653304681001103</v>
      </c>
      <c r="AF319" s="10">
        <f t="shared" si="96"/>
        <v>0</v>
      </c>
      <c r="AG319" s="214"/>
      <c r="AH319" s="214">
        <v>3.7600000000000001E-2</v>
      </c>
      <c r="AI319" s="181"/>
      <c r="AJ319" s="214"/>
      <c r="AK319" s="214"/>
      <c r="AL319" s="214"/>
      <c r="AM319" s="10"/>
      <c r="AN319" s="10"/>
    </row>
    <row r="320" spans="1:40" ht="12.75" customHeight="1">
      <c r="A320" s="201">
        <v>311</v>
      </c>
      <c r="B320" s="201" t="s">
        <v>1577</v>
      </c>
      <c r="C320" s="202">
        <v>356551300</v>
      </c>
      <c r="D320" s="202">
        <f t="shared" si="97"/>
        <v>1265610.8162967642</v>
      </c>
      <c r="E320" s="202">
        <v>92774000</v>
      </c>
      <c r="F320" s="202">
        <f t="shared" si="114"/>
        <v>1321834.9228695228</v>
      </c>
      <c r="G320" s="202">
        <f t="shared" si="98"/>
        <v>2587446</v>
      </c>
      <c r="H320" s="203">
        <f t="shared" si="99"/>
        <v>9611456.9816073719</v>
      </c>
      <c r="I320" s="204">
        <f t="shared" si="100"/>
        <v>7929452</v>
      </c>
      <c r="J320" s="204">
        <f t="shared" si="101"/>
        <v>2587446</v>
      </c>
      <c r="K320" s="198">
        <f t="shared" si="102"/>
        <v>26.92</v>
      </c>
      <c r="L320" s="205"/>
      <c r="M320" s="206">
        <v>2579220</v>
      </c>
      <c r="N320" s="207">
        <f t="shared" si="103"/>
        <v>3.4099999999999998E-2</v>
      </c>
      <c r="O320" s="204">
        <f t="shared" si="104"/>
        <v>2667171</v>
      </c>
      <c r="P320" s="208">
        <f t="shared" si="105"/>
        <v>27.749913515754567</v>
      </c>
      <c r="Q320" s="208">
        <f t="shared" si="106"/>
        <v>0</v>
      </c>
      <c r="R320" s="209">
        <f t="shared" si="107"/>
        <v>0</v>
      </c>
      <c r="S320" s="204">
        <f t="shared" si="108"/>
        <v>0</v>
      </c>
      <c r="T320" s="210">
        <f t="shared" si="109"/>
        <v>79725</v>
      </c>
      <c r="U320" s="210">
        <f t="shared" si="94"/>
        <v>67766.25</v>
      </c>
      <c r="V320" s="203">
        <f>MIN(H320*parameters!C$22,ROUND(O320+S320-U320,0))</f>
        <v>2599405</v>
      </c>
      <c r="W320" s="211">
        <f t="shared" si="110"/>
        <v>27.044859119426537</v>
      </c>
      <c r="X320" s="208"/>
      <c r="Y320" s="212">
        <f t="shared" si="111"/>
        <v>0</v>
      </c>
      <c r="Z320" s="212">
        <f t="shared" si="95"/>
        <v>0</v>
      </c>
      <c r="AA320" s="212">
        <f t="shared" si="112"/>
        <v>11959</v>
      </c>
      <c r="AB320" s="68">
        <f t="shared" si="113"/>
        <v>0.12485911942653516</v>
      </c>
      <c r="AD320" s="207">
        <f t="shared" si="115"/>
        <v>3.0812237240893145E-2</v>
      </c>
      <c r="AE320" s="213">
        <f t="shared" si="116"/>
        <v>0.82991351575456562</v>
      </c>
      <c r="AF320" s="10">
        <f t="shared" si="96"/>
        <v>0</v>
      </c>
      <c r="AG320" s="214"/>
      <c r="AH320" s="214">
        <v>3.4099999999999998E-2</v>
      </c>
      <c r="AI320" s="181"/>
      <c r="AJ320" s="214"/>
      <c r="AK320" s="214"/>
      <c r="AL320" s="214"/>
      <c r="AM320" s="10"/>
      <c r="AN320" s="10"/>
    </row>
    <row r="321" spans="1:40" ht="12.75" customHeight="1">
      <c r="A321" s="201">
        <v>312</v>
      </c>
      <c r="B321" s="201" t="s">
        <v>1578</v>
      </c>
      <c r="C321" s="202">
        <v>76200800</v>
      </c>
      <c r="D321" s="202">
        <f t="shared" si="97"/>
        <v>270481.57359254186</v>
      </c>
      <c r="E321" s="202">
        <v>15378000</v>
      </c>
      <c r="F321" s="202">
        <f t="shared" si="114"/>
        <v>219104.24735257207</v>
      </c>
      <c r="G321" s="202">
        <f t="shared" si="98"/>
        <v>489586</v>
      </c>
      <c r="H321" s="203">
        <f t="shared" si="99"/>
        <v>900990.04009785084</v>
      </c>
      <c r="I321" s="204">
        <f t="shared" si="100"/>
        <v>743317</v>
      </c>
      <c r="J321" s="204">
        <f t="shared" si="101"/>
        <v>489586</v>
      </c>
      <c r="K321" s="198">
        <f t="shared" si="102"/>
        <v>54.34</v>
      </c>
      <c r="L321" s="205"/>
      <c r="M321" s="206">
        <v>528205</v>
      </c>
      <c r="N321" s="207">
        <f t="shared" si="103"/>
        <v>3.0800000000000001E-2</v>
      </c>
      <c r="O321" s="204">
        <f t="shared" si="104"/>
        <v>544474</v>
      </c>
      <c r="P321" s="208">
        <f t="shared" si="105"/>
        <v>60.430634720542315</v>
      </c>
      <c r="Q321" s="208">
        <f t="shared" si="106"/>
        <v>0</v>
      </c>
      <c r="R321" s="209">
        <f t="shared" si="107"/>
        <v>0</v>
      </c>
      <c r="S321" s="204">
        <f t="shared" si="108"/>
        <v>0</v>
      </c>
      <c r="T321" s="210">
        <f t="shared" si="109"/>
        <v>54888</v>
      </c>
      <c r="U321" s="210">
        <f t="shared" si="94"/>
        <v>46654.799999999996</v>
      </c>
      <c r="V321" s="203">
        <f>MIN(H321*parameters!C$22,ROUND(O321+S321-U321,0))</f>
        <v>497819</v>
      </c>
      <c r="W321" s="211">
        <f t="shared" si="110"/>
        <v>55.252442074269212</v>
      </c>
      <c r="X321" s="208"/>
      <c r="Y321" s="212">
        <f t="shared" si="111"/>
        <v>0</v>
      </c>
      <c r="Z321" s="212">
        <f t="shared" si="95"/>
        <v>0</v>
      </c>
      <c r="AA321" s="212">
        <f t="shared" si="112"/>
        <v>8233</v>
      </c>
      <c r="AB321" s="68">
        <f t="shared" si="113"/>
        <v>0.91244207426920809</v>
      </c>
      <c r="AD321" s="207">
        <f t="shared" si="115"/>
        <v>0.11211104892705265</v>
      </c>
      <c r="AE321" s="213">
        <f t="shared" si="116"/>
        <v>6.0906347205423117</v>
      </c>
      <c r="AF321" s="10">
        <f t="shared" si="96"/>
        <v>0</v>
      </c>
      <c r="AG321" s="214"/>
      <c r="AH321" s="214">
        <v>3.0800000000000001E-2</v>
      </c>
      <c r="AI321" s="181"/>
      <c r="AJ321" s="214"/>
      <c r="AK321" s="214"/>
      <c r="AL321" s="214"/>
      <c r="AM321" s="10"/>
      <c r="AN321" s="10"/>
    </row>
    <row r="322" spans="1:40" ht="12.75" customHeight="1">
      <c r="A322" s="201">
        <v>313</v>
      </c>
      <c r="B322" s="201" t="s">
        <v>1579</v>
      </c>
      <c r="C322" s="202">
        <v>83619500</v>
      </c>
      <c r="D322" s="202">
        <f t="shared" si="97"/>
        <v>296814.91458123212</v>
      </c>
      <c r="E322" s="202">
        <v>14266000</v>
      </c>
      <c r="F322" s="202">
        <f t="shared" si="114"/>
        <v>203260.57957678457</v>
      </c>
      <c r="G322" s="202">
        <f t="shared" si="98"/>
        <v>500075</v>
      </c>
      <c r="H322" s="203">
        <f t="shared" si="99"/>
        <v>555999.25135594013</v>
      </c>
      <c r="I322" s="204">
        <f t="shared" si="100"/>
        <v>458699</v>
      </c>
      <c r="J322" s="204">
        <f t="shared" si="101"/>
        <v>458699</v>
      </c>
      <c r="K322" s="198">
        <f t="shared" si="102"/>
        <v>82.5</v>
      </c>
      <c r="L322" s="205"/>
      <c r="M322" s="206">
        <v>483230</v>
      </c>
      <c r="N322" s="207">
        <f t="shared" si="103"/>
        <v>3.6799999999999999E-2</v>
      </c>
      <c r="O322" s="204">
        <f t="shared" si="104"/>
        <v>501013</v>
      </c>
      <c r="P322" s="208">
        <f t="shared" si="105"/>
        <v>90.110373130567581</v>
      </c>
      <c r="Q322" s="208">
        <f t="shared" si="106"/>
        <v>0</v>
      </c>
      <c r="R322" s="209">
        <f t="shared" si="107"/>
        <v>0</v>
      </c>
      <c r="S322" s="204">
        <f t="shared" si="108"/>
        <v>0</v>
      </c>
      <c r="T322" s="210">
        <f t="shared" si="109"/>
        <v>42314</v>
      </c>
      <c r="U322" s="210">
        <f t="shared" si="94"/>
        <v>35966.9</v>
      </c>
      <c r="V322" s="203">
        <f>MIN(H322*parameters!C$22,ROUND(O322+S322-U322,0))</f>
        <v>465046</v>
      </c>
      <c r="W322" s="211">
        <f t="shared" si="110"/>
        <v>83.64147952823167</v>
      </c>
      <c r="X322" s="208"/>
      <c r="Y322" s="212">
        <f t="shared" si="111"/>
        <v>0</v>
      </c>
      <c r="Z322" s="212">
        <f t="shared" si="95"/>
        <v>0</v>
      </c>
      <c r="AA322" s="212">
        <f t="shared" si="112"/>
        <v>6347</v>
      </c>
      <c r="AB322" s="68">
        <f t="shared" si="113"/>
        <v>1.1414795282316703</v>
      </c>
      <c r="AD322" s="207">
        <f t="shared" si="115"/>
        <v>9.224785752748535E-2</v>
      </c>
      <c r="AE322" s="213">
        <f t="shared" si="116"/>
        <v>7.6103731305675808</v>
      </c>
      <c r="AF322" s="10">
        <f t="shared" si="96"/>
        <v>0</v>
      </c>
      <c r="AG322" s="214"/>
      <c r="AH322" s="214">
        <v>3.6799999999999999E-2</v>
      </c>
      <c r="AI322" s="181"/>
      <c r="AJ322" s="214"/>
      <c r="AK322" s="214"/>
      <c r="AL322" s="214"/>
      <c r="AM322" s="10"/>
      <c r="AN322" s="10"/>
    </row>
    <row r="323" spans="1:40" ht="12.75" customHeight="1">
      <c r="A323" s="201">
        <v>314</v>
      </c>
      <c r="B323" s="201" t="s">
        <v>1580</v>
      </c>
      <c r="C323" s="202">
        <v>7048278500</v>
      </c>
      <c r="D323" s="202">
        <f t="shared" si="97"/>
        <v>25018496.6535585</v>
      </c>
      <c r="E323" s="202">
        <v>1435012000</v>
      </c>
      <c r="F323" s="202">
        <f t="shared" si="114"/>
        <v>20445911.314989541</v>
      </c>
      <c r="G323" s="202">
        <f t="shared" si="98"/>
        <v>45464408</v>
      </c>
      <c r="H323" s="203">
        <f t="shared" si="99"/>
        <v>28658582.599711496</v>
      </c>
      <c r="I323" s="204">
        <f t="shared" si="100"/>
        <v>23643331</v>
      </c>
      <c r="J323" s="204">
        <f t="shared" si="101"/>
        <v>23643331</v>
      </c>
      <c r="K323" s="198">
        <f t="shared" si="102"/>
        <v>82.5</v>
      </c>
      <c r="L323" s="205"/>
      <c r="M323" s="206">
        <v>23092613</v>
      </c>
      <c r="N323" s="207">
        <f t="shared" si="103"/>
        <v>5.62E-2</v>
      </c>
      <c r="O323" s="204">
        <f t="shared" si="104"/>
        <v>24390418</v>
      </c>
      <c r="P323" s="208">
        <f t="shared" si="105"/>
        <v>85.106853819928745</v>
      </c>
      <c r="Q323" s="208">
        <f t="shared" si="106"/>
        <v>0</v>
      </c>
      <c r="R323" s="209">
        <f t="shared" si="107"/>
        <v>0</v>
      </c>
      <c r="S323" s="204">
        <f t="shared" si="108"/>
        <v>0</v>
      </c>
      <c r="T323" s="210">
        <f t="shared" si="109"/>
        <v>747087</v>
      </c>
      <c r="U323" s="210">
        <f t="shared" si="94"/>
        <v>635023.94999999995</v>
      </c>
      <c r="V323" s="203">
        <f>MIN(H323*parameters!C$22,ROUND(O323+S323-U323,0))</f>
        <v>23755394</v>
      </c>
      <c r="W323" s="211">
        <f t="shared" si="110"/>
        <v>82.891028952140658</v>
      </c>
      <c r="X323" s="208"/>
      <c r="Y323" s="212">
        <f t="shared" si="111"/>
        <v>0</v>
      </c>
      <c r="Z323" s="212">
        <f t="shared" si="95"/>
        <v>0</v>
      </c>
      <c r="AA323" s="212">
        <f t="shared" si="112"/>
        <v>112063</v>
      </c>
      <c r="AB323" s="68">
        <f t="shared" si="113"/>
        <v>0.39102895214065825</v>
      </c>
      <c r="AD323" s="207">
        <f t="shared" si="115"/>
        <v>3.1598212620717443E-2</v>
      </c>
      <c r="AE323" s="213">
        <f t="shared" si="116"/>
        <v>2.6068538199287445</v>
      </c>
      <c r="AF323" s="10">
        <f t="shared" si="96"/>
        <v>0</v>
      </c>
      <c r="AG323" s="214"/>
      <c r="AH323" s="214">
        <v>5.62E-2</v>
      </c>
      <c r="AI323" s="181"/>
      <c r="AJ323" s="214"/>
      <c r="AK323" s="214"/>
      <c r="AL323" s="214"/>
      <c r="AM323" s="10"/>
      <c r="AN323" s="10"/>
    </row>
    <row r="324" spans="1:40" ht="12.75" customHeight="1">
      <c r="A324" s="201">
        <v>315</v>
      </c>
      <c r="B324" s="201" t="s">
        <v>1581</v>
      </c>
      <c r="C324" s="202">
        <v>3666349500</v>
      </c>
      <c r="D324" s="202">
        <f t="shared" si="97"/>
        <v>13014036.363138301</v>
      </c>
      <c r="E324" s="202">
        <v>2266638000</v>
      </c>
      <c r="F324" s="202">
        <f t="shared" si="114"/>
        <v>32294837.625877179</v>
      </c>
      <c r="G324" s="202">
        <f t="shared" si="98"/>
        <v>45308874</v>
      </c>
      <c r="H324" s="203">
        <f t="shared" si="99"/>
        <v>25043290.042167287</v>
      </c>
      <c r="I324" s="204">
        <f t="shared" si="100"/>
        <v>20660714</v>
      </c>
      <c r="J324" s="204">
        <f t="shared" si="101"/>
        <v>20660714</v>
      </c>
      <c r="K324" s="198">
        <f t="shared" si="102"/>
        <v>82.5</v>
      </c>
      <c r="L324" s="205"/>
      <c r="M324" s="206">
        <v>20673099</v>
      </c>
      <c r="N324" s="207">
        <f t="shared" si="103"/>
        <v>3.73E-2</v>
      </c>
      <c r="O324" s="204">
        <f t="shared" si="104"/>
        <v>21444206</v>
      </c>
      <c r="P324" s="208">
        <f t="shared" si="105"/>
        <v>85.628549459327289</v>
      </c>
      <c r="Q324" s="208">
        <f t="shared" si="106"/>
        <v>0</v>
      </c>
      <c r="R324" s="209">
        <f t="shared" si="107"/>
        <v>0</v>
      </c>
      <c r="S324" s="204">
        <f t="shared" si="108"/>
        <v>0</v>
      </c>
      <c r="T324" s="210">
        <f t="shared" si="109"/>
        <v>783492</v>
      </c>
      <c r="U324" s="210">
        <f t="shared" si="94"/>
        <v>665968.19999999995</v>
      </c>
      <c r="V324" s="203">
        <f>MIN(H324*parameters!C$22,ROUND(O324+S324-U324,0))</f>
        <v>20778238</v>
      </c>
      <c r="W324" s="211">
        <f t="shared" si="110"/>
        <v>82.969282250910737</v>
      </c>
      <c r="X324" s="208"/>
      <c r="Y324" s="212">
        <f t="shared" si="111"/>
        <v>0</v>
      </c>
      <c r="Z324" s="212">
        <f t="shared" si="95"/>
        <v>0</v>
      </c>
      <c r="AA324" s="212">
        <f t="shared" si="112"/>
        <v>117524</v>
      </c>
      <c r="AB324" s="68">
        <f t="shared" si="113"/>
        <v>0.46928225091073728</v>
      </c>
      <c r="AD324" s="207">
        <f t="shared" si="115"/>
        <v>3.7921825934960428E-2</v>
      </c>
      <c r="AE324" s="213">
        <f t="shared" si="116"/>
        <v>3.1285494593272887</v>
      </c>
      <c r="AF324" s="10">
        <f t="shared" si="96"/>
        <v>0</v>
      </c>
      <c r="AG324" s="214"/>
      <c r="AH324" s="214">
        <v>3.73E-2</v>
      </c>
      <c r="AI324" s="181"/>
      <c r="AJ324" s="214"/>
      <c r="AK324" s="214"/>
      <c r="AL324" s="214"/>
      <c r="AM324" s="10"/>
      <c r="AN324" s="10"/>
    </row>
    <row r="325" spans="1:40" ht="12.75" customHeight="1">
      <c r="A325" s="201">
        <v>316</v>
      </c>
      <c r="B325" s="201" t="s">
        <v>1582</v>
      </c>
      <c r="C325" s="202">
        <v>1489002500</v>
      </c>
      <c r="D325" s="202">
        <f t="shared" si="97"/>
        <v>5285347.9134501051</v>
      </c>
      <c r="E325" s="202">
        <v>415918000</v>
      </c>
      <c r="F325" s="202">
        <f t="shared" si="114"/>
        <v>5925959.185224806</v>
      </c>
      <c r="G325" s="202">
        <f t="shared" si="98"/>
        <v>11211307</v>
      </c>
      <c r="H325" s="203">
        <f t="shared" si="99"/>
        <v>24865076.105861519</v>
      </c>
      <c r="I325" s="204">
        <f t="shared" si="100"/>
        <v>20513688</v>
      </c>
      <c r="J325" s="204">
        <f t="shared" si="101"/>
        <v>11211307</v>
      </c>
      <c r="K325" s="198">
        <f t="shared" si="102"/>
        <v>45.09</v>
      </c>
      <c r="L325" s="205"/>
      <c r="M325" s="206">
        <v>11291358</v>
      </c>
      <c r="N325" s="207">
        <f t="shared" si="103"/>
        <v>3.1399999999999997E-2</v>
      </c>
      <c r="O325" s="204">
        <f t="shared" si="104"/>
        <v>11645907</v>
      </c>
      <c r="P325" s="208">
        <f t="shared" si="105"/>
        <v>46.836401989755728</v>
      </c>
      <c r="Q325" s="208">
        <f t="shared" si="106"/>
        <v>0</v>
      </c>
      <c r="R325" s="209">
        <f t="shared" si="107"/>
        <v>0</v>
      </c>
      <c r="S325" s="204">
        <f t="shared" si="108"/>
        <v>0</v>
      </c>
      <c r="T325" s="210">
        <f t="shared" si="109"/>
        <v>434600</v>
      </c>
      <c r="U325" s="210">
        <f t="shared" si="94"/>
        <v>369410</v>
      </c>
      <c r="V325" s="203">
        <f>MIN(H325*parameters!C$22,ROUND(O325+S325-U325,0))</f>
        <v>11276497</v>
      </c>
      <c r="W325" s="211">
        <f t="shared" si="110"/>
        <v>45.350743959081463</v>
      </c>
      <c r="X325" s="208"/>
      <c r="Y325" s="212">
        <f t="shared" si="111"/>
        <v>0</v>
      </c>
      <c r="Z325" s="212">
        <f t="shared" si="95"/>
        <v>0</v>
      </c>
      <c r="AA325" s="212">
        <f t="shared" si="112"/>
        <v>65190</v>
      </c>
      <c r="AB325" s="68">
        <f t="shared" si="113"/>
        <v>0.26074395908145931</v>
      </c>
      <c r="AD325" s="207">
        <f t="shared" si="115"/>
        <v>3.8764436653103869E-2</v>
      </c>
      <c r="AE325" s="213">
        <f t="shared" si="116"/>
        <v>1.746401989755725</v>
      </c>
      <c r="AF325" s="10">
        <f t="shared" si="96"/>
        <v>0</v>
      </c>
      <c r="AG325" s="214"/>
      <c r="AH325" s="214">
        <v>3.1399999999999997E-2</v>
      </c>
      <c r="AI325" s="181"/>
      <c r="AJ325" s="214"/>
      <c r="AK325" s="214"/>
      <c r="AL325" s="214"/>
      <c r="AM325" s="10"/>
      <c r="AN325" s="10"/>
    </row>
    <row r="326" spans="1:40" ht="12.75" customHeight="1">
      <c r="A326" s="201">
        <v>317</v>
      </c>
      <c r="B326" s="201" t="s">
        <v>1583</v>
      </c>
      <c r="C326" s="202">
        <v>11749686900</v>
      </c>
      <c r="D326" s="202">
        <f t="shared" si="97"/>
        <v>41706567.410469115</v>
      </c>
      <c r="E326" s="202">
        <v>5577380000</v>
      </c>
      <c r="F326" s="202">
        <f t="shared" si="114"/>
        <v>79465967.427447557</v>
      </c>
      <c r="G326" s="202">
        <f t="shared" si="98"/>
        <v>121172535</v>
      </c>
      <c r="H326" s="203">
        <f t="shared" si="99"/>
        <v>49512766.153255805</v>
      </c>
      <c r="I326" s="204">
        <f t="shared" si="100"/>
        <v>40848032</v>
      </c>
      <c r="J326" s="204">
        <f t="shared" si="101"/>
        <v>40848032</v>
      </c>
      <c r="K326" s="198">
        <f t="shared" si="102"/>
        <v>82.5</v>
      </c>
      <c r="L326" s="205"/>
      <c r="M326" s="206">
        <v>40847477</v>
      </c>
      <c r="N326" s="207">
        <f t="shared" si="103"/>
        <v>4.1399999999999999E-2</v>
      </c>
      <c r="O326" s="204">
        <f t="shared" si="104"/>
        <v>42538563</v>
      </c>
      <c r="P326" s="208">
        <f t="shared" si="105"/>
        <v>85.914333423285811</v>
      </c>
      <c r="Q326" s="208">
        <f t="shared" si="106"/>
        <v>0</v>
      </c>
      <c r="R326" s="209">
        <f t="shared" si="107"/>
        <v>0</v>
      </c>
      <c r="S326" s="204">
        <f t="shared" si="108"/>
        <v>0</v>
      </c>
      <c r="T326" s="210">
        <f t="shared" si="109"/>
        <v>1690531</v>
      </c>
      <c r="U326" s="210">
        <f t="shared" si="94"/>
        <v>1436951.3499999999</v>
      </c>
      <c r="V326" s="203">
        <f>MIN(H326*parameters!C$22,ROUND(O326+S326-U326,0))</f>
        <v>41101612</v>
      </c>
      <c r="W326" s="211">
        <f t="shared" si="110"/>
        <v>83.012150589161308</v>
      </c>
      <c r="X326" s="208"/>
      <c r="Y326" s="212">
        <f t="shared" si="111"/>
        <v>0</v>
      </c>
      <c r="Z326" s="212">
        <f t="shared" si="95"/>
        <v>0</v>
      </c>
      <c r="AA326" s="212">
        <f t="shared" si="112"/>
        <v>253580</v>
      </c>
      <c r="AB326" s="68">
        <f t="shared" si="113"/>
        <v>0.51215058916130829</v>
      </c>
      <c r="AD326" s="207">
        <f t="shared" si="115"/>
        <v>4.1385861624863594E-2</v>
      </c>
      <c r="AE326" s="213">
        <f t="shared" si="116"/>
        <v>3.4143334232858109</v>
      </c>
      <c r="AF326" s="10">
        <f t="shared" si="96"/>
        <v>0</v>
      </c>
      <c r="AG326" s="214"/>
      <c r="AH326" s="214">
        <v>4.1399999999999999E-2</v>
      </c>
      <c r="AI326" s="181"/>
      <c r="AJ326" s="214"/>
      <c r="AK326" s="214"/>
      <c r="AL326" s="214"/>
      <c r="AM326" s="10"/>
      <c r="AN326" s="10"/>
    </row>
    <row r="327" spans="1:40" ht="12.75" customHeight="1">
      <c r="A327" s="201">
        <v>318</v>
      </c>
      <c r="B327" s="201" t="s">
        <v>1584</v>
      </c>
      <c r="C327" s="202">
        <v>2410469400</v>
      </c>
      <c r="D327" s="202">
        <f t="shared" si="97"/>
        <v>8556177.3158375006</v>
      </c>
      <c r="E327" s="202">
        <v>101993000</v>
      </c>
      <c r="F327" s="202">
        <f t="shared" si="114"/>
        <v>1453186.3376401928</v>
      </c>
      <c r="G327" s="202">
        <f t="shared" si="98"/>
        <v>10009364</v>
      </c>
      <c r="H327" s="203">
        <f t="shared" si="99"/>
        <v>2926369.2924872227</v>
      </c>
      <c r="I327" s="204">
        <f t="shared" si="100"/>
        <v>2414255</v>
      </c>
      <c r="J327" s="204">
        <f t="shared" si="101"/>
        <v>2414255</v>
      </c>
      <c r="K327" s="198">
        <f t="shared" si="102"/>
        <v>82.5</v>
      </c>
      <c r="L327" s="205"/>
      <c r="M327" s="206">
        <v>2356082</v>
      </c>
      <c r="N327" s="207">
        <f t="shared" si="103"/>
        <v>4.9100000000000005E-2</v>
      </c>
      <c r="O327" s="204">
        <f t="shared" si="104"/>
        <v>2471766</v>
      </c>
      <c r="P327" s="208">
        <f t="shared" si="105"/>
        <v>84.465279428187287</v>
      </c>
      <c r="Q327" s="208">
        <f t="shared" si="106"/>
        <v>0</v>
      </c>
      <c r="R327" s="209">
        <f t="shared" si="107"/>
        <v>0</v>
      </c>
      <c r="S327" s="204">
        <f t="shared" si="108"/>
        <v>0</v>
      </c>
      <c r="T327" s="210">
        <f t="shared" si="109"/>
        <v>57511</v>
      </c>
      <c r="U327" s="210">
        <f t="shared" si="94"/>
        <v>48884.35</v>
      </c>
      <c r="V327" s="203">
        <f>MIN(H327*parameters!C$22,ROUND(O327+S327-U327,0))</f>
        <v>2422882</v>
      </c>
      <c r="W327" s="211">
        <f t="shared" si="110"/>
        <v>82.794813567111646</v>
      </c>
      <c r="X327" s="208"/>
      <c r="Y327" s="212">
        <f t="shared" si="111"/>
        <v>0</v>
      </c>
      <c r="Z327" s="212">
        <f t="shared" si="95"/>
        <v>0</v>
      </c>
      <c r="AA327" s="212">
        <f t="shared" si="112"/>
        <v>8627</v>
      </c>
      <c r="AB327" s="68">
        <f t="shared" si="113"/>
        <v>0.29481356711164608</v>
      </c>
      <c r="AD327" s="207">
        <f t="shared" si="115"/>
        <v>2.3821427314016125E-2</v>
      </c>
      <c r="AE327" s="213">
        <f t="shared" si="116"/>
        <v>1.9652794281872872</v>
      </c>
      <c r="AF327" s="10">
        <f t="shared" si="96"/>
        <v>0</v>
      </c>
      <c r="AG327" s="214"/>
      <c r="AH327" s="214">
        <v>4.9100000000000005E-2</v>
      </c>
      <c r="AI327" s="181"/>
      <c r="AJ327" s="214"/>
      <c r="AK327" s="214"/>
      <c r="AL327" s="214"/>
      <c r="AM327" s="10"/>
      <c r="AN327" s="10"/>
    </row>
    <row r="328" spans="1:40" ht="12.75" customHeight="1">
      <c r="A328" s="201">
        <v>319</v>
      </c>
      <c r="B328" s="201" t="s">
        <v>1585</v>
      </c>
      <c r="C328" s="202">
        <v>94983200</v>
      </c>
      <c r="D328" s="202">
        <f t="shared" si="97"/>
        <v>337151.38687330211</v>
      </c>
      <c r="E328" s="202">
        <v>18270000</v>
      </c>
      <c r="F328" s="202">
        <f t="shared" si="114"/>
        <v>260309.18189176044</v>
      </c>
      <c r="G328" s="202">
        <f t="shared" si="98"/>
        <v>597461</v>
      </c>
      <c r="H328" s="203">
        <f t="shared" si="99"/>
        <v>1204389.5970138893</v>
      </c>
      <c r="I328" s="204">
        <f t="shared" si="100"/>
        <v>993621</v>
      </c>
      <c r="J328" s="204">
        <f t="shared" si="101"/>
        <v>597461</v>
      </c>
      <c r="K328" s="198">
        <f t="shared" si="102"/>
        <v>49.61</v>
      </c>
      <c r="L328" s="205"/>
      <c r="M328" s="206">
        <v>626939</v>
      </c>
      <c r="N328" s="207">
        <f t="shared" si="103"/>
        <v>3.0999999999999999E-3</v>
      </c>
      <c r="O328" s="204">
        <f t="shared" si="104"/>
        <v>628883</v>
      </c>
      <c r="P328" s="208">
        <f t="shared" si="105"/>
        <v>52.215910994185343</v>
      </c>
      <c r="Q328" s="208">
        <f t="shared" si="106"/>
        <v>0</v>
      </c>
      <c r="R328" s="209">
        <f t="shared" si="107"/>
        <v>0</v>
      </c>
      <c r="S328" s="204">
        <f t="shared" si="108"/>
        <v>0</v>
      </c>
      <c r="T328" s="210">
        <f t="shared" si="109"/>
        <v>31422</v>
      </c>
      <c r="U328" s="210">
        <f t="shared" si="94"/>
        <v>26708.7</v>
      </c>
      <c r="V328" s="203">
        <f>MIN(H328*parameters!C$22,ROUND(O328+S328-U328,0))</f>
        <v>602174</v>
      </c>
      <c r="W328" s="211">
        <f t="shared" si="110"/>
        <v>49.998273108054384</v>
      </c>
      <c r="X328" s="208"/>
      <c r="Y328" s="212">
        <f t="shared" si="111"/>
        <v>0</v>
      </c>
      <c r="Z328" s="212">
        <f t="shared" si="95"/>
        <v>0</v>
      </c>
      <c r="AA328" s="212">
        <f t="shared" si="112"/>
        <v>4713</v>
      </c>
      <c r="AB328" s="68">
        <f t="shared" si="113"/>
        <v>0.38827310805438486</v>
      </c>
      <c r="AD328" s="207">
        <f t="shared" si="115"/>
        <v>5.2592554158346738E-2</v>
      </c>
      <c r="AE328" s="213">
        <f t="shared" si="116"/>
        <v>2.6059109941853436</v>
      </c>
      <c r="AF328" s="10">
        <f t="shared" si="96"/>
        <v>0</v>
      </c>
      <c r="AG328" s="214"/>
      <c r="AH328" s="214">
        <v>3.0999999999999999E-3</v>
      </c>
      <c r="AI328" s="181"/>
      <c r="AJ328" s="214"/>
      <c r="AK328" s="214"/>
      <c r="AL328" s="214"/>
      <c r="AM328" s="10"/>
      <c r="AN328" s="10"/>
    </row>
    <row r="329" spans="1:40" ht="12.75" customHeight="1">
      <c r="A329" s="201">
        <v>320</v>
      </c>
      <c r="B329" s="201" t="s">
        <v>1586</v>
      </c>
      <c r="C329" s="202">
        <v>829008600</v>
      </c>
      <c r="D329" s="202">
        <f t="shared" si="97"/>
        <v>2942640.3745072242</v>
      </c>
      <c r="E329" s="202">
        <v>378121000</v>
      </c>
      <c r="F329" s="202">
        <f t="shared" si="114"/>
        <v>5387431.2077774685</v>
      </c>
      <c r="G329" s="202">
        <f t="shared" si="98"/>
        <v>8330072</v>
      </c>
      <c r="H329" s="203">
        <f t="shared" si="99"/>
        <v>6082368.3514624331</v>
      </c>
      <c r="I329" s="204">
        <f t="shared" si="100"/>
        <v>5017954</v>
      </c>
      <c r="J329" s="204">
        <f t="shared" si="101"/>
        <v>5017954</v>
      </c>
      <c r="K329" s="198">
        <f t="shared" si="102"/>
        <v>82.5</v>
      </c>
      <c r="L329" s="205"/>
      <c r="M329" s="206">
        <v>4890460</v>
      </c>
      <c r="N329" s="207">
        <f t="shared" si="103"/>
        <v>4.07E-2</v>
      </c>
      <c r="O329" s="204">
        <f t="shared" si="104"/>
        <v>5089502</v>
      </c>
      <c r="P329" s="208">
        <f t="shared" si="105"/>
        <v>83.676319912066646</v>
      </c>
      <c r="Q329" s="208">
        <f t="shared" si="106"/>
        <v>0</v>
      </c>
      <c r="R329" s="209">
        <f t="shared" si="107"/>
        <v>0</v>
      </c>
      <c r="S329" s="204">
        <f t="shared" si="108"/>
        <v>0</v>
      </c>
      <c r="T329" s="210">
        <f t="shared" si="109"/>
        <v>71548</v>
      </c>
      <c r="U329" s="210">
        <f t="shared" si="94"/>
        <v>60815.799999999996</v>
      </c>
      <c r="V329" s="203">
        <f>MIN(H329*parameters!C$22,ROUND(O329+S329-U329,0))</f>
        <v>5028686</v>
      </c>
      <c r="W329" s="211">
        <f t="shared" si="110"/>
        <v>82.676446236455121</v>
      </c>
      <c r="X329" s="208"/>
      <c r="Y329" s="212">
        <f t="shared" si="111"/>
        <v>0</v>
      </c>
      <c r="Z329" s="212">
        <f t="shared" si="95"/>
        <v>0</v>
      </c>
      <c r="AA329" s="212">
        <f t="shared" si="112"/>
        <v>10732</v>
      </c>
      <c r="AB329" s="68">
        <f t="shared" si="113"/>
        <v>0.1764462364551207</v>
      </c>
      <c r="AD329" s="207">
        <f t="shared" si="115"/>
        <v>1.4258400933926456E-2</v>
      </c>
      <c r="AE329" s="213">
        <f t="shared" si="116"/>
        <v>1.1763199120666457</v>
      </c>
      <c r="AF329" s="10">
        <f t="shared" si="96"/>
        <v>0</v>
      </c>
      <c r="AG329" s="214"/>
      <c r="AH329" s="214">
        <v>4.07E-2</v>
      </c>
      <c r="AI329" s="181"/>
      <c r="AJ329" s="214"/>
      <c r="AK329" s="214"/>
      <c r="AL329" s="214"/>
      <c r="AM329" s="10"/>
      <c r="AN329" s="10"/>
    </row>
    <row r="330" spans="1:40" ht="12.75" customHeight="1">
      <c r="A330" s="201">
        <v>321</v>
      </c>
      <c r="B330" s="201" t="s">
        <v>1587</v>
      </c>
      <c r="C330" s="202">
        <v>3941068600</v>
      </c>
      <c r="D330" s="202">
        <f t="shared" si="97"/>
        <v>13989176.446496045</v>
      </c>
      <c r="E330" s="202">
        <v>1071384000</v>
      </c>
      <c r="F330" s="202">
        <f t="shared" si="114"/>
        <v>15264974.960696325</v>
      </c>
      <c r="G330" s="202">
        <f t="shared" si="98"/>
        <v>29254151</v>
      </c>
      <c r="H330" s="203">
        <f t="shared" si="99"/>
        <v>37264387.252397738</v>
      </c>
      <c r="I330" s="204">
        <f t="shared" si="100"/>
        <v>30743119</v>
      </c>
      <c r="J330" s="204">
        <f t="shared" si="101"/>
        <v>29254151</v>
      </c>
      <c r="K330" s="198">
        <f t="shared" si="102"/>
        <v>78.5</v>
      </c>
      <c r="L330" s="205"/>
      <c r="M330" s="206">
        <v>27938657</v>
      </c>
      <c r="N330" s="207">
        <f t="shared" si="103"/>
        <v>5.4199999999999998E-2</v>
      </c>
      <c r="O330" s="204">
        <f t="shared" si="104"/>
        <v>29452932</v>
      </c>
      <c r="P330" s="208">
        <f t="shared" si="105"/>
        <v>79.037746684282013</v>
      </c>
      <c r="Q330" s="208">
        <f t="shared" si="106"/>
        <v>0</v>
      </c>
      <c r="R330" s="209">
        <f t="shared" si="107"/>
        <v>0</v>
      </c>
      <c r="S330" s="204">
        <f t="shared" si="108"/>
        <v>0</v>
      </c>
      <c r="T330" s="210">
        <f t="shared" si="109"/>
        <v>198781</v>
      </c>
      <c r="U330" s="210">
        <f t="shared" ref="U330:U360" si="117">MAX(T330*(U$5),0)</f>
        <v>168963.85</v>
      </c>
      <c r="V330" s="203">
        <f>MIN(H330*parameters!C$22,ROUND(O330+S330-U330,0))</f>
        <v>29283968</v>
      </c>
      <c r="W330" s="211">
        <f t="shared" si="110"/>
        <v>78.584327179875345</v>
      </c>
      <c r="X330" s="208"/>
      <c r="Y330" s="212">
        <f t="shared" si="111"/>
        <v>0</v>
      </c>
      <c r="Z330" s="212">
        <f t="shared" ref="Z330:Z360" si="118">MAX(J330-(O330+S330),0)</f>
        <v>0</v>
      </c>
      <c r="AA330" s="212">
        <f t="shared" si="112"/>
        <v>29817</v>
      </c>
      <c r="AB330" s="68">
        <f t="shared" si="113"/>
        <v>8.4327179875344882E-2</v>
      </c>
      <c r="AD330" s="207">
        <f t="shared" si="115"/>
        <v>6.794967319338715E-3</v>
      </c>
      <c r="AE330" s="213">
        <f t="shared" si="116"/>
        <v>0.53774668428201267</v>
      </c>
      <c r="AF330" s="10">
        <f t="shared" ref="AF330:AF360" si="119">IF(AD330&lt;$AF$5, $AF$6*(M330), IF(AND(AD330&lt;$AF$4, AD330&gt;$AF$5), $AF$7*(M330), 0))</f>
        <v>0</v>
      </c>
      <c r="AG330" s="214"/>
      <c r="AH330" s="214">
        <v>5.4199999999999998E-2</v>
      </c>
      <c r="AI330" s="181"/>
      <c r="AJ330" s="214"/>
      <c r="AK330" s="214"/>
      <c r="AL330" s="214"/>
      <c r="AM330" s="10"/>
      <c r="AN330" s="10"/>
    </row>
    <row r="331" spans="1:40" ht="12.75" customHeight="1">
      <c r="A331" s="201">
        <v>322</v>
      </c>
      <c r="B331" s="201" t="s">
        <v>1588</v>
      </c>
      <c r="C331" s="202">
        <v>896398000</v>
      </c>
      <c r="D331" s="202">
        <f t="shared" ref="D331:D360" si="120">D$5*C331</f>
        <v>3181845.093558169</v>
      </c>
      <c r="E331" s="202">
        <v>247467000</v>
      </c>
      <c r="F331" s="202">
        <f t="shared" si="114"/>
        <v>3525885.7315384937</v>
      </c>
      <c r="G331" s="202">
        <f t="shared" ref="G331:G360" si="121">ROUND(D331+F331,0)</f>
        <v>6707731</v>
      </c>
      <c r="H331" s="203">
        <f t="shared" ref="H331:H360" si="122">(SUMIF(town1755,A331,found1755)/2)</f>
        <v>8877321.1119815204</v>
      </c>
      <c r="I331" s="204">
        <f t="shared" ref="I331:I360" si="123">ROUND(H331*maxloc,0)</f>
        <v>7323790</v>
      </c>
      <c r="J331" s="204">
        <f t="shared" ref="J331:J360" si="124">MIN(G331,I331)</f>
        <v>6707731</v>
      </c>
      <c r="K331" s="198">
        <f t="shared" ref="K331:K360" si="125">IF(H331&gt;0, ROUND((J331*100/H331), 2), 0)</f>
        <v>75.56</v>
      </c>
      <c r="L331" s="205"/>
      <c r="M331" s="206">
        <v>6831386</v>
      </c>
      <c r="N331" s="207">
        <f t="shared" ref="N331:N361" si="126">IF($N$5=1,AH331, IF( $N$5=2,AI331, IF( $N$5=3, AJ331, IF($N$5=4, AK331, 0))))</f>
        <v>3.3000000000000002E-2</v>
      </c>
      <c r="O331" s="204">
        <f t="shared" ref="O331:O360" si="127">ROUND(M331*(1+N331),0)</f>
        <v>7056822</v>
      </c>
      <c r="P331" s="208">
        <f t="shared" ref="P331:P360" si="128">O331*100/H331</f>
        <v>79.492697301166302</v>
      </c>
      <c r="Q331" s="208">
        <f t="shared" ref="Q331:Q360" si="129">IF(K331&gt;P331,K331-P331,0)</f>
        <v>0</v>
      </c>
      <c r="R331" s="209">
        <f t="shared" ref="R331:R360" si="130">IF(AND(Q331&gt;$S$4,Q331&lt;=$S$5),$R$4,IF(Q331&gt;$S$5,$R$5,0))</f>
        <v>0</v>
      </c>
      <c r="S331" s="204">
        <f t="shared" ref="S331:S360" si="131">ROUND(R331*M331,0)</f>
        <v>0</v>
      </c>
      <c r="T331" s="210">
        <f t="shared" ref="T331:T360" si="132">MAX(O331-J331,0)</f>
        <v>349091</v>
      </c>
      <c r="U331" s="210">
        <f t="shared" si="117"/>
        <v>296727.34999999998</v>
      </c>
      <c r="V331" s="203">
        <f>MIN(H331*parameters!C$22,ROUND(O331+S331-U331,0))</f>
        <v>6760095</v>
      </c>
      <c r="W331" s="211">
        <f t="shared" ref="W331:W361" si="133">V331*100/H331</f>
        <v>76.150168668294</v>
      </c>
      <c r="X331" s="208"/>
      <c r="Y331" s="212">
        <f t="shared" ref="Y331:Y360" si="134">IF(P331&lt;K331, O331-J331, 0)</f>
        <v>0</v>
      </c>
      <c r="Z331" s="212">
        <f t="shared" si="118"/>
        <v>0</v>
      </c>
      <c r="AA331" s="212">
        <f t="shared" ref="AA331:AA360" si="135">IF(P331&gt;K331, V331-J331,0)</f>
        <v>52364</v>
      </c>
      <c r="AB331" s="68">
        <f t="shared" ref="AB331:AB360" si="136">W331-K331</f>
        <v>0.59016866829399817</v>
      </c>
      <c r="AD331" s="207">
        <f t="shared" si="115"/>
        <v>5.204308282487774E-2</v>
      </c>
      <c r="AE331" s="213">
        <f t="shared" si="116"/>
        <v>3.9326973011663</v>
      </c>
      <c r="AF331" s="10">
        <f t="shared" si="119"/>
        <v>0</v>
      </c>
      <c r="AG331" s="214"/>
      <c r="AH331" s="214">
        <v>3.3000000000000002E-2</v>
      </c>
      <c r="AI331" s="181"/>
      <c r="AJ331" s="214"/>
      <c r="AK331" s="214"/>
      <c r="AL331" s="214"/>
      <c r="AM331" s="10"/>
      <c r="AN331" s="10"/>
    </row>
    <row r="332" spans="1:40" ht="12.75" customHeight="1">
      <c r="A332" s="201">
        <v>323</v>
      </c>
      <c r="B332" s="201" t="s">
        <v>1589</v>
      </c>
      <c r="C332" s="202">
        <v>1101346700</v>
      </c>
      <c r="D332" s="202">
        <f t="shared" si="120"/>
        <v>3909328.8848273656</v>
      </c>
      <c r="E332" s="202">
        <v>239326000</v>
      </c>
      <c r="F332" s="202">
        <f t="shared" ref="F332:F360" si="137">E332*F$5</f>
        <v>3409893.5558526251</v>
      </c>
      <c r="G332" s="202">
        <f t="shared" si="121"/>
        <v>7319222</v>
      </c>
      <c r="H332" s="203">
        <f t="shared" si="122"/>
        <v>11181675.355418464</v>
      </c>
      <c r="I332" s="204">
        <f t="shared" si="123"/>
        <v>9224882</v>
      </c>
      <c r="J332" s="204">
        <f t="shared" si="124"/>
        <v>7319222</v>
      </c>
      <c r="K332" s="198">
        <f t="shared" si="125"/>
        <v>65.459999999999994</v>
      </c>
      <c r="L332" s="205"/>
      <c r="M332" s="206">
        <v>7120451</v>
      </c>
      <c r="N332" s="207">
        <f t="shared" si="126"/>
        <v>5.0599999999999999E-2</v>
      </c>
      <c r="O332" s="204">
        <f t="shared" si="127"/>
        <v>7480746</v>
      </c>
      <c r="P332" s="208">
        <f t="shared" si="128"/>
        <v>66.901835031142696</v>
      </c>
      <c r="Q332" s="208">
        <f t="shared" si="129"/>
        <v>0</v>
      </c>
      <c r="R332" s="209">
        <f t="shared" si="130"/>
        <v>0</v>
      </c>
      <c r="S332" s="204">
        <f t="shared" si="131"/>
        <v>0</v>
      </c>
      <c r="T332" s="210">
        <f t="shared" si="132"/>
        <v>161524</v>
      </c>
      <c r="U332" s="210">
        <f t="shared" si="117"/>
        <v>137295.4</v>
      </c>
      <c r="V332" s="203">
        <f>MIN(H332*parameters!C$22,ROUND(O332+S332-U332,0))</f>
        <v>7343451</v>
      </c>
      <c r="W332" s="211">
        <f t="shared" si="133"/>
        <v>65.673977884194954</v>
      </c>
      <c r="X332" s="208"/>
      <c r="Y332" s="212">
        <f t="shared" si="134"/>
        <v>0</v>
      </c>
      <c r="Z332" s="212">
        <f t="shared" si="118"/>
        <v>0</v>
      </c>
      <c r="AA332" s="212">
        <f t="shared" si="135"/>
        <v>24229</v>
      </c>
      <c r="AB332" s="68">
        <f t="shared" si="136"/>
        <v>0.21397788419496067</v>
      </c>
      <c r="AD332" s="207">
        <f t="shared" si="115"/>
        <v>2.206846574676926E-2</v>
      </c>
      <c r="AE332" s="213">
        <f t="shared" si="116"/>
        <v>1.441835031142702</v>
      </c>
      <c r="AF332" s="10">
        <f t="shared" si="119"/>
        <v>0</v>
      </c>
      <c r="AG332" s="214"/>
      <c r="AH332" s="214">
        <v>5.0599999999999999E-2</v>
      </c>
      <c r="AI332" s="181"/>
      <c r="AJ332" s="214"/>
      <c r="AK332" s="214"/>
      <c r="AL332" s="214"/>
      <c r="AM332" s="10"/>
      <c r="AN332" s="10"/>
    </row>
    <row r="333" spans="1:40" ht="12.75" customHeight="1">
      <c r="A333" s="201">
        <v>324</v>
      </c>
      <c r="B333" s="201" t="s">
        <v>1590</v>
      </c>
      <c r="C333" s="202">
        <v>354151700</v>
      </c>
      <c r="D333" s="202">
        <f t="shared" si="120"/>
        <v>1257093.220891038</v>
      </c>
      <c r="E333" s="202">
        <v>119174000</v>
      </c>
      <c r="F333" s="202">
        <f t="shared" si="137"/>
        <v>1697979.5535177153</v>
      </c>
      <c r="G333" s="202">
        <f t="shared" si="121"/>
        <v>2955073</v>
      </c>
      <c r="H333" s="203">
        <f t="shared" si="122"/>
        <v>5922823.4094378399</v>
      </c>
      <c r="I333" s="204">
        <f t="shared" si="123"/>
        <v>4886329</v>
      </c>
      <c r="J333" s="204">
        <f t="shared" si="124"/>
        <v>2955073</v>
      </c>
      <c r="K333" s="198">
        <f t="shared" si="125"/>
        <v>49.89</v>
      </c>
      <c r="L333" s="205"/>
      <c r="M333" s="206">
        <v>2952307</v>
      </c>
      <c r="N333" s="207">
        <f t="shared" si="126"/>
        <v>3.5000000000000003E-2</v>
      </c>
      <c r="O333" s="204">
        <f t="shared" si="127"/>
        <v>3055638</v>
      </c>
      <c r="P333" s="208">
        <f t="shared" si="128"/>
        <v>51.590901648881399</v>
      </c>
      <c r="Q333" s="208">
        <f t="shared" si="129"/>
        <v>0</v>
      </c>
      <c r="R333" s="209">
        <f t="shared" si="130"/>
        <v>0</v>
      </c>
      <c r="S333" s="204">
        <f t="shared" si="131"/>
        <v>0</v>
      </c>
      <c r="T333" s="210">
        <f t="shared" si="132"/>
        <v>100565</v>
      </c>
      <c r="U333" s="210">
        <f t="shared" si="117"/>
        <v>85480.25</v>
      </c>
      <c r="V333" s="203">
        <f>MIN(H333*parameters!C$22,ROUND(O333+S333-U333,0))</f>
        <v>2970158</v>
      </c>
      <c r="W333" s="211">
        <f t="shared" si="133"/>
        <v>50.147671045993761</v>
      </c>
      <c r="X333" s="208"/>
      <c r="Y333" s="212">
        <f t="shared" si="134"/>
        <v>0</v>
      </c>
      <c r="Z333" s="212">
        <f t="shared" si="118"/>
        <v>0</v>
      </c>
      <c r="AA333" s="212">
        <f t="shared" si="135"/>
        <v>15085</v>
      </c>
      <c r="AB333" s="68">
        <f t="shared" si="136"/>
        <v>0.25767104599376012</v>
      </c>
      <c r="AD333" s="207">
        <f t="shared" si="115"/>
        <v>3.4031308194416854E-2</v>
      </c>
      <c r="AE333" s="213">
        <f t="shared" si="116"/>
        <v>1.7009016488813984</v>
      </c>
      <c r="AF333" s="10">
        <f t="shared" si="119"/>
        <v>0</v>
      </c>
      <c r="AG333" s="214"/>
      <c r="AH333" s="214">
        <v>3.5000000000000003E-2</v>
      </c>
      <c r="AI333" s="181"/>
      <c r="AJ333" s="214"/>
      <c r="AK333" s="214"/>
      <c r="AL333" s="214"/>
      <c r="AM333" s="10"/>
      <c r="AN333" s="10"/>
    </row>
    <row r="334" spans="1:40" ht="12.75" customHeight="1">
      <c r="A334" s="201">
        <v>325</v>
      </c>
      <c r="B334" s="201" t="s">
        <v>1591</v>
      </c>
      <c r="C334" s="202">
        <v>3199883800</v>
      </c>
      <c r="D334" s="202">
        <f t="shared" si="120"/>
        <v>11358274.526478494</v>
      </c>
      <c r="E334" s="202">
        <v>1052321000</v>
      </c>
      <c r="F334" s="202">
        <f t="shared" si="137"/>
        <v>14993367.191982443</v>
      </c>
      <c r="G334" s="202">
        <f t="shared" si="121"/>
        <v>26351642</v>
      </c>
      <c r="H334" s="203">
        <f t="shared" si="122"/>
        <v>60917916.743617475</v>
      </c>
      <c r="I334" s="204">
        <f t="shared" si="123"/>
        <v>50257281</v>
      </c>
      <c r="J334" s="204">
        <f t="shared" si="124"/>
        <v>26351642</v>
      </c>
      <c r="K334" s="198">
        <f t="shared" si="125"/>
        <v>43.26</v>
      </c>
      <c r="L334" s="205"/>
      <c r="M334" s="206">
        <v>26781337</v>
      </c>
      <c r="N334" s="207">
        <f t="shared" si="126"/>
        <v>4.4900000000000002E-2</v>
      </c>
      <c r="O334" s="204">
        <f t="shared" si="127"/>
        <v>27983819</v>
      </c>
      <c r="P334" s="208">
        <f t="shared" si="128"/>
        <v>45.936927091210705</v>
      </c>
      <c r="Q334" s="208">
        <f t="shared" si="129"/>
        <v>0</v>
      </c>
      <c r="R334" s="209">
        <f t="shared" si="130"/>
        <v>0</v>
      </c>
      <c r="S334" s="204">
        <f t="shared" si="131"/>
        <v>0</v>
      </c>
      <c r="T334" s="210">
        <f t="shared" si="132"/>
        <v>1632177</v>
      </c>
      <c r="U334" s="210">
        <f t="shared" si="117"/>
        <v>1387350.45</v>
      </c>
      <c r="V334" s="203">
        <f>MIN(H334*parameters!C$22,ROUND(O334+S334-U334,0))</f>
        <v>26596469</v>
      </c>
      <c r="W334" s="211">
        <f>V334*100/H334</f>
        <v>43.659518285786717</v>
      </c>
      <c r="X334" s="208"/>
      <c r="Y334" s="212">
        <f t="shared" si="134"/>
        <v>0</v>
      </c>
      <c r="Z334" s="212">
        <f t="shared" si="118"/>
        <v>0</v>
      </c>
      <c r="AA334" s="212">
        <f t="shared" si="135"/>
        <v>244827</v>
      </c>
      <c r="AB334" s="68">
        <f>W334-K334</f>
        <v>0.39951828578671922</v>
      </c>
      <c r="AD334" s="207">
        <f t="shared" si="115"/>
        <v>6.1938341451360034E-2</v>
      </c>
      <c r="AE334" s="213">
        <f t="shared" si="116"/>
        <v>2.6769270912107075</v>
      </c>
      <c r="AF334" s="10">
        <f t="shared" si="119"/>
        <v>0</v>
      </c>
      <c r="AG334" s="214"/>
      <c r="AH334" s="214">
        <v>4.4900000000000002E-2</v>
      </c>
      <c r="AI334" s="181"/>
      <c r="AJ334" s="214"/>
      <c r="AK334" s="214"/>
      <c r="AL334" s="214"/>
      <c r="AM334" s="10"/>
      <c r="AN334" s="10"/>
    </row>
    <row r="335" spans="1:40" ht="12.75" customHeight="1">
      <c r="A335" s="201">
        <v>326</v>
      </c>
      <c r="B335" s="201" t="s">
        <v>1592</v>
      </c>
      <c r="C335" s="202">
        <v>4546655200</v>
      </c>
      <c r="D335" s="202">
        <f t="shared" si="120"/>
        <v>16138760.394624637</v>
      </c>
      <c r="E335" s="202">
        <v>1369407000</v>
      </c>
      <c r="F335" s="202">
        <f t="shared" si="137"/>
        <v>19511177.659926105</v>
      </c>
      <c r="G335" s="202">
        <f t="shared" si="121"/>
        <v>35649938</v>
      </c>
      <c r="H335" s="203">
        <f t="shared" si="122"/>
        <v>47100750.85246592</v>
      </c>
      <c r="I335" s="204">
        <f t="shared" si="123"/>
        <v>38858119</v>
      </c>
      <c r="J335" s="204">
        <f t="shared" si="124"/>
        <v>35649938</v>
      </c>
      <c r="K335" s="198">
        <f t="shared" si="125"/>
        <v>75.69</v>
      </c>
      <c r="L335" s="205"/>
      <c r="M335" s="206">
        <v>34247049</v>
      </c>
      <c r="N335" s="207">
        <f t="shared" si="126"/>
        <v>4.1099999999999998E-2</v>
      </c>
      <c r="O335" s="204">
        <f t="shared" si="127"/>
        <v>35654603</v>
      </c>
      <c r="P335" s="208">
        <f t="shared" si="128"/>
        <v>75.6985872936107</v>
      </c>
      <c r="Q335" s="208">
        <f t="shared" si="129"/>
        <v>0</v>
      </c>
      <c r="R335" s="209">
        <f t="shared" si="130"/>
        <v>0</v>
      </c>
      <c r="S335" s="204">
        <f t="shared" si="131"/>
        <v>0</v>
      </c>
      <c r="T335" s="210">
        <f t="shared" si="132"/>
        <v>4665</v>
      </c>
      <c r="U335" s="210">
        <f t="shared" si="117"/>
        <v>3965.25</v>
      </c>
      <c r="V335" s="203">
        <f>MIN(H335*parameters!C$22,ROUND(O335+S335-U335,0))</f>
        <v>35650638</v>
      </c>
      <c r="W335" s="211">
        <f t="shared" si="133"/>
        <v>75.690169168786284</v>
      </c>
      <c r="X335" s="208"/>
      <c r="Y335" s="212">
        <f t="shared" si="134"/>
        <v>0</v>
      </c>
      <c r="Z335" s="212">
        <f t="shared" si="118"/>
        <v>0</v>
      </c>
      <c r="AA335" s="212">
        <f t="shared" si="135"/>
        <v>700</v>
      </c>
      <c r="AB335" s="68">
        <f t="shared" si="136"/>
        <v>1.6916878628592258E-4</v>
      </c>
      <c r="AD335" s="207">
        <f t="shared" si="115"/>
        <v>1.3085576754719741E-4</v>
      </c>
      <c r="AE335" s="213">
        <f t="shared" si="116"/>
        <v>8.5872936107023179E-3</v>
      </c>
      <c r="AF335" s="10">
        <f t="shared" si="119"/>
        <v>0</v>
      </c>
      <c r="AG335" s="214"/>
      <c r="AH335" s="214">
        <v>4.1099999999999998E-2</v>
      </c>
      <c r="AI335" s="181"/>
      <c r="AJ335" s="214"/>
      <c r="AK335" s="214"/>
      <c r="AL335" s="214"/>
      <c r="AM335" s="10"/>
      <c r="AN335" s="10"/>
    </row>
    <row r="336" spans="1:40" ht="12.75" customHeight="1">
      <c r="A336" s="201">
        <v>327</v>
      </c>
      <c r="B336" s="201" t="s">
        <v>1593</v>
      </c>
      <c r="C336" s="202">
        <v>230447800</v>
      </c>
      <c r="D336" s="202">
        <f t="shared" si="120"/>
        <v>817995.13358047896</v>
      </c>
      <c r="E336" s="202">
        <v>51974000</v>
      </c>
      <c r="F336" s="202">
        <f t="shared" si="137"/>
        <v>740520.49368595274</v>
      </c>
      <c r="G336" s="202">
        <f t="shared" si="121"/>
        <v>1558516</v>
      </c>
      <c r="H336" s="203">
        <f t="shared" si="122"/>
        <v>2222487.4490324007</v>
      </c>
      <c r="I336" s="204">
        <f t="shared" si="123"/>
        <v>1833552</v>
      </c>
      <c r="J336" s="204">
        <f t="shared" si="124"/>
        <v>1558516</v>
      </c>
      <c r="K336" s="198">
        <f t="shared" si="125"/>
        <v>70.12</v>
      </c>
      <c r="L336" s="205"/>
      <c r="M336" s="206">
        <v>1600549</v>
      </c>
      <c r="N336" s="207">
        <f t="shared" si="126"/>
        <v>3.7600000000000001E-2</v>
      </c>
      <c r="O336" s="204">
        <f t="shared" si="127"/>
        <v>1660730</v>
      </c>
      <c r="P336" s="208">
        <f t="shared" si="128"/>
        <v>74.723931544496608</v>
      </c>
      <c r="Q336" s="208">
        <f t="shared" si="129"/>
        <v>0</v>
      </c>
      <c r="R336" s="209">
        <f t="shared" si="130"/>
        <v>0</v>
      </c>
      <c r="S336" s="204">
        <f t="shared" si="131"/>
        <v>0</v>
      </c>
      <c r="T336" s="210">
        <f t="shared" si="132"/>
        <v>102214</v>
      </c>
      <c r="U336" s="210">
        <f t="shared" si="117"/>
        <v>86881.9</v>
      </c>
      <c r="V336" s="203">
        <f>MIN(H336*parameters!C$22,ROUND(O336+S336-U336,0))</f>
        <v>1573848</v>
      </c>
      <c r="W336" s="211">
        <f t="shared" si="133"/>
        <v>70.814708118383422</v>
      </c>
      <c r="X336" s="208"/>
      <c r="Y336" s="212">
        <f t="shared" si="134"/>
        <v>0</v>
      </c>
      <c r="Z336" s="212">
        <f t="shared" si="118"/>
        <v>0</v>
      </c>
      <c r="AA336" s="212">
        <f t="shared" si="135"/>
        <v>15332</v>
      </c>
      <c r="AB336" s="68">
        <f t="shared" si="136"/>
        <v>0.69470811838341717</v>
      </c>
      <c r="AD336" s="207">
        <f t="shared" si="115"/>
        <v>6.5584183928814335E-2</v>
      </c>
      <c r="AE336" s="213">
        <f t="shared" si="116"/>
        <v>4.6039315444966036</v>
      </c>
      <c r="AF336" s="10">
        <f t="shared" si="119"/>
        <v>0</v>
      </c>
      <c r="AG336" s="214"/>
      <c r="AH336" s="214">
        <v>3.7600000000000001E-2</v>
      </c>
      <c r="AI336" s="181"/>
      <c r="AJ336" s="214"/>
      <c r="AK336" s="214"/>
      <c r="AL336" s="214"/>
      <c r="AM336" s="10"/>
      <c r="AN336" s="10"/>
    </row>
    <row r="337" spans="1:40" ht="12.75" customHeight="1">
      <c r="A337" s="201">
        <v>328</v>
      </c>
      <c r="B337" s="201" t="s">
        <v>1594</v>
      </c>
      <c r="C337" s="202">
        <v>922494100</v>
      </c>
      <c r="D337" s="202">
        <f t="shared" si="120"/>
        <v>3274475.5409107995</v>
      </c>
      <c r="E337" s="202">
        <v>293601000</v>
      </c>
      <c r="F337" s="202">
        <f t="shared" si="137"/>
        <v>4183198.4735962097</v>
      </c>
      <c r="G337" s="202">
        <f t="shared" si="121"/>
        <v>7457674</v>
      </c>
      <c r="H337" s="203">
        <f t="shared" si="122"/>
        <v>12479984.460640837</v>
      </c>
      <c r="I337" s="204">
        <f t="shared" si="123"/>
        <v>10295987</v>
      </c>
      <c r="J337" s="204">
        <f t="shared" si="124"/>
        <v>7457674</v>
      </c>
      <c r="K337" s="198">
        <f t="shared" si="125"/>
        <v>59.76</v>
      </c>
      <c r="L337" s="205"/>
      <c r="M337" s="206">
        <v>7159869</v>
      </c>
      <c r="N337" s="207">
        <f t="shared" si="126"/>
        <v>4.8099999999999997E-2</v>
      </c>
      <c r="O337" s="204">
        <f t="shared" si="127"/>
        <v>7504259</v>
      </c>
      <c r="P337" s="208">
        <f t="shared" si="128"/>
        <v>60.130355319486213</v>
      </c>
      <c r="Q337" s="208">
        <f t="shared" si="129"/>
        <v>0</v>
      </c>
      <c r="R337" s="209">
        <f t="shared" si="130"/>
        <v>0</v>
      </c>
      <c r="S337" s="204">
        <f t="shared" si="131"/>
        <v>0</v>
      </c>
      <c r="T337" s="210">
        <f t="shared" si="132"/>
        <v>46585</v>
      </c>
      <c r="U337" s="210">
        <f t="shared" si="117"/>
        <v>39597.25</v>
      </c>
      <c r="V337" s="203">
        <f>MIN(H337*parameters!C$22,ROUND(O337+S337-U337,0))</f>
        <v>7464662</v>
      </c>
      <c r="W337" s="211">
        <f t="shared" si="133"/>
        <v>59.813071270576692</v>
      </c>
      <c r="X337" s="208"/>
      <c r="Y337" s="212">
        <f t="shared" si="134"/>
        <v>0</v>
      </c>
      <c r="Z337" s="212">
        <f t="shared" si="118"/>
        <v>0</v>
      </c>
      <c r="AA337" s="212">
        <f t="shared" si="135"/>
        <v>6988</v>
      </c>
      <c r="AB337" s="68">
        <f t="shared" si="136"/>
        <v>5.3071270576694474E-2</v>
      </c>
      <c r="AD337" s="207">
        <f t="shared" si="115"/>
        <v>6.2465857316906046E-3</v>
      </c>
      <c r="AE337" s="213">
        <f t="shared" si="116"/>
        <v>0.37035531948621525</v>
      </c>
      <c r="AF337" s="10">
        <f t="shared" si="119"/>
        <v>0</v>
      </c>
      <c r="AG337" s="214"/>
      <c r="AH337" s="214">
        <v>4.8099999999999997E-2</v>
      </c>
      <c r="AI337" s="181"/>
      <c r="AJ337" s="214"/>
      <c r="AK337" s="214"/>
      <c r="AL337" s="214"/>
      <c r="AM337" s="10"/>
      <c r="AN337" s="10"/>
    </row>
    <row r="338" spans="1:40" ht="12.75" customHeight="1">
      <c r="A338" s="201">
        <v>329</v>
      </c>
      <c r="B338" s="201" t="s">
        <v>1595</v>
      </c>
      <c r="C338" s="202">
        <v>878936100</v>
      </c>
      <c r="D338" s="202">
        <f t="shared" si="120"/>
        <v>3119862.5134551306</v>
      </c>
      <c r="E338" s="202">
        <v>282371000</v>
      </c>
      <c r="F338" s="202">
        <f t="shared" si="137"/>
        <v>4023194.5265439674</v>
      </c>
      <c r="G338" s="202">
        <f t="shared" si="121"/>
        <v>7143057</v>
      </c>
      <c r="H338" s="203">
        <f t="shared" si="122"/>
        <v>6343693.7182545587</v>
      </c>
      <c r="I338" s="204">
        <f t="shared" si="123"/>
        <v>5233547</v>
      </c>
      <c r="J338" s="204">
        <f t="shared" si="124"/>
        <v>5233547</v>
      </c>
      <c r="K338" s="198">
        <f t="shared" si="125"/>
        <v>82.5</v>
      </c>
      <c r="L338" s="205"/>
      <c r="M338" s="206">
        <v>5120599</v>
      </c>
      <c r="N338" s="207">
        <f t="shared" si="126"/>
        <v>4.4400000000000002E-2</v>
      </c>
      <c r="O338" s="204">
        <f t="shared" si="127"/>
        <v>5347954</v>
      </c>
      <c r="P338" s="208">
        <f t="shared" si="128"/>
        <v>84.303471093044308</v>
      </c>
      <c r="Q338" s="208">
        <f t="shared" si="129"/>
        <v>0</v>
      </c>
      <c r="R338" s="209">
        <f t="shared" si="130"/>
        <v>0</v>
      </c>
      <c r="S338" s="204">
        <f t="shared" si="131"/>
        <v>0</v>
      </c>
      <c r="T338" s="210">
        <f t="shared" si="132"/>
        <v>114407</v>
      </c>
      <c r="U338" s="210">
        <f t="shared" si="117"/>
        <v>97245.95</v>
      </c>
      <c r="V338" s="203">
        <f>MIN(H338*parameters!C$22,ROUND(O338+S338-U338,0))</f>
        <v>5250708</v>
      </c>
      <c r="W338" s="211">
        <f t="shared" si="133"/>
        <v>82.770515620743282</v>
      </c>
      <c r="X338" s="208"/>
      <c r="Y338" s="212">
        <f t="shared" si="134"/>
        <v>0</v>
      </c>
      <c r="Z338" s="212">
        <f t="shared" si="118"/>
        <v>0</v>
      </c>
      <c r="AA338" s="212">
        <f t="shared" si="135"/>
        <v>17161</v>
      </c>
      <c r="AB338" s="68">
        <f t="shared" si="136"/>
        <v>0.27051562074328217</v>
      </c>
      <c r="AD338" s="207">
        <f t="shared" si="115"/>
        <v>2.1860317677475715E-2</v>
      </c>
      <c r="AE338" s="213">
        <f t="shared" si="116"/>
        <v>1.8034710930443083</v>
      </c>
      <c r="AF338" s="10">
        <f t="shared" si="119"/>
        <v>0</v>
      </c>
      <c r="AG338" s="214"/>
      <c r="AH338" s="214">
        <v>4.4400000000000002E-2</v>
      </c>
      <c r="AI338" s="181"/>
      <c r="AJ338" s="214"/>
      <c r="AK338" s="214"/>
      <c r="AL338" s="214"/>
      <c r="AM338" s="10"/>
      <c r="AN338" s="10"/>
    </row>
    <row r="339" spans="1:40" ht="12.75" customHeight="1">
      <c r="A339" s="201">
        <v>330</v>
      </c>
      <c r="B339" s="201" t="s">
        <v>1596</v>
      </c>
      <c r="C339" s="202">
        <v>6262837700</v>
      </c>
      <c r="D339" s="202">
        <f t="shared" si="120"/>
        <v>22230504.092485845</v>
      </c>
      <c r="E339" s="202">
        <v>3952543000</v>
      </c>
      <c r="F339" s="202">
        <f t="shared" si="137"/>
        <v>56315447.98697342</v>
      </c>
      <c r="G339" s="202">
        <f t="shared" si="121"/>
        <v>78545952</v>
      </c>
      <c r="H339" s="203">
        <f t="shared" si="122"/>
        <v>21251738.294267315</v>
      </c>
      <c r="I339" s="204">
        <f t="shared" si="123"/>
        <v>17532684</v>
      </c>
      <c r="J339" s="204">
        <f t="shared" si="124"/>
        <v>17532684</v>
      </c>
      <c r="K339" s="198">
        <f t="shared" si="125"/>
        <v>82.5</v>
      </c>
      <c r="L339" s="205"/>
      <c r="M339" s="206">
        <v>17673841</v>
      </c>
      <c r="N339" s="207">
        <f t="shared" si="126"/>
        <v>4.4799999999999993E-2</v>
      </c>
      <c r="O339" s="204">
        <f t="shared" si="127"/>
        <v>18465629</v>
      </c>
      <c r="P339" s="208">
        <f t="shared" si="128"/>
        <v>86.889969866517362</v>
      </c>
      <c r="Q339" s="208">
        <f t="shared" si="129"/>
        <v>0</v>
      </c>
      <c r="R339" s="209">
        <f t="shared" si="130"/>
        <v>0</v>
      </c>
      <c r="S339" s="204">
        <f t="shared" si="131"/>
        <v>0</v>
      </c>
      <c r="T339" s="210">
        <f t="shared" si="132"/>
        <v>932945</v>
      </c>
      <c r="U339" s="210">
        <f t="shared" si="117"/>
        <v>793003.25</v>
      </c>
      <c r="V339" s="203">
        <f>MIN(H339*parameters!C$22,ROUND(O339+S339-U339,0))</f>
        <v>17672626</v>
      </c>
      <c r="W339" s="211">
        <f t="shared" si="133"/>
        <v>83.158496285300174</v>
      </c>
      <c r="X339" s="208"/>
      <c r="Y339" s="212">
        <f t="shared" si="134"/>
        <v>0</v>
      </c>
      <c r="Z339" s="212">
        <f t="shared" si="118"/>
        <v>0</v>
      </c>
      <c r="AA339" s="212">
        <f t="shared" si="135"/>
        <v>139942</v>
      </c>
      <c r="AB339" s="68">
        <f t="shared" si="136"/>
        <v>0.65849628530017412</v>
      </c>
      <c r="AD339" s="207">
        <f t="shared" si="115"/>
        <v>5.3211761530636156E-2</v>
      </c>
      <c r="AE339" s="213">
        <f t="shared" si="116"/>
        <v>4.3899698665173617</v>
      </c>
      <c r="AF339" s="10">
        <f t="shared" si="119"/>
        <v>0</v>
      </c>
      <c r="AG339" s="214"/>
      <c r="AH339" s="214">
        <v>4.4799999999999993E-2</v>
      </c>
      <c r="AI339" s="181"/>
      <c r="AJ339" s="214"/>
      <c r="AK339" s="214"/>
      <c r="AL339" s="214"/>
      <c r="AM339" s="10"/>
      <c r="AN339" s="10"/>
    </row>
    <row r="340" spans="1:40" ht="12.75" customHeight="1">
      <c r="A340" s="201">
        <v>331</v>
      </c>
      <c r="B340" s="201" t="s">
        <v>1597</v>
      </c>
      <c r="C340" s="202">
        <v>3150106700</v>
      </c>
      <c r="D340" s="202">
        <f t="shared" si="120"/>
        <v>11181586.245819062</v>
      </c>
      <c r="E340" s="202">
        <v>573833000</v>
      </c>
      <c r="F340" s="202">
        <f t="shared" si="137"/>
        <v>8175916.7363160681</v>
      </c>
      <c r="G340" s="202">
        <f t="shared" si="121"/>
        <v>19357503</v>
      </c>
      <c r="H340" s="203">
        <f t="shared" si="122"/>
        <v>17506652.620257169</v>
      </c>
      <c r="I340" s="204">
        <f t="shared" si="123"/>
        <v>14442988</v>
      </c>
      <c r="J340" s="204">
        <f t="shared" si="124"/>
        <v>14442988</v>
      </c>
      <c r="K340" s="198">
        <f t="shared" si="125"/>
        <v>82.5</v>
      </c>
      <c r="L340" s="205"/>
      <c r="M340" s="206">
        <v>14380791</v>
      </c>
      <c r="N340" s="207">
        <f t="shared" si="126"/>
        <v>4.4799999999999993E-2</v>
      </c>
      <c r="O340" s="204">
        <f t="shared" si="127"/>
        <v>15025050</v>
      </c>
      <c r="P340" s="208">
        <f t="shared" si="128"/>
        <v>85.824802296095854</v>
      </c>
      <c r="Q340" s="208">
        <f t="shared" si="129"/>
        <v>0</v>
      </c>
      <c r="R340" s="209">
        <f t="shared" si="130"/>
        <v>0</v>
      </c>
      <c r="S340" s="204">
        <f t="shared" si="131"/>
        <v>0</v>
      </c>
      <c r="T340" s="210">
        <f t="shared" si="132"/>
        <v>582062</v>
      </c>
      <c r="U340" s="210">
        <f t="shared" si="117"/>
        <v>494752.7</v>
      </c>
      <c r="V340" s="203">
        <f>MIN(H340*parameters!C$22,ROUND(O340+S340-U340,0))</f>
        <v>14530297</v>
      </c>
      <c r="W340" s="211">
        <f t="shared" si="133"/>
        <v>82.998716631795219</v>
      </c>
      <c r="X340" s="208"/>
      <c r="Y340" s="212">
        <f t="shared" si="134"/>
        <v>0</v>
      </c>
      <c r="Z340" s="212">
        <f t="shared" si="118"/>
        <v>0</v>
      </c>
      <c r="AA340" s="212">
        <f t="shared" si="135"/>
        <v>87309</v>
      </c>
      <c r="AB340" s="68">
        <f t="shared" si="136"/>
        <v>0.49871663179521875</v>
      </c>
      <c r="AD340" s="207">
        <f t="shared" si="115"/>
        <v>4.0300663546905945E-2</v>
      </c>
      <c r="AE340" s="213">
        <f t="shared" si="116"/>
        <v>3.3248022960958536</v>
      </c>
      <c r="AF340" s="10">
        <f t="shared" si="119"/>
        <v>0</v>
      </c>
      <c r="AG340" s="214"/>
      <c r="AH340" s="214">
        <v>4.4799999999999993E-2</v>
      </c>
      <c r="AI340" s="181"/>
      <c r="AJ340" s="214"/>
      <c r="AK340" s="214"/>
      <c r="AL340" s="214"/>
      <c r="AM340" s="10"/>
      <c r="AN340" s="10"/>
    </row>
    <row r="341" spans="1:40" ht="12.75" customHeight="1">
      <c r="A341" s="201">
        <v>332</v>
      </c>
      <c r="B341" s="201" t="s">
        <v>1598</v>
      </c>
      <c r="C341" s="202">
        <v>2683069700</v>
      </c>
      <c r="D341" s="202">
        <f t="shared" si="120"/>
        <v>9523796.5285727866</v>
      </c>
      <c r="E341" s="202">
        <v>758315000</v>
      </c>
      <c r="F341" s="202">
        <f t="shared" si="137"/>
        <v>10804398.317802425</v>
      </c>
      <c r="G341" s="202">
        <f t="shared" si="121"/>
        <v>20328195</v>
      </c>
      <c r="H341" s="203">
        <f t="shared" si="122"/>
        <v>46379224.347272687</v>
      </c>
      <c r="I341" s="204">
        <f t="shared" si="123"/>
        <v>38262860</v>
      </c>
      <c r="J341" s="204">
        <f t="shared" si="124"/>
        <v>20328195</v>
      </c>
      <c r="K341" s="198">
        <f t="shared" si="125"/>
        <v>43.83</v>
      </c>
      <c r="L341" s="205"/>
      <c r="M341" s="206">
        <v>20212569</v>
      </c>
      <c r="N341" s="207">
        <f t="shared" si="126"/>
        <v>2.2000000000000001E-3</v>
      </c>
      <c r="O341" s="204">
        <f t="shared" si="127"/>
        <v>20257037</v>
      </c>
      <c r="P341" s="208">
        <f t="shared" si="128"/>
        <v>43.676963737732727</v>
      </c>
      <c r="Q341" s="208">
        <f t="shared" si="129"/>
        <v>0.15303626226727118</v>
      </c>
      <c r="R341" s="209">
        <f t="shared" si="130"/>
        <v>0</v>
      </c>
      <c r="S341" s="204">
        <f t="shared" si="131"/>
        <v>0</v>
      </c>
      <c r="T341" s="210">
        <f t="shared" si="132"/>
        <v>0</v>
      </c>
      <c r="U341" s="210">
        <f t="shared" si="117"/>
        <v>0</v>
      </c>
      <c r="V341" s="203">
        <f>MIN(H341*parameters!C$22,ROUND(O341+S341-U341,0))</f>
        <v>20257037</v>
      </c>
      <c r="W341" s="211">
        <f t="shared" si="133"/>
        <v>43.676963737732727</v>
      </c>
      <c r="X341" s="208"/>
      <c r="Y341" s="212">
        <f t="shared" si="134"/>
        <v>-71158</v>
      </c>
      <c r="Z341" s="212">
        <f t="shared" si="118"/>
        <v>71158</v>
      </c>
      <c r="AA341" s="212">
        <f t="shared" si="135"/>
        <v>0</v>
      </c>
      <c r="AB341" s="68">
        <f t="shared" si="136"/>
        <v>-0.15303626226727118</v>
      </c>
      <c r="AD341" s="207">
        <f t="shared" si="115"/>
        <v>-3.50045835353311E-3</v>
      </c>
      <c r="AE341" s="213">
        <f t="shared" si="116"/>
        <v>-0.15303626226727118</v>
      </c>
      <c r="AF341" s="10">
        <f t="shared" si="119"/>
        <v>0</v>
      </c>
      <c r="AG341" s="214"/>
      <c r="AH341" s="214">
        <v>2.2000000000000001E-3</v>
      </c>
      <c r="AI341" s="181"/>
      <c r="AJ341" s="214"/>
      <c r="AK341" s="214"/>
      <c r="AL341" s="214"/>
      <c r="AM341" s="10"/>
      <c r="AN341" s="10"/>
    </row>
    <row r="342" spans="1:40" ht="12.75" customHeight="1">
      <c r="A342" s="201">
        <v>333</v>
      </c>
      <c r="B342" s="201" t="s">
        <v>1599</v>
      </c>
      <c r="C342" s="202">
        <v>384685300</v>
      </c>
      <c r="D342" s="202">
        <f t="shared" si="120"/>
        <v>1365474.9724664183</v>
      </c>
      <c r="E342" s="202">
        <v>50494000</v>
      </c>
      <c r="F342" s="202">
        <f t="shared" si="137"/>
        <v>719433.5977253723</v>
      </c>
      <c r="G342" s="202">
        <f t="shared" si="121"/>
        <v>2084909</v>
      </c>
      <c r="H342" s="203">
        <f t="shared" si="122"/>
        <v>1593367.0165889598</v>
      </c>
      <c r="I342" s="204">
        <f t="shared" si="123"/>
        <v>1314528</v>
      </c>
      <c r="J342" s="204">
        <f t="shared" si="124"/>
        <v>1314528</v>
      </c>
      <c r="K342" s="198">
        <f t="shared" si="125"/>
        <v>82.5</v>
      </c>
      <c r="L342" s="205"/>
      <c r="M342" s="206">
        <v>1387065</v>
      </c>
      <c r="N342" s="207">
        <f t="shared" si="126"/>
        <v>3.6999999999999998E-2</v>
      </c>
      <c r="O342" s="204">
        <f t="shared" si="127"/>
        <v>1438386</v>
      </c>
      <c r="P342" s="208">
        <f t="shared" si="128"/>
        <v>90.273363576915301</v>
      </c>
      <c r="Q342" s="208">
        <f t="shared" si="129"/>
        <v>0</v>
      </c>
      <c r="R342" s="209">
        <f t="shared" si="130"/>
        <v>0</v>
      </c>
      <c r="S342" s="204">
        <f t="shared" si="131"/>
        <v>0</v>
      </c>
      <c r="T342" s="210">
        <f t="shared" si="132"/>
        <v>123858</v>
      </c>
      <c r="U342" s="210">
        <f t="shared" si="117"/>
        <v>105279.3</v>
      </c>
      <c r="V342" s="203">
        <f>MIN(H342*parameters!C$22,ROUND(O342+S342-U342,0))</f>
        <v>1333107</v>
      </c>
      <c r="W342" s="211">
        <f t="shared" si="133"/>
        <v>83.666034637385806</v>
      </c>
      <c r="X342" s="208"/>
      <c r="Y342" s="212">
        <f t="shared" si="134"/>
        <v>0</v>
      </c>
      <c r="Z342" s="212">
        <f t="shared" si="118"/>
        <v>0</v>
      </c>
      <c r="AA342" s="212">
        <f t="shared" si="135"/>
        <v>18579</v>
      </c>
      <c r="AB342" s="68">
        <f t="shared" si="136"/>
        <v>1.1660346373858061</v>
      </c>
      <c r="AD342" s="207">
        <f t="shared" si="115"/>
        <v>9.4222412911706716E-2</v>
      </c>
      <c r="AE342" s="213">
        <f t="shared" si="116"/>
        <v>7.7733635769153011</v>
      </c>
      <c r="AF342" s="10">
        <f t="shared" si="119"/>
        <v>0</v>
      </c>
      <c r="AG342" s="214"/>
      <c r="AH342" s="214">
        <v>3.6999999999999998E-2</v>
      </c>
      <c r="AI342" s="181"/>
      <c r="AJ342" s="214"/>
      <c r="AK342" s="214"/>
      <c r="AL342" s="214"/>
      <c r="AM342" s="10"/>
      <c r="AN342" s="10"/>
    </row>
    <row r="343" spans="1:40" ht="12.75" customHeight="1">
      <c r="A343" s="201">
        <v>334</v>
      </c>
      <c r="B343" s="201" t="s">
        <v>1600</v>
      </c>
      <c r="C343" s="202">
        <v>2498333900</v>
      </c>
      <c r="D343" s="202">
        <f t="shared" si="120"/>
        <v>8868060.2386273127</v>
      </c>
      <c r="E343" s="202">
        <v>84332000</v>
      </c>
      <c r="F343" s="202">
        <f t="shared" si="137"/>
        <v>1201554.1284781576</v>
      </c>
      <c r="G343" s="202">
        <f t="shared" si="121"/>
        <v>10069614</v>
      </c>
      <c r="H343" s="203">
        <f t="shared" si="122"/>
        <v>4120192.1970162764</v>
      </c>
      <c r="I343" s="204">
        <f t="shared" si="123"/>
        <v>3399159</v>
      </c>
      <c r="J343" s="204">
        <f t="shared" si="124"/>
        <v>3399159</v>
      </c>
      <c r="K343" s="198">
        <f t="shared" si="125"/>
        <v>82.5</v>
      </c>
      <c r="L343" s="205"/>
      <c r="M343" s="206">
        <v>3159760</v>
      </c>
      <c r="N343" s="207">
        <f t="shared" si="126"/>
        <v>3.8300000000000001E-2</v>
      </c>
      <c r="O343" s="204">
        <f t="shared" si="127"/>
        <v>3280779</v>
      </c>
      <c r="P343" s="208">
        <f t="shared" si="128"/>
        <v>79.626843679181889</v>
      </c>
      <c r="Q343" s="208">
        <f t="shared" si="129"/>
        <v>2.8731563208181115</v>
      </c>
      <c r="R343" s="209">
        <f t="shared" si="130"/>
        <v>0.01</v>
      </c>
      <c r="S343" s="204">
        <f t="shared" si="131"/>
        <v>31598</v>
      </c>
      <c r="T343" s="210">
        <f t="shared" si="132"/>
        <v>0</v>
      </c>
      <c r="U343" s="210">
        <f t="shared" si="117"/>
        <v>0</v>
      </c>
      <c r="V343" s="203">
        <f>MIN(H343*parameters!C$22,ROUND(O343+S343-U343,0))</f>
        <v>3312377</v>
      </c>
      <c r="W343" s="211">
        <f t="shared" si="133"/>
        <v>80.39374965077424</v>
      </c>
      <c r="X343" s="208"/>
      <c r="Y343" s="212">
        <f t="shared" si="134"/>
        <v>-118380</v>
      </c>
      <c r="Z343" s="212">
        <f t="shared" si="118"/>
        <v>86782</v>
      </c>
      <c r="AA343" s="212">
        <f t="shared" si="135"/>
        <v>0</v>
      </c>
      <c r="AB343" s="68">
        <f t="shared" si="136"/>
        <v>-2.1062503492257605</v>
      </c>
      <c r="AD343" s="207">
        <f t="shared" si="115"/>
        <v>-3.482626143702016E-2</v>
      </c>
      <c r="AE343" s="213">
        <f t="shared" si="116"/>
        <v>-2.8731563208181115</v>
      </c>
      <c r="AF343" s="10">
        <f t="shared" si="119"/>
        <v>0</v>
      </c>
      <c r="AG343" s="214"/>
      <c r="AH343" s="214">
        <v>3.8300000000000001E-2</v>
      </c>
      <c r="AI343" s="181"/>
      <c r="AJ343" s="214"/>
      <c r="AK343" s="214"/>
      <c r="AL343" s="214"/>
      <c r="AM343" s="10"/>
      <c r="AN343" s="10"/>
    </row>
    <row r="344" spans="1:40" ht="12.75" customHeight="1">
      <c r="A344" s="201">
        <v>335</v>
      </c>
      <c r="B344" s="201" t="s">
        <v>1601</v>
      </c>
      <c r="C344" s="202">
        <v>4342334700</v>
      </c>
      <c r="D344" s="202">
        <f t="shared" si="120"/>
        <v>15413506.455594929</v>
      </c>
      <c r="E344" s="202">
        <v>1732424000</v>
      </c>
      <c r="F344" s="202">
        <f t="shared" si="137"/>
        <v>24683408.545684244</v>
      </c>
      <c r="G344" s="202">
        <f t="shared" si="121"/>
        <v>40096915</v>
      </c>
      <c r="H344" s="203">
        <f t="shared" si="122"/>
        <v>30212491.116784826</v>
      </c>
      <c r="I344" s="204">
        <f t="shared" si="123"/>
        <v>24925305</v>
      </c>
      <c r="J344" s="204">
        <f t="shared" si="124"/>
        <v>24925305</v>
      </c>
      <c r="K344" s="198">
        <f t="shared" si="125"/>
        <v>82.5</v>
      </c>
      <c r="L344" s="205"/>
      <c r="M344" s="206">
        <v>24633722</v>
      </c>
      <c r="N344" s="207">
        <f t="shared" si="126"/>
        <v>5.04E-2</v>
      </c>
      <c r="O344" s="204">
        <f t="shared" si="127"/>
        <v>25875262</v>
      </c>
      <c r="P344" s="208">
        <f t="shared" si="128"/>
        <v>85.644251908856205</v>
      </c>
      <c r="Q344" s="208">
        <f t="shared" si="129"/>
        <v>0</v>
      </c>
      <c r="R344" s="209">
        <f t="shared" si="130"/>
        <v>0</v>
      </c>
      <c r="S344" s="204">
        <f t="shared" si="131"/>
        <v>0</v>
      </c>
      <c r="T344" s="210">
        <f t="shared" si="132"/>
        <v>949957</v>
      </c>
      <c r="U344" s="210">
        <f t="shared" si="117"/>
        <v>807463.45</v>
      </c>
      <c r="V344" s="203">
        <f>MIN(H344*parameters!C$22,ROUND(O344+S344-U344,0))</f>
        <v>25067799</v>
      </c>
      <c r="W344" s="211">
        <f t="shared" si="133"/>
        <v>82.971638793708593</v>
      </c>
      <c r="X344" s="208"/>
      <c r="Y344" s="212">
        <f t="shared" si="134"/>
        <v>0</v>
      </c>
      <c r="Z344" s="212">
        <f t="shared" si="118"/>
        <v>0</v>
      </c>
      <c r="AA344" s="212">
        <f t="shared" si="135"/>
        <v>142494</v>
      </c>
      <c r="AB344" s="68">
        <f t="shared" si="136"/>
        <v>0.47163879370859263</v>
      </c>
      <c r="AD344" s="207">
        <f t="shared" si="115"/>
        <v>3.8112151486210499E-2</v>
      </c>
      <c r="AE344" s="213">
        <f t="shared" si="116"/>
        <v>3.1442519088562051</v>
      </c>
      <c r="AF344" s="10">
        <f t="shared" si="119"/>
        <v>0</v>
      </c>
      <c r="AG344" s="214"/>
      <c r="AH344" s="214">
        <v>5.04E-2</v>
      </c>
      <c r="AI344" s="181"/>
      <c r="AJ344" s="214"/>
      <c r="AK344" s="214"/>
      <c r="AL344" s="214"/>
      <c r="AM344" s="10"/>
      <c r="AN344" s="10"/>
    </row>
    <row r="345" spans="1:40" ht="12.75" customHeight="1">
      <c r="A345" s="201">
        <v>336</v>
      </c>
      <c r="B345" s="201" t="s">
        <v>1602</v>
      </c>
      <c r="C345" s="202">
        <v>7069961500</v>
      </c>
      <c r="D345" s="202">
        <f t="shared" si="120"/>
        <v>25095462.406676669</v>
      </c>
      <c r="E345" s="202">
        <v>1784170000</v>
      </c>
      <c r="F345" s="202">
        <f t="shared" si="137"/>
        <v>25420680.517560054</v>
      </c>
      <c r="G345" s="202">
        <f t="shared" si="121"/>
        <v>50516143</v>
      </c>
      <c r="H345" s="203">
        <f t="shared" si="122"/>
        <v>69699748.775945917</v>
      </c>
      <c r="I345" s="204">
        <f t="shared" si="123"/>
        <v>57502293</v>
      </c>
      <c r="J345" s="204">
        <f t="shared" si="124"/>
        <v>50516143</v>
      </c>
      <c r="K345" s="198">
        <f t="shared" si="125"/>
        <v>72.48</v>
      </c>
      <c r="L345" s="205"/>
      <c r="M345" s="206">
        <v>47764893</v>
      </c>
      <c r="N345" s="207">
        <f t="shared" si="126"/>
        <v>3.4099999999999998E-2</v>
      </c>
      <c r="O345" s="204">
        <f t="shared" si="127"/>
        <v>49393676</v>
      </c>
      <c r="P345" s="208">
        <f t="shared" si="128"/>
        <v>70.86636159734087</v>
      </c>
      <c r="Q345" s="208">
        <f t="shared" si="129"/>
        <v>1.6136384026591344</v>
      </c>
      <c r="R345" s="209">
        <f t="shared" si="130"/>
        <v>0</v>
      </c>
      <c r="S345" s="204">
        <f t="shared" si="131"/>
        <v>0</v>
      </c>
      <c r="T345" s="210">
        <f t="shared" si="132"/>
        <v>0</v>
      </c>
      <c r="U345" s="210">
        <f t="shared" si="117"/>
        <v>0</v>
      </c>
      <c r="V345" s="203">
        <f>MIN(H345*parameters!C$22,ROUND(O345+S345-U345,0))</f>
        <v>49393676</v>
      </c>
      <c r="W345" s="211">
        <f t="shared" si="133"/>
        <v>70.86636159734087</v>
      </c>
      <c r="X345" s="208"/>
      <c r="Y345" s="212">
        <f t="shared" si="134"/>
        <v>-1122467</v>
      </c>
      <c r="Z345" s="212">
        <f t="shared" si="118"/>
        <v>1122467</v>
      </c>
      <c r="AA345" s="212">
        <f t="shared" si="135"/>
        <v>0</v>
      </c>
      <c r="AB345" s="68">
        <f t="shared" si="136"/>
        <v>-1.6136384026591344</v>
      </c>
      <c r="AD345" s="207">
        <f t="shared" si="115"/>
        <v>-2.2219966397672125E-2</v>
      </c>
      <c r="AE345" s="213">
        <f t="shared" si="116"/>
        <v>-1.6136384026591344</v>
      </c>
      <c r="AF345" s="10">
        <f t="shared" si="119"/>
        <v>0</v>
      </c>
      <c r="AG345" s="214"/>
      <c r="AH345" s="214">
        <v>3.4099999999999998E-2</v>
      </c>
      <c r="AI345" s="181"/>
      <c r="AJ345" s="214"/>
      <c r="AK345" s="214"/>
      <c r="AL345" s="214"/>
      <c r="AM345" s="10"/>
      <c r="AN345" s="10"/>
    </row>
    <row r="346" spans="1:40" ht="12.75" customHeight="1">
      <c r="A346" s="201">
        <v>337</v>
      </c>
      <c r="B346" s="201" t="s">
        <v>1603</v>
      </c>
      <c r="C346" s="202">
        <v>279133700</v>
      </c>
      <c r="D346" s="202">
        <f t="shared" si="120"/>
        <v>990810.10197673121</v>
      </c>
      <c r="E346" s="202">
        <v>38636000</v>
      </c>
      <c r="F346" s="202">
        <f t="shared" si="137"/>
        <v>550481.96779255918</v>
      </c>
      <c r="G346" s="202">
        <f t="shared" si="121"/>
        <v>1541292</v>
      </c>
      <c r="H346" s="203">
        <f t="shared" si="122"/>
        <v>1716620.5944477185</v>
      </c>
      <c r="I346" s="204">
        <f t="shared" si="123"/>
        <v>1416212</v>
      </c>
      <c r="J346" s="204">
        <f t="shared" si="124"/>
        <v>1416212</v>
      </c>
      <c r="K346" s="198">
        <f t="shared" si="125"/>
        <v>82.5</v>
      </c>
      <c r="L346" s="205"/>
      <c r="M346" s="206">
        <v>1408722</v>
      </c>
      <c r="N346" s="207">
        <f t="shared" si="126"/>
        <v>4.1900000000000007E-2</v>
      </c>
      <c r="O346" s="204">
        <f t="shared" si="127"/>
        <v>1467747</v>
      </c>
      <c r="P346" s="208">
        <f t="shared" si="128"/>
        <v>85.502119964499926</v>
      </c>
      <c r="Q346" s="208">
        <f t="shared" si="129"/>
        <v>0</v>
      </c>
      <c r="R346" s="209">
        <f t="shared" si="130"/>
        <v>0</v>
      </c>
      <c r="S346" s="204">
        <f t="shared" si="131"/>
        <v>0</v>
      </c>
      <c r="T346" s="210">
        <f t="shared" si="132"/>
        <v>51535</v>
      </c>
      <c r="U346" s="210">
        <f t="shared" si="117"/>
        <v>43804.75</v>
      </c>
      <c r="V346" s="203">
        <f>MIN(H346*parameters!C$22,ROUND(O346+S346-U346,0))</f>
        <v>1423942</v>
      </c>
      <c r="W346" s="211">
        <f t="shared" si="133"/>
        <v>82.950303905570891</v>
      </c>
      <c r="X346" s="208"/>
      <c r="Y346" s="212">
        <f t="shared" si="134"/>
        <v>0</v>
      </c>
      <c r="Z346" s="212">
        <f t="shared" si="118"/>
        <v>0</v>
      </c>
      <c r="AA346" s="212">
        <f t="shared" si="135"/>
        <v>7730</v>
      </c>
      <c r="AB346" s="68">
        <f t="shared" si="136"/>
        <v>0.45030390557089106</v>
      </c>
      <c r="AD346" s="207">
        <f t="shared" si="115"/>
        <v>3.6389325891886246E-2</v>
      </c>
      <c r="AE346" s="213">
        <f t="shared" si="116"/>
        <v>3.0021199644999257</v>
      </c>
      <c r="AF346" s="10">
        <f t="shared" si="119"/>
        <v>0</v>
      </c>
      <c r="AG346" s="214"/>
      <c r="AH346" s="214">
        <v>4.1900000000000007E-2</v>
      </c>
      <c r="AI346" s="181"/>
      <c r="AJ346" s="214"/>
      <c r="AK346" s="214"/>
      <c r="AL346" s="214"/>
      <c r="AM346" s="10"/>
      <c r="AN346" s="10"/>
    </row>
    <row r="347" spans="1:40" ht="12.75" customHeight="1">
      <c r="A347" s="201">
        <v>338</v>
      </c>
      <c r="B347" s="201" t="s">
        <v>1604</v>
      </c>
      <c r="C347" s="202">
        <v>1492979700</v>
      </c>
      <c r="D347" s="202">
        <f t="shared" si="120"/>
        <v>5299465.3415413098</v>
      </c>
      <c r="E347" s="202">
        <v>425636000</v>
      </c>
      <c r="F347" s="202">
        <f t="shared" si="137"/>
        <v>6064420.3034308339</v>
      </c>
      <c r="G347" s="202">
        <f t="shared" si="121"/>
        <v>11363886</v>
      </c>
      <c r="H347" s="203">
        <f t="shared" si="122"/>
        <v>25097456.936898522</v>
      </c>
      <c r="I347" s="204">
        <f t="shared" si="123"/>
        <v>20705402</v>
      </c>
      <c r="J347" s="204">
        <f t="shared" si="124"/>
        <v>11363886</v>
      </c>
      <c r="K347" s="198">
        <f t="shared" si="125"/>
        <v>45.28</v>
      </c>
      <c r="L347" s="205"/>
      <c r="M347" s="206">
        <v>10197670</v>
      </c>
      <c r="N347" s="207">
        <f t="shared" si="126"/>
        <v>4.6399999999999997E-2</v>
      </c>
      <c r="O347" s="204">
        <f t="shared" si="127"/>
        <v>10670842</v>
      </c>
      <c r="P347" s="208">
        <f t="shared" si="128"/>
        <v>42.517622509839335</v>
      </c>
      <c r="Q347" s="208">
        <f t="shared" si="129"/>
        <v>2.7623774901606666</v>
      </c>
      <c r="R347" s="209">
        <f t="shared" si="130"/>
        <v>0.01</v>
      </c>
      <c r="S347" s="204">
        <f t="shared" si="131"/>
        <v>101977</v>
      </c>
      <c r="T347" s="210">
        <f t="shared" si="132"/>
        <v>0</v>
      </c>
      <c r="U347" s="210">
        <f t="shared" si="117"/>
        <v>0</v>
      </c>
      <c r="V347" s="203">
        <f>MIN(H347*parameters!C$22,ROUND(O347+S347-U347,0))</f>
        <v>10772819</v>
      </c>
      <c r="W347" s="211">
        <f t="shared" si="133"/>
        <v>42.923946546001233</v>
      </c>
      <c r="X347" s="208"/>
      <c r="Y347" s="212">
        <f t="shared" si="134"/>
        <v>-693044</v>
      </c>
      <c r="Z347" s="212">
        <f t="shared" si="118"/>
        <v>591067</v>
      </c>
      <c r="AA347" s="212">
        <f t="shared" si="135"/>
        <v>0</v>
      </c>
      <c r="AB347" s="68">
        <f t="shared" si="136"/>
        <v>-2.3560534539987685</v>
      </c>
      <c r="AD347" s="207">
        <f t="shared" si="115"/>
        <v>-6.0986532247859576E-2</v>
      </c>
      <c r="AE347" s="213">
        <f t="shared" si="116"/>
        <v>-2.7623774901606666</v>
      </c>
      <c r="AF347" s="10">
        <f t="shared" si="119"/>
        <v>101976.7</v>
      </c>
      <c r="AG347" s="214"/>
      <c r="AH347" s="214">
        <v>4.6399999999999997E-2</v>
      </c>
      <c r="AI347" s="181"/>
      <c r="AJ347" s="214"/>
      <c r="AK347" s="214"/>
      <c r="AL347" s="214"/>
      <c r="AM347" s="10"/>
      <c r="AN347" s="10"/>
    </row>
    <row r="348" spans="1:40" ht="12.75" customHeight="1">
      <c r="A348" s="201">
        <v>339</v>
      </c>
      <c r="B348" s="201" t="s">
        <v>1605</v>
      </c>
      <c r="C348" s="202">
        <v>1692213100</v>
      </c>
      <c r="D348" s="202">
        <f t="shared" si="120"/>
        <v>6006662.1628895411</v>
      </c>
      <c r="E348" s="202">
        <v>663485000</v>
      </c>
      <c r="F348" s="202">
        <f t="shared" si="137"/>
        <v>9453269.7070309073</v>
      </c>
      <c r="G348" s="202">
        <f t="shared" si="121"/>
        <v>15459932</v>
      </c>
      <c r="H348" s="203">
        <f t="shared" si="122"/>
        <v>22695534.133417137</v>
      </c>
      <c r="I348" s="204">
        <f t="shared" si="123"/>
        <v>18723816</v>
      </c>
      <c r="J348" s="204">
        <f t="shared" si="124"/>
        <v>15459932</v>
      </c>
      <c r="K348" s="198">
        <f t="shared" si="125"/>
        <v>68.12</v>
      </c>
      <c r="L348" s="205"/>
      <c r="M348" s="206">
        <v>15316802</v>
      </c>
      <c r="N348" s="207">
        <f t="shared" si="126"/>
        <v>3.6900000000000002E-2</v>
      </c>
      <c r="O348" s="204">
        <f t="shared" si="127"/>
        <v>15881992</v>
      </c>
      <c r="P348" s="208">
        <f t="shared" si="128"/>
        <v>69.978489629883583</v>
      </c>
      <c r="Q348" s="208">
        <f t="shared" si="129"/>
        <v>0</v>
      </c>
      <c r="R348" s="209">
        <f t="shared" si="130"/>
        <v>0</v>
      </c>
      <c r="S348" s="204">
        <f t="shared" si="131"/>
        <v>0</v>
      </c>
      <c r="T348" s="210">
        <f t="shared" si="132"/>
        <v>422060</v>
      </c>
      <c r="U348" s="210">
        <f t="shared" si="117"/>
        <v>358751</v>
      </c>
      <c r="V348" s="203">
        <f>MIN(H348*parameters!C$22,ROUND(O348+S348-U348,0))</f>
        <v>15523241</v>
      </c>
      <c r="W348" s="211">
        <f t="shared" si="133"/>
        <v>68.397777768725973</v>
      </c>
      <c r="X348" s="208"/>
      <c r="Y348" s="212">
        <f t="shared" si="134"/>
        <v>0</v>
      </c>
      <c r="Z348" s="212">
        <f t="shared" si="118"/>
        <v>0</v>
      </c>
      <c r="AA348" s="212">
        <f t="shared" si="135"/>
        <v>63309</v>
      </c>
      <c r="AB348" s="68">
        <f t="shared" si="136"/>
        <v>0.2777777687259686</v>
      </c>
      <c r="AD348" s="207">
        <f t="shared" si="115"/>
        <v>2.7300249444822913E-2</v>
      </c>
      <c r="AE348" s="213">
        <f t="shared" si="116"/>
        <v>1.8584896298835787</v>
      </c>
      <c r="AF348" s="10">
        <f t="shared" si="119"/>
        <v>0</v>
      </c>
      <c r="AG348" s="214"/>
      <c r="AH348" s="214">
        <v>3.6900000000000002E-2</v>
      </c>
      <c r="AI348" s="181"/>
      <c r="AJ348" s="214"/>
      <c r="AK348" s="214"/>
      <c r="AL348" s="214"/>
      <c r="AM348" s="10"/>
      <c r="AN348" s="10"/>
    </row>
    <row r="349" spans="1:40" ht="12.75" customHeight="1">
      <c r="A349" s="201">
        <v>340</v>
      </c>
      <c r="B349" s="201" t="s">
        <v>1606</v>
      </c>
      <c r="C349" s="202">
        <v>309830700</v>
      </c>
      <c r="D349" s="202">
        <f t="shared" si="120"/>
        <v>1099771.8565064771</v>
      </c>
      <c r="E349" s="202">
        <v>65181241</v>
      </c>
      <c r="F349" s="202">
        <f t="shared" si="137"/>
        <v>928695.97807332629</v>
      </c>
      <c r="G349" s="202">
        <f t="shared" si="121"/>
        <v>2028468</v>
      </c>
      <c r="H349" s="203">
        <f t="shared" si="122"/>
        <v>2758843.4508703868</v>
      </c>
      <c r="I349" s="204">
        <f t="shared" si="123"/>
        <v>2276046</v>
      </c>
      <c r="J349" s="204">
        <f t="shared" si="124"/>
        <v>2028468</v>
      </c>
      <c r="K349" s="198">
        <f t="shared" si="125"/>
        <v>73.53</v>
      </c>
      <c r="L349" s="205"/>
      <c r="M349" s="206">
        <v>2150130</v>
      </c>
      <c r="N349" s="207">
        <f t="shared" si="126"/>
        <v>3.6600000000000001E-2</v>
      </c>
      <c r="O349" s="204">
        <f t="shared" si="127"/>
        <v>2228825</v>
      </c>
      <c r="P349" s="208">
        <f t="shared" si="128"/>
        <v>80.788382512129445</v>
      </c>
      <c r="Q349" s="208">
        <f t="shared" si="129"/>
        <v>0</v>
      </c>
      <c r="R349" s="209">
        <f t="shared" si="130"/>
        <v>0</v>
      </c>
      <c r="S349" s="204">
        <f t="shared" si="131"/>
        <v>0</v>
      </c>
      <c r="T349" s="210">
        <f t="shared" si="132"/>
        <v>200357</v>
      </c>
      <c r="U349" s="210">
        <f t="shared" si="117"/>
        <v>170303.44999999998</v>
      </c>
      <c r="V349" s="203">
        <f>MIN(H349*parameters!C$22,ROUND(O349+S349-U349,0))</f>
        <v>2058522</v>
      </c>
      <c r="W349" s="211">
        <f t="shared" si="133"/>
        <v>74.615397236496236</v>
      </c>
      <c r="X349" s="208"/>
      <c r="Y349" s="212">
        <f t="shared" si="134"/>
        <v>0</v>
      </c>
      <c r="Z349" s="212">
        <f t="shared" si="118"/>
        <v>0</v>
      </c>
      <c r="AA349" s="212">
        <f t="shared" si="135"/>
        <v>30054</v>
      </c>
      <c r="AB349" s="68">
        <f t="shared" si="136"/>
        <v>1.0853972364962345</v>
      </c>
      <c r="AD349" s="207">
        <f t="shared" si="115"/>
        <v>9.8772571221236907E-2</v>
      </c>
      <c r="AE349" s="213">
        <f t="shared" si="116"/>
        <v>7.2583825121294439</v>
      </c>
      <c r="AF349" s="10">
        <f t="shared" si="119"/>
        <v>0</v>
      </c>
      <c r="AG349" s="214"/>
      <c r="AH349" s="214">
        <v>3.6600000000000001E-2</v>
      </c>
      <c r="AI349" s="181"/>
      <c r="AJ349" s="214"/>
      <c r="AK349" s="214"/>
      <c r="AL349" s="214"/>
      <c r="AM349" s="10"/>
      <c r="AN349" s="10"/>
    </row>
    <row r="350" spans="1:40" ht="12.75" customHeight="1">
      <c r="A350" s="201">
        <v>341</v>
      </c>
      <c r="B350" s="201" t="s">
        <v>1607</v>
      </c>
      <c r="C350" s="202">
        <v>1012008600</v>
      </c>
      <c r="D350" s="202">
        <f t="shared" si="120"/>
        <v>3592215.2866792111</v>
      </c>
      <c r="E350" s="202">
        <v>267593000</v>
      </c>
      <c r="F350" s="202">
        <f t="shared" si="137"/>
        <v>3812639.0207970361</v>
      </c>
      <c r="G350" s="202">
        <f t="shared" si="121"/>
        <v>7404854</v>
      </c>
      <c r="H350" s="203">
        <f t="shared" si="122"/>
        <v>7233226.1338502225</v>
      </c>
      <c r="I350" s="204">
        <f t="shared" si="123"/>
        <v>5967412</v>
      </c>
      <c r="J350" s="204">
        <f t="shared" si="124"/>
        <v>5967412</v>
      </c>
      <c r="K350" s="198">
        <f t="shared" si="125"/>
        <v>82.5</v>
      </c>
      <c r="L350" s="205"/>
      <c r="M350" s="206">
        <v>5932542</v>
      </c>
      <c r="N350" s="207">
        <f t="shared" si="126"/>
        <v>3.7199999999999997E-2</v>
      </c>
      <c r="O350" s="204">
        <f t="shared" si="127"/>
        <v>6153233</v>
      </c>
      <c r="P350" s="208">
        <f t="shared" si="128"/>
        <v>85.068998067182704</v>
      </c>
      <c r="Q350" s="208">
        <f t="shared" si="129"/>
        <v>0</v>
      </c>
      <c r="R350" s="209">
        <f t="shared" si="130"/>
        <v>0</v>
      </c>
      <c r="S350" s="204">
        <f t="shared" si="131"/>
        <v>0</v>
      </c>
      <c r="T350" s="210">
        <f t="shared" si="132"/>
        <v>185821</v>
      </c>
      <c r="U350" s="210">
        <f t="shared" si="117"/>
        <v>157947.85</v>
      </c>
      <c r="V350" s="203">
        <f>MIN(H350*parameters!C$22,ROUND(O350+S350-U350,0))</f>
        <v>5995285</v>
      </c>
      <c r="W350" s="211">
        <f t="shared" si="133"/>
        <v>82.885352801886341</v>
      </c>
      <c r="X350" s="208"/>
      <c r="Y350" s="212">
        <f t="shared" si="134"/>
        <v>0</v>
      </c>
      <c r="Z350" s="212">
        <f t="shared" si="118"/>
        <v>0</v>
      </c>
      <c r="AA350" s="212">
        <f t="shared" si="135"/>
        <v>27873</v>
      </c>
      <c r="AB350" s="68">
        <f t="shared" si="136"/>
        <v>0.38535280188634147</v>
      </c>
      <c r="AD350" s="207">
        <f t="shared" si="115"/>
        <v>3.1139294555160596E-2</v>
      </c>
      <c r="AE350" s="213">
        <f t="shared" si="116"/>
        <v>2.5689980671827044</v>
      </c>
      <c r="AF350" s="10">
        <f t="shared" si="119"/>
        <v>0</v>
      </c>
      <c r="AG350" s="214"/>
      <c r="AH350" s="214">
        <v>3.7199999999999997E-2</v>
      </c>
      <c r="AI350" s="181"/>
      <c r="AJ350" s="214"/>
      <c r="AK350" s="214"/>
      <c r="AL350" s="214"/>
      <c r="AM350" s="10"/>
      <c r="AN350" s="10"/>
    </row>
    <row r="351" spans="1:40" ht="12.75" customHeight="1">
      <c r="A351" s="201">
        <v>342</v>
      </c>
      <c r="B351" s="201" t="s">
        <v>1608</v>
      </c>
      <c r="C351" s="202">
        <v>4129321200</v>
      </c>
      <c r="D351" s="202">
        <f t="shared" si="120"/>
        <v>14657395.933442211</v>
      </c>
      <c r="E351" s="202">
        <v>949959000</v>
      </c>
      <c r="F351" s="202">
        <f t="shared" si="137"/>
        <v>13534923.378254781</v>
      </c>
      <c r="G351" s="202">
        <f t="shared" si="121"/>
        <v>28192319</v>
      </c>
      <c r="H351" s="203">
        <f t="shared" si="122"/>
        <v>37928707.016355917</v>
      </c>
      <c r="I351" s="204">
        <f t="shared" si="123"/>
        <v>31291183</v>
      </c>
      <c r="J351" s="204">
        <f t="shared" si="124"/>
        <v>28192319</v>
      </c>
      <c r="K351" s="198">
        <f t="shared" si="125"/>
        <v>74.33</v>
      </c>
      <c r="L351" s="205"/>
      <c r="M351" s="206">
        <v>27442919</v>
      </c>
      <c r="N351" s="207">
        <f t="shared" si="126"/>
        <v>4.3999999999999997E-2</v>
      </c>
      <c r="O351" s="204">
        <f t="shared" si="127"/>
        <v>28650407</v>
      </c>
      <c r="P351" s="208">
        <f t="shared" si="128"/>
        <v>75.537526200524439</v>
      </c>
      <c r="Q351" s="208">
        <f t="shared" si="129"/>
        <v>0</v>
      </c>
      <c r="R351" s="209">
        <f t="shared" si="130"/>
        <v>0</v>
      </c>
      <c r="S351" s="204">
        <f t="shared" si="131"/>
        <v>0</v>
      </c>
      <c r="T351" s="210">
        <f t="shared" si="132"/>
        <v>458088</v>
      </c>
      <c r="U351" s="210">
        <f t="shared" si="117"/>
        <v>389374.8</v>
      </c>
      <c r="V351" s="203">
        <f>MIN(H351*parameters!C$22,ROUND(O351+S351-U351,0))</f>
        <v>28261032</v>
      </c>
      <c r="W351" s="211">
        <f t="shared" si="133"/>
        <v>74.510929117127702</v>
      </c>
      <c r="X351" s="208"/>
      <c r="Y351" s="212">
        <f t="shared" si="134"/>
        <v>0</v>
      </c>
      <c r="Z351" s="212">
        <f t="shared" si="118"/>
        <v>0</v>
      </c>
      <c r="AA351" s="212">
        <f t="shared" si="135"/>
        <v>68713</v>
      </c>
      <c r="AB351" s="68">
        <f t="shared" si="136"/>
        <v>0.18092911712770388</v>
      </c>
      <c r="AD351" s="207">
        <f t="shared" si="115"/>
        <v>1.6248681068059708E-2</v>
      </c>
      <c r="AE351" s="213">
        <f t="shared" si="116"/>
        <v>1.2075262005244412</v>
      </c>
      <c r="AF351" s="10">
        <f t="shared" si="119"/>
        <v>0</v>
      </c>
      <c r="AG351" s="214"/>
      <c r="AH351" s="214">
        <v>4.3999999999999997E-2</v>
      </c>
      <c r="AI351" s="181"/>
      <c r="AJ351" s="214"/>
      <c r="AK351" s="214"/>
      <c r="AL351" s="214"/>
      <c r="AM351" s="10"/>
      <c r="AN351" s="10"/>
    </row>
    <row r="352" spans="1:40" ht="12.75" customHeight="1">
      <c r="A352" s="201">
        <v>343</v>
      </c>
      <c r="B352" s="201" t="s">
        <v>1609</v>
      </c>
      <c r="C352" s="202">
        <v>664223900</v>
      </c>
      <c r="D352" s="202">
        <f t="shared" si="120"/>
        <v>2357722.303306201</v>
      </c>
      <c r="E352" s="202">
        <v>224274000</v>
      </c>
      <c r="F352" s="202">
        <f t="shared" si="137"/>
        <v>3195434.1247724509</v>
      </c>
      <c r="G352" s="202">
        <f t="shared" si="121"/>
        <v>5553156</v>
      </c>
      <c r="H352" s="203">
        <f t="shared" si="122"/>
        <v>17154879.977749519</v>
      </c>
      <c r="I352" s="204">
        <f t="shared" si="123"/>
        <v>14152776</v>
      </c>
      <c r="J352" s="204">
        <f t="shared" si="124"/>
        <v>5553156</v>
      </c>
      <c r="K352" s="198">
        <f t="shared" si="125"/>
        <v>32.369999999999997</v>
      </c>
      <c r="L352" s="205"/>
      <c r="M352" s="206">
        <v>5636396</v>
      </c>
      <c r="N352" s="207">
        <f t="shared" si="126"/>
        <v>2.98E-2</v>
      </c>
      <c r="O352" s="204">
        <f t="shared" si="127"/>
        <v>5804361</v>
      </c>
      <c r="P352" s="208">
        <f t="shared" si="128"/>
        <v>33.835042900495132</v>
      </c>
      <c r="Q352" s="208">
        <f t="shared" si="129"/>
        <v>0</v>
      </c>
      <c r="R352" s="209">
        <f t="shared" si="130"/>
        <v>0</v>
      </c>
      <c r="S352" s="204">
        <f t="shared" si="131"/>
        <v>0</v>
      </c>
      <c r="T352" s="210">
        <f t="shared" si="132"/>
        <v>251205</v>
      </c>
      <c r="U352" s="210">
        <f t="shared" si="117"/>
        <v>213524.25</v>
      </c>
      <c r="V352" s="203">
        <f>MIN(H352*parameters!C$22,ROUND(O352+S352-U352,0))</f>
        <v>5590837</v>
      </c>
      <c r="W352" s="211">
        <f t="shared" si="133"/>
        <v>32.590359170402309</v>
      </c>
      <c r="X352" s="208"/>
      <c r="Y352" s="212">
        <f t="shared" si="134"/>
        <v>0</v>
      </c>
      <c r="Z352" s="212">
        <f t="shared" si="118"/>
        <v>0</v>
      </c>
      <c r="AA352" s="212">
        <f t="shared" si="135"/>
        <v>37681</v>
      </c>
      <c r="AB352" s="68">
        <f t="shared" si="136"/>
        <v>0.22035917040231112</v>
      </c>
      <c r="AD352" s="207">
        <f t="shared" si="115"/>
        <v>4.5236438522526651E-2</v>
      </c>
      <c r="AE352" s="213">
        <f t="shared" si="116"/>
        <v>1.4650429004951349</v>
      </c>
      <c r="AF352" s="10">
        <f t="shared" si="119"/>
        <v>0</v>
      </c>
      <c r="AG352" s="214"/>
      <c r="AH352" s="214">
        <v>2.98E-2</v>
      </c>
      <c r="AI352" s="181"/>
      <c r="AJ352" s="214"/>
      <c r="AK352" s="214"/>
      <c r="AL352" s="214"/>
      <c r="AM352" s="10"/>
      <c r="AN352" s="10"/>
    </row>
    <row r="353" spans="1:40" ht="12.75" customHeight="1">
      <c r="A353" s="201">
        <v>344</v>
      </c>
      <c r="B353" s="201" t="s">
        <v>1610</v>
      </c>
      <c r="C353" s="202">
        <v>7006666600</v>
      </c>
      <c r="D353" s="202">
        <f t="shared" si="120"/>
        <v>24870791.482586861</v>
      </c>
      <c r="E353" s="202">
        <v>2229543000</v>
      </c>
      <c r="F353" s="202">
        <f t="shared" si="137"/>
        <v>31766311.676108442</v>
      </c>
      <c r="G353" s="202">
        <f t="shared" si="121"/>
        <v>56637103</v>
      </c>
      <c r="H353" s="203">
        <f t="shared" si="122"/>
        <v>43345047.422821611</v>
      </c>
      <c r="I353" s="204">
        <f t="shared" si="123"/>
        <v>35759664</v>
      </c>
      <c r="J353" s="204">
        <f t="shared" si="124"/>
        <v>35759664</v>
      </c>
      <c r="K353" s="198">
        <f t="shared" si="125"/>
        <v>82.5</v>
      </c>
      <c r="L353" s="205"/>
      <c r="M353" s="206">
        <v>34652712</v>
      </c>
      <c r="N353" s="207">
        <f t="shared" si="126"/>
        <v>4.0199999999999993E-2</v>
      </c>
      <c r="O353" s="204">
        <f t="shared" si="127"/>
        <v>36045751</v>
      </c>
      <c r="P353" s="208">
        <f t="shared" si="128"/>
        <v>83.16002206291634</v>
      </c>
      <c r="Q353" s="208">
        <f t="shared" si="129"/>
        <v>0</v>
      </c>
      <c r="R353" s="209">
        <f t="shared" si="130"/>
        <v>0</v>
      </c>
      <c r="S353" s="204">
        <f t="shared" si="131"/>
        <v>0</v>
      </c>
      <c r="T353" s="210">
        <f t="shared" si="132"/>
        <v>286087</v>
      </c>
      <c r="U353" s="210">
        <f t="shared" si="117"/>
        <v>243173.94999999998</v>
      </c>
      <c r="V353" s="203">
        <f>MIN(H353*parameters!C$22,ROUND(O353+S353-U353,0))</f>
        <v>35802577</v>
      </c>
      <c r="W353" s="211">
        <f t="shared" si="133"/>
        <v>82.599002951256608</v>
      </c>
      <c r="X353" s="208"/>
      <c r="Y353" s="212">
        <f t="shared" si="134"/>
        <v>0</v>
      </c>
      <c r="Z353" s="212">
        <f t="shared" si="118"/>
        <v>0</v>
      </c>
      <c r="AA353" s="212">
        <f t="shared" si="135"/>
        <v>42913</v>
      </c>
      <c r="AB353" s="68">
        <f t="shared" si="136"/>
        <v>9.9002951256608185E-2</v>
      </c>
      <c r="AD353" s="207">
        <f t="shared" si="115"/>
        <v>8.0002709197715058E-3</v>
      </c>
      <c r="AE353" s="213">
        <f t="shared" si="116"/>
        <v>0.66002206291634025</v>
      </c>
      <c r="AF353" s="10">
        <f t="shared" si="119"/>
        <v>0</v>
      </c>
      <c r="AG353" s="214"/>
      <c r="AH353" s="214">
        <v>4.0199999999999993E-2</v>
      </c>
      <c r="AI353" s="181"/>
      <c r="AJ353" s="214"/>
      <c r="AK353" s="214"/>
      <c r="AL353" s="214"/>
      <c r="AM353" s="10"/>
      <c r="AN353" s="10"/>
    </row>
    <row r="354" spans="1:40" ht="12.75" customHeight="1">
      <c r="A354" s="201">
        <v>345</v>
      </c>
      <c r="B354" s="201" t="s">
        <v>1611</v>
      </c>
      <c r="C354" s="202">
        <v>113518600</v>
      </c>
      <c r="D354" s="202">
        <f t="shared" si="120"/>
        <v>402944.45150211442</v>
      </c>
      <c r="E354" s="202">
        <v>23121000</v>
      </c>
      <c r="F354" s="202">
        <f t="shared" si="137"/>
        <v>329425.75777336577</v>
      </c>
      <c r="G354" s="202">
        <f t="shared" si="121"/>
        <v>732370</v>
      </c>
      <c r="H354" s="203">
        <f t="shared" si="122"/>
        <v>861287.08856163768</v>
      </c>
      <c r="I354" s="204">
        <f t="shared" si="123"/>
        <v>710562</v>
      </c>
      <c r="J354" s="204">
        <f t="shared" si="124"/>
        <v>710562</v>
      </c>
      <c r="K354" s="198">
        <f t="shared" si="125"/>
        <v>82.5</v>
      </c>
      <c r="L354" s="205"/>
      <c r="M354" s="206">
        <v>716755</v>
      </c>
      <c r="N354" s="207">
        <f t="shared" si="126"/>
        <v>3.6900000000000002E-2</v>
      </c>
      <c r="O354" s="204">
        <f t="shared" si="127"/>
        <v>743203</v>
      </c>
      <c r="P354" s="208">
        <f t="shared" si="128"/>
        <v>86.289810896986751</v>
      </c>
      <c r="Q354" s="208">
        <f t="shared" si="129"/>
        <v>0</v>
      </c>
      <c r="R354" s="209">
        <f t="shared" si="130"/>
        <v>0</v>
      </c>
      <c r="S354" s="204">
        <f t="shared" si="131"/>
        <v>0</v>
      </c>
      <c r="T354" s="210">
        <f t="shared" si="132"/>
        <v>32641</v>
      </c>
      <c r="U354" s="210">
        <f t="shared" si="117"/>
        <v>27744.85</v>
      </c>
      <c r="V354" s="203">
        <f>MIN(H354*parameters!C$22,ROUND(O354+S354-U354,0))</f>
        <v>715458</v>
      </c>
      <c r="W354" s="211">
        <f t="shared" si="133"/>
        <v>83.06846921330559</v>
      </c>
      <c r="X354" s="208"/>
      <c r="Y354" s="212">
        <f t="shared" si="134"/>
        <v>0</v>
      </c>
      <c r="Z354" s="212">
        <f t="shared" si="118"/>
        <v>0</v>
      </c>
      <c r="AA354" s="212">
        <f t="shared" si="135"/>
        <v>4896</v>
      </c>
      <c r="AB354" s="68">
        <f t="shared" si="136"/>
        <v>0.56846921330559042</v>
      </c>
      <c r="AD354" s="207">
        <f t="shared" si="115"/>
        <v>4.5936878133083392E-2</v>
      </c>
      <c r="AE354" s="213">
        <f t="shared" si="116"/>
        <v>3.7898108969867508</v>
      </c>
      <c r="AF354" s="10">
        <f t="shared" si="119"/>
        <v>0</v>
      </c>
      <c r="AG354" s="214"/>
      <c r="AH354" s="214">
        <v>3.6900000000000002E-2</v>
      </c>
      <c r="AI354" s="181"/>
      <c r="AJ354" s="214"/>
      <c r="AK354" s="214"/>
      <c r="AL354" s="214"/>
      <c r="AM354" s="10"/>
      <c r="AN354" s="10"/>
    </row>
    <row r="355" spans="1:40" ht="12.75" customHeight="1">
      <c r="A355" s="201">
        <v>346</v>
      </c>
      <c r="B355" s="201" t="s">
        <v>1612</v>
      </c>
      <c r="C355" s="202">
        <v>2069613300</v>
      </c>
      <c r="D355" s="202">
        <f t="shared" si="120"/>
        <v>7346278.0195490522</v>
      </c>
      <c r="E355" s="202">
        <v>561470000</v>
      </c>
      <c r="F355" s="202">
        <f t="shared" si="137"/>
        <v>7999769.9155318402</v>
      </c>
      <c r="G355" s="202">
        <f t="shared" si="121"/>
        <v>15346048</v>
      </c>
      <c r="H355" s="203">
        <f t="shared" si="122"/>
        <v>21839974.313505851</v>
      </c>
      <c r="I355" s="204">
        <f t="shared" si="123"/>
        <v>18017979</v>
      </c>
      <c r="J355" s="204">
        <f t="shared" si="124"/>
        <v>15346048</v>
      </c>
      <c r="K355" s="198">
        <f t="shared" si="125"/>
        <v>70.27</v>
      </c>
      <c r="L355" s="205"/>
      <c r="M355" s="206">
        <v>14447998</v>
      </c>
      <c r="N355" s="207">
        <f t="shared" si="126"/>
        <v>5.8700000000000002E-2</v>
      </c>
      <c r="O355" s="204">
        <f t="shared" si="127"/>
        <v>15296095</v>
      </c>
      <c r="P355" s="208">
        <f t="shared" si="128"/>
        <v>70.037147390511748</v>
      </c>
      <c r="Q355" s="208">
        <f t="shared" si="129"/>
        <v>0.23285260948824771</v>
      </c>
      <c r="R355" s="209">
        <f t="shared" si="130"/>
        <v>0</v>
      </c>
      <c r="S355" s="204">
        <f t="shared" si="131"/>
        <v>0</v>
      </c>
      <c r="T355" s="210">
        <f t="shared" si="132"/>
        <v>0</v>
      </c>
      <c r="U355" s="210">
        <f t="shared" si="117"/>
        <v>0</v>
      </c>
      <c r="V355" s="203">
        <f>MIN(H355*parameters!C$22,ROUND(O355+S355-U355,0))</f>
        <v>15296095</v>
      </c>
      <c r="W355" s="211">
        <f t="shared" si="133"/>
        <v>70.037147390511748</v>
      </c>
      <c r="X355" s="208"/>
      <c r="Y355" s="212">
        <f t="shared" si="134"/>
        <v>-49953</v>
      </c>
      <c r="Z355" s="212">
        <f t="shared" si="118"/>
        <v>49953</v>
      </c>
      <c r="AA355" s="212">
        <f t="shared" si="135"/>
        <v>0</v>
      </c>
      <c r="AB355" s="68">
        <f t="shared" si="136"/>
        <v>-0.23285260948824771</v>
      </c>
      <c r="AD355" s="207">
        <f t="shared" si="115"/>
        <v>-3.2551051580185335E-3</v>
      </c>
      <c r="AE355" s="213">
        <f t="shared" si="116"/>
        <v>-0.23285260948824771</v>
      </c>
      <c r="AF355" s="10">
        <f t="shared" si="119"/>
        <v>0</v>
      </c>
      <c r="AG355" s="214"/>
      <c r="AH355" s="214">
        <v>5.8700000000000002E-2</v>
      </c>
      <c r="AI355" s="181"/>
      <c r="AJ355" s="214"/>
      <c r="AK355" s="214"/>
      <c r="AL355" s="214"/>
      <c r="AM355" s="10"/>
      <c r="AN355" s="10"/>
    </row>
    <row r="356" spans="1:40" ht="12.75" customHeight="1">
      <c r="A356" s="201">
        <v>347</v>
      </c>
      <c r="B356" s="201" t="s">
        <v>1613</v>
      </c>
      <c r="C356" s="202">
        <v>6974905000</v>
      </c>
      <c r="D356" s="202">
        <f t="shared" si="120"/>
        <v>24758050.834879529</v>
      </c>
      <c r="E356" s="202">
        <v>1431653000</v>
      </c>
      <c r="F356" s="202">
        <f t="shared" si="137"/>
        <v>20398052.609900627</v>
      </c>
      <c r="G356" s="202">
        <f t="shared" si="121"/>
        <v>45156103</v>
      </c>
      <c r="H356" s="203">
        <f t="shared" si="122"/>
        <v>52160780.493000232</v>
      </c>
      <c r="I356" s="204">
        <f t="shared" si="123"/>
        <v>43032644</v>
      </c>
      <c r="J356" s="204">
        <f t="shared" si="124"/>
        <v>43032644</v>
      </c>
      <c r="K356" s="198">
        <f t="shared" si="125"/>
        <v>82.5</v>
      </c>
      <c r="L356" s="205"/>
      <c r="M356" s="206">
        <v>43144808</v>
      </c>
      <c r="N356" s="207">
        <f t="shared" si="126"/>
        <v>4.87E-2</v>
      </c>
      <c r="O356" s="204">
        <f t="shared" si="127"/>
        <v>45245960</v>
      </c>
      <c r="P356" s="208">
        <f t="shared" si="128"/>
        <v>86.743257237249026</v>
      </c>
      <c r="Q356" s="208">
        <f t="shared" si="129"/>
        <v>0</v>
      </c>
      <c r="R356" s="209">
        <f t="shared" si="130"/>
        <v>0</v>
      </c>
      <c r="S356" s="204">
        <f t="shared" si="131"/>
        <v>0</v>
      </c>
      <c r="T356" s="210">
        <f t="shared" si="132"/>
        <v>2213316</v>
      </c>
      <c r="U356" s="210">
        <f t="shared" si="117"/>
        <v>1881318.5999999999</v>
      </c>
      <c r="V356" s="203">
        <f>MIN(H356*parameters!C$22,ROUND(O356+S356-U356,0))</f>
        <v>43364641</v>
      </c>
      <c r="W356" s="211">
        <f t="shared" si="133"/>
        <v>83.136487970726137</v>
      </c>
      <c r="X356" s="208"/>
      <c r="Y356" s="212">
        <f t="shared" si="134"/>
        <v>0</v>
      </c>
      <c r="Z356" s="212">
        <f t="shared" si="118"/>
        <v>0</v>
      </c>
      <c r="AA356" s="212">
        <f t="shared" si="135"/>
        <v>331997</v>
      </c>
      <c r="AB356" s="68">
        <f t="shared" si="136"/>
        <v>0.63648797072613661</v>
      </c>
      <c r="AD356" s="207">
        <f t="shared" si="115"/>
        <v>5.1433418778544029E-2</v>
      </c>
      <c r="AE356" s="213">
        <f t="shared" si="116"/>
        <v>4.2432572372490256</v>
      </c>
      <c r="AF356" s="10">
        <f t="shared" si="119"/>
        <v>0</v>
      </c>
      <c r="AG356" s="214"/>
      <c r="AH356" s="214">
        <v>4.87E-2</v>
      </c>
      <c r="AI356" s="181"/>
      <c r="AJ356" s="214"/>
      <c r="AK356" s="214"/>
      <c r="AL356" s="214"/>
      <c r="AM356" s="10"/>
      <c r="AN356" s="10"/>
    </row>
    <row r="357" spans="1:40" ht="12.75" customHeight="1">
      <c r="A357" s="201">
        <v>348</v>
      </c>
      <c r="B357" s="201" t="s">
        <v>1614</v>
      </c>
      <c r="C357" s="202">
        <v>12237662200</v>
      </c>
      <c r="D357" s="202">
        <f t="shared" si="120"/>
        <v>43438679.501395889</v>
      </c>
      <c r="E357" s="202">
        <v>3760890000</v>
      </c>
      <c r="F357" s="202">
        <f t="shared" si="137"/>
        <v>53584794.695396982</v>
      </c>
      <c r="G357" s="202">
        <f t="shared" si="121"/>
        <v>97023474</v>
      </c>
      <c r="H357" s="203">
        <f t="shared" si="122"/>
        <v>342886580.84977067</v>
      </c>
      <c r="I357" s="204">
        <f t="shared" si="123"/>
        <v>282881429</v>
      </c>
      <c r="J357" s="204">
        <f t="shared" si="124"/>
        <v>97023474</v>
      </c>
      <c r="K357" s="198">
        <f t="shared" si="125"/>
        <v>28.3</v>
      </c>
      <c r="L357" s="205"/>
      <c r="M357" s="206">
        <v>97188059</v>
      </c>
      <c r="N357" s="207">
        <f t="shared" si="126"/>
        <v>4.3299999999999998E-2</v>
      </c>
      <c r="O357" s="204">
        <f t="shared" si="127"/>
        <v>101396302</v>
      </c>
      <c r="P357" s="208">
        <f t="shared" si="128"/>
        <v>29.571382393767369</v>
      </c>
      <c r="Q357" s="208">
        <f t="shared" si="129"/>
        <v>0</v>
      </c>
      <c r="R357" s="209">
        <f t="shared" si="130"/>
        <v>0</v>
      </c>
      <c r="S357" s="204">
        <f t="shared" si="131"/>
        <v>0</v>
      </c>
      <c r="T357" s="210">
        <f t="shared" si="132"/>
        <v>4372828</v>
      </c>
      <c r="U357" s="210">
        <f t="shared" si="117"/>
        <v>3716903.8</v>
      </c>
      <c r="V357" s="203">
        <f>MIN(H357*parameters!C$22,ROUND(O357+S357-U357,0))</f>
        <v>97679398</v>
      </c>
      <c r="W357" s="211">
        <f t="shared" si="133"/>
        <v>28.487378467224531</v>
      </c>
      <c r="X357" s="208"/>
      <c r="Y357" s="212">
        <f t="shared" si="134"/>
        <v>0</v>
      </c>
      <c r="Z357" s="212">
        <f t="shared" si="118"/>
        <v>0</v>
      </c>
      <c r="AA357" s="212">
        <f t="shared" si="135"/>
        <v>655924</v>
      </c>
      <c r="AB357" s="68">
        <f t="shared" si="136"/>
        <v>0.18737846722453</v>
      </c>
      <c r="AD357" s="207">
        <f t="shared" si="115"/>
        <v>4.5069794140745773E-2</v>
      </c>
      <c r="AE357" s="213">
        <f t="shared" si="116"/>
        <v>1.2713823937673681</v>
      </c>
      <c r="AF357" s="10">
        <f t="shared" si="119"/>
        <v>0</v>
      </c>
      <c r="AG357" s="214"/>
      <c r="AH357" s="214">
        <v>4.3299999999999998E-2</v>
      </c>
      <c r="AI357" s="181"/>
      <c r="AJ357" s="214"/>
      <c r="AK357" s="214"/>
      <c r="AL357" s="214"/>
      <c r="AM357" s="10"/>
      <c r="AN357" s="10"/>
    </row>
    <row r="358" spans="1:40" ht="12.75" customHeight="1">
      <c r="A358" s="201">
        <v>349</v>
      </c>
      <c r="B358" s="201" t="s">
        <v>1615</v>
      </c>
      <c r="C358" s="202">
        <v>167980800</v>
      </c>
      <c r="D358" s="202">
        <f t="shared" si="120"/>
        <v>596262.91479005537</v>
      </c>
      <c r="E358" s="202">
        <v>35017000</v>
      </c>
      <c r="F358" s="202">
        <f t="shared" si="137"/>
        <v>498918.80800786946</v>
      </c>
      <c r="G358" s="202">
        <f t="shared" si="121"/>
        <v>1095182</v>
      </c>
      <c r="H358" s="203">
        <f t="shared" si="122"/>
        <v>1160346.2789760442</v>
      </c>
      <c r="I358" s="204">
        <f t="shared" si="123"/>
        <v>957286</v>
      </c>
      <c r="J358" s="204">
        <f t="shared" si="124"/>
        <v>957286</v>
      </c>
      <c r="K358" s="198">
        <f t="shared" si="125"/>
        <v>82.5</v>
      </c>
      <c r="L358" s="205"/>
      <c r="M358" s="206">
        <v>969030</v>
      </c>
      <c r="N358" s="207">
        <f t="shared" si="126"/>
        <v>5.5800000000000002E-2</v>
      </c>
      <c r="O358" s="204">
        <f t="shared" si="127"/>
        <v>1023102</v>
      </c>
      <c r="P358" s="208">
        <f t="shared" si="128"/>
        <v>88.172127453439472</v>
      </c>
      <c r="Q358" s="208">
        <f t="shared" si="129"/>
        <v>0</v>
      </c>
      <c r="R358" s="209">
        <f t="shared" si="130"/>
        <v>0</v>
      </c>
      <c r="S358" s="204">
        <f t="shared" si="131"/>
        <v>0</v>
      </c>
      <c r="T358" s="210">
        <f t="shared" si="132"/>
        <v>65816</v>
      </c>
      <c r="U358" s="210">
        <f t="shared" si="117"/>
        <v>55943.6</v>
      </c>
      <c r="V358" s="203">
        <f>MIN(H358*parameters!C$22,ROUND(O358+S358-U358,0))</f>
        <v>967158</v>
      </c>
      <c r="W358" s="211">
        <f t="shared" si="133"/>
        <v>83.350808075454466</v>
      </c>
      <c r="X358" s="208"/>
      <c r="Y358" s="212">
        <f t="shared" si="134"/>
        <v>0</v>
      </c>
      <c r="Z358" s="212">
        <f t="shared" si="118"/>
        <v>0</v>
      </c>
      <c r="AA358" s="212">
        <f t="shared" si="135"/>
        <v>9872</v>
      </c>
      <c r="AB358" s="68">
        <f t="shared" si="136"/>
        <v>0.85080807545446646</v>
      </c>
      <c r="AD358" s="207">
        <f t="shared" si="115"/>
        <v>6.8752702953976133E-2</v>
      </c>
      <c r="AE358" s="213">
        <f t="shared" si="116"/>
        <v>5.6721274534394723</v>
      </c>
      <c r="AF358" s="10">
        <f t="shared" si="119"/>
        <v>0</v>
      </c>
      <c r="AG358" s="214"/>
      <c r="AH358" s="214">
        <v>5.5800000000000002E-2</v>
      </c>
      <c r="AI358" s="181"/>
      <c r="AJ358" s="214"/>
      <c r="AK358" s="214"/>
      <c r="AL358" s="214"/>
      <c r="AM358" s="10"/>
      <c r="AN358" s="10"/>
    </row>
    <row r="359" spans="1:40" ht="12.75" customHeight="1">
      <c r="A359" s="201">
        <v>350</v>
      </c>
      <c r="B359" s="201" t="s">
        <v>1616</v>
      </c>
      <c r="C359" s="202">
        <v>2092925900</v>
      </c>
      <c r="D359" s="202">
        <f t="shared" si="120"/>
        <v>7429028.1840162687</v>
      </c>
      <c r="E359" s="202">
        <v>571633000</v>
      </c>
      <c r="F359" s="202">
        <f t="shared" si="137"/>
        <v>8144571.3504287181</v>
      </c>
      <c r="G359" s="202">
        <f t="shared" si="121"/>
        <v>15573600</v>
      </c>
      <c r="H359" s="203">
        <f t="shared" si="122"/>
        <v>18107140.936096855</v>
      </c>
      <c r="I359" s="204">
        <f t="shared" si="123"/>
        <v>14938391</v>
      </c>
      <c r="J359" s="204">
        <f t="shared" si="124"/>
        <v>14938391</v>
      </c>
      <c r="K359" s="198">
        <f t="shared" si="125"/>
        <v>82.5</v>
      </c>
      <c r="L359" s="205"/>
      <c r="M359" s="206">
        <v>14486130</v>
      </c>
      <c r="N359" s="207">
        <f t="shared" si="126"/>
        <v>4.4999999999999998E-2</v>
      </c>
      <c r="O359" s="204">
        <f t="shared" si="127"/>
        <v>15138006</v>
      </c>
      <c r="P359" s="208">
        <f t="shared" si="128"/>
        <v>83.602408869652962</v>
      </c>
      <c r="Q359" s="208">
        <f t="shared" si="129"/>
        <v>0</v>
      </c>
      <c r="R359" s="209">
        <f t="shared" si="130"/>
        <v>0</v>
      </c>
      <c r="S359" s="204">
        <f t="shared" si="131"/>
        <v>0</v>
      </c>
      <c r="T359" s="210">
        <f t="shared" si="132"/>
        <v>199615</v>
      </c>
      <c r="U359" s="210">
        <f t="shared" si="117"/>
        <v>169672.75</v>
      </c>
      <c r="V359" s="203">
        <f>MIN(H359*parameters!C$22,ROUND(O359+S359-U359,0))</f>
        <v>14968333</v>
      </c>
      <c r="W359" s="211">
        <f t="shared" si="133"/>
        <v>82.665358671618918</v>
      </c>
      <c r="X359" s="208"/>
      <c r="Y359" s="212">
        <f t="shared" si="134"/>
        <v>0</v>
      </c>
      <c r="Z359" s="212">
        <f t="shared" si="118"/>
        <v>0</v>
      </c>
      <c r="AA359" s="212">
        <f t="shared" si="135"/>
        <v>29942</v>
      </c>
      <c r="AB359" s="68">
        <f t="shared" si="136"/>
        <v>0.16535867161891815</v>
      </c>
      <c r="AD359" s="207">
        <f t="shared" si="115"/>
        <v>1.3362550223782467E-2</v>
      </c>
      <c r="AE359" s="213">
        <f t="shared" si="116"/>
        <v>1.1024088696529617</v>
      </c>
      <c r="AF359" s="10">
        <f t="shared" si="119"/>
        <v>0</v>
      </c>
      <c r="AG359" s="214"/>
      <c r="AH359" s="214">
        <v>4.4999999999999998E-2</v>
      </c>
      <c r="AI359" s="181"/>
      <c r="AJ359" s="214"/>
      <c r="AK359" s="214"/>
      <c r="AL359" s="214"/>
      <c r="AM359" s="10"/>
      <c r="AN359" s="10"/>
    </row>
    <row r="360" spans="1:40" ht="12.75" customHeight="1">
      <c r="A360" s="201">
        <v>351</v>
      </c>
      <c r="B360" s="201" t="s">
        <v>1617</v>
      </c>
      <c r="C360" s="202">
        <v>5784649200</v>
      </c>
      <c r="D360" s="202">
        <f t="shared" si="120"/>
        <v>20533131.125878446</v>
      </c>
      <c r="E360" s="202">
        <v>690135000</v>
      </c>
      <c r="F360" s="202">
        <f t="shared" si="137"/>
        <v>9832976.3133481164</v>
      </c>
      <c r="G360" s="202">
        <f t="shared" si="121"/>
        <v>30366107</v>
      </c>
      <c r="H360" s="203">
        <f t="shared" si="122"/>
        <v>26608159.068083744</v>
      </c>
      <c r="I360" s="204">
        <f t="shared" si="123"/>
        <v>21951731</v>
      </c>
      <c r="J360" s="204">
        <f t="shared" si="124"/>
        <v>21951731</v>
      </c>
      <c r="K360" s="198">
        <f t="shared" si="125"/>
        <v>82.5</v>
      </c>
      <c r="L360" s="205"/>
      <c r="M360" s="206">
        <v>21650075</v>
      </c>
      <c r="N360" s="207">
        <f t="shared" si="126"/>
        <v>3.7100000000000001E-2</v>
      </c>
      <c r="O360" s="204">
        <f t="shared" si="127"/>
        <v>22453293</v>
      </c>
      <c r="P360" s="208">
        <f t="shared" si="128"/>
        <v>84.384992372255212</v>
      </c>
      <c r="Q360" s="208">
        <f t="shared" si="129"/>
        <v>0</v>
      </c>
      <c r="R360" s="209">
        <f t="shared" si="130"/>
        <v>0</v>
      </c>
      <c r="S360" s="204">
        <f t="shared" si="131"/>
        <v>0</v>
      </c>
      <c r="T360" s="210">
        <f t="shared" si="132"/>
        <v>501562</v>
      </c>
      <c r="U360" s="210">
        <f t="shared" si="117"/>
        <v>426327.7</v>
      </c>
      <c r="V360" s="203">
        <f>MIN(H360*parameters!C$22,ROUND(O360+S360-U360,0))</f>
        <v>22026965</v>
      </c>
      <c r="W360" s="211">
        <f t="shared" si="133"/>
        <v>82.782746989892857</v>
      </c>
      <c r="X360" s="208"/>
      <c r="Y360" s="212">
        <f t="shared" si="134"/>
        <v>0</v>
      </c>
      <c r="Z360" s="212">
        <f t="shared" si="118"/>
        <v>0</v>
      </c>
      <c r="AA360" s="212">
        <f t="shared" si="135"/>
        <v>75234</v>
      </c>
      <c r="AB360" s="68">
        <f t="shared" si="136"/>
        <v>0.28274698989285696</v>
      </c>
      <c r="AD360" s="207">
        <f t="shared" si="115"/>
        <v>2.2848403162374759E-2</v>
      </c>
      <c r="AE360" s="213">
        <f t="shared" si="116"/>
        <v>1.884992372255212</v>
      </c>
      <c r="AF360" s="10">
        <f t="shared" si="119"/>
        <v>0</v>
      </c>
      <c r="AG360" s="214"/>
      <c r="AH360" s="214">
        <v>3.7100000000000001E-2</v>
      </c>
      <c r="AI360" s="181"/>
      <c r="AJ360" s="214"/>
      <c r="AK360" s="214"/>
      <c r="AL360" s="214"/>
      <c r="AM360" s="10"/>
      <c r="AN360" s="10"/>
    </row>
    <row r="361" spans="1:40" ht="12.75" customHeight="1">
      <c r="A361" s="11">
        <v>999</v>
      </c>
      <c r="B361" s="11" t="s">
        <v>1130</v>
      </c>
      <c r="C361" s="215">
        <f t="shared" ref="C361:J361" si="138">SUM(C10:C360)</f>
        <v>1106803717800</v>
      </c>
      <c r="D361" s="215">
        <f t="shared" si="138"/>
        <v>3928699058.9156475</v>
      </c>
      <c r="E361" s="215">
        <f t="shared" si="138"/>
        <v>275738762977</v>
      </c>
      <c r="F361" s="215">
        <f t="shared" si="138"/>
        <v>3928699058.9156499</v>
      </c>
      <c r="G361" s="215">
        <f t="shared" si="138"/>
        <v>7857398115</v>
      </c>
      <c r="H361" s="215">
        <f t="shared" si="138"/>
        <v>10379173843.167683</v>
      </c>
      <c r="I361" s="215">
        <f t="shared" si="138"/>
        <v>8562818420</v>
      </c>
      <c r="J361" s="215">
        <f t="shared" si="138"/>
        <v>6123712565</v>
      </c>
      <c r="K361" s="216">
        <f>J361*100/H361</f>
        <v>58.999999976212628</v>
      </c>
      <c r="L361" s="56"/>
      <c r="M361" s="215">
        <v>5926185556.4759998</v>
      </c>
      <c r="N361" s="405">
        <f t="shared" si="126"/>
        <v>4.1900000000000007E-2</v>
      </c>
      <c r="O361" s="215">
        <f>SUM(O10:O360)</f>
        <v>6172210289</v>
      </c>
      <c r="P361" s="56"/>
      <c r="Q361" s="56"/>
      <c r="R361" s="56"/>
      <c r="S361" s="215">
        <f>SUM(S10:S360)</f>
        <v>3628178</v>
      </c>
      <c r="T361" s="215">
        <f>SUM(T10:T360)</f>
        <v>151670894</v>
      </c>
      <c r="U361" s="215">
        <f>SUM(U10:U360)</f>
        <v>128920259.90000005</v>
      </c>
      <c r="V361" s="215">
        <f>SUM(V10:V360)</f>
        <v>6046916787.0232143</v>
      </c>
      <c r="W361" s="211">
        <f t="shared" si="133"/>
        <v>58.260097367997446</v>
      </c>
      <c r="X361" s="215"/>
      <c r="Y361" s="215">
        <f>SUM(Y10:Y360)</f>
        <v>-103173170</v>
      </c>
      <c r="Z361" s="215">
        <f>SUM(Z10:Z360)*-1</f>
        <v>-99544992</v>
      </c>
      <c r="AA361" s="215">
        <f>SUM(AA10:AA360)</f>
        <v>22749214.023213945</v>
      </c>
      <c r="AE361" s="31"/>
      <c r="AH361" s="214">
        <v>4.1900000000000007E-2</v>
      </c>
      <c r="AI361" s="126"/>
      <c r="AJ361" s="126"/>
      <c r="AK361" s="126"/>
      <c r="AL361" s="214"/>
      <c r="AM361" s="10"/>
      <c r="AN361" s="10"/>
    </row>
    <row r="362" spans="1:40" ht="12.75" customHeight="1">
      <c r="A362" s="11"/>
      <c r="B362" s="11"/>
      <c r="C362" s="215"/>
      <c r="D362" s="215"/>
      <c r="E362" s="215"/>
      <c r="F362" s="215"/>
      <c r="G362" s="215"/>
      <c r="H362" s="215"/>
      <c r="I362" s="215"/>
      <c r="J362" s="215"/>
      <c r="K362" s="216"/>
      <c r="L362" s="56"/>
      <c r="M362" s="215"/>
      <c r="N362" s="217"/>
      <c r="O362" s="215"/>
      <c r="P362" s="56"/>
      <c r="Q362" s="56"/>
      <c r="R362" s="56"/>
      <c r="S362" s="215"/>
      <c r="T362" s="215"/>
      <c r="U362" s="215"/>
      <c r="V362" s="215"/>
      <c r="W362" s="211"/>
      <c r="X362" s="215"/>
      <c r="Y362" s="215"/>
      <c r="Z362" s="215"/>
      <c r="AA362" s="215"/>
      <c r="AM362" s="10"/>
      <c r="AN362" s="10"/>
    </row>
    <row r="363" spans="1:40" ht="12.75" customHeight="1">
      <c r="A363" s="11"/>
      <c r="B363" s="11"/>
      <c r="C363" s="105"/>
      <c r="D363" s="105"/>
      <c r="E363" s="105"/>
      <c r="F363" s="105"/>
      <c r="G363" s="105"/>
      <c r="H363" s="105"/>
      <c r="I363" s="105"/>
      <c r="J363" s="105"/>
      <c r="K363" s="218"/>
      <c r="M363" s="105"/>
      <c r="N363" s="126"/>
      <c r="O363" s="105"/>
      <c r="S363" s="105"/>
      <c r="T363" s="105"/>
      <c r="U363" s="105"/>
      <c r="V363" s="105"/>
      <c r="W363" s="141"/>
      <c r="X363" s="126"/>
      <c r="Y363" s="105"/>
      <c r="Z363" s="105"/>
      <c r="AA363" s="105"/>
      <c r="AC363" s="11" t="s">
        <v>1189</v>
      </c>
      <c r="AD363" s="126">
        <f>MIN(AD10:AD360)</f>
        <v>-0.63904995916076734</v>
      </c>
      <c r="AE363" s="219">
        <f>MIN(AE10:AE360)</f>
        <v>-22.860441383089878</v>
      </c>
    </row>
    <row r="364" spans="1:40" ht="12.75" customHeight="1">
      <c r="C364" s="105"/>
      <c r="D364" s="105"/>
      <c r="E364" s="105"/>
      <c r="F364" s="105"/>
      <c r="G364" s="105"/>
      <c r="H364" s="105"/>
      <c r="I364" s="105"/>
      <c r="J364" s="105">
        <f>H361-J361</f>
        <v>4255461278.1676826</v>
      </c>
      <c r="K364" s="105">
        <f>COUNTIF(K10:K360,"&gt;82.499")</f>
        <v>147</v>
      </c>
      <c r="L364" s="11" t="s">
        <v>557</v>
      </c>
      <c r="M364" s="105"/>
      <c r="N364" s="105">
        <f>COUNTIF(N10:N360,"&lt;0")</f>
        <v>0</v>
      </c>
      <c r="O364" s="11" t="s">
        <v>556</v>
      </c>
      <c r="P364" s="105"/>
      <c r="Q364" s="105">
        <f>COUNTIF(Q10:Q360,"&gt;0")</f>
        <v>60</v>
      </c>
      <c r="R364" s="105">
        <f>COUNTIF(R10:R360,".01")</f>
        <v>18</v>
      </c>
      <c r="S364" s="105">
        <f>COUNTIF(S10:S360,"&gt;0")</f>
        <v>24</v>
      </c>
      <c r="T364" s="105">
        <f>COUNTIF(T10:T360,"&gt;0")</f>
        <v>291</v>
      </c>
      <c r="U364" s="105"/>
      <c r="V364" s="220"/>
      <c r="W364" s="214"/>
      <c r="Y364" s="11">
        <f>COUNTIF(Y10:Y360,"&lt;0")</f>
        <v>60</v>
      </c>
      <c r="Z364" s="11">
        <f>COUNTIF(Z10:Z360,"&gt;0")</f>
        <v>60</v>
      </c>
      <c r="AA364" s="11">
        <f>COUNTIF(AA10:AA360,"&gt;0")</f>
        <v>291</v>
      </c>
      <c r="AC364" s="11" t="s">
        <v>1190</v>
      </c>
      <c r="AD364" s="126">
        <f>MEDIAN(AD10:AD360)</f>
        <v>3.3919390167097135E-2</v>
      </c>
      <c r="AE364" s="219">
        <f>MEDIAN(AE10:AE360)</f>
        <v>2.2802832150489962</v>
      </c>
    </row>
    <row r="365" spans="1:40" ht="12.75" customHeight="1">
      <c r="H365" s="9"/>
      <c r="I365" s="105"/>
      <c r="K365" s="221">
        <f>K364/351</f>
        <v>0.41880341880341881</v>
      </c>
      <c r="R365" s="105">
        <f>COUNTIF(R10:R360,".02")</f>
        <v>6</v>
      </c>
      <c r="T365" s="221">
        <f>T364/351</f>
        <v>0.82905982905982911</v>
      </c>
      <c r="U365" s="10"/>
      <c r="AC365" s="11" t="s">
        <v>1191</v>
      </c>
      <c r="AD365" s="126">
        <f>MAX(AD10:AD360)</f>
        <v>0.95811518324607325</v>
      </c>
      <c r="AE365" s="219">
        <f>MAX(AE10:AE360)</f>
        <v>79.045874600329768</v>
      </c>
    </row>
    <row r="366" spans="1:40" ht="12.75" customHeight="1">
      <c r="M366" s="105"/>
      <c r="N366" s="105"/>
      <c r="P366" s="222"/>
      <c r="Q366" s="222"/>
      <c r="R366" s="222"/>
      <c r="S366" s="222"/>
      <c r="T366" s="13"/>
      <c r="U366" s="604"/>
      <c r="V366" s="604"/>
      <c r="W366" s="13"/>
    </row>
    <row r="367" spans="1:40" ht="12.75" customHeight="1">
      <c r="M367" s="105"/>
      <c r="N367" s="105"/>
      <c r="P367" s="222"/>
      <c r="Q367" s="222"/>
      <c r="R367" s="222"/>
      <c r="S367" s="222"/>
      <c r="T367" s="13"/>
      <c r="U367" s="13"/>
      <c r="V367" s="13"/>
      <c r="W367" s="13"/>
    </row>
    <row r="368" spans="1:40" ht="12.75" customHeight="1">
      <c r="T368" s="100"/>
      <c r="U368" s="100"/>
      <c r="V368" s="100"/>
      <c r="W368" s="13"/>
    </row>
  </sheetData>
  <autoFilter ref="A9:AB362"/>
  <mergeCells count="5">
    <mergeCell ref="U366:V366"/>
    <mergeCell ref="Z7:AA7"/>
    <mergeCell ref="C2:K2"/>
    <mergeCell ref="M2:W2"/>
    <mergeCell ref="Y2:AB2"/>
  </mergeCells>
  <phoneticPr fontId="0" type="noConversion"/>
  <hyperlinks>
    <hyperlink ref="B2" location="Index!A10" display="Return to Index"/>
    <hyperlink ref="B3" location="MoreAboutData!A4" display="More about the data"/>
  </hyperlinks>
  <pageMargins left="0.75" right="0.4" top="0.3" bottom="0.6" header="0.1" footer="0.3"/>
  <pageSetup scale="64" fitToWidth="3" fitToHeight="50" orientation="landscape" r:id="rId1"/>
  <headerFooter alignWithMargins="0">
    <oddFooter>&amp;C&amp;"Calibri,Regular"&amp;12Page &amp;P of &amp;N</oddFooter>
  </headerFooter>
  <colBreaks count="2" manualBreakCount="2">
    <brk id="12" max="1048575" man="1"/>
    <brk id="23" max="1048575" man="1"/>
  </colBreaks>
  <ignoredErrors>
    <ignoredError sqref="E361" formulaRange="1"/>
  </ignoredError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CR1767"/>
  <sheetViews>
    <sheetView showGridLines="0" zoomScaleNormal="100" workbookViewId="0">
      <pane xSplit="8" ySplit="9" topLeftCell="I1747" activePane="bottomRight" state="frozen"/>
      <selection pane="topRight" activeCell="F1" sqref="F1"/>
      <selection pane="bottomLeft" activeCell="A10" sqref="A10"/>
      <selection pane="bottomRight" activeCell="N10" sqref="N10:N1765"/>
    </sheetView>
  </sheetViews>
  <sheetFormatPr defaultColWidth="9" defaultRowHeight="12.75"/>
  <cols>
    <col min="1" max="3" width="9" style="7"/>
    <col min="4" max="5" width="5.625" style="7" customWidth="1"/>
    <col min="6" max="6" width="15.125" style="7" customWidth="1"/>
    <col min="7" max="7" width="5.625" style="7" customWidth="1"/>
    <col min="8" max="8" width="17.375" style="7" customWidth="1"/>
    <col min="9" max="9" width="14.125" style="7" bestFit="1" customWidth="1"/>
    <col min="10" max="10" width="12.625" style="7" customWidth="1"/>
    <col min="11" max="11" width="14.125" style="7" bestFit="1" customWidth="1"/>
    <col min="12" max="16" width="12.625" style="7" customWidth="1"/>
    <col min="17" max="17" width="7.625" style="7" customWidth="1"/>
    <col min="18" max="18" width="12.625" style="7" customWidth="1"/>
    <col min="19" max="19" width="10.625" style="7" customWidth="1"/>
    <col min="20" max="21" width="5.625" style="7" customWidth="1"/>
    <col min="22" max="22" width="9.625" style="7" customWidth="1"/>
    <col min="23" max="23" width="12.625" style="7" customWidth="1"/>
    <col min="24" max="24" width="14" style="7" customWidth="1"/>
    <col min="25" max="25" width="5.5" style="7" customWidth="1"/>
    <col min="26" max="26" width="10.5" style="7" bestFit="1" customWidth="1"/>
    <col min="27" max="27" width="4" style="7" bestFit="1" customWidth="1"/>
    <col min="28" max="28" width="5.625" style="7" bestFit="1" customWidth="1"/>
    <col min="29" max="29" width="9.75" style="7" bestFit="1" customWidth="1"/>
    <col min="30" max="30" width="14.25" style="7" customWidth="1"/>
    <col min="31" max="31" width="4.25" style="49" customWidth="1"/>
    <col min="32" max="32" width="5.375" style="7" customWidth="1"/>
    <col min="33" max="33" width="4" style="7" customWidth="1"/>
    <col min="34" max="34" width="5.625" style="7" customWidth="1"/>
    <col min="35" max="35" width="9.75" style="7" customWidth="1"/>
    <col min="36" max="36" width="14.125" style="7" customWidth="1"/>
    <col min="37" max="37" width="3.625" style="7" customWidth="1"/>
    <col min="38" max="38" width="5.375" style="7" customWidth="1"/>
    <col min="39" max="39" width="4" style="7" customWidth="1"/>
    <col min="40" max="40" width="5.625" style="7" customWidth="1"/>
    <col min="41" max="41" width="9.75" style="7" customWidth="1"/>
    <col min="42" max="42" width="14.125" style="7" customWidth="1"/>
    <col min="43" max="43" width="3.375" style="7" customWidth="1"/>
    <col min="44" max="44" width="5.375" style="7" customWidth="1"/>
    <col min="45" max="45" width="4" style="7" customWidth="1"/>
    <col min="46" max="46" width="5.625" style="7" customWidth="1"/>
    <col min="47" max="47" width="9.75" style="7" customWidth="1"/>
    <col min="48" max="48" width="14.125" style="7" customWidth="1"/>
    <col min="49" max="49" width="3" style="7" customWidth="1"/>
    <col min="50" max="50" width="5.375" style="7" customWidth="1"/>
    <col min="51" max="51" width="4" style="7" customWidth="1"/>
    <col min="52" max="52" width="5.625" style="7" customWidth="1"/>
    <col min="53" max="53" width="9.75" style="7" customWidth="1"/>
    <col min="54" max="54" width="14.125" style="7" customWidth="1"/>
    <col min="55" max="55" width="2.75" style="7" customWidth="1"/>
    <col min="56" max="56" width="5.375" style="7" customWidth="1"/>
    <col min="57" max="57" width="4" style="7" customWidth="1"/>
    <col min="58" max="58" width="5.625" style="7" customWidth="1"/>
    <col min="59" max="59" width="9.75" style="7" customWidth="1"/>
    <col min="60" max="60" width="14.125" style="7" customWidth="1"/>
    <col min="61" max="61" width="3" style="7" customWidth="1"/>
    <col min="62" max="62" width="5.375" style="7" customWidth="1"/>
    <col min="63" max="63" width="4" style="7" customWidth="1"/>
    <col min="64" max="64" width="5.625" style="7" customWidth="1"/>
    <col min="65" max="65" width="9.75" style="7" customWidth="1"/>
    <col min="66" max="66" width="14.125" style="7" customWidth="1"/>
    <col min="67" max="67" width="2.5" style="7" customWidth="1"/>
    <col min="68" max="68" width="5.375" style="7" customWidth="1"/>
    <col min="69" max="69" width="4" style="7" customWidth="1"/>
    <col min="70" max="70" width="5.625" style="7" customWidth="1"/>
    <col min="71" max="71" width="9.75" style="7" customWidth="1"/>
    <col min="72" max="72" width="14.125" style="7" customWidth="1"/>
    <col min="73" max="73" width="2.875" style="7" customWidth="1"/>
    <col min="74" max="74" width="5.375" style="7" customWidth="1"/>
    <col min="75" max="75" width="4" style="7" customWidth="1"/>
    <col min="76" max="76" width="5.625" style="7" customWidth="1"/>
    <col min="77" max="77" width="9.75" style="7" customWidth="1"/>
    <col min="78" max="78" width="14" style="7" customWidth="1"/>
    <col min="79" max="79" width="2.75" style="7" customWidth="1"/>
    <col min="80" max="80" width="5.375" style="7" customWidth="1"/>
    <col min="81" max="81" width="4" style="7" customWidth="1"/>
    <col min="82" max="82" width="5.625" style="7" customWidth="1"/>
    <col min="83" max="83" width="9.75" style="7" customWidth="1"/>
    <col min="84" max="84" width="14.125" style="7" customWidth="1"/>
    <col min="85" max="85" width="3.5" style="7" customWidth="1"/>
    <col min="86" max="86" width="5.375" style="7" customWidth="1"/>
    <col min="87" max="87" width="4" style="7" customWidth="1"/>
    <col min="88" max="88" width="5.625" style="7" customWidth="1"/>
    <col min="89" max="90" width="15.625" style="7" customWidth="1"/>
    <col min="91" max="91" width="9" style="49" customWidth="1"/>
    <col min="92" max="93" width="9" style="7" customWidth="1"/>
    <col min="94" max="16384" width="9" style="7"/>
  </cols>
  <sheetData>
    <row r="1" spans="1:96" s="110" customFormat="1" ht="14.25" customHeight="1">
      <c r="I1" s="111" t="s">
        <v>2201</v>
      </c>
      <c r="J1" s="111" t="s">
        <v>2201</v>
      </c>
      <c r="N1" s="16"/>
      <c r="O1" s="111" t="s">
        <v>2201</v>
      </c>
      <c r="R1" s="111" t="s">
        <v>2201</v>
      </c>
      <c r="V1" s="69"/>
      <c r="W1" s="112"/>
      <c r="Y1" s="7"/>
      <c r="Z1" s="7"/>
      <c r="AA1" s="7"/>
      <c r="AB1" s="7"/>
      <c r="AC1" s="7"/>
      <c r="AD1" s="7"/>
      <c r="AE1" s="49"/>
      <c r="AF1" s="399"/>
      <c r="AL1" s="399"/>
      <c r="AR1" s="400"/>
      <c r="AX1" s="399"/>
      <c r="BD1" s="417"/>
      <c r="BK1" s="402"/>
      <c r="BL1" s="402"/>
      <c r="BM1" s="402"/>
      <c r="BN1" s="402"/>
      <c r="CB1" s="422"/>
      <c r="CM1" s="295" t="s">
        <v>2215</v>
      </c>
      <c r="CN1" s="389">
        <v>1</v>
      </c>
      <c r="CO1" s="389">
        <v>2</v>
      </c>
    </row>
    <row r="2" spans="1:96" ht="14.25" customHeight="1">
      <c r="I2" s="113"/>
      <c r="O2" s="113"/>
      <c r="R2" s="49"/>
      <c r="V2" s="8" t="s">
        <v>2216</v>
      </c>
      <c r="W2" s="114"/>
      <c r="Z2" s="401" t="s">
        <v>2252</v>
      </c>
      <c r="AF2" s="399"/>
      <c r="CN2" s="389">
        <v>2</v>
      </c>
      <c r="CO2" s="389">
        <v>8</v>
      </c>
    </row>
    <row r="3" spans="1:96" s="8" customFormat="1" ht="26.25" customHeight="1">
      <c r="D3" s="65">
        <v>1</v>
      </c>
      <c r="E3" s="65">
        <v>2</v>
      </c>
      <c r="F3" s="65">
        <v>3</v>
      </c>
      <c r="G3" s="65">
        <v>4</v>
      </c>
      <c r="H3" s="65">
        <v>5</v>
      </c>
      <c r="I3" s="65">
        <v>6</v>
      </c>
      <c r="J3" s="65">
        <v>7</v>
      </c>
      <c r="K3" s="65">
        <v>8</v>
      </c>
      <c r="L3" s="65">
        <v>9</v>
      </c>
      <c r="M3" s="65">
        <v>10</v>
      </c>
      <c r="N3" s="65">
        <v>11</v>
      </c>
      <c r="O3" s="65">
        <v>12</v>
      </c>
      <c r="P3" s="65">
        <v>13</v>
      </c>
      <c r="Q3" s="65">
        <v>14</v>
      </c>
      <c r="R3" s="65">
        <v>15</v>
      </c>
      <c r="S3" s="65">
        <v>16</v>
      </c>
      <c r="T3" s="65">
        <v>17</v>
      </c>
      <c r="U3" s="65">
        <v>18</v>
      </c>
      <c r="V3" s="65">
        <v>19</v>
      </c>
      <c r="W3" s="65">
        <v>20</v>
      </c>
      <c r="X3" s="65">
        <v>21</v>
      </c>
      <c r="Y3" s="265">
        <v>1</v>
      </c>
      <c r="Z3" s="265">
        <v>2</v>
      </c>
      <c r="AA3" s="265">
        <v>3</v>
      </c>
      <c r="AB3" s="265">
        <v>4</v>
      </c>
      <c r="AC3" s="265">
        <v>5</v>
      </c>
      <c r="AD3" s="265">
        <v>6</v>
      </c>
      <c r="AE3" s="265">
        <v>7</v>
      </c>
      <c r="AF3" s="265">
        <v>8</v>
      </c>
      <c r="AG3" s="265">
        <v>9</v>
      </c>
      <c r="AH3" s="265">
        <v>10</v>
      </c>
      <c r="AI3" s="265">
        <v>11</v>
      </c>
      <c r="AJ3" s="265">
        <v>12</v>
      </c>
      <c r="AK3" s="265">
        <v>13</v>
      </c>
      <c r="AL3" s="265">
        <v>14</v>
      </c>
      <c r="AM3" s="265">
        <v>15</v>
      </c>
      <c r="AN3" s="265">
        <v>16</v>
      </c>
      <c r="AO3" s="265">
        <v>17</v>
      </c>
      <c r="AP3" s="265">
        <v>18</v>
      </c>
      <c r="AQ3" s="265">
        <v>19</v>
      </c>
      <c r="AR3" s="265">
        <v>20</v>
      </c>
      <c r="AS3" s="265">
        <v>21</v>
      </c>
      <c r="AT3" s="265">
        <v>22</v>
      </c>
      <c r="AU3" s="265">
        <v>23</v>
      </c>
      <c r="AV3" s="265">
        <v>24</v>
      </c>
      <c r="AW3" s="265">
        <v>25</v>
      </c>
      <c r="AX3" s="265">
        <v>26</v>
      </c>
      <c r="AY3" s="265">
        <v>27</v>
      </c>
      <c r="AZ3" s="265">
        <v>28</v>
      </c>
      <c r="BA3" s="265">
        <v>29</v>
      </c>
      <c r="BB3" s="265">
        <v>30</v>
      </c>
      <c r="BC3" s="265">
        <v>31</v>
      </c>
      <c r="BD3" s="265">
        <v>32</v>
      </c>
      <c r="BE3" s="265">
        <v>33</v>
      </c>
      <c r="BF3" s="265">
        <v>34</v>
      </c>
      <c r="BG3" s="265">
        <v>35</v>
      </c>
      <c r="BH3" s="265">
        <v>36</v>
      </c>
      <c r="BI3" s="265">
        <v>37</v>
      </c>
      <c r="BJ3" s="265">
        <v>38</v>
      </c>
      <c r="BK3" s="265">
        <v>39</v>
      </c>
      <c r="BL3" s="265">
        <v>40</v>
      </c>
      <c r="BM3" s="265">
        <v>41</v>
      </c>
      <c r="BN3" s="265">
        <v>42</v>
      </c>
      <c r="BO3" s="265">
        <v>43</v>
      </c>
      <c r="BP3" s="265">
        <v>44</v>
      </c>
      <c r="BQ3" s="265">
        <v>45</v>
      </c>
      <c r="BR3" s="265">
        <v>46</v>
      </c>
      <c r="BS3" s="265">
        <v>47</v>
      </c>
      <c r="BT3" s="265">
        <v>48</v>
      </c>
      <c r="BU3" s="265">
        <v>49</v>
      </c>
      <c r="BV3" s="265">
        <v>50</v>
      </c>
      <c r="BW3" s="265">
        <v>51</v>
      </c>
      <c r="BX3" s="265">
        <v>52</v>
      </c>
      <c r="BY3" s="265">
        <v>53</v>
      </c>
      <c r="BZ3" s="265">
        <v>54</v>
      </c>
      <c r="CA3" s="265">
        <v>55</v>
      </c>
      <c r="CB3" s="265">
        <v>56</v>
      </c>
      <c r="CC3" s="265">
        <v>57</v>
      </c>
      <c r="CD3" s="265">
        <v>58</v>
      </c>
      <c r="CE3" s="265">
        <v>59</v>
      </c>
      <c r="CF3" s="265">
        <v>60</v>
      </c>
      <c r="CG3" s="265">
        <v>61</v>
      </c>
      <c r="CH3" s="265">
        <v>62</v>
      </c>
      <c r="CI3" s="265">
        <v>63</v>
      </c>
      <c r="CJ3" s="265">
        <v>64</v>
      </c>
      <c r="CK3" s="265">
        <v>65</v>
      </c>
      <c r="CL3" s="265">
        <v>66</v>
      </c>
      <c r="CM3" s="267"/>
      <c r="CN3" s="389">
        <v>3</v>
      </c>
      <c r="CO3" s="389">
        <v>14</v>
      </c>
    </row>
    <row r="4" spans="1:96">
      <c r="E4" s="15"/>
      <c r="G4" s="15" t="s">
        <v>1146</v>
      </c>
      <c r="I4" s="49"/>
      <c r="K4" s="115" t="s">
        <v>1148</v>
      </c>
      <c r="N4" s="15" t="s">
        <v>1145</v>
      </c>
      <c r="O4" s="15" t="s">
        <v>913</v>
      </c>
      <c r="P4" s="15"/>
      <c r="Q4" s="15"/>
      <c r="R4" s="116" t="s">
        <v>912</v>
      </c>
      <c r="V4" s="15"/>
      <c r="W4" s="117" t="s">
        <v>1149</v>
      </c>
      <c r="CN4" s="390">
        <v>4</v>
      </c>
      <c r="CO4" s="390">
        <v>20</v>
      </c>
    </row>
    <row r="5" spans="1:96" s="271" customFormat="1">
      <c r="I5" s="272"/>
      <c r="K5" s="273"/>
      <c r="O5" s="274"/>
      <c r="R5" s="272"/>
      <c r="W5" s="272"/>
      <c r="Z5" s="608">
        <v>1</v>
      </c>
      <c r="AA5" s="608"/>
      <c r="AB5" s="608"/>
      <c r="AC5" s="608"/>
      <c r="AD5" s="608"/>
      <c r="AE5" s="275"/>
      <c r="AF5" s="608">
        <v>2</v>
      </c>
      <c r="AG5" s="608"/>
      <c r="AH5" s="608"/>
      <c r="AI5" s="608"/>
      <c r="AJ5" s="608"/>
      <c r="AL5" s="608">
        <v>3</v>
      </c>
      <c r="AM5" s="608"/>
      <c r="AN5" s="608"/>
      <c r="AO5" s="608"/>
      <c r="AP5" s="608"/>
      <c r="AR5" s="608">
        <v>4</v>
      </c>
      <c r="AS5" s="608"/>
      <c r="AT5" s="608"/>
      <c r="AU5" s="608"/>
      <c r="AV5" s="608"/>
      <c r="AX5" s="608">
        <v>5</v>
      </c>
      <c r="AY5" s="608"/>
      <c r="AZ5" s="608"/>
      <c r="BA5" s="608"/>
      <c r="BB5" s="608"/>
      <c r="BD5" s="608">
        <v>6</v>
      </c>
      <c r="BE5" s="608"/>
      <c r="BF5" s="608"/>
      <c r="BG5" s="608"/>
      <c r="BH5" s="608"/>
      <c r="BJ5" s="608">
        <v>7</v>
      </c>
      <c r="BK5" s="608"/>
      <c r="BL5" s="608"/>
      <c r="BM5" s="608"/>
      <c r="BN5" s="608"/>
      <c r="BP5" s="608">
        <v>8</v>
      </c>
      <c r="BQ5" s="608"/>
      <c r="BR5" s="608"/>
      <c r="BS5" s="608"/>
      <c r="BT5" s="608"/>
      <c r="BV5" s="608">
        <v>9</v>
      </c>
      <c r="BW5" s="608"/>
      <c r="BX5" s="608"/>
      <c r="BY5" s="608"/>
      <c r="BZ5" s="608"/>
      <c r="CB5" s="608">
        <v>10</v>
      </c>
      <c r="CC5" s="608"/>
      <c r="CD5" s="608"/>
      <c r="CE5" s="608"/>
      <c r="CF5" s="608"/>
      <c r="CH5" s="608">
        <v>11</v>
      </c>
      <c r="CI5" s="608"/>
      <c r="CJ5" s="608"/>
      <c r="CK5" s="608"/>
      <c r="CL5" s="608"/>
      <c r="CM5" s="275"/>
      <c r="CN5" s="391">
        <v>5</v>
      </c>
      <c r="CO5" s="391">
        <v>26</v>
      </c>
    </row>
    <row r="6" spans="1:96" ht="64.900000000000006" customHeight="1">
      <c r="I6" s="118"/>
      <c r="K6" s="8"/>
      <c r="O6" s="13"/>
      <c r="P6" s="13"/>
      <c r="Q6" s="13"/>
      <c r="R6" s="66"/>
      <c r="T6" s="612">
        <f>parameters!C6</f>
        <v>1</v>
      </c>
      <c r="U6" s="613"/>
      <c r="V6" s="613"/>
      <c r="W6" s="613"/>
      <c r="X6" s="613"/>
      <c r="Z6" s="610" t="s">
        <v>2335</v>
      </c>
      <c r="AA6" s="610"/>
      <c r="AB6" s="610"/>
      <c r="AC6" s="610"/>
      <c r="AD6" s="610"/>
      <c r="AE6" s="261"/>
      <c r="AF6" s="610"/>
      <c r="AG6" s="610"/>
      <c r="AH6" s="610"/>
      <c r="AI6" s="610"/>
      <c r="AJ6" s="610"/>
      <c r="AK6" s="262"/>
      <c r="AL6" s="610"/>
      <c r="AM6" s="610"/>
      <c r="AN6" s="610"/>
      <c r="AO6" s="610"/>
      <c r="AP6" s="610"/>
      <c r="AQ6" s="262"/>
      <c r="AR6" s="610"/>
      <c r="AS6" s="610"/>
      <c r="AT6" s="610"/>
      <c r="AU6" s="610"/>
      <c r="AV6" s="610"/>
      <c r="AW6" s="262"/>
      <c r="AX6" s="610"/>
      <c r="AY6" s="610"/>
      <c r="AZ6" s="610"/>
      <c r="BA6" s="610"/>
      <c r="BB6" s="610"/>
      <c r="BC6" s="262"/>
      <c r="BD6" s="610"/>
      <c r="BE6" s="610"/>
      <c r="BF6" s="610"/>
      <c r="BG6" s="610"/>
      <c r="BH6" s="610"/>
      <c r="BI6" s="262"/>
      <c r="BJ6" s="610"/>
      <c r="BK6" s="610"/>
      <c r="BL6" s="610"/>
      <c r="BM6" s="610"/>
      <c r="BN6" s="610"/>
      <c r="BO6" s="262"/>
      <c r="BP6" s="610"/>
      <c r="BQ6" s="610"/>
      <c r="BR6" s="610"/>
      <c r="BS6" s="610"/>
      <c r="BT6" s="610"/>
      <c r="BV6" s="610"/>
      <c r="BW6" s="610"/>
      <c r="BX6" s="610"/>
      <c r="BY6" s="610"/>
      <c r="BZ6" s="610"/>
      <c r="CB6" s="611"/>
      <c r="CC6" s="611"/>
      <c r="CD6" s="611"/>
      <c r="CE6" s="611"/>
      <c r="CF6" s="611"/>
      <c r="CH6" s="609"/>
      <c r="CI6" s="609"/>
      <c r="CJ6" s="609"/>
      <c r="CK6" s="609"/>
      <c r="CL6" s="609"/>
      <c r="CM6" s="268"/>
      <c r="CN6" s="390">
        <v>6</v>
      </c>
      <c r="CO6" s="390">
        <v>32</v>
      </c>
    </row>
    <row r="7" spans="1:96">
      <c r="I7" s="119" t="str">
        <f>PYr</f>
        <v>FY17</v>
      </c>
      <c r="J7" s="13" t="str">
        <f>PYr</f>
        <v>FY17</v>
      </c>
      <c r="K7" s="119" t="str">
        <f>CYr</f>
        <v>FY18</v>
      </c>
      <c r="L7" s="119" t="str">
        <f>CYr</f>
        <v>FY18</v>
      </c>
      <c r="M7" s="119" t="str">
        <f>CYr</f>
        <v>FY18</v>
      </c>
      <c r="N7" s="119" t="str">
        <f>CYr</f>
        <v>FY18</v>
      </c>
      <c r="O7" s="13" t="str">
        <f>PYr</f>
        <v>FY17</v>
      </c>
      <c r="Q7" s="13"/>
      <c r="R7" s="66"/>
      <c r="T7" s="14"/>
      <c r="W7" s="116"/>
      <c r="X7" s="13"/>
      <c r="CN7" s="390">
        <v>7</v>
      </c>
      <c r="CO7" s="390">
        <v>38</v>
      </c>
    </row>
    <row r="8" spans="1:96">
      <c r="I8" s="119" t="s">
        <v>1157</v>
      </c>
      <c r="J8" s="13" t="s">
        <v>67</v>
      </c>
      <c r="K8" s="119" t="s">
        <v>1157</v>
      </c>
      <c r="L8" s="13" t="s">
        <v>67</v>
      </c>
      <c r="M8" s="13" t="s">
        <v>1142</v>
      </c>
      <c r="N8" s="13" t="s">
        <v>1150</v>
      </c>
      <c r="O8" s="13" t="s">
        <v>1150</v>
      </c>
      <c r="P8" s="13" t="str">
        <f>PYr&amp;" to "&amp;CYr</f>
        <v>FY17 to FY18</v>
      </c>
      <c r="Q8" s="13" t="s">
        <v>1151</v>
      </c>
      <c r="R8" s="66" t="str">
        <f>PYr</f>
        <v>FY17</v>
      </c>
      <c r="T8" s="11"/>
      <c r="U8" s="11"/>
      <c r="V8" s="11"/>
      <c r="W8" s="120" t="s">
        <v>1182</v>
      </c>
      <c r="X8" s="13" t="s">
        <v>512</v>
      </c>
      <c r="Z8" s="11"/>
      <c r="AA8" s="11"/>
      <c r="AB8" s="11"/>
      <c r="AC8" s="120" t="s">
        <v>1182</v>
      </c>
      <c r="AD8" s="591" t="s">
        <v>512</v>
      </c>
      <c r="AE8" s="106"/>
      <c r="AF8" s="11"/>
      <c r="AG8" s="11"/>
      <c r="AH8" s="11"/>
      <c r="AI8" s="120" t="s">
        <v>1182</v>
      </c>
      <c r="AJ8" s="13" t="s">
        <v>512</v>
      </c>
      <c r="AL8" s="11"/>
      <c r="AM8" s="11"/>
      <c r="AN8" s="11"/>
      <c r="AO8" s="120" t="s">
        <v>1182</v>
      </c>
      <c r="AP8" s="13" t="s">
        <v>512</v>
      </c>
      <c r="AR8" s="11"/>
      <c r="AS8" s="11"/>
      <c r="AT8" s="11"/>
      <c r="AU8" s="120" t="s">
        <v>1182</v>
      </c>
      <c r="AV8" s="13" t="s">
        <v>512</v>
      </c>
      <c r="AX8" s="11"/>
      <c r="AY8" s="11"/>
      <c r="AZ8" s="11"/>
      <c r="BA8" s="120" t="s">
        <v>1182</v>
      </c>
      <c r="BB8" s="13" t="s">
        <v>512</v>
      </c>
      <c r="BD8" s="11"/>
      <c r="BE8" s="11"/>
      <c r="BF8" s="11"/>
      <c r="BG8" s="120" t="s">
        <v>1182</v>
      </c>
      <c r="BH8" s="13" t="s">
        <v>512</v>
      </c>
      <c r="BJ8" s="11"/>
      <c r="BK8" s="11"/>
      <c r="BL8" s="11"/>
      <c r="BM8" s="120" t="s">
        <v>1182</v>
      </c>
      <c r="BN8" s="13" t="s">
        <v>512</v>
      </c>
      <c r="BP8" s="11"/>
      <c r="BQ8" s="11"/>
      <c r="BR8" s="11"/>
      <c r="BS8" s="120" t="s">
        <v>1182</v>
      </c>
      <c r="BT8" s="13" t="s">
        <v>512</v>
      </c>
      <c r="BV8" s="11"/>
      <c r="BW8" s="11"/>
      <c r="BX8" s="11"/>
      <c r="BY8" s="120" t="s">
        <v>1182</v>
      </c>
      <c r="BZ8" s="263" t="s">
        <v>512</v>
      </c>
      <c r="CB8" s="11"/>
      <c r="CC8" s="11"/>
      <c r="CD8" s="11"/>
      <c r="CE8" s="120" t="s">
        <v>1182</v>
      </c>
      <c r="CF8" s="263" t="s">
        <v>512</v>
      </c>
      <c r="CH8" s="11"/>
      <c r="CI8" s="11"/>
      <c r="CJ8" s="11"/>
      <c r="CK8" s="120" t="s">
        <v>1182</v>
      </c>
      <c r="CL8" s="266" t="s">
        <v>512</v>
      </c>
      <c r="CM8" s="66"/>
      <c r="CN8" s="390">
        <v>8</v>
      </c>
      <c r="CO8" s="390">
        <v>44</v>
      </c>
    </row>
    <row r="9" spans="1:96">
      <c r="A9" s="11" t="s">
        <v>2780</v>
      </c>
      <c r="B9" s="426" t="s">
        <v>59</v>
      </c>
      <c r="C9" s="11" t="s">
        <v>58</v>
      </c>
      <c r="D9" s="121" t="s">
        <v>60</v>
      </c>
      <c r="E9" s="121" t="s">
        <v>59</v>
      </c>
      <c r="F9" s="121" t="s">
        <v>1139</v>
      </c>
      <c r="G9" s="121" t="s">
        <v>58</v>
      </c>
      <c r="H9" s="121" t="s">
        <v>1140</v>
      </c>
      <c r="I9" s="121" t="s">
        <v>1159</v>
      </c>
      <c r="J9" s="13" t="s">
        <v>1157</v>
      </c>
      <c r="K9" s="121" t="s">
        <v>1159</v>
      </c>
      <c r="L9" s="13" t="s">
        <v>1157</v>
      </c>
      <c r="M9" s="13" t="s">
        <v>1160</v>
      </c>
      <c r="N9" s="13" t="s">
        <v>1160</v>
      </c>
      <c r="O9" s="13" t="s">
        <v>1160</v>
      </c>
      <c r="P9" s="13" t="s">
        <v>1152</v>
      </c>
      <c r="Q9" s="13" t="s">
        <v>1152</v>
      </c>
      <c r="R9" s="66" t="s">
        <v>1158</v>
      </c>
      <c r="T9" s="11" t="s">
        <v>59</v>
      </c>
      <c r="U9" s="11" t="s">
        <v>58</v>
      </c>
      <c r="V9" s="11" t="s">
        <v>60</v>
      </c>
      <c r="W9" s="120" t="s">
        <v>1175</v>
      </c>
      <c r="X9" s="13" t="s">
        <v>502</v>
      </c>
      <c r="Z9" s="11" t="s">
        <v>59</v>
      </c>
      <c r="AA9" s="11" t="s">
        <v>58</v>
      </c>
      <c r="AB9" s="11" t="s">
        <v>60</v>
      </c>
      <c r="AC9" s="120" t="s">
        <v>1175</v>
      </c>
      <c r="AD9" s="591" t="s">
        <v>502</v>
      </c>
      <c r="AE9" s="106"/>
      <c r="AF9" s="11" t="s">
        <v>59</v>
      </c>
      <c r="AG9" s="11" t="s">
        <v>58</v>
      </c>
      <c r="AH9" s="11" t="s">
        <v>60</v>
      </c>
      <c r="AI9" s="120" t="s">
        <v>1175</v>
      </c>
      <c r="AJ9" s="13" t="s">
        <v>502</v>
      </c>
      <c r="AL9" s="11" t="s">
        <v>59</v>
      </c>
      <c r="AM9" s="11" t="s">
        <v>58</v>
      </c>
      <c r="AN9" s="11" t="s">
        <v>60</v>
      </c>
      <c r="AO9" s="120" t="s">
        <v>1175</v>
      </c>
      <c r="AP9" s="13" t="s">
        <v>502</v>
      </c>
      <c r="AR9" s="11" t="s">
        <v>59</v>
      </c>
      <c r="AS9" s="11" t="s">
        <v>58</v>
      </c>
      <c r="AT9" s="11" t="s">
        <v>60</v>
      </c>
      <c r="AU9" s="120" t="s">
        <v>1175</v>
      </c>
      <c r="AV9" s="13" t="s">
        <v>502</v>
      </c>
      <c r="AX9" s="11" t="s">
        <v>59</v>
      </c>
      <c r="AY9" s="11" t="s">
        <v>58</v>
      </c>
      <c r="AZ9" s="11" t="s">
        <v>60</v>
      </c>
      <c r="BA9" s="120" t="s">
        <v>1175</v>
      </c>
      <c r="BB9" s="13" t="s">
        <v>502</v>
      </c>
      <c r="BD9" s="11" t="s">
        <v>59</v>
      </c>
      <c r="BE9" s="11" t="s">
        <v>58</v>
      </c>
      <c r="BF9" s="11" t="s">
        <v>60</v>
      </c>
      <c r="BG9" s="120" t="s">
        <v>1175</v>
      </c>
      <c r="BH9" s="13" t="s">
        <v>502</v>
      </c>
      <c r="BJ9" s="11" t="s">
        <v>59</v>
      </c>
      <c r="BK9" s="11" t="s">
        <v>58</v>
      </c>
      <c r="BL9" s="11" t="s">
        <v>60</v>
      </c>
      <c r="BM9" s="120" t="s">
        <v>1175</v>
      </c>
      <c r="BN9" s="13" t="s">
        <v>502</v>
      </c>
      <c r="BP9" s="11" t="s">
        <v>59</v>
      </c>
      <c r="BQ9" s="11" t="s">
        <v>58</v>
      </c>
      <c r="BR9" s="11" t="s">
        <v>60</v>
      </c>
      <c r="BS9" s="120" t="s">
        <v>1175</v>
      </c>
      <c r="BT9" s="13" t="s">
        <v>502</v>
      </c>
      <c r="BV9" s="11" t="s">
        <v>59</v>
      </c>
      <c r="BW9" s="11" t="s">
        <v>58</v>
      </c>
      <c r="BX9" s="11" t="s">
        <v>60</v>
      </c>
      <c r="BY9" s="120" t="s">
        <v>1175</v>
      </c>
      <c r="BZ9" s="263" t="s">
        <v>502</v>
      </c>
      <c r="CB9" s="11" t="s">
        <v>59</v>
      </c>
      <c r="CC9" s="11" t="s">
        <v>58</v>
      </c>
      <c r="CD9" s="11" t="s">
        <v>60</v>
      </c>
      <c r="CE9" s="120" t="s">
        <v>1175</v>
      </c>
      <c r="CF9" s="263" t="s">
        <v>502</v>
      </c>
      <c r="CH9" s="11" t="s">
        <v>59</v>
      </c>
      <c r="CI9" s="11" t="s">
        <v>58</v>
      </c>
      <c r="CJ9" s="11" t="s">
        <v>60</v>
      </c>
      <c r="CK9" s="120" t="s">
        <v>1175</v>
      </c>
      <c r="CL9" s="266" t="s">
        <v>502</v>
      </c>
      <c r="CM9" s="66"/>
      <c r="CN9" s="390">
        <v>9</v>
      </c>
      <c r="CO9" s="390">
        <v>50</v>
      </c>
    </row>
    <row r="10" spans="1:96">
      <c r="A10" s="7" t="str">
        <f t="shared" ref="A10:A73" si="0">B10&amp;C10</f>
        <v>00010001</v>
      </c>
      <c r="B10" s="7" t="s">
        <v>2340</v>
      </c>
      <c r="C10" s="7" t="s">
        <v>2340</v>
      </c>
      <c r="D10" s="7">
        <v>1</v>
      </c>
      <c r="E10" s="7">
        <v>1</v>
      </c>
      <c r="F10" s="7" t="s">
        <v>1707</v>
      </c>
      <c r="G10" s="7">
        <v>1</v>
      </c>
      <c r="H10" s="7" t="s">
        <v>1267</v>
      </c>
      <c r="I10" s="37">
        <v>19481152.105999999</v>
      </c>
      <c r="J10" s="122">
        <v>0.89274549296131411</v>
      </c>
      <c r="K10" s="123">
        <f>X10</f>
        <v>19699144.432921756</v>
      </c>
      <c r="L10" s="122">
        <f>IF(K14&gt;0, K10/K14, 0)</f>
        <v>0.89373024330012463</v>
      </c>
      <c r="M10" s="71"/>
      <c r="N10" s="10">
        <f>ROUND(M14*L10,0)</f>
        <v>12922903</v>
      </c>
      <c r="O10" s="70">
        <v>12843377</v>
      </c>
      <c r="P10" s="10">
        <f>N10-O10</f>
        <v>79526</v>
      </c>
      <c r="Q10" s="46">
        <f t="shared" ref="Q10:Q18" si="1">IF(O10&gt;0,P10*100/O10,IF(P10&gt;0,100,0))</f>
        <v>0.6191985176484347</v>
      </c>
      <c r="R10" s="10">
        <v>1956</v>
      </c>
      <c r="S10" s="10">
        <f t="shared" ref="S10:S73" si="2">ABS(T10-E10)+ABS(U10-G10)</f>
        <v>0</v>
      </c>
      <c r="T10" s="124">
        <f t="shared" ref="T10:T73" si="3">VLOOKUP($D10, foundoptions, VLOOKUP($T$6, foundoptcell, 2, FALSE), FALSE)</f>
        <v>1</v>
      </c>
      <c r="U10" s="124">
        <f t="shared" ref="U10:U73" si="4">VLOOKUP($D10, foundoptions, VLOOKUP($T$6, foundoptcell, 2, FALSE)+1, FALSE)</f>
        <v>1</v>
      </c>
      <c r="V10" s="124">
        <f t="shared" ref="V10:V73" si="5">VLOOKUP($D10, foundoptions, VLOOKUP($T$6, foundoptcell, 2, FALSE)+2, FALSE)</f>
        <v>1</v>
      </c>
      <c r="W10" s="124">
        <f t="shared" ref="W10:W73" si="6">VLOOKUP($D10, foundoptions, VLOOKUP($T$6, foundoptcell, 2, FALSE)+3, FALSE)</f>
        <v>1930</v>
      </c>
      <c r="X10" s="124">
        <f t="shared" ref="X10:X73" si="7">VLOOKUP($D10, foundoptions, VLOOKUP($T$6, foundoptcell, 2, FALSE)+4, FALSE)</f>
        <v>19699144.432921756</v>
      </c>
      <c r="Y10" s="264">
        <f>D10</f>
        <v>1</v>
      </c>
      <c r="Z10" s="10">
        <v>1</v>
      </c>
      <c r="AA10" s="7">
        <v>1</v>
      </c>
      <c r="AB10" s="7">
        <v>1</v>
      </c>
      <c r="AC10" s="109">
        <v>1930</v>
      </c>
      <c r="AD10" s="109">
        <v>19699144.432921756</v>
      </c>
      <c r="AE10" s="125"/>
      <c r="AF10" s="10"/>
      <c r="AI10" s="109"/>
      <c r="AJ10" s="109"/>
      <c r="AL10" s="10"/>
      <c r="AO10" s="109"/>
      <c r="AP10" s="109"/>
      <c r="AR10" s="10"/>
      <c r="AU10" s="109"/>
      <c r="AV10" s="109"/>
      <c r="AX10" s="10"/>
      <c r="BA10" s="109"/>
      <c r="BB10" s="109"/>
      <c r="BD10" s="10"/>
      <c r="BG10" s="109"/>
      <c r="BH10" s="109"/>
      <c r="BJ10" s="10"/>
      <c r="BM10" s="109"/>
      <c r="BN10" s="109"/>
      <c r="BP10" s="10"/>
      <c r="BS10" s="109"/>
      <c r="BT10" s="109"/>
      <c r="BV10" s="10"/>
      <c r="BY10" s="109"/>
      <c r="BZ10" s="109"/>
      <c r="CB10" s="10"/>
      <c r="CE10" s="109"/>
      <c r="CF10" s="109"/>
      <c r="CH10" s="10"/>
      <c r="CK10" s="109"/>
      <c r="CL10" s="109"/>
      <c r="CN10" s="390">
        <v>10</v>
      </c>
      <c r="CO10" s="390">
        <v>56</v>
      </c>
      <c r="CR10" s="7" t="s">
        <v>2247</v>
      </c>
    </row>
    <row r="11" spans="1:96">
      <c r="A11" s="7" t="str">
        <f t="shared" si="0"/>
        <v>00010873</v>
      </c>
      <c r="B11" s="7" t="s">
        <v>2340</v>
      </c>
      <c r="C11" s="7" t="s">
        <v>2773</v>
      </c>
      <c r="D11" s="7">
        <v>2</v>
      </c>
      <c r="E11" s="7">
        <v>1</v>
      </c>
      <c r="F11" s="7" t="s">
        <v>1707</v>
      </c>
      <c r="G11" s="7">
        <v>873</v>
      </c>
      <c r="H11" s="7" t="s">
        <v>1700</v>
      </c>
      <c r="I11" s="37">
        <v>2340467</v>
      </c>
      <c r="J11" s="122">
        <v>0.10725450703868591</v>
      </c>
      <c r="K11" s="123">
        <f>X11</f>
        <v>2342343.5670614364</v>
      </c>
      <c r="L11" s="122">
        <f>IF(K14&gt;0, K11/K14, 0)</f>
        <v>0.10626975669987537</v>
      </c>
      <c r="M11" s="71"/>
      <c r="N11" s="10">
        <f>ROUND(M14*L11,0)</f>
        <v>1536609</v>
      </c>
      <c r="O11" s="70">
        <v>1543004</v>
      </c>
      <c r="P11" s="10">
        <f>N11-O11</f>
        <v>-6395</v>
      </c>
      <c r="Q11" s="46">
        <f t="shared" si="1"/>
        <v>-0.41445129111784546</v>
      </c>
      <c r="R11" s="10">
        <v>148</v>
      </c>
      <c r="S11" s="7">
        <f t="shared" si="2"/>
        <v>0</v>
      </c>
      <c r="T11" s="124">
        <f t="shared" si="3"/>
        <v>1</v>
      </c>
      <c r="U11" s="124">
        <f t="shared" si="4"/>
        <v>873</v>
      </c>
      <c r="V11" s="124">
        <f t="shared" si="5"/>
        <v>2</v>
      </c>
      <c r="W11" s="124">
        <f t="shared" si="6"/>
        <v>144.00000000240001</v>
      </c>
      <c r="X11" s="124">
        <f t="shared" si="7"/>
        <v>2342343.5670614364</v>
      </c>
      <c r="Y11" s="264">
        <f t="shared" ref="Y11:Y74" si="8">D11</f>
        <v>2</v>
      </c>
      <c r="Z11" s="10">
        <v>1</v>
      </c>
      <c r="AA11" s="7">
        <v>873</v>
      </c>
      <c r="AB11" s="7">
        <v>2</v>
      </c>
      <c r="AC11" s="109">
        <v>144.00000000240001</v>
      </c>
      <c r="AD11" s="109">
        <v>2342343.5670614364</v>
      </c>
      <c r="AE11" s="125"/>
      <c r="AF11" s="10"/>
      <c r="AI11" s="109"/>
      <c r="AJ11" s="109"/>
      <c r="AL11" s="10"/>
      <c r="AO11" s="109"/>
      <c r="AP11" s="109"/>
      <c r="AR11" s="10"/>
      <c r="AU11" s="109"/>
      <c r="AV11" s="109"/>
      <c r="AX11" s="10"/>
      <c r="BA11" s="109"/>
      <c r="BB11" s="109"/>
      <c r="BD11" s="10"/>
      <c r="BG11" s="109"/>
      <c r="BH11" s="109"/>
      <c r="BJ11" s="10"/>
      <c r="BM11" s="109"/>
      <c r="BN11" s="109"/>
      <c r="BP11" s="10"/>
      <c r="BS11" s="109"/>
      <c r="BT11" s="109"/>
      <c r="BV11" s="10"/>
      <c r="BY11" s="109"/>
      <c r="BZ11" s="109"/>
      <c r="CB11" s="10"/>
      <c r="CE11" s="109"/>
      <c r="CF11" s="109"/>
      <c r="CH11" s="10"/>
      <c r="CK11" s="109"/>
      <c r="CL11" s="109"/>
      <c r="CN11" s="390">
        <v>11</v>
      </c>
      <c r="CO11" s="390">
        <v>62</v>
      </c>
    </row>
    <row r="12" spans="1:96">
      <c r="A12" s="7" t="str">
        <f t="shared" si="0"/>
        <v>00010998</v>
      </c>
      <c r="B12" s="7" t="s">
        <v>2340</v>
      </c>
      <c r="C12" s="7" t="s">
        <v>2781</v>
      </c>
      <c r="D12" s="7">
        <v>3</v>
      </c>
      <c r="E12" s="7">
        <v>1</v>
      </c>
      <c r="F12" s="7" t="s">
        <v>2135</v>
      </c>
      <c r="G12" s="7">
        <v>998</v>
      </c>
      <c r="H12" s="7" t="s">
        <v>2135</v>
      </c>
      <c r="I12" s="37">
        <v>0</v>
      </c>
      <c r="J12" s="122">
        <v>0</v>
      </c>
      <c r="K12" s="123">
        <f>X12</f>
        <v>0</v>
      </c>
      <c r="L12" s="122">
        <f>IF(K14&gt;0, K12/K14, 0)</f>
        <v>0</v>
      </c>
      <c r="M12" s="71"/>
      <c r="N12" s="10">
        <f>ROUND(M14*L12,0)</f>
        <v>0</v>
      </c>
      <c r="O12" s="70">
        <v>0</v>
      </c>
      <c r="P12" s="10">
        <f>N12-O12</f>
        <v>0</v>
      </c>
      <c r="Q12" s="46">
        <f t="shared" si="1"/>
        <v>0</v>
      </c>
      <c r="R12" s="10">
        <v>0</v>
      </c>
      <c r="S12" s="7">
        <f t="shared" si="2"/>
        <v>0</v>
      </c>
      <c r="T12" s="124">
        <f t="shared" si="3"/>
        <v>1</v>
      </c>
      <c r="U12" s="124">
        <f t="shared" si="4"/>
        <v>998</v>
      </c>
      <c r="V12" s="124">
        <f t="shared" si="5"/>
        <v>3</v>
      </c>
      <c r="W12" s="124">
        <f t="shared" si="6"/>
        <v>0</v>
      </c>
      <c r="X12" s="124">
        <f t="shared" si="7"/>
        <v>0</v>
      </c>
      <c r="Y12" s="264">
        <f t="shared" si="8"/>
        <v>3</v>
      </c>
      <c r="Z12" s="10">
        <v>1</v>
      </c>
      <c r="AA12" s="7">
        <v>998</v>
      </c>
      <c r="AB12" s="7">
        <v>3</v>
      </c>
      <c r="AC12" s="109">
        <v>0</v>
      </c>
      <c r="AD12" s="109">
        <v>0</v>
      </c>
      <c r="AE12" s="125"/>
      <c r="AF12" s="10"/>
      <c r="AI12" s="109"/>
      <c r="AJ12" s="109"/>
      <c r="AL12" s="10"/>
      <c r="AO12" s="109"/>
      <c r="AP12" s="109"/>
      <c r="AR12" s="10"/>
      <c r="AU12" s="109"/>
      <c r="AV12" s="109"/>
      <c r="AX12" s="10"/>
      <c r="BA12" s="109"/>
      <c r="BB12" s="109"/>
      <c r="BD12" s="10"/>
      <c r="BG12" s="109"/>
      <c r="BH12" s="109"/>
      <c r="BJ12" s="10"/>
      <c r="BM12" s="109"/>
      <c r="BN12" s="109"/>
      <c r="BP12" s="10"/>
      <c r="BS12" s="109"/>
      <c r="BT12" s="109"/>
      <c r="BV12" s="10"/>
      <c r="BY12" s="109"/>
      <c r="BZ12" s="109"/>
      <c r="CB12" s="10"/>
      <c r="CE12" s="109"/>
      <c r="CF12" s="109"/>
      <c r="CH12" s="10"/>
      <c r="CK12" s="109"/>
      <c r="CL12" s="109"/>
    </row>
    <row r="13" spans="1:96">
      <c r="A13" s="7" t="str">
        <f t="shared" si="0"/>
        <v>00010998</v>
      </c>
      <c r="B13" s="7" t="s">
        <v>2340</v>
      </c>
      <c r="C13" s="7" t="s">
        <v>2781</v>
      </c>
      <c r="D13" s="7">
        <v>4</v>
      </c>
      <c r="E13" s="7">
        <v>1</v>
      </c>
      <c r="F13" s="7" t="s">
        <v>2135</v>
      </c>
      <c r="G13" s="7">
        <v>998</v>
      </c>
      <c r="H13" s="7" t="s">
        <v>2135</v>
      </c>
      <c r="I13" s="37">
        <v>0</v>
      </c>
      <c r="J13" s="122">
        <v>0</v>
      </c>
      <c r="K13" s="123">
        <f>X13</f>
        <v>0</v>
      </c>
      <c r="L13" s="122">
        <f>IF(K14&gt;0, K13/K14, 0)</f>
        <v>0</v>
      </c>
      <c r="M13" s="71"/>
      <c r="N13" s="10">
        <f>ROUND(M14*L13,0)</f>
        <v>0</v>
      </c>
      <c r="O13" s="70">
        <v>0</v>
      </c>
      <c r="P13" s="10">
        <f>N13-O13</f>
        <v>0</v>
      </c>
      <c r="Q13" s="46">
        <f t="shared" si="1"/>
        <v>0</v>
      </c>
      <c r="R13" s="10">
        <v>0</v>
      </c>
      <c r="S13" s="7">
        <f t="shared" si="2"/>
        <v>0</v>
      </c>
      <c r="T13" s="124">
        <f t="shared" si="3"/>
        <v>1</v>
      </c>
      <c r="U13" s="124">
        <f t="shared" si="4"/>
        <v>998</v>
      </c>
      <c r="V13" s="124">
        <f t="shared" si="5"/>
        <v>4</v>
      </c>
      <c r="W13" s="124">
        <f t="shared" si="6"/>
        <v>0</v>
      </c>
      <c r="X13" s="124">
        <f t="shared" si="7"/>
        <v>0</v>
      </c>
      <c r="Y13" s="264">
        <f t="shared" si="8"/>
        <v>4</v>
      </c>
      <c r="Z13" s="10">
        <v>1</v>
      </c>
      <c r="AA13" s="7">
        <v>998</v>
      </c>
      <c r="AB13" s="7">
        <v>4</v>
      </c>
      <c r="AC13" s="109">
        <v>0</v>
      </c>
      <c r="AD13" s="109">
        <v>0</v>
      </c>
      <c r="AE13" s="125"/>
      <c r="AF13" s="10"/>
      <c r="AI13" s="109"/>
      <c r="AJ13" s="109"/>
      <c r="AL13" s="10"/>
      <c r="AO13" s="109"/>
      <c r="AP13" s="109"/>
      <c r="AR13" s="10"/>
      <c r="AU13" s="109"/>
      <c r="AV13" s="109"/>
      <c r="AX13" s="10"/>
      <c r="BA13" s="109"/>
      <c r="BB13" s="109"/>
      <c r="BD13" s="10"/>
      <c r="BG13" s="109"/>
      <c r="BH13" s="109"/>
      <c r="BJ13" s="10"/>
      <c r="BM13" s="109"/>
      <c r="BN13" s="109"/>
      <c r="BP13" s="10"/>
      <c r="BS13" s="109"/>
      <c r="BT13" s="109"/>
      <c r="BV13" s="10"/>
      <c r="BY13" s="109"/>
      <c r="BZ13" s="109"/>
      <c r="CB13" s="10"/>
      <c r="CE13" s="109"/>
      <c r="CF13" s="109"/>
      <c r="CH13" s="10"/>
      <c r="CK13" s="109"/>
      <c r="CL13" s="109"/>
    </row>
    <row r="14" spans="1:96">
      <c r="A14" s="7" t="str">
        <f t="shared" si="0"/>
        <v>00010999</v>
      </c>
      <c r="B14" s="7" t="s">
        <v>2340</v>
      </c>
      <c r="C14" s="7" t="s">
        <v>2782</v>
      </c>
      <c r="D14" s="7">
        <v>5</v>
      </c>
      <c r="E14" s="11">
        <v>1</v>
      </c>
      <c r="F14" s="11" t="s">
        <v>1707</v>
      </c>
      <c r="G14" s="11">
        <v>999</v>
      </c>
      <c r="H14" s="11" t="s">
        <v>1132</v>
      </c>
      <c r="I14" s="105">
        <v>21821619.105999999</v>
      </c>
      <c r="J14" s="126">
        <v>1</v>
      </c>
      <c r="K14" s="127">
        <f>SUM(K10:K13)</f>
        <v>22041487.999983191</v>
      </c>
      <c r="L14" s="126">
        <f>SUM(L10:L13)</f>
        <v>1</v>
      </c>
      <c r="M14" s="105">
        <f>VLOOKUP(E14,town351,22)</f>
        <v>14459512</v>
      </c>
      <c r="N14" s="105">
        <f>SUM(N10:N13)</f>
        <v>14459512</v>
      </c>
      <c r="O14" s="128">
        <v>14386381</v>
      </c>
      <c r="P14" s="105">
        <f>SUM(P10:P13)</f>
        <v>73131</v>
      </c>
      <c r="Q14" s="45">
        <f t="shared" si="1"/>
        <v>0.50833493148832909</v>
      </c>
      <c r="R14" s="105">
        <v>2104</v>
      </c>
      <c r="S14" s="7">
        <f t="shared" si="2"/>
        <v>0</v>
      </c>
      <c r="T14" s="124">
        <f t="shared" si="3"/>
        <v>1</v>
      </c>
      <c r="U14" s="124">
        <f t="shared" si="4"/>
        <v>999</v>
      </c>
      <c r="V14" s="124">
        <f t="shared" si="5"/>
        <v>5</v>
      </c>
      <c r="W14" s="124">
        <f t="shared" si="6"/>
        <v>2074.0000000024002</v>
      </c>
      <c r="X14" s="124">
        <f t="shared" si="7"/>
        <v>22041487.999983191</v>
      </c>
      <c r="Y14" s="264">
        <f t="shared" si="8"/>
        <v>5</v>
      </c>
      <c r="Z14" s="10">
        <v>1</v>
      </c>
      <c r="AA14" s="7">
        <v>999</v>
      </c>
      <c r="AB14" s="7">
        <v>5</v>
      </c>
      <c r="AC14" s="109">
        <v>2074.0000000024002</v>
      </c>
      <c r="AD14" s="109">
        <v>22041487.999983191</v>
      </c>
      <c r="AE14" s="125"/>
      <c r="AF14" s="10"/>
      <c r="AI14" s="109"/>
      <c r="AJ14" s="109"/>
      <c r="AL14" s="10"/>
      <c r="AO14" s="109"/>
      <c r="AP14" s="109"/>
      <c r="AR14" s="10"/>
      <c r="AU14" s="109"/>
      <c r="AV14" s="109"/>
      <c r="AX14" s="10"/>
      <c r="BA14" s="109"/>
      <c r="BB14" s="109"/>
      <c r="BD14" s="10"/>
      <c r="BG14" s="109"/>
      <c r="BH14" s="109"/>
      <c r="BJ14" s="10"/>
      <c r="BM14" s="109"/>
      <c r="BN14" s="109"/>
      <c r="BP14" s="10"/>
      <c r="BS14" s="109"/>
      <c r="BT14" s="109"/>
      <c r="BV14" s="10"/>
      <c r="BY14" s="109"/>
      <c r="BZ14" s="109"/>
      <c r="CB14" s="10"/>
      <c r="CE14" s="109"/>
      <c r="CF14" s="109"/>
      <c r="CH14" s="10"/>
      <c r="CK14" s="109"/>
      <c r="CL14" s="109"/>
    </row>
    <row r="15" spans="1:96">
      <c r="A15" s="7" t="str">
        <f t="shared" si="0"/>
        <v>00020002</v>
      </c>
      <c r="B15" s="7" t="s">
        <v>2341</v>
      </c>
      <c r="C15" s="7" t="s">
        <v>2341</v>
      </c>
      <c r="D15" s="7">
        <v>6</v>
      </c>
      <c r="E15" s="7">
        <v>2</v>
      </c>
      <c r="F15" s="7" t="s">
        <v>1708</v>
      </c>
      <c r="G15" s="7">
        <v>2</v>
      </c>
      <c r="H15" s="7" t="s">
        <v>1268</v>
      </c>
      <c r="I15" s="37">
        <v>0</v>
      </c>
      <c r="J15" s="122">
        <v>0</v>
      </c>
      <c r="K15" s="123">
        <f t="shared" ref="K15:K78" si="9">X15</f>
        <v>0</v>
      </c>
      <c r="L15" s="122">
        <f>IF(K19&gt;0, K15/K19, 0)</f>
        <v>0</v>
      </c>
      <c r="M15" s="71"/>
      <c r="N15" s="10">
        <f>ROUND(M19*L15,0)</f>
        <v>0</v>
      </c>
      <c r="O15" s="70">
        <v>0</v>
      </c>
      <c r="P15" s="10">
        <f>N15-O15</f>
        <v>0</v>
      </c>
      <c r="Q15" s="46">
        <f t="shared" si="1"/>
        <v>0</v>
      </c>
      <c r="R15" s="10">
        <v>0</v>
      </c>
      <c r="S15" s="7">
        <f t="shared" si="2"/>
        <v>0</v>
      </c>
      <c r="T15" s="124">
        <f t="shared" si="3"/>
        <v>2</v>
      </c>
      <c r="U15" s="124">
        <f t="shared" si="4"/>
        <v>2</v>
      </c>
      <c r="V15" s="124">
        <f t="shared" si="5"/>
        <v>6</v>
      </c>
      <c r="W15" s="124">
        <f t="shared" si="6"/>
        <v>0</v>
      </c>
      <c r="X15" s="124">
        <f t="shared" si="7"/>
        <v>0</v>
      </c>
      <c r="Y15" s="264">
        <f t="shared" si="8"/>
        <v>6</v>
      </c>
      <c r="Z15" s="10">
        <v>2</v>
      </c>
      <c r="AA15" s="7">
        <v>2</v>
      </c>
      <c r="AB15" s="7">
        <v>6</v>
      </c>
      <c r="AC15" s="109">
        <v>0</v>
      </c>
      <c r="AD15" s="109">
        <v>0</v>
      </c>
      <c r="AE15" s="125"/>
      <c r="AF15" s="10"/>
      <c r="AI15" s="109"/>
      <c r="AJ15" s="109"/>
      <c r="AL15" s="10"/>
      <c r="AO15" s="109"/>
      <c r="AP15" s="109"/>
      <c r="AR15" s="10"/>
      <c r="AU15" s="109"/>
      <c r="AV15" s="109"/>
      <c r="AX15" s="10"/>
      <c r="BA15" s="109"/>
      <c r="BB15" s="109"/>
      <c r="BD15" s="10"/>
      <c r="BG15" s="109"/>
      <c r="BH15" s="109"/>
      <c r="BJ15" s="10"/>
      <c r="BM15" s="109"/>
      <c r="BN15" s="109"/>
      <c r="BP15" s="10"/>
      <c r="BS15" s="109"/>
      <c r="BT15" s="109"/>
      <c r="BV15" s="10"/>
      <c r="BY15" s="109"/>
      <c r="BZ15" s="109"/>
      <c r="CB15" s="10"/>
      <c r="CE15" s="109"/>
      <c r="CF15" s="109"/>
      <c r="CH15" s="10"/>
      <c r="CK15" s="109"/>
      <c r="CL15" s="109"/>
    </row>
    <row r="16" spans="1:96">
      <c r="A16" s="7" t="str">
        <f t="shared" si="0"/>
        <v>00020600</v>
      </c>
      <c r="B16" s="7" t="s">
        <v>2341</v>
      </c>
      <c r="C16" s="7" t="s">
        <v>2694</v>
      </c>
      <c r="D16" s="7">
        <v>7</v>
      </c>
      <c r="E16" s="7">
        <v>2</v>
      </c>
      <c r="F16" s="7" t="s">
        <v>1708</v>
      </c>
      <c r="G16" s="7">
        <v>600</v>
      </c>
      <c r="H16" s="7" t="s">
        <v>1621</v>
      </c>
      <c r="I16" s="37">
        <v>44421182</v>
      </c>
      <c r="J16" s="122">
        <v>0.98680190898658493</v>
      </c>
      <c r="K16" s="123">
        <f t="shared" si="9"/>
        <v>45276746.926569961</v>
      </c>
      <c r="L16" s="122">
        <f>IF(K19&gt;0, K16/K19, 0)</f>
        <v>0.98561679579043937</v>
      </c>
      <c r="M16" s="71"/>
      <c r="N16" s="10">
        <f>ROUND(M19*L16,0)</f>
        <v>35277492</v>
      </c>
      <c r="O16" s="70">
        <v>33871537</v>
      </c>
      <c r="P16" s="10">
        <f>N16-O16</f>
        <v>1405955</v>
      </c>
      <c r="Q16" s="46">
        <f t="shared" si="1"/>
        <v>4.150845000036461</v>
      </c>
      <c r="R16" s="10">
        <v>4657</v>
      </c>
      <c r="S16" s="7">
        <f t="shared" si="2"/>
        <v>0</v>
      </c>
      <c r="T16" s="124">
        <f t="shared" si="3"/>
        <v>2</v>
      </c>
      <c r="U16" s="124">
        <f t="shared" si="4"/>
        <v>600</v>
      </c>
      <c r="V16" s="124">
        <f t="shared" si="5"/>
        <v>7</v>
      </c>
      <c r="W16" s="124">
        <f t="shared" si="6"/>
        <v>4613.1431140117502</v>
      </c>
      <c r="X16" s="124">
        <f t="shared" si="7"/>
        <v>45276746.926569961</v>
      </c>
      <c r="Y16" s="264">
        <f t="shared" si="8"/>
        <v>7</v>
      </c>
      <c r="Z16" s="10">
        <v>2</v>
      </c>
      <c r="AA16" s="7">
        <v>600</v>
      </c>
      <c r="AB16" s="7">
        <v>7</v>
      </c>
      <c r="AC16" s="109">
        <v>4613.1431140117502</v>
      </c>
      <c r="AD16" s="109">
        <v>45276746.926569961</v>
      </c>
      <c r="AE16" s="125"/>
      <c r="AF16" s="10"/>
      <c r="AI16" s="109"/>
      <c r="AJ16" s="109"/>
      <c r="AL16" s="10"/>
      <c r="AO16" s="109"/>
      <c r="AP16" s="109"/>
      <c r="AR16" s="10"/>
      <c r="AU16" s="109"/>
      <c r="AV16" s="109"/>
      <c r="AX16" s="10"/>
      <c r="BA16" s="109"/>
      <c r="BB16" s="109"/>
      <c r="BD16" s="10"/>
      <c r="BG16" s="109"/>
      <c r="BH16" s="109"/>
      <c r="BJ16" s="10"/>
      <c r="BM16" s="109"/>
      <c r="BN16" s="109"/>
      <c r="BP16" s="10"/>
      <c r="BS16" s="109"/>
      <c r="BT16" s="109"/>
      <c r="BV16" s="10"/>
      <c r="BY16" s="109"/>
      <c r="BZ16" s="109"/>
      <c r="CB16" s="10"/>
      <c r="CE16" s="109"/>
      <c r="CF16" s="109"/>
      <c r="CH16" s="10"/>
      <c r="CK16" s="109"/>
      <c r="CL16" s="109"/>
    </row>
    <row r="17" spans="1:90">
      <c r="A17" s="7" t="str">
        <f t="shared" si="0"/>
        <v>00020830</v>
      </c>
      <c r="B17" s="7" t="s">
        <v>2341</v>
      </c>
      <c r="C17" s="7" t="s">
        <v>2764</v>
      </c>
      <c r="D17" s="7">
        <v>8</v>
      </c>
      <c r="E17" s="7">
        <v>2</v>
      </c>
      <c r="F17" s="7" t="s">
        <v>1708</v>
      </c>
      <c r="G17" s="7">
        <v>830</v>
      </c>
      <c r="H17" s="7" t="s">
        <v>1691</v>
      </c>
      <c r="I17" s="37">
        <v>594116</v>
      </c>
      <c r="J17" s="122">
        <v>1.319809101341504E-2</v>
      </c>
      <c r="K17" s="123">
        <f t="shared" si="9"/>
        <v>660728.08394786669</v>
      </c>
      <c r="L17" s="122">
        <f>IF(K19&gt;0, K17/K19, 0)</f>
        <v>1.438320420956064E-2</v>
      </c>
      <c r="M17" s="71"/>
      <c r="N17" s="10">
        <f>ROUND(M19*L17,0)</f>
        <v>514808</v>
      </c>
      <c r="O17" s="70">
        <v>453019</v>
      </c>
      <c r="P17" s="10">
        <f>N17-O17</f>
        <v>61789</v>
      </c>
      <c r="Q17" s="46">
        <f t="shared" si="1"/>
        <v>13.639383778605312</v>
      </c>
      <c r="R17" s="10">
        <v>34</v>
      </c>
      <c r="S17" s="7">
        <f t="shared" si="2"/>
        <v>0</v>
      </c>
      <c r="T17" s="124">
        <f t="shared" si="3"/>
        <v>2</v>
      </c>
      <c r="U17" s="124">
        <f t="shared" si="4"/>
        <v>830</v>
      </c>
      <c r="V17" s="124">
        <f t="shared" si="5"/>
        <v>8</v>
      </c>
      <c r="W17" s="124">
        <f t="shared" si="6"/>
        <v>36.104347827139996</v>
      </c>
      <c r="X17" s="124">
        <f t="shared" si="7"/>
        <v>660728.08394786669</v>
      </c>
      <c r="Y17" s="264">
        <f t="shared" si="8"/>
        <v>8</v>
      </c>
      <c r="Z17" s="10">
        <v>2</v>
      </c>
      <c r="AA17" s="7">
        <v>830</v>
      </c>
      <c r="AB17" s="7">
        <v>8</v>
      </c>
      <c r="AC17" s="109">
        <v>36.104347827139996</v>
      </c>
      <c r="AD17" s="109">
        <v>660728.08394786669</v>
      </c>
      <c r="AE17" s="125"/>
      <c r="AF17" s="10"/>
      <c r="AI17" s="109"/>
      <c r="AJ17" s="109"/>
      <c r="AL17" s="10"/>
      <c r="AO17" s="109"/>
      <c r="AP17" s="109"/>
      <c r="AR17" s="10"/>
      <c r="AU17" s="109"/>
      <c r="AV17" s="109"/>
      <c r="AX17" s="10"/>
      <c r="BA17" s="109"/>
      <c r="BB17" s="109"/>
      <c r="BD17" s="10"/>
      <c r="BG17" s="109"/>
      <c r="BH17" s="109"/>
      <c r="BJ17" s="10"/>
      <c r="BM17" s="109"/>
      <c r="BN17" s="109"/>
      <c r="BP17" s="10"/>
      <c r="BS17" s="109"/>
      <c r="BT17" s="109"/>
      <c r="BV17" s="10"/>
      <c r="BY17" s="109"/>
      <c r="BZ17" s="109"/>
      <c r="CB17" s="10"/>
      <c r="CE17" s="109"/>
      <c r="CF17" s="109"/>
      <c r="CH17" s="10"/>
      <c r="CK17" s="109"/>
      <c r="CL17" s="109"/>
    </row>
    <row r="18" spans="1:90">
      <c r="A18" s="7" t="str">
        <f t="shared" si="0"/>
        <v>00020998</v>
      </c>
      <c r="B18" s="7" t="s">
        <v>2341</v>
      </c>
      <c r="C18" s="7" t="s">
        <v>2781</v>
      </c>
      <c r="D18" s="7">
        <v>9</v>
      </c>
      <c r="E18" s="7">
        <v>2</v>
      </c>
      <c r="F18" s="7" t="s">
        <v>2135</v>
      </c>
      <c r="G18" s="7">
        <v>998</v>
      </c>
      <c r="H18" s="7" t="s">
        <v>2135</v>
      </c>
      <c r="I18" s="37">
        <v>0</v>
      </c>
      <c r="J18" s="122">
        <v>0</v>
      </c>
      <c r="K18" s="123">
        <f t="shared" si="9"/>
        <v>0</v>
      </c>
      <c r="L18" s="122">
        <f>IF(K19&gt;0, K18/K19, 0)</f>
        <v>0</v>
      </c>
      <c r="M18" s="71"/>
      <c r="N18" s="10">
        <f>ROUND(M19*L18,0)</f>
        <v>0</v>
      </c>
      <c r="O18" s="70">
        <v>0</v>
      </c>
      <c r="P18" s="10">
        <f>N18-O18</f>
        <v>0</v>
      </c>
      <c r="Q18" s="46">
        <f t="shared" si="1"/>
        <v>0</v>
      </c>
      <c r="R18" s="10">
        <v>0</v>
      </c>
      <c r="S18" s="7">
        <f t="shared" si="2"/>
        <v>0</v>
      </c>
      <c r="T18" s="124">
        <f t="shared" si="3"/>
        <v>2</v>
      </c>
      <c r="U18" s="124">
        <f t="shared" si="4"/>
        <v>998</v>
      </c>
      <c r="V18" s="124">
        <f t="shared" si="5"/>
        <v>9</v>
      </c>
      <c r="W18" s="124">
        <f t="shared" si="6"/>
        <v>0</v>
      </c>
      <c r="X18" s="124">
        <f t="shared" si="7"/>
        <v>0</v>
      </c>
      <c r="Y18" s="264">
        <f t="shared" si="8"/>
        <v>9</v>
      </c>
      <c r="Z18" s="10">
        <v>2</v>
      </c>
      <c r="AA18" s="7">
        <v>998</v>
      </c>
      <c r="AB18" s="7">
        <v>9</v>
      </c>
      <c r="AC18" s="109">
        <v>0</v>
      </c>
      <c r="AD18" s="109">
        <v>0</v>
      </c>
      <c r="AE18" s="125"/>
      <c r="AF18" s="10"/>
      <c r="AI18" s="109"/>
      <c r="AJ18" s="109"/>
      <c r="AL18" s="10"/>
      <c r="AO18" s="109"/>
      <c r="AP18" s="109"/>
      <c r="AR18" s="10"/>
      <c r="AU18" s="109"/>
      <c r="AV18" s="109"/>
      <c r="AX18" s="10"/>
      <c r="BA18" s="109"/>
      <c r="BB18" s="109"/>
      <c r="BD18" s="10"/>
      <c r="BG18" s="109"/>
      <c r="BH18" s="109"/>
      <c r="BJ18" s="10"/>
      <c r="BM18" s="109"/>
      <c r="BN18" s="109"/>
      <c r="BP18" s="10"/>
      <c r="BS18" s="109"/>
      <c r="BT18" s="109"/>
      <c r="BV18" s="10"/>
      <c r="BY18" s="109"/>
      <c r="BZ18" s="109"/>
      <c r="CB18" s="10"/>
      <c r="CE18" s="109"/>
      <c r="CF18" s="109"/>
      <c r="CH18" s="10"/>
      <c r="CK18" s="109"/>
      <c r="CL18" s="109"/>
    </row>
    <row r="19" spans="1:90">
      <c r="A19" s="7" t="str">
        <f t="shared" si="0"/>
        <v>00020999</v>
      </c>
      <c r="B19" s="7" t="s">
        <v>2341</v>
      </c>
      <c r="C19" s="7" t="s">
        <v>2782</v>
      </c>
      <c r="D19" s="7">
        <v>10</v>
      </c>
      <c r="E19" s="11">
        <v>2</v>
      </c>
      <c r="F19" s="11" t="s">
        <v>1708</v>
      </c>
      <c r="G19" s="11">
        <v>999</v>
      </c>
      <c r="H19" s="11" t="s">
        <v>1132</v>
      </c>
      <c r="I19" s="105">
        <v>45015298</v>
      </c>
      <c r="J19" s="126">
        <v>1</v>
      </c>
      <c r="K19" s="127">
        <f>SUM(K15:K18)</f>
        <v>45937475.010517828</v>
      </c>
      <c r="L19" s="126">
        <f>SUM(L15:L18)</f>
        <v>1</v>
      </c>
      <c r="M19" s="105">
        <f>VLOOKUP(E19,town351,22)</f>
        <v>35792300</v>
      </c>
      <c r="N19" s="105">
        <f>SUM(N15:N18)</f>
        <v>35792300</v>
      </c>
      <c r="O19" s="128">
        <v>34324556</v>
      </c>
      <c r="P19" s="105">
        <f>SUM(P15:P18)</f>
        <v>1467744</v>
      </c>
      <c r="Q19" s="45">
        <f t="shared" ref="Q19:Q79" si="10">IF(O19&gt;0,P19*100/O19,IF(P19&gt;0,100,0))</f>
        <v>4.2760757051016185</v>
      </c>
      <c r="R19" s="105">
        <v>4691</v>
      </c>
      <c r="S19" s="7">
        <f t="shared" si="2"/>
        <v>0</v>
      </c>
      <c r="T19" s="124">
        <f t="shared" si="3"/>
        <v>2</v>
      </c>
      <c r="U19" s="124">
        <f t="shared" si="4"/>
        <v>999</v>
      </c>
      <c r="V19" s="124">
        <f t="shared" si="5"/>
        <v>10</v>
      </c>
      <c r="W19" s="124">
        <f t="shared" si="6"/>
        <v>4649.2474618388906</v>
      </c>
      <c r="X19" s="124">
        <f t="shared" si="7"/>
        <v>45937475.010517828</v>
      </c>
      <c r="Y19" s="264">
        <f t="shared" si="8"/>
        <v>10</v>
      </c>
      <c r="Z19" s="10">
        <v>2</v>
      </c>
      <c r="AA19" s="7">
        <v>999</v>
      </c>
      <c r="AB19" s="7">
        <v>10</v>
      </c>
      <c r="AC19" s="109">
        <v>4649.2474618388906</v>
      </c>
      <c r="AD19" s="109">
        <v>45937475.010517828</v>
      </c>
      <c r="AE19" s="125"/>
      <c r="AF19" s="10"/>
      <c r="AI19" s="109"/>
      <c r="AJ19" s="109"/>
      <c r="AL19" s="10"/>
      <c r="AO19" s="109"/>
      <c r="AP19" s="109"/>
      <c r="AR19" s="10"/>
      <c r="AU19" s="109"/>
      <c r="AV19" s="109"/>
      <c r="AX19" s="10"/>
      <c r="BA19" s="109"/>
      <c r="BB19" s="109"/>
      <c r="BD19" s="10"/>
      <c r="BG19" s="109"/>
      <c r="BH19" s="109"/>
      <c r="BJ19" s="10"/>
      <c r="BM19" s="109"/>
      <c r="BN19" s="109"/>
      <c r="BP19" s="10"/>
      <c r="BS19" s="109"/>
      <c r="BT19" s="109"/>
      <c r="BV19" s="10"/>
      <c r="BY19" s="109"/>
      <c r="BZ19" s="109"/>
      <c r="CB19" s="10"/>
      <c r="CE19" s="109"/>
      <c r="CF19" s="109"/>
      <c r="CH19" s="10"/>
      <c r="CK19" s="109"/>
      <c r="CL19" s="109"/>
    </row>
    <row r="20" spans="1:90">
      <c r="A20" s="7" t="str">
        <f t="shared" si="0"/>
        <v>00030003</v>
      </c>
      <c r="B20" s="7" t="s">
        <v>2342</v>
      </c>
      <c r="C20" s="7" t="s">
        <v>2342</v>
      </c>
      <c r="D20" s="7">
        <v>11</v>
      </c>
      <c r="E20" s="7">
        <v>3</v>
      </c>
      <c r="F20" s="7" t="s">
        <v>1709</v>
      </c>
      <c r="G20" s="7">
        <v>3</v>
      </c>
      <c r="H20" s="7" t="s">
        <v>1269</v>
      </c>
      <c r="I20" s="37">
        <v>11862468.339999998</v>
      </c>
      <c r="J20" s="122">
        <v>0.83430770112815456</v>
      </c>
      <c r="K20" s="123">
        <f>X20</f>
        <v>11736546.345857544</v>
      </c>
      <c r="L20" s="122">
        <f>IF(K24&gt;0, K20/K24, 0)</f>
        <v>0.83424536923155979</v>
      </c>
      <c r="M20" s="71"/>
      <c r="N20" s="10">
        <f>ROUND(M24*L20,0)</f>
        <v>6867294</v>
      </c>
      <c r="O20" s="70">
        <v>6851396</v>
      </c>
      <c r="P20" s="10">
        <f>N20-O20</f>
        <v>15898</v>
      </c>
      <c r="Q20" s="46">
        <f t="shared" si="10"/>
        <v>0.23204030244347285</v>
      </c>
      <c r="R20" s="10">
        <v>1254</v>
      </c>
      <c r="S20" s="7">
        <f t="shared" si="2"/>
        <v>0</v>
      </c>
      <c r="T20" s="124">
        <f t="shared" si="3"/>
        <v>3</v>
      </c>
      <c r="U20" s="124">
        <f t="shared" si="4"/>
        <v>3</v>
      </c>
      <c r="V20" s="124">
        <f t="shared" si="5"/>
        <v>11</v>
      </c>
      <c r="W20" s="124">
        <f t="shared" si="6"/>
        <v>1210</v>
      </c>
      <c r="X20" s="124">
        <f t="shared" si="7"/>
        <v>11736546.345857544</v>
      </c>
      <c r="Y20" s="264">
        <f t="shared" si="8"/>
        <v>11</v>
      </c>
      <c r="Z20" s="10">
        <v>3</v>
      </c>
      <c r="AA20" s="7">
        <v>3</v>
      </c>
      <c r="AB20" s="7">
        <v>11</v>
      </c>
      <c r="AC20" s="109">
        <v>1210</v>
      </c>
      <c r="AD20" s="109">
        <v>11736546.345857544</v>
      </c>
      <c r="AE20" s="125"/>
      <c r="AF20" s="10"/>
      <c r="AI20" s="109"/>
      <c r="AJ20" s="109"/>
      <c r="AL20" s="10"/>
      <c r="AO20" s="109"/>
      <c r="AP20" s="109"/>
      <c r="AR20" s="10"/>
      <c r="AU20" s="109"/>
      <c r="AV20" s="109"/>
      <c r="AX20" s="10"/>
      <c r="BA20" s="109"/>
      <c r="BB20" s="109"/>
      <c r="BD20" s="10"/>
      <c r="BG20" s="109"/>
      <c r="BH20" s="109"/>
      <c r="BJ20" s="10"/>
      <c r="BM20" s="109"/>
      <c r="BN20" s="109"/>
      <c r="BP20" s="10"/>
      <c r="BS20" s="109"/>
      <c r="BT20" s="109"/>
      <c r="BV20" s="10"/>
      <c r="BY20" s="109"/>
      <c r="BZ20" s="109"/>
      <c r="CB20" s="10"/>
      <c r="CE20" s="109"/>
      <c r="CF20" s="109"/>
      <c r="CH20" s="10"/>
      <c r="CK20" s="109"/>
      <c r="CL20" s="109"/>
    </row>
    <row r="21" spans="1:90">
      <c r="A21" s="7" t="str">
        <f t="shared" si="0"/>
        <v>00030855</v>
      </c>
      <c r="B21" s="7" t="s">
        <v>2342</v>
      </c>
      <c r="C21" s="7" t="s">
        <v>2769</v>
      </c>
      <c r="D21" s="7">
        <v>12</v>
      </c>
      <c r="E21" s="7">
        <v>3</v>
      </c>
      <c r="F21" s="7" t="s">
        <v>1709</v>
      </c>
      <c r="G21" s="7">
        <v>855</v>
      </c>
      <c r="H21" s="7" t="s">
        <v>1696</v>
      </c>
      <c r="I21" s="37">
        <v>2172011</v>
      </c>
      <c r="J21" s="122">
        <v>0.15276125105637706</v>
      </c>
      <c r="K21" s="123">
        <f t="shared" si="9"/>
        <v>2097655.1649155626</v>
      </c>
      <c r="L21" s="122">
        <f>IF(K24&gt;0, K21/K24, 0)</f>
        <v>0.1491034121969898</v>
      </c>
      <c r="M21" s="71"/>
      <c r="N21" s="10">
        <f>ROUND(M24*L21,0)</f>
        <v>1227381</v>
      </c>
      <c r="O21" s="70">
        <v>1254487</v>
      </c>
      <c r="P21" s="10">
        <f>N21-O21</f>
        <v>-27106</v>
      </c>
      <c r="Q21" s="46">
        <f t="shared" si="10"/>
        <v>-2.1607238656119994</v>
      </c>
      <c r="R21" s="10">
        <v>141</v>
      </c>
      <c r="S21" s="7">
        <f t="shared" si="2"/>
        <v>0</v>
      </c>
      <c r="T21" s="124">
        <f t="shared" si="3"/>
        <v>3</v>
      </c>
      <c r="U21" s="124">
        <f t="shared" si="4"/>
        <v>855</v>
      </c>
      <c r="V21" s="124">
        <f t="shared" si="5"/>
        <v>12</v>
      </c>
      <c r="W21" s="124">
        <f t="shared" si="6"/>
        <v>135.00000000053998</v>
      </c>
      <c r="X21" s="124">
        <f t="shared" si="7"/>
        <v>2097655.1649155626</v>
      </c>
      <c r="Y21" s="264">
        <f t="shared" si="8"/>
        <v>12</v>
      </c>
      <c r="Z21" s="10">
        <v>3</v>
      </c>
      <c r="AA21" s="7">
        <v>855</v>
      </c>
      <c r="AB21" s="7">
        <v>12</v>
      </c>
      <c r="AC21" s="109">
        <v>135.00000000053998</v>
      </c>
      <c r="AD21" s="109">
        <v>2097655.1649155626</v>
      </c>
      <c r="AE21" s="125"/>
      <c r="AF21" s="10"/>
      <c r="AI21" s="109"/>
      <c r="AJ21" s="109"/>
      <c r="AL21" s="10"/>
      <c r="AO21" s="109"/>
      <c r="AP21" s="109"/>
      <c r="AR21" s="10"/>
      <c r="AU21" s="109"/>
      <c r="AV21" s="109"/>
      <c r="AX21" s="10"/>
      <c r="BA21" s="109"/>
      <c r="BB21" s="109"/>
      <c r="BD21" s="10"/>
      <c r="BG21" s="109"/>
      <c r="BH21" s="109"/>
      <c r="BJ21" s="10"/>
      <c r="BM21" s="109"/>
      <c r="BN21" s="109"/>
      <c r="BP21" s="10"/>
      <c r="BS21" s="109"/>
      <c r="BT21" s="109"/>
      <c r="BV21" s="10"/>
      <c r="BY21" s="109"/>
      <c r="BZ21" s="109"/>
      <c r="CB21" s="10"/>
      <c r="CE21" s="109"/>
      <c r="CF21" s="109"/>
      <c r="CH21" s="10"/>
      <c r="CK21" s="109"/>
      <c r="CL21" s="109"/>
    </row>
    <row r="22" spans="1:90">
      <c r="A22" s="7" t="str">
        <f t="shared" si="0"/>
        <v>00030910</v>
      </c>
      <c r="B22" s="7" t="s">
        <v>2342</v>
      </c>
      <c r="C22" s="7" t="s">
        <v>2778</v>
      </c>
      <c r="D22" s="7">
        <v>13</v>
      </c>
      <c r="E22" s="7">
        <v>3</v>
      </c>
      <c r="F22" s="7" t="s">
        <v>1709</v>
      </c>
      <c r="G22" s="7">
        <v>910</v>
      </c>
      <c r="H22" s="7" t="s">
        <v>1705</v>
      </c>
      <c r="I22" s="37">
        <v>183858</v>
      </c>
      <c r="J22" s="122">
        <v>1.2931047815468418E-2</v>
      </c>
      <c r="K22" s="123">
        <f t="shared" si="9"/>
        <v>234256.97724740556</v>
      </c>
      <c r="L22" s="122">
        <f>IF(K24&gt;0, K22/K24, 0)</f>
        <v>1.6651218571450355E-2</v>
      </c>
      <c r="M22" s="71"/>
      <c r="N22" s="10">
        <f>ROUND(M24*L22,0)</f>
        <v>137069</v>
      </c>
      <c r="O22" s="70">
        <v>106191</v>
      </c>
      <c r="P22" s="10">
        <f>N22-O22</f>
        <v>30878</v>
      </c>
      <c r="Q22" s="46">
        <f t="shared" si="10"/>
        <v>29.077793786667421</v>
      </c>
      <c r="R22" s="10">
        <v>12</v>
      </c>
      <c r="S22" s="7">
        <f t="shared" si="2"/>
        <v>0</v>
      </c>
      <c r="T22" s="124">
        <f t="shared" si="3"/>
        <v>3</v>
      </c>
      <c r="U22" s="124">
        <f t="shared" si="4"/>
        <v>910</v>
      </c>
      <c r="V22" s="124">
        <f t="shared" si="5"/>
        <v>13</v>
      </c>
      <c r="W22" s="124">
        <f t="shared" si="6"/>
        <v>14.99999999988</v>
      </c>
      <c r="X22" s="124">
        <f t="shared" si="7"/>
        <v>234256.97724740556</v>
      </c>
      <c r="Y22" s="264">
        <f t="shared" si="8"/>
        <v>13</v>
      </c>
      <c r="Z22" s="10">
        <v>3</v>
      </c>
      <c r="AA22" s="7">
        <v>910</v>
      </c>
      <c r="AB22" s="7">
        <v>13</v>
      </c>
      <c r="AC22" s="109">
        <v>14.99999999988</v>
      </c>
      <c r="AD22" s="109">
        <v>234256.97724740556</v>
      </c>
      <c r="AE22" s="125"/>
      <c r="AF22" s="10"/>
      <c r="AI22" s="109"/>
      <c r="AJ22" s="109"/>
      <c r="AL22" s="10"/>
      <c r="AO22" s="109"/>
      <c r="AP22" s="109"/>
      <c r="AR22" s="10"/>
      <c r="AU22" s="109"/>
      <c r="AV22" s="109"/>
      <c r="AX22" s="10"/>
      <c r="BA22" s="109"/>
      <c r="BB22" s="109"/>
      <c r="BD22" s="10"/>
      <c r="BG22" s="109"/>
      <c r="BH22" s="109"/>
      <c r="BJ22" s="10"/>
      <c r="BM22" s="109"/>
      <c r="BN22" s="109"/>
      <c r="BP22" s="10"/>
      <c r="BS22" s="109"/>
      <c r="BT22" s="109"/>
      <c r="BV22" s="10"/>
      <c r="BY22" s="109"/>
      <c r="BZ22" s="109"/>
      <c r="CB22" s="10"/>
      <c r="CE22" s="109"/>
      <c r="CF22" s="109"/>
      <c r="CH22" s="10"/>
      <c r="CK22" s="109"/>
      <c r="CL22" s="109"/>
    </row>
    <row r="23" spans="1:90">
      <c r="A23" s="7" t="str">
        <f t="shared" si="0"/>
        <v>00030998</v>
      </c>
      <c r="B23" s="7" t="s">
        <v>2342</v>
      </c>
      <c r="C23" s="7" t="s">
        <v>2781</v>
      </c>
      <c r="D23" s="7">
        <v>14</v>
      </c>
      <c r="E23" s="7">
        <v>3</v>
      </c>
      <c r="F23" s="7" t="s">
        <v>2135</v>
      </c>
      <c r="G23" s="7">
        <v>998</v>
      </c>
      <c r="H23" s="7" t="s">
        <v>2135</v>
      </c>
      <c r="I23" s="37">
        <v>0</v>
      </c>
      <c r="J23" s="122">
        <v>0</v>
      </c>
      <c r="K23" s="123">
        <f t="shared" si="9"/>
        <v>0</v>
      </c>
      <c r="L23" s="122">
        <f>IF(K24&gt;0, K23/K24, 0)</f>
        <v>0</v>
      </c>
      <c r="M23" s="71"/>
      <c r="N23" s="10">
        <f>ROUND(M24*L23,0)</f>
        <v>0</v>
      </c>
      <c r="O23" s="70">
        <v>0</v>
      </c>
      <c r="P23" s="10">
        <f>N23-O23</f>
        <v>0</v>
      </c>
      <c r="Q23" s="46">
        <f t="shared" si="10"/>
        <v>0</v>
      </c>
      <c r="R23" s="10">
        <v>0</v>
      </c>
      <c r="S23" s="7">
        <f t="shared" si="2"/>
        <v>0</v>
      </c>
      <c r="T23" s="124">
        <f t="shared" si="3"/>
        <v>3</v>
      </c>
      <c r="U23" s="124">
        <f t="shared" si="4"/>
        <v>998</v>
      </c>
      <c r="V23" s="124">
        <f t="shared" si="5"/>
        <v>14</v>
      </c>
      <c r="W23" s="124">
        <f t="shared" si="6"/>
        <v>0</v>
      </c>
      <c r="X23" s="124">
        <f t="shared" si="7"/>
        <v>0</v>
      </c>
      <c r="Y23" s="264">
        <f t="shared" si="8"/>
        <v>14</v>
      </c>
      <c r="Z23" s="10">
        <v>3</v>
      </c>
      <c r="AA23" s="7">
        <v>998</v>
      </c>
      <c r="AB23" s="7">
        <v>14</v>
      </c>
      <c r="AC23" s="109">
        <v>0</v>
      </c>
      <c r="AD23" s="109">
        <v>0</v>
      </c>
      <c r="AE23" s="125"/>
      <c r="AF23" s="10"/>
      <c r="AI23" s="109"/>
      <c r="AJ23" s="109"/>
      <c r="AL23" s="10"/>
      <c r="AO23" s="109"/>
      <c r="AP23" s="109"/>
      <c r="AR23" s="10"/>
      <c r="AU23" s="109"/>
      <c r="AV23" s="109"/>
      <c r="AX23" s="10"/>
      <c r="BA23" s="109"/>
      <c r="BB23" s="109"/>
      <c r="BD23" s="10"/>
      <c r="BG23" s="109"/>
      <c r="BH23" s="109"/>
      <c r="BJ23" s="10"/>
      <c r="BM23" s="109"/>
      <c r="BN23" s="109"/>
      <c r="BP23" s="10"/>
      <c r="BS23" s="109"/>
      <c r="BT23" s="109"/>
      <c r="BV23" s="10"/>
      <c r="BY23" s="109"/>
      <c r="BZ23" s="109"/>
      <c r="CB23" s="10"/>
      <c r="CE23" s="109"/>
      <c r="CF23" s="109"/>
      <c r="CH23" s="10"/>
      <c r="CK23" s="109"/>
      <c r="CL23" s="109"/>
    </row>
    <row r="24" spans="1:90">
      <c r="A24" s="7" t="str">
        <f t="shared" si="0"/>
        <v>00030999</v>
      </c>
      <c r="B24" s="7" t="s">
        <v>2342</v>
      </c>
      <c r="C24" s="7" t="s">
        <v>2782</v>
      </c>
      <c r="D24" s="7">
        <v>15</v>
      </c>
      <c r="E24" s="11">
        <v>3</v>
      </c>
      <c r="F24" s="11" t="s">
        <v>1709</v>
      </c>
      <c r="G24" s="11">
        <v>999</v>
      </c>
      <c r="H24" s="11" t="s">
        <v>1132</v>
      </c>
      <c r="I24" s="105">
        <v>14218337.339999998</v>
      </c>
      <c r="J24" s="126">
        <v>1</v>
      </c>
      <c r="K24" s="127">
        <f>SUM(K20:K23)</f>
        <v>14068458.488020513</v>
      </c>
      <c r="L24" s="126">
        <f>SUM(L20:L23)</f>
        <v>0.99999999999999989</v>
      </c>
      <c r="M24" s="105">
        <f>VLOOKUP(E24,town351,22)</f>
        <v>8231744</v>
      </c>
      <c r="N24" s="105">
        <f>SUM(N20:N23)</f>
        <v>8231744</v>
      </c>
      <c r="O24" s="128">
        <v>8212074</v>
      </c>
      <c r="P24" s="105">
        <f>SUM(P20:P23)</f>
        <v>19670</v>
      </c>
      <c r="Q24" s="45">
        <f t="shared" si="10"/>
        <v>0.23952536228972121</v>
      </c>
      <c r="R24" s="105">
        <v>1407</v>
      </c>
      <c r="S24" s="7">
        <f t="shared" si="2"/>
        <v>0</v>
      </c>
      <c r="T24" s="124">
        <f t="shared" si="3"/>
        <v>3</v>
      </c>
      <c r="U24" s="124">
        <f t="shared" si="4"/>
        <v>999</v>
      </c>
      <c r="V24" s="124">
        <f t="shared" si="5"/>
        <v>15</v>
      </c>
      <c r="W24" s="124">
        <f t="shared" si="6"/>
        <v>1360.00000000042</v>
      </c>
      <c r="X24" s="124">
        <f t="shared" si="7"/>
        <v>14068458.488020513</v>
      </c>
      <c r="Y24" s="264">
        <f t="shared" si="8"/>
        <v>15</v>
      </c>
      <c r="Z24" s="10">
        <v>3</v>
      </c>
      <c r="AA24" s="7">
        <v>999</v>
      </c>
      <c r="AB24" s="7">
        <v>15</v>
      </c>
      <c r="AC24" s="109">
        <v>1360.00000000042</v>
      </c>
      <c r="AD24" s="109">
        <v>14068458.488020513</v>
      </c>
      <c r="AE24" s="125"/>
      <c r="AF24" s="10"/>
      <c r="AI24" s="109"/>
      <c r="AJ24" s="109"/>
      <c r="AL24" s="10"/>
      <c r="AO24" s="109"/>
      <c r="AP24" s="109"/>
      <c r="AR24" s="10"/>
      <c r="AU24" s="109"/>
      <c r="AV24" s="109"/>
      <c r="AX24" s="10"/>
      <c r="BA24" s="109"/>
      <c r="BB24" s="109"/>
      <c r="BD24" s="10"/>
      <c r="BG24" s="109"/>
      <c r="BH24" s="109"/>
      <c r="BJ24" s="10"/>
      <c r="BM24" s="109"/>
      <c r="BN24" s="109"/>
      <c r="BP24" s="10"/>
      <c r="BS24" s="109"/>
      <c r="BT24" s="109"/>
      <c r="BV24" s="10"/>
      <c r="BY24" s="109"/>
      <c r="BZ24" s="109"/>
      <c r="CB24" s="10"/>
      <c r="CE24" s="109"/>
      <c r="CF24" s="109"/>
      <c r="CH24" s="10"/>
      <c r="CK24" s="109"/>
      <c r="CL24" s="109"/>
    </row>
    <row r="25" spans="1:90">
      <c r="A25" s="7" t="str">
        <f t="shared" si="0"/>
        <v>00040004</v>
      </c>
      <c r="B25" s="7" t="s">
        <v>2343</v>
      </c>
      <c r="C25" s="7" t="s">
        <v>2343</v>
      </c>
      <c r="D25" s="7">
        <v>16</v>
      </c>
      <c r="E25" s="7">
        <v>4</v>
      </c>
      <c r="F25" s="7" t="s">
        <v>1710</v>
      </c>
      <c r="G25" s="7">
        <v>4</v>
      </c>
      <c r="H25" s="7" t="s">
        <v>1270</v>
      </c>
      <c r="I25" s="37">
        <v>0</v>
      </c>
      <c r="J25" s="122">
        <v>0</v>
      </c>
      <c r="K25" s="123">
        <f>X25</f>
        <v>0</v>
      </c>
      <c r="L25" s="122">
        <f>IF(K29&gt;0, K25/K29, 0)</f>
        <v>0</v>
      </c>
      <c r="M25" s="71"/>
      <c r="N25" s="10">
        <f>ROUND(M29*L25,0)</f>
        <v>0</v>
      </c>
      <c r="O25" s="70">
        <v>0</v>
      </c>
      <c r="P25" s="10">
        <f>N25-O25</f>
        <v>0</v>
      </c>
      <c r="Q25" s="46">
        <f t="shared" si="10"/>
        <v>0</v>
      </c>
      <c r="R25" s="10">
        <v>0</v>
      </c>
      <c r="S25" s="7">
        <f t="shared" si="2"/>
        <v>0</v>
      </c>
      <c r="T25" s="124">
        <f t="shared" si="3"/>
        <v>4</v>
      </c>
      <c r="U25" s="124">
        <f t="shared" si="4"/>
        <v>4</v>
      </c>
      <c r="V25" s="124">
        <f t="shared" si="5"/>
        <v>16</v>
      </c>
      <c r="W25" s="124">
        <f t="shared" si="6"/>
        <v>0</v>
      </c>
      <c r="X25" s="124">
        <f t="shared" si="7"/>
        <v>0</v>
      </c>
      <c r="Y25" s="264">
        <f t="shared" si="8"/>
        <v>16</v>
      </c>
      <c r="Z25" s="10">
        <v>4</v>
      </c>
      <c r="AA25" s="7">
        <v>4</v>
      </c>
      <c r="AB25" s="7">
        <v>16</v>
      </c>
      <c r="AC25" s="109">
        <v>0</v>
      </c>
      <c r="AD25" s="109">
        <v>0</v>
      </c>
      <c r="AE25" s="125"/>
      <c r="AF25" s="10"/>
      <c r="AI25" s="109"/>
      <c r="AJ25" s="109"/>
      <c r="AL25" s="10"/>
      <c r="AO25" s="109"/>
      <c r="AP25" s="109"/>
      <c r="AR25" s="10"/>
      <c r="AU25" s="109"/>
      <c r="AV25" s="109"/>
      <c r="AX25" s="10"/>
      <c r="BA25" s="109"/>
      <c r="BB25" s="109"/>
      <c r="BD25" s="10"/>
      <c r="BG25" s="109"/>
      <c r="BH25" s="109"/>
      <c r="BJ25" s="10"/>
      <c r="BM25" s="109"/>
      <c r="BN25" s="109"/>
      <c r="BP25" s="10"/>
      <c r="BS25" s="109"/>
      <c r="BT25" s="109"/>
      <c r="BV25" s="10"/>
      <c r="BY25" s="109"/>
      <c r="BZ25" s="109"/>
      <c r="CB25" s="10"/>
      <c r="CE25" s="109"/>
      <c r="CF25" s="109"/>
      <c r="CH25" s="10"/>
      <c r="CK25" s="109"/>
      <c r="CL25" s="109"/>
    </row>
    <row r="26" spans="1:90">
      <c r="A26" s="7" t="str">
        <f t="shared" si="0"/>
        <v>00040603</v>
      </c>
      <c r="B26" s="7" t="s">
        <v>2343</v>
      </c>
      <c r="C26" s="7" t="s">
        <v>2695</v>
      </c>
      <c r="D26" s="7">
        <v>17</v>
      </c>
      <c r="E26" s="7">
        <v>4</v>
      </c>
      <c r="F26" s="7" t="s">
        <v>1710</v>
      </c>
      <c r="G26" s="7">
        <v>603</v>
      </c>
      <c r="H26" s="7" t="s">
        <v>1622</v>
      </c>
      <c r="I26" s="37">
        <v>11241700</v>
      </c>
      <c r="J26" s="122">
        <v>0.84521028832274214</v>
      </c>
      <c r="K26" s="123">
        <f t="shared" si="9"/>
        <v>10863964.258104581</v>
      </c>
      <c r="L26" s="122">
        <f>IF(K29&gt;0, K26/K29, 0)</f>
        <v>0.82428121079405792</v>
      </c>
      <c r="M26" s="71"/>
      <c r="N26" s="10">
        <f>ROUND(M29*L26,0)</f>
        <v>3548018</v>
      </c>
      <c r="O26" s="70">
        <v>3515077</v>
      </c>
      <c r="P26" s="10">
        <f>N26-O26</f>
        <v>32941</v>
      </c>
      <c r="Q26" s="46">
        <f t="shared" si="10"/>
        <v>0.93713452080850579</v>
      </c>
      <c r="R26" s="10">
        <v>1040</v>
      </c>
      <c r="S26" s="7">
        <f t="shared" si="2"/>
        <v>0</v>
      </c>
      <c r="T26" s="124">
        <f t="shared" si="3"/>
        <v>4</v>
      </c>
      <c r="U26" s="124">
        <f t="shared" si="4"/>
        <v>603</v>
      </c>
      <c r="V26" s="124">
        <f t="shared" si="5"/>
        <v>17</v>
      </c>
      <c r="W26" s="124">
        <f t="shared" si="6"/>
        <v>993.63068181693006</v>
      </c>
      <c r="X26" s="124">
        <f t="shared" si="7"/>
        <v>10863964.258104581</v>
      </c>
      <c r="Y26" s="264">
        <f t="shared" si="8"/>
        <v>17</v>
      </c>
      <c r="Z26" s="10">
        <v>4</v>
      </c>
      <c r="AA26" s="7">
        <v>603</v>
      </c>
      <c r="AB26" s="7">
        <v>17</v>
      </c>
      <c r="AC26" s="109">
        <v>993.63068181693006</v>
      </c>
      <c r="AD26" s="109">
        <v>10863964.258104581</v>
      </c>
      <c r="AE26" s="125"/>
      <c r="AF26" s="10"/>
      <c r="AI26" s="109"/>
      <c r="AJ26" s="109"/>
      <c r="AL26" s="10"/>
      <c r="AO26" s="109"/>
      <c r="AP26" s="109"/>
      <c r="AR26" s="10"/>
      <c r="AU26" s="109"/>
      <c r="AV26" s="109"/>
      <c r="AX26" s="10"/>
      <c r="BA26" s="109"/>
      <c r="BB26" s="109"/>
      <c r="BD26" s="10"/>
      <c r="BG26" s="109"/>
      <c r="BH26" s="109"/>
      <c r="BJ26" s="10"/>
      <c r="BM26" s="109"/>
      <c r="BN26" s="109"/>
      <c r="BP26" s="10"/>
      <c r="BS26" s="109"/>
      <c r="BT26" s="109"/>
      <c r="BV26" s="10"/>
      <c r="BY26" s="109"/>
      <c r="BZ26" s="109"/>
      <c r="CB26" s="10"/>
      <c r="CE26" s="109"/>
      <c r="CF26" s="109"/>
      <c r="CH26" s="10"/>
      <c r="CK26" s="109"/>
      <c r="CL26" s="109"/>
    </row>
    <row r="27" spans="1:90">
      <c r="A27" s="7" t="str">
        <f t="shared" si="0"/>
        <v>00040851</v>
      </c>
      <c r="B27" s="7" t="s">
        <v>2343</v>
      </c>
      <c r="C27" s="7" t="s">
        <v>2766</v>
      </c>
      <c r="D27" s="7">
        <v>18</v>
      </c>
      <c r="E27" s="7">
        <v>4</v>
      </c>
      <c r="F27" s="7" t="s">
        <v>1710</v>
      </c>
      <c r="G27" s="7">
        <v>851</v>
      </c>
      <c r="H27" s="7" t="s">
        <v>1693</v>
      </c>
      <c r="I27" s="37">
        <v>2058777</v>
      </c>
      <c r="J27" s="122">
        <v>0.15478971167725789</v>
      </c>
      <c r="K27" s="123">
        <f t="shared" si="9"/>
        <v>2315960.4033334209</v>
      </c>
      <c r="L27" s="122">
        <f>IF(K29&gt;0, K27/K29, 0)</f>
        <v>0.175718789205942</v>
      </c>
      <c r="M27" s="71"/>
      <c r="N27" s="10">
        <f>ROUND(M29*L27,0)</f>
        <v>756360</v>
      </c>
      <c r="O27" s="70">
        <v>643742</v>
      </c>
      <c r="P27" s="10">
        <f>N27-O27</f>
        <v>112618</v>
      </c>
      <c r="Q27" s="46">
        <f t="shared" si="10"/>
        <v>17.494275657017873</v>
      </c>
      <c r="R27" s="10">
        <v>130</v>
      </c>
      <c r="S27" s="7">
        <f t="shared" si="2"/>
        <v>0</v>
      </c>
      <c r="T27" s="124">
        <f t="shared" si="3"/>
        <v>4</v>
      </c>
      <c r="U27" s="124">
        <f t="shared" si="4"/>
        <v>851</v>
      </c>
      <c r="V27" s="124">
        <f t="shared" si="5"/>
        <v>18</v>
      </c>
      <c r="W27" s="124">
        <f t="shared" si="6"/>
        <v>143.99999999808</v>
      </c>
      <c r="X27" s="124">
        <f t="shared" si="7"/>
        <v>2315960.4033334209</v>
      </c>
      <c r="Y27" s="264">
        <f t="shared" si="8"/>
        <v>18</v>
      </c>
      <c r="Z27" s="10">
        <v>4</v>
      </c>
      <c r="AA27" s="7">
        <v>851</v>
      </c>
      <c r="AB27" s="7">
        <v>18</v>
      </c>
      <c r="AC27" s="109">
        <v>143.99999999808</v>
      </c>
      <c r="AD27" s="109">
        <v>2315960.4033334209</v>
      </c>
      <c r="AE27" s="125"/>
      <c r="AF27" s="10"/>
      <c r="AI27" s="109"/>
      <c r="AJ27" s="109"/>
      <c r="AL27" s="10"/>
      <c r="AO27" s="109"/>
      <c r="AP27" s="109"/>
      <c r="AR27" s="10"/>
      <c r="AU27" s="109"/>
      <c r="AV27" s="109"/>
      <c r="AX27" s="10"/>
      <c r="BA27" s="109"/>
      <c r="BB27" s="109"/>
      <c r="BD27" s="10"/>
      <c r="BG27" s="109"/>
      <c r="BH27" s="109"/>
      <c r="BJ27" s="10"/>
      <c r="BM27" s="109"/>
      <c r="BN27" s="109"/>
      <c r="BP27" s="10"/>
      <c r="BS27" s="109"/>
      <c r="BT27" s="109"/>
      <c r="BV27" s="10"/>
      <c r="BY27" s="109"/>
      <c r="BZ27" s="109"/>
      <c r="CB27" s="10"/>
      <c r="CE27" s="109"/>
      <c r="CF27" s="109"/>
      <c r="CH27" s="10"/>
      <c r="CK27" s="109"/>
      <c r="CL27" s="109"/>
    </row>
    <row r="28" spans="1:90">
      <c r="A28" s="7" t="str">
        <f t="shared" si="0"/>
        <v>00040998</v>
      </c>
      <c r="B28" s="7" t="s">
        <v>2343</v>
      </c>
      <c r="C28" s="7" t="s">
        <v>2781</v>
      </c>
      <c r="D28" s="7">
        <v>19</v>
      </c>
      <c r="E28" s="7">
        <v>4</v>
      </c>
      <c r="F28" s="7" t="s">
        <v>2135</v>
      </c>
      <c r="G28" s="7">
        <v>998</v>
      </c>
      <c r="H28" s="7" t="s">
        <v>2135</v>
      </c>
      <c r="I28" s="37">
        <v>0</v>
      </c>
      <c r="J28" s="122">
        <v>0</v>
      </c>
      <c r="K28" s="123">
        <f t="shared" si="9"/>
        <v>0</v>
      </c>
      <c r="L28" s="122">
        <f>IF(K29&gt;0, K28/K29, 0)</f>
        <v>0</v>
      </c>
      <c r="M28" s="71"/>
      <c r="N28" s="10">
        <f>ROUND(M29*L28,0)</f>
        <v>0</v>
      </c>
      <c r="O28" s="70">
        <v>0</v>
      </c>
      <c r="P28" s="10">
        <f>N28-O28</f>
        <v>0</v>
      </c>
      <c r="Q28" s="46">
        <f t="shared" si="10"/>
        <v>0</v>
      </c>
      <c r="R28" s="10">
        <v>0</v>
      </c>
      <c r="S28" s="7">
        <f t="shared" si="2"/>
        <v>0</v>
      </c>
      <c r="T28" s="124">
        <f t="shared" si="3"/>
        <v>4</v>
      </c>
      <c r="U28" s="124">
        <f t="shared" si="4"/>
        <v>998</v>
      </c>
      <c r="V28" s="124">
        <f t="shared" si="5"/>
        <v>19</v>
      </c>
      <c r="W28" s="124">
        <f t="shared" si="6"/>
        <v>0</v>
      </c>
      <c r="X28" s="124">
        <f t="shared" si="7"/>
        <v>0</v>
      </c>
      <c r="Y28" s="264">
        <f t="shared" si="8"/>
        <v>19</v>
      </c>
      <c r="Z28" s="10">
        <v>4</v>
      </c>
      <c r="AA28" s="7">
        <v>998</v>
      </c>
      <c r="AB28" s="7">
        <v>19</v>
      </c>
      <c r="AC28" s="109">
        <v>0</v>
      </c>
      <c r="AD28" s="109">
        <v>0</v>
      </c>
      <c r="AE28" s="125"/>
      <c r="AF28" s="10"/>
      <c r="AI28" s="109"/>
      <c r="AJ28" s="109"/>
      <c r="AL28" s="10"/>
      <c r="AO28" s="109"/>
      <c r="AP28" s="109"/>
      <c r="AR28" s="10"/>
      <c r="AU28" s="109"/>
      <c r="AV28" s="109"/>
      <c r="AX28" s="10"/>
      <c r="BA28" s="109"/>
      <c r="BB28" s="109"/>
      <c r="BD28" s="10"/>
      <c r="BG28" s="109"/>
      <c r="BH28" s="109"/>
      <c r="BJ28" s="10"/>
      <c r="BM28" s="109"/>
      <c r="BN28" s="109"/>
      <c r="BP28" s="10"/>
      <c r="BS28" s="109"/>
      <c r="BT28" s="109"/>
      <c r="BV28" s="10"/>
      <c r="BY28" s="109"/>
      <c r="BZ28" s="109"/>
      <c r="CB28" s="10"/>
      <c r="CE28" s="109"/>
      <c r="CF28" s="109"/>
      <c r="CH28" s="10"/>
      <c r="CK28" s="109"/>
      <c r="CL28" s="109"/>
    </row>
    <row r="29" spans="1:90">
      <c r="A29" s="7" t="str">
        <f t="shared" si="0"/>
        <v>00040999</v>
      </c>
      <c r="B29" s="7" t="s">
        <v>2343</v>
      </c>
      <c r="C29" s="7" t="s">
        <v>2782</v>
      </c>
      <c r="D29" s="7">
        <v>20</v>
      </c>
      <c r="E29" s="11">
        <v>4</v>
      </c>
      <c r="F29" s="11" t="s">
        <v>1710</v>
      </c>
      <c r="G29" s="11">
        <v>999</v>
      </c>
      <c r="H29" s="11" t="s">
        <v>1132</v>
      </c>
      <c r="I29" s="105">
        <v>13300477</v>
      </c>
      <c r="J29" s="126">
        <v>1</v>
      </c>
      <c r="K29" s="127">
        <f>SUM(K25:K28)</f>
        <v>13179924.661438003</v>
      </c>
      <c r="L29" s="126">
        <f>SUM(L25:L28)</f>
        <v>0.99999999999999989</v>
      </c>
      <c r="M29" s="105">
        <f>VLOOKUP(E29,town351,22)</f>
        <v>4304378</v>
      </c>
      <c r="N29" s="105">
        <f>SUM(N25:N28)</f>
        <v>4304378</v>
      </c>
      <c r="O29" s="128">
        <v>4158819</v>
      </c>
      <c r="P29" s="105">
        <f>SUM(P25:P28)</f>
        <v>145559</v>
      </c>
      <c r="Q29" s="45">
        <f t="shared" si="10"/>
        <v>3.5000080551714321</v>
      </c>
      <c r="R29" s="105">
        <v>1170</v>
      </c>
      <c r="S29" s="7">
        <f t="shared" si="2"/>
        <v>0</v>
      </c>
      <c r="T29" s="124">
        <f t="shared" si="3"/>
        <v>4</v>
      </c>
      <c r="U29" s="124">
        <f t="shared" si="4"/>
        <v>999</v>
      </c>
      <c r="V29" s="124">
        <f t="shared" si="5"/>
        <v>20</v>
      </c>
      <c r="W29" s="124">
        <f t="shared" si="6"/>
        <v>1137.6306818150101</v>
      </c>
      <c r="X29" s="124">
        <f t="shared" si="7"/>
        <v>13179924.661438003</v>
      </c>
      <c r="Y29" s="264">
        <f t="shared" si="8"/>
        <v>20</v>
      </c>
      <c r="Z29" s="10">
        <v>4</v>
      </c>
      <c r="AA29" s="7">
        <v>999</v>
      </c>
      <c r="AB29" s="7">
        <v>20</v>
      </c>
      <c r="AC29" s="109">
        <v>1137.6306818150101</v>
      </c>
      <c r="AD29" s="109">
        <v>13179924.661438003</v>
      </c>
      <c r="AE29" s="125"/>
      <c r="AF29" s="10"/>
      <c r="AI29" s="109"/>
      <c r="AJ29" s="109"/>
      <c r="AL29" s="10"/>
      <c r="AO29" s="109"/>
      <c r="AP29" s="109"/>
      <c r="AR29" s="10"/>
      <c r="AU29" s="109"/>
      <c r="AV29" s="109"/>
      <c r="AX29" s="10"/>
      <c r="BA29" s="109"/>
      <c r="BB29" s="109"/>
      <c r="BD29" s="10"/>
      <c r="BG29" s="109"/>
      <c r="BH29" s="109"/>
      <c r="BJ29" s="10"/>
      <c r="BM29" s="109"/>
      <c r="BN29" s="109"/>
      <c r="BP29" s="10"/>
      <c r="BS29" s="109"/>
      <c r="BT29" s="109"/>
      <c r="BV29" s="10"/>
      <c r="BY29" s="109"/>
      <c r="BZ29" s="109"/>
      <c r="CB29" s="10"/>
      <c r="CE29" s="109"/>
      <c r="CF29" s="109"/>
      <c r="CH29" s="10"/>
      <c r="CK29" s="109"/>
      <c r="CL29" s="109"/>
    </row>
    <row r="30" spans="1:90">
      <c r="A30" s="7" t="str">
        <f t="shared" si="0"/>
        <v>00050005</v>
      </c>
      <c r="B30" s="7" t="s">
        <v>2344</v>
      </c>
      <c r="C30" s="7" t="s">
        <v>2344</v>
      </c>
      <c r="D30" s="7">
        <v>21</v>
      </c>
      <c r="E30" s="7">
        <v>5</v>
      </c>
      <c r="F30" s="7" t="s">
        <v>1711</v>
      </c>
      <c r="G30" s="7">
        <v>5</v>
      </c>
      <c r="H30" s="7" t="s">
        <v>1271</v>
      </c>
      <c r="I30" s="37">
        <v>39809443.760000005</v>
      </c>
      <c r="J30" s="122">
        <v>1</v>
      </c>
      <c r="K30" s="123">
        <f>X30</f>
        <v>40549530.336503848</v>
      </c>
      <c r="L30" s="122">
        <f>IF(K34&gt;0, K30/K34, 0)</f>
        <v>1</v>
      </c>
      <c r="M30" s="71"/>
      <c r="N30" s="10">
        <f>ROUND(M34*L30,0)</f>
        <v>22135293</v>
      </c>
      <c r="O30" s="70">
        <v>22702754</v>
      </c>
      <c r="P30" s="10">
        <f>N30-O30</f>
        <v>-567461</v>
      </c>
      <c r="Q30" s="46">
        <f t="shared" si="10"/>
        <v>-2.4995249475019641</v>
      </c>
      <c r="R30" s="10">
        <v>3842</v>
      </c>
      <c r="S30" s="7">
        <f t="shared" si="2"/>
        <v>0</v>
      </c>
      <c r="T30" s="124">
        <f t="shared" si="3"/>
        <v>5</v>
      </c>
      <c r="U30" s="124">
        <f t="shared" si="4"/>
        <v>5</v>
      </c>
      <c r="V30" s="124">
        <f t="shared" si="5"/>
        <v>21</v>
      </c>
      <c r="W30" s="124">
        <f t="shared" si="6"/>
        <v>3831</v>
      </c>
      <c r="X30" s="124">
        <f t="shared" si="7"/>
        <v>40549530.336503848</v>
      </c>
      <c r="Y30" s="264">
        <f t="shared" si="8"/>
        <v>21</v>
      </c>
      <c r="Z30" s="10">
        <v>5</v>
      </c>
      <c r="AA30" s="7">
        <v>5</v>
      </c>
      <c r="AB30" s="7">
        <v>21</v>
      </c>
      <c r="AC30" s="109">
        <v>3831</v>
      </c>
      <c r="AD30" s="109">
        <v>40549530.336503848</v>
      </c>
      <c r="AE30" s="125"/>
      <c r="AF30" s="10"/>
      <c r="AI30" s="109"/>
      <c r="AJ30" s="109"/>
      <c r="AL30" s="10"/>
      <c r="AO30" s="109"/>
      <c r="AP30" s="109"/>
      <c r="AR30" s="10"/>
      <c r="AU30" s="109"/>
      <c r="AV30" s="109"/>
      <c r="AX30" s="10"/>
      <c r="BA30" s="109"/>
      <c r="BB30" s="109"/>
      <c r="BD30" s="10"/>
      <c r="BG30" s="109"/>
      <c r="BH30" s="109"/>
      <c r="BJ30" s="10"/>
      <c r="BM30" s="109"/>
      <c r="BN30" s="109"/>
      <c r="BP30" s="10"/>
      <c r="BS30" s="109"/>
      <c r="BT30" s="109"/>
      <c r="BV30" s="10"/>
      <c r="BY30" s="109"/>
      <c r="BZ30" s="109"/>
      <c r="CB30" s="10"/>
      <c r="CE30" s="109"/>
      <c r="CF30" s="109"/>
      <c r="CH30" s="10"/>
      <c r="CK30" s="109"/>
      <c r="CL30" s="109"/>
    </row>
    <row r="31" spans="1:90">
      <c r="A31" s="7" t="str">
        <f t="shared" si="0"/>
        <v>00050998</v>
      </c>
      <c r="B31" s="7" t="s">
        <v>2344</v>
      </c>
      <c r="C31" s="7" t="s">
        <v>2781</v>
      </c>
      <c r="D31" s="7">
        <v>22</v>
      </c>
      <c r="E31" s="7">
        <v>5</v>
      </c>
      <c r="F31" s="7" t="s">
        <v>2135</v>
      </c>
      <c r="G31" s="7">
        <v>998</v>
      </c>
      <c r="H31" s="7" t="s">
        <v>2135</v>
      </c>
      <c r="I31" s="37">
        <v>0</v>
      </c>
      <c r="J31" s="122">
        <v>0</v>
      </c>
      <c r="K31" s="123">
        <f t="shared" si="9"/>
        <v>0</v>
      </c>
      <c r="L31" s="122">
        <f>IF(K34&gt;0, K31/K34, 0)</f>
        <v>0</v>
      </c>
      <c r="M31" s="71"/>
      <c r="N31" s="10">
        <f>ROUND(M34*L31,0)</f>
        <v>0</v>
      </c>
      <c r="O31" s="70">
        <v>0</v>
      </c>
      <c r="P31" s="10">
        <f>N31-O31</f>
        <v>0</v>
      </c>
      <c r="Q31" s="46">
        <f t="shared" si="10"/>
        <v>0</v>
      </c>
      <c r="R31" s="10">
        <v>0</v>
      </c>
      <c r="S31" s="7">
        <f t="shared" si="2"/>
        <v>0</v>
      </c>
      <c r="T31" s="124">
        <f t="shared" si="3"/>
        <v>5</v>
      </c>
      <c r="U31" s="124">
        <f t="shared" si="4"/>
        <v>998</v>
      </c>
      <c r="V31" s="124">
        <f t="shared" si="5"/>
        <v>22</v>
      </c>
      <c r="W31" s="124">
        <f t="shared" si="6"/>
        <v>0</v>
      </c>
      <c r="X31" s="124">
        <f t="shared" si="7"/>
        <v>0</v>
      </c>
      <c r="Y31" s="264">
        <f t="shared" si="8"/>
        <v>22</v>
      </c>
      <c r="Z31" s="10">
        <v>5</v>
      </c>
      <c r="AA31" s="7">
        <v>998</v>
      </c>
      <c r="AB31" s="7">
        <v>22</v>
      </c>
      <c r="AC31" s="109">
        <v>0</v>
      </c>
      <c r="AD31" s="109">
        <v>0</v>
      </c>
      <c r="AE31" s="125"/>
      <c r="AF31" s="10"/>
      <c r="AI31" s="109"/>
      <c r="AJ31" s="109"/>
      <c r="AL31" s="10"/>
      <c r="AO31" s="109"/>
      <c r="AP31" s="109"/>
      <c r="AR31" s="10"/>
      <c r="AU31" s="109"/>
      <c r="AV31" s="109"/>
      <c r="AX31" s="10"/>
      <c r="BA31" s="109"/>
      <c r="BB31" s="109"/>
      <c r="BD31" s="10"/>
      <c r="BG31" s="109"/>
      <c r="BH31" s="109"/>
      <c r="BJ31" s="10"/>
      <c r="BM31" s="109"/>
      <c r="BN31" s="109"/>
      <c r="BP31" s="10"/>
      <c r="BS31" s="109"/>
      <c r="BT31" s="109"/>
      <c r="BV31" s="10"/>
      <c r="BY31" s="109"/>
      <c r="BZ31" s="109"/>
      <c r="CB31" s="10"/>
      <c r="CE31" s="109"/>
      <c r="CF31" s="109"/>
      <c r="CH31" s="10"/>
      <c r="CK31" s="109"/>
      <c r="CL31" s="109"/>
    </row>
    <row r="32" spans="1:90">
      <c r="A32" s="7" t="str">
        <f t="shared" si="0"/>
        <v>00050998</v>
      </c>
      <c r="B32" s="7" t="s">
        <v>2344</v>
      </c>
      <c r="C32" s="7" t="s">
        <v>2781</v>
      </c>
      <c r="D32" s="7">
        <v>23</v>
      </c>
      <c r="E32" s="7">
        <v>5</v>
      </c>
      <c r="F32" s="7" t="s">
        <v>2135</v>
      </c>
      <c r="G32" s="7">
        <v>998</v>
      </c>
      <c r="H32" s="7" t="s">
        <v>2135</v>
      </c>
      <c r="I32" s="37">
        <v>0</v>
      </c>
      <c r="J32" s="122">
        <v>0</v>
      </c>
      <c r="K32" s="123">
        <f t="shared" si="9"/>
        <v>0</v>
      </c>
      <c r="L32" s="122">
        <f>IF(K34&gt;0, K32/K34, 0)</f>
        <v>0</v>
      </c>
      <c r="M32" s="71"/>
      <c r="N32" s="10">
        <f>ROUND(M34*L32,0)</f>
        <v>0</v>
      </c>
      <c r="O32" s="70">
        <v>0</v>
      </c>
      <c r="P32" s="10">
        <f>N32-O32</f>
        <v>0</v>
      </c>
      <c r="Q32" s="46">
        <f t="shared" si="10"/>
        <v>0</v>
      </c>
      <c r="R32" s="10">
        <v>0</v>
      </c>
      <c r="S32" s="7">
        <f t="shared" si="2"/>
        <v>0</v>
      </c>
      <c r="T32" s="124">
        <f t="shared" si="3"/>
        <v>5</v>
      </c>
      <c r="U32" s="124">
        <f t="shared" si="4"/>
        <v>998</v>
      </c>
      <c r="V32" s="124">
        <f t="shared" si="5"/>
        <v>23</v>
      </c>
      <c r="W32" s="124">
        <f t="shared" si="6"/>
        <v>0</v>
      </c>
      <c r="X32" s="124">
        <f t="shared" si="7"/>
        <v>0</v>
      </c>
      <c r="Y32" s="264">
        <f t="shared" si="8"/>
        <v>23</v>
      </c>
      <c r="Z32" s="10">
        <v>5</v>
      </c>
      <c r="AA32" s="7">
        <v>998</v>
      </c>
      <c r="AB32" s="7">
        <v>23</v>
      </c>
      <c r="AC32" s="109">
        <v>0</v>
      </c>
      <c r="AD32" s="109">
        <v>0</v>
      </c>
      <c r="AE32" s="125"/>
      <c r="AF32" s="10"/>
      <c r="AI32" s="109"/>
      <c r="AJ32" s="109"/>
      <c r="AL32" s="10"/>
      <c r="AO32" s="109"/>
      <c r="AP32" s="109"/>
      <c r="AR32" s="10"/>
      <c r="AU32" s="109"/>
      <c r="AV32" s="109"/>
      <c r="AX32" s="10"/>
      <c r="BA32" s="109"/>
      <c r="BB32" s="109"/>
      <c r="BD32" s="10"/>
      <c r="BG32" s="109"/>
      <c r="BH32" s="109"/>
      <c r="BJ32" s="10"/>
      <c r="BM32" s="109"/>
      <c r="BN32" s="109"/>
      <c r="BP32" s="10"/>
      <c r="BS32" s="109"/>
      <c r="BT32" s="109"/>
      <c r="BV32" s="10"/>
      <c r="BY32" s="109"/>
      <c r="BZ32" s="109"/>
      <c r="CB32" s="10"/>
      <c r="CE32" s="109"/>
      <c r="CF32" s="109"/>
      <c r="CH32" s="10"/>
      <c r="CK32" s="109"/>
      <c r="CL32" s="109"/>
    </row>
    <row r="33" spans="1:90">
      <c r="A33" s="7" t="str">
        <f t="shared" si="0"/>
        <v>00050998</v>
      </c>
      <c r="B33" s="7" t="s">
        <v>2344</v>
      </c>
      <c r="C33" s="7" t="s">
        <v>2781</v>
      </c>
      <c r="D33" s="7">
        <v>24</v>
      </c>
      <c r="E33" s="7">
        <v>5</v>
      </c>
      <c r="F33" s="7" t="s">
        <v>2135</v>
      </c>
      <c r="G33" s="7">
        <v>998</v>
      </c>
      <c r="H33" s="7" t="s">
        <v>2135</v>
      </c>
      <c r="I33" s="37">
        <v>0</v>
      </c>
      <c r="J33" s="122">
        <v>0</v>
      </c>
      <c r="K33" s="123">
        <f t="shared" si="9"/>
        <v>0</v>
      </c>
      <c r="L33" s="122">
        <f>IF(K34&gt;0, K33/K34, 0)</f>
        <v>0</v>
      </c>
      <c r="M33" s="71"/>
      <c r="N33" s="10">
        <f>ROUND(M34*L33,0)</f>
        <v>0</v>
      </c>
      <c r="O33" s="70">
        <v>0</v>
      </c>
      <c r="P33" s="10">
        <f>N33-O33</f>
        <v>0</v>
      </c>
      <c r="Q33" s="46">
        <f t="shared" si="10"/>
        <v>0</v>
      </c>
      <c r="R33" s="10">
        <v>0</v>
      </c>
      <c r="S33" s="7">
        <f t="shared" si="2"/>
        <v>0</v>
      </c>
      <c r="T33" s="124">
        <f t="shared" si="3"/>
        <v>5</v>
      </c>
      <c r="U33" s="124">
        <f t="shared" si="4"/>
        <v>998</v>
      </c>
      <c r="V33" s="124">
        <f t="shared" si="5"/>
        <v>24</v>
      </c>
      <c r="W33" s="124">
        <f t="shared" si="6"/>
        <v>0</v>
      </c>
      <c r="X33" s="124">
        <f t="shared" si="7"/>
        <v>0</v>
      </c>
      <c r="Y33" s="264">
        <f t="shared" si="8"/>
        <v>24</v>
      </c>
      <c r="Z33" s="10">
        <v>5</v>
      </c>
      <c r="AA33" s="7">
        <v>998</v>
      </c>
      <c r="AB33" s="7">
        <v>24</v>
      </c>
      <c r="AC33" s="109">
        <v>0</v>
      </c>
      <c r="AD33" s="109">
        <v>0</v>
      </c>
      <c r="AE33" s="125"/>
      <c r="AF33" s="10"/>
      <c r="AI33" s="109"/>
      <c r="AJ33" s="109"/>
      <c r="AL33" s="10"/>
      <c r="AO33" s="109"/>
      <c r="AP33" s="109"/>
      <c r="AR33" s="10"/>
      <c r="AU33" s="109"/>
      <c r="AV33" s="109"/>
      <c r="AX33" s="10"/>
      <c r="BA33" s="109"/>
      <c r="BB33" s="109"/>
      <c r="BD33" s="10"/>
      <c r="BG33" s="109"/>
      <c r="BH33" s="109"/>
      <c r="BJ33" s="10"/>
      <c r="BM33" s="109"/>
      <c r="BN33" s="109"/>
      <c r="BP33" s="10"/>
      <c r="BS33" s="109"/>
      <c r="BT33" s="109"/>
      <c r="BV33" s="10"/>
      <c r="BY33" s="109"/>
      <c r="BZ33" s="109"/>
      <c r="CB33" s="10"/>
      <c r="CE33" s="109"/>
      <c r="CF33" s="109"/>
      <c r="CH33" s="10"/>
      <c r="CK33" s="109"/>
      <c r="CL33" s="109"/>
    </row>
    <row r="34" spans="1:90">
      <c r="A34" s="7" t="str">
        <f t="shared" si="0"/>
        <v>00050999</v>
      </c>
      <c r="B34" s="7" t="s">
        <v>2344</v>
      </c>
      <c r="C34" s="7" t="s">
        <v>2782</v>
      </c>
      <c r="D34" s="7">
        <v>25</v>
      </c>
      <c r="E34" s="11">
        <v>5</v>
      </c>
      <c r="F34" s="11" t="s">
        <v>1711</v>
      </c>
      <c r="G34" s="11">
        <v>999</v>
      </c>
      <c r="H34" s="11" t="s">
        <v>1132</v>
      </c>
      <c r="I34" s="105">
        <v>39809443.760000005</v>
      </c>
      <c r="J34" s="126">
        <v>1</v>
      </c>
      <c r="K34" s="127">
        <f>SUM(K30:K33)</f>
        <v>40549530.336503848</v>
      </c>
      <c r="L34" s="126">
        <f>SUM(L30:L33)</f>
        <v>1</v>
      </c>
      <c r="M34" s="105">
        <f>VLOOKUP(E34,town351,22)</f>
        <v>22135293</v>
      </c>
      <c r="N34" s="105">
        <f>SUM(N30:N33)</f>
        <v>22135293</v>
      </c>
      <c r="O34" s="128">
        <v>22702754</v>
      </c>
      <c r="P34" s="105">
        <f>SUM(P30:P33)</f>
        <v>-567461</v>
      </c>
      <c r="Q34" s="45">
        <f t="shared" si="10"/>
        <v>-2.4995249475019641</v>
      </c>
      <c r="R34" s="105">
        <v>3842</v>
      </c>
      <c r="S34" s="7">
        <f t="shared" si="2"/>
        <v>0</v>
      </c>
      <c r="T34" s="124">
        <f t="shared" si="3"/>
        <v>5</v>
      </c>
      <c r="U34" s="124">
        <f t="shared" si="4"/>
        <v>999</v>
      </c>
      <c r="V34" s="124">
        <f t="shared" si="5"/>
        <v>25</v>
      </c>
      <c r="W34" s="124">
        <f t="shared" si="6"/>
        <v>3831</v>
      </c>
      <c r="X34" s="124">
        <f t="shared" si="7"/>
        <v>40549530.336503848</v>
      </c>
      <c r="Y34" s="264">
        <f t="shared" si="8"/>
        <v>25</v>
      </c>
      <c r="Z34" s="10">
        <v>5</v>
      </c>
      <c r="AA34" s="7">
        <v>999</v>
      </c>
      <c r="AB34" s="7">
        <v>25</v>
      </c>
      <c r="AC34" s="109">
        <v>3831</v>
      </c>
      <c r="AD34" s="109">
        <v>40549530.336503848</v>
      </c>
      <c r="AE34" s="125"/>
      <c r="AF34" s="10"/>
      <c r="AI34" s="109"/>
      <c r="AJ34" s="109"/>
      <c r="AL34" s="10"/>
      <c r="AO34" s="109"/>
      <c r="AP34" s="109"/>
      <c r="AR34" s="10"/>
      <c r="AU34" s="109"/>
      <c r="AV34" s="109"/>
      <c r="AX34" s="10"/>
      <c r="BA34" s="109"/>
      <c r="BB34" s="109"/>
      <c r="BD34" s="10"/>
      <c r="BG34" s="109"/>
      <c r="BH34" s="109"/>
      <c r="BJ34" s="10"/>
      <c r="BM34" s="109"/>
      <c r="BN34" s="109"/>
      <c r="BP34" s="10"/>
      <c r="BS34" s="109"/>
      <c r="BT34" s="109"/>
      <c r="BV34" s="10"/>
      <c r="BY34" s="109"/>
      <c r="BZ34" s="109"/>
      <c r="CB34" s="10"/>
      <c r="CE34" s="109"/>
      <c r="CF34" s="109"/>
      <c r="CH34" s="10"/>
      <c r="CK34" s="109"/>
      <c r="CL34" s="109"/>
    </row>
    <row r="35" spans="1:90">
      <c r="A35" s="7" t="str">
        <f t="shared" si="0"/>
        <v>00060006</v>
      </c>
      <c r="B35" s="7" t="s">
        <v>2345</v>
      </c>
      <c r="C35" s="7" t="s">
        <v>2345</v>
      </c>
      <c r="D35" s="7">
        <v>26</v>
      </c>
      <c r="E35" s="7">
        <v>6</v>
      </c>
      <c r="F35" s="7" t="s">
        <v>1712</v>
      </c>
      <c r="G35" s="7">
        <v>6</v>
      </c>
      <c r="H35" s="7" t="s">
        <v>1272</v>
      </c>
      <c r="I35" s="37">
        <v>0</v>
      </c>
      <c r="J35" s="122">
        <v>0</v>
      </c>
      <c r="K35" s="123">
        <f>X35</f>
        <v>0</v>
      </c>
      <c r="L35" s="122">
        <f>IF(K39&gt;0, K35/K39, 0)</f>
        <v>0</v>
      </c>
      <c r="M35" s="71"/>
      <c r="N35" s="10">
        <f>ROUND(M39*L35,0)</f>
        <v>0</v>
      </c>
      <c r="O35" s="70">
        <v>0</v>
      </c>
      <c r="P35" s="10">
        <f>N35-O35</f>
        <v>0</v>
      </c>
      <c r="Q35" s="46">
        <f t="shared" si="10"/>
        <v>0</v>
      </c>
      <c r="R35" s="10">
        <v>0</v>
      </c>
      <c r="S35" s="7">
        <f t="shared" si="2"/>
        <v>0</v>
      </c>
      <c r="T35" s="124">
        <f t="shared" si="3"/>
        <v>6</v>
      </c>
      <c r="U35" s="124">
        <f t="shared" si="4"/>
        <v>6</v>
      </c>
      <c r="V35" s="124">
        <f t="shared" si="5"/>
        <v>26</v>
      </c>
      <c r="W35" s="124">
        <f t="shared" si="6"/>
        <v>0</v>
      </c>
      <c r="X35" s="124">
        <f t="shared" si="7"/>
        <v>0</v>
      </c>
      <c r="Y35" s="264">
        <f t="shared" si="8"/>
        <v>26</v>
      </c>
      <c r="Z35" s="10">
        <v>6</v>
      </c>
      <c r="AA35" s="7">
        <v>6</v>
      </c>
      <c r="AB35" s="7">
        <v>26</v>
      </c>
      <c r="AC35" s="109">
        <v>0</v>
      </c>
      <c r="AD35" s="109">
        <v>0</v>
      </c>
      <c r="AE35" s="125"/>
      <c r="AF35" s="10"/>
      <c r="AI35" s="109"/>
      <c r="AJ35" s="109"/>
      <c r="AL35" s="10"/>
      <c r="AO35" s="109"/>
      <c r="AP35" s="109"/>
      <c r="AR35" s="10"/>
      <c r="AU35" s="109"/>
      <c r="AV35" s="109"/>
      <c r="AX35" s="10"/>
      <c r="BA35" s="109"/>
      <c r="BB35" s="109"/>
      <c r="BD35" s="10"/>
      <c r="BG35" s="109"/>
      <c r="BH35" s="109"/>
      <c r="BJ35" s="10"/>
      <c r="BM35" s="109"/>
      <c r="BN35" s="109"/>
      <c r="BP35" s="10"/>
      <c r="BS35" s="109"/>
      <c r="BT35" s="109"/>
      <c r="BV35" s="10"/>
      <c r="BY35" s="109"/>
      <c r="BZ35" s="109"/>
      <c r="CB35" s="10"/>
      <c r="CE35" s="109"/>
      <c r="CF35" s="109"/>
      <c r="CH35" s="10"/>
      <c r="CK35" s="109"/>
      <c r="CL35" s="109"/>
    </row>
    <row r="36" spans="1:90">
      <c r="A36" s="7" t="str">
        <f t="shared" si="0"/>
        <v>00060765</v>
      </c>
      <c r="B36" s="7" t="s">
        <v>2345</v>
      </c>
      <c r="C36" s="7" t="s">
        <v>2743</v>
      </c>
      <c r="D36" s="7">
        <v>27</v>
      </c>
      <c r="E36" s="7">
        <v>6</v>
      </c>
      <c r="F36" s="7" t="s">
        <v>1712</v>
      </c>
      <c r="G36" s="7">
        <v>765</v>
      </c>
      <c r="H36" s="7" t="s">
        <v>1670</v>
      </c>
      <c r="I36" s="37">
        <v>239087</v>
      </c>
      <c r="J36" s="122">
        <v>1</v>
      </c>
      <c r="K36" s="123">
        <f t="shared" si="9"/>
        <v>206450.46448272493</v>
      </c>
      <c r="L36" s="122">
        <f>IF(K39&gt;0, K36/K39, 0)</f>
        <v>1</v>
      </c>
      <c r="M36" s="71"/>
      <c r="N36" s="10">
        <f>ROUND(M39*L36,0)</f>
        <v>175951</v>
      </c>
      <c r="O36" s="70">
        <v>201656</v>
      </c>
      <c r="P36" s="10">
        <f>N36-O36</f>
        <v>-25705</v>
      </c>
      <c r="Q36" s="46">
        <f t="shared" si="10"/>
        <v>-12.746955210854129</v>
      </c>
      <c r="R36" s="10">
        <v>23</v>
      </c>
      <c r="S36" s="7">
        <f t="shared" si="2"/>
        <v>0</v>
      </c>
      <c r="T36" s="124">
        <f t="shared" si="3"/>
        <v>6</v>
      </c>
      <c r="U36" s="124">
        <f t="shared" si="4"/>
        <v>765</v>
      </c>
      <c r="V36" s="124">
        <f t="shared" si="5"/>
        <v>27</v>
      </c>
      <c r="W36" s="124">
        <f t="shared" si="6"/>
        <v>19.413489738399999</v>
      </c>
      <c r="X36" s="124">
        <f t="shared" si="7"/>
        <v>206450.46448272493</v>
      </c>
      <c r="Y36" s="264">
        <f t="shared" si="8"/>
        <v>27</v>
      </c>
      <c r="Z36" s="10">
        <v>6</v>
      </c>
      <c r="AA36" s="7">
        <v>765</v>
      </c>
      <c r="AB36" s="7">
        <v>27</v>
      </c>
      <c r="AC36" s="109">
        <v>19.413489738399999</v>
      </c>
      <c r="AD36" s="109">
        <v>206450.46448272493</v>
      </c>
      <c r="AE36" s="125"/>
      <c r="AF36" s="10"/>
      <c r="AI36" s="109"/>
      <c r="AJ36" s="109"/>
      <c r="AL36" s="10"/>
      <c r="AO36" s="109"/>
      <c r="AP36" s="109"/>
      <c r="AR36" s="10"/>
      <c r="AU36" s="109"/>
      <c r="AV36" s="109"/>
      <c r="AX36" s="10"/>
      <c r="BA36" s="109"/>
      <c r="BB36" s="109"/>
      <c r="BD36" s="10"/>
      <c r="BG36" s="109"/>
      <c r="BH36" s="109"/>
      <c r="BJ36" s="10"/>
      <c r="BM36" s="109"/>
      <c r="BN36" s="109"/>
      <c r="BP36" s="10"/>
      <c r="BS36" s="109"/>
      <c r="BT36" s="109"/>
      <c r="BV36" s="10"/>
      <c r="BY36" s="109"/>
      <c r="BZ36" s="109"/>
      <c r="CB36" s="10"/>
      <c r="CE36" s="109"/>
      <c r="CF36" s="109"/>
      <c r="CH36" s="10"/>
      <c r="CK36" s="109"/>
      <c r="CL36" s="109"/>
    </row>
    <row r="37" spans="1:90">
      <c r="A37" s="7" t="str">
        <f t="shared" si="0"/>
        <v>00060998</v>
      </c>
      <c r="B37" s="7" t="s">
        <v>2345</v>
      </c>
      <c r="C37" s="7" t="s">
        <v>2781</v>
      </c>
      <c r="D37" s="7">
        <v>28</v>
      </c>
      <c r="E37" s="7">
        <v>6</v>
      </c>
      <c r="F37" s="7" t="s">
        <v>2135</v>
      </c>
      <c r="G37" s="7">
        <v>998</v>
      </c>
      <c r="H37" s="7" t="s">
        <v>2135</v>
      </c>
      <c r="I37" s="37">
        <v>0</v>
      </c>
      <c r="J37" s="122">
        <v>0</v>
      </c>
      <c r="K37" s="123">
        <f t="shared" si="9"/>
        <v>0</v>
      </c>
      <c r="L37" s="122">
        <f>IF(K39&gt;0, K37/K39, 0)</f>
        <v>0</v>
      </c>
      <c r="M37" s="71"/>
      <c r="N37" s="10">
        <f>ROUND(M39*L37,0)</f>
        <v>0</v>
      </c>
      <c r="O37" s="70">
        <v>0</v>
      </c>
      <c r="P37" s="10">
        <f>N37-O37</f>
        <v>0</v>
      </c>
      <c r="Q37" s="46">
        <f t="shared" si="10"/>
        <v>0</v>
      </c>
      <c r="R37" s="10">
        <v>0</v>
      </c>
      <c r="S37" s="7">
        <f t="shared" si="2"/>
        <v>0</v>
      </c>
      <c r="T37" s="124">
        <f t="shared" si="3"/>
        <v>6</v>
      </c>
      <c r="U37" s="124">
        <f t="shared" si="4"/>
        <v>998</v>
      </c>
      <c r="V37" s="124">
        <f t="shared" si="5"/>
        <v>28</v>
      </c>
      <c r="W37" s="124">
        <f t="shared" si="6"/>
        <v>0</v>
      </c>
      <c r="X37" s="124">
        <f t="shared" si="7"/>
        <v>0</v>
      </c>
      <c r="Y37" s="264">
        <f t="shared" si="8"/>
        <v>28</v>
      </c>
      <c r="Z37" s="10">
        <v>6</v>
      </c>
      <c r="AA37" s="7">
        <v>998</v>
      </c>
      <c r="AB37" s="7">
        <v>28</v>
      </c>
      <c r="AC37" s="109">
        <v>0</v>
      </c>
      <c r="AD37" s="109">
        <v>0</v>
      </c>
      <c r="AE37" s="125"/>
      <c r="AF37" s="10"/>
      <c r="AI37" s="109"/>
      <c r="AJ37" s="109"/>
      <c r="AL37" s="10"/>
      <c r="AO37" s="109"/>
      <c r="AP37" s="109"/>
      <c r="AR37" s="10"/>
      <c r="AU37" s="109"/>
      <c r="AV37" s="109"/>
      <c r="AX37" s="10"/>
      <c r="BA37" s="109"/>
      <c r="BB37" s="109"/>
      <c r="BD37" s="10"/>
      <c r="BG37" s="109"/>
      <c r="BH37" s="109"/>
      <c r="BJ37" s="10"/>
      <c r="BM37" s="109"/>
      <c r="BN37" s="109"/>
      <c r="BP37" s="10"/>
      <c r="BS37" s="109"/>
      <c r="BT37" s="109"/>
      <c r="BV37" s="10"/>
      <c r="BY37" s="109"/>
      <c r="BZ37" s="109"/>
      <c r="CB37" s="10"/>
      <c r="CE37" s="109"/>
      <c r="CF37" s="109"/>
      <c r="CH37" s="10"/>
      <c r="CK37" s="109"/>
      <c r="CL37" s="109"/>
    </row>
    <row r="38" spans="1:90">
      <c r="A38" s="7" t="str">
        <f t="shared" si="0"/>
        <v>00060998</v>
      </c>
      <c r="B38" s="7" t="s">
        <v>2345</v>
      </c>
      <c r="C38" s="7" t="s">
        <v>2781</v>
      </c>
      <c r="D38" s="7">
        <v>29</v>
      </c>
      <c r="E38" s="7">
        <v>6</v>
      </c>
      <c r="F38" s="7" t="s">
        <v>2135</v>
      </c>
      <c r="G38" s="7">
        <v>998</v>
      </c>
      <c r="H38" s="7" t="s">
        <v>2135</v>
      </c>
      <c r="I38" s="37">
        <v>0</v>
      </c>
      <c r="J38" s="122">
        <v>0</v>
      </c>
      <c r="K38" s="123">
        <f t="shared" si="9"/>
        <v>0</v>
      </c>
      <c r="L38" s="122">
        <f>IF(K39&gt;0, K38/K39, 0)</f>
        <v>0</v>
      </c>
      <c r="M38" s="71"/>
      <c r="N38" s="10">
        <f>ROUND(M39*L38,0)</f>
        <v>0</v>
      </c>
      <c r="O38" s="70">
        <v>0</v>
      </c>
      <c r="P38" s="10">
        <f>N38-O38</f>
        <v>0</v>
      </c>
      <c r="Q38" s="46">
        <f t="shared" si="10"/>
        <v>0</v>
      </c>
      <c r="R38" s="10">
        <v>0</v>
      </c>
      <c r="S38" s="7">
        <f t="shared" si="2"/>
        <v>0</v>
      </c>
      <c r="T38" s="124">
        <f t="shared" si="3"/>
        <v>6</v>
      </c>
      <c r="U38" s="124">
        <f t="shared" si="4"/>
        <v>998</v>
      </c>
      <c r="V38" s="124">
        <f t="shared" si="5"/>
        <v>29</v>
      </c>
      <c r="W38" s="124">
        <f t="shared" si="6"/>
        <v>0</v>
      </c>
      <c r="X38" s="124">
        <f t="shared" si="7"/>
        <v>0</v>
      </c>
      <c r="Y38" s="264">
        <f t="shared" si="8"/>
        <v>29</v>
      </c>
      <c r="Z38" s="10">
        <v>6</v>
      </c>
      <c r="AA38" s="7">
        <v>998</v>
      </c>
      <c r="AB38" s="7">
        <v>29</v>
      </c>
      <c r="AC38" s="109">
        <v>0</v>
      </c>
      <c r="AD38" s="109">
        <v>0</v>
      </c>
      <c r="AE38" s="125"/>
      <c r="AF38" s="10"/>
      <c r="AI38" s="109"/>
      <c r="AJ38" s="109"/>
      <c r="AL38" s="10"/>
      <c r="AO38" s="109"/>
      <c r="AP38" s="109"/>
      <c r="AR38" s="10"/>
      <c r="AU38" s="109"/>
      <c r="AV38" s="109"/>
      <c r="AX38" s="10"/>
      <c r="BA38" s="109"/>
      <c r="BB38" s="109"/>
      <c r="BD38" s="10"/>
      <c r="BG38" s="109"/>
      <c r="BH38" s="109"/>
      <c r="BJ38" s="10"/>
      <c r="BM38" s="109"/>
      <c r="BN38" s="109"/>
      <c r="BP38" s="10"/>
      <c r="BS38" s="109"/>
      <c r="BT38" s="109"/>
      <c r="BV38" s="10"/>
      <c r="BY38" s="109"/>
      <c r="BZ38" s="109"/>
      <c r="CB38" s="10"/>
      <c r="CE38" s="109"/>
      <c r="CF38" s="109"/>
      <c r="CH38" s="10"/>
      <c r="CK38" s="109"/>
      <c r="CL38" s="109"/>
    </row>
    <row r="39" spans="1:90">
      <c r="A39" s="7" t="str">
        <f t="shared" si="0"/>
        <v>00060999</v>
      </c>
      <c r="B39" s="7" t="s">
        <v>2345</v>
      </c>
      <c r="C39" s="7" t="s">
        <v>2782</v>
      </c>
      <c r="D39" s="7">
        <v>30</v>
      </c>
      <c r="E39" s="11">
        <v>6</v>
      </c>
      <c r="F39" s="11" t="s">
        <v>1712</v>
      </c>
      <c r="G39" s="11">
        <v>999</v>
      </c>
      <c r="H39" s="11" t="s">
        <v>1132</v>
      </c>
      <c r="I39" s="105">
        <v>239087</v>
      </c>
      <c r="J39" s="126">
        <v>1</v>
      </c>
      <c r="K39" s="127">
        <f>SUM(K35:K38)</f>
        <v>206450.46448272493</v>
      </c>
      <c r="L39" s="126">
        <f>SUM(L35:L38)</f>
        <v>1</v>
      </c>
      <c r="M39" s="105">
        <f>VLOOKUP(E39,town351,22)</f>
        <v>175951</v>
      </c>
      <c r="N39" s="105">
        <f>SUM(N35:N38)</f>
        <v>175951</v>
      </c>
      <c r="O39" s="128">
        <v>201656</v>
      </c>
      <c r="P39" s="105">
        <f>SUM(P35:P38)</f>
        <v>-25705</v>
      </c>
      <c r="Q39" s="45">
        <f t="shared" si="10"/>
        <v>-12.746955210854129</v>
      </c>
      <c r="R39" s="105">
        <v>23</v>
      </c>
      <c r="S39" s="7">
        <f t="shared" si="2"/>
        <v>0</v>
      </c>
      <c r="T39" s="124">
        <f t="shared" si="3"/>
        <v>6</v>
      </c>
      <c r="U39" s="124">
        <f t="shared" si="4"/>
        <v>999</v>
      </c>
      <c r="V39" s="124">
        <f t="shared" si="5"/>
        <v>30</v>
      </c>
      <c r="W39" s="124">
        <f t="shared" si="6"/>
        <v>19.413489738399999</v>
      </c>
      <c r="X39" s="124">
        <f t="shared" si="7"/>
        <v>206450.46448272493</v>
      </c>
      <c r="Y39" s="264">
        <f t="shared" si="8"/>
        <v>30</v>
      </c>
      <c r="Z39" s="10">
        <v>6</v>
      </c>
      <c r="AA39" s="7">
        <v>999</v>
      </c>
      <c r="AB39" s="7">
        <v>30</v>
      </c>
      <c r="AC39" s="109">
        <v>19.413489738399999</v>
      </c>
      <c r="AD39" s="109">
        <v>206450.46448272493</v>
      </c>
      <c r="AE39" s="125"/>
      <c r="AF39" s="10"/>
      <c r="AI39" s="109"/>
      <c r="AJ39" s="109"/>
      <c r="AL39" s="10"/>
      <c r="AO39" s="109"/>
      <c r="AP39" s="109"/>
      <c r="AR39" s="10"/>
      <c r="AU39" s="109"/>
      <c r="AV39" s="109"/>
      <c r="AX39" s="10"/>
      <c r="BA39" s="109"/>
      <c r="BB39" s="109"/>
      <c r="BD39" s="10"/>
      <c r="BG39" s="109"/>
      <c r="BH39" s="109"/>
      <c r="BJ39" s="10"/>
      <c r="BM39" s="109"/>
      <c r="BN39" s="109"/>
      <c r="BP39" s="10"/>
      <c r="BS39" s="109"/>
      <c r="BT39" s="109"/>
      <c r="BV39" s="10"/>
      <c r="BY39" s="109"/>
      <c r="BZ39" s="109"/>
      <c r="CB39" s="10"/>
      <c r="CE39" s="109"/>
      <c r="CF39" s="109"/>
      <c r="CH39" s="10"/>
      <c r="CK39" s="109"/>
      <c r="CL39" s="109"/>
    </row>
    <row r="40" spans="1:90">
      <c r="A40" s="7" t="str">
        <f t="shared" si="0"/>
        <v>00070007</v>
      </c>
      <c r="B40" s="7" t="s">
        <v>2346</v>
      </c>
      <c r="C40" s="7" t="s">
        <v>2346</v>
      </c>
      <c r="D40" s="7">
        <v>31</v>
      </c>
      <c r="E40" s="7">
        <v>7</v>
      </c>
      <c r="F40" s="7" t="s">
        <v>1713</v>
      </c>
      <c r="G40" s="7">
        <v>7</v>
      </c>
      <c r="H40" s="7" t="s">
        <v>1273</v>
      </c>
      <c r="I40" s="37">
        <v>22775372.140000001</v>
      </c>
      <c r="J40" s="122">
        <v>0.95309517599715254</v>
      </c>
      <c r="K40" s="123">
        <f>X40</f>
        <v>22137199.0502779</v>
      </c>
      <c r="L40" s="122">
        <f>IF(K44&gt;0, K40/K44, 0)</f>
        <v>0.95095618115904412</v>
      </c>
      <c r="M40" s="71"/>
      <c r="N40" s="10">
        <f>ROUND(M44*L40,0)</f>
        <v>14640237</v>
      </c>
      <c r="O40" s="70">
        <v>14489823</v>
      </c>
      <c r="P40" s="10">
        <f>N40-O40</f>
        <v>150414</v>
      </c>
      <c r="Q40" s="46">
        <f t="shared" si="10"/>
        <v>1.0380665105432965</v>
      </c>
      <c r="R40" s="10">
        <v>2324</v>
      </c>
      <c r="S40" s="7">
        <f t="shared" si="2"/>
        <v>0</v>
      </c>
      <c r="T40" s="124">
        <f t="shared" si="3"/>
        <v>7</v>
      </c>
      <c r="U40" s="124">
        <f t="shared" si="4"/>
        <v>7</v>
      </c>
      <c r="V40" s="124">
        <f t="shared" si="5"/>
        <v>31</v>
      </c>
      <c r="W40" s="124">
        <f t="shared" si="6"/>
        <v>2217</v>
      </c>
      <c r="X40" s="124">
        <f t="shared" si="7"/>
        <v>22137199.0502779</v>
      </c>
      <c r="Y40" s="264">
        <f t="shared" si="8"/>
        <v>31</v>
      </c>
      <c r="Z40" s="10">
        <v>7</v>
      </c>
      <c r="AA40" s="7">
        <v>7</v>
      </c>
      <c r="AB40" s="7">
        <v>31</v>
      </c>
      <c r="AC40" s="109">
        <v>2217</v>
      </c>
      <c r="AD40" s="109">
        <v>22137199.0502779</v>
      </c>
      <c r="AE40" s="125"/>
      <c r="AF40" s="10"/>
      <c r="AI40" s="109"/>
      <c r="AJ40" s="109"/>
      <c r="AL40" s="10"/>
      <c r="AO40" s="109"/>
      <c r="AP40" s="109"/>
      <c r="AR40" s="10"/>
      <c r="AU40" s="109"/>
      <c r="AV40" s="109"/>
      <c r="AX40" s="10"/>
      <c r="BA40" s="109"/>
      <c r="BB40" s="109"/>
      <c r="BD40" s="10"/>
      <c r="BG40" s="109"/>
      <c r="BH40" s="109"/>
      <c r="BJ40" s="10"/>
      <c r="BM40" s="109"/>
      <c r="BN40" s="109"/>
      <c r="BP40" s="10"/>
      <c r="BS40" s="109"/>
      <c r="BT40" s="109"/>
      <c r="BV40" s="10"/>
      <c r="BY40" s="109"/>
      <c r="BZ40" s="109"/>
      <c r="CB40" s="10"/>
      <c r="CE40" s="109"/>
      <c r="CF40" s="109"/>
      <c r="CH40" s="10"/>
      <c r="CK40" s="109"/>
      <c r="CL40" s="109"/>
    </row>
    <row r="41" spans="1:90">
      <c r="A41" s="7" t="str">
        <f t="shared" si="0"/>
        <v>00070885</v>
      </c>
      <c r="B41" s="7" t="s">
        <v>2346</v>
      </c>
      <c r="C41" s="7" t="s">
        <v>2777</v>
      </c>
      <c r="D41" s="7">
        <v>32</v>
      </c>
      <c r="E41" s="7">
        <v>7</v>
      </c>
      <c r="F41" s="7" t="s">
        <v>1713</v>
      </c>
      <c r="G41" s="7">
        <v>885</v>
      </c>
      <c r="H41" s="7" t="s">
        <v>1704</v>
      </c>
      <c r="I41" s="37">
        <v>1120848</v>
      </c>
      <c r="J41" s="122">
        <v>4.6904824002847505E-2</v>
      </c>
      <c r="K41" s="123">
        <f t="shared" si="9"/>
        <v>1141685.3913760227</v>
      </c>
      <c r="L41" s="122">
        <f>IF(K44&gt;0, K41/K44, 0)</f>
        <v>4.904381884095594E-2</v>
      </c>
      <c r="M41" s="71"/>
      <c r="N41" s="10">
        <f>ROUND(M44*L41,0)</f>
        <v>755043</v>
      </c>
      <c r="O41" s="70">
        <v>713090</v>
      </c>
      <c r="P41" s="10">
        <f>N41-O41</f>
        <v>41953</v>
      </c>
      <c r="Q41" s="46">
        <f t="shared" si="10"/>
        <v>5.8832685916223761</v>
      </c>
      <c r="R41" s="10">
        <v>71</v>
      </c>
      <c r="S41" s="7">
        <f t="shared" si="2"/>
        <v>0</v>
      </c>
      <c r="T41" s="124">
        <f t="shared" si="3"/>
        <v>7</v>
      </c>
      <c r="U41" s="124">
        <f t="shared" si="4"/>
        <v>885</v>
      </c>
      <c r="V41" s="124">
        <f t="shared" si="5"/>
        <v>32</v>
      </c>
      <c r="W41" s="124">
        <f t="shared" si="6"/>
        <v>70.942229456479993</v>
      </c>
      <c r="X41" s="124">
        <f t="shared" si="7"/>
        <v>1141685.3913760227</v>
      </c>
      <c r="Y41" s="264">
        <f t="shared" si="8"/>
        <v>32</v>
      </c>
      <c r="Z41" s="10">
        <v>7</v>
      </c>
      <c r="AA41" s="7">
        <v>885</v>
      </c>
      <c r="AB41" s="7">
        <v>32</v>
      </c>
      <c r="AC41" s="109">
        <v>70.942229456479993</v>
      </c>
      <c r="AD41" s="109">
        <v>1141685.3913760227</v>
      </c>
      <c r="AE41" s="125"/>
      <c r="AF41" s="10"/>
      <c r="AI41" s="109"/>
      <c r="AJ41" s="109"/>
      <c r="AL41" s="10"/>
      <c r="AO41" s="109"/>
      <c r="AP41" s="109"/>
      <c r="AR41" s="10"/>
      <c r="AU41" s="109"/>
      <c r="AV41" s="109"/>
      <c r="AX41" s="10"/>
      <c r="BA41" s="109"/>
      <c r="BB41" s="109"/>
      <c r="BD41" s="10"/>
      <c r="BG41" s="109"/>
      <c r="BH41" s="109"/>
      <c r="BJ41" s="10"/>
      <c r="BM41" s="109"/>
      <c r="BN41" s="109"/>
      <c r="BP41" s="10"/>
      <c r="BS41" s="109"/>
      <c r="BT41" s="109"/>
      <c r="BV41" s="10"/>
      <c r="BY41" s="109"/>
      <c r="BZ41" s="109"/>
      <c r="CB41" s="10"/>
      <c r="CE41" s="109"/>
      <c r="CF41" s="109"/>
      <c r="CH41" s="10"/>
      <c r="CK41" s="109"/>
      <c r="CL41" s="109"/>
    </row>
    <row r="42" spans="1:90">
      <c r="A42" s="7" t="str">
        <f t="shared" si="0"/>
        <v>00070998</v>
      </c>
      <c r="B42" s="7" t="s">
        <v>2346</v>
      </c>
      <c r="C42" s="7" t="s">
        <v>2781</v>
      </c>
      <c r="D42" s="7">
        <v>33</v>
      </c>
      <c r="E42" s="7">
        <v>7</v>
      </c>
      <c r="F42" s="7" t="s">
        <v>2135</v>
      </c>
      <c r="G42" s="7">
        <v>998</v>
      </c>
      <c r="I42" s="129">
        <v>0</v>
      </c>
      <c r="J42" s="130">
        <v>0</v>
      </c>
      <c r="K42" s="123">
        <f t="shared" si="9"/>
        <v>0</v>
      </c>
      <c r="L42" s="122">
        <f>IF(K44&gt;0, K42/K44, 0)</f>
        <v>0</v>
      </c>
      <c r="M42" s="71"/>
      <c r="N42" s="10">
        <f>ROUND(M44*L42,0)</f>
        <v>0</v>
      </c>
      <c r="O42" s="70">
        <v>0</v>
      </c>
      <c r="P42" s="10">
        <f>N42-O42</f>
        <v>0</v>
      </c>
      <c r="Q42" s="46">
        <f t="shared" si="10"/>
        <v>0</v>
      </c>
      <c r="R42" s="10">
        <v>0</v>
      </c>
      <c r="S42" s="7">
        <f t="shared" si="2"/>
        <v>0</v>
      </c>
      <c r="T42" s="124">
        <f t="shared" si="3"/>
        <v>7</v>
      </c>
      <c r="U42" s="124">
        <f t="shared" si="4"/>
        <v>998</v>
      </c>
      <c r="V42" s="124">
        <f t="shared" si="5"/>
        <v>33</v>
      </c>
      <c r="W42" s="124">
        <f t="shared" si="6"/>
        <v>0</v>
      </c>
      <c r="X42" s="124">
        <f t="shared" si="7"/>
        <v>0</v>
      </c>
      <c r="Y42" s="264">
        <f t="shared" si="8"/>
        <v>33</v>
      </c>
      <c r="Z42" s="10">
        <v>7</v>
      </c>
      <c r="AA42" s="7">
        <v>998</v>
      </c>
      <c r="AB42" s="7">
        <v>33</v>
      </c>
      <c r="AC42" s="109">
        <v>0</v>
      </c>
      <c r="AD42" s="109">
        <v>0</v>
      </c>
      <c r="AE42" s="125"/>
      <c r="AF42" s="10"/>
      <c r="AI42" s="109"/>
      <c r="AJ42" s="109"/>
      <c r="AL42" s="10"/>
      <c r="AO42" s="109"/>
      <c r="AP42" s="109"/>
      <c r="AR42" s="10"/>
      <c r="AU42" s="109"/>
      <c r="AV42" s="109"/>
      <c r="AX42" s="10"/>
      <c r="BA42" s="109"/>
      <c r="BB42" s="109"/>
      <c r="BD42" s="10"/>
      <c r="BG42" s="109"/>
      <c r="BH42" s="109"/>
      <c r="BJ42" s="10"/>
      <c r="BM42" s="109"/>
      <c r="BN42" s="109"/>
      <c r="BP42" s="10"/>
      <c r="BS42" s="109"/>
      <c r="BT42" s="109"/>
      <c r="BV42" s="10"/>
      <c r="BY42" s="109"/>
      <c r="BZ42" s="109"/>
      <c r="CB42" s="10"/>
      <c r="CE42" s="109"/>
      <c r="CF42" s="109"/>
      <c r="CH42" s="10"/>
      <c r="CK42" s="109"/>
      <c r="CL42" s="109"/>
    </row>
    <row r="43" spans="1:90">
      <c r="A43" s="7" t="str">
        <f t="shared" si="0"/>
        <v>00070998</v>
      </c>
      <c r="B43" s="7" t="s">
        <v>2346</v>
      </c>
      <c r="C43" s="7" t="s">
        <v>2781</v>
      </c>
      <c r="D43" s="7">
        <v>34</v>
      </c>
      <c r="E43" s="7">
        <v>7</v>
      </c>
      <c r="F43" s="7" t="s">
        <v>2135</v>
      </c>
      <c r="G43" s="7">
        <v>998</v>
      </c>
      <c r="H43" s="7" t="s">
        <v>2135</v>
      </c>
      <c r="I43" s="37">
        <v>0</v>
      </c>
      <c r="J43" s="122">
        <v>0</v>
      </c>
      <c r="K43" s="123">
        <f t="shared" si="9"/>
        <v>0</v>
      </c>
      <c r="L43" s="122">
        <f>IF(K44&gt;0, K43/K44, 0)</f>
        <v>0</v>
      </c>
      <c r="M43" s="71"/>
      <c r="N43" s="10">
        <f>ROUND(M44*L43,0)</f>
        <v>0</v>
      </c>
      <c r="O43" s="70">
        <v>0</v>
      </c>
      <c r="P43" s="10">
        <f>N43-O43</f>
        <v>0</v>
      </c>
      <c r="Q43" s="46">
        <f t="shared" si="10"/>
        <v>0</v>
      </c>
      <c r="R43" s="10">
        <v>0</v>
      </c>
      <c r="S43" s="7">
        <f t="shared" si="2"/>
        <v>0</v>
      </c>
      <c r="T43" s="124">
        <f t="shared" si="3"/>
        <v>7</v>
      </c>
      <c r="U43" s="124">
        <f t="shared" si="4"/>
        <v>998</v>
      </c>
      <c r="V43" s="124">
        <f t="shared" si="5"/>
        <v>34</v>
      </c>
      <c r="W43" s="124">
        <f t="shared" si="6"/>
        <v>0</v>
      </c>
      <c r="X43" s="124">
        <f t="shared" si="7"/>
        <v>0</v>
      </c>
      <c r="Y43" s="264">
        <f t="shared" si="8"/>
        <v>34</v>
      </c>
      <c r="Z43" s="10">
        <v>7</v>
      </c>
      <c r="AA43" s="7">
        <v>998</v>
      </c>
      <c r="AB43" s="7">
        <v>34</v>
      </c>
      <c r="AC43" s="109">
        <v>0</v>
      </c>
      <c r="AD43" s="109">
        <v>0</v>
      </c>
      <c r="AE43" s="125"/>
      <c r="AF43" s="10"/>
      <c r="AI43" s="109"/>
      <c r="AJ43" s="109"/>
      <c r="AL43" s="10"/>
      <c r="AO43" s="109"/>
      <c r="AP43" s="109"/>
      <c r="AR43" s="10"/>
      <c r="AU43" s="109"/>
      <c r="AV43" s="109"/>
      <c r="AX43" s="10"/>
      <c r="BA43" s="109"/>
      <c r="BB43" s="109"/>
      <c r="BD43" s="10"/>
      <c r="BG43" s="109"/>
      <c r="BH43" s="109"/>
      <c r="BJ43" s="10"/>
      <c r="BM43" s="109"/>
      <c r="BN43" s="109"/>
      <c r="BP43" s="10"/>
      <c r="BS43" s="109"/>
      <c r="BT43" s="109"/>
      <c r="BV43" s="10"/>
      <c r="BY43" s="109"/>
      <c r="BZ43" s="109"/>
      <c r="CB43" s="10"/>
      <c r="CE43" s="109"/>
      <c r="CF43" s="109"/>
      <c r="CH43" s="10"/>
      <c r="CK43" s="109"/>
      <c r="CL43" s="109"/>
    </row>
    <row r="44" spans="1:90">
      <c r="A44" s="7" t="str">
        <f t="shared" si="0"/>
        <v>00070999</v>
      </c>
      <c r="B44" s="7" t="s">
        <v>2346</v>
      </c>
      <c r="C44" s="7" t="s">
        <v>2782</v>
      </c>
      <c r="D44" s="7">
        <v>35</v>
      </c>
      <c r="E44" s="11">
        <v>7</v>
      </c>
      <c r="F44" s="11" t="s">
        <v>1713</v>
      </c>
      <c r="G44" s="11">
        <v>999</v>
      </c>
      <c r="H44" s="11" t="s">
        <v>1132</v>
      </c>
      <c r="I44" s="105">
        <v>23896220.140000001</v>
      </c>
      <c r="J44" s="126">
        <v>1</v>
      </c>
      <c r="K44" s="127">
        <f>SUM(K40:K43)</f>
        <v>23278884.441653922</v>
      </c>
      <c r="L44" s="126">
        <f>SUM(L40:L43)</f>
        <v>1</v>
      </c>
      <c r="M44" s="105">
        <f>VLOOKUP(E44,town351,22)</f>
        <v>15395280</v>
      </c>
      <c r="N44" s="105">
        <f>SUM(N40:N43)</f>
        <v>15395280</v>
      </c>
      <c r="O44" s="128">
        <v>15202913</v>
      </c>
      <c r="P44" s="105">
        <f>SUM(P40:P43)</f>
        <v>192367</v>
      </c>
      <c r="Q44" s="45">
        <f t="shared" si="10"/>
        <v>1.2653298746102144</v>
      </c>
      <c r="R44" s="105">
        <v>2395</v>
      </c>
      <c r="S44" s="7">
        <f t="shared" si="2"/>
        <v>0</v>
      </c>
      <c r="T44" s="124">
        <f t="shared" si="3"/>
        <v>7</v>
      </c>
      <c r="U44" s="124">
        <f t="shared" si="4"/>
        <v>999</v>
      </c>
      <c r="V44" s="124">
        <f t="shared" si="5"/>
        <v>35</v>
      </c>
      <c r="W44" s="124">
        <f t="shared" si="6"/>
        <v>2287.9422294564802</v>
      </c>
      <c r="X44" s="124">
        <f t="shared" si="7"/>
        <v>23278884.441653922</v>
      </c>
      <c r="Y44" s="264">
        <f t="shared" si="8"/>
        <v>35</v>
      </c>
      <c r="Z44" s="10">
        <v>7</v>
      </c>
      <c r="AA44" s="7">
        <v>999</v>
      </c>
      <c r="AB44" s="7">
        <v>35</v>
      </c>
      <c r="AC44" s="109">
        <v>2287.9422294564802</v>
      </c>
      <c r="AD44" s="109">
        <v>23278884.441653922</v>
      </c>
      <c r="AE44" s="125"/>
      <c r="AF44" s="10"/>
      <c r="AI44" s="109"/>
      <c r="AJ44" s="109"/>
      <c r="AL44" s="10"/>
      <c r="AO44" s="109"/>
      <c r="AP44" s="109"/>
      <c r="AR44" s="10"/>
      <c r="AU44" s="109"/>
      <c r="AV44" s="109"/>
      <c r="AX44" s="10"/>
      <c r="BA44" s="109"/>
      <c r="BB44" s="109"/>
      <c r="BD44" s="10"/>
      <c r="BG44" s="109"/>
      <c r="BH44" s="109"/>
      <c r="BJ44" s="10"/>
      <c r="BM44" s="109"/>
      <c r="BN44" s="109"/>
      <c r="BP44" s="10"/>
      <c r="BS44" s="109"/>
      <c r="BT44" s="109"/>
      <c r="BV44" s="10"/>
      <c r="BY44" s="109"/>
      <c r="BZ44" s="109"/>
      <c r="CB44" s="10"/>
      <c r="CE44" s="109"/>
      <c r="CF44" s="109"/>
      <c r="CH44" s="10"/>
      <c r="CK44" s="109"/>
      <c r="CL44" s="109"/>
    </row>
    <row r="45" spans="1:90">
      <c r="A45" s="7" t="str">
        <f t="shared" si="0"/>
        <v>00080008</v>
      </c>
      <c r="B45" s="7" t="s">
        <v>2347</v>
      </c>
      <c r="C45" s="7" t="s">
        <v>2347</v>
      </c>
      <c r="D45" s="7">
        <v>36</v>
      </c>
      <c r="E45" s="7">
        <v>8</v>
      </c>
      <c r="F45" s="7" t="s">
        <v>1714</v>
      </c>
      <c r="G45" s="7">
        <v>8</v>
      </c>
      <c r="H45" s="7" t="s">
        <v>1274</v>
      </c>
      <c r="I45" s="37">
        <v>12153334.120000001</v>
      </c>
      <c r="J45" s="122">
        <v>0.49478217462884477</v>
      </c>
      <c r="K45" s="123">
        <f>X45</f>
        <v>11871248.344619127</v>
      </c>
      <c r="L45" s="122">
        <f>IF(K49&gt;0, K45/K49, 0)</f>
        <v>0.4795657472035964</v>
      </c>
      <c r="M45" s="71"/>
      <c r="N45" s="10">
        <f>ROUND(M49*L45,0)</f>
        <v>8817279</v>
      </c>
      <c r="O45" s="70">
        <v>9054116</v>
      </c>
      <c r="P45" s="10">
        <f>N45-O45</f>
        <v>-236837</v>
      </c>
      <c r="Q45" s="46">
        <f t="shared" si="10"/>
        <v>-2.6157937450768247</v>
      </c>
      <c r="R45" s="10">
        <v>1199</v>
      </c>
      <c r="S45" s="7">
        <f t="shared" si="2"/>
        <v>0</v>
      </c>
      <c r="T45" s="124">
        <f t="shared" si="3"/>
        <v>8</v>
      </c>
      <c r="U45" s="124">
        <f t="shared" si="4"/>
        <v>8</v>
      </c>
      <c r="V45" s="124">
        <f t="shared" si="5"/>
        <v>36</v>
      </c>
      <c r="W45" s="124">
        <f t="shared" si="6"/>
        <v>1136</v>
      </c>
      <c r="X45" s="124">
        <f t="shared" si="7"/>
        <v>11871248.344619127</v>
      </c>
      <c r="Y45" s="264">
        <f t="shared" si="8"/>
        <v>36</v>
      </c>
      <c r="Z45" s="10">
        <v>8</v>
      </c>
      <c r="AA45" s="7">
        <v>8</v>
      </c>
      <c r="AB45" s="7">
        <v>36</v>
      </c>
      <c r="AC45" s="109">
        <v>1136</v>
      </c>
      <c r="AD45" s="109">
        <v>11871248.344619127</v>
      </c>
      <c r="AE45" s="125"/>
      <c r="AF45" s="10"/>
      <c r="AI45" s="109"/>
      <c r="AJ45" s="109"/>
      <c r="AL45" s="10"/>
      <c r="AO45" s="109"/>
      <c r="AP45" s="109"/>
      <c r="AR45" s="10"/>
      <c r="AU45" s="109"/>
      <c r="AV45" s="109"/>
      <c r="AX45" s="10"/>
      <c r="BA45" s="109"/>
      <c r="BB45" s="109"/>
      <c r="BD45" s="10"/>
      <c r="BG45" s="109"/>
      <c r="BH45" s="109"/>
      <c r="BJ45" s="10"/>
      <c r="BM45" s="109"/>
      <c r="BN45" s="109"/>
      <c r="BP45" s="10"/>
      <c r="BS45" s="109"/>
      <c r="BT45" s="109"/>
      <c r="BV45" s="10"/>
      <c r="BY45" s="109"/>
      <c r="BZ45" s="109"/>
      <c r="CB45" s="10"/>
      <c r="CE45" s="109"/>
      <c r="CF45" s="109"/>
      <c r="CH45" s="10"/>
      <c r="CK45" s="109"/>
      <c r="CL45" s="109"/>
    </row>
    <row r="46" spans="1:90">
      <c r="A46" s="7" t="str">
        <f t="shared" si="0"/>
        <v>00080605</v>
      </c>
      <c r="B46" s="7" t="s">
        <v>2347</v>
      </c>
      <c r="C46" s="7" t="s">
        <v>2696</v>
      </c>
      <c r="D46" s="7">
        <v>37</v>
      </c>
      <c r="E46" s="7">
        <v>8</v>
      </c>
      <c r="F46" s="7" t="s">
        <v>1714</v>
      </c>
      <c r="G46" s="7">
        <v>605</v>
      </c>
      <c r="H46" s="7" t="s">
        <v>1623</v>
      </c>
      <c r="I46" s="37">
        <v>12409665</v>
      </c>
      <c r="J46" s="122">
        <v>0.50521782537115523</v>
      </c>
      <c r="K46" s="123">
        <f t="shared" si="9"/>
        <v>12882913.965432739</v>
      </c>
      <c r="L46" s="122">
        <f>IF(K49&gt;0, K46/K49, 0)</f>
        <v>0.52043425279640365</v>
      </c>
      <c r="M46" s="71"/>
      <c r="N46" s="10">
        <f>ROUND(M49*L46,0)</f>
        <v>9568685</v>
      </c>
      <c r="O46" s="70">
        <v>9245080</v>
      </c>
      <c r="P46" s="10">
        <f>N46-O46</f>
        <v>323605</v>
      </c>
      <c r="Q46" s="46">
        <f t="shared" si="10"/>
        <v>3.5002942105422559</v>
      </c>
      <c r="R46" s="10">
        <v>1195</v>
      </c>
      <c r="S46" s="7">
        <f t="shared" si="2"/>
        <v>0</v>
      </c>
      <c r="T46" s="124">
        <f t="shared" si="3"/>
        <v>8</v>
      </c>
      <c r="U46" s="124">
        <f t="shared" si="4"/>
        <v>605</v>
      </c>
      <c r="V46" s="124">
        <f t="shared" si="5"/>
        <v>37</v>
      </c>
      <c r="W46" s="124">
        <f t="shared" si="6"/>
        <v>1211.2726008307</v>
      </c>
      <c r="X46" s="124">
        <f t="shared" si="7"/>
        <v>12882913.965432739</v>
      </c>
      <c r="Y46" s="264">
        <f t="shared" si="8"/>
        <v>37</v>
      </c>
      <c r="Z46" s="10">
        <v>8</v>
      </c>
      <c r="AA46" s="7">
        <v>605</v>
      </c>
      <c r="AB46" s="7">
        <v>37</v>
      </c>
      <c r="AC46" s="109">
        <v>1211.2726008307</v>
      </c>
      <c r="AD46" s="109">
        <v>12882913.965432739</v>
      </c>
      <c r="AE46" s="125"/>
      <c r="AF46" s="10"/>
      <c r="AI46" s="109"/>
      <c r="AJ46" s="109"/>
      <c r="AL46" s="10"/>
      <c r="AO46" s="109"/>
      <c r="AP46" s="109"/>
      <c r="AR46" s="10"/>
      <c r="AU46" s="109"/>
      <c r="AV46" s="109"/>
      <c r="AX46" s="10"/>
      <c r="BA46" s="109"/>
      <c r="BB46" s="109"/>
      <c r="BD46" s="10"/>
      <c r="BG46" s="109"/>
      <c r="BH46" s="109"/>
      <c r="BJ46" s="10"/>
      <c r="BM46" s="109"/>
      <c r="BN46" s="109"/>
      <c r="BP46" s="10"/>
      <c r="BS46" s="109"/>
      <c r="BT46" s="109"/>
      <c r="BV46" s="10"/>
      <c r="BY46" s="109"/>
      <c r="BZ46" s="109"/>
      <c r="CB46" s="10"/>
      <c r="CE46" s="109"/>
      <c r="CF46" s="109"/>
      <c r="CH46" s="10"/>
      <c r="CK46" s="109"/>
      <c r="CL46" s="109"/>
    </row>
    <row r="47" spans="1:90">
      <c r="A47" s="7" t="str">
        <f t="shared" si="0"/>
        <v>00080998</v>
      </c>
      <c r="B47" s="7" t="s">
        <v>2347</v>
      </c>
      <c r="C47" s="7" t="s">
        <v>2781</v>
      </c>
      <c r="D47" s="7">
        <v>38</v>
      </c>
      <c r="E47" s="7">
        <v>8</v>
      </c>
      <c r="F47" s="7" t="s">
        <v>2135</v>
      </c>
      <c r="G47" s="7">
        <v>998</v>
      </c>
      <c r="H47" s="7" t="s">
        <v>2135</v>
      </c>
      <c r="I47" s="37">
        <v>0</v>
      </c>
      <c r="J47" s="122">
        <v>0</v>
      </c>
      <c r="K47" s="123">
        <f t="shared" si="9"/>
        <v>0</v>
      </c>
      <c r="L47" s="122">
        <f>IF(K49&gt;0, K47/K49, 0)</f>
        <v>0</v>
      </c>
      <c r="M47" s="71"/>
      <c r="N47" s="10">
        <f>ROUND(M49*L47,0)</f>
        <v>0</v>
      </c>
      <c r="O47" s="70">
        <v>0</v>
      </c>
      <c r="P47" s="10">
        <f>N47-O47</f>
        <v>0</v>
      </c>
      <c r="Q47" s="46">
        <f t="shared" si="10"/>
        <v>0</v>
      </c>
      <c r="R47" s="10">
        <v>0</v>
      </c>
      <c r="S47" s="7">
        <f t="shared" si="2"/>
        <v>0</v>
      </c>
      <c r="T47" s="124">
        <f t="shared" si="3"/>
        <v>8</v>
      </c>
      <c r="U47" s="124">
        <f t="shared" si="4"/>
        <v>998</v>
      </c>
      <c r="V47" s="124">
        <f t="shared" si="5"/>
        <v>38</v>
      </c>
      <c r="W47" s="124">
        <f t="shared" si="6"/>
        <v>0</v>
      </c>
      <c r="X47" s="124">
        <f t="shared" si="7"/>
        <v>0</v>
      </c>
      <c r="Y47" s="264">
        <f t="shared" si="8"/>
        <v>38</v>
      </c>
      <c r="Z47" s="10">
        <v>8</v>
      </c>
      <c r="AA47" s="7">
        <v>998</v>
      </c>
      <c r="AB47" s="7">
        <v>38</v>
      </c>
      <c r="AC47" s="109">
        <v>0</v>
      </c>
      <c r="AD47" s="109">
        <v>0</v>
      </c>
      <c r="AE47" s="125"/>
      <c r="AF47" s="10"/>
      <c r="AI47" s="109"/>
      <c r="AJ47" s="109"/>
      <c r="AL47" s="10"/>
      <c r="AO47" s="109"/>
      <c r="AP47" s="109"/>
      <c r="AR47" s="10"/>
      <c r="AU47" s="109"/>
      <c r="AV47" s="109"/>
      <c r="AX47" s="10"/>
      <c r="BA47" s="109"/>
      <c r="BB47" s="109"/>
      <c r="BD47" s="10"/>
      <c r="BG47" s="109"/>
      <c r="BH47" s="109"/>
      <c r="BJ47" s="10"/>
      <c r="BM47" s="109"/>
      <c r="BN47" s="109"/>
      <c r="BP47" s="10"/>
      <c r="BS47" s="109"/>
      <c r="BT47" s="109"/>
      <c r="BV47" s="10"/>
      <c r="BY47" s="109"/>
      <c r="BZ47" s="109"/>
      <c r="CB47" s="10"/>
      <c r="CE47" s="109"/>
      <c r="CF47" s="109"/>
      <c r="CH47" s="10"/>
      <c r="CK47" s="109"/>
      <c r="CL47" s="109"/>
    </row>
    <row r="48" spans="1:90">
      <c r="A48" s="7" t="str">
        <f t="shared" si="0"/>
        <v>00080998</v>
      </c>
      <c r="B48" s="7" t="s">
        <v>2347</v>
      </c>
      <c r="C48" s="7" t="s">
        <v>2781</v>
      </c>
      <c r="D48" s="7">
        <v>39</v>
      </c>
      <c r="E48" s="7">
        <v>8</v>
      </c>
      <c r="F48" s="7" t="s">
        <v>2135</v>
      </c>
      <c r="G48" s="7">
        <v>998</v>
      </c>
      <c r="H48" s="7" t="s">
        <v>2135</v>
      </c>
      <c r="I48" s="37">
        <v>0</v>
      </c>
      <c r="J48" s="122">
        <v>0</v>
      </c>
      <c r="K48" s="123">
        <f t="shared" si="9"/>
        <v>0</v>
      </c>
      <c r="L48" s="122">
        <f>IF(K49&gt;0, K48/K49, 0)</f>
        <v>0</v>
      </c>
      <c r="M48" s="71"/>
      <c r="N48" s="10">
        <f>ROUND(M49*L48,0)</f>
        <v>0</v>
      </c>
      <c r="O48" s="70">
        <v>0</v>
      </c>
      <c r="P48" s="10">
        <f>N48-O48</f>
        <v>0</v>
      </c>
      <c r="Q48" s="46">
        <f t="shared" si="10"/>
        <v>0</v>
      </c>
      <c r="R48" s="10">
        <v>0</v>
      </c>
      <c r="S48" s="7">
        <f t="shared" si="2"/>
        <v>0</v>
      </c>
      <c r="T48" s="124">
        <f t="shared" si="3"/>
        <v>8</v>
      </c>
      <c r="U48" s="124">
        <f t="shared" si="4"/>
        <v>998</v>
      </c>
      <c r="V48" s="124">
        <f t="shared" si="5"/>
        <v>39</v>
      </c>
      <c r="W48" s="124">
        <f t="shared" si="6"/>
        <v>0</v>
      </c>
      <c r="X48" s="124">
        <f t="shared" si="7"/>
        <v>0</v>
      </c>
      <c r="Y48" s="264">
        <f t="shared" si="8"/>
        <v>39</v>
      </c>
      <c r="Z48" s="10">
        <v>8</v>
      </c>
      <c r="AA48" s="7">
        <v>998</v>
      </c>
      <c r="AB48" s="7">
        <v>39</v>
      </c>
      <c r="AC48" s="109">
        <v>0</v>
      </c>
      <c r="AD48" s="109">
        <v>0</v>
      </c>
      <c r="AE48" s="125"/>
      <c r="AF48" s="10"/>
      <c r="AI48" s="109"/>
      <c r="AJ48" s="109"/>
      <c r="AL48" s="10"/>
      <c r="AO48" s="109"/>
      <c r="AP48" s="109"/>
      <c r="AR48" s="10"/>
      <c r="AU48" s="109"/>
      <c r="AV48" s="109"/>
      <c r="AX48" s="10"/>
      <c r="BA48" s="109"/>
      <c r="BB48" s="109"/>
      <c r="BD48" s="10"/>
      <c r="BG48" s="109"/>
      <c r="BH48" s="109"/>
      <c r="BJ48" s="10"/>
      <c r="BM48" s="109"/>
      <c r="BN48" s="109"/>
      <c r="BP48" s="10"/>
      <c r="BS48" s="109"/>
      <c r="BT48" s="109"/>
      <c r="BV48" s="10"/>
      <c r="BY48" s="109"/>
      <c r="BZ48" s="109"/>
      <c r="CB48" s="10"/>
      <c r="CE48" s="109"/>
      <c r="CF48" s="109"/>
      <c r="CH48" s="10"/>
      <c r="CK48" s="109"/>
      <c r="CL48" s="109"/>
    </row>
    <row r="49" spans="1:90">
      <c r="A49" s="7" t="str">
        <f t="shared" si="0"/>
        <v>00080999</v>
      </c>
      <c r="B49" s="7" t="s">
        <v>2347</v>
      </c>
      <c r="C49" s="7" t="s">
        <v>2782</v>
      </c>
      <c r="D49" s="7">
        <v>40</v>
      </c>
      <c r="E49" s="11">
        <v>8</v>
      </c>
      <c r="F49" s="11" t="s">
        <v>1714</v>
      </c>
      <c r="G49" s="11">
        <v>999</v>
      </c>
      <c r="H49" s="11" t="s">
        <v>1132</v>
      </c>
      <c r="I49" s="105">
        <v>24562999.120000001</v>
      </c>
      <c r="J49" s="126">
        <v>1</v>
      </c>
      <c r="K49" s="127">
        <f>SUM(K45:K48)</f>
        <v>24754162.310051866</v>
      </c>
      <c r="L49" s="126">
        <f>SUM(L45:L48)</f>
        <v>1</v>
      </c>
      <c r="M49" s="105">
        <f>VLOOKUP(E49,town351,22)</f>
        <v>18385964</v>
      </c>
      <c r="N49" s="105">
        <f>SUM(N45:N48)</f>
        <v>18385964</v>
      </c>
      <c r="O49" s="128">
        <v>18299196</v>
      </c>
      <c r="P49" s="105">
        <f>SUM(P45:P48)</f>
        <v>86768</v>
      </c>
      <c r="Q49" s="45">
        <f t="shared" si="10"/>
        <v>0.47416290857805993</v>
      </c>
      <c r="R49" s="105">
        <v>2394</v>
      </c>
      <c r="S49" s="7">
        <f t="shared" si="2"/>
        <v>0</v>
      </c>
      <c r="T49" s="124">
        <f t="shared" si="3"/>
        <v>8</v>
      </c>
      <c r="U49" s="124">
        <f t="shared" si="4"/>
        <v>999</v>
      </c>
      <c r="V49" s="124">
        <f t="shared" si="5"/>
        <v>40</v>
      </c>
      <c r="W49" s="124">
        <f t="shared" si="6"/>
        <v>2347.2726008307</v>
      </c>
      <c r="X49" s="124">
        <f t="shared" si="7"/>
        <v>24754162.310051866</v>
      </c>
      <c r="Y49" s="264">
        <f t="shared" si="8"/>
        <v>40</v>
      </c>
      <c r="Z49" s="10">
        <v>8</v>
      </c>
      <c r="AA49" s="7">
        <v>999</v>
      </c>
      <c r="AB49" s="7">
        <v>40</v>
      </c>
      <c r="AC49" s="109">
        <v>2347.2726008307</v>
      </c>
      <c r="AD49" s="109">
        <v>24754162.310051866</v>
      </c>
      <c r="AE49" s="125"/>
      <c r="AF49" s="10"/>
      <c r="AI49" s="109"/>
      <c r="AJ49" s="109"/>
      <c r="AL49" s="10"/>
      <c r="AO49" s="109"/>
      <c r="AP49" s="109"/>
      <c r="AR49" s="10"/>
      <c r="AU49" s="109"/>
      <c r="AV49" s="109"/>
      <c r="AX49" s="10"/>
      <c r="BA49" s="109"/>
      <c r="BB49" s="109"/>
      <c r="BD49" s="10"/>
      <c r="BG49" s="109"/>
      <c r="BH49" s="109"/>
      <c r="BJ49" s="10"/>
      <c r="BM49" s="109"/>
      <c r="BN49" s="109"/>
      <c r="BP49" s="10"/>
      <c r="BS49" s="109"/>
      <c r="BT49" s="109"/>
      <c r="BV49" s="10"/>
      <c r="BY49" s="109"/>
      <c r="BZ49" s="109"/>
      <c r="CB49" s="10"/>
      <c r="CE49" s="109"/>
      <c r="CF49" s="109"/>
      <c r="CH49" s="10"/>
      <c r="CK49" s="109"/>
      <c r="CL49" s="109"/>
    </row>
    <row r="50" spans="1:90">
      <c r="A50" s="7" t="str">
        <f t="shared" si="0"/>
        <v>00090009</v>
      </c>
      <c r="B50" s="7" t="s">
        <v>2348</v>
      </c>
      <c r="C50" s="7" t="s">
        <v>2348</v>
      </c>
      <c r="D50" s="7">
        <v>41</v>
      </c>
      <c r="E50" s="7">
        <v>9</v>
      </c>
      <c r="F50" s="7" t="s">
        <v>1715</v>
      </c>
      <c r="G50" s="7">
        <v>9</v>
      </c>
      <c r="H50" s="7" t="s">
        <v>1275</v>
      </c>
      <c r="I50" s="37">
        <v>58523208.186840013</v>
      </c>
      <c r="J50" s="122">
        <v>0.9918217492608693</v>
      </c>
      <c r="K50" s="123">
        <f>X50</f>
        <v>59213763.705395557</v>
      </c>
      <c r="L50" s="122">
        <f>IF(K54&gt;0, K50/K54, 0)</f>
        <v>0.99029523242821182</v>
      </c>
      <c r="M50" s="71"/>
      <c r="N50" s="10">
        <f>ROUND(M54*L50,0)</f>
        <v>49146929</v>
      </c>
      <c r="O50" s="70">
        <v>48754974</v>
      </c>
      <c r="P50" s="10">
        <f>N50-O50</f>
        <v>391955</v>
      </c>
      <c r="Q50" s="46">
        <f t="shared" si="10"/>
        <v>0.80392823099444166</v>
      </c>
      <c r="R50" s="10">
        <v>5980</v>
      </c>
      <c r="S50" s="7">
        <f t="shared" si="2"/>
        <v>0</v>
      </c>
      <c r="T50" s="124">
        <f t="shared" si="3"/>
        <v>9</v>
      </c>
      <c r="U50" s="124">
        <f t="shared" si="4"/>
        <v>9</v>
      </c>
      <c r="V50" s="124">
        <f t="shared" si="5"/>
        <v>41</v>
      </c>
      <c r="W50" s="124">
        <f t="shared" si="6"/>
        <v>5911</v>
      </c>
      <c r="X50" s="124">
        <f t="shared" si="7"/>
        <v>59213763.705395557</v>
      </c>
      <c r="Y50" s="264">
        <f t="shared" si="8"/>
        <v>41</v>
      </c>
      <c r="Z50" s="10">
        <v>9</v>
      </c>
      <c r="AA50" s="7">
        <v>9</v>
      </c>
      <c r="AB50" s="7">
        <v>41</v>
      </c>
      <c r="AC50" s="109">
        <v>5911</v>
      </c>
      <c r="AD50" s="109">
        <v>59213763.705395557</v>
      </c>
      <c r="AE50" s="125"/>
      <c r="AF50" s="10"/>
      <c r="AI50" s="109"/>
      <c r="AJ50" s="109"/>
      <c r="AL50" s="10"/>
      <c r="AO50" s="109"/>
      <c r="AP50" s="109"/>
      <c r="AR50" s="10"/>
      <c r="AU50" s="109"/>
      <c r="AV50" s="109"/>
      <c r="AX50" s="10"/>
      <c r="BA50" s="109"/>
      <c r="BB50" s="109"/>
      <c r="BD50" s="10"/>
      <c r="BG50" s="109"/>
      <c r="BH50" s="109"/>
      <c r="BJ50" s="10"/>
      <c r="BM50" s="109"/>
      <c r="BN50" s="109"/>
      <c r="BP50" s="10"/>
      <c r="BS50" s="109"/>
      <c r="BT50" s="109"/>
      <c r="BV50" s="10"/>
      <c r="BY50" s="109"/>
      <c r="BZ50" s="109"/>
      <c r="CB50" s="10"/>
      <c r="CE50" s="109"/>
      <c r="CF50" s="109"/>
      <c r="CH50" s="10"/>
      <c r="CK50" s="109"/>
      <c r="CL50" s="109"/>
    </row>
    <row r="51" spans="1:90">
      <c r="A51" s="7" t="str">
        <f t="shared" si="0"/>
        <v>00090823</v>
      </c>
      <c r="B51" s="7" t="s">
        <v>2348</v>
      </c>
      <c r="C51" s="7" t="s">
        <v>2760</v>
      </c>
      <c r="D51" s="7">
        <v>42</v>
      </c>
      <c r="E51" s="7">
        <v>9</v>
      </c>
      <c r="F51" s="7" t="s">
        <v>1715</v>
      </c>
      <c r="G51" s="7">
        <v>823</v>
      </c>
      <c r="H51" s="7" t="s">
        <v>1687</v>
      </c>
      <c r="I51" s="37">
        <v>482564</v>
      </c>
      <c r="J51" s="122">
        <v>8.1782507391306661E-3</v>
      </c>
      <c r="K51" s="123">
        <f t="shared" si="9"/>
        <v>580287.3678413895</v>
      </c>
      <c r="L51" s="122">
        <f>IF(K54&gt;0, K51/K54, 0)</f>
        <v>9.7047675717880678E-3</v>
      </c>
      <c r="M51" s="71"/>
      <c r="N51" s="10">
        <f>ROUND(M54*L51,0)</f>
        <v>481634</v>
      </c>
      <c r="O51" s="70">
        <v>402018</v>
      </c>
      <c r="P51" s="10">
        <f>N51-O51</f>
        <v>79616</v>
      </c>
      <c r="Q51" s="46">
        <f t="shared" si="10"/>
        <v>19.8040883741524</v>
      </c>
      <c r="R51" s="10">
        <v>27</v>
      </c>
      <c r="S51" s="7">
        <f t="shared" si="2"/>
        <v>0</v>
      </c>
      <c r="T51" s="124">
        <f t="shared" si="3"/>
        <v>9</v>
      </c>
      <c r="U51" s="124">
        <f t="shared" si="4"/>
        <v>823</v>
      </c>
      <c r="V51" s="124">
        <f t="shared" si="5"/>
        <v>42</v>
      </c>
      <c r="W51" s="124">
        <f t="shared" si="6"/>
        <v>32.000000007700002</v>
      </c>
      <c r="X51" s="124">
        <f t="shared" si="7"/>
        <v>580287.3678413895</v>
      </c>
      <c r="Y51" s="264">
        <f t="shared" si="8"/>
        <v>42</v>
      </c>
      <c r="Z51" s="10">
        <v>9</v>
      </c>
      <c r="AA51" s="7">
        <v>823</v>
      </c>
      <c r="AB51" s="7">
        <v>42</v>
      </c>
      <c r="AC51" s="109">
        <v>32.000000007700002</v>
      </c>
      <c r="AD51" s="109">
        <v>580287.3678413895</v>
      </c>
      <c r="AE51" s="125"/>
      <c r="AF51" s="10"/>
      <c r="AI51" s="109"/>
      <c r="AJ51" s="109"/>
      <c r="AL51" s="10"/>
      <c r="AO51" s="109"/>
      <c r="AP51" s="109"/>
      <c r="AR51" s="10"/>
      <c r="AU51" s="109"/>
      <c r="AV51" s="109"/>
      <c r="AX51" s="10"/>
      <c r="BA51" s="109"/>
      <c r="BB51" s="109"/>
      <c r="BD51" s="10"/>
      <c r="BG51" s="109"/>
      <c r="BH51" s="109"/>
      <c r="BJ51" s="10"/>
      <c r="BM51" s="109"/>
      <c r="BN51" s="109"/>
      <c r="BP51" s="10"/>
      <c r="BS51" s="109"/>
      <c r="BT51" s="109"/>
      <c r="BV51" s="10"/>
      <c r="BY51" s="109"/>
      <c r="BZ51" s="109"/>
      <c r="CB51" s="10"/>
      <c r="CE51" s="109"/>
      <c r="CF51" s="109"/>
      <c r="CH51" s="10"/>
      <c r="CK51" s="109"/>
      <c r="CL51" s="109"/>
    </row>
    <row r="52" spans="1:90">
      <c r="A52" s="7" t="str">
        <f t="shared" si="0"/>
        <v>00090998</v>
      </c>
      <c r="B52" s="7" t="s">
        <v>2348</v>
      </c>
      <c r="C52" s="7" t="s">
        <v>2781</v>
      </c>
      <c r="D52" s="7">
        <v>43</v>
      </c>
      <c r="E52" s="7">
        <v>9</v>
      </c>
      <c r="F52" s="7" t="s">
        <v>2135</v>
      </c>
      <c r="G52" s="7">
        <v>998</v>
      </c>
      <c r="I52" s="129">
        <v>0</v>
      </c>
      <c r="J52" s="130">
        <v>0</v>
      </c>
      <c r="K52" s="123">
        <f t="shared" si="9"/>
        <v>0</v>
      </c>
      <c r="L52" s="122">
        <f>IF(K54&gt;0, K52/K54, 0)</f>
        <v>0</v>
      </c>
      <c r="M52" s="71"/>
      <c r="N52" s="10">
        <f>ROUND(M54*L52,0)</f>
        <v>0</v>
      </c>
      <c r="O52" s="70">
        <v>0</v>
      </c>
      <c r="P52" s="10">
        <f>N52-O52</f>
        <v>0</v>
      </c>
      <c r="Q52" s="46">
        <f t="shared" si="10"/>
        <v>0</v>
      </c>
      <c r="R52" s="10">
        <v>0</v>
      </c>
      <c r="S52" s="7">
        <f t="shared" si="2"/>
        <v>0</v>
      </c>
      <c r="T52" s="124">
        <f t="shared" si="3"/>
        <v>9</v>
      </c>
      <c r="U52" s="124">
        <f t="shared" si="4"/>
        <v>998</v>
      </c>
      <c r="V52" s="124">
        <f t="shared" si="5"/>
        <v>43</v>
      </c>
      <c r="W52" s="124">
        <f t="shared" si="6"/>
        <v>0</v>
      </c>
      <c r="X52" s="124">
        <f t="shared" si="7"/>
        <v>0</v>
      </c>
      <c r="Y52" s="264">
        <f t="shared" si="8"/>
        <v>43</v>
      </c>
      <c r="Z52" s="10">
        <v>9</v>
      </c>
      <c r="AA52" s="7">
        <v>998</v>
      </c>
      <c r="AB52" s="7">
        <v>43</v>
      </c>
      <c r="AC52" s="109">
        <v>0</v>
      </c>
      <c r="AD52" s="109">
        <v>0</v>
      </c>
      <c r="AE52" s="125"/>
      <c r="AF52" s="10"/>
      <c r="AI52" s="109"/>
      <c r="AJ52" s="109"/>
      <c r="AL52" s="10"/>
      <c r="AO52" s="109"/>
      <c r="AP52" s="109"/>
      <c r="AR52" s="10"/>
      <c r="AU52" s="109"/>
      <c r="AV52" s="109"/>
      <c r="AX52" s="10"/>
      <c r="BA52" s="109"/>
      <c r="BB52" s="109"/>
      <c r="BD52" s="10"/>
      <c r="BG52" s="109"/>
      <c r="BH52" s="109"/>
      <c r="BJ52" s="10"/>
      <c r="BM52" s="109"/>
      <c r="BN52" s="109"/>
      <c r="BP52" s="10"/>
      <c r="BS52" s="109"/>
      <c r="BT52" s="109"/>
      <c r="BV52" s="10"/>
      <c r="BY52" s="109"/>
      <c r="BZ52" s="109"/>
      <c r="CB52" s="10"/>
      <c r="CE52" s="109"/>
      <c r="CF52" s="109"/>
      <c r="CH52" s="10"/>
      <c r="CK52" s="109"/>
      <c r="CL52" s="109"/>
    </row>
    <row r="53" spans="1:90">
      <c r="A53" s="7" t="str">
        <f t="shared" si="0"/>
        <v>00090998</v>
      </c>
      <c r="B53" s="7" t="s">
        <v>2348</v>
      </c>
      <c r="C53" s="7" t="s">
        <v>2781</v>
      </c>
      <c r="D53" s="7">
        <v>44</v>
      </c>
      <c r="E53" s="7">
        <v>9</v>
      </c>
      <c r="F53" s="7" t="s">
        <v>2135</v>
      </c>
      <c r="G53" s="7">
        <v>998</v>
      </c>
      <c r="H53" s="7" t="s">
        <v>2135</v>
      </c>
      <c r="I53" s="37">
        <v>0</v>
      </c>
      <c r="J53" s="122">
        <v>0</v>
      </c>
      <c r="K53" s="123">
        <f t="shared" si="9"/>
        <v>0</v>
      </c>
      <c r="L53" s="122">
        <f>IF(K54&gt;0, K53/K54, 0)</f>
        <v>0</v>
      </c>
      <c r="M53" s="71"/>
      <c r="N53" s="10">
        <f>ROUND(M54*L53,0)</f>
        <v>0</v>
      </c>
      <c r="O53" s="70">
        <v>0</v>
      </c>
      <c r="P53" s="10">
        <f>N53-O53</f>
        <v>0</v>
      </c>
      <c r="Q53" s="46">
        <f t="shared" si="10"/>
        <v>0</v>
      </c>
      <c r="R53" s="10">
        <v>0</v>
      </c>
      <c r="S53" s="7">
        <f t="shared" si="2"/>
        <v>0</v>
      </c>
      <c r="T53" s="124">
        <f t="shared" si="3"/>
        <v>9</v>
      </c>
      <c r="U53" s="124">
        <f t="shared" si="4"/>
        <v>998</v>
      </c>
      <c r="V53" s="124">
        <f t="shared" si="5"/>
        <v>44</v>
      </c>
      <c r="W53" s="124">
        <f t="shared" si="6"/>
        <v>0</v>
      </c>
      <c r="X53" s="124">
        <f t="shared" si="7"/>
        <v>0</v>
      </c>
      <c r="Y53" s="264">
        <f t="shared" si="8"/>
        <v>44</v>
      </c>
      <c r="Z53" s="10">
        <v>9</v>
      </c>
      <c r="AA53" s="7">
        <v>998</v>
      </c>
      <c r="AB53" s="7">
        <v>44</v>
      </c>
      <c r="AC53" s="109">
        <v>0</v>
      </c>
      <c r="AD53" s="109">
        <v>0</v>
      </c>
      <c r="AE53" s="125"/>
      <c r="AF53" s="10"/>
      <c r="AI53" s="109"/>
      <c r="AJ53" s="109"/>
      <c r="AL53" s="10"/>
      <c r="AO53" s="109"/>
      <c r="AP53" s="109"/>
      <c r="AR53" s="10"/>
      <c r="AU53" s="109"/>
      <c r="AV53" s="109"/>
      <c r="AX53" s="10"/>
      <c r="BA53" s="109"/>
      <c r="BB53" s="109"/>
      <c r="BD53" s="10"/>
      <c r="BG53" s="109"/>
      <c r="BH53" s="109"/>
      <c r="BJ53" s="10"/>
      <c r="BM53" s="109"/>
      <c r="BN53" s="109"/>
      <c r="BP53" s="10"/>
      <c r="BS53" s="109"/>
      <c r="BT53" s="109"/>
      <c r="BV53" s="10"/>
      <c r="BY53" s="109"/>
      <c r="BZ53" s="109"/>
      <c r="CB53" s="10"/>
      <c r="CE53" s="109"/>
      <c r="CF53" s="109"/>
      <c r="CH53" s="10"/>
      <c r="CK53" s="109"/>
      <c r="CL53" s="109"/>
    </row>
    <row r="54" spans="1:90">
      <c r="A54" s="7" t="str">
        <f t="shared" si="0"/>
        <v>00090999</v>
      </c>
      <c r="B54" s="7" t="s">
        <v>2348</v>
      </c>
      <c r="C54" s="7" t="s">
        <v>2782</v>
      </c>
      <c r="D54" s="7">
        <v>45</v>
      </c>
      <c r="E54" s="11">
        <v>9</v>
      </c>
      <c r="F54" s="11" t="s">
        <v>1715</v>
      </c>
      <c r="G54" s="11">
        <v>999</v>
      </c>
      <c r="H54" s="11" t="s">
        <v>1132</v>
      </c>
      <c r="I54" s="105">
        <v>59005772.186840013</v>
      </c>
      <c r="J54" s="126">
        <v>1</v>
      </c>
      <c r="K54" s="127">
        <f>SUM(K50:K53)</f>
        <v>59794051.07323695</v>
      </c>
      <c r="L54" s="126">
        <f>SUM(L50:L53)</f>
        <v>0.99999999999999989</v>
      </c>
      <c r="M54" s="105">
        <f>VLOOKUP(E54,town351,22)</f>
        <v>49628563</v>
      </c>
      <c r="N54" s="105">
        <f>SUM(N50:N53)</f>
        <v>49628563</v>
      </c>
      <c r="O54" s="128">
        <v>49156992</v>
      </c>
      <c r="P54" s="105">
        <f>SUM(P50:P53)</f>
        <v>471571</v>
      </c>
      <c r="Q54" s="45">
        <f t="shared" si="10"/>
        <v>0.95931622504485226</v>
      </c>
      <c r="R54" s="105">
        <v>6007</v>
      </c>
      <c r="S54" s="7">
        <f t="shared" si="2"/>
        <v>0</v>
      </c>
      <c r="T54" s="124">
        <f t="shared" si="3"/>
        <v>9</v>
      </c>
      <c r="U54" s="124">
        <f t="shared" si="4"/>
        <v>999</v>
      </c>
      <c r="V54" s="124">
        <f t="shared" si="5"/>
        <v>45</v>
      </c>
      <c r="W54" s="124">
        <f t="shared" si="6"/>
        <v>5943.0000000076998</v>
      </c>
      <c r="X54" s="124">
        <f t="shared" si="7"/>
        <v>59794051.07323695</v>
      </c>
      <c r="Y54" s="264">
        <f t="shared" si="8"/>
        <v>45</v>
      </c>
      <c r="Z54" s="10">
        <v>9</v>
      </c>
      <c r="AA54" s="7">
        <v>999</v>
      </c>
      <c r="AB54" s="7">
        <v>45</v>
      </c>
      <c r="AC54" s="109">
        <v>5943.0000000076998</v>
      </c>
      <c r="AD54" s="109">
        <v>59794051.07323695</v>
      </c>
      <c r="AE54" s="125"/>
      <c r="AF54" s="10"/>
      <c r="AI54" s="109"/>
      <c r="AJ54" s="109"/>
      <c r="AL54" s="10"/>
      <c r="AO54" s="109"/>
      <c r="AP54" s="109"/>
      <c r="AR54" s="10"/>
      <c r="AU54" s="109"/>
      <c r="AV54" s="109"/>
      <c r="AX54" s="10"/>
      <c r="BA54" s="109"/>
      <c r="BB54" s="109"/>
      <c r="BD54" s="10"/>
      <c r="BG54" s="109"/>
      <c r="BH54" s="109"/>
      <c r="BJ54" s="10"/>
      <c r="BM54" s="109"/>
      <c r="BN54" s="109"/>
      <c r="BP54" s="10"/>
      <c r="BS54" s="109"/>
      <c r="BT54" s="109"/>
      <c r="BV54" s="10"/>
      <c r="BY54" s="109"/>
      <c r="BZ54" s="109"/>
      <c r="CB54" s="10"/>
      <c r="CE54" s="109"/>
      <c r="CF54" s="109"/>
      <c r="CH54" s="10"/>
      <c r="CK54" s="109"/>
      <c r="CL54" s="109"/>
    </row>
    <row r="55" spans="1:90">
      <c r="A55" s="7" t="str">
        <f t="shared" si="0"/>
        <v>00100010</v>
      </c>
      <c r="B55" s="7" t="s">
        <v>2349</v>
      </c>
      <c r="C55" s="7" t="s">
        <v>2349</v>
      </c>
      <c r="D55" s="7">
        <v>46</v>
      </c>
      <c r="E55" s="7">
        <v>10</v>
      </c>
      <c r="F55" s="7" t="s">
        <v>1716</v>
      </c>
      <c r="G55" s="7">
        <v>10</v>
      </c>
      <c r="H55" s="7" t="s">
        <v>1276</v>
      </c>
      <c r="I55" s="37">
        <v>51156059.770829991</v>
      </c>
      <c r="J55" s="122">
        <v>0.9606241636912517</v>
      </c>
      <c r="K55" s="123">
        <f>X55</f>
        <v>54501493.562073596</v>
      </c>
      <c r="L55" s="122">
        <f>IF(K59&gt;0, K55/K59, 0)</f>
        <v>0.96084817576761383</v>
      </c>
      <c r="M55" s="71"/>
      <c r="N55" s="10">
        <f>ROUND(M59*L55,0)</f>
        <v>43805119</v>
      </c>
      <c r="O55" s="70">
        <v>41761139</v>
      </c>
      <c r="P55" s="10">
        <f>N55-O55</f>
        <v>2043980</v>
      </c>
      <c r="Q55" s="46">
        <f t="shared" si="10"/>
        <v>4.8944546268242348</v>
      </c>
      <c r="R55" s="10">
        <v>5402</v>
      </c>
      <c r="S55" s="7">
        <f t="shared" si="2"/>
        <v>0</v>
      </c>
      <c r="T55" s="124">
        <f t="shared" si="3"/>
        <v>10</v>
      </c>
      <c r="U55" s="124">
        <f t="shared" si="4"/>
        <v>10</v>
      </c>
      <c r="V55" s="124">
        <f t="shared" si="5"/>
        <v>46</v>
      </c>
      <c r="W55" s="124">
        <f t="shared" si="6"/>
        <v>5607</v>
      </c>
      <c r="X55" s="124">
        <f t="shared" si="7"/>
        <v>54501493.562073596</v>
      </c>
      <c r="Y55" s="264">
        <f t="shared" si="8"/>
        <v>46</v>
      </c>
      <c r="Z55" s="10">
        <v>10</v>
      </c>
      <c r="AA55" s="7">
        <v>10</v>
      </c>
      <c r="AB55" s="7">
        <v>46</v>
      </c>
      <c r="AC55" s="109">
        <v>5607</v>
      </c>
      <c r="AD55" s="109">
        <v>54501493.562073596</v>
      </c>
      <c r="AE55" s="125"/>
      <c r="AF55" s="10"/>
      <c r="AI55" s="109"/>
      <c r="AJ55" s="109"/>
      <c r="AL55" s="10"/>
      <c r="AO55" s="109"/>
      <c r="AP55" s="109"/>
      <c r="AR55" s="10"/>
      <c r="AU55" s="109"/>
      <c r="AV55" s="109"/>
      <c r="AX55" s="10"/>
      <c r="BA55" s="109"/>
      <c r="BB55" s="109"/>
      <c r="BD55" s="10"/>
      <c r="BG55" s="109"/>
      <c r="BH55" s="109"/>
      <c r="BJ55" s="10"/>
      <c r="BM55" s="109"/>
      <c r="BN55" s="109"/>
      <c r="BP55" s="10"/>
      <c r="BS55" s="109"/>
      <c r="BT55" s="109"/>
      <c r="BV55" s="10"/>
      <c r="BY55" s="109"/>
      <c r="BZ55" s="109"/>
      <c r="CB55" s="10"/>
      <c r="CE55" s="109"/>
      <c r="CF55" s="109"/>
      <c r="CH55" s="10"/>
      <c r="CK55" s="109"/>
      <c r="CL55" s="109"/>
    </row>
    <row r="56" spans="1:90">
      <c r="A56" s="7" t="str">
        <f t="shared" si="0"/>
        <v>00100830</v>
      </c>
      <c r="B56" s="7" t="s">
        <v>2349</v>
      </c>
      <c r="C56" s="7" t="s">
        <v>2764</v>
      </c>
      <c r="D56" s="7">
        <v>47</v>
      </c>
      <c r="E56" s="7">
        <v>10</v>
      </c>
      <c r="F56" s="7" t="s">
        <v>1716</v>
      </c>
      <c r="G56" s="7">
        <v>830</v>
      </c>
      <c r="H56" s="7" t="s">
        <v>1691</v>
      </c>
      <c r="I56" s="37">
        <v>2096879</v>
      </c>
      <c r="J56" s="122">
        <v>3.9375836308748344E-2</v>
      </c>
      <c r="K56" s="123">
        <f t="shared" si="9"/>
        <v>2220780.5043082153</v>
      </c>
      <c r="L56" s="122">
        <f>IF(K59&gt;0, K56/K59, 0)</f>
        <v>3.915182423238614E-2</v>
      </c>
      <c r="M56" s="71"/>
      <c r="N56" s="10">
        <f>ROUND(M59*L56,0)</f>
        <v>1784934</v>
      </c>
      <c r="O56" s="70">
        <v>1711783</v>
      </c>
      <c r="P56" s="10">
        <f>N56-O56</f>
        <v>73151</v>
      </c>
      <c r="Q56" s="46">
        <f t="shared" si="10"/>
        <v>4.2733804460027933</v>
      </c>
      <c r="R56" s="10">
        <v>120</v>
      </c>
      <c r="S56" s="7">
        <f t="shared" si="2"/>
        <v>0</v>
      </c>
      <c r="T56" s="124">
        <f t="shared" si="3"/>
        <v>10</v>
      </c>
      <c r="U56" s="124">
        <f t="shared" si="4"/>
        <v>830</v>
      </c>
      <c r="V56" s="124">
        <f t="shared" si="5"/>
        <v>47</v>
      </c>
      <c r="W56" s="124">
        <f t="shared" si="6"/>
        <v>121.35072463728</v>
      </c>
      <c r="X56" s="124">
        <f t="shared" si="7"/>
        <v>2220780.5043082153</v>
      </c>
      <c r="Y56" s="264">
        <f t="shared" si="8"/>
        <v>47</v>
      </c>
      <c r="Z56" s="10">
        <v>10</v>
      </c>
      <c r="AA56" s="7">
        <v>830</v>
      </c>
      <c r="AB56" s="7">
        <v>47</v>
      </c>
      <c r="AC56" s="109">
        <v>121.35072463728</v>
      </c>
      <c r="AD56" s="109">
        <v>2220780.5043082153</v>
      </c>
      <c r="AE56" s="125"/>
      <c r="AF56" s="10"/>
      <c r="AI56" s="109"/>
      <c r="AJ56" s="109"/>
      <c r="AL56" s="10"/>
      <c r="AO56" s="109"/>
      <c r="AP56" s="109"/>
      <c r="AR56" s="10"/>
      <c r="AU56" s="109"/>
      <c r="AV56" s="109"/>
      <c r="AX56" s="10"/>
      <c r="BA56" s="109"/>
      <c r="BB56" s="109"/>
      <c r="BD56" s="10"/>
      <c r="BG56" s="109"/>
      <c r="BH56" s="109"/>
      <c r="BJ56" s="10"/>
      <c r="BM56" s="109"/>
      <c r="BN56" s="109"/>
      <c r="BP56" s="10"/>
      <c r="BS56" s="109"/>
      <c r="BT56" s="109"/>
      <c r="BV56" s="10"/>
      <c r="BY56" s="109"/>
      <c r="BZ56" s="109"/>
      <c r="CB56" s="10"/>
      <c r="CE56" s="109"/>
      <c r="CF56" s="109"/>
      <c r="CH56" s="10"/>
      <c r="CK56" s="109"/>
      <c r="CL56" s="109"/>
    </row>
    <row r="57" spans="1:90">
      <c r="A57" s="7" t="str">
        <f t="shared" si="0"/>
        <v>00100998</v>
      </c>
      <c r="B57" s="7" t="s">
        <v>2349</v>
      </c>
      <c r="C57" s="7" t="s">
        <v>2781</v>
      </c>
      <c r="D57" s="7">
        <v>48</v>
      </c>
      <c r="E57" s="7">
        <v>10</v>
      </c>
      <c r="F57" s="7" t="s">
        <v>2135</v>
      </c>
      <c r="G57" s="7">
        <v>998</v>
      </c>
      <c r="H57" s="7" t="s">
        <v>2135</v>
      </c>
      <c r="I57" s="37">
        <v>0</v>
      </c>
      <c r="J57" s="122">
        <v>0</v>
      </c>
      <c r="K57" s="123">
        <f t="shared" si="9"/>
        <v>0</v>
      </c>
      <c r="L57" s="122">
        <f>IF(K59&gt;0, K57/K59, 0)</f>
        <v>0</v>
      </c>
      <c r="M57" s="71"/>
      <c r="N57" s="10">
        <f>ROUND(M59*L57,0)</f>
        <v>0</v>
      </c>
      <c r="O57" s="70">
        <v>0</v>
      </c>
      <c r="P57" s="10">
        <f>N57-O57</f>
        <v>0</v>
      </c>
      <c r="Q57" s="46">
        <f t="shared" si="10"/>
        <v>0</v>
      </c>
      <c r="R57" s="10">
        <v>0</v>
      </c>
      <c r="S57" s="7">
        <f t="shared" si="2"/>
        <v>0</v>
      </c>
      <c r="T57" s="124">
        <f t="shared" si="3"/>
        <v>10</v>
      </c>
      <c r="U57" s="124">
        <f t="shared" si="4"/>
        <v>998</v>
      </c>
      <c r="V57" s="124">
        <f t="shared" si="5"/>
        <v>48</v>
      </c>
      <c r="W57" s="124">
        <f t="shared" si="6"/>
        <v>0</v>
      </c>
      <c r="X57" s="124">
        <f t="shared" si="7"/>
        <v>0</v>
      </c>
      <c r="Y57" s="264">
        <f t="shared" si="8"/>
        <v>48</v>
      </c>
      <c r="Z57" s="10">
        <v>10</v>
      </c>
      <c r="AA57" s="7">
        <v>998</v>
      </c>
      <c r="AB57" s="7">
        <v>48</v>
      </c>
      <c r="AC57" s="109">
        <v>0</v>
      </c>
      <c r="AD57" s="109">
        <v>0</v>
      </c>
      <c r="AE57" s="125"/>
      <c r="AF57" s="10"/>
      <c r="AI57" s="109"/>
      <c r="AJ57" s="109"/>
      <c r="AL57" s="10"/>
      <c r="AO57" s="109"/>
      <c r="AP57" s="109"/>
      <c r="AR57" s="10"/>
      <c r="AU57" s="109"/>
      <c r="AV57" s="109"/>
      <c r="AX57" s="10"/>
      <c r="BA57" s="109"/>
      <c r="BB57" s="109"/>
      <c r="BD57" s="10"/>
      <c r="BG57" s="109"/>
      <c r="BH57" s="109"/>
      <c r="BJ57" s="10"/>
      <c r="BM57" s="109"/>
      <c r="BN57" s="109"/>
      <c r="BP57" s="10"/>
      <c r="BS57" s="109"/>
      <c r="BT57" s="109"/>
      <c r="BV57" s="10"/>
      <c r="BY57" s="109"/>
      <c r="BZ57" s="109"/>
      <c r="CB57" s="10"/>
      <c r="CE57" s="109"/>
      <c r="CF57" s="109"/>
      <c r="CH57" s="10"/>
      <c r="CK57" s="109"/>
      <c r="CL57" s="109"/>
    </row>
    <row r="58" spans="1:90">
      <c r="A58" s="7" t="str">
        <f t="shared" si="0"/>
        <v>00100998</v>
      </c>
      <c r="B58" s="7" t="s">
        <v>2349</v>
      </c>
      <c r="C58" s="7" t="s">
        <v>2781</v>
      </c>
      <c r="D58" s="7">
        <v>49</v>
      </c>
      <c r="E58" s="7">
        <v>10</v>
      </c>
      <c r="F58" s="7" t="s">
        <v>2135</v>
      </c>
      <c r="G58" s="7">
        <v>998</v>
      </c>
      <c r="H58" s="7" t="s">
        <v>2135</v>
      </c>
      <c r="I58" s="37">
        <v>0</v>
      </c>
      <c r="J58" s="122">
        <v>0</v>
      </c>
      <c r="K58" s="123">
        <f t="shared" si="9"/>
        <v>0</v>
      </c>
      <c r="L58" s="122">
        <f>IF(K59&gt;0, K58/K59, 0)</f>
        <v>0</v>
      </c>
      <c r="M58" s="71"/>
      <c r="N58" s="10">
        <f>ROUND(M59*L58,0)</f>
        <v>0</v>
      </c>
      <c r="O58" s="70">
        <v>0</v>
      </c>
      <c r="P58" s="10">
        <f>N58-O58</f>
        <v>0</v>
      </c>
      <c r="Q58" s="46">
        <f t="shared" si="10"/>
        <v>0</v>
      </c>
      <c r="R58" s="10">
        <v>0</v>
      </c>
      <c r="S58" s="7">
        <f t="shared" si="2"/>
        <v>0</v>
      </c>
      <c r="T58" s="124">
        <f t="shared" si="3"/>
        <v>10</v>
      </c>
      <c r="U58" s="124">
        <f t="shared" si="4"/>
        <v>998</v>
      </c>
      <c r="V58" s="124">
        <f t="shared" si="5"/>
        <v>49</v>
      </c>
      <c r="W58" s="124">
        <f t="shared" si="6"/>
        <v>0</v>
      </c>
      <c r="X58" s="124">
        <f t="shared" si="7"/>
        <v>0</v>
      </c>
      <c r="Y58" s="264">
        <f t="shared" si="8"/>
        <v>49</v>
      </c>
      <c r="Z58" s="10">
        <v>10</v>
      </c>
      <c r="AA58" s="7">
        <v>998</v>
      </c>
      <c r="AB58" s="7">
        <v>49</v>
      </c>
      <c r="AC58" s="109">
        <v>0</v>
      </c>
      <c r="AD58" s="109">
        <v>0</v>
      </c>
      <c r="AE58" s="125"/>
      <c r="AF58" s="10"/>
      <c r="AI58" s="109"/>
      <c r="AJ58" s="109"/>
      <c r="AL58" s="10"/>
      <c r="AO58" s="109"/>
      <c r="AP58" s="109"/>
      <c r="AR58" s="10"/>
      <c r="AU58" s="109"/>
      <c r="AV58" s="109"/>
      <c r="AX58" s="10"/>
      <c r="BA58" s="109"/>
      <c r="BB58" s="109"/>
      <c r="BD58" s="10"/>
      <c r="BG58" s="109"/>
      <c r="BH58" s="109"/>
      <c r="BJ58" s="10"/>
      <c r="BM58" s="109"/>
      <c r="BN58" s="109"/>
      <c r="BP58" s="10"/>
      <c r="BS58" s="109"/>
      <c r="BT58" s="109"/>
      <c r="BV58" s="10"/>
      <c r="BY58" s="109"/>
      <c r="BZ58" s="109"/>
      <c r="CB58" s="10"/>
      <c r="CE58" s="109"/>
      <c r="CF58" s="109"/>
      <c r="CH58" s="10"/>
      <c r="CK58" s="109"/>
      <c r="CL58" s="109"/>
    </row>
    <row r="59" spans="1:90">
      <c r="A59" s="7" t="str">
        <f t="shared" si="0"/>
        <v>00100999</v>
      </c>
      <c r="B59" s="7" t="s">
        <v>2349</v>
      </c>
      <c r="C59" s="7" t="s">
        <v>2782</v>
      </c>
      <c r="D59" s="7">
        <v>50</v>
      </c>
      <c r="E59" s="11">
        <v>10</v>
      </c>
      <c r="F59" s="11" t="s">
        <v>1716</v>
      </c>
      <c r="G59" s="11">
        <v>999</v>
      </c>
      <c r="H59" s="11" t="s">
        <v>1132</v>
      </c>
      <c r="I59" s="105">
        <v>53252938.770829991</v>
      </c>
      <c r="J59" s="126">
        <v>1</v>
      </c>
      <c r="K59" s="127">
        <f>SUM(K55:K58)</f>
        <v>56722274.066381812</v>
      </c>
      <c r="L59" s="126">
        <f>SUM(L55:L58)</f>
        <v>1</v>
      </c>
      <c r="M59" s="105">
        <f>VLOOKUP(E59,town351,22)</f>
        <v>45590053</v>
      </c>
      <c r="N59" s="105">
        <f>SUM(N55:N58)</f>
        <v>45590053</v>
      </c>
      <c r="O59" s="128">
        <v>43472922</v>
      </c>
      <c r="P59" s="105">
        <f>SUM(P55:P58)</f>
        <v>2117131</v>
      </c>
      <c r="Q59" s="45">
        <f t="shared" si="10"/>
        <v>4.8699993066948659</v>
      </c>
      <c r="R59" s="105">
        <v>5522</v>
      </c>
      <c r="S59" s="7">
        <f t="shared" si="2"/>
        <v>0</v>
      </c>
      <c r="T59" s="124">
        <f t="shared" si="3"/>
        <v>10</v>
      </c>
      <c r="U59" s="124">
        <f t="shared" si="4"/>
        <v>999</v>
      </c>
      <c r="V59" s="124">
        <f t="shared" si="5"/>
        <v>50</v>
      </c>
      <c r="W59" s="124">
        <f t="shared" si="6"/>
        <v>5728.3507246372801</v>
      </c>
      <c r="X59" s="124">
        <f t="shared" si="7"/>
        <v>56722274.066381812</v>
      </c>
      <c r="Y59" s="264">
        <f t="shared" si="8"/>
        <v>50</v>
      </c>
      <c r="Z59" s="10">
        <v>10</v>
      </c>
      <c r="AA59" s="7">
        <v>999</v>
      </c>
      <c r="AB59" s="7">
        <v>50</v>
      </c>
      <c r="AC59" s="109">
        <v>5728.3507246372801</v>
      </c>
      <c r="AD59" s="109">
        <v>56722274.066381812</v>
      </c>
      <c r="AE59" s="125"/>
      <c r="AF59" s="10"/>
      <c r="AI59" s="109"/>
      <c r="AJ59" s="109"/>
      <c r="AL59" s="10"/>
      <c r="AO59" s="109"/>
      <c r="AP59" s="109"/>
      <c r="AR59" s="10"/>
      <c r="AU59" s="109"/>
      <c r="AV59" s="109"/>
      <c r="AX59" s="10"/>
      <c r="BA59" s="109"/>
      <c r="BB59" s="109"/>
      <c r="BD59" s="10"/>
      <c r="BG59" s="109"/>
      <c r="BH59" s="109"/>
      <c r="BJ59" s="10"/>
      <c r="BM59" s="109"/>
      <c r="BN59" s="109"/>
      <c r="BP59" s="10"/>
      <c r="BS59" s="109"/>
      <c r="BT59" s="109"/>
      <c r="BV59" s="10"/>
      <c r="BY59" s="109"/>
      <c r="BZ59" s="109"/>
      <c r="CB59" s="10"/>
      <c r="CE59" s="109"/>
      <c r="CF59" s="109"/>
      <c r="CH59" s="10"/>
      <c r="CK59" s="109"/>
      <c r="CL59" s="109"/>
    </row>
    <row r="60" spans="1:90">
      <c r="A60" s="7" t="str">
        <f t="shared" si="0"/>
        <v>00110011</v>
      </c>
      <c r="B60" s="7" t="s">
        <v>2350</v>
      </c>
      <c r="C60" s="7" t="s">
        <v>2350</v>
      </c>
      <c r="D60" s="7">
        <v>51</v>
      </c>
      <c r="E60" s="7">
        <v>11</v>
      </c>
      <c r="F60" s="7" t="s">
        <v>1717</v>
      </c>
      <c r="G60" s="7">
        <v>11</v>
      </c>
      <c r="H60" s="7" t="s">
        <v>1277</v>
      </c>
      <c r="I60" s="37">
        <v>0</v>
      </c>
      <c r="J60" s="122">
        <v>0</v>
      </c>
      <c r="K60" s="123">
        <f>X60</f>
        <v>0</v>
      </c>
      <c r="L60" s="122">
        <f>IF(K64&gt;0, K60/K64, 0)</f>
        <v>0</v>
      </c>
      <c r="M60" s="71"/>
      <c r="N60" s="10">
        <f>ROUND(M64*L60,0)</f>
        <v>0</v>
      </c>
      <c r="O60" s="70">
        <v>0</v>
      </c>
      <c r="P60" s="10">
        <f>N60-O60</f>
        <v>0</v>
      </c>
      <c r="Q60" s="46">
        <f t="shared" si="10"/>
        <v>0</v>
      </c>
      <c r="R60" s="10">
        <v>0</v>
      </c>
      <c r="S60" s="7">
        <f t="shared" si="2"/>
        <v>0</v>
      </c>
      <c r="T60" s="124">
        <f t="shared" si="3"/>
        <v>11</v>
      </c>
      <c r="U60" s="124">
        <f t="shared" si="4"/>
        <v>11</v>
      </c>
      <c r="V60" s="124">
        <f t="shared" si="5"/>
        <v>51</v>
      </c>
      <c r="W60" s="124">
        <f t="shared" si="6"/>
        <v>0</v>
      </c>
      <c r="X60" s="124">
        <f t="shared" si="7"/>
        <v>0</v>
      </c>
      <c r="Y60" s="264">
        <f t="shared" si="8"/>
        <v>51</v>
      </c>
      <c r="Z60" s="10">
        <v>11</v>
      </c>
      <c r="AA60" s="7">
        <v>11</v>
      </c>
      <c r="AB60" s="7">
        <v>51</v>
      </c>
      <c r="AC60" s="109">
        <v>0</v>
      </c>
      <c r="AD60" s="109">
        <v>0</v>
      </c>
      <c r="AE60" s="125"/>
      <c r="AF60" s="10"/>
      <c r="AI60" s="109"/>
      <c r="AJ60" s="109"/>
      <c r="AL60" s="10"/>
      <c r="AO60" s="109"/>
      <c r="AP60" s="109"/>
      <c r="AR60" s="10"/>
      <c r="AU60" s="109"/>
      <c r="AV60" s="109"/>
      <c r="AX60" s="10"/>
      <c r="BA60" s="109"/>
      <c r="BB60" s="109"/>
      <c r="BD60" s="10"/>
      <c r="BG60" s="109"/>
      <c r="BH60" s="109"/>
      <c r="BJ60" s="10"/>
      <c r="BM60" s="109"/>
      <c r="BN60" s="109"/>
      <c r="BP60" s="10"/>
      <c r="BS60" s="109"/>
      <c r="BT60" s="109"/>
      <c r="BV60" s="10"/>
      <c r="BY60" s="109"/>
      <c r="BZ60" s="109"/>
      <c r="CB60" s="10"/>
      <c r="CE60" s="109"/>
      <c r="CF60" s="109"/>
      <c r="CH60" s="10"/>
      <c r="CK60" s="109"/>
      <c r="CL60" s="109"/>
    </row>
    <row r="61" spans="1:90">
      <c r="A61" s="7" t="str">
        <f t="shared" si="0"/>
        <v>00110610</v>
      </c>
      <c r="B61" s="7" t="s">
        <v>2350</v>
      </c>
      <c r="C61" s="7" t="s">
        <v>2697</v>
      </c>
      <c r="D61" s="7">
        <v>52</v>
      </c>
      <c r="E61" s="7">
        <v>11</v>
      </c>
      <c r="F61" s="7" t="s">
        <v>1717</v>
      </c>
      <c r="G61" s="7">
        <v>610</v>
      </c>
      <c r="H61" s="7" t="s">
        <v>1624</v>
      </c>
      <c r="I61" s="37">
        <v>10258945</v>
      </c>
      <c r="J61" s="122">
        <v>0.92027995175658339</v>
      </c>
      <c r="K61" s="123">
        <f t="shared" si="9"/>
        <v>10271473.085981885</v>
      </c>
      <c r="L61" s="122">
        <f>IF(K64&gt;0, K61/K64, 0)</f>
        <v>0.91898640624636885</v>
      </c>
      <c r="M61" s="71"/>
      <c r="N61" s="10">
        <f>ROUND(M64*L61,0)</f>
        <v>4594298</v>
      </c>
      <c r="O61" s="70">
        <v>4621478</v>
      </c>
      <c r="P61" s="10">
        <f>N61-O61</f>
        <v>-27180</v>
      </c>
      <c r="Q61" s="46">
        <f t="shared" si="10"/>
        <v>-0.58812353969877174</v>
      </c>
      <c r="R61" s="10">
        <v>1068</v>
      </c>
      <c r="S61" s="7">
        <f t="shared" si="2"/>
        <v>0</v>
      </c>
      <c r="T61" s="124">
        <f t="shared" si="3"/>
        <v>11</v>
      </c>
      <c r="U61" s="124">
        <f t="shared" si="4"/>
        <v>610</v>
      </c>
      <c r="V61" s="124">
        <f t="shared" si="5"/>
        <v>52</v>
      </c>
      <c r="W61" s="124">
        <f t="shared" si="6"/>
        <v>1050.15838926624</v>
      </c>
      <c r="X61" s="124">
        <f t="shared" si="7"/>
        <v>10271473.085981885</v>
      </c>
      <c r="Y61" s="264">
        <f t="shared" si="8"/>
        <v>52</v>
      </c>
      <c r="Z61" s="10">
        <v>11</v>
      </c>
      <c r="AA61" s="7">
        <v>610</v>
      </c>
      <c r="AB61" s="7">
        <v>52</v>
      </c>
      <c r="AC61" s="109">
        <v>1050.15838926624</v>
      </c>
      <c r="AD61" s="109">
        <v>10271473.085981885</v>
      </c>
      <c r="AE61" s="125"/>
      <c r="AF61" s="10"/>
      <c r="AI61" s="109"/>
      <c r="AJ61" s="109"/>
      <c r="AL61" s="10"/>
      <c r="AO61" s="109"/>
      <c r="AP61" s="109"/>
      <c r="AR61" s="10"/>
      <c r="AU61" s="109"/>
      <c r="AV61" s="109"/>
      <c r="AX61" s="10"/>
      <c r="BA61" s="109"/>
      <c r="BB61" s="109"/>
      <c r="BD61" s="10"/>
      <c r="BG61" s="109"/>
      <c r="BH61" s="109"/>
      <c r="BJ61" s="10"/>
      <c r="BM61" s="109"/>
      <c r="BN61" s="109"/>
      <c r="BP61" s="10"/>
      <c r="BS61" s="109"/>
      <c r="BT61" s="109"/>
      <c r="BV61" s="10"/>
      <c r="BY61" s="109"/>
      <c r="BZ61" s="109"/>
      <c r="CB61" s="10"/>
      <c r="CE61" s="109"/>
      <c r="CF61" s="109"/>
      <c r="CH61" s="10"/>
      <c r="CK61" s="109"/>
      <c r="CL61" s="109"/>
    </row>
    <row r="62" spans="1:90">
      <c r="A62" s="7" t="str">
        <f t="shared" si="0"/>
        <v>00110832</v>
      </c>
      <c r="B62" s="7" t="s">
        <v>2350</v>
      </c>
      <c r="C62" s="7" t="s">
        <v>2765</v>
      </c>
      <c r="D62" s="7">
        <v>53</v>
      </c>
      <c r="E62" s="7">
        <v>11</v>
      </c>
      <c r="F62" s="7" t="s">
        <v>1717</v>
      </c>
      <c r="G62" s="7">
        <v>832</v>
      </c>
      <c r="H62" s="7" t="s">
        <v>1692</v>
      </c>
      <c r="I62" s="37">
        <v>888690</v>
      </c>
      <c r="J62" s="122">
        <v>7.972004824341665E-2</v>
      </c>
      <c r="K62" s="123">
        <f t="shared" si="9"/>
        <v>905485.58953984024</v>
      </c>
      <c r="L62" s="122">
        <f>IF(K64&gt;0, K62/K64, 0)</f>
        <v>8.1013593753631138E-2</v>
      </c>
      <c r="M62" s="71"/>
      <c r="N62" s="10">
        <f>ROUND(M64*L62,0)</f>
        <v>405012</v>
      </c>
      <c r="O62" s="70">
        <v>400340</v>
      </c>
      <c r="P62" s="10">
        <f>N62-O62</f>
        <v>4672</v>
      </c>
      <c r="Q62" s="46">
        <f t="shared" si="10"/>
        <v>1.1670080431633112</v>
      </c>
      <c r="R62" s="10">
        <v>58</v>
      </c>
      <c r="S62" s="7">
        <f t="shared" si="2"/>
        <v>0</v>
      </c>
      <c r="T62" s="124">
        <f t="shared" si="3"/>
        <v>11</v>
      </c>
      <c r="U62" s="124">
        <f t="shared" si="4"/>
        <v>832</v>
      </c>
      <c r="V62" s="124">
        <f t="shared" si="5"/>
        <v>53</v>
      </c>
      <c r="W62" s="124">
        <f t="shared" si="6"/>
        <v>58.038795983520004</v>
      </c>
      <c r="X62" s="124">
        <f t="shared" si="7"/>
        <v>905485.58953984024</v>
      </c>
      <c r="Y62" s="264">
        <f t="shared" si="8"/>
        <v>53</v>
      </c>
      <c r="Z62" s="10">
        <v>11</v>
      </c>
      <c r="AA62" s="7">
        <v>832</v>
      </c>
      <c r="AB62" s="7">
        <v>53</v>
      </c>
      <c r="AC62" s="109">
        <v>58.038795983520004</v>
      </c>
      <c r="AD62" s="109">
        <v>905485.58953984024</v>
      </c>
      <c r="AE62" s="125"/>
      <c r="AF62" s="10"/>
      <c r="AI62" s="109"/>
      <c r="AJ62" s="109"/>
      <c r="AL62" s="10"/>
      <c r="AO62" s="109"/>
      <c r="AP62" s="109"/>
      <c r="AR62" s="10"/>
      <c r="AU62" s="109"/>
      <c r="AV62" s="109"/>
      <c r="AX62" s="10"/>
      <c r="BA62" s="109"/>
      <c r="BB62" s="109"/>
      <c r="BD62" s="10"/>
      <c r="BG62" s="109"/>
      <c r="BH62" s="109"/>
      <c r="BJ62" s="10"/>
      <c r="BM62" s="109"/>
      <c r="BN62" s="109"/>
      <c r="BP62" s="10"/>
      <c r="BS62" s="109"/>
      <c r="BT62" s="109"/>
      <c r="BV62" s="10"/>
      <c r="BY62" s="109"/>
      <c r="BZ62" s="109"/>
      <c r="CB62" s="10"/>
      <c r="CE62" s="109"/>
      <c r="CF62" s="109"/>
      <c r="CH62" s="10"/>
      <c r="CK62" s="109"/>
      <c r="CL62" s="109"/>
    </row>
    <row r="63" spans="1:90">
      <c r="A63" s="7" t="str">
        <f t="shared" si="0"/>
        <v>00110998</v>
      </c>
      <c r="B63" s="7" t="s">
        <v>2350</v>
      </c>
      <c r="C63" s="7" t="s">
        <v>2781</v>
      </c>
      <c r="D63" s="7">
        <v>54</v>
      </c>
      <c r="E63" s="7">
        <v>11</v>
      </c>
      <c r="F63" s="7" t="s">
        <v>2135</v>
      </c>
      <c r="G63" s="7">
        <v>998</v>
      </c>
      <c r="H63" s="7" t="s">
        <v>2135</v>
      </c>
      <c r="I63" s="37">
        <v>0</v>
      </c>
      <c r="J63" s="122">
        <v>0</v>
      </c>
      <c r="K63" s="123">
        <f t="shared" si="9"/>
        <v>0</v>
      </c>
      <c r="L63" s="122">
        <f>IF(K64&gt;0, K63/K64, 0)</f>
        <v>0</v>
      </c>
      <c r="M63" s="71"/>
      <c r="N63" s="10">
        <f>ROUND(M64*L63,0)</f>
        <v>0</v>
      </c>
      <c r="O63" s="70">
        <v>0</v>
      </c>
      <c r="P63" s="10">
        <f>N63-O63</f>
        <v>0</v>
      </c>
      <c r="Q63" s="46">
        <f t="shared" si="10"/>
        <v>0</v>
      </c>
      <c r="R63" s="10">
        <v>0</v>
      </c>
      <c r="S63" s="7">
        <f t="shared" si="2"/>
        <v>0</v>
      </c>
      <c r="T63" s="124">
        <f t="shared" si="3"/>
        <v>11</v>
      </c>
      <c r="U63" s="124">
        <f t="shared" si="4"/>
        <v>998</v>
      </c>
      <c r="V63" s="124">
        <f t="shared" si="5"/>
        <v>54</v>
      </c>
      <c r="W63" s="124">
        <f t="shared" si="6"/>
        <v>0</v>
      </c>
      <c r="X63" s="124">
        <f t="shared" si="7"/>
        <v>0</v>
      </c>
      <c r="Y63" s="264">
        <f t="shared" si="8"/>
        <v>54</v>
      </c>
      <c r="Z63" s="10">
        <v>11</v>
      </c>
      <c r="AA63" s="7">
        <v>998</v>
      </c>
      <c r="AB63" s="7">
        <v>54</v>
      </c>
      <c r="AC63" s="109">
        <v>0</v>
      </c>
      <c r="AD63" s="109">
        <v>0</v>
      </c>
      <c r="AE63" s="125"/>
      <c r="AF63" s="10"/>
      <c r="AI63" s="109"/>
      <c r="AJ63" s="109"/>
      <c r="AL63" s="10"/>
      <c r="AO63" s="109"/>
      <c r="AP63" s="109"/>
      <c r="AR63" s="10"/>
      <c r="AU63" s="109"/>
      <c r="AV63" s="109"/>
      <c r="AX63" s="10"/>
      <c r="BA63" s="109"/>
      <c r="BB63" s="109"/>
      <c r="BD63" s="10"/>
      <c r="BG63" s="109"/>
      <c r="BH63" s="109"/>
      <c r="BJ63" s="10"/>
      <c r="BM63" s="109"/>
      <c r="BN63" s="109"/>
      <c r="BP63" s="10"/>
      <c r="BS63" s="109"/>
      <c r="BT63" s="109"/>
      <c r="BV63" s="10"/>
      <c r="BY63" s="109"/>
      <c r="BZ63" s="109"/>
      <c r="CB63" s="10"/>
      <c r="CE63" s="109"/>
      <c r="CF63" s="109"/>
      <c r="CH63" s="10"/>
      <c r="CK63" s="109"/>
      <c r="CL63" s="109"/>
    </row>
    <row r="64" spans="1:90">
      <c r="A64" s="7" t="str">
        <f t="shared" si="0"/>
        <v>00110999</v>
      </c>
      <c r="B64" s="7" t="s">
        <v>2350</v>
      </c>
      <c r="C64" s="7" t="s">
        <v>2782</v>
      </c>
      <c r="D64" s="7">
        <v>55</v>
      </c>
      <c r="E64" s="11">
        <v>11</v>
      </c>
      <c r="F64" s="11" t="s">
        <v>1717</v>
      </c>
      <c r="G64" s="11">
        <v>999</v>
      </c>
      <c r="H64" s="11" t="s">
        <v>1132</v>
      </c>
      <c r="I64" s="105">
        <v>11147635</v>
      </c>
      <c r="J64" s="126">
        <v>1</v>
      </c>
      <c r="K64" s="127">
        <f>SUM(K60:K63)</f>
        <v>11176958.675521726</v>
      </c>
      <c r="L64" s="126">
        <f>SUM(L60:L63)</f>
        <v>1</v>
      </c>
      <c r="M64" s="105">
        <f>VLOOKUP(E64,town351,22)</f>
        <v>4999310</v>
      </c>
      <c r="N64" s="105">
        <f>SUM(N60:N63)</f>
        <v>4999310</v>
      </c>
      <c r="O64" s="128">
        <v>5021818</v>
      </c>
      <c r="P64" s="105">
        <f>SUM(P60:P63)</f>
        <v>-22508</v>
      </c>
      <c r="Q64" s="45">
        <f t="shared" si="10"/>
        <v>-0.4482042160827015</v>
      </c>
      <c r="R64" s="105">
        <v>1126</v>
      </c>
      <c r="S64" s="7">
        <f t="shared" si="2"/>
        <v>0</v>
      </c>
      <c r="T64" s="124">
        <f t="shared" si="3"/>
        <v>11</v>
      </c>
      <c r="U64" s="124">
        <f t="shared" si="4"/>
        <v>999</v>
      </c>
      <c r="V64" s="124">
        <f t="shared" si="5"/>
        <v>55</v>
      </c>
      <c r="W64" s="124">
        <f t="shared" si="6"/>
        <v>1108.19718524976</v>
      </c>
      <c r="X64" s="124">
        <f t="shared" si="7"/>
        <v>11176958.675521726</v>
      </c>
      <c r="Y64" s="264">
        <f t="shared" si="8"/>
        <v>55</v>
      </c>
      <c r="Z64" s="10">
        <v>11</v>
      </c>
      <c r="AA64" s="7">
        <v>999</v>
      </c>
      <c r="AB64" s="7">
        <v>55</v>
      </c>
      <c r="AC64" s="109">
        <v>1108.19718524976</v>
      </c>
      <c r="AD64" s="109">
        <v>11176958.675521726</v>
      </c>
      <c r="AE64" s="125"/>
      <c r="AF64" s="10"/>
      <c r="AI64" s="109"/>
      <c r="AJ64" s="109"/>
      <c r="AL64" s="10"/>
      <c r="AO64" s="109"/>
      <c r="AP64" s="109"/>
      <c r="AR64" s="10"/>
      <c r="AU64" s="109"/>
      <c r="AV64" s="109"/>
      <c r="AX64" s="10"/>
      <c r="BA64" s="109"/>
      <c r="BB64" s="109"/>
      <c r="BD64" s="10"/>
      <c r="BG64" s="109"/>
      <c r="BH64" s="109"/>
      <c r="BJ64" s="10"/>
      <c r="BM64" s="109"/>
      <c r="BN64" s="109"/>
      <c r="BP64" s="10"/>
      <c r="BS64" s="109"/>
      <c r="BT64" s="109"/>
      <c r="BV64" s="10"/>
      <c r="BY64" s="109"/>
      <c r="BZ64" s="109"/>
      <c r="CB64" s="10"/>
      <c r="CE64" s="109"/>
      <c r="CF64" s="109"/>
      <c r="CH64" s="10"/>
      <c r="CK64" s="109"/>
      <c r="CL64" s="109"/>
    </row>
    <row r="65" spans="1:90">
      <c r="A65" s="7" t="str">
        <f t="shared" si="0"/>
        <v>00120012</v>
      </c>
      <c r="B65" s="7" t="s">
        <v>2351</v>
      </c>
      <c r="C65" s="7" t="s">
        <v>2351</v>
      </c>
      <c r="D65" s="7">
        <v>56</v>
      </c>
      <c r="E65" s="7">
        <v>12</v>
      </c>
      <c r="F65" s="7" t="s">
        <v>1718</v>
      </c>
      <c r="G65" s="7">
        <v>12</v>
      </c>
      <c r="H65" s="7" t="s">
        <v>1278</v>
      </c>
      <c r="I65" s="37">
        <v>0</v>
      </c>
      <c r="J65" s="122">
        <v>0</v>
      </c>
      <c r="K65" s="123">
        <f>X65</f>
        <v>0</v>
      </c>
      <c r="L65" s="122">
        <f>IF(K69&gt;0, K65/K69, 0)</f>
        <v>0</v>
      </c>
      <c r="M65" s="71"/>
      <c r="N65" s="10">
        <f>ROUND(M69*L65,0)</f>
        <v>0</v>
      </c>
      <c r="O65" s="70">
        <v>0</v>
      </c>
      <c r="P65" s="10">
        <f>N65-O65</f>
        <v>0</v>
      </c>
      <c r="Q65" s="46">
        <f t="shared" si="10"/>
        <v>0</v>
      </c>
      <c r="R65" s="10">
        <v>0</v>
      </c>
      <c r="S65" s="7">
        <f t="shared" si="2"/>
        <v>0</v>
      </c>
      <c r="T65" s="124">
        <f t="shared" si="3"/>
        <v>12</v>
      </c>
      <c r="U65" s="124">
        <f t="shared" si="4"/>
        <v>12</v>
      </c>
      <c r="V65" s="124">
        <f t="shared" si="5"/>
        <v>56</v>
      </c>
      <c r="W65" s="124">
        <f t="shared" si="6"/>
        <v>0</v>
      </c>
      <c r="X65" s="124">
        <f t="shared" si="7"/>
        <v>0</v>
      </c>
      <c r="Y65" s="264">
        <f t="shared" si="8"/>
        <v>56</v>
      </c>
      <c r="Z65" s="10">
        <v>12</v>
      </c>
      <c r="AA65" s="7">
        <v>12</v>
      </c>
      <c r="AB65" s="7">
        <v>56</v>
      </c>
      <c r="AC65" s="109">
        <v>0</v>
      </c>
      <c r="AD65" s="109">
        <v>0</v>
      </c>
      <c r="AE65" s="125"/>
      <c r="AF65" s="10"/>
      <c r="AI65" s="109"/>
      <c r="AJ65" s="109"/>
      <c r="AL65" s="10"/>
      <c r="AO65" s="109"/>
      <c r="AP65" s="109"/>
      <c r="AR65" s="10"/>
      <c r="AU65" s="109"/>
      <c r="AV65" s="109"/>
      <c r="AX65" s="10"/>
      <c r="BA65" s="109"/>
      <c r="BB65" s="109"/>
      <c r="BD65" s="10"/>
      <c r="BG65" s="109"/>
      <c r="BH65" s="109"/>
      <c r="BJ65" s="10"/>
      <c r="BM65" s="109"/>
      <c r="BN65" s="109"/>
      <c r="BP65" s="10"/>
      <c r="BS65" s="109"/>
      <c r="BT65" s="109"/>
      <c r="BV65" s="10"/>
      <c r="BY65" s="109"/>
      <c r="BZ65" s="109"/>
      <c r="CB65" s="10"/>
      <c r="CE65" s="109"/>
      <c r="CF65" s="109"/>
      <c r="CH65" s="10"/>
      <c r="CK65" s="109"/>
      <c r="CL65" s="109"/>
    </row>
    <row r="66" spans="1:90">
      <c r="A66" s="7" t="str">
        <f t="shared" si="0"/>
        <v>00120735</v>
      </c>
      <c r="B66" s="7" t="s">
        <v>2351</v>
      </c>
      <c r="C66" s="7" t="s">
        <v>2735</v>
      </c>
      <c r="D66" s="7">
        <v>57</v>
      </c>
      <c r="E66" s="7">
        <v>12</v>
      </c>
      <c r="F66" s="7" t="s">
        <v>1718</v>
      </c>
      <c r="G66" s="7">
        <v>735</v>
      </c>
      <c r="H66" s="7" t="s">
        <v>1662</v>
      </c>
      <c r="I66" s="37">
        <v>3877476</v>
      </c>
      <c r="J66" s="122">
        <v>0.87244102070943674</v>
      </c>
      <c r="K66" s="123">
        <f t="shared" si="9"/>
        <v>3882256.4702459481</v>
      </c>
      <c r="L66" s="122">
        <f>IF(K69&gt;0, K66/K69, 0)</f>
        <v>0.87972017290386018</v>
      </c>
      <c r="M66" s="71"/>
      <c r="N66" s="10">
        <f>ROUND(M69*L66,0)</f>
        <v>2077476</v>
      </c>
      <c r="O66" s="70">
        <v>2115441</v>
      </c>
      <c r="P66" s="10">
        <f>N66-O66</f>
        <v>-37965</v>
      </c>
      <c r="Q66" s="46">
        <f t="shared" si="10"/>
        <v>-1.7946612550290932</v>
      </c>
      <c r="R66" s="10">
        <v>404</v>
      </c>
      <c r="S66" s="7">
        <f t="shared" si="2"/>
        <v>0</v>
      </c>
      <c r="T66" s="124">
        <f t="shared" si="3"/>
        <v>12</v>
      </c>
      <c r="U66" s="124">
        <f t="shared" si="4"/>
        <v>735</v>
      </c>
      <c r="V66" s="124">
        <f t="shared" si="5"/>
        <v>57</v>
      </c>
      <c r="W66" s="124">
        <f t="shared" si="6"/>
        <v>396.18355406488001</v>
      </c>
      <c r="X66" s="124">
        <f t="shared" si="7"/>
        <v>3882256.4702459481</v>
      </c>
      <c r="Y66" s="264">
        <f t="shared" si="8"/>
        <v>57</v>
      </c>
      <c r="Z66" s="10">
        <v>12</v>
      </c>
      <c r="AA66" s="7">
        <v>735</v>
      </c>
      <c r="AB66" s="7">
        <v>57</v>
      </c>
      <c r="AC66" s="109">
        <v>396.18355406488001</v>
      </c>
      <c r="AD66" s="109">
        <v>3882256.4702459481</v>
      </c>
      <c r="AE66" s="125"/>
      <c r="AF66" s="10"/>
      <c r="AI66" s="109"/>
      <c r="AJ66" s="109"/>
      <c r="AL66" s="10"/>
      <c r="AO66" s="109"/>
      <c r="AP66" s="109"/>
      <c r="AR66" s="10"/>
      <c r="AU66" s="109"/>
      <c r="AV66" s="109"/>
      <c r="AX66" s="10"/>
      <c r="BA66" s="109"/>
      <c r="BB66" s="109"/>
      <c r="BD66" s="10"/>
      <c r="BG66" s="109"/>
      <c r="BH66" s="109"/>
      <c r="BJ66" s="10"/>
      <c r="BM66" s="109"/>
      <c r="BN66" s="109"/>
      <c r="BP66" s="10"/>
      <c r="BS66" s="109"/>
      <c r="BT66" s="109"/>
      <c r="BV66" s="10"/>
      <c r="BY66" s="109"/>
      <c r="BZ66" s="109"/>
      <c r="CB66" s="10"/>
      <c r="CE66" s="109"/>
      <c r="CF66" s="109"/>
      <c r="CH66" s="10"/>
      <c r="CK66" s="109"/>
      <c r="CL66" s="109"/>
    </row>
    <row r="67" spans="1:90">
      <c r="A67" s="7" t="str">
        <f t="shared" si="0"/>
        <v>00120832</v>
      </c>
      <c r="B67" s="7" t="s">
        <v>2351</v>
      </c>
      <c r="C67" s="7" t="s">
        <v>2765</v>
      </c>
      <c r="D67" s="7">
        <v>58</v>
      </c>
      <c r="E67" s="7">
        <v>12</v>
      </c>
      <c r="F67" s="7" t="s">
        <v>1718</v>
      </c>
      <c r="G67" s="7">
        <v>832</v>
      </c>
      <c r="H67" s="7" t="s">
        <v>1692</v>
      </c>
      <c r="I67" s="37">
        <v>566923</v>
      </c>
      <c r="J67" s="122">
        <v>0.12755897929056326</v>
      </c>
      <c r="K67" s="123">
        <f t="shared" si="9"/>
        <v>530801.89742913225</v>
      </c>
      <c r="L67" s="122">
        <f>IF(K69&gt;0, K67/K69, 0)</f>
        <v>0.12027982709613996</v>
      </c>
      <c r="M67" s="71"/>
      <c r="N67" s="10">
        <f>ROUND(M69*L67,0)</f>
        <v>284043</v>
      </c>
      <c r="O67" s="70">
        <v>309297</v>
      </c>
      <c r="P67" s="10">
        <f>N67-O67</f>
        <v>-25254</v>
      </c>
      <c r="Q67" s="46">
        <f t="shared" si="10"/>
        <v>-8.1649676524505566</v>
      </c>
      <c r="R67" s="10">
        <v>37</v>
      </c>
      <c r="S67" s="7">
        <f t="shared" si="2"/>
        <v>0</v>
      </c>
      <c r="T67" s="124">
        <f t="shared" si="3"/>
        <v>12</v>
      </c>
      <c r="U67" s="124">
        <f t="shared" si="4"/>
        <v>832</v>
      </c>
      <c r="V67" s="124">
        <f t="shared" si="5"/>
        <v>58</v>
      </c>
      <c r="W67" s="124">
        <f t="shared" si="6"/>
        <v>34.022742480319998</v>
      </c>
      <c r="X67" s="124">
        <f t="shared" si="7"/>
        <v>530801.89742913225</v>
      </c>
      <c r="Y67" s="264">
        <f t="shared" si="8"/>
        <v>58</v>
      </c>
      <c r="Z67" s="10">
        <v>12</v>
      </c>
      <c r="AA67" s="7">
        <v>832</v>
      </c>
      <c r="AB67" s="7">
        <v>58</v>
      </c>
      <c r="AC67" s="109">
        <v>34.022742480319998</v>
      </c>
      <c r="AD67" s="109">
        <v>530801.89742913225</v>
      </c>
      <c r="AE67" s="125"/>
      <c r="AF67" s="10"/>
      <c r="AI67" s="109"/>
      <c r="AJ67" s="109"/>
      <c r="AL67" s="10"/>
      <c r="AO67" s="109"/>
      <c r="AP67" s="109"/>
      <c r="AR67" s="10"/>
      <c r="AU67" s="109"/>
      <c r="AV67" s="109"/>
      <c r="AX67" s="10"/>
      <c r="BA67" s="109"/>
      <c r="BB67" s="109"/>
      <c r="BD67" s="10"/>
      <c r="BG67" s="109"/>
      <c r="BH67" s="109"/>
      <c r="BJ67" s="10"/>
      <c r="BM67" s="109"/>
      <c r="BN67" s="109"/>
      <c r="BP67" s="10"/>
      <c r="BS67" s="109"/>
      <c r="BT67" s="109"/>
      <c r="BV67" s="10"/>
      <c r="BY67" s="109"/>
      <c r="BZ67" s="109"/>
      <c r="CB67" s="10"/>
      <c r="CE67" s="109"/>
      <c r="CF67" s="109"/>
      <c r="CH67" s="10"/>
      <c r="CK67" s="109"/>
      <c r="CL67" s="109"/>
    </row>
    <row r="68" spans="1:90">
      <c r="A68" s="7" t="str">
        <f t="shared" si="0"/>
        <v>00120998</v>
      </c>
      <c r="B68" s="7" t="s">
        <v>2351</v>
      </c>
      <c r="C68" s="7" t="s">
        <v>2781</v>
      </c>
      <c r="D68" s="7">
        <v>59</v>
      </c>
      <c r="E68" s="7">
        <v>12</v>
      </c>
      <c r="F68" s="7" t="s">
        <v>2135</v>
      </c>
      <c r="G68" s="7">
        <v>998</v>
      </c>
      <c r="H68" s="7" t="s">
        <v>2135</v>
      </c>
      <c r="I68" s="37">
        <v>0</v>
      </c>
      <c r="J68" s="122">
        <v>0</v>
      </c>
      <c r="K68" s="123">
        <f t="shared" si="9"/>
        <v>0</v>
      </c>
      <c r="L68" s="122">
        <f>IF(K69&gt;0, K68/K69, 0)</f>
        <v>0</v>
      </c>
      <c r="M68" s="71"/>
      <c r="N68" s="10">
        <f>ROUND(M69*L68,0)</f>
        <v>0</v>
      </c>
      <c r="O68" s="70">
        <v>0</v>
      </c>
      <c r="P68" s="10">
        <f>N68-O68</f>
        <v>0</v>
      </c>
      <c r="Q68" s="46">
        <f t="shared" si="10"/>
        <v>0</v>
      </c>
      <c r="R68" s="10">
        <v>0</v>
      </c>
      <c r="S68" s="7">
        <f t="shared" si="2"/>
        <v>0</v>
      </c>
      <c r="T68" s="124">
        <f t="shared" si="3"/>
        <v>12</v>
      </c>
      <c r="U68" s="124">
        <f t="shared" si="4"/>
        <v>998</v>
      </c>
      <c r="V68" s="124">
        <f t="shared" si="5"/>
        <v>59</v>
      </c>
      <c r="W68" s="124">
        <f t="shared" si="6"/>
        <v>0</v>
      </c>
      <c r="X68" s="124">
        <f t="shared" si="7"/>
        <v>0</v>
      </c>
      <c r="Y68" s="264">
        <f t="shared" si="8"/>
        <v>59</v>
      </c>
      <c r="Z68" s="10">
        <v>12</v>
      </c>
      <c r="AA68" s="7">
        <v>998</v>
      </c>
      <c r="AB68" s="7">
        <v>59</v>
      </c>
      <c r="AC68" s="109">
        <v>0</v>
      </c>
      <c r="AD68" s="109">
        <v>0</v>
      </c>
      <c r="AE68" s="125"/>
      <c r="AF68" s="10"/>
      <c r="AI68" s="109"/>
      <c r="AJ68" s="109"/>
      <c r="AL68" s="10"/>
      <c r="AO68" s="109"/>
      <c r="AP68" s="109"/>
      <c r="AR68" s="10"/>
      <c r="AU68" s="109"/>
      <c r="AV68" s="109"/>
      <c r="AX68" s="10"/>
      <c r="BA68" s="109"/>
      <c r="BB68" s="109"/>
      <c r="BD68" s="10"/>
      <c r="BG68" s="109"/>
      <c r="BH68" s="109"/>
      <c r="BJ68" s="10"/>
      <c r="BM68" s="109"/>
      <c r="BN68" s="109"/>
      <c r="BP68" s="10"/>
      <c r="BS68" s="109"/>
      <c r="BT68" s="109"/>
      <c r="BV68" s="10"/>
      <c r="BY68" s="109"/>
      <c r="BZ68" s="109"/>
      <c r="CB68" s="10"/>
      <c r="CE68" s="109"/>
      <c r="CF68" s="109"/>
      <c r="CH68" s="10"/>
      <c r="CK68" s="109"/>
      <c r="CL68" s="109"/>
    </row>
    <row r="69" spans="1:90">
      <c r="A69" s="7" t="str">
        <f t="shared" si="0"/>
        <v>00120999</v>
      </c>
      <c r="B69" s="7" t="s">
        <v>2351</v>
      </c>
      <c r="C69" s="7" t="s">
        <v>2782</v>
      </c>
      <c r="D69" s="7">
        <v>60</v>
      </c>
      <c r="E69" s="11">
        <v>12</v>
      </c>
      <c r="F69" s="11" t="s">
        <v>1718</v>
      </c>
      <c r="G69" s="11">
        <v>999</v>
      </c>
      <c r="H69" s="11" t="s">
        <v>1132</v>
      </c>
      <c r="I69" s="105">
        <v>4444399</v>
      </c>
      <c r="J69" s="126">
        <v>1</v>
      </c>
      <c r="K69" s="127">
        <f>SUM(K65:K68)</f>
        <v>4413058.36767508</v>
      </c>
      <c r="L69" s="126">
        <f>SUM(L65:L68)</f>
        <v>1.0000000000000002</v>
      </c>
      <c r="M69" s="105">
        <f>VLOOKUP(E69,town351,22)</f>
        <v>2361519</v>
      </c>
      <c r="N69" s="105">
        <f>SUM(N65:N68)</f>
        <v>2361519</v>
      </c>
      <c r="O69" s="128">
        <v>2424738</v>
      </c>
      <c r="P69" s="105">
        <f>SUM(P65:P68)</f>
        <v>-63219</v>
      </c>
      <c r="Q69" s="45">
        <f t="shared" si="10"/>
        <v>-2.6072507627628223</v>
      </c>
      <c r="R69" s="105">
        <v>441</v>
      </c>
      <c r="S69" s="7">
        <f t="shared" si="2"/>
        <v>0</v>
      </c>
      <c r="T69" s="124">
        <f t="shared" si="3"/>
        <v>12</v>
      </c>
      <c r="U69" s="124">
        <f t="shared" si="4"/>
        <v>999</v>
      </c>
      <c r="V69" s="124">
        <f t="shared" si="5"/>
        <v>60</v>
      </c>
      <c r="W69" s="124">
        <f t="shared" si="6"/>
        <v>430.20629654520002</v>
      </c>
      <c r="X69" s="124">
        <f t="shared" si="7"/>
        <v>4413058.36767508</v>
      </c>
      <c r="Y69" s="264">
        <f t="shared" si="8"/>
        <v>60</v>
      </c>
      <c r="Z69" s="10">
        <v>12</v>
      </c>
      <c r="AA69" s="7">
        <v>999</v>
      </c>
      <c r="AB69" s="7">
        <v>60</v>
      </c>
      <c r="AC69" s="109">
        <v>430.20629654520002</v>
      </c>
      <c r="AD69" s="109">
        <v>4413058.36767508</v>
      </c>
      <c r="AE69" s="125"/>
      <c r="AF69" s="10"/>
      <c r="AI69" s="109"/>
      <c r="AJ69" s="109"/>
      <c r="AL69" s="10"/>
      <c r="AO69" s="109"/>
      <c r="AP69" s="109"/>
      <c r="AR69" s="10"/>
      <c r="AU69" s="109"/>
      <c r="AV69" s="109"/>
      <c r="AX69" s="10"/>
      <c r="BA69" s="109"/>
      <c r="BB69" s="109"/>
      <c r="BD69" s="10"/>
      <c r="BG69" s="109"/>
      <c r="BH69" s="109"/>
      <c r="BJ69" s="10"/>
      <c r="BM69" s="109"/>
      <c r="BN69" s="109"/>
      <c r="BP69" s="10"/>
      <c r="BS69" s="109"/>
      <c r="BT69" s="109"/>
      <c r="BV69" s="10"/>
      <c r="BY69" s="109"/>
      <c r="BZ69" s="109"/>
      <c r="CB69" s="10"/>
      <c r="CE69" s="109"/>
      <c r="CF69" s="109"/>
      <c r="CH69" s="10"/>
      <c r="CK69" s="109"/>
      <c r="CL69" s="109"/>
    </row>
    <row r="70" spans="1:90">
      <c r="A70" s="7" t="str">
        <f t="shared" si="0"/>
        <v>00130013</v>
      </c>
      <c r="B70" s="7" t="s">
        <v>2352</v>
      </c>
      <c r="C70" s="7" t="s">
        <v>2352</v>
      </c>
      <c r="D70" s="7">
        <v>61</v>
      </c>
      <c r="E70" s="7">
        <v>13</v>
      </c>
      <c r="F70" s="7" t="s">
        <v>1719</v>
      </c>
      <c r="G70" s="7">
        <v>13</v>
      </c>
      <c r="H70" s="7" t="s">
        <v>1279</v>
      </c>
      <c r="I70" s="37">
        <v>236011.40000000002</v>
      </c>
      <c r="J70" s="122">
        <v>0.12036181870978976</v>
      </c>
      <c r="K70" s="123">
        <f>X70</f>
        <v>226884.18269824251</v>
      </c>
      <c r="L70" s="122">
        <f>IF(K74&gt;0, K70/K74, 0)</f>
        <v>0.11452351383182031</v>
      </c>
      <c r="M70" s="71"/>
      <c r="N70" s="10">
        <f>ROUND(M74*L70,0)</f>
        <v>176931</v>
      </c>
      <c r="O70" s="70">
        <v>187511</v>
      </c>
      <c r="P70" s="10">
        <f>N70-O70</f>
        <v>-10580</v>
      </c>
      <c r="Q70" s="46">
        <f t="shared" si="10"/>
        <v>-5.6423356496418879</v>
      </c>
      <c r="R70" s="10">
        <v>16</v>
      </c>
      <c r="S70" s="7">
        <f t="shared" si="2"/>
        <v>0</v>
      </c>
      <c r="T70" s="124">
        <f t="shared" si="3"/>
        <v>13</v>
      </c>
      <c r="U70" s="124">
        <f t="shared" si="4"/>
        <v>13</v>
      </c>
      <c r="V70" s="124">
        <f t="shared" si="5"/>
        <v>61</v>
      </c>
      <c r="W70" s="124">
        <f t="shared" si="6"/>
        <v>15</v>
      </c>
      <c r="X70" s="124">
        <f t="shared" si="7"/>
        <v>226884.18269824251</v>
      </c>
      <c r="Y70" s="264">
        <f t="shared" si="8"/>
        <v>61</v>
      </c>
      <c r="Z70" s="10">
        <v>13</v>
      </c>
      <c r="AA70" s="7">
        <v>13</v>
      </c>
      <c r="AB70" s="7">
        <v>61</v>
      </c>
      <c r="AC70" s="109">
        <v>15</v>
      </c>
      <c r="AD70" s="109">
        <v>226884.18269824251</v>
      </c>
      <c r="AE70" s="125"/>
      <c r="AF70" s="10"/>
      <c r="AI70" s="109"/>
      <c r="AJ70" s="109"/>
      <c r="AL70" s="10"/>
      <c r="AO70" s="109"/>
      <c r="AP70" s="109"/>
      <c r="AR70" s="10"/>
      <c r="AU70" s="109"/>
      <c r="AV70" s="109"/>
      <c r="AX70" s="10"/>
      <c r="BA70" s="109"/>
      <c r="BB70" s="109"/>
      <c r="BD70" s="10"/>
      <c r="BG70" s="109"/>
      <c r="BH70" s="109"/>
      <c r="BJ70" s="10"/>
      <c r="BM70" s="109"/>
      <c r="BN70" s="109"/>
      <c r="BP70" s="10"/>
      <c r="BS70" s="109"/>
      <c r="BT70" s="109"/>
      <c r="BV70" s="10"/>
      <c r="BY70" s="109"/>
      <c r="BZ70" s="109"/>
      <c r="CB70" s="10"/>
      <c r="CE70" s="109"/>
      <c r="CF70" s="109"/>
      <c r="CH70" s="10"/>
      <c r="CK70" s="109"/>
      <c r="CL70" s="109"/>
    </row>
    <row r="71" spans="1:90">
      <c r="A71" s="7" t="str">
        <f t="shared" si="0"/>
        <v>00130717</v>
      </c>
      <c r="B71" s="7" t="s">
        <v>2352</v>
      </c>
      <c r="C71" s="7" t="s">
        <v>2730</v>
      </c>
      <c r="D71" s="7">
        <v>62</v>
      </c>
      <c r="E71" s="7">
        <v>13</v>
      </c>
      <c r="F71" s="7" t="s">
        <v>1719</v>
      </c>
      <c r="G71" s="7">
        <v>717</v>
      </c>
      <c r="H71" s="7" t="s">
        <v>1657</v>
      </c>
      <c r="I71" s="37">
        <v>1724838</v>
      </c>
      <c r="J71" s="122">
        <v>0.87963818129021032</v>
      </c>
      <c r="K71" s="123">
        <f t="shared" si="9"/>
        <v>1754230.2199861328</v>
      </c>
      <c r="L71" s="122">
        <f>IF(K74&gt;0, K71/K74, 0)</f>
        <v>0.88547648616817964</v>
      </c>
      <c r="M71" s="71"/>
      <c r="N71" s="10">
        <f>ROUND(M74*L71,0)</f>
        <v>1368002</v>
      </c>
      <c r="O71" s="70">
        <v>1370383</v>
      </c>
      <c r="P71" s="10">
        <f>N71-O71</f>
        <v>-2381</v>
      </c>
      <c r="Q71" s="46">
        <f t="shared" si="10"/>
        <v>-0.17374704735829327</v>
      </c>
      <c r="R71" s="10">
        <v>165</v>
      </c>
      <c r="S71" s="7">
        <f t="shared" si="2"/>
        <v>0</v>
      </c>
      <c r="T71" s="124">
        <f t="shared" si="3"/>
        <v>13</v>
      </c>
      <c r="U71" s="124">
        <f t="shared" si="4"/>
        <v>717</v>
      </c>
      <c r="V71" s="124">
        <f t="shared" si="5"/>
        <v>62</v>
      </c>
      <c r="W71" s="124">
        <f t="shared" si="6"/>
        <v>166.54223148689999</v>
      </c>
      <c r="X71" s="124">
        <f t="shared" si="7"/>
        <v>1754230.2199861328</v>
      </c>
      <c r="Y71" s="264">
        <f t="shared" si="8"/>
        <v>62</v>
      </c>
      <c r="Z71" s="10">
        <v>13</v>
      </c>
      <c r="AA71" s="7">
        <v>717</v>
      </c>
      <c r="AB71" s="7">
        <v>62</v>
      </c>
      <c r="AC71" s="109">
        <v>166.54223148689999</v>
      </c>
      <c r="AD71" s="109">
        <v>1754230.2199861328</v>
      </c>
      <c r="AE71" s="125"/>
      <c r="AF71" s="10"/>
      <c r="AI71" s="109"/>
      <c r="AJ71" s="109"/>
      <c r="AL71" s="10"/>
      <c r="AO71" s="109"/>
      <c r="AP71" s="109"/>
      <c r="AR71" s="10"/>
      <c r="AU71" s="109"/>
      <c r="AV71" s="109"/>
      <c r="AX71" s="10"/>
      <c r="BA71" s="109"/>
      <c r="BB71" s="109"/>
      <c r="BD71" s="10"/>
      <c r="BG71" s="109"/>
      <c r="BH71" s="109"/>
      <c r="BJ71" s="10"/>
      <c r="BM71" s="109"/>
      <c r="BN71" s="109"/>
      <c r="BP71" s="10"/>
      <c r="BS71" s="109"/>
      <c r="BT71" s="109"/>
      <c r="BV71" s="10"/>
      <c r="BY71" s="109"/>
      <c r="BZ71" s="109"/>
      <c r="CB71" s="10"/>
      <c r="CE71" s="109"/>
      <c r="CF71" s="109"/>
      <c r="CH71" s="10"/>
      <c r="CK71" s="109"/>
      <c r="CL71" s="109"/>
    </row>
    <row r="72" spans="1:90">
      <c r="A72" s="7" t="str">
        <f t="shared" si="0"/>
        <v>00130998</v>
      </c>
      <c r="B72" s="7" t="s">
        <v>2352</v>
      </c>
      <c r="C72" s="7" t="s">
        <v>2781</v>
      </c>
      <c r="D72" s="7">
        <v>63</v>
      </c>
      <c r="E72" s="7">
        <v>13</v>
      </c>
      <c r="F72" s="7" t="s">
        <v>2135</v>
      </c>
      <c r="G72" s="7">
        <v>998</v>
      </c>
      <c r="H72" s="7" t="s">
        <v>2135</v>
      </c>
      <c r="I72" s="37">
        <v>0</v>
      </c>
      <c r="J72" s="122">
        <v>0</v>
      </c>
      <c r="K72" s="123">
        <f t="shared" si="9"/>
        <v>0</v>
      </c>
      <c r="L72" s="122">
        <f>IF(K74&gt;0, K72/K74, 0)</f>
        <v>0</v>
      </c>
      <c r="M72" s="71"/>
      <c r="N72" s="10">
        <f>ROUND(M74*L72,0)</f>
        <v>0</v>
      </c>
      <c r="O72" s="70">
        <v>0</v>
      </c>
      <c r="P72" s="10">
        <f>N72-O72</f>
        <v>0</v>
      </c>
      <c r="Q72" s="46">
        <f t="shared" si="10"/>
        <v>0</v>
      </c>
      <c r="R72" s="10">
        <v>0</v>
      </c>
      <c r="S72" s="7">
        <f t="shared" si="2"/>
        <v>0</v>
      </c>
      <c r="T72" s="124">
        <f t="shared" si="3"/>
        <v>13</v>
      </c>
      <c r="U72" s="124">
        <f t="shared" si="4"/>
        <v>998</v>
      </c>
      <c r="V72" s="124">
        <f t="shared" si="5"/>
        <v>63</v>
      </c>
      <c r="W72" s="124">
        <f t="shared" si="6"/>
        <v>0</v>
      </c>
      <c r="X72" s="124">
        <f t="shared" si="7"/>
        <v>0</v>
      </c>
      <c r="Y72" s="264">
        <f t="shared" si="8"/>
        <v>63</v>
      </c>
      <c r="Z72" s="10">
        <v>13</v>
      </c>
      <c r="AA72" s="7">
        <v>998</v>
      </c>
      <c r="AB72" s="7">
        <v>63</v>
      </c>
      <c r="AC72" s="109">
        <v>0</v>
      </c>
      <c r="AD72" s="109">
        <v>0</v>
      </c>
      <c r="AE72" s="125"/>
      <c r="AF72" s="10"/>
      <c r="AI72" s="109"/>
      <c r="AJ72" s="109"/>
      <c r="AL72" s="10"/>
      <c r="AO72" s="109"/>
      <c r="AP72" s="109"/>
      <c r="AR72" s="10"/>
      <c r="AU72" s="109"/>
      <c r="AV72" s="109"/>
      <c r="AX72" s="10"/>
      <c r="BA72" s="109"/>
      <c r="BB72" s="109"/>
      <c r="BD72" s="10"/>
      <c r="BG72" s="109"/>
      <c r="BH72" s="109"/>
      <c r="BJ72" s="10"/>
      <c r="BM72" s="109"/>
      <c r="BN72" s="109"/>
      <c r="BP72" s="10"/>
      <c r="BS72" s="109"/>
      <c r="BT72" s="109"/>
      <c r="BV72" s="10"/>
      <c r="BY72" s="109"/>
      <c r="BZ72" s="109"/>
      <c r="CB72" s="10"/>
      <c r="CE72" s="109"/>
      <c r="CF72" s="109"/>
      <c r="CH72" s="10"/>
      <c r="CK72" s="109"/>
      <c r="CL72" s="109"/>
    </row>
    <row r="73" spans="1:90">
      <c r="A73" s="7" t="str">
        <f t="shared" si="0"/>
        <v>00130998</v>
      </c>
      <c r="B73" s="7" t="s">
        <v>2352</v>
      </c>
      <c r="C73" s="7" t="s">
        <v>2781</v>
      </c>
      <c r="D73" s="7">
        <v>64</v>
      </c>
      <c r="E73" s="7">
        <v>13</v>
      </c>
      <c r="F73" s="7" t="s">
        <v>2135</v>
      </c>
      <c r="G73" s="7">
        <v>998</v>
      </c>
      <c r="H73" s="7" t="s">
        <v>2135</v>
      </c>
      <c r="I73" s="37">
        <v>0</v>
      </c>
      <c r="J73" s="122">
        <v>0</v>
      </c>
      <c r="K73" s="123">
        <f t="shared" si="9"/>
        <v>0</v>
      </c>
      <c r="L73" s="122">
        <f>IF(K74&gt;0, K73/K74, 0)</f>
        <v>0</v>
      </c>
      <c r="M73" s="71"/>
      <c r="N73" s="10">
        <f>ROUND(M74*L73,0)</f>
        <v>0</v>
      </c>
      <c r="O73" s="70">
        <v>0</v>
      </c>
      <c r="P73" s="10">
        <f>N73-O73</f>
        <v>0</v>
      </c>
      <c r="Q73" s="46">
        <f t="shared" si="10"/>
        <v>0</v>
      </c>
      <c r="R73" s="10">
        <v>0</v>
      </c>
      <c r="S73" s="7">
        <f t="shared" si="2"/>
        <v>0</v>
      </c>
      <c r="T73" s="124">
        <f t="shared" si="3"/>
        <v>13</v>
      </c>
      <c r="U73" s="124">
        <f t="shared" si="4"/>
        <v>998</v>
      </c>
      <c r="V73" s="124">
        <f t="shared" si="5"/>
        <v>64</v>
      </c>
      <c r="W73" s="124">
        <f t="shared" si="6"/>
        <v>0</v>
      </c>
      <c r="X73" s="124">
        <f t="shared" si="7"/>
        <v>0</v>
      </c>
      <c r="Y73" s="264">
        <f t="shared" si="8"/>
        <v>64</v>
      </c>
      <c r="Z73" s="10">
        <v>13</v>
      </c>
      <c r="AA73" s="7">
        <v>998</v>
      </c>
      <c r="AB73" s="7">
        <v>64</v>
      </c>
      <c r="AC73" s="109">
        <v>0</v>
      </c>
      <c r="AD73" s="109">
        <v>0</v>
      </c>
      <c r="AE73" s="125"/>
      <c r="AF73" s="10"/>
      <c r="AI73" s="109"/>
      <c r="AJ73" s="109"/>
      <c r="AL73" s="10"/>
      <c r="AO73" s="109"/>
      <c r="AP73" s="109"/>
      <c r="AR73" s="10"/>
      <c r="AU73" s="109"/>
      <c r="AV73" s="109"/>
      <c r="AX73" s="10"/>
      <c r="BA73" s="109"/>
      <c r="BB73" s="109"/>
      <c r="BD73" s="10"/>
      <c r="BG73" s="109"/>
      <c r="BH73" s="109"/>
      <c r="BJ73" s="10"/>
      <c r="BM73" s="109"/>
      <c r="BN73" s="109"/>
      <c r="BP73" s="10"/>
      <c r="BS73" s="109"/>
      <c r="BT73" s="109"/>
      <c r="BV73" s="10"/>
      <c r="BY73" s="109"/>
      <c r="BZ73" s="109"/>
      <c r="CB73" s="10"/>
      <c r="CE73" s="109"/>
      <c r="CF73" s="109"/>
      <c r="CH73" s="10"/>
      <c r="CK73" s="109"/>
      <c r="CL73" s="109"/>
    </row>
    <row r="74" spans="1:90">
      <c r="A74" s="7" t="str">
        <f t="shared" ref="A74:A137" si="11">B74&amp;C74</f>
        <v>00130999</v>
      </c>
      <c r="B74" s="7" t="s">
        <v>2352</v>
      </c>
      <c r="C74" s="7" t="s">
        <v>2782</v>
      </c>
      <c r="D74" s="7">
        <v>65</v>
      </c>
      <c r="E74" s="11">
        <v>13</v>
      </c>
      <c r="F74" s="11" t="s">
        <v>1719</v>
      </c>
      <c r="G74" s="11">
        <v>999</v>
      </c>
      <c r="H74" s="11" t="s">
        <v>1132</v>
      </c>
      <c r="I74" s="105">
        <v>1960849.4</v>
      </c>
      <c r="J74" s="126">
        <v>1</v>
      </c>
      <c r="K74" s="127">
        <f>SUM(K70:K73)</f>
        <v>1981114.4026843754</v>
      </c>
      <c r="L74" s="126">
        <f>SUM(L70:L73)</f>
        <v>1</v>
      </c>
      <c r="M74" s="105">
        <f>VLOOKUP(E74,town351,22)</f>
        <v>1544933</v>
      </c>
      <c r="N74" s="105">
        <f>SUM(N70:N73)</f>
        <v>1544933</v>
      </c>
      <c r="O74" s="128">
        <v>1557894</v>
      </c>
      <c r="P74" s="105">
        <f>SUM(P70:P73)</f>
        <v>-12961</v>
      </c>
      <c r="Q74" s="45">
        <f t="shared" si="10"/>
        <v>-0.83195647457400823</v>
      </c>
      <c r="R74" s="105">
        <v>181</v>
      </c>
      <c r="S74" s="7">
        <f t="shared" ref="S74:S137" si="12">ABS(T74-E74)+ABS(U74-G74)</f>
        <v>0</v>
      </c>
      <c r="T74" s="124">
        <f t="shared" ref="T74:T137" si="13">VLOOKUP($D74, foundoptions, VLOOKUP($T$6, foundoptcell, 2, FALSE), FALSE)</f>
        <v>13</v>
      </c>
      <c r="U74" s="124">
        <f t="shared" ref="U74:U137" si="14">VLOOKUP($D74, foundoptions, VLOOKUP($T$6, foundoptcell, 2, FALSE)+1, FALSE)</f>
        <v>999</v>
      </c>
      <c r="V74" s="124">
        <f t="shared" ref="V74:V137" si="15">VLOOKUP($D74, foundoptions, VLOOKUP($T$6, foundoptcell, 2, FALSE)+2, FALSE)</f>
        <v>65</v>
      </c>
      <c r="W74" s="124">
        <f t="shared" ref="W74:W137" si="16">VLOOKUP($D74, foundoptions, VLOOKUP($T$6, foundoptcell, 2, FALSE)+3, FALSE)</f>
        <v>181.54223148689999</v>
      </c>
      <c r="X74" s="124">
        <f t="shared" ref="X74:X137" si="17">VLOOKUP($D74, foundoptions, VLOOKUP($T$6, foundoptcell, 2, FALSE)+4, FALSE)</f>
        <v>1981114.4026843754</v>
      </c>
      <c r="Y74" s="264">
        <f t="shared" si="8"/>
        <v>65</v>
      </c>
      <c r="Z74" s="10">
        <v>13</v>
      </c>
      <c r="AA74" s="7">
        <v>999</v>
      </c>
      <c r="AB74" s="7">
        <v>65</v>
      </c>
      <c r="AC74" s="109">
        <v>181.54223148689999</v>
      </c>
      <c r="AD74" s="109">
        <v>1981114.4026843754</v>
      </c>
      <c r="AE74" s="125"/>
      <c r="AF74" s="10"/>
      <c r="AI74" s="109"/>
      <c r="AJ74" s="109"/>
      <c r="AL74" s="10"/>
      <c r="AO74" s="109"/>
      <c r="AP74" s="109"/>
      <c r="AR74" s="10"/>
      <c r="AU74" s="109"/>
      <c r="AV74" s="109"/>
      <c r="AX74" s="10"/>
      <c r="BA74" s="109"/>
      <c r="BB74" s="109"/>
      <c r="BD74" s="10"/>
      <c r="BG74" s="109"/>
      <c r="BH74" s="109"/>
      <c r="BJ74" s="10"/>
      <c r="BM74" s="109"/>
      <c r="BN74" s="109"/>
      <c r="BP74" s="10"/>
      <c r="BS74" s="109"/>
      <c r="BT74" s="109"/>
      <c r="BV74" s="10"/>
      <c r="BY74" s="109"/>
      <c r="BZ74" s="109"/>
      <c r="CB74" s="10"/>
      <c r="CE74" s="109"/>
      <c r="CF74" s="109"/>
      <c r="CH74" s="10"/>
      <c r="CK74" s="109"/>
      <c r="CL74" s="109"/>
    </row>
    <row r="75" spans="1:90">
      <c r="A75" s="7" t="str">
        <f t="shared" si="11"/>
        <v>00140014</v>
      </c>
      <c r="B75" s="7" t="s">
        <v>2353</v>
      </c>
      <c r="C75" s="7" t="s">
        <v>2353</v>
      </c>
      <c r="D75" s="7">
        <v>66</v>
      </c>
      <c r="E75" s="7">
        <v>14</v>
      </c>
      <c r="F75" s="7" t="s">
        <v>1720</v>
      </c>
      <c r="G75" s="7">
        <v>14</v>
      </c>
      <c r="H75" s="7" t="s">
        <v>1280</v>
      </c>
      <c r="I75" s="37">
        <v>24958578.790420003</v>
      </c>
      <c r="J75" s="122">
        <v>0.95600253396382828</v>
      </c>
      <c r="K75" s="123">
        <f>X75</f>
        <v>24948345.559453651</v>
      </c>
      <c r="L75" s="122">
        <f>IF(K79&gt;0, K75/K79, 0)</f>
        <v>0.95884303000274917</v>
      </c>
      <c r="M75" s="71"/>
      <c r="N75" s="10">
        <f>ROUND(M79*L75,0)</f>
        <v>19465664</v>
      </c>
      <c r="O75" s="70">
        <v>19022776</v>
      </c>
      <c r="P75" s="10">
        <f>N75-O75</f>
        <v>442888</v>
      </c>
      <c r="Q75" s="46">
        <f t="shared" si="10"/>
        <v>2.3281985762750925</v>
      </c>
      <c r="R75" s="10">
        <v>2575</v>
      </c>
      <c r="S75" s="7">
        <f t="shared" si="12"/>
        <v>0</v>
      </c>
      <c r="T75" s="124">
        <f t="shared" si="13"/>
        <v>14</v>
      </c>
      <c r="U75" s="124">
        <f t="shared" si="14"/>
        <v>14</v>
      </c>
      <c r="V75" s="124">
        <f t="shared" si="15"/>
        <v>66</v>
      </c>
      <c r="W75" s="124">
        <f t="shared" si="16"/>
        <v>2547</v>
      </c>
      <c r="X75" s="124">
        <f t="shared" si="17"/>
        <v>24948345.559453651</v>
      </c>
      <c r="Y75" s="264">
        <f t="shared" ref="Y75:Y138" si="18">D75</f>
        <v>66</v>
      </c>
      <c r="Z75" s="10">
        <v>14</v>
      </c>
      <c r="AA75" s="7">
        <v>14</v>
      </c>
      <c r="AB75" s="7">
        <v>66</v>
      </c>
      <c r="AC75" s="109">
        <v>2547</v>
      </c>
      <c r="AD75" s="109">
        <v>24948345.559453651</v>
      </c>
      <c r="AE75" s="125"/>
      <c r="AF75" s="10"/>
      <c r="AI75" s="109"/>
      <c r="AJ75" s="109"/>
      <c r="AL75" s="10"/>
      <c r="AO75" s="109"/>
      <c r="AP75" s="109"/>
      <c r="AR75" s="10"/>
      <c r="AU75" s="109"/>
      <c r="AV75" s="109"/>
      <c r="AX75" s="10"/>
      <c r="BA75" s="109"/>
      <c r="BB75" s="109"/>
      <c r="BD75" s="10"/>
      <c r="BG75" s="109"/>
      <c r="BH75" s="109"/>
      <c r="BJ75" s="10"/>
      <c r="BM75" s="109"/>
      <c r="BN75" s="109"/>
      <c r="BP75" s="10"/>
      <c r="BS75" s="109"/>
      <c r="BT75" s="109"/>
      <c r="BV75" s="10"/>
      <c r="BY75" s="109"/>
      <c r="BZ75" s="109"/>
      <c r="CB75" s="10"/>
      <c r="CE75" s="109"/>
      <c r="CF75" s="109"/>
      <c r="CH75" s="10"/>
      <c r="CK75" s="109"/>
      <c r="CL75" s="109"/>
    </row>
    <row r="76" spans="1:90">
      <c r="A76" s="7" t="str">
        <f t="shared" si="11"/>
        <v>00140829</v>
      </c>
      <c r="B76" s="7" t="s">
        <v>2353</v>
      </c>
      <c r="C76" s="7" t="s">
        <v>2763</v>
      </c>
      <c r="D76" s="7">
        <v>67</v>
      </c>
      <c r="E76" s="7">
        <v>14</v>
      </c>
      <c r="F76" s="7" t="s">
        <v>1720</v>
      </c>
      <c r="G76" s="7">
        <v>829</v>
      </c>
      <c r="H76" s="7" t="s">
        <v>1690</v>
      </c>
      <c r="I76" s="37">
        <v>1148652</v>
      </c>
      <c r="J76" s="122">
        <v>4.3997466036171697E-2</v>
      </c>
      <c r="K76" s="123">
        <f t="shared" si="9"/>
        <v>1070872.1631616147</v>
      </c>
      <c r="L76" s="122">
        <f>IF(K79&gt;0, K76/K79, 0)</f>
        <v>4.1156969997250874E-2</v>
      </c>
      <c r="M76" s="71"/>
      <c r="N76" s="10">
        <f>ROUND(M79*L76,0)</f>
        <v>835536</v>
      </c>
      <c r="O76" s="70">
        <v>875473</v>
      </c>
      <c r="P76" s="10">
        <f>N76-O76</f>
        <v>-39937</v>
      </c>
      <c r="Q76" s="46">
        <f t="shared" si="10"/>
        <v>-4.5617626128961142</v>
      </c>
      <c r="R76" s="10">
        <v>68</v>
      </c>
      <c r="S76" s="7">
        <f t="shared" si="12"/>
        <v>0</v>
      </c>
      <c r="T76" s="124">
        <f t="shared" si="13"/>
        <v>14</v>
      </c>
      <c r="U76" s="124">
        <f t="shared" si="14"/>
        <v>829</v>
      </c>
      <c r="V76" s="124">
        <f t="shared" si="15"/>
        <v>67</v>
      </c>
      <c r="W76" s="124">
        <f t="shared" si="16"/>
        <v>63.00000000312</v>
      </c>
      <c r="X76" s="124">
        <f t="shared" si="17"/>
        <v>1070872.1631616147</v>
      </c>
      <c r="Y76" s="264">
        <f t="shared" si="18"/>
        <v>67</v>
      </c>
      <c r="Z76" s="10">
        <v>14</v>
      </c>
      <c r="AA76" s="7">
        <v>829</v>
      </c>
      <c r="AB76" s="7">
        <v>67</v>
      </c>
      <c r="AC76" s="109">
        <v>63.00000000312</v>
      </c>
      <c r="AD76" s="109">
        <v>1070872.1631616147</v>
      </c>
      <c r="AE76" s="125"/>
      <c r="AF76" s="10"/>
      <c r="AI76" s="109"/>
      <c r="AJ76" s="109"/>
      <c r="AL76" s="10"/>
      <c r="AO76" s="109"/>
      <c r="AP76" s="109"/>
      <c r="AR76" s="10"/>
      <c r="AU76" s="109"/>
      <c r="AV76" s="109"/>
      <c r="AX76" s="10"/>
      <c r="BA76" s="109"/>
      <c r="BB76" s="109"/>
      <c r="BD76" s="10"/>
      <c r="BG76" s="109"/>
      <c r="BH76" s="109"/>
      <c r="BJ76" s="10"/>
      <c r="BM76" s="109"/>
      <c r="BN76" s="109"/>
      <c r="BP76" s="10"/>
      <c r="BS76" s="109"/>
      <c r="BT76" s="109"/>
      <c r="BV76" s="10"/>
      <c r="BY76" s="109"/>
      <c r="BZ76" s="109"/>
      <c r="CB76" s="10"/>
      <c r="CE76" s="109"/>
      <c r="CF76" s="109"/>
      <c r="CH76" s="10"/>
      <c r="CK76" s="109"/>
      <c r="CL76" s="109"/>
    </row>
    <row r="77" spans="1:90">
      <c r="A77" s="7" t="str">
        <f t="shared" si="11"/>
        <v>00140998</v>
      </c>
      <c r="B77" s="7" t="s">
        <v>2353</v>
      </c>
      <c r="C77" s="7" t="s">
        <v>2781</v>
      </c>
      <c r="D77" s="7">
        <v>68</v>
      </c>
      <c r="E77" s="7">
        <v>14</v>
      </c>
      <c r="F77" s="7" t="s">
        <v>2135</v>
      </c>
      <c r="G77" s="7">
        <v>998</v>
      </c>
      <c r="H77" s="7" t="s">
        <v>2135</v>
      </c>
      <c r="I77" s="37">
        <v>0</v>
      </c>
      <c r="J77" s="122">
        <v>0</v>
      </c>
      <c r="K77" s="123">
        <f t="shared" si="9"/>
        <v>0</v>
      </c>
      <c r="L77" s="122">
        <f>IF(K79&gt;0, K77/K79, 0)</f>
        <v>0</v>
      </c>
      <c r="M77" s="71"/>
      <c r="N77" s="10">
        <f>ROUND(M79*L77,0)</f>
        <v>0</v>
      </c>
      <c r="O77" s="70">
        <v>0</v>
      </c>
      <c r="P77" s="10">
        <f>N77-O77</f>
        <v>0</v>
      </c>
      <c r="Q77" s="46">
        <f t="shared" si="10"/>
        <v>0</v>
      </c>
      <c r="R77" s="10">
        <v>0</v>
      </c>
      <c r="S77" s="7">
        <f t="shared" si="12"/>
        <v>0</v>
      </c>
      <c r="T77" s="124">
        <f t="shared" si="13"/>
        <v>14</v>
      </c>
      <c r="U77" s="124">
        <f t="shared" si="14"/>
        <v>998</v>
      </c>
      <c r="V77" s="124">
        <f t="shared" si="15"/>
        <v>68</v>
      </c>
      <c r="W77" s="124">
        <f t="shared" si="16"/>
        <v>0</v>
      </c>
      <c r="X77" s="124">
        <f t="shared" si="17"/>
        <v>0</v>
      </c>
      <c r="Y77" s="264">
        <f t="shared" si="18"/>
        <v>68</v>
      </c>
      <c r="Z77" s="10">
        <v>14</v>
      </c>
      <c r="AA77" s="7">
        <v>998</v>
      </c>
      <c r="AB77" s="7">
        <v>68</v>
      </c>
      <c r="AC77" s="109">
        <v>0</v>
      </c>
      <c r="AD77" s="109">
        <v>0</v>
      </c>
      <c r="AE77" s="125"/>
      <c r="AF77" s="10"/>
      <c r="AI77" s="109"/>
      <c r="AJ77" s="109"/>
      <c r="AL77" s="10"/>
      <c r="AO77" s="109"/>
      <c r="AP77" s="109"/>
      <c r="AR77" s="10"/>
      <c r="AU77" s="109"/>
      <c r="AV77" s="109"/>
      <c r="AX77" s="10"/>
      <c r="BA77" s="109"/>
      <c r="BB77" s="109"/>
      <c r="BD77" s="10"/>
      <c r="BG77" s="109"/>
      <c r="BH77" s="109"/>
      <c r="BJ77" s="10"/>
      <c r="BM77" s="109"/>
      <c r="BN77" s="109"/>
      <c r="BP77" s="10"/>
      <c r="BS77" s="109"/>
      <c r="BT77" s="109"/>
      <c r="BV77" s="10"/>
      <c r="BY77" s="109"/>
      <c r="BZ77" s="109"/>
      <c r="CB77" s="10"/>
      <c r="CE77" s="109"/>
      <c r="CF77" s="109"/>
      <c r="CH77" s="10"/>
      <c r="CK77" s="109"/>
      <c r="CL77" s="109"/>
    </row>
    <row r="78" spans="1:90">
      <c r="A78" s="7" t="str">
        <f t="shared" si="11"/>
        <v>00140998</v>
      </c>
      <c r="B78" s="7" t="s">
        <v>2353</v>
      </c>
      <c r="C78" s="7" t="s">
        <v>2781</v>
      </c>
      <c r="D78" s="7">
        <v>69</v>
      </c>
      <c r="E78" s="7">
        <v>14</v>
      </c>
      <c r="F78" s="7" t="s">
        <v>2135</v>
      </c>
      <c r="G78" s="7">
        <v>998</v>
      </c>
      <c r="H78" s="7" t="s">
        <v>2135</v>
      </c>
      <c r="I78" s="37">
        <v>0</v>
      </c>
      <c r="J78" s="122">
        <v>0</v>
      </c>
      <c r="K78" s="123">
        <f t="shared" si="9"/>
        <v>0</v>
      </c>
      <c r="L78" s="122">
        <f>IF(K79&gt;0, K78/K79, 0)</f>
        <v>0</v>
      </c>
      <c r="M78" s="71"/>
      <c r="N78" s="10">
        <f>ROUND(M79*L78,0)</f>
        <v>0</v>
      </c>
      <c r="O78" s="70">
        <v>0</v>
      </c>
      <c r="P78" s="10">
        <f>N78-O78</f>
        <v>0</v>
      </c>
      <c r="Q78" s="46">
        <f t="shared" si="10"/>
        <v>0</v>
      </c>
      <c r="R78" s="10">
        <v>0</v>
      </c>
      <c r="S78" s="7">
        <f t="shared" si="12"/>
        <v>0</v>
      </c>
      <c r="T78" s="124">
        <f t="shared" si="13"/>
        <v>14</v>
      </c>
      <c r="U78" s="124">
        <f t="shared" si="14"/>
        <v>998</v>
      </c>
      <c r="V78" s="124">
        <f t="shared" si="15"/>
        <v>69</v>
      </c>
      <c r="W78" s="124">
        <f t="shared" si="16"/>
        <v>0</v>
      </c>
      <c r="X78" s="124">
        <f t="shared" si="17"/>
        <v>0</v>
      </c>
      <c r="Y78" s="264">
        <f t="shared" si="18"/>
        <v>69</v>
      </c>
      <c r="Z78" s="10">
        <v>14</v>
      </c>
      <c r="AA78" s="7">
        <v>998</v>
      </c>
      <c r="AB78" s="7">
        <v>69</v>
      </c>
      <c r="AC78" s="109">
        <v>0</v>
      </c>
      <c r="AD78" s="109">
        <v>0</v>
      </c>
      <c r="AE78" s="125"/>
      <c r="AF78" s="10"/>
      <c r="AI78" s="109"/>
      <c r="AJ78" s="109"/>
      <c r="AL78" s="10"/>
      <c r="AO78" s="109"/>
      <c r="AP78" s="109"/>
      <c r="AR78" s="10"/>
      <c r="AU78" s="109"/>
      <c r="AV78" s="109"/>
      <c r="AX78" s="10"/>
      <c r="BA78" s="109"/>
      <c r="BB78" s="109"/>
      <c r="BD78" s="10"/>
      <c r="BG78" s="109"/>
      <c r="BH78" s="109"/>
      <c r="BJ78" s="10"/>
      <c r="BM78" s="109"/>
      <c r="BN78" s="109"/>
      <c r="BP78" s="10"/>
      <c r="BS78" s="109"/>
      <c r="BT78" s="109"/>
      <c r="BV78" s="10"/>
      <c r="BY78" s="109"/>
      <c r="BZ78" s="109"/>
      <c r="CB78" s="10"/>
      <c r="CE78" s="109"/>
      <c r="CF78" s="109"/>
      <c r="CH78" s="10"/>
      <c r="CK78" s="109"/>
      <c r="CL78" s="109"/>
    </row>
    <row r="79" spans="1:90">
      <c r="A79" s="7" t="str">
        <f t="shared" si="11"/>
        <v>00140999</v>
      </c>
      <c r="B79" s="7" t="s">
        <v>2353</v>
      </c>
      <c r="C79" s="7" t="s">
        <v>2782</v>
      </c>
      <c r="D79" s="7">
        <v>70</v>
      </c>
      <c r="E79" s="11">
        <v>14</v>
      </c>
      <c r="F79" s="11" t="s">
        <v>1720</v>
      </c>
      <c r="G79" s="11">
        <v>999</v>
      </c>
      <c r="H79" s="11" t="s">
        <v>1132</v>
      </c>
      <c r="I79" s="105">
        <v>26107230.790420003</v>
      </c>
      <c r="J79" s="126">
        <v>1</v>
      </c>
      <c r="K79" s="127">
        <f>SUM(K75:K78)</f>
        <v>26019217.722615264</v>
      </c>
      <c r="L79" s="126">
        <f>SUM(L75:L78)</f>
        <v>1</v>
      </c>
      <c r="M79" s="105">
        <f>VLOOKUP(E79,town351,22)</f>
        <v>20301200</v>
      </c>
      <c r="N79" s="105">
        <f>SUM(N75:N78)</f>
        <v>20301200</v>
      </c>
      <c r="O79" s="128">
        <v>19898249</v>
      </c>
      <c r="P79" s="105">
        <f>SUM(P75:P78)</f>
        <v>402951</v>
      </c>
      <c r="Q79" s="45">
        <f t="shared" si="10"/>
        <v>2.0250575816997767</v>
      </c>
      <c r="R79" s="105">
        <v>2643</v>
      </c>
      <c r="S79" s="7">
        <f t="shared" si="12"/>
        <v>0</v>
      </c>
      <c r="T79" s="124">
        <f t="shared" si="13"/>
        <v>14</v>
      </c>
      <c r="U79" s="124">
        <f t="shared" si="14"/>
        <v>999</v>
      </c>
      <c r="V79" s="124">
        <f t="shared" si="15"/>
        <v>70</v>
      </c>
      <c r="W79" s="124">
        <f t="shared" si="16"/>
        <v>2610.00000000312</v>
      </c>
      <c r="X79" s="124">
        <f t="shared" si="17"/>
        <v>26019217.722615264</v>
      </c>
      <c r="Y79" s="264">
        <f t="shared" si="18"/>
        <v>70</v>
      </c>
      <c r="Z79" s="10">
        <v>14</v>
      </c>
      <c r="AA79" s="7">
        <v>999</v>
      </c>
      <c r="AB79" s="7">
        <v>70</v>
      </c>
      <c r="AC79" s="109">
        <v>2610.00000000312</v>
      </c>
      <c r="AD79" s="109">
        <v>26019217.722615264</v>
      </c>
      <c r="AE79" s="125"/>
      <c r="AF79" s="10"/>
      <c r="AI79" s="109"/>
      <c r="AJ79" s="109"/>
      <c r="AL79" s="10"/>
      <c r="AO79" s="109"/>
      <c r="AP79" s="109"/>
      <c r="AR79" s="10"/>
      <c r="AU79" s="109"/>
      <c r="AV79" s="109"/>
      <c r="AX79" s="10"/>
      <c r="BA79" s="109"/>
      <c r="BB79" s="109"/>
      <c r="BD79" s="10"/>
      <c r="BG79" s="109"/>
      <c r="BH79" s="109"/>
      <c r="BJ79" s="10"/>
      <c r="BM79" s="109"/>
      <c r="BN79" s="109"/>
      <c r="BP79" s="10"/>
      <c r="BS79" s="109"/>
      <c r="BT79" s="109"/>
      <c r="BV79" s="10"/>
      <c r="BY79" s="109"/>
      <c r="BZ79" s="109"/>
      <c r="CB79" s="10"/>
      <c r="CE79" s="109"/>
      <c r="CF79" s="109"/>
      <c r="CH79" s="10"/>
      <c r="CK79" s="109"/>
      <c r="CL79" s="109"/>
    </row>
    <row r="80" spans="1:90">
      <c r="A80" s="7" t="str">
        <f t="shared" si="11"/>
        <v>00150015</v>
      </c>
      <c r="B80" s="7" t="s">
        <v>2354</v>
      </c>
      <c r="C80" s="7" t="s">
        <v>2354</v>
      </c>
      <c r="D80" s="7">
        <v>71</v>
      </c>
      <c r="E80" s="7">
        <v>15</v>
      </c>
      <c r="F80" s="7" t="s">
        <v>1721</v>
      </c>
      <c r="G80" s="7">
        <v>15</v>
      </c>
      <c r="H80" s="7" t="s">
        <v>1281</v>
      </c>
      <c r="I80" s="37">
        <v>26341.840000000004</v>
      </c>
      <c r="J80" s="122">
        <v>1.4484552419695856E-3</v>
      </c>
      <c r="K80" s="123">
        <f t="shared" ref="K80:K143" si="19">X80</f>
        <v>26833.666687179095</v>
      </c>
      <c r="L80" s="122">
        <f>IF(K84&gt;0, K80/K84, 0)</f>
        <v>1.4428933547446197E-3</v>
      </c>
      <c r="M80" s="71"/>
      <c r="N80" s="10">
        <f>ROUND(M84*L80,0)</f>
        <v>4106</v>
      </c>
      <c r="O80" s="70">
        <v>3873</v>
      </c>
      <c r="P80" s="10">
        <f>N80-O80</f>
        <v>233</v>
      </c>
      <c r="Q80" s="46">
        <f>IF(O80&gt;0,P80*100/O80,IF(P80&gt;0,100,0))</f>
        <v>6.0160082623289437</v>
      </c>
      <c r="R80" s="10">
        <v>2</v>
      </c>
      <c r="S80" s="7">
        <f t="shared" si="12"/>
        <v>0</v>
      </c>
      <c r="T80" s="124">
        <f t="shared" si="13"/>
        <v>15</v>
      </c>
      <c r="U80" s="124">
        <f t="shared" si="14"/>
        <v>15</v>
      </c>
      <c r="V80" s="124">
        <f t="shared" si="15"/>
        <v>71</v>
      </c>
      <c r="W80" s="124">
        <f t="shared" si="16"/>
        <v>2</v>
      </c>
      <c r="X80" s="124">
        <f t="shared" si="17"/>
        <v>26833.666687179095</v>
      </c>
      <c r="Y80" s="264">
        <f t="shared" si="18"/>
        <v>71</v>
      </c>
      <c r="Z80" s="10">
        <v>15</v>
      </c>
      <c r="AA80" s="7">
        <v>15</v>
      </c>
      <c r="AB80" s="7">
        <v>71</v>
      </c>
      <c r="AC80" s="109">
        <v>2</v>
      </c>
      <c r="AD80" s="109">
        <v>26833.666687179095</v>
      </c>
      <c r="AE80" s="125"/>
      <c r="AF80" s="10"/>
      <c r="AI80" s="109"/>
      <c r="AJ80" s="109"/>
      <c r="AL80" s="10"/>
      <c r="AO80" s="109"/>
      <c r="AP80" s="109"/>
      <c r="AR80" s="10"/>
      <c r="AU80" s="109"/>
      <c r="AV80" s="109"/>
      <c r="AX80" s="10"/>
      <c r="BA80" s="109"/>
      <c r="BB80" s="109"/>
      <c r="BD80" s="10"/>
      <c r="BG80" s="109"/>
      <c r="BH80" s="109"/>
      <c r="BJ80" s="10"/>
      <c r="BM80" s="109"/>
      <c r="BN80" s="109"/>
      <c r="BP80" s="10"/>
      <c r="BS80" s="109"/>
      <c r="BT80" s="109"/>
      <c r="BV80" s="10"/>
      <c r="BY80" s="109"/>
      <c r="BZ80" s="109"/>
      <c r="CB80" s="10"/>
      <c r="CE80" s="109"/>
      <c r="CF80" s="109"/>
      <c r="CH80" s="10"/>
      <c r="CK80" s="109"/>
      <c r="CL80" s="109"/>
    </row>
    <row r="81" spans="1:90">
      <c r="A81" s="7" t="str">
        <f t="shared" si="11"/>
        <v>00150615</v>
      </c>
      <c r="B81" s="7" t="s">
        <v>2354</v>
      </c>
      <c r="C81" s="7" t="s">
        <v>2698</v>
      </c>
      <c r="D81" s="7">
        <v>72</v>
      </c>
      <c r="E81" s="7">
        <v>15</v>
      </c>
      <c r="F81" s="7" t="s">
        <v>1721</v>
      </c>
      <c r="G81" s="7">
        <v>615</v>
      </c>
      <c r="H81" s="7" t="s">
        <v>1625</v>
      </c>
      <c r="I81" s="37">
        <v>16857428</v>
      </c>
      <c r="J81" s="122">
        <v>0.9269371445853769</v>
      </c>
      <c r="K81" s="123">
        <f t="shared" si="19"/>
        <v>17227673.804291498</v>
      </c>
      <c r="L81" s="122">
        <f>IF(K84&gt;0, K81/K84, 0)</f>
        <v>0.92636225752170376</v>
      </c>
      <c r="M81" s="71"/>
      <c r="N81" s="10">
        <f>ROUND(M84*L81,0)</f>
        <v>2635856</v>
      </c>
      <c r="O81" s="70">
        <v>2478380</v>
      </c>
      <c r="P81" s="10">
        <f>N81-O81</f>
        <v>157476</v>
      </c>
      <c r="Q81" s="46">
        <f>IF(O81&gt;0,P81*100/O81,IF(P81&gt;0,100,0))</f>
        <v>6.3539892994617455</v>
      </c>
      <c r="R81" s="10">
        <v>1595</v>
      </c>
      <c r="S81" s="7">
        <f t="shared" si="12"/>
        <v>0</v>
      </c>
      <c r="T81" s="124">
        <f t="shared" si="13"/>
        <v>15</v>
      </c>
      <c r="U81" s="124">
        <f t="shared" si="14"/>
        <v>615</v>
      </c>
      <c r="V81" s="124">
        <f t="shared" si="15"/>
        <v>72</v>
      </c>
      <c r="W81" s="124">
        <f t="shared" si="16"/>
        <v>1601.1067193712502</v>
      </c>
      <c r="X81" s="124">
        <f t="shared" si="17"/>
        <v>17227673.804291498</v>
      </c>
      <c r="Y81" s="264">
        <f t="shared" si="18"/>
        <v>72</v>
      </c>
      <c r="Z81" s="10">
        <v>15</v>
      </c>
      <c r="AA81" s="7">
        <v>615</v>
      </c>
      <c r="AB81" s="7">
        <v>72</v>
      </c>
      <c r="AC81" s="109">
        <v>1601.1067193712502</v>
      </c>
      <c r="AD81" s="109">
        <v>17227673.804291498</v>
      </c>
      <c r="AE81" s="125"/>
      <c r="AF81" s="10"/>
      <c r="AI81" s="109"/>
      <c r="AJ81" s="109"/>
      <c r="AL81" s="10"/>
      <c r="AO81" s="109"/>
      <c r="AP81" s="109"/>
      <c r="AR81" s="10"/>
      <c r="AU81" s="109"/>
      <c r="AV81" s="109"/>
      <c r="AX81" s="10"/>
      <c r="BA81" s="109"/>
      <c r="BB81" s="109"/>
      <c r="BD81" s="10"/>
      <c r="BG81" s="109"/>
      <c r="BH81" s="109"/>
      <c r="BJ81" s="10"/>
      <c r="BM81" s="109"/>
      <c r="BN81" s="109"/>
      <c r="BP81" s="10"/>
      <c r="BS81" s="109"/>
      <c r="BT81" s="109"/>
      <c r="BV81" s="10"/>
      <c r="BY81" s="109"/>
      <c r="BZ81" s="109"/>
      <c r="CB81" s="10"/>
      <c r="CE81" s="109"/>
      <c r="CF81" s="109"/>
      <c r="CH81" s="10"/>
      <c r="CK81" s="109"/>
      <c r="CL81" s="109"/>
    </row>
    <row r="82" spans="1:90">
      <c r="A82" s="7" t="str">
        <f t="shared" si="11"/>
        <v>00150832</v>
      </c>
      <c r="B82" s="7" t="s">
        <v>2354</v>
      </c>
      <c r="C82" s="7" t="s">
        <v>2765</v>
      </c>
      <c r="D82" s="7">
        <v>73</v>
      </c>
      <c r="E82" s="7">
        <v>15</v>
      </c>
      <c r="F82" s="7" t="s">
        <v>1721</v>
      </c>
      <c r="G82" s="7">
        <v>832</v>
      </c>
      <c r="H82" s="7" t="s">
        <v>1692</v>
      </c>
      <c r="I82" s="37">
        <v>1302391</v>
      </c>
      <c r="J82" s="122">
        <v>7.1614400172653483E-2</v>
      </c>
      <c r="K82" s="123">
        <f t="shared" si="19"/>
        <v>1342616.5638245973</v>
      </c>
      <c r="L82" s="122">
        <f>IF(K84&gt;0, K82/K84, 0)</f>
        <v>7.2194849123551577E-2</v>
      </c>
      <c r="M82" s="71"/>
      <c r="N82" s="10">
        <f>ROUND(M84*L82,0)</f>
        <v>205422</v>
      </c>
      <c r="O82" s="70">
        <v>191478</v>
      </c>
      <c r="P82" s="10">
        <f>N82-O82</f>
        <v>13944</v>
      </c>
      <c r="Q82" s="46">
        <f>IF(O82&gt;0,P82*100/O82,IF(P82&gt;0,100,0))</f>
        <v>7.2822987497258174</v>
      </c>
      <c r="R82" s="10">
        <v>85</v>
      </c>
      <c r="S82" s="7">
        <f t="shared" si="12"/>
        <v>0</v>
      </c>
      <c r="T82" s="124">
        <f t="shared" si="13"/>
        <v>15</v>
      </c>
      <c r="U82" s="124">
        <f t="shared" si="14"/>
        <v>832</v>
      </c>
      <c r="V82" s="124">
        <f t="shared" si="15"/>
        <v>73</v>
      </c>
      <c r="W82" s="124">
        <f t="shared" si="16"/>
        <v>86.057525080559998</v>
      </c>
      <c r="X82" s="124">
        <f t="shared" si="17"/>
        <v>1342616.5638245973</v>
      </c>
      <c r="Y82" s="264">
        <f t="shared" si="18"/>
        <v>73</v>
      </c>
      <c r="Z82" s="10">
        <v>15</v>
      </c>
      <c r="AA82" s="7">
        <v>832</v>
      </c>
      <c r="AB82" s="7">
        <v>73</v>
      </c>
      <c r="AC82" s="109">
        <v>86.057525080559998</v>
      </c>
      <c r="AD82" s="109">
        <v>1342616.5638245973</v>
      </c>
      <c r="AE82" s="125"/>
      <c r="AF82" s="10"/>
      <c r="AI82" s="109"/>
      <c r="AJ82" s="109"/>
      <c r="AL82" s="10"/>
      <c r="AO82" s="109"/>
      <c r="AP82" s="109"/>
      <c r="AR82" s="10"/>
      <c r="AU82" s="109"/>
      <c r="AV82" s="109"/>
      <c r="AX82" s="10"/>
      <c r="BA82" s="109"/>
      <c r="BB82" s="109"/>
      <c r="BD82" s="10"/>
      <c r="BG82" s="109"/>
      <c r="BH82" s="109"/>
      <c r="BJ82" s="10"/>
      <c r="BM82" s="109"/>
      <c r="BN82" s="109"/>
      <c r="BP82" s="10"/>
      <c r="BS82" s="109"/>
      <c r="BT82" s="109"/>
      <c r="BV82" s="10"/>
      <c r="BY82" s="109"/>
      <c r="BZ82" s="109"/>
      <c r="CB82" s="10"/>
      <c r="CE82" s="109"/>
      <c r="CF82" s="109"/>
      <c r="CH82" s="10"/>
      <c r="CK82" s="109"/>
      <c r="CL82" s="109"/>
    </row>
    <row r="83" spans="1:90">
      <c r="A83" s="7" t="str">
        <f t="shared" si="11"/>
        <v>00150998</v>
      </c>
      <c r="B83" s="7" t="s">
        <v>2354</v>
      </c>
      <c r="C83" s="7" t="s">
        <v>2781</v>
      </c>
      <c r="D83" s="7">
        <v>74</v>
      </c>
      <c r="E83" s="7">
        <v>15</v>
      </c>
      <c r="F83" s="7" t="s">
        <v>2135</v>
      </c>
      <c r="G83" s="7">
        <v>998</v>
      </c>
      <c r="H83" s="7" t="s">
        <v>2135</v>
      </c>
      <c r="I83" s="37">
        <v>0</v>
      </c>
      <c r="J83" s="122">
        <v>0</v>
      </c>
      <c r="K83" s="123">
        <f t="shared" si="19"/>
        <v>0</v>
      </c>
      <c r="L83" s="122">
        <f>IF(K84&gt;0, K83/K84, 0)</f>
        <v>0</v>
      </c>
      <c r="M83" s="71"/>
      <c r="N83" s="10">
        <f>ROUND(M84*L83,0)</f>
        <v>0</v>
      </c>
      <c r="O83" s="70">
        <v>0</v>
      </c>
      <c r="P83" s="10">
        <f>N83-O83</f>
        <v>0</v>
      </c>
      <c r="Q83" s="46">
        <f>IF(O83&gt;0,P83*100/O83,IF(P83&gt;0,100,0))</f>
        <v>0</v>
      </c>
      <c r="R83" s="10">
        <v>0</v>
      </c>
      <c r="S83" s="7">
        <f t="shared" si="12"/>
        <v>0</v>
      </c>
      <c r="T83" s="124">
        <f t="shared" si="13"/>
        <v>15</v>
      </c>
      <c r="U83" s="124">
        <f t="shared" si="14"/>
        <v>998</v>
      </c>
      <c r="V83" s="124">
        <f t="shared" si="15"/>
        <v>74</v>
      </c>
      <c r="W83" s="124">
        <f t="shared" si="16"/>
        <v>0</v>
      </c>
      <c r="X83" s="124">
        <f t="shared" si="17"/>
        <v>0</v>
      </c>
      <c r="Y83" s="264">
        <f t="shared" si="18"/>
        <v>74</v>
      </c>
      <c r="Z83" s="10">
        <v>15</v>
      </c>
      <c r="AA83" s="7">
        <v>998</v>
      </c>
      <c r="AB83" s="7">
        <v>74</v>
      </c>
      <c r="AC83" s="109">
        <v>0</v>
      </c>
      <c r="AD83" s="109">
        <v>0</v>
      </c>
      <c r="AE83" s="125"/>
      <c r="AF83" s="10"/>
      <c r="AI83" s="109"/>
      <c r="AJ83" s="109"/>
      <c r="AL83" s="10"/>
      <c r="AO83" s="109"/>
      <c r="AP83" s="109"/>
      <c r="AR83" s="10"/>
      <c r="AU83" s="109"/>
      <c r="AV83" s="109"/>
      <c r="AX83" s="10"/>
      <c r="BA83" s="109"/>
      <c r="BB83" s="109"/>
      <c r="BD83" s="10"/>
      <c r="BG83" s="109"/>
      <c r="BH83" s="109"/>
      <c r="BJ83" s="10"/>
      <c r="BM83" s="109"/>
      <c r="BN83" s="109"/>
      <c r="BP83" s="10"/>
      <c r="BS83" s="109"/>
      <c r="BT83" s="109"/>
      <c r="BV83" s="10"/>
      <c r="BY83" s="109"/>
      <c r="BZ83" s="109"/>
      <c r="CB83" s="10"/>
      <c r="CE83" s="109"/>
      <c r="CF83" s="109"/>
      <c r="CH83" s="10"/>
      <c r="CK83" s="109"/>
      <c r="CL83" s="109"/>
    </row>
    <row r="84" spans="1:90">
      <c r="A84" s="7" t="str">
        <f t="shared" si="11"/>
        <v>00150999</v>
      </c>
      <c r="B84" s="7" t="s">
        <v>2354</v>
      </c>
      <c r="C84" s="7" t="s">
        <v>2782</v>
      </c>
      <c r="D84" s="7">
        <v>75</v>
      </c>
      <c r="E84" s="11">
        <v>15</v>
      </c>
      <c r="F84" s="11" t="s">
        <v>1721</v>
      </c>
      <c r="G84" s="11">
        <v>999</v>
      </c>
      <c r="H84" s="11" t="s">
        <v>1132</v>
      </c>
      <c r="I84" s="105">
        <v>18186160.84</v>
      </c>
      <c r="J84" s="126">
        <v>1</v>
      </c>
      <c r="K84" s="127">
        <f>SUM(K80:K83)</f>
        <v>18597124.034803275</v>
      </c>
      <c r="L84" s="126">
        <f>SUM(L80:L83)</f>
        <v>0.99999999999999989</v>
      </c>
      <c r="M84" s="105">
        <f>VLOOKUP(E84,town351,22)</f>
        <v>2845384</v>
      </c>
      <c r="N84" s="105">
        <f>SUM(N80:N83)</f>
        <v>2845384</v>
      </c>
      <c r="O84" s="128">
        <v>2673731</v>
      </c>
      <c r="P84" s="105">
        <f>SUM(P80:P83)</f>
        <v>171653</v>
      </c>
      <c r="Q84" s="45">
        <f t="shared" ref="Q84:Q143" si="20">IF(O84&gt;0,P84*100/O84,IF(P84&gt;0,100,0))</f>
        <v>6.4199801700320638</v>
      </c>
      <c r="R84" s="105">
        <v>1682</v>
      </c>
      <c r="S84" s="7">
        <f t="shared" si="12"/>
        <v>0</v>
      </c>
      <c r="T84" s="124">
        <f t="shared" si="13"/>
        <v>15</v>
      </c>
      <c r="U84" s="124">
        <f t="shared" si="14"/>
        <v>999</v>
      </c>
      <c r="V84" s="124">
        <f t="shared" si="15"/>
        <v>75</v>
      </c>
      <c r="W84" s="124">
        <f t="shared" si="16"/>
        <v>1689.1642444518102</v>
      </c>
      <c r="X84" s="124">
        <f t="shared" si="17"/>
        <v>18597124.034803275</v>
      </c>
      <c r="Y84" s="264">
        <f t="shared" si="18"/>
        <v>75</v>
      </c>
      <c r="Z84" s="10">
        <v>15</v>
      </c>
      <c r="AA84" s="7">
        <v>999</v>
      </c>
      <c r="AB84" s="7">
        <v>75</v>
      </c>
      <c r="AC84" s="109">
        <v>1689.1642444518102</v>
      </c>
      <c r="AD84" s="109">
        <v>18597124.034803275</v>
      </c>
      <c r="AE84" s="125"/>
      <c r="AF84" s="10"/>
      <c r="AI84" s="109"/>
      <c r="AJ84" s="109"/>
      <c r="AL84" s="10"/>
      <c r="AO84" s="109"/>
      <c r="AP84" s="109"/>
      <c r="AR84" s="10"/>
      <c r="AU84" s="109"/>
      <c r="AV84" s="109"/>
      <c r="AX84" s="10"/>
      <c r="BA84" s="109"/>
      <c r="BB84" s="109"/>
      <c r="BD84" s="10"/>
      <c r="BG84" s="109"/>
      <c r="BH84" s="109"/>
      <c r="BJ84" s="10"/>
      <c r="BM84" s="109"/>
      <c r="BN84" s="109"/>
      <c r="BP84" s="10"/>
      <c r="BS84" s="109"/>
      <c r="BT84" s="109"/>
      <c r="BV84" s="10"/>
      <c r="BY84" s="109"/>
      <c r="BZ84" s="109"/>
      <c r="CB84" s="10"/>
      <c r="CE84" s="109"/>
      <c r="CF84" s="109"/>
      <c r="CH84" s="10"/>
      <c r="CK84" s="109"/>
      <c r="CL84" s="109"/>
    </row>
    <row r="85" spans="1:90">
      <c r="A85" s="7" t="str">
        <f t="shared" si="11"/>
        <v>00160016</v>
      </c>
      <c r="B85" s="7" t="s">
        <v>2355</v>
      </c>
      <c r="C85" s="7" t="s">
        <v>2355</v>
      </c>
      <c r="D85" s="7">
        <v>76</v>
      </c>
      <c r="E85" s="7">
        <v>16</v>
      </c>
      <c r="F85" s="7" t="s">
        <v>1722</v>
      </c>
      <c r="G85" s="7">
        <v>16</v>
      </c>
      <c r="H85" s="7" t="s">
        <v>1282</v>
      </c>
      <c r="I85" s="37">
        <v>68466287.280000016</v>
      </c>
      <c r="J85" s="122">
        <v>0.98849722144914154</v>
      </c>
      <c r="K85" s="123">
        <f>X85</f>
        <v>69495854.734565571</v>
      </c>
      <c r="L85" s="122">
        <f>IF(K89&gt;0, K85/K89, 0)</f>
        <v>0.99219616704376989</v>
      </c>
      <c r="M85" s="71"/>
      <c r="N85" s="10">
        <f>ROUND(M89*L85,0)</f>
        <v>33973326</v>
      </c>
      <c r="O85" s="70">
        <v>32806836</v>
      </c>
      <c r="P85" s="10">
        <f>N85-O85</f>
        <v>1166490</v>
      </c>
      <c r="Q85" s="46">
        <f t="shared" si="20"/>
        <v>3.5556309057051401</v>
      </c>
      <c r="R85" s="10">
        <v>6257</v>
      </c>
      <c r="S85" s="7">
        <f t="shared" si="12"/>
        <v>0</v>
      </c>
      <c r="T85" s="124">
        <f t="shared" si="13"/>
        <v>16</v>
      </c>
      <c r="U85" s="124">
        <f t="shared" si="14"/>
        <v>16</v>
      </c>
      <c r="V85" s="124">
        <f t="shared" si="15"/>
        <v>76</v>
      </c>
      <c r="W85" s="124">
        <f t="shared" si="16"/>
        <v>6251</v>
      </c>
      <c r="X85" s="124">
        <f t="shared" si="17"/>
        <v>69495854.734565571</v>
      </c>
      <c r="Y85" s="264">
        <f t="shared" si="18"/>
        <v>76</v>
      </c>
      <c r="Z85" s="10">
        <v>16</v>
      </c>
      <c r="AA85" s="7">
        <v>16</v>
      </c>
      <c r="AB85" s="7">
        <v>76</v>
      </c>
      <c r="AC85" s="109">
        <v>6251</v>
      </c>
      <c r="AD85" s="109">
        <v>69495854.734565571</v>
      </c>
      <c r="AE85" s="125"/>
      <c r="AF85" s="10"/>
      <c r="AI85" s="109"/>
      <c r="AJ85" s="109"/>
      <c r="AL85" s="10"/>
      <c r="AO85" s="109"/>
      <c r="AP85" s="109"/>
      <c r="AR85" s="10"/>
      <c r="AU85" s="109"/>
      <c r="AV85" s="109"/>
      <c r="AX85" s="10"/>
      <c r="BA85" s="109"/>
      <c r="BB85" s="109"/>
      <c r="BD85" s="10"/>
      <c r="BG85" s="109"/>
      <c r="BH85" s="109"/>
      <c r="BJ85" s="10"/>
      <c r="BM85" s="109"/>
      <c r="BN85" s="109"/>
      <c r="BP85" s="10"/>
      <c r="BS85" s="109"/>
      <c r="BT85" s="109"/>
      <c r="BV85" s="10"/>
      <c r="BY85" s="109"/>
      <c r="BZ85" s="109"/>
      <c r="CB85" s="10"/>
      <c r="CE85" s="109"/>
      <c r="CF85" s="109"/>
      <c r="CH85" s="10"/>
      <c r="CK85" s="109"/>
      <c r="CL85" s="109"/>
    </row>
    <row r="86" spans="1:90">
      <c r="A86" s="7" t="str">
        <f t="shared" si="11"/>
        <v>00160910</v>
      </c>
      <c r="B86" s="7" t="s">
        <v>2355</v>
      </c>
      <c r="C86" s="7" t="s">
        <v>2778</v>
      </c>
      <c r="D86" s="7">
        <v>77</v>
      </c>
      <c r="E86" s="7">
        <v>16</v>
      </c>
      <c r="F86" s="7" t="s">
        <v>1722</v>
      </c>
      <c r="G86" s="7">
        <v>910</v>
      </c>
      <c r="H86" s="7" t="s">
        <v>1705</v>
      </c>
      <c r="I86" s="37">
        <v>796717</v>
      </c>
      <c r="J86" s="122">
        <v>1.1502778550858432E-2</v>
      </c>
      <c r="K86" s="123">
        <f t="shared" si="19"/>
        <v>546599.61357727973</v>
      </c>
      <c r="L86" s="122">
        <f>IF(K89&gt;0, K86/K89, 0)</f>
        <v>7.8038329562301048E-3</v>
      </c>
      <c r="M86" s="71"/>
      <c r="N86" s="10">
        <f>ROUND(M89*L86,0)</f>
        <v>267207</v>
      </c>
      <c r="O86" s="70">
        <v>381761</v>
      </c>
      <c r="P86" s="10">
        <f>N86-O86</f>
        <v>-114554</v>
      </c>
      <c r="Q86" s="46">
        <f t="shared" si="20"/>
        <v>-30.006731960572189</v>
      </c>
      <c r="R86" s="10">
        <v>52</v>
      </c>
      <c r="S86" s="7">
        <f t="shared" si="12"/>
        <v>0</v>
      </c>
      <c r="T86" s="124">
        <f t="shared" si="13"/>
        <v>16</v>
      </c>
      <c r="U86" s="124">
        <f t="shared" si="14"/>
        <v>910</v>
      </c>
      <c r="V86" s="124">
        <f t="shared" si="15"/>
        <v>77</v>
      </c>
      <c r="W86" s="124">
        <f t="shared" si="16"/>
        <v>34.999999999720004</v>
      </c>
      <c r="X86" s="124">
        <f t="shared" si="17"/>
        <v>546599.61357727973</v>
      </c>
      <c r="Y86" s="264">
        <f t="shared" si="18"/>
        <v>77</v>
      </c>
      <c r="Z86" s="10">
        <v>16</v>
      </c>
      <c r="AA86" s="7">
        <v>910</v>
      </c>
      <c r="AB86" s="7">
        <v>77</v>
      </c>
      <c r="AC86" s="109">
        <v>34.999999999720004</v>
      </c>
      <c r="AD86" s="109">
        <v>546599.61357727973</v>
      </c>
      <c r="AE86" s="125"/>
      <c r="AF86" s="10"/>
      <c r="AI86" s="109"/>
      <c r="AJ86" s="109"/>
      <c r="AL86" s="10"/>
      <c r="AO86" s="109"/>
      <c r="AP86" s="109"/>
      <c r="AR86" s="10"/>
      <c r="AU86" s="109"/>
      <c r="AV86" s="109"/>
      <c r="AX86" s="10"/>
      <c r="BA86" s="109"/>
      <c r="BB86" s="109"/>
      <c r="BD86" s="10"/>
      <c r="BG86" s="109"/>
      <c r="BH86" s="109"/>
      <c r="BJ86" s="10"/>
      <c r="BM86" s="109"/>
      <c r="BN86" s="109"/>
      <c r="BP86" s="10"/>
      <c r="BS86" s="109"/>
      <c r="BT86" s="109"/>
      <c r="BV86" s="10"/>
      <c r="BY86" s="109"/>
      <c r="BZ86" s="109"/>
      <c r="CB86" s="10"/>
      <c r="CE86" s="109"/>
      <c r="CF86" s="109"/>
      <c r="CH86" s="10"/>
      <c r="CK86" s="109"/>
      <c r="CL86" s="109"/>
    </row>
    <row r="87" spans="1:90">
      <c r="A87" s="7" t="str">
        <f t="shared" si="11"/>
        <v>00160998</v>
      </c>
      <c r="B87" s="7" t="s">
        <v>2355</v>
      </c>
      <c r="C87" s="7" t="s">
        <v>2781</v>
      </c>
      <c r="D87" s="7">
        <v>78</v>
      </c>
      <c r="E87" s="7">
        <v>16</v>
      </c>
      <c r="F87" s="7" t="s">
        <v>2135</v>
      </c>
      <c r="G87" s="7">
        <v>998</v>
      </c>
      <c r="H87" s="7" t="s">
        <v>2135</v>
      </c>
      <c r="I87" s="37">
        <v>0</v>
      </c>
      <c r="J87" s="122">
        <v>0</v>
      </c>
      <c r="K87" s="123">
        <f t="shared" si="19"/>
        <v>0</v>
      </c>
      <c r="L87" s="122">
        <f>IF(K89&gt;0, K87/K89, 0)</f>
        <v>0</v>
      </c>
      <c r="M87" s="71"/>
      <c r="N87" s="10">
        <f>ROUND(M89*L87,0)</f>
        <v>0</v>
      </c>
      <c r="O87" s="70">
        <v>0</v>
      </c>
      <c r="P87" s="10">
        <f>N87-O87</f>
        <v>0</v>
      </c>
      <c r="Q87" s="46">
        <f t="shared" si="20"/>
        <v>0</v>
      </c>
      <c r="R87" s="10">
        <v>0</v>
      </c>
      <c r="S87" s="7">
        <f t="shared" si="12"/>
        <v>0</v>
      </c>
      <c r="T87" s="124">
        <f t="shared" si="13"/>
        <v>16</v>
      </c>
      <c r="U87" s="124">
        <f t="shared" si="14"/>
        <v>998</v>
      </c>
      <c r="V87" s="124">
        <f t="shared" si="15"/>
        <v>78</v>
      </c>
      <c r="W87" s="124">
        <f t="shared" si="16"/>
        <v>0</v>
      </c>
      <c r="X87" s="124">
        <f t="shared" si="17"/>
        <v>0</v>
      </c>
      <c r="Y87" s="264">
        <f t="shared" si="18"/>
        <v>78</v>
      </c>
      <c r="Z87" s="10">
        <v>16</v>
      </c>
      <c r="AA87" s="7">
        <v>998</v>
      </c>
      <c r="AB87" s="7">
        <v>78</v>
      </c>
      <c r="AC87" s="109">
        <v>0</v>
      </c>
      <c r="AD87" s="109">
        <v>0</v>
      </c>
      <c r="AE87" s="125"/>
      <c r="AF87" s="10"/>
      <c r="AI87" s="109"/>
      <c r="AJ87" s="109"/>
      <c r="AL87" s="10"/>
      <c r="AO87" s="109"/>
      <c r="AP87" s="109"/>
      <c r="AR87" s="10"/>
      <c r="AU87" s="109"/>
      <c r="AV87" s="109"/>
      <c r="AX87" s="10"/>
      <c r="BA87" s="109"/>
      <c r="BB87" s="109"/>
      <c r="BD87" s="10"/>
      <c r="BG87" s="109"/>
      <c r="BH87" s="109"/>
      <c r="BJ87" s="10"/>
      <c r="BM87" s="109"/>
      <c r="BN87" s="109"/>
      <c r="BP87" s="10"/>
      <c r="BS87" s="109"/>
      <c r="BT87" s="109"/>
      <c r="BV87" s="10"/>
      <c r="BY87" s="109"/>
      <c r="BZ87" s="109"/>
      <c r="CB87" s="10"/>
      <c r="CE87" s="109"/>
      <c r="CF87" s="109"/>
      <c r="CH87" s="10"/>
      <c r="CK87" s="109"/>
      <c r="CL87" s="109"/>
    </row>
    <row r="88" spans="1:90">
      <c r="A88" s="7" t="str">
        <f t="shared" si="11"/>
        <v>00160998</v>
      </c>
      <c r="B88" s="7" t="s">
        <v>2355</v>
      </c>
      <c r="C88" s="7" t="s">
        <v>2781</v>
      </c>
      <c r="D88" s="7">
        <v>79</v>
      </c>
      <c r="E88" s="7">
        <v>16</v>
      </c>
      <c r="F88" s="7" t="s">
        <v>2135</v>
      </c>
      <c r="G88" s="7">
        <v>998</v>
      </c>
      <c r="H88" s="7" t="s">
        <v>2135</v>
      </c>
      <c r="I88" s="37">
        <v>0</v>
      </c>
      <c r="J88" s="122">
        <v>0</v>
      </c>
      <c r="K88" s="123">
        <f t="shared" si="19"/>
        <v>0</v>
      </c>
      <c r="L88" s="122">
        <f>IF(K89&gt;0, K88/K89, 0)</f>
        <v>0</v>
      </c>
      <c r="M88" s="71"/>
      <c r="N88" s="10">
        <f>ROUND(M89*L88,0)</f>
        <v>0</v>
      </c>
      <c r="O88" s="70">
        <v>0</v>
      </c>
      <c r="P88" s="10">
        <f>N88-O88</f>
        <v>0</v>
      </c>
      <c r="Q88" s="46">
        <f t="shared" si="20"/>
        <v>0</v>
      </c>
      <c r="R88" s="10">
        <v>0</v>
      </c>
      <c r="S88" s="7">
        <f t="shared" si="12"/>
        <v>0</v>
      </c>
      <c r="T88" s="124">
        <f t="shared" si="13"/>
        <v>16</v>
      </c>
      <c r="U88" s="124">
        <f t="shared" si="14"/>
        <v>998</v>
      </c>
      <c r="V88" s="124">
        <f t="shared" si="15"/>
        <v>79</v>
      </c>
      <c r="W88" s="124">
        <f t="shared" si="16"/>
        <v>0</v>
      </c>
      <c r="X88" s="124">
        <f t="shared" si="17"/>
        <v>0</v>
      </c>
      <c r="Y88" s="264">
        <f t="shared" si="18"/>
        <v>79</v>
      </c>
      <c r="Z88" s="10">
        <v>16</v>
      </c>
      <c r="AA88" s="7">
        <v>998</v>
      </c>
      <c r="AB88" s="7">
        <v>79</v>
      </c>
      <c r="AC88" s="109">
        <v>0</v>
      </c>
      <c r="AD88" s="109">
        <v>0</v>
      </c>
      <c r="AE88" s="125"/>
      <c r="AF88" s="10"/>
      <c r="AI88" s="109"/>
      <c r="AJ88" s="109"/>
      <c r="AL88" s="10"/>
      <c r="AO88" s="109"/>
      <c r="AP88" s="109"/>
      <c r="AR88" s="10"/>
      <c r="AU88" s="109"/>
      <c r="AV88" s="109"/>
      <c r="AX88" s="10"/>
      <c r="BA88" s="109"/>
      <c r="BB88" s="109"/>
      <c r="BD88" s="10"/>
      <c r="BG88" s="109"/>
      <c r="BH88" s="109"/>
      <c r="BJ88" s="10"/>
      <c r="BM88" s="109"/>
      <c r="BN88" s="109"/>
      <c r="BP88" s="10"/>
      <c r="BS88" s="109"/>
      <c r="BT88" s="109"/>
      <c r="BV88" s="10"/>
      <c r="BY88" s="109"/>
      <c r="BZ88" s="109"/>
      <c r="CB88" s="10"/>
      <c r="CE88" s="109"/>
      <c r="CF88" s="109"/>
      <c r="CH88" s="10"/>
      <c r="CK88" s="109"/>
      <c r="CL88" s="109"/>
    </row>
    <row r="89" spans="1:90">
      <c r="A89" s="7" t="str">
        <f t="shared" si="11"/>
        <v>00160999</v>
      </c>
      <c r="B89" s="7" t="s">
        <v>2355</v>
      </c>
      <c r="C89" s="7" t="s">
        <v>2782</v>
      </c>
      <c r="D89" s="7">
        <v>80</v>
      </c>
      <c r="E89" s="11">
        <v>16</v>
      </c>
      <c r="F89" s="11" t="s">
        <v>1722</v>
      </c>
      <c r="G89" s="11">
        <v>999</v>
      </c>
      <c r="H89" s="11" t="s">
        <v>1132</v>
      </c>
      <c r="I89" s="105">
        <v>69263004.280000016</v>
      </c>
      <c r="J89" s="126">
        <v>1</v>
      </c>
      <c r="K89" s="127">
        <f>SUM(K85:K88)</f>
        <v>70042454.348142847</v>
      </c>
      <c r="L89" s="126">
        <f>SUM(L85:L88)</f>
        <v>1</v>
      </c>
      <c r="M89" s="105">
        <f>VLOOKUP(E89,town351,22)</f>
        <v>34240533</v>
      </c>
      <c r="N89" s="105">
        <f>SUM(N85:N88)</f>
        <v>34240533</v>
      </c>
      <c r="O89" s="128">
        <v>33188597</v>
      </c>
      <c r="P89" s="105">
        <f>SUM(P85:P88)</f>
        <v>1051936</v>
      </c>
      <c r="Q89" s="45">
        <f t="shared" si="20"/>
        <v>3.1695705606356306</v>
      </c>
      <c r="R89" s="105">
        <v>6309</v>
      </c>
      <c r="S89" s="7">
        <f t="shared" si="12"/>
        <v>0</v>
      </c>
      <c r="T89" s="124">
        <f t="shared" si="13"/>
        <v>16</v>
      </c>
      <c r="U89" s="124">
        <f t="shared" si="14"/>
        <v>999</v>
      </c>
      <c r="V89" s="124">
        <f t="shared" si="15"/>
        <v>80</v>
      </c>
      <c r="W89" s="124">
        <f t="shared" si="16"/>
        <v>6285.9999999997199</v>
      </c>
      <c r="X89" s="124">
        <f t="shared" si="17"/>
        <v>70042454.348142847</v>
      </c>
      <c r="Y89" s="264">
        <f t="shared" si="18"/>
        <v>80</v>
      </c>
      <c r="Z89" s="10">
        <v>16</v>
      </c>
      <c r="AA89" s="7">
        <v>999</v>
      </c>
      <c r="AB89" s="7">
        <v>80</v>
      </c>
      <c r="AC89" s="109">
        <v>6285.9999999997199</v>
      </c>
      <c r="AD89" s="109">
        <v>70042454.348142847</v>
      </c>
      <c r="AE89" s="125"/>
      <c r="AF89" s="10"/>
      <c r="AI89" s="109"/>
      <c r="AJ89" s="109"/>
      <c r="AL89" s="10"/>
      <c r="AO89" s="109"/>
      <c r="AP89" s="109"/>
      <c r="AR89" s="10"/>
      <c r="AU89" s="109"/>
      <c r="AV89" s="109"/>
      <c r="AX89" s="10"/>
      <c r="BA89" s="109"/>
      <c r="BB89" s="109"/>
      <c r="BD89" s="10"/>
      <c r="BG89" s="109"/>
      <c r="BH89" s="109"/>
      <c r="BJ89" s="10"/>
      <c r="BM89" s="109"/>
      <c r="BN89" s="109"/>
      <c r="BP89" s="10"/>
      <c r="BS89" s="109"/>
      <c r="BT89" s="109"/>
      <c r="BV89" s="10"/>
      <c r="BY89" s="109"/>
      <c r="BZ89" s="109"/>
      <c r="CB89" s="10"/>
      <c r="CE89" s="109"/>
      <c r="CF89" s="109"/>
      <c r="CH89" s="10"/>
      <c r="CK89" s="109"/>
      <c r="CL89" s="109"/>
    </row>
    <row r="90" spans="1:90">
      <c r="A90" s="7" t="str">
        <f t="shared" si="11"/>
        <v>00170017</v>
      </c>
      <c r="B90" s="7" t="s">
        <v>2356</v>
      </c>
      <c r="C90" s="7" t="s">
        <v>2356</v>
      </c>
      <c r="D90" s="7">
        <v>81</v>
      </c>
      <c r="E90" s="7">
        <v>17</v>
      </c>
      <c r="F90" s="7" t="s">
        <v>1723</v>
      </c>
      <c r="G90" s="7">
        <v>17</v>
      </c>
      <c r="H90" s="7" t="s">
        <v>1283</v>
      </c>
      <c r="I90" s="37">
        <v>23122124.420000002</v>
      </c>
      <c r="J90" s="122">
        <v>0.94398356082500279</v>
      </c>
      <c r="K90" s="123">
        <f>X90</f>
        <v>24064548.393377755</v>
      </c>
      <c r="L90" s="122">
        <f>IF(K94&gt;0, K90/K94, 0)</f>
        <v>0.94290671456769037</v>
      </c>
      <c r="M90" s="71"/>
      <c r="N90" s="10">
        <f>ROUND(M94*L90,0)</f>
        <v>13986014</v>
      </c>
      <c r="O90" s="70">
        <v>14141768</v>
      </c>
      <c r="P90" s="10">
        <f>N90-O90</f>
        <v>-155754</v>
      </c>
      <c r="Q90" s="46">
        <f t="shared" si="20"/>
        <v>-1.1013757261468298</v>
      </c>
      <c r="R90" s="10">
        <v>2387</v>
      </c>
      <c r="S90" s="7">
        <f t="shared" si="12"/>
        <v>0</v>
      </c>
      <c r="T90" s="124">
        <f t="shared" si="13"/>
        <v>17</v>
      </c>
      <c r="U90" s="124">
        <f t="shared" si="14"/>
        <v>17</v>
      </c>
      <c r="V90" s="124">
        <f t="shared" si="15"/>
        <v>81</v>
      </c>
      <c r="W90" s="124">
        <f t="shared" si="16"/>
        <v>2431</v>
      </c>
      <c r="X90" s="124">
        <f t="shared" si="17"/>
        <v>24064548.393377755</v>
      </c>
      <c r="Y90" s="264">
        <f t="shared" si="18"/>
        <v>81</v>
      </c>
      <c r="Z90" s="10">
        <v>17</v>
      </c>
      <c r="AA90" s="7">
        <v>17</v>
      </c>
      <c r="AB90" s="7">
        <v>81</v>
      </c>
      <c r="AC90" s="109">
        <v>2431</v>
      </c>
      <c r="AD90" s="109">
        <v>24064548.393377755</v>
      </c>
      <c r="AE90" s="125"/>
      <c r="AF90" s="10"/>
      <c r="AI90" s="109"/>
      <c r="AJ90" s="109"/>
      <c r="AL90" s="10"/>
      <c r="AO90" s="109"/>
      <c r="AP90" s="109"/>
      <c r="AR90" s="10"/>
      <c r="AU90" s="109"/>
      <c r="AV90" s="109"/>
      <c r="AX90" s="10"/>
      <c r="BA90" s="109"/>
      <c r="BB90" s="109"/>
      <c r="BD90" s="10"/>
      <c r="BG90" s="109"/>
      <c r="BH90" s="109"/>
      <c r="BJ90" s="10"/>
      <c r="BM90" s="109"/>
      <c r="BN90" s="109"/>
      <c r="BP90" s="10"/>
      <c r="BS90" s="109"/>
      <c r="BT90" s="109"/>
      <c r="BV90" s="10"/>
      <c r="BY90" s="109"/>
      <c r="BZ90" s="109"/>
      <c r="CB90" s="10"/>
      <c r="CE90" s="109"/>
      <c r="CF90" s="109"/>
      <c r="CH90" s="10"/>
      <c r="CK90" s="109"/>
      <c r="CL90" s="109"/>
    </row>
    <row r="91" spans="1:90">
      <c r="A91" s="7" t="str">
        <f t="shared" si="11"/>
        <v>00170876</v>
      </c>
      <c r="B91" s="7" t="s">
        <v>2356</v>
      </c>
      <c r="C91" s="7" t="s">
        <v>2774</v>
      </c>
      <c r="D91" s="7">
        <v>82</v>
      </c>
      <c r="E91" s="7">
        <v>17</v>
      </c>
      <c r="F91" s="7" t="s">
        <v>1723</v>
      </c>
      <c r="G91" s="7">
        <v>876</v>
      </c>
      <c r="H91" s="7" t="s">
        <v>1701</v>
      </c>
      <c r="I91" s="37">
        <v>1372078</v>
      </c>
      <c r="J91" s="122">
        <v>5.6016439174997226E-2</v>
      </c>
      <c r="K91" s="123">
        <f t="shared" si="19"/>
        <v>1457115.649932211</v>
      </c>
      <c r="L91" s="122">
        <f>IF(K94&gt;0, K91/K94, 0)</f>
        <v>5.7093285432309696E-2</v>
      </c>
      <c r="M91" s="71"/>
      <c r="N91" s="10">
        <f>ROUND(M94*L91,0)</f>
        <v>846857</v>
      </c>
      <c r="O91" s="70">
        <v>839179</v>
      </c>
      <c r="P91" s="10">
        <f>N91-O91</f>
        <v>7678</v>
      </c>
      <c r="Q91" s="46">
        <f t="shared" si="20"/>
        <v>0.91494186579978765</v>
      </c>
      <c r="R91" s="10">
        <v>88</v>
      </c>
      <c r="S91" s="7">
        <f t="shared" si="12"/>
        <v>0</v>
      </c>
      <c r="T91" s="124">
        <f t="shared" si="13"/>
        <v>17</v>
      </c>
      <c r="U91" s="124">
        <f t="shared" si="14"/>
        <v>876</v>
      </c>
      <c r="V91" s="124">
        <f t="shared" si="15"/>
        <v>82</v>
      </c>
      <c r="W91" s="124">
        <f t="shared" si="16"/>
        <v>92.000000002099995</v>
      </c>
      <c r="X91" s="124">
        <f t="shared" si="17"/>
        <v>1457115.649932211</v>
      </c>
      <c r="Y91" s="264">
        <f t="shared" si="18"/>
        <v>82</v>
      </c>
      <c r="Z91" s="10">
        <v>17</v>
      </c>
      <c r="AA91" s="7">
        <v>876</v>
      </c>
      <c r="AB91" s="7">
        <v>82</v>
      </c>
      <c r="AC91" s="109">
        <v>92.000000002099995</v>
      </c>
      <c r="AD91" s="109">
        <v>1457115.649932211</v>
      </c>
      <c r="AE91" s="125"/>
      <c r="AF91" s="10"/>
      <c r="AI91" s="109"/>
      <c r="AJ91" s="109"/>
      <c r="AL91" s="10"/>
      <c r="AO91" s="109"/>
      <c r="AP91" s="109"/>
      <c r="AR91" s="10"/>
      <c r="AU91" s="109"/>
      <c r="AV91" s="109"/>
      <c r="AX91" s="10"/>
      <c r="BA91" s="109"/>
      <c r="BB91" s="109"/>
      <c r="BD91" s="10"/>
      <c r="BG91" s="109"/>
      <c r="BH91" s="109"/>
      <c r="BJ91" s="10"/>
      <c r="BM91" s="109"/>
      <c r="BN91" s="109"/>
      <c r="BP91" s="10"/>
      <c r="BS91" s="109"/>
      <c r="BT91" s="109"/>
      <c r="BV91" s="10"/>
      <c r="BY91" s="109"/>
      <c r="BZ91" s="109"/>
      <c r="CB91" s="10"/>
      <c r="CE91" s="109"/>
      <c r="CF91" s="109"/>
      <c r="CH91" s="10"/>
      <c r="CK91" s="109"/>
      <c r="CL91" s="109"/>
    </row>
    <row r="92" spans="1:90">
      <c r="A92" s="7" t="str">
        <f t="shared" si="11"/>
        <v>00170998</v>
      </c>
      <c r="B92" s="7" t="s">
        <v>2356</v>
      </c>
      <c r="C92" s="7" t="s">
        <v>2781</v>
      </c>
      <c r="D92" s="7">
        <v>83</v>
      </c>
      <c r="E92" s="7">
        <v>17</v>
      </c>
      <c r="F92" s="7" t="s">
        <v>2135</v>
      </c>
      <c r="G92" s="7">
        <v>998</v>
      </c>
      <c r="H92" s="7" t="s">
        <v>2135</v>
      </c>
      <c r="I92" s="37">
        <v>0</v>
      </c>
      <c r="J92" s="122">
        <v>0</v>
      </c>
      <c r="K92" s="123">
        <f t="shared" si="19"/>
        <v>0</v>
      </c>
      <c r="L92" s="122">
        <f>IF(K94&gt;0, K92/K94, 0)</f>
        <v>0</v>
      </c>
      <c r="M92" s="71"/>
      <c r="N92" s="10">
        <f>ROUND(M94*L92,0)</f>
        <v>0</v>
      </c>
      <c r="O92" s="70">
        <v>0</v>
      </c>
      <c r="P92" s="10">
        <f>N92-O92</f>
        <v>0</v>
      </c>
      <c r="Q92" s="46">
        <f t="shared" si="20"/>
        <v>0</v>
      </c>
      <c r="R92" s="10">
        <v>0</v>
      </c>
      <c r="S92" s="7">
        <f t="shared" si="12"/>
        <v>0</v>
      </c>
      <c r="T92" s="124">
        <f t="shared" si="13"/>
        <v>17</v>
      </c>
      <c r="U92" s="124">
        <f t="shared" si="14"/>
        <v>998</v>
      </c>
      <c r="V92" s="124">
        <f t="shared" si="15"/>
        <v>83</v>
      </c>
      <c r="W92" s="124">
        <f t="shared" si="16"/>
        <v>0</v>
      </c>
      <c r="X92" s="124">
        <f t="shared" si="17"/>
        <v>0</v>
      </c>
      <c r="Y92" s="264">
        <f t="shared" si="18"/>
        <v>83</v>
      </c>
      <c r="Z92" s="10">
        <v>17</v>
      </c>
      <c r="AA92" s="7">
        <v>998</v>
      </c>
      <c r="AB92" s="7">
        <v>83</v>
      </c>
      <c r="AC92" s="109">
        <v>0</v>
      </c>
      <c r="AD92" s="109">
        <v>0</v>
      </c>
      <c r="AE92" s="125"/>
      <c r="AF92" s="10"/>
      <c r="AI92" s="109"/>
      <c r="AJ92" s="109"/>
      <c r="AL92" s="10"/>
      <c r="AO92" s="109"/>
      <c r="AP92" s="109"/>
      <c r="AR92" s="10"/>
      <c r="AU92" s="109"/>
      <c r="AV92" s="109"/>
      <c r="AX92" s="10"/>
      <c r="BA92" s="109"/>
      <c r="BB92" s="109"/>
      <c r="BD92" s="10"/>
      <c r="BG92" s="109"/>
      <c r="BH92" s="109"/>
      <c r="BJ92" s="10"/>
      <c r="BM92" s="109"/>
      <c r="BN92" s="109"/>
      <c r="BP92" s="10"/>
      <c r="BS92" s="109"/>
      <c r="BT92" s="109"/>
      <c r="BV92" s="10"/>
      <c r="BY92" s="109"/>
      <c r="BZ92" s="109"/>
      <c r="CB92" s="10"/>
      <c r="CE92" s="109"/>
      <c r="CF92" s="109"/>
      <c r="CH92" s="10"/>
      <c r="CK92" s="109"/>
      <c r="CL92" s="109"/>
    </row>
    <row r="93" spans="1:90">
      <c r="A93" s="7" t="str">
        <f t="shared" si="11"/>
        <v>00170998</v>
      </c>
      <c r="B93" s="7" t="s">
        <v>2356</v>
      </c>
      <c r="C93" s="7" t="s">
        <v>2781</v>
      </c>
      <c r="D93" s="7">
        <v>84</v>
      </c>
      <c r="E93" s="7">
        <v>17</v>
      </c>
      <c r="F93" s="7" t="s">
        <v>2135</v>
      </c>
      <c r="G93" s="7">
        <v>998</v>
      </c>
      <c r="H93" s="7" t="s">
        <v>2135</v>
      </c>
      <c r="I93" s="37">
        <v>0</v>
      </c>
      <c r="J93" s="122">
        <v>0</v>
      </c>
      <c r="K93" s="123">
        <f t="shared" si="19"/>
        <v>0</v>
      </c>
      <c r="L93" s="122">
        <f>IF(K94&gt;0, K93/K94, 0)</f>
        <v>0</v>
      </c>
      <c r="M93" s="71"/>
      <c r="N93" s="10">
        <f>ROUND(M94*L93,0)</f>
        <v>0</v>
      </c>
      <c r="O93" s="70">
        <v>0</v>
      </c>
      <c r="P93" s="10">
        <f>N93-O93</f>
        <v>0</v>
      </c>
      <c r="Q93" s="46">
        <f t="shared" si="20"/>
        <v>0</v>
      </c>
      <c r="R93" s="10">
        <v>0</v>
      </c>
      <c r="S93" s="7">
        <f t="shared" si="12"/>
        <v>0</v>
      </c>
      <c r="T93" s="124">
        <f t="shared" si="13"/>
        <v>17</v>
      </c>
      <c r="U93" s="124">
        <f t="shared" si="14"/>
        <v>998</v>
      </c>
      <c r="V93" s="124">
        <f t="shared" si="15"/>
        <v>84</v>
      </c>
      <c r="W93" s="124">
        <f t="shared" si="16"/>
        <v>0</v>
      </c>
      <c r="X93" s="124">
        <f t="shared" si="17"/>
        <v>0</v>
      </c>
      <c r="Y93" s="264">
        <f t="shared" si="18"/>
        <v>84</v>
      </c>
      <c r="Z93" s="10">
        <v>17</v>
      </c>
      <c r="AA93" s="7">
        <v>998</v>
      </c>
      <c r="AB93" s="7">
        <v>84</v>
      </c>
      <c r="AC93" s="109">
        <v>0</v>
      </c>
      <c r="AD93" s="109">
        <v>0</v>
      </c>
      <c r="AE93" s="125"/>
      <c r="AF93" s="10"/>
      <c r="AI93" s="109"/>
      <c r="AJ93" s="109"/>
      <c r="AL93" s="10"/>
      <c r="AO93" s="109"/>
      <c r="AP93" s="109"/>
      <c r="AR93" s="10"/>
      <c r="AU93" s="109"/>
      <c r="AV93" s="109"/>
      <c r="AX93" s="10"/>
      <c r="BA93" s="109"/>
      <c r="BB93" s="109"/>
      <c r="BD93" s="10"/>
      <c r="BG93" s="109"/>
      <c r="BH93" s="109"/>
      <c r="BJ93" s="10"/>
      <c r="BM93" s="109"/>
      <c r="BN93" s="109"/>
      <c r="BP93" s="10"/>
      <c r="BS93" s="109"/>
      <c r="BT93" s="109"/>
      <c r="BV93" s="10"/>
      <c r="BY93" s="109"/>
      <c r="BZ93" s="109"/>
      <c r="CB93" s="10"/>
      <c r="CE93" s="109"/>
      <c r="CF93" s="109"/>
      <c r="CH93" s="10"/>
      <c r="CK93" s="109"/>
      <c r="CL93" s="109"/>
    </row>
    <row r="94" spans="1:90">
      <c r="A94" s="7" t="str">
        <f t="shared" si="11"/>
        <v>00170999</v>
      </c>
      <c r="B94" s="7" t="s">
        <v>2356</v>
      </c>
      <c r="C94" s="7" t="s">
        <v>2782</v>
      </c>
      <c r="D94" s="7">
        <v>85</v>
      </c>
      <c r="E94" s="11">
        <v>17</v>
      </c>
      <c r="F94" s="11" t="s">
        <v>1723</v>
      </c>
      <c r="G94" s="11">
        <v>999</v>
      </c>
      <c r="H94" s="11" t="s">
        <v>1132</v>
      </c>
      <c r="I94" s="105">
        <v>24494202.420000002</v>
      </c>
      <c r="J94" s="126">
        <v>1</v>
      </c>
      <c r="K94" s="127">
        <f>SUM(K90:K93)</f>
        <v>25521664.043309964</v>
      </c>
      <c r="L94" s="126">
        <f>SUM(L90:L93)</f>
        <v>1</v>
      </c>
      <c r="M94" s="105">
        <f>VLOOKUP(E94,town351,22)</f>
        <v>14832871</v>
      </c>
      <c r="N94" s="105">
        <f>SUM(N90:N93)</f>
        <v>14832871</v>
      </c>
      <c r="O94" s="128">
        <v>14980947</v>
      </c>
      <c r="P94" s="105">
        <f>SUM(P90:P93)</f>
        <v>-148076</v>
      </c>
      <c r="Q94" s="45">
        <f t="shared" si="20"/>
        <v>-0.98842883564036377</v>
      </c>
      <c r="R94" s="105">
        <v>2475</v>
      </c>
      <c r="S94" s="7">
        <f t="shared" si="12"/>
        <v>0</v>
      </c>
      <c r="T94" s="124">
        <f t="shared" si="13"/>
        <v>17</v>
      </c>
      <c r="U94" s="124">
        <f t="shared" si="14"/>
        <v>999</v>
      </c>
      <c r="V94" s="124">
        <f t="shared" si="15"/>
        <v>85</v>
      </c>
      <c r="W94" s="124">
        <f t="shared" si="16"/>
        <v>2523.0000000021</v>
      </c>
      <c r="X94" s="124">
        <f t="shared" si="17"/>
        <v>25521664.043309964</v>
      </c>
      <c r="Y94" s="264">
        <f t="shared" si="18"/>
        <v>85</v>
      </c>
      <c r="Z94" s="10">
        <v>17</v>
      </c>
      <c r="AA94" s="7">
        <v>999</v>
      </c>
      <c r="AB94" s="7">
        <v>85</v>
      </c>
      <c r="AC94" s="109">
        <v>2523.0000000021</v>
      </c>
      <c r="AD94" s="109">
        <v>25521664.043309964</v>
      </c>
      <c r="AE94" s="125"/>
      <c r="AF94" s="10"/>
      <c r="AI94" s="109"/>
      <c r="AJ94" s="109"/>
      <c r="AL94" s="10"/>
      <c r="AO94" s="109"/>
      <c r="AP94" s="109"/>
      <c r="AR94" s="10"/>
      <c r="AU94" s="109"/>
      <c r="AV94" s="109"/>
      <c r="AX94" s="10"/>
      <c r="BA94" s="109"/>
      <c r="BB94" s="109"/>
      <c r="BD94" s="10"/>
      <c r="BG94" s="109"/>
      <c r="BH94" s="109"/>
      <c r="BJ94" s="10"/>
      <c r="BM94" s="109"/>
      <c r="BN94" s="109"/>
      <c r="BP94" s="10"/>
      <c r="BS94" s="109"/>
      <c r="BT94" s="109"/>
      <c r="BV94" s="10"/>
      <c r="BY94" s="109"/>
      <c r="BZ94" s="109"/>
      <c r="CB94" s="10"/>
      <c r="CE94" s="109"/>
      <c r="CF94" s="109"/>
      <c r="CH94" s="10"/>
      <c r="CK94" s="109"/>
      <c r="CL94" s="109"/>
    </row>
    <row r="95" spans="1:90">
      <c r="A95" s="7" t="str">
        <f t="shared" si="11"/>
        <v>00180018</v>
      </c>
      <c r="B95" s="7" t="s">
        <v>2357</v>
      </c>
      <c r="C95" s="7" t="s">
        <v>2357</v>
      </c>
      <c r="D95" s="7">
        <v>86</v>
      </c>
      <c r="E95" s="7">
        <v>18</v>
      </c>
      <c r="F95" s="7" t="s">
        <v>1724</v>
      </c>
      <c r="G95" s="7">
        <v>18</v>
      </c>
      <c r="H95" s="7" t="s">
        <v>1284</v>
      </c>
      <c r="I95" s="37">
        <v>5736311.7000000011</v>
      </c>
      <c r="J95" s="122">
        <v>0.87421844492457135</v>
      </c>
      <c r="K95" s="123">
        <f>X95</f>
        <v>5634205.6633891659</v>
      </c>
      <c r="L95" s="122">
        <f>IF(K99&gt;0, K95/K99, 0)</f>
        <v>0.8636489955694161</v>
      </c>
      <c r="M95" s="71"/>
      <c r="N95" s="10">
        <f>ROUND(M99*L95,0)</f>
        <v>4254900</v>
      </c>
      <c r="O95" s="70">
        <v>4321841</v>
      </c>
      <c r="P95" s="10">
        <f>N95-O95</f>
        <v>-66941</v>
      </c>
      <c r="Q95" s="46">
        <f t="shared" si="20"/>
        <v>-1.5489001099300044</v>
      </c>
      <c r="R95" s="10">
        <v>545</v>
      </c>
      <c r="S95" s="7">
        <f t="shared" si="12"/>
        <v>0</v>
      </c>
      <c r="T95" s="124">
        <f t="shared" si="13"/>
        <v>18</v>
      </c>
      <c r="U95" s="124">
        <f t="shared" si="14"/>
        <v>18</v>
      </c>
      <c r="V95" s="124">
        <f t="shared" si="15"/>
        <v>86</v>
      </c>
      <c r="W95" s="124">
        <f t="shared" si="16"/>
        <v>538</v>
      </c>
      <c r="X95" s="124">
        <f t="shared" si="17"/>
        <v>5634205.6633891659</v>
      </c>
      <c r="Y95" s="264">
        <f t="shared" si="18"/>
        <v>86</v>
      </c>
      <c r="Z95" s="10">
        <v>18</v>
      </c>
      <c r="AA95" s="7">
        <v>18</v>
      </c>
      <c r="AB95" s="7">
        <v>86</v>
      </c>
      <c r="AC95" s="109">
        <v>538</v>
      </c>
      <c r="AD95" s="109">
        <v>5634205.6633891659</v>
      </c>
      <c r="AE95" s="125"/>
      <c r="AF95" s="10"/>
      <c r="AI95" s="109"/>
      <c r="AJ95" s="109"/>
      <c r="AL95" s="10"/>
      <c r="AO95" s="109"/>
      <c r="AP95" s="109"/>
      <c r="AR95" s="10"/>
      <c r="AU95" s="109"/>
      <c r="AV95" s="109"/>
      <c r="AX95" s="10"/>
      <c r="BA95" s="109"/>
      <c r="BB95" s="109"/>
      <c r="BD95" s="10"/>
      <c r="BG95" s="109"/>
      <c r="BH95" s="109"/>
      <c r="BJ95" s="10"/>
      <c r="BM95" s="109"/>
      <c r="BN95" s="109"/>
      <c r="BP95" s="10"/>
      <c r="BS95" s="109"/>
      <c r="BT95" s="109"/>
      <c r="BV95" s="10"/>
      <c r="BY95" s="109"/>
      <c r="BZ95" s="109"/>
      <c r="CB95" s="10"/>
      <c r="CE95" s="109"/>
      <c r="CF95" s="109"/>
      <c r="CH95" s="10"/>
      <c r="CK95" s="109"/>
      <c r="CL95" s="109"/>
    </row>
    <row r="96" spans="1:90">
      <c r="A96" s="7" t="str">
        <f t="shared" si="11"/>
        <v>00180806</v>
      </c>
      <c r="B96" s="7" t="s">
        <v>2357</v>
      </c>
      <c r="C96" s="7" t="s">
        <v>2754</v>
      </c>
      <c r="D96" s="7">
        <v>87</v>
      </c>
      <c r="E96" s="7">
        <v>18</v>
      </c>
      <c r="F96" s="7" t="s">
        <v>1724</v>
      </c>
      <c r="G96" s="7">
        <v>806</v>
      </c>
      <c r="H96" s="7" t="s">
        <v>1681</v>
      </c>
      <c r="I96" s="37">
        <v>793059</v>
      </c>
      <c r="J96" s="122">
        <v>0.1208628195210235</v>
      </c>
      <c r="K96" s="123">
        <f t="shared" si="19"/>
        <v>856571.40695949399</v>
      </c>
      <c r="L96" s="122">
        <f>IF(K99&gt;0, K96/K99, 0)</f>
        <v>0.13130103504405047</v>
      </c>
      <c r="M96" s="71"/>
      <c r="N96" s="10">
        <f>ROUND(M99*L96,0)</f>
        <v>646875</v>
      </c>
      <c r="O96" s="70">
        <v>597505</v>
      </c>
      <c r="P96" s="10">
        <f>N96-O96</f>
        <v>49370</v>
      </c>
      <c r="Q96" s="46">
        <f t="shared" si="20"/>
        <v>8.2626923624070088</v>
      </c>
      <c r="R96" s="10">
        <v>49</v>
      </c>
      <c r="S96" s="7">
        <f t="shared" si="12"/>
        <v>0</v>
      </c>
      <c r="T96" s="124">
        <f t="shared" si="13"/>
        <v>18</v>
      </c>
      <c r="U96" s="124">
        <f t="shared" si="14"/>
        <v>806</v>
      </c>
      <c r="V96" s="124">
        <f t="shared" si="15"/>
        <v>87</v>
      </c>
      <c r="W96" s="124">
        <f t="shared" si="16"/>
        <v>52.000000000550003</v>
      </c>
      <c r="X96" s="124">
        <f t="shared" si="17"/>
        <v>856571.40695949399</v>
      </c>
      <c r="Y96" s="264">
        <f t="shared" si="18"/>
        <v>87</v>
      </c>
      <c r="Z96" s="10">
        <v>18</v>
      </c>
      <c r="AA96" s="7">
        <v>806</v>
      </c>
      <c r="AB96" s="7">
        <v>87</v>
      </c>
      <c r="AC96" s="109">
        <v>52.000000000550003</v>
      </c>
      <c r="AD96" s="109">
        <v>856571.40695949399</v>
      </c>
      <c r="AE96" s="125"/>
      <c r="AF96" s="10"/>
      <c r="AI96" s="109"/>
      <c r="AJ96" s="109"/>
      <c r="AL96" s="10"/>
      <c r="AO96" s="109"/>
      <c r="AP96" s="109"/>
      <c r="AR96" s="10"/>
      <c r="AU96" s="109"/>
      <c r="AV96" s="109"/>
      <c r="AX96" s="10"/>
      <c r="BA96" s="109"/>
      <c r="BB96" s="109"/>
      <c r="BD96" s="10"/>
      <c r="BG96" s="109"/>
      <c r="BH96" s="109"/>
      <c r="BJ96" s="10"/>
      <c r="BM96" s="109"/>
      <c r="BN96" s="109"/>
      <c r="BP96" s="10"/>
      <c r="BS96" s="109"/>
      <c r="BT96" s="109"/>
      <c r="BV96" s="10"/>
      <c r="BY96" s="109"/>
      <c r="BZ96" s="109"/>
      <c r="CB96" s="10"/>
      <c r="CE96" s="109"/>
      <c r="CF96" s="109"/>
      <c r="CH96" s="10"/>
      <c r="CK96" s="109"/>
      <c r="CL96" s="109"/>
    </row>
    <row r="97" spans="1:90">
      <c r="A97" s="7" t="str">
        <f t="shared" si="11"/>
        <v>00180915</v>
      </c>
      <c r="B97" s="7" t="s">
        <v>2357</v>
      </c>
      <c r="C97" s="7" t="s">
        <v>2779</v>
      </c>
      <c r="D97" s="7">
        <v>88</v>
      </c>
      <c r="E97" s="7">
        <v>18</v>
      </c>
      <c r="F97" s="7" t="s">
        <v>1724</v>
      </c>
      <c r="G97" s="7">
        <v>915</v>
      </c>
      <c r="H97" s="7" t="s">
        <v>1706</v>
      </c>
      <c r="I97" s="37">
        <v>32275</v>
      </c>
      <c r="J97" s="122">
        <v>4.9187355544051993E-3</v>
      </c>
      <c r="K97" s="123">
        <f t="shared" si="19"/>
        <v>32944.594694734602</v>
      </c>
      <c r="L97" s="122">
        <f>IF(K99&gt;0, K97/K99, 0)</f>
        <v>5.0499693865335166E-3</v>
      </c>
      <c r="M97" s="71"/>
      <c r="N97" s="10">
        <f>ROUND(M99*L97,0)</f>
        <v>24879</v>
      </c>
      <c r="O97" s="70">
        <v>24317</v>
      </c>
      <c r="P97" s="10">
        <f>N97-O97</f>
        <v>562</v>
      </c>
      <c r="Q97" s="46">
        <f t="shared" si="20"/>
        <v>2.3111403544845168</v>
      </c>
      <c r="R97" s="10">
        <v>2</v>
      </c>
      <c r="S97" s="7">
        <f t="shared" si="12"/>
        <v>0</v>
      </c>
      <c r="T97" s="124">
        <f t="shared" si="13"/>
        <v>18</v>
      </c>
      <c r="U97" s="124">
        <f t="shared" si="14"/>
        <v>915</v>
      </c>
      <c r="V97" s="124">
        <f t="shared" si="15"/>
        <v>88</v>
      </c>
      <c r="W97" s="124">
        <f t="shared" si="16"/>
        <v>1.9999999996200002</v>
      </c>
      <c r="X97" s="124">
        <f t="shared" si="17"/>
        <v>32944.594694734602</v>
      </c>
      <c r="Y97" s="264">
        <f t="shared" si="18"/>
        <v>88</v>
      </c>
      <c r="Z97" s="10">
        <v>18</v>
      </c>
      <c r="AA97" s="7">
        <v>915</v>
      </c>
      <c r="AB97" s="7">
        <v>88</v>
      </c>
      <c r="AC97" s="109">
        <v>1.9999999996200002</v>
      </c>
      <c r="AD97" s="109">
        <v>32944.594694734602</v>
      </c>
      <c r="AE97" s="125"/>
      <c r="AF97" s="10"/>
      <c r="AI97" s="109"/>
      <c r="AJ97" s="109"/>
      <c r="AL97" s="10"/>
      <c r="AO97" s="109"/>
      <c r="AP97" s="109"/>
      <c r="AR97" s="10"/>
      <c r="AU97" s="109"/>
      <c r="AV97" s="109"/>
      <c r="AX97" s="10"/>
      <c r="BA97" s="109"/>
      <c r="BB97" s="109"/>
      <c r="BD97" s="10"/>
      <c r="BG97" s="109"/>
      <c r="BH97" s="109"/>
      <c r="BJ97" s="10"/>
      <c r="BM97" s="109"/>
      <c r="BN97" s="109"/>
      <c r="BP97" s="10"/>
      <c r="BS97" s="109"/>
      <c r="BT97" s="109"/>
      <c r="BV97" s="10"/>
      <c r="BY97" s="109"/>
      <c r="BZ97" s="109"/>
      <c r="CB97" s="10"/>
      <c r="CE97" s="109"/>
      <c r="CF97" s="109"/>
      <c r="CH97" s="10"/>
      <c r="CK97" s="109"/>
      <c r="CL97" s="109"/>
    </row>
    <row r="98" spans="1:90">
      <c r="A98" s="7" t="str">
        <f t="shared" si="11"/>
        <v>00180998</v>
      </c>
      <c r="B98" s="7" t="s">
        <v>2357</v>
      </c>
      <c r="C98" s="7" t="s">
        <v>2781</v>
      </c>
      <c r="D98" s="7">
        <v>89</v>
      </c>
      <c r="E98" s="7">
        <v>18</v>
      </c>
      <c r="F98" s="7" t="s">
        <v>2135</v>
      </c>
      <c r="G98" s="7">
        <v>998</v>
      </c>
      <c r="H98" s="7" t="s">
        <v>2135</v>
      </c>
      <c r="I98" s="37">
        <v>0</v>
      </c>
      <c r="J98" s="122">
        <v>0</v>
      </c>
      <c r="K98" s="123">
        <f t="shared" si="19"/>
        <v>0</v>
      </c>
      <c r="L98" s="122">
        <f>IF(K99&gt;0, K98/K99, 0)</f>
        <v>0</v>
      </c>
      <c r="M98" s="71"/>
      <c r="N98" s="10">
        <f>ROUND(M99*L98,0)</f>
        <v>0</v>
      </c>
      <c r="O98" s="70">
        <v>0</v>
      </c>
      <c r="P98" s="10">
        <f>N98-O98</f>
        <v>0</v>
      </c>
      <c r="Q98" s="46">
        <f t="shared" si="20"/>
        <v>0</v>
      </c>
      <c r="R98" s="10">
        <v>0</v>
      </c>
      <c r="S98" s="7">
        <f t="shared" si="12"/>
        <v>0</v>
      </c>
      <c r="T98" s="124">
        <f t="shared" si="13"/>
        <v>18</v>
      </c>
      <c r="U98" s="124">
        <f t="shared" si="14"/>
        <v>998</v>
      </c>
      <c r="V98" s="124">
        <f t="shared" si="15"/>
        <v>89</v>
      </c>
      <c r="W98" s="124">
        <f t="shared" si="16"/>
        <v>0</v>
      </c>
      <c r="X98" s="124">
        <f t="shared" si="17"/>
        <v>0</v>
      </c>
      <c r="Y98" s="264">
        <f t="shared" si="18"/>
        <v>89</v>
      </c>
      <c r="Z98" s="10">
        <v>18</v>
      </c>
      <c r="AA98" s="7">
        <v>998</v>
      </c>
      <c r="AB98" s="7">
        <v>89</v>
      </c>
      <c r="AC98" s="109">
        <v>0</v>
      </c>
      <c r="AD98" s="109">
        <v>0</v>
      </c>
      <c r="AE98" s="125"/>
      <c r="AF98" s="10"/>
      <c r="AI98" s="109"/>
      <c r="AJ98" s="109"/>
      <c r="AL98" s="10"/>
      <c r="AO98" s="109"/>
      <c r="AP98" s="109"/>
      <c r="AR98" s="10"/>
      <c r="AU98" s="109"/>
      <c r="AV98" s="109"/>
      <c r="AX98" s="10"/>
      <c r="BA98" s="109"/>
      <c r="BB98" s="109"/>
      <c r="BD98" s="10"/>
      <c r="BG98" s="109"/>
      <c r="BH98" s="109"/>
      <c r="BJ98" s="10"/>
      <c r="BM98" s="109"/>
      <c r="BN98" s="109"/>
      <c r="BP98" s="10"/>
      <c r="BS98" s="109"/>
      <c r="BT98" s="109"/>
      <c r="BV98" s="10"/>
      <c r="BY98" s="109"/>
      <c r="BZ98" s="109"/>
      <c r="CB98" s="10"/>
      <c r="CE98" s="109"/>
      <c r="CF98" s="109"/>
      <c r="CH98" s="10"/>
      <c r="CK98" s="109"/>
      <c r="CL98" s="109"/>
    </row>
    <row r="99" spans="1:90">
      <c r="A99" s="7" t="str">
        <f t="shared" si="11"/>
        <v>00180999</v>
      </c>
      <c r="B99" s="7" t="s">
        <v>2357</v>
      </c>
      <c r="C99" s="7" t="s">
        <v>2782</v>
      </c>
      <c r="D99" s="7">
        <v>90</v>
      </c>
      <c r="E99" s="11">
        <v>18</v>
      </c>
      <c r="F99" s="11" t="s">
        <v>1724</v>
      </c>
      <c r="G99" s="11">
        <v>999</v>
      </c>
      <c r="H99" s="11" t="s">
        <v>1132</v>
      </c>
      <c r="I99" s="105">
        <v>6561645.7000000011</v>
      </c>
      <c r="J99" s="126">
        <v>1</v>
      </c>
      <c r="K99" s="127">
        <f>SUM(K95:K98)</f>
        <v>6523721.6650433941</v>
      </c>
      <c r="L99" s="126">
        <f>SUM(L95:L98)</f>
        <v>1</v>
      </c>
      <c r="M99" s="105">
        <f>VLOOKUP(E99,town351,22)</f>
        <v>4926654</v>
      </c>
      <c r="N99" s="105">
        <f>SUM(N95:N98)</f>
        <v>4926654</v>
      </c>
      <c r="O99" s="128">
        <v>4943663</v>
      </c>
      <c r="P99" s="105">
        <f>SUM(P95:P98)</f>
        <v>-17009</v>
      </c>
      <c r="Q99" s="45">
        <f t="shared" si="20"/>
        <v>-0.34405662360075917</v>
      </c>
      <c r="R99" s="105">
        <v>596</v>
      </c>
      <c r="S99" s="7">
        <f t="shared" si="12"/>
        <v>0</v>
      </c>
      <c r="T99" s="124">
        <f t="shared" si="13"/>
        <v>18</v>
      </c>
      <c r="U99" s="124">
        <f t="shared" si="14"/>
        <v>999</v>
      </c>
      <c r="V99" s="124">
        <f t="shared" si="15"/>
        <v>90</v>
      </c>
      <c r="W99" s="124">
        <f t="shared" si="16"/>
        <v>592.00000000016996</v>
      </c>
      <c r="X99" s="124">
        <f t="shared" si="17"/>
        <v>6523721.6650433941</v>
      </c>
      <c r="Y99" s="264">
        <f t="shared" si="18"/>
        <v>90</v>
      </c>
      <c r="Z99" s="10">
        <v>18</v>
      </c>
      <c r="AA99" s="7">
        <v>999</v>
      </c>
      <c r="AB99" s="7">
        <v>90</v>
      </c>
      <c r="AC99" s="109">
        <v>592.00000000016996</v>
      </c>
      <c r="AD99" s="109">
        <v>6523721.6650433941</v>
      </c>
      <c r="AE99" s="125"/>
      <c r="AF99" s="10"/>
      <c r="AI99" s="109"/>
      <c r="AJ99" s="109"/>
      <c r="AL99" s="10"/>
      <c r="AO99" s="109"/>
      <c r="AP99" s="109"/>
      <c r="AR99" s="10"/>
      <c r="AU99" s="109"/>
      <c r="AV99" s="109"/>
      <c r="AX99" s="10"/>
      <c r="BA99" s="109"/>
      <c r="BB99" s="109"/>
      <c r="BD99" s="10"/>
      <c r="BG99" s="109"/>
      <c r="BH99" s="109"/>
      <c r="BJ99" s="10"/>
      <c r="BM99" s="109"/>
      <c r="BN99" s="109"/>
      <c r="BP99" s="10"/>
      <c r="BS99" s="109"/>
      <c r="BT99" s="109"/>
      <c r="BV99" s="10"/>
      <c r="BY99" s="109"/>
      <c r="BZ99" s="109"/>
      <c r="CB99" s="10"/>
      <c r="CE99" s="109"/>
      <c r="CF99" s="109"/>
      <c r="CH99" s="10"/>
      <c r="CK99" s="109"/>
      <c r="CL99" s="109"/>
    </row>
    <row r="100" spans="1:90">
      <c r="A100" s="7" t="str">
        <f t="shared" si="11"/>
        <v>00190019</v>
      </c>
      <c r="B100" s="7" t="s">
        <v>2358</v>
      </c>
      <c r="C100" s="7" t="s">
        <v>2358</v>
      </c>
      <c r="D100" s="7">
        <v>91</v>
      </c>
      <c r="E100" s="7">
        <v>19</v>
      </c>
      <c r="F100" s="7" t="s">
        <v>1725</v>
      </c>
      <c r="G100" s="7">
        <v>19</v>
      </c>
      <c r="H100" s="7" t="s">
        <v>1285</v>
      </c>
      <c r="I100" s="70">
        <v>0</v>
      </c>
      <c r="J100" s="131">
        <v>0</v>
      </c>
      <c r="K100" s="123">
        <f>X100</f>
        <v>0</v>
      </c>
      <c r="L100" s="122">
        <f>IF(K104&gt;0, K100/K104, 0)</f>
        <v>0</v>
      </c>
      <c r="M100" s="71"/>
      <c r="N100" s="10">
        <f>ROUND(M104*L100,0)</f>
        <v>0</v>
      </c>
      <c r="O100" s="132">
        <v>0</v>
      </c>
      <c r="P100" s="10">
        <f>N100-O100</f>
        <v>0</v>
      </c>
      <c r="Q100" s="46">
        <f t="shared" si="20"/>
        <v>0</v>
      </c>
      <c r="R100" s="133">
        <v>0</v>
      </c>
      <c r="S100" s="7">
        <f t="shared" si="12"/>
        <v>0</v>
      </c>
      <c r="T100" s="124">
        <f t="shared" si="13"/>
        <v>19</v>
      </c>
      <c r="U100" s="124">
        <f t="shared" si="14"/>
        <v>19</v>
      </c>
      <c r="V100" s="124">
        <f t="shared" si="15"/>
        <v>91</v>
      </c>
      <c r="W100" s="124">
        <f t="shared" si="16"/>
        <v>0</v>
      </c>
      <c r="X100" s="124">
        <f t="shared" si="17"/>
        <v>0</v>
      </c>
      <c r="Y100" s="264">
        <f t="shared" si="18"/>
        <v>91</v>
      </c>
      <c r="Z100" s="10">
        <v>19</v>
      </c>
      <c r="AA100" s="7">
        <v>19</v>
      </c>
      <c r="AB100" s="7">
        <v>91</v>
      </c>
      <c r="AC100" s="109">
        <v>0</v>
      </c>
      <c r="AD100" s="109">
        <v>0</v>
      </c>
      <c r="AE100" s="125"/>
      <c r="AF100" s="10"/>
      <c r="AI100" s="109"/>
      <c r="AJ100" s="109"/>
      <c r="AL100" s="10"/>
      <c r="AO100" s="109"/>
      <c r="AP100" s="109"/>
      <c r="AR100" s="10"/>
      <c r="AU100" s="109"/>
      <c r="AV100" s="109"/>
      <c r="AX100" s="10"/>
      <c r="BA100" s="109"/>
      <c r="BB100" s="109"/>
      <c r="BD100" s="10"/>
      <c r="BG100" s="109"/>
      <c r="BH100" s="109"/>
      <c r="BJ100" s="10"/>
      <c r="BM100" s="109"/>
      <c r="BN100" s="109"/>
      <c r="BP100" s="10"/>
      <c r="BS100" s="109"/>
      <c r="BT100" s="109"/>
      <c r="BV100" s="10"/>
      <c r="BY100" s="109"/>
      <c r="BZ100" s="109"/>
      <c r="CB100" s="10"/>
      <c r="CE100" s="109"/>
      <c r="CF100" s="109"/>
      <c r="CH100" s="10"/>
      <c r="CK100" s="109"/>
      <c r="CL100" s="109"/>
    </row>
    <row r="101" spans="1:90">
      <c r="A101" s="7" t="str">
        <f t="shared" si="11"/>
        <v>00190616</v>
      </c>
      <c r="B101" s="7" t="s">
        <v>2358</v>
      </c>
      <c r="C101" s="7" t="s">
        <v>2699</v>
      </c>
      <c r="D101" s="7">
        <v>92</v>
      </c>
      <c r="E101" s="7">
        <v>19</v>
      </c>
      <c r="F101" s="7" t="s">
        <v>1725</v>
      </c>
      <c r="G101" s="7">
        <v>616</v>
      </c>
      <c r="H101" s="7" t="s">
        <v>1626</v>
      </c>
      <c r="I101" s="70">
        <v>9975915</v>
      </c>
      <c r="J101" s="131">
        <v>0.91937400934440683</v>
      </c>
      <c r="K101" s="123">
        <f t="shared" si="19"/>
        <v>10071670.788638301</v>
      </c>
      <c r="L101" s="122">
        <f>IF(K104&gt;0, K101/K104, 0)</f>
        <v>0.92936082346464777</v>
      </c>
      <c r="M101" s="71"/>
      <c r="N101" s="10">
        <f>ROUND(M104*L101,0)</f>
        <v>6843717</v>
      </c>
      <c r="O101" s="132">
        <v>6704514</v>
      </c>
      <c r="P101" s="10">
        <f>N101-O101</f>
        <v>139203</v>
      </c>
      <c r="Q101" s="46">
        <f t="shared" si="20"/>
        <v>2.0762578764098336</v>
      </c>
      <c r="R101" s="133">
        <v>1000</v>
      </c>
      <c r="S101" s="7">
        <f t="shared" si="12"/>
        <v>0</v>
      </c>
      <c r="T101" s="124">
        <f t="shared" si="13"/>
        <v>19</v>
      </c>
      <c r="U101" s="124">
        <f t="shared" si="14"/>
        <v>616</v>
      </c>
      <c r="V101" s="124">
        <f t="shared" si="15"/>
        <v>92</v>
      </c>
      <c r="W101" s="124">
        <f t="shared" si="16"/>
        <v>998.72138470874006</v>
      </c>
      <c r="X101" s="124">
        <f t="shared" si="17"/>
        <v>10071670.788638301</v>
      </c>
      <c r="Y101" s="264">
        <f t="shared" si="18"/>
        <v>92</v>
      </c>
      <c r="Z101" s="10">
        <v>19</v>
      </c>
      <c r="AA101" s="7">
        <v>616</v>
      </c>
      <c r="AB101" s="7">
        <v>92</v>
      </c>
      <c r="AC101" s="109">
        <v>998.72138470874006</v>
      </c>
      <c r="AD101" s="109">
        <v>10071670.788638301</v>
      </c>
      <c r="AE101" s="125"/>
      <c r="AF101" s="10"/>
      <c r="AI101" s="109"/>
      <c r="AJ101" s="109"/>
      <c r="AL101" s="10"/>
      <c r="AO101" s="109"/>
      <c r="AP101" s="109"/>
      <c r="AR101" s="10"/>
      <c r="AU101" s="109"/>
      <c r="AV101" s="109"/>
      <c r="AX101" s="10"/>
      <c r="BA101" s="109"/>
      <c r="BB101" s="109"/>
      <c r="BD101" s="10"/>
      <c r="BG101" s="109"/>
      <c r="BH101" s="109"/>
      <c r="BJ101" s="10"/>
      <c r="BM101" s="109"/>
      <c r="BN101" s="109"/>
      <c r="BP101" s="10"/>
      <c r="BS101" s="109"/>
      <c r="BT101" s="109"/>
      <c r="BV101" s="10"/>
      <c r="BY101" s="109"/>
      <c r="BZ101" s="109"/>
      <c r="CB101" s="10"/>
      <c r="CE101" s="109"/>
      <c r="CF101" s="109"/>
      <c r="CH101" s="10"/>
      <c r="CK101" s="109"/>
      <c r="CL101" s="109"/>
    </row>
    <row r="102" spans="1:90">
      <c r="A102" s="7" t="str">
        <f t="shared" si="11"/>
        <v>00190852</v>
      </c>
      <c r="B102" s="7" t="s">
        <v>2358</v>
      </c>
      <c r="C102" s="7" t="s">
        <v>2767</v>
      </c>
      <c r="D102" s="7">
        <v>93</v>
      </c>
      <c r="E102" s="7">
        <v>19</v>
      </c>
      <c r="F102" s="7" t="s">
        <v>1725</v>
      </c>
      <c r="G102" s="7">
        <v>852</v>
      </c>
      <c r="H102" s="7" t="s">
        <v>1694</v>
      </c>
      <c r="I102" s="70">
        <v>874854</v>
      </c>
      <c r="J102" s="131">
        <v>8.0625990655593172E-2</v>
      </c>
      <c r="K102" s="123">
        <f t="shared" si="19"/>
        <v>765531.01107950322</v>
      </c>
      <c r="L102" s="122">
        <f>IF(K104&gt;0, K102/K104, 0)</f>
        <v>7.063917653535226E-2</v>
      </c>
      <c r="M102" s="71"/>
      <c r="N102" s="10">
        <f>ROUND(M104*L102,0)</f>
        <v>520180</v>
      </c>
      <c r="O102" s="132">
        <v>587963</v>
      </c>
      <c r="P102" s="10">
        <f>N102-O102</f>
        <v>-67783</v>
      </c>
      <c r="Q102" s="46">
        <f t="shared" si="20"/>
        <v>-11.528446517893133</v>
      </c>
      <c r="R102" s="133">
        <v>56</v>
      </c>
      <c r="S102" s="7">
        <f t="shared" si="12"/>
        <v>0</v>
      </c>
      <c r="T102" s="124">
        <f t="shared" si="13"/>
        <v>19</v>
      </c>
      <c r="U102" s="124">
        <f t="shared" si="14"/>
        <v>852</v>
      </c>
      <c r="V102" s="124">
        <f t="shared" si="15"/>
        <v>93</v>
      </c>
      <c r="W102" s="124">
        <f t="shared" si="16"/>
        <v>47.999999999250001</v>
      </c>
      <c r="X102" s="124">
        <f t="shared" si="17"/>
        <v>765531.01107950322</v>
      </c>
      <c r="Y102" s="264">
        <f t="shared" si="18"/>
        <v>93</v>
      </c>
      <c r="Z102" s="10">
        <v>19</v>
      </c>
      <c r="AA102" s="7">
        <v>852</v>
      </c>
      <c r="AB102" s="7">
        <v>93</v>
      </c>
      <c r="AC102" s="109">
        <v>47.999999999250001</v>
      </c>
      <c r="AD102" s="109">
        <v>765531.01107950322</v>
      </c>
      <c r="AE102" s="125"/>
      <c r="AF102" s="10"/>
      <c r="AI102" s="109"/>
      <c r="AJ102" s="109"/>
      <c r="AL102" s="10"/>
      <c r="AO102" s="109"/>
      <c r="AP102" s="109"/>
      <c r="AR102" s="10"/>
      <c r="AU102" s="109"/>
      <c r="AV102" s="109"/>
      <c r="AX102" s="10"/>
      <c r="BA102" s="109"/>
      <c r="BB102" s="109"/>
      <c r="BD102" s="10"/>
      <c r="BG102" s="109"/>
      <c r="BH102" s="109"/>
      <c r="BJ102" s="10"/>
      <c r="BM102" s="109"/>
      <c r="BN102" s="109"/>
      <c r="BP102" s="10"/>
      <c r="BS102" s="109"/>
      <c r="BT102" s="109"/>
      <c r="BV102" s="10"/>
      <c r="BY102" s="109"/>
      <c r="BZ102" s="109"/>
      <c r="CB102" s="10"/>
      <c r="CE102" s="109"/>
      <c r="CF102" s="109"/>
      <c r="CH102" s="10"/>
      <c r="CK102" s="109"/>
      <c r="CL102" s="109"/>
    </row>
    <row r="103" spans="1:90">
      <c r="A103" s="7" t="str">
        <f t="shared" si="11"/>
        <v>00190998</v>
      </c>
      <c r="B103" s="7" t="s">
        <v>2358</v>
      </c>
      <c r="C103" s="7" t="s">
        <v>2781</v>
      </c>
      <c r="D103" s="7">
        <v>94</v>
      </c>
      <c r="E103" s="7">
        <v>19</v>
      </c>
      <c r="F103" s="7" t="s">
        <v>2135</v>
      </c>
      <c r="G103" s="7">
        <v>998</v>
      </c>
      <c r="H103" s="7" t="s">
        <v>2135</v>
      </c>
      <c r="I103" s="70">
        <v>0</v>
      </c>
      <c r="J103" s="131">
        <v>0</v>
      </c>
      <c r="K103" s="123">
        <f t="shared" si="19"/>
        <v>0</v>
      </c>
      <c r="L103" s="122">
        <f>IF(K104&gt;0, K103/K104, 0)</f>
        <v>0</v>
      </c>
      <c r="M103" s="71"/>
      <c r="N103" s="10">
        <f>ROUND(M104*L103,0)</f>
        <v>0</v>
      </c>
      <c r="O103" s="132">
        <v>0</v>
      </c>
      <c r="P103" s="10">
        <f>N103-O103</f>
        <v>0</v>
      </c>
      <c r="Q103" s="46">
        <f t="shared" si="20"/>
        <v>0</v>
      </c>
      <c r="R103" s="133">
        <v>0</v>
      </c>
      <c r="S103" s="7">
        <f t="shared" si="12"/>
        <v>0</v>
      </c>
      <c r="T103" s="124">
        <f t="shared" si="13"/>
        <v>19</v>
      </c>
      <c r="U103" s="124">
        <f t="shared" si="14"/>
        <v>998</v>
      </c>
      <c r="V103" s="124">
        <f t="shared" si="15"/>
        <v>94</v>
      </c>
      <c r="W103" s="124">
        <f t="shared" si="16"/>
        <v>0</v>
      </c>
      <c r="X103" s="124">
        <f t="shared" si="17"/>
        <v>0</v>
      </c>
      <c r="Y103" s="264">
        <f t="shared" si="18"/>
        <v>94</v>
      </c>
      <c r="Z103" s="10">
        <v>19</v>
      </c>
      <c r="AA103" s="7">
        <v>998</v>
      </c>
      <c r="AB103" s="7">
        <v>94</v>
      </c>
      <c r="AC103" s="109">
        <v>0</v>
      </c>
      <c r="AD103" s="109">
        <v>0</v>
      </c>
      <c r="AE103" s="125"/>
      <c r="AF103" s="10"/>
      <c r="AI103" s="109"/>
      <c r="AJ103" s="109"/>
      <c r="AL103" s="10"/>
      <c r="AO103" s="109"/>
      <c r="AP103" s="109"/>
      <c r="AR103" s="10"/>
      <c r="AU103" s="109"/>
      <c r="AV103" s="109"/>
      <c r="AX103" s="10"/>
      <c r="BA103" s="109"/>
      <c r="BB103" s="109"/>
      <c r="BD103" s="10"/>
      <c r="BG103" s="109"/>
      <c r="BH103" s="109"/>
      <c r="BJ103" s="10"/>
      <c r="BM103" s="109"/>
      <c r="BN103" s="109"/>
      <c r="BP103" s="10"/>
      <c r="BS103" s="109"/>
      <c r="BT103" s="109"/>
      <c r="BV103" s="10"/>
      <c r="BY103" s="109"/>
      <c r="BZ103" s="109"/>
      <c r="CB103" s="10"/>
      <c r="CE103" s="109"/>
      <c r="CF103" s="109"/>
      <c r="CH103" s="10"/>
      <c r="CK103" s="109"/>
      <c r="CL103" s="109"/>
    </row>
    <row r="104" spans="1:90">
      <c r="A104" s="7" t="str">
        <f t="shared" si="11"/>
        <v>00190999</v>
      </c>
      <c r="B104" s="7" t="s">
        <v>2358</v>
      </c>
      <c r="C104" s="7" t="s">
        <v>2782</v>
      </c>
      <c r="D104" s="7">
        <v>95</v>
      </c>
      <c r="E104" s="11">
        <v>19</v>
      </c>
      <c r="F104" s="11" t="s">
        <v>1725</v>
      </c>
      <c r="G104" s="11">
        <v>999</v>
      </c>
      <c r="H104" s="11" t="s">
        <v>1132</v>
      </c>
      <c r="I104" s="134">
        <v>10850769</v>
      </c>
      <c r="J104" s="135">
        <v>1</v>
      </c>
      <c r="K104" s="127">
        <f>SUM(K100:K103)</f>
        <v>10837201.799717804</v>
      </c>
      <c r="L104" s="126">
        <f>SUM(L100:L103)</f>
        <v>1</v>
      </c>
      <c r="M104" s="105">
        <f>VLOOKUP(E104,town351,22)</f>
        <v>7363897</v>
      </c>
      <c r="N104" s="105">
        <f>SUM(N100:N103)</f>
        <v>7363897</v>
      </c>
      <c r="O104" s="128">
        <v>7292477</v>
      </c>
      <c r="P104" s="105">
        <f>SUM(P100:P103)</f>
        <v>71420</v>
      </c>
      <c r="Q104" s="45">
        <f t="shared" si="20"/>
        <v>0.97936544743301901</v>
      </c>
      <c r="R104" s="136">
        <v>1056</v>
      </c>
      <c r="S104" s="7">
        <f t="shared" si="12"/>
        <v>0</v>
      </c>
      <c r="T104" s="124">
        <f t="shared" si="13"/>
        <v>19</v>
      </c>
      <c r="U104" s="124">
        <f t="shared" si="14"/>
        <v>999</v>
      </c>
      <c r="V104" s="124">
        <f t="shared" si="15"/>
        <v>95</v>
      </c>
      <c r="W104" s="124">
        <f t="shared" si="16"/>
        <v>1046.72138470799</v>
      </c>
      <c r="X104" s="124">
        <f t="shared" si="17"/>
        <v>10837201.799717804</v>
      </c>
      <c r="Y104" s="264">
        <f t="shared" si="18"/>
        <v>95</v>
      </c>
      <c r="Z104" s="10">
        <v>19</v>
      </c>
      <c r="AA104" s="7">
        <v>999</v>
      </c>
      <c r="AB104" s="7">
        <v>95</v>
      </c>
      <c r="AC104" s="109">
        <v>1046.72138470799</v>
      </c>
      <c r="AD104" s="109">
        <v>10837201.799717804</v>
      </c>
      <c r="AE104" s="125"/>
      <c r="AF104" s="10"/>
      <c r="AI104" s="109"/>
      <c r="AJ104" s="109"/>
      <c r="AL104" s="10"/>
      <c r="AO104" s="109"/>
      <c r="AP104" s="109"/>
      <c r="AR104" s="10"/>
      <c r="AU104" s="109"/>
      <c r="AV104" s="109"/>
      <c r="AX104" s="10"/>
      <c r="BA104" s="109"/>
      <c r="BB104" s="109"/>
      <c r="BD104" s="10"/>
      <c r="BG104" s="109"/>
      <c r="BH104" s="109"/>
      <c r="BJ104" s="10"/>
      <c r="BM104" s="109"/>
      <c r="BN104" s="109"/>
      <c r="BP104" s="10"/>
      <c r="BS104" s="109"/>
      <c r="BT104" s="109"/>
      <c r="BV104" s="10"/>
      <c r="BY104" s="109"/>
      <c r="BZ104" s="109"/>
      <c r="CB104" s="10"/>
      <c r="CE104" s="109"/>
      <c r="CF104" s="109"/>
      <c r="CH104" s="10"/>
      <c r="CK104" s="109"/>
      <c r="CL104" s="109"/>
    </row>
    <row r="105" spans="1:90">
      <c r="A105" s="7" t="str">
        <f t="shared" si="11"/>
        <v>00200020</v>
      </c>
      <c r="B105" s="7" t="s">
        <v>2359</v>
      </c>
      <c r="C105" s="7" t="s">
        <v>2359</v>
      </c>
      <c r="D105" s="7">
        <v>96</v>
      </c>
      <c r="E105" s="7">
        <v>20</v>
      </c>
      <c r="F105" s="7" t="s">
        <v>1726</v>
      </c>
      <c r="G105" s="7">
        <v>20</v>
      </c>
      <c r="H105" s="7" t="s">
        <v>1286</v>
      </c>
      <c r="I105" s="37">
        <v>57300644.839999989</v>
      </c>
      <c r="J105" s="122">
        <v>0.95401250299464979</v>
      </c>
      <c r="K105" s="123">
        <f>X105</f>
        <v>58000134.653313488</v>
      </c>
      <c r="L105" s="122">
        <f>IF(K109&gt;0, K105/K109, 0)</f>
        <v>0.9508039333810917</v>
      </c>
      <c r="M105" s="71"/>
      <c r="N105" s="10">
        <f>ROUND(M109*L105,0)</f>
        <v>48045485</v>
      </c>
      <c r="O105" s="70">
        <v>47453547</v>
      </c>
      <c r="P105" s="10">
        <f>N105-O105</f>
        <v>591938</v>
      </c>
      <c r="Q105" s="46">
        <f t="shared" si="20"/>
        <v>1.2474051728946627</v>
      </c>
      <c r="R105" s="10">
        <v>5490</v>
      </c>
      <c r="S105" s="7">
        <f t="shared" si="12"/>
        <v>0</v>
      </c>
      <c r="T105" s="124">
        <f t="shared" si="13"/>
        <v>20</v>
      </c>
      <c r="U105" s="124">
        <f t="shared" si="14"/>
        <v>20</v>
      </c>
      <c r="V105" s="124">
        <f t="shared" si="15"/>
        <v>96</v>
      </c>
      <c r="W105" s="124">
        <f t="shared" si="16"/>
        <v>5475</v>
      </c>
      <c r="X105" s="124">
        <f t="shared" si="17"/>
        <v>58000134.653313488</v>
      </c>
      <c r="Y105" s="264">
        <f t="shared" si="18"/>
        <v>96</v>
      </c>
      <c r="Z105" s="10">
        <v>20</v>
      </c>
      <c r="AA105" s="7">
        <v>20</v>
      </c>
      <c r="AB105" s="7">
        <v>96</v>
      </c>
      <c r="AC105" s="109">
        <v>5475</v>
      </c>
      <c r="AD105" s="109">
        <v>58000134.653313488</v>
      </c>
      <c r="AE105" s="125"/>
      <c r="AF105" s="10"/>
      <c r="AI105" s="109"/>
      <c r="AJ105" s="109"/>
      <c r="AL105" s="10"/>
      <c r="AO105" s="109"/>
      <c r="AP105" s="109"/>
      <c r="AR105" s="10"/>
      <c r="AU105" s="109"/>
      <c r="AV105" s="109"/>
      <c r="AX105" s="10"/>
      <c r="BA105" s="109"/>
      <c r="BB105" s="109"/>
      <c r="BD105" s="10"/>
      <c r="BG105" s="109"/>
      <c r="BH105" s="109"/>
      <c r="BJ105" s="10"/>
      <c r="BM105" s="109"/>
      <c r="BN105" s="109"/>
      <c r="BP105" s="10"/>
      <c r="BS105" s="109"/>
      <c r="BT105" s="109"/>
      <c r="BV105" s="10"/>
      <c r="BY105" s="109"/>
      <c r="BZ105" s="109"/>
      <c r="CB105" s="10"/>
      <c r="CE105" s="109"/>
      <c r="CF105" s="109"/>
      <c r="CH105" s="10"/>
      <c r="CK105" s="109"/>
      <c r="CL105" s="109"/>
    </row>
    <row r="106" spans="1:90">
      <c r="A106" s="7" t="str">
        <f t="shared" si="11"/>
        <v>00200815</v>
      </c>
      <c r="B106" s="7" t="s">
        <v>2359</v>
      </c>
      <c r="C106" s="7" t="s">
        <v>2756</v>
      </c>
      <c r="D106" s="7">
        <v>97</v>
      </c>
      <c r="E106" s="7">
        <v>20</v>
      </c>
      <c r="F106" s="7" t="s">
        <v>1726</v>
      </c>
      <c r="G106" s="7">
        <v>815</v>
      </c>
      <c r="H106" s="7" t="s">
        <v>1683</v>
      </c>
      <c r="I106" s="37">
        <v>2762137</v>
      </c>
      <c r="J106" s="122">
        <v>4.5987497005350167E-2</v>
      </c>
      <c r="K106" s="123">
        <f t="shared" si="19"/>
        <v>3001016.7061082199</v>
      </c>
      <c r="L106" s="122">
        <f>IF(K109&gt;0, K106/K109, 0)</f>
        <v>4.9196066618908317E-2</v>
      </c>
      <c r="M106" s="71"/>
      <c r="N106" s="10">
        <f>ROUND(M109*L106,0)</f>
        <v>2485948</v>
      </c>
      <c r="O106" s="70">
        <v>2287465</v>
      </c>
      <c r="P106" s="10">
        <f>N106-O106</f>
        <v>198483</v>
      </c>
      <c r="Q106" s="46">
        <f t="shared" si="20"/>
        <v>8.6769852216318064</v>
      </c>
      <c r="R106" s="10">
        <v>173</v>
      </c>
      <c r="S106" s="7">
        <f t="shared" si="12"/>
        <v>0</v>
      </c>
      <c r="T106" s="124">
        <f t="shared" si="13"/>
        <v>20</v>
      </c>
      <c r="U106" s="124">
        <f t="shared" si="14"/>
        <v>815</v>
      </c>
      <c r="V106" s="124">
        <f t="shared" si="15"/>
        <v>97</v>
      </c>
      <c r="W106" s="124">
        <f t="shared" si="16"/>
        <v>183.00000000170002</v>
      </c>
      <c r="X106" s="124">
        <f t="shared" si="17"/>
        <v>3001016.7061082199</v>
      </c>
      <c r="Y106" s="264">
        <f t="shared" si="18"/>
        <v>97</v>
      </c>
      <c r="Z106" s="10">
        <v>20</v>
      </c>
      <c r="AA106" s="7">
        <v>815</v>
      </c>
      <c r="AB106" s="7">
        <v>97</v>
      </c>
      <c r="AC106" s="109">
        <v>183.00000000170002</v>
      </c>
      <c r="AD106" s="109">
        <v>3001016.7061082199</v>
      </c>
      <c r="AE106" s="125"/>
      <c r="AF106" s="10"/>
      <c r="AI106" s="109"/>
      <c r="AJ106" s="109"/>
      <c r="AL106" s="10"/>
      <c r="AO106" s="109"/>
      <c r="AP106" s="109"/>
      <c r="AR106" s="10"/>
      <c r="AU106" s="109"/>
      <c r="AV106" s="109"/>
      <c r="AX106" s="10"/>
      <c r="BA106" s="109"/>
      <c r="BB106" s="109"/>
      <c r="BD106" s="10"/>
      <c r="BG106" s="109"/>
      <c r="BH106" s="109"/>
      <c r="BJ106" s="10"/>
      <c r="BM106" s="109"/>
      <c r="BN106" s="109"/>
      <c r="BP106" s="10"/>
      <c r="BS106" s="109"/>
      <c r="BT106" s="109"/>
      <c r="BV106" s="10"/>
      <c r="BY106" s="109"/>
      <c r="BZ106" s="109"/>
      <c r="CB106" s="10"/>
      <c r="CE106" s="109"/>
      <c r="CF106" s="109"/>
      <c r="CH106" s="10"/>
      <c r="CK106" s="109"/>
      <c r="CL106" s="109"/>
    </row>
    <row r="107" spans="1:90">
      <c r="A107" s="7" t="str">
        <f t="shared" si="11"/>
        <v>00200998</v>
      </c>
      <c r="B107" s="7" t="s">
        <v>2359</v>
      </c>
      <c r="C107" s="7" t="s">
        <v>2781</v>
      </c>
      <c r="D107" s="7">
        <v>98</v>
      </c>
      <c r="E107" s="7">
        <v>20</v>
      </c>
      <c r="F107" s="7" t="s">
        <v>2135</v>
      </c>
      <c r="G107" s="7">
        <v>998</v>
      </c>
      <c r="H107" s="7" t="s">
        <v>2135</v>
      </c>
      <c r="I107" s="37">
        <v>0</v>
      </c>
      <c r="J107" s="122">
        <v>0</v>
      </c>
      <c r="K107" s="123">
        <f t="shared" si="19"/>
        <v>0</v>
      </c>
      <c r="L107" s="122">
        <f>IF(K109&gt;0, K107/K109, 0)</f>
        <v>0</v>
      </c>
      <c r="M107" s="71"/>
      <c r="N107" s="10">
        <f>ROUND(M109*L107,0)</f>
        <v>0</v>
      </c>
      <c r="O107" s="70">
        <v>0</v>
      </c>
      <c r="P107" s="10">
        <f>N107-O107</f>
        <v>0</v>
      </c>
      <c r="Q107" s="46">
        <f t="shared" si="20"/>
        <v>0</v>
      </c>
      <c r="R107" s="10">
        <v>0</v>
      </c>
      <c r="S107" s="7">
        <f t="shared" si="12"/>
        <v>0</v>
      </c>
      <c r="T107" s="124">
        <f t="shared" si="13"/>
        <v>20</v>
      </c>
      <c r="U107" s="124">
        <f t="shared" si="14"/>
        <v>998</v>
      </c>
      <c r="V107" s="124">
        <f t="shared" si="15"/>
        <v>98</v>
      </c>
      <c r="W107" s="124">
        <f t="shared" si="16"/>
        <v>0</v>
      </c>
      <c r="X107" s="124">
        <f t="shared" si="17"/>
        <v>0</v>
      </c>
      <c r="Y107" s="264">
        <f t="shared" si="18"/>
        <v>98</v>
      </c>
      <c r="Z107" s="10">
        <v>20</v>
      </c>
      <c r="AA107" s="7">
        <v>998</v>
      </c>
      <c r="AB107" s="7">
        <v>98</v>
      </c>
      <c r="AC107" s="109">
        <v>0</v>
      </c>
      <c r="AD107" s="109">
        <v>0</v>
      </c>
      <c r="AE107" s="125"/>
      <c r="AF107" s="10"/>
      <c r="AI107" s="109"/>
      <c r="AJ107" s="109"/>
      <c r="AL107" s="10"/>
      <c r="AO107" s="109"/>
      <c r="AP107" s="109"/>
      <c r="AR107" s="10"/>
      <c r="AU107" s="109"/>
      <c r="AV107" s="109"/>
      <c r="AX107" s="10"/>
      <c r="BA107" s="109"/>
      <c r="BB107" s="109"/>
      <c r="BD107" s="10"/>
      <c r="BG107" s="109"/>
      <c r="BH107" s="109"/>
      <c r="BJ107" s="10"/>
      <c r="BM107" s="109"/>
      <c r="BN107" s="109"/>
      <c r="BP107" s="10"/>
      <c r="BS107" s="109"/>
      <c r="BT107" s="109"/>
      <c r="BV107" s="10"/>
      <c r="BY107" s="109"/>
      <c r="BZ107" s="109"/>
      <c r="CB107" s="10"/>
      <c r="CE107" s="109"/>
      <c r="CF107" s="109"/>
      <c r="CH107" s="10"/>
      <c r="CK107" s="109"/>
      <c r="CL107" s="109"/>
    </row>
    <row r="108" spans="1:90">
      <c r="A108" s="7" t="str">
        <f t="shared" si="11"/>
        <v>00200998</v>
      </c>
      <c r="B108" s="7" t="s">
        <v>2359</v>
      </c>
      <c r="C108" s="7" t="s">
        <v>2781</v>
      </c>
      <c r="D108" s="7">
        <v>99</v>
      </c>
      <c r="E108" s="7">
        <v>20</v>
      </c>
      <c r="F108" s="7" t="s">
        <v>2135</v>
      </c>
      <c r="G108" s="7">
        <v>998</v>
      </c>
      <c r="H108" s="7" t="s">
        <v>2135</v>
      </c>
      <c r="I108" s="37">
        <v>0</v>
      </c>
      <c r="J108" s="122">
        <v>0</v>
      </c>
      <c r="K108" s="123">
        <f t="shared" si="19"/>
        <v>0</v>
      </c>
      <c r="L108" s="122">
        <f>IF(K109&gt;0, K108/K109, 0)</f>
        <v>0</v>
      </c>
      <c r="M108" s="71"/>
      <c r="N108" s="10">
        <f>ROUND(M109*L108,0)</f>
        <v>0</v>
      </c>
      <c r="O108" s="70">
        <v>0</v>
      </c>
      <c r="P108" s="10">
        <f>N108-O108</f>
        <v>0</v>
      </c>
      <c r="Q108" s="46">
        <f t="shared" si="20"/>
        <v>0</v>
      </c>
      <c r="R108" s="10">
        <v>0</v>
      </c>
      <c r="S108" s="7">
        <f t="shared" si="12"/>
        <v>0</v>
      </c>
      <c r="T108" s="124">
        <f t="shared" si="13"/>
        <v>20</v>
      </c>
      <c r="U108" s="124">
        <f t="shared" si="14"/>
        <v>998</v>
      </c>
      <c r="V108" s="124">
        <f t="shared" si="15"/>
        <v>99</v>
      </c>
      <c r="W108" s="124">
        <f t="shared" si="16"/>
        <v>0</v>
      </c>
      <c r="X108" s="124">
        <f t="shared" si="17"/>
        <v>0</v>
      </c>
      <c r="Y108" s="264">
        <f t="shared" si="18"/>
        <v>99</v>
      </c>
      <c r="Z108" s="10">
        <v>20</v>
      </c>
      <c r="AA108" s="7">
        <v>998</v>
      </c>
      <c r="AB108" s="7">
        <v>99</v>
      </c>
      <c r="AC108" s="109">
        <v>0</v>
      </c>
      <c r="AD108" s="109">
        <v>0</v>
      </c>
      <c r="AE108" s="125"/>
      <c r="AF108" s="10"/>
      <c r="AI108" s="109"/>
      <c r="AJ108" s="109"/>
      <c r="AL108" s="10"/>
      <c r="AO108" s="109"/>
      <c r="AP108" s="109"/>
      <c r="AR108" s="10"/>
      <c r="AU108" s="109"/>
      <c r="AV108" s="109"/>
      <c r="AX108" s="10"/>
      <c r="BA108" s="109"/>
      <c r="BB108" s="109"/>
      <c r="BD108" s="10"/>
      <c r="BG108" s="109"/>
      <c r="BH108" s="109"/>
      <c r="BJ108" s="10"/>
      <c r="BM108" s="109"/>
      <c r="BN108" s="109"/>
      <c r="BP108" s="10"/>
      <c r="BS108" s="109"/>
      <c r="BT108" s="109"/>
      <c r="BV108" s="10"/>
      <c r="BY108" s="109"/>
      <c r="BZ108" s="109"/>
      <c r="CB108" s="10"/>
      <c r="CE108" s="109"/>
      <c r="CF108" s="109"/>
      <c r="CH108" s="10"/>
      <c r="CK108" s="109"/>
      <c r="CL108" s="109"/>
    </row>
    <row r="109" spans="1:90">
      <c r="A109" s="7" t="str">
        <f t="shared" si="11"/>
        <v>00200999</v>
      </c>
      <c r="B109" s="7" t="s">
        <v>2359</v>
      </c>
      <c r="C109" s="7" t="s">
        <v>2782</v>
      </c>
      <c r="D109" s="7">
        <v>100</v>
      </c>
      <c r="E109" s="11">
        <v>20</v>
      </c>
      <c r="F109" s="11" t="s">
        <v>1726</v>
      </c>
      <c r="G109" s="11">
        <v>999</v>
      </c>
      <c r="H109" s="11" t="s">
        <v>1132</v>
      </c>
      <c r="I109" s="105">
        <v>60062781.839999989</v>
      </c>
      <c r="J109" s="126">
        <v>1</v>
      </c>
      <c r="K109" s="127">
        <f>SUM(K105:K108)</f>
        <v>61001151.359421708</v>
      </c>
      <c r="L109" s="126">
        <f>SUM(L105:L108)</f>
        <v>1</v>
      </c>
      <c r="M109" s="105">
        <f>VLOOKUP(E109,town351,22)</f>
        <v>50531433</v>
      </c>
      <c r="N109" s="105">
        <f>SUM(N105:N108)</f>
        <v>50531433</v>
      </c>
      <c r="O109" s="128">
        <v>49741012</v>
      </c>
      <c r="P109" s="105">
        <f>SUM(P105:P108)</f>
        <v>790421</v>
      </c>
      <c r="Q109" s="45">
        <f t="shared" si="20"/>
        <v>1.5890730168497578</v>
      </c>
      <c r="R109" s="105">
        <v>5663</v>
      </c>
      <c r="S109" s="7">
        <f t="shared" si="12"/>
        <v>0</v>
      </c>
      <c r="T109" s="124">
        <f t="shared" si="13"/>
        <v>20</v>
      </c>
      <c r="U109" s="124">
        <f t="shared" si="14"/>
        <v>999</v>
      </c>
      <c r="V109" s="124">
        <f t="shared" si="15"/>
        <v>100</v>
      </c>
      <c r="W109" s="124">
        <f t="shared" si="16"/>
        <v>5658.0000000016998</v>
      </c>
      <c r="X109" s="124">
        <f t="shared" si="17"/>
        <v>61001151.359421708</v>
      </c>
      <c r="Y109" s="264">
        <f t="shared" si="18"/>
        <v>100</v>
      </c>
      <c r="Z109" s="10">
        <v>20</v>
      </c>
      <c r="AA109" s="7">
        <v>999</v>
      </c>
      <c r="AB109" s="7">
        <v>100</v>
      </c>
      <c r="AC109" s="109">
        <v>5658.0000000016998</v>
      </c>
      <c r="AD109" s="109">
        <v>61001151.359421708</v>
      </c>
      <c r="AE109" s="125"/>
      <c r="AF109" s="10"/>
      <c r="AI109" s="109"/>
      <c r="AJ109" s="109"/>
      <c r="AL109" s="10"/>
      <c r="AO109" s="109"/>
      <c r="AP109" s="109"/>
      <c r="AR109" s="10"/>
      <c r="AU109" s="109"/>
      <c r="AV109" s="109"/>
      <c r="AX109" s="10"/>
      <c r="BA109" s="109"/>
      <c r="BB109" s="109"/>
      <c r="BD109" s="10"/>
      <c r="BG109" s="109"/>
      <c r="BH109" s="109"/>
      <c r="BJ109" s="10"/>
      <c r="BM109" s="109"/>
      <c r="BN109" s="109"/>
      <c r="BP109" s="10"/>
      <c r="BS109" s="109"/>
      <c r="BT109" s="109"/>
      <c r="BV109" s="10"/>
      <c r="BY109" s="109"/>
      <c r="BZ109" s="109"/>
      <c r="CB109" s="10"/>
      <c r="CE109" s="109"/>
      <c r="CF109" s="109"/>
      <c r="CH109" s="10"/>
      <c r="CK109" s="109"/>
      <c r="CL109" s="109"/>
    </row>
    <row r="110" spans="1:90">
      <c r="A110" s="7" t="str">
        <f t="shared" si="11"/>
        <v>00210021</v>
      </c>
      <c r="B110" s="7" t="s">
        <v>2360</v>
      </c>
      <c r="C110" s="7" t="s">
        <v>2360</v>
      </c>
      <c r="D110" s="7">
        <v>101</v>
      </c>
      <c r="E110" s="7">
        <v>21</v>
      </c>
      <c r="F110" s="7" t="s">
        <v>1727</v>
      </c>
      <c r="G110" s="7">
        <v>21</v>
      </c>
      <c r="H110" s="7" t="s">
        <v>1287</v>
      </c>
      <c r="I110" s="37">
        <v>0</v>
      </c>
      <c r="J110" s="122">
        <v>0</v>
      </c>
      <c r="K110" s="123">
        <f>X110</f>
        <v>0</v>
      </c>
      <c r="L110" s="122">
        <f>IF(K114&gt;0, K110/K114, 0)</f>
        <v>0</v>
      </c>
      <c r="M110" s="71"/>
      <c r="N110" s="10">
        <f>ROUND(M114*L110,0)</f>
        <v>0</v>
      </c>
      <c r="O110" s="70">
        <v>0</v>
      </c>
      <c r="P110" s="10">
        <f>N110-O110</f>
        <v>0</v>
      </c>
      <c r="Q110" s="46">
        <f t="shared" si="20"/>
        <v>0</v>
      </c>
      <c r="R110" s="10">
        <v>0</v>
      </c>
      <c r="S110" s="7">
        <f t="shared" si="12"/>
        <v>0</v>
      </c>
      <c r="T110" s="124">
        <f t="shared" si="13"/>
        <v>21</v>
      </c>
      <c r="U110" s="124">
        <f t="shared" si="14"/>
        <v>21</v>
      </c>
      <c r="V110" s="124">
        <f t="shared" si="15"/>
        <v>101</v>
      </c>
      <c r="W110" s="124">
        <f t="shared" si="16"/>
        <v>0</v>
      </c>
      <c r="X110" s="124">
        <f t="shared" si="17"/>
        <v>0</v>
      </c>
      <c r="Y110" s="264">
        <f t="shared" si="18"/>
        <v>101</v>
      </c>
      <c r="Z110" s="10">
        <v>21</v>
      </c>
      <c r="AA110" s="7">
        <v>21</v>
      </c>
      <c r="AB110" s="7">
        <v>101</v>
      </c>
      <c r="AC110" s="109">
        <v>0</v>
      </c>
      <c r="AD110" s="109">
        <v>0</v>
      </c>
      <c r="AE110" s="125"/>
      <c r="AF110" s="10"/>
      <c r="AI110" s="109"/>
      <c r="AJ110" s="109"/>
      <c r="AL110" s="10"/>
      <c r="AO110" s="109"/>
      <c r="AP110" s="109"/>
      <c r="AR110" s="10"/>
      <c r="AU110" s="109"/>
      <c r="AV110" s="109"/>
      <c r="AX110" s="10"/>
      <c r="BA110" s="109"/>
      <c r="BB110" s="109"/>
      <c r="BD110" s="10"/>
      <c r="BG110" s="109"/>
      <c r="BH110" s="109"/>
      <c r="BJ110" s="10"/>
      <c r="BM110" s="109"/>
      <c r="BN110" s="109"/>
      <c r="BP110" s="10"/>
      <c r="BS110" s="109"/>
      <c r="BT110" s="109"/>
      <c r="BV110" s="10"/>
      <c r="BY110" s="109"/>
      <c r="BZ110" s="109"/>
      <c r="CB110" s="10"/>
      <c r="CE110" s="109"/>
      <c r="CF110" s="109"/>
      <c r="CH110" s="10"/>
      <c r="CK110" s="109"/>
      <c r="CL110" s="109"/>
    </row>
    <row r="111" spans="1:90">
      <c r="A111" s="7" t="str">
        <f t="shared" si="11"/>
        <v>00210753</v>
      </c>
      <c r="B111" s="7" t="s">
        <v>2360</v>
      </c>
      <c r="C111" s="7" t="s">
        <v>2739</v>
      </c>
      <c r="D111" s="7">
        <v>102</v>
      </c>
      <c r="E111" s="7">
        <v>21</v>
      </c>
      <c r="F111" s="7" t="s">
        <v>1727</v>
      </c>
      <c r="G111" s="7">
        <v>753</v>
      </c>
      <c r="H111" s="7" t="s">
        <v>1666</v>
      </c>
      <c r="I111" s="37">
        <v>8121880</v>
      </c>
      <c r="J111" s="122">
        <v>0.93475246245081167</v>
      </c>
      <c r="K111" s="123">
        <f t="shared" si="19"/>
        <v>7877386.8014068147</v>
      </c>
      <c r="L111" s="122">
        <f>IF(K114&gt;0, K111/K114, 0)</f>
        <v>0.92315831908317281</v>
      </c>
      <c r="M111" s="71"/>
      <c r="N111" s="10">
        <f>ROUND(M114*L111,0)</f>
        <v>3274027</v>
      </c>
      <c r="O111" s="70">
        <v>3231262</v>
      </c>
      <c r="P111" s="10">
        <f>N111-O111</f>
        <v>42765</v>
      </c>
      <c r="Q111" s="46">
        <f t="shared" si="20"/>
        <v>1.323476709718989</v>
      </c>
      <c r="R111" s="10">
        <v>812</v>
      </c>
      <c r="S111" s="7">
        <f t="shared" si="12"/>
        <v>0</v>
      </c>
      <c r="T111" s="124">
        <f t="shared" si="13"/>
        <v>21</v>
      </c>
      <c r="U111" s="124">
        <f t="shared" si="14"/>
        <v>753</v>
      </c>
      <c r="V111" s="124">
        <f t="shared" si="15"/>
        <v>102</v>
      </c>
      <c r="W111" s="124">
        <f t="shared" si="16"/>
        <v>770.48361044170008</v>
      </c>
      <c r="X111" s="124">
        <f t="shared" si="17"/>
        <v>7877386.8014068147</v>
      </c>
      <c r="Y111" s="264">
        <f t="shared" si="18"/>
        <v>102</v>
      </c>
      <c r="Z111" s="10">
        <v>21</v>
      </c>
      <c r="AA111" s="7">
        <v>753</v>
      </c>
      <c r="AB111" s="7">
        <v>102</v>
      </c>
      <c r="AC111" s="109">
        <v>770.48361044170008</v>
      </c>
      <c r="AD111" s="109">
        <v>7877386.8014068147</v>
      </c>
      <c r="AE111" s="125"/>
      <c r="AF111" s="10"/>
      <c r="AI111" s="109"/>
      <c r="AJ111" s="109"/>
      <c r="AL111" s="10"/>
      <c r="AO111" s="109"/>
      <c r="AP111" s="109"/>
      <c r="AR111" s="10"/>
      <c r="AU111" s="109"/>
      <c r="AV111" s="109"/>
      <c r="AX111" s="10"/>
      <c r="BA111" s="109"/>
      <c r="BB111" s="109"/>
      <c r="BD111" s="10"/>
      <c r="BG111" s="109"/>
      <c r="BH111" s="109"/>
      <c r="BJ111" s="10"/>
      <c r="BM111" s="109"/>
      <c r="BN111" s="109"/>
      <c r="BP111" s="10"/>
      <c r="BS111" s="109"/>
      <c r="BT111" s="109"/>
      <c r="BV111" s="10"/>
      <c r="BY111" s="109"/>
      <c r="BZ111" s="109"/>
      <c r="CB111" s="10"/>
      <c r="CE111" s="109"/>
      <c r="CF111" s="109"/>
      <c r="CH111" s="10"/>
      <c r="CK111" s="109"/>
      <c r="CL111" s="109"/>
    </row>
    <row r="112" spans="1:90">
      <c r="A112" s="7" t="str">
        <f t="shared" si="11"/>
        <v>00210832</v>
      </c>
      <c r="B112" s="7" t="s">
        <v>2360</v>
      </c>
      <c r="C112" s="7" t="s">
        <v>2765</v>
      </c>
      <c r="D112" s="7">
        <v>103</v>
      </c>
      <c r="E112" s="7">
        <v>21</v>
      </c>
      <c r="F112" s="7" t="s">
        <v>1727</v>
      </c>
      <c r="G112" s="7">
        <v>832</v>
      </c>
      <c r="H112" s="7" t="s">
        <v>1692</v>
      </c>
      <c r="I112" s="37">
        <v>566923</v>
      </c>
      <c r="J112" s="122">
        <v>6.52475375491883E-2</v>
      </c>
      <c r="K112" s="123">
        <f t="shared" si="19"/>
        <v>655696.46131043707</v>
      </c>
      <c r="L112" s="122">
        <f>IF(K114&gt;0, K112/K114, 0)</f>
        <v>7.684168091682711E-2</v>
      </c>
      <c r="M112" s="71"/>
      <c r="N112" s="10">
        <f>ROUND(M114*L112,0)</f>
        <v>272523</v>
      </c>
      <c r="O112" s="70">
        <v>225548</v>
      </c>
      <c r="P112" s="10">
        <f>N112-O112</f>
        <v>46975</v>
      </c>
      <c r="Q112" s="46">
        <f t="shared" si="20"/>
        <v>20.827052334758012</v>
      </c>
      <c r="R112" s="10">
        <v>37</v>
      </c>
      <c r="S112" s="7">
        <f t="shared" si="12"/>
        <v>0</v>
      </c>
      <c r="T112" s="124">
        <f t="shared" si="13"/>
        <v>21</v>
      </c>
      <c r="U112" s="124">
        <f t="shared" si="14"/>
        <v>832</v>
      </c>
      <c r="V112" s="124">
        <f t="shared" si="15"/>
        <v>103</v>
      </c>
      <c r="W112" s="124">
        <f t="shared" si="16"/>
        <v>42.028093638079994</v>
      </c>
      <c r="X112" s="124">
        <f t="shared" si="17"/>
        <v>655696.46131043707</v>
      </c>
      <c r="Y112" s="264">
        <f t="shared" si="18"/>
        <v>103</v>
      </c>
      <c r="Z112" s="10">
        <v>21</v>
      </c>
      <c r="AA112" s="7">
        <v>832</v>
      </c>
      <c r="AB112" s="7">
        <v>103</v>
      </c>
      <c r="AC112" s="109">
        <v>42.028093638079994</v>
      </c>
      <c r="AD112" s="109">
        <v>655696.46131043707</v>
      </c>
      <c r="AE112" s="125"/>
      <c r="AF112" s="10"/>
      <c r="AI112" s="109"/>
      <c r="AJ112" s="109"/>
      <c r="AL112" s="10"/>
      <c r="AO112" s="109"/>
      <c r="AP112" s="109"/>
      <c r="AR112" s="10"/>
      <c r="AU112" s="109"/>
      <c r="AV112" s="109"/>
      <c r="AX112" s="10"/>
      <c r="BA112" s="109"/>
      <c r="BB112" s="109"/>
      <c r="BD112" s="10"/>
      <c r="BG112" s="109"/>
      <c r="BH112" s="109"/>
      <c r="BJ112" s="10"/>
      <c r="BM112" s="109"/>
      <c r="BN112" s="109"/>
      <c r="BP112" s="10"/>
      <c r="BS112" s="109"/>
      <c r="BT112" s="109"/>
      <c r="BV112" s="10"/>
      <c r="BY112" s="109"/>
      <c r="BZ112" s="109"/>
      <c r="CB112" s="10"/>
      <c r="CE112" s="109"/>
      <c r="CF112" s="109"/>
      <c r="CH112" s="10"/>
      <c r="CK112" s="109"/>
      <c r="CL112" s="109"/>
    </row>
    <row r="113" spans="1:90">
      <c r="A113" s="7" t="str">
        <f t="shared" si="11"/>
        <v>00210998</v>
      </c>
      <c r="B113" s="7" t="s">
        <v>2360</v>
      </c>
      <c r="C113" s="7" t="s">
        <v>2781</v>
      </c>
      <c r="D113" s="7">
        <v>104</v>
      </c>
      <c r="E113" s="7">
        <v>21</v>
      </c>
      <c r="F113" s="7" t="s">
        <v>2135</v>
      </c>
      <c r="G113" s="7">
        <v>998</v>
      </c>
      <c r="H113" s="7" t="s">
        <v>2135</v>
      </c>
      <c r="I113" s="37">
        <v>0</v>
      </c>
      <c r="J113" s="122">
        <v>0</v>
      </c>
      <c r="K113" s="123">
        <f t="shared" si="19"/>
        <v>0</v>
      </c>
      <c r="L113" s="122">
        <f>IF(K114&gt;0, K113/K114, 0)</f>
        <v>0</v>
      </c>
      <c r="M113" s="71"/>
      <c r="N113" s="10">
        <f>ROUND(M114*L113,0)</f>
        <v>0</v>
      </c>
      <c r="O113" s="70">
        <v>0</v>
      </c>
      <c r="P113" s="10">
        <f>N113-O113</f>
        <v>0</v>
      </c>
      <c r="Q113" s="46">
        <f t="shared" si="20"/>
        <v>0</v>
      </c>
      <c r="R113" s="10">
        <v>0</v>
      </c>
      <c r="S113" s="7">
        <f t="shared" si="12"/>
        <v>0</v>
      </c>
      <c r="T113" s="124">
        <f t="shared" si="13"/>
        <v>21</v>
      </c>
      <c r="U113" s="124">
        <f t="shared" si="14"/>
        <v>998</v>
      </c>
      <c r="V113" s="124">
        <f t="shared" si="15"/>
        <v>104</v>
      </c>
      <c r="W113" s="124">
        <f t="shared" si="16"/>
        <v>0</v>
      </c>
      <c r="X113" s="124">
        <f t="shared" si="17"/>
        <v>0</v>
      </c>
      <c r="Y113" s="264">
        <f t="shared" si="18"/>
        <v>104</v>
      </c>
      <c r="Z113" s="10">
        <v>21</v>
      </c>
      <c r="AA113" s="7">
        <v>998</v>
      </c>
      <c r="AB113" s="7">
        <v>104</v>
      </c>
      <c r="AC113" s="109">
        <v>0</v>
      </c>
      <c r="AD113" s="109">
        <v>0</v>
      </c>
      <c r="AE113" s="125"/>
      <c r="AF113" s="10"/>
      <c r="AI113" s="109"/>
      <c r="AJ113" s="109"/>
      <c r="AL113" s="10"/>
      <c r="AO113" s="109"/>
      <c r="AP113" s="109"/>
      <c r="AR113" s="10"/>
      <c r="AU113" s="109"/>
      <c r="AV113" s="109"/>
      <c r="AX113" s="10"/>
      <c r="BA113" s="109"/>
      <c r="BB113" s="109"/>
      <c r="BD113" s="10"/>
      <c r="BG113" s="109"/>
      <c r="BH113" s="109"/>
      <c r="BJ113" s="10"/>
      <c r="BM113" s="109"/>
      <c r="BN113" s="109"/>
      <c r="BP113" s="10"/>
      <c r="BS113" s="109"/>
      <c r="BT113" s="109"/>
      <c r="BV113" s="10"/>
      <c r="BY113" s="109"/>
      <c r="BZ113" s="109"/>
      <c r="CB113" s="10"/>
      <c r="CE113" s="109"/>
      <c r="CF113" s="109"/>
      <c r="CH113" s="10"/>
      <c r="CK113" s="109"/>
      <c r="CL113" s="109"/>
    </row>
    <row r="114" spans="1:90">
      <c r="A114" s="7" t="str">
        <f t="shared" si="11"/>
        <v>00210999</v>
      </c>
      <c r="B114" s="7" t="s">
        <v>2360</v>
      </c>
      <c r="C114" s="7" t="s">
        <v>2782</v>
      </c>
      <c r="D114" s="7">
        <v>105</v>
      </c>
      <c r="E114" s="11">
        <v>21</v>
      </c>
      <c r="F114" s="11" t="s">
        <v>1727</v>
      </c>
      <c r="G114" s="11">
        <v>999</v>
      </c>
      <c r="H114" s="11" t="s">
        <v>1132</v>
      </c>
      <c r="I114" s="105">
        <v>8688803</v>
      </c>
      <c r="J114" s="126">
        <v>1</v>
      </c>
      <c r="K114" s="127">
        <f>SUM(K110:K113)</f>
        <v>8533083.2627172526</v>
      </c>
      <c r="L114" s="126">
        <f>SUM(L110:L113)</f>
        <v>0.99999999999999989</v>
      </c>
      <c r="M114" s="105">
        <f>VLOOKUP(E114,town351,22)</f>
        <v>3546550</v>
      </c>
      <c r="N114" s="105">
        <f>SUM(N110:N113)</f>
        <v>3546550</v>
      </c>
      <c r="O114" s="128">
        <v>3456810</v>
      </c>
      <c r="P114" s="105">
        <f>SUM(P110:P113)</f>
        <v>89740</v>
      </c>
      <c r="Q114" s="45">
        <f t="shared" si="20"/>
        <v>2.5960350727983315</v>
      </c>
      <c r="R114" s="105">
        <v>849</v>
      </c>
      <c r="S114" s="7">
        <f t="shared" si="12"/>
        <v>0</v>
      </c>
      <c r="T114" s="124">
        <f t="shared" si="13"/>
        <v>21</v>
      </c>
      <c r="U114" s="124">
        <f t="shared" si="14"/>
        <v>999</v>
      </c>
      <c r="V114" s="124">
        <f t="shared" si="15"/>
        <v>105</v>
      </c>
      <c r="W114" s="124">
        <f t="shared" si="16"/>
        <v>812.51170407978009</v>
      </c>
      <c r="X114" s="124">
        <f t="shared" si="17"/>
        <v>8533083.2627172526</v>
      </c>
      <c r="Y114" s="264">
        <f t="shared" si="18"/>
        <v>105</v>
      </c>
      <c r="Z114" s="10">
        <v>21</v>
      </c>
      <c r="AA114" s="7">
        <v>999</v>
      </c>
      <c r="AB114" s="7">
        <v>105</v>
      </c>
      <c r="AC114" s="109">
        <v>812.51170407978009</v>
      </c>
      <c r="AD114" s="109">
        <v>8533083.2627172526</v>
      </c>
      <c r="AE114" s="125"/>
      <c r="AF114" s="10"/>
      <c r="AI114" s="109"/>
      <c r="AJ114" s="109"/>
      <c r="AL114" s="10"/>
      <c r="AO114" s="109"/>
      <c r="AP114" s="109"/>
      <c r="AR114" s="10"/>
      <c r="AU114" s="109"/>
      <c r="AV114" s="109"/>
      <c r="AX114" s="10"/>
      <c r="BA114" s="109"/>
      <c r="BB114" s="109"/>
      <c r="BD114" s="10"/>
      <c r="BG114" s="109"/>
      <c r="BH114" s="109"/>
      <c r="BJ114" s="10"/>
      <c r="BM114" s="109"/>
      <c r="BN114" s="109"/>
      <c r="BP114" s="10"/>
      <c r="BS114" s="109"/>
      <c r="BT114" s="109"/>
      <c r="BV114" s="10"/>
      <c r="BY114" s="109"/>
      <c r="BZ114" s="109"/>
      <c r="CB114" s="10"/>
      <c r="CE114" s="109"/>
      <c r="CF114" s="109"/>
      <c r="CH114" s="10"/>
      <c r="CK114" s="109"/>
      <c r="CL114" s="109"/>
    </row>
    <row r="115" spans="1:90">
      <c r="A115" s="7" t="str">
        <f t="shared" si="11"/>
        <v>00220022</v>
      </c>
      <c r="B115" s="7" t="s">
        <v>2361</v>
      </c>
      <c r="C115" s="7" t="s">
        <v>2361</v>
      </c>
      <c r="D115" s="7">
        <v>106</v>
      </c>
      <c r="E115" s="7">
        <v>22</v>
      </c>
      <c r="F115" s="7" t="s">
        <v>1728</v>
      </c>
      <c r="G115" s="7">
        <v>22</v>
      </c>
      <c r="H115" s="7" t="s">
        <v>1288</v>
      </c>
      <c r="I115" s="37">
        <v>170156.80000000002</v>
      </c>
      <c r="J115" s="122">
        <v>8.3583722441806646E-2</v>
      </c>
      <c r="K115" s="123">
        <f>X115</f>
        <v>173216.84932388432</v>
      </c>
      <c r="L115" s="122">
        <f>IF(K119&gt;0, K115/K119, 0)</f>
        <v>7.4323359302297387E-2</v>
      </c>
      <c r="M115" s="71"/>
      <c r="N115" s="10">
        <f>ROUND(M119*L115,0)</f>
        <v>131694</v>
      </c>
      <c r="O115" s="70">
        <v>141158</v>
      </c>
      <c r="P115" s="10">
        <f>N115-O115</f>
        <v>-9464</v>
      </c>
      <c r="Q115" s="46">
        <f t="shared" si="20"/>
        <v>-6.7045438444863201</v>
      </c>
      <c r="R115" s="10">
        <v>11</v>
      </c>
      <c r="S115" s="7">
        <f t="shared" si="12"/>
        <v>0</v>
      </c>
      <c r="T115" s="124">
        <f t="shared" si="13"/>
        <v>22</v>
      </c>
      <c r="U115" s="124">
        <f t="shared" si="14"/>
        <v>22</v>
      </c>
      <c r="V115" s="124">
        <f t="shared" si="15"/>
        <v>106</v>
      </c>
      <c r="W115" s="124">
        <f t="shared" si="16"/>
        <v>11</v>
      </c>
      <c r="X115" s="124">
        <f t="shared" si="17"/>
        <v>173216.84932388432</v>
      </c>
      <c r="Y115" s="264">
        <f t="shared" si="18"/>
        <v>106</v>
      </c>
      <c r="Z115" s="10">
        <v>22</v>
      </c>
      <c r="AA115" s="7">
        <v>22</v>
      </c>
      <c r="AB115" s="7">
        <v>106</v>
      </c>
      <c r="AC115" s="109">
        <v>11</v>
      </c>
      <c r="AD115" s="109">
        <v>173216.84932388432</v>
      </c>
      <c r="AE115" s="125"/>
      <c r="AF115" s="10"/>
      <c r="AI115" s="109"/>
      <c r="AJ115" s="109"/>
      <c r="AL115" s="10"/>
      <c r="AO115" s="109"/>
      <c r="AP115" s="109"/>
      <c r="AR115" s="10"/>
      <c r="AU115" s="109"/>
      <c r="AV115" s="109"/>
      <c r="AX115" s="10"/>
      <c r="BA115" s="109"/>
      <c r="BB115" s="109"/>
      <c r="BD115" s="10"/>
      <c r="BG115" s="109"/>
      <c r="BH115" s="109"/>
      <c r="BJ115" s="10"/>
      <c r="BM115" s="109"/>
      <c r="BN115" s="109"/>
      <c r="BP115" s="10"/>
      <c r="BS115" s="109"/>
      <c r="BT115" s="109"/>
      <c r="BV115" s="10"/>
      <c r="BY115" s="109"/>
      <c r="BZ115" s="109"/>
      <c r="CB115" s="10"/>
      <c r="CE115" s="109"/>
      <c r="CF115" s="109"/>
      <c r="CH115" s="10"/>
      <c r="CK115" s="109"/>
      <c r="CL115" s="109"/>
    </row>
    <row r="116" spans="1:90">
      <c r="A116" s="7" t="str">
        <f t="shared" si="11"/>
        <v>00220635</v>
      </c>
      <c r="B116" s="7" t="s">
        <v>2361</v>
      </c>
      <c r="C116" s="7" t="s">
        <v>2705</v>
      </c>
      <c r="D116" s="7">
        <v>107</v>
      </c>
      <c r="E116" s="7">
        <v>22</v>
      </c>
      <c r="F116" s="7" t="s">
        <v>1728</v>
      </c>
      <c r="G116" s="7">
        <v>635</v>
      </c>
      <c r="H116" s="7" t="s">
        <v>1632</v>
      </c>
      <c r="I116" s="37">
        <v>1865608</v>
      </c>
      <c r="J116" s="122">
        <v>0.91641627755819333</v>
      </c>
      <c r="K116" s="123">
        <f t="shared" si="19"/>
        <v>2157367.3835463608</v>
      </c>
      <c r="L116" s="122">
        <f>IF(K119&gt;0, K116/K119, 0)</f>
        <v>0.92567664069770272</v>
      </c>
      <c r="M116" s="71"/>
      <c r="N116" s="10">
        <f>ROUND(M119*L116,0)</f>
        <v>1640213</v>
      </c>
      <c r="O116" s="70">
        <v>1547659</v>
      </c>
      <c r="P116" s="10">
        <f>N116-O116</f>
        <v>92554</v>
      </c>
      <c r="Q116" s="46">
        <f t="shared" si="20"/>
        <v>5.9802579250338734</v>
      </c>
      <c r="R116" s="10">
        <v>183</v>
      </c>
      <c r="S116" s="7">
        <f t="shared" si="12"/>
        <v>0</v>
      </c>
      <c r="T116" s="124">
        <f t="shared" si="13"/>
        <v>22</v>
      </c>
      <c r="U116" s="124">
        <f t="shared" si="14"/>
        <v>635</v>
      </c>
      <c r="V116" s="124">
        <f t="shared" si="15"/>
        <v>107</v>
      </c>
      <c r="W116" s="124">
        <f t="shared" si="16"/>
        <v>208.78398058409996</v>
      </c>
      <c r="X116" s="124">
        <f t="shared" si="17"/>
        <v>2157367.3835463608</v>
      </c>
      <c r="Y116" s="264">
        <f t="shared" si="18"/>
        <v>107</v>
      </c>
      <c r="Z116" s="10">
        <v>22</v>
      </c>
      <c r="AA116" s="7">
        <v>635</v>
      </c>
      <c r="AB116" s="7">
        <v>107</v>
      </c>
      <c r="AC116" s="109">
        <v>208.78398058409996</v>
      </c>
      <c r="AD116" s="109">
        <v>2157367.3835463608</v>
      </c>
      <c r="AE116" s="125"/>
      <c r="AF116" s="10"/>
      <c r="AI116" s="109"/>
      <c r="AJ116" s="109"/>
      <c r="AL116" s="10"/>
      <c r="AO116" s="109"/>
      <c r="AP116" s="109"/>
      <c r="AR116" s="10"/>
      <c r="AU116" s="109"/>
      <c r="AV116" s="109"/>
      <c r="AX116" s="10"/>
      <c r="BA116" s="109"/>
      <c r="BB116" s="109"/>
      <c r="BD116" s="10"/>
      <c r="BG116" s="109"/>
      <c r="BH116" s="109"/>
      <c r="BJ116" s="10"/>
      <c r="BM116" s="109"/>
      <c r="BN116" s="109"/>
      <c r="BP116" s="10"/>
      <c r="BS116" s="109"/>
      <c r="BT116" s="109"/>
      <c r="BV116" s="10"/>
      <c r="BY116" s="109"/>
      <c r="BZ116" s="109"/>
      <c r="CB116" s="10"/>
      <c r="CE116" s="109"/>
      <c r="CF116" s="109"/>
      <c r="CH116" s="10"/>
      <c r="CK116" s="109"/>
      <c r="CL116" s="109"/>
    </row>
    <row r="117" spans="1:90">
      <c r="A117" s="7" t="str">
        <f t="shared" si="11"/>
        <v>00220998</v>
      </c>
      <c r="B117" s="7" t="s">
        <v>2361</v>
      </c>
      <c r="C117" s="7" t="s">
        <v>2781</v>
      </c>
      <c r="D117" s="7">
        <v>108</v>
      </c>
      <c r="E117" s="7">
        <v>22</v>
      </c>
      <c r="F117" s="7" t="s">
        <v>2135</v>
      </c>
      <c r="G117" s="7">
        <v>998</v>
      </c>
      <c r="H117" s="7" t="s">
        <v>2135</v>
      </c>
      <c r="I117" s="37">
        <v>0</v>
      </c>
      <c r="J117" s="122">
        <v>0</v>
      </c>
      <c r="K117" s="123">
        <f t="shared" si="19"/>
        <v>0</v>
      </c>
      <c r="L117" s="122">
        <f>IF(K119&gt;0, K117/K119, 0)</f>
        <v>0</v>
      </c>
      <c r="M117" s="71"/>
      <c r="N117" s="10">
        <f>ROUND(M119*L117,0)</f>
        <v>0</v>
      </c>
      <c r="O117" s="70">
        <v>0</v>
      </c>
      <c r="P117" s="10">
        <f>N117-O117</f>
        <v>0</v>
      </c>
      <c r="Q117" s="46">
        <f t="shared" si="20"/>
        <v>0</v>
      </c>
      <c r="R117" s="10">
        <v>0</v>
      </c>
      <c r="S117" s="7">
        <f t="shared" si="12"/>
        <v>0</v>
      </c>
      <c r="T117" s="124">
        <f t="shared" si="13"/>
        <v>22</v>
      </c>
      <c r="U117" s="124">
        <f t="shared" si="14"/>
        <v>998</v>
      </c>
      <c r="V117" s="124">
        <f t="shared" si="15"/>
        <v>108</v>
      </c>
      <c r="W117" s="124">
        <f t="shared" si="16"/>
        <v>0</v>
      </c>
      <c r="X117" s="124">
        <f t="shared" si="17"/>
        <v>0</v>
      </c>
      <c r="Y117" s="264">
        <f t="shared" si="18"/>
        <v>108</v>
      </c>
      <c r="Z117" s="10">
        <v>22</v>
      </c>
      <c r="AA117" s="7">
        <v>998</v>
      </c>
      <c r="AB117" s="7">
        <v>108</v>
      </c>
      <c r="AC117" s="109">
        <v>0</v>
      </c>
      <c r="AD117" s="109">
        <v>0</v>
      </c>
      <c r="AE117" s="125"/>
      <c r="AF117" s="10"/>
      <c r="AI117" s="109"/>
      <c r="AJ117" s="109"/>
      <c r="AL117" s="10"/>
      <c r="AO117" s="109"/>
      <c r="AP117" s="109"/>
      <c r="AR117" s="10"/>
      <c r="AU117" s="109"/>
      <c r="AV117" s="109"/>
      <c r="AX117" s="10"/>
      <c r="BA117" s="109"/>
      <c r="BB117" s="109"/>
      <c r="BD117" s="10"/>
      <c r="BG117" s="109"/>
      <c r="BH117" s="109"/>
      <c r="BJ117" s="10"/>
      <c r="BM117" s="109"/>
      <c r="BN117" s="109"/>
      <c r="BP117" s="10"/>
      <c r="BS117" s="109"/>
      <c r="BT117" s="109"/>
      <c r="BV117" s="10"/>
      <c r="BY117" s="109"/>
      <c r="BZ117" s="109"/>
      <c r="CB117" s="10"/>
      <c r="CE117" s="109"/>
      <c r="CF117" s="109"/>
      <c r="CH117" s="10"/>
      <c r="CK117" s="109"/>
      <c r="CL117" s="109"/>
    </row>
    <row r="118" spans="1:90">
      <c r="A118" s="7" t="str">
        <f t="shared" si="11"/>
        <v>00220998</v>
      </c>
      <c r="B118" s="7" t="s">
        <v>2361</v>
      </c>
      <c r="C118" s="7" t="s">
        <v>2781</v>
      </c>
      <c r="D118" s="7">
        <v>109</v>
      </c>
      <c r="E118" s="7">
        <v>22</v>
      </c>
      <c r="F118" s="7" t="s">
        <v>2135</v>
      </c>
      <c r="G118" s="7">
        <v>998</v>
      </c>
      <c r="H118" s="7" t="s">
        <v>2135</v>
      </c>
      <c r="I118" s="37">
        <v>0</v>
      </c>
      <c r="J118" s="122">
        <v>0</v>
      </c>
      <c r="K118" s="123">
        <f t="shared" si="19"/>
        <v>0</v>
      </c>
      <c r="L118" s="122">
        <f>IF(K119&gt;0, K118/K119, 0)</f>
        <v>0</v>
      </c>
      <c r="M118" s="71"/>
      <c r="N118" s="10">
        <f>ROUND(M119*L118,0)</f>
        <v>0</v>
      </c>
      <c r="O118" s="70">
        <v>0</v>
      </c>
      <c r="P118" s="10">
        <f>N118-O118</f>
        <v>0</v>
      </c>
      <c r="Q118" s="46">
        <f t="shared" si="20"/>
        <v>0</v>
      </c>
      <c r="R118" s="10">
        <v>0</v>
      </c>
      <c r="S118" s="7">
        <f t="shared" si="12"/>
        <v>0</v>
      </c>
      <c r="T118" s="124">
        <f t="shared" si="13"/>
        <v>22</v>
      </c>
      <c r="U118" s="124">
        <f t="shared" si="14"/>
        <v>998</v>
      </c>
      <c r="V118" s="124">
        <f t="shared" si="15"/>
        <v>109</v>
      </c>
      <c r="W118" s="124">
        <f t="shared" si="16"/>
        <v>0</v>
      </c>
      <c r="X118" s="124">
        <f t="shared" si="17"/>
        <v>0</v>
      </c>
      <c r="Y118" s="264">
        <f t="shared" si="18"/>
        <v>109</v>
      </c>
      <c r="Z118" s="10">
        <v>22</v>
      </c>
      <c r="AA118" s="7">
        <v>998</v>
      </c>
      <c r="AB118" s="7">
        <v>109</v>
      </c>
      <c r="AC118" s="109">
        <v>0</v>
      </c>
      <c r="AD118" s="109">
        <v>0</v>
      </c>
      <c r="AE118" s="125"/>
      <c r="AF118" s="10"/>
      <c r="AI118" s="109"/>
      <c r="AJ118" s="109"/>
      <c r="AL118" s="10"/>
      <c r="AO118" s="109"/>
      <c r="AP118" s="109"/>
      <c r="AR118" s="10"/>
      <c r="AU118" s="109"/>
      <c r="AV118" s="109"/>
      <c r="AX118" s="10"/>
      <c r="BA118" s="109"/>
      <c r="BB118" s="109"/>
      <c r="BD118" s="10"/>
      <c r="BG118" s="109"/>
      <c r="BH118" s="109"/>
      <c r="BJ118" s="10"/>
      <c r="BM118" s="109"/>
      <c r="BN118" s="109"/>
      <c r="BP118" s="10"/>
      <c r="BS118" s="109"/>
      <c r="BT118" s="109"/>
      <c r="BV118" s="10"/>
      <c r="BY118" s="109"/>
      <c r="BZ118" s="109"/>
      <c r="CB118" s="10"/>
      <c r="CE118" s="109"/>
      <c r="CF118" s="109"/>
      <c r="CH118" s="10"/>
      <c r="CK118" s="109"/>
      <c r="CL118" s="109"/>
    </row>
    <row r="119" spans="1:90">
      <c r="A119" s="7" t="str">
        <f t="shared" si="11"/>
        <v>00220999</v>
      </c>
      <c r="B119" s="7" t="s">
        <v>2361</v>
      </c>
      <c r="C119" s="7" t="s">
        <v>2782</v>
      </c>
      <c r="D119" s="7">
        <v>110</v>
      </c>
      <c r="E119" s="11">
        <v>22</v>
      </c>
      <c r="F119" s="11" t="s">
        <v>1728</v>
      </c>
      <c r="G119" s="11">
        <v>999</v>
      </c>
      <c r="H119" s="11" t="s">
        <v>1132</v>
      </c>
      <c r="I119" s="105">
        <v>2035764.8</v>
      </c>
      <c r="J119" s="126">
        <v>1</v>
      </c>
      <c r="K119" s="127">
        <f>SUM(K115:K118)</f>
        <v>2330584.2328702449</v>
      </c>
      <c r="L119" s="126">
        <f>SUM(L115:L118)</f>
        <v>1</v>
      </c>
      <c r="M119" s="105">
        <f>VLOOKUP(E119,town351,22)</f>
        <v>1771907</v>
      </c>
      <c r="N119" s="105">
        <f>SUM(N115:N118)</f>
        <v>1771907</v>
      </c>
      <c r="O119" s="128">
        <v>1688817</v>
      </c>
      <c r="P119" s="105">
        <f>SUM(P115:P118)</f>
        <v>83090</v>
      </c>
      <c r="Q119" s="45">
        <f t="shared" si="20"/>
        <v>4.9200120557763212</v>
      </c>
      <c r="R119" s="105">
        <v>194</v>
      </c>
      <c r="S119" s="7">
        <f t="shared" si="12"/>
        <v>0</v>
      </c>
      <c r="T119" s="124">
        <f t="shared" si="13"/>
        <v>22</v>
      </c>
      <c r="U119" s="124">
        <f t="shared" si="14"/>
        <v>999</v>
      </c>
      <c r="V119" s="124">
        <f t="shared" si="15"/>
        <v>110</v>
      </c>
      <c r="W119" s="124">
        <f t="shared" si="16"/>
        <v>219.78398058409996</v>
      </c>
      <c r="X119" s="124">
        <f t="shared" si="17"/>
        <v>2330584.2328702449</v>
      </c>
      <c r="Y119" s="264">
        <f t="shared" si="18"/>
        <v>110</v>
      </c>
      <c r="Z119" s="10">
        <v>22</v>
      </c>
      <c r="AA119" s="7">
        <v>999</v>
      </c>
      <c r="AB119" s="7">
        <v>110</v>
      </c>
      <c r="AC119" s="109">
        <v>219.78398058409996</v>
      </c>
      <c r="AD119" s="109">
        <v>2330584.2328702449</v>
      </c>
      <c r="AE119" s="125"/>
      <c r="AF119" s="10"/>
      <c r="AI119" s="109"/>
      <c r="AJ119" s="109"/>
      <c r="AL119" s="10"/>
      <c r="AO119" s="109"/>
      <c r="AP119" s="109"/>
      <c r="AR119" s="10"/>
      <c r="AU119" s="109"/>
      <c r="AV119" s="109"/>
      <c r="AX119" s="10"/>
      <c r="BA119" s="109"/>
      <c r="BB119" s="109"/>
      <c r="BD119" s="10"/>
      <c r="BG119" s="109"/>
      <c r="BH119" s="109"/>
      <c r="BJ119" s="10"/>
      <c r="BM119" s="109"/>
      <c r="BN119" s="109"/>
      <c r="BP119" s="10"/>
      <c r="BS119" s="109"/>
      <c r="BT119" s="109"/>
      <c r="BV119" s="10"/>
      <c r="BY119" s="109"/>
      <c r="BZ119" s="109"/>
      <c r="CB119" s="10"/>
      <c r="CE119" s="109"/>
      <c r="CF119" s="109"/>
      <c r="CH119" s="10"/>
      <c r="CK119" s="109"/>
      <c r="CL119" s="109"/>
    </row>
    <row r="120" spans="1:90">
      <c r="A120" s="7" t="str">
        <f t="shared" si="11"/>
        <v>00230023</v>
      </c>
      <c r="B120" s="7" t="s">
        <v>2362</v>
      </c>
      <c r="C120" s="7" t="s">
        <v>2362</v>
      </c>
      <c r="D120" s="7">
        <v>111</v>
      </c>
      <c r="E120" s="7">
        <v>23</v>
      </c>
      <c r="F120" s="7" t="s">
        <v>1729</v>
      </c>
      <c r="G120" s="7">
        <v>23</v>
      </c>
      <c r="H120" s="7" t="s">
        <v>1289</v>
      </c>
      <c r="I120" s="37">
        <v>25950850.370000001</v>
      </c>
      <c r="J120" s="122">
        <v>0.99017696510339659</v>
      </c>
      <c r="K120" s="123">
        <f>X120</f>
        <v>26915524.993783444</v>
      </c>
      <c r="L120" s="122">
        <f>IF(K124&gt;0, K120/K124, 0)</f>
        <v>0.98815028911192637</v>
      </c>
      <c r="M120" s="71"/>
      <c r="N120" s="10">
        <f>ROUND(M124*L120,0)</f>
        <v>22291183</v>
      </c>
      <c r="O120" s="70">
        <v>21694256</v>
      </c>
      <c r="P120" s="10">
        <f>N120-O120</f>
        <v>596927</v>
      </c>
      <c r="Q120" s="46">
        <f t="shared" si="20"/>
        <v>2.7515440031683962</v>
      </c>
      <c r="R120" s="10">
        <v>2596</v>
      </c>
      <c r="S120" s="7">
        <f t="shared" si="12"/>
        <v>0</v>
      </c>
      <c r="T120" s="124">
        <f t="shared" si="13"/>
        <v>23</v>
      </c>
      <c r="U120" s="124">
        <f t="shared" si="14"/>
        <v>23</v>
      </c>
      <c r="V120" s="124">
        <f t="shared" si="15"/>
        <v>111</v>
      </c>
      <c r="W120" s="124">
        <f t="shared" si="16"/>
        <v>2647</v>
      </c>
      <c r="X120" s="124">
        <f t="shared" si="17"/>
        <v>26915524.993783444</v>
      </c>
      <c r="Y120" s="264">
        <f t="shared" si="18"/>
        <v>111</v>
      </c>
      <c r="Z120" s="10">
        <v>23</v>
      </c>
      <c r="AA120" s="7">
        <v>23</v>
      </c>
      <c r="AB120" s="7">
        <v>111</v>
      </c>
      <c r="AC120" s="109">
        <v>2647</v>
      </c>
      <c r="AD120" s="109">
        <v>26915524.993783444</v>
      </c>
      <c r="AE120" s="125"/>
      <c r="AF120" s="10"/>
      <c r="AI120" s="109"/>
      <c r="AJ120" s="109"/>
      <c r="AL120" s="10"/>
      <c r="AO120" s="109"/>
      <c r="AP120" s="109"/>
      <c r="AR120" s="10"/>
      <c r="AU120" s="109"/>
      <c r="AV120" s="109"/>
      <c r="AX120" s="10"/>
      <c r="BA120" s="109"/>
      <c r="BB120" s="109"/>
      <c r="BD120" s="10"/>
      <c r="BG120" s="109"/>
      <c r="BH120" s="109"/>
      <c r="BJ120" s="10"/>
      <c r="BM120" s="109"/>
      <c r="BN120" s="109"/>
      <c r="BP120" s="10"/>
      <c r="BS120" s="109"/>
      <c r="BT120" s="109"/>
      <c r="BV120" s="10"/>
      <c r="BY120" s="109"/>
      <c r="BZ120" s="109"/>
      <c r="CB120" s="10"/>
      <c r="CE120" s="109"/>
      <c r="CF120" s="109"/>
      <c r="CH120" s="10"/>
      <c r="CK120" s="109"/>
      <c r="CL120" s="109"/>
    </row>
    <row r="121" spans="1:90">
      <c r="A121" s="7" t="str">
        <f t="shared" si="11"/>
        <v>00230871</v>
      </c>
      <c r="B121" s="7" t="s">
        <v>2362</v>
      </c>
      <c r="C121" s="7" t="s">
        <v>2771</v>
      </c>
      <c r="D121" s="7">
        <v>112</v>
      </c>
      <c r="E121" s="7">
        <v>23</v>
      </c>
      <c r="F121" s="7" t="s">
        <v>1729</v>
      </c>
      <c r="G121" s="7">
        <v>871</v>
      </c>
      <c r="H121" s="7" t="s">
        <v>1698</v>
      </c>
      <c r="I121" s="37">
        <v>257445</v>
      </c>
      <c r="J121" s="122">
        <v>9.8230348966034265E-3</v>
      </c>
      <c r="K121" s="123">
        <f t="shared" si="19"/>
        <v>322765.87184292887</v>
      </c>
      <c r="L121" s="122">
        <f>IF(K124&gt;0, K121/K124, 0)</f>
        <v>1.1849710888073614E-2</v>
      </c>
      <c r="M121" s="71"/>
      <c r="N121" s="10">
        <f>ROUND(M124*L121,0)</f>
        <v>267312</v>
      </c>
      <c r="O121" s="70">
        <v>215218</v>
      </c>
      <c r="P121" s="10">
        <f>N121-O121</f>
        <v>52094</v>
      </c>
      <c r="Q121" s="46">
        <f t="shared" si="20"/>
        <v>24.205224470072206</v>
      </c>
      <c r="R121" s="10">
        <v>17</v>
      </c>
      <c r="S121" s="7">
        <f t="shared" si="12"/>
        <v>0</v>
      </c>
      <c r="T121" s="124">
        <f t="shared" si="13"/>
        <v>23</v>
      </c>
      <c r="U121" s="124">
        <f t="shared" si="14"/>
        <v>871</v>
      </c>
      <c r="V121" s="124">
        <f t="shared" si="15"/>
        <v>112</v>
      </c>
      <c r="W121" s="124">
        <f t="shared" si="16"/>
        <v>21.00000000176</v>
      </c>
      <c r="X121" s="124">
        <f t="shared" si="17"/>
        <v>322765.87184292887</v>
      </c>
      <c r="Y121" s="264">
        <f t="shared" si="18"/>
        <v>112</v>
      </c>
      <c r="Z121" s="10">
        <v>23</v>
      </c>
      <c r="AA121" s="7">
        <v>871</v>
      </c>
      <c r="AB121" s="7">
        <v>112</v>
      </c>
      <c r="AC121" s="109">
        <v>21.00000000176</v>
      </c>
      <c r="AD121" s="109">
        <v>322765.87184292887</v>
      </c>
      <c r="AE121" s="125"/>
      <c r="AF121" s="10"/>
      <c r="AI121" s="109"/>
      <c r="AJ121" s="109"/>
      <c r="AL121" s="10"/>
      <c r="AO121" s="109"/>
      <c r="AP121" s="109"/>
      <c r="AR121" s="10"/>
      <c r="AU121" s="109"/>
      <c r="AV121" s="109"/>
      <c r="AX121" s="10"/>
      <c r="BA121" s="109"/>
      <c r="BB121" s="109"/>
      <c r="BD121" s="10"/>
      <c r="BG121" s="109"/>
      <c r="BH121" s="109"/>
      <c r="BJ121" s="10"/>
      <c r="BM121" s="109"/>
      <c r="BN121" s="109"/>
      <c r="BP121" s="10"/>
      <c r="BS121" s="109"/>
      <c r="BT121" s="109"/>
      <c r="BV121" s="10"/>
      <c r="BY121" s="109"/>
      <c r="BZ121" s="109"/>
      <c r="CB121" s="10"/>
      <c r="CE121" s="109"/>
      <c r="CF121" s="109"/>
      <c r="CH121" s="10"/>
      <c r="CK121" s="109"/>
      <c r="CL121" s="109"/>
    </row>
    <row r="122" spans="1:90">
      <c r="A122" s="7" t="str">
        <f t="shared" si="11"/>
        <v>00230998</v>
      </c>
      <c r="B122" s="7" t="s">
        <v>2362</v>
      </c>
      <c r="C122" s="7" t="s">
        <v>2781</v>
      </c>
      <c r="D122" s="7">
        <v>113</v>
      </c>
      <c r="E122" s="7">
        <v>23</v>
      </c>
      <c r="F122" s="7" t="s">
        <v>2135</v>
      </c>
      <c r="G122" s="7">
        <v>998</v>
      </c>
      <c r="I122" s="129">
        <v>0</v>
      </c>
      <c r="J122" s="130">
        <v>0</v>
      </c>
      <c r="K122" s="123">
        <f t="shared" si="19"/>
        <v>0</v>
      </c>
      <c r="L122" s="122">
        <f>IF(K124&gt;0, K122/K124, 0)</f>
        <v>0</v>
      </c>
      <c r="M122" s="71"/>
      <c r="N122" s="10">
        <f>ROUND(M124*L122,0)</f>
        <v>0</v>
      </c>
      <c r="O122" s="70">
        <v>0</v>
      </c>
      <c r="P122" s="10">
        <f>N122-O122</f>
        <v>0</v>
      </c>
      <c r="Q122" s="46">
        <f t="shared" si="20"/>
        <v>0</v>
      </c>
      <c r="R122" s="10">
        <v>0</v>
      </c>
      <c r="S122" s="7">
        <f t="shared" si="12"/>
        <v>0</v>
      </c>
      <c r="T122" s="124">
        <f t="shared" si="13"/>
        <v>23</v>
      </c>
      <c r="U122" s="124">
        <f t="shared" si="14"/>
        <v>998</v>
      </c>
      <c r="V122" s="124">
        <f t="shared" si="15"/>
        <v>113</v>
      </c>
      <c r="W122" s="124">
        <f t="shared" si="16"/>
        <v>0</v>
      </c>
      <c r="X122" s="124">
        <f t="shared" si="17"/>
        <v>0</v>
      </c>
      <c r="Y122" s="264">
        <f t="shared" si="18"/>
        <v>113</v>
      </c>
      <c r="Z122" s="10">
        <v>23</v>
      </c>
      <c r="AA122" s="7">
        <v>998</v>
      </c>
      <c r="AB122" s="7">
        <v>113</v>
      </c>
      <c r="AC122" s="109">
        <v>0</v>
      </c>
      <c r="AD122" s="109">
        <v>0</v>
      </c>
      <c r="AE122" s="125"/>
      <c r="AF122" s="10"/>
      <c r="AI122" s="109"/>
      <c r="AJ122" s="109"/>
      <c r="AL122" s="10"/>
      <c r="AO122" s="109"/>
      <c r="AP122" s="109"/>
      <c r="AR122" s="10"/>
      <c r="AU122" s="109"/>
      <c r="AV122" s="109"/>
      <c r="AX122" s="10"/>
      <c r="BA122" s="109"/>
      <c r="BB122" s="109"/>
      <c r="BD122" s="10"/>
      <c r="BG122" s="109"/>
      <c r="BH122" s="109"/>
      <c r="BJ122" s="10"/>
      <c r="BM122" s="109"/>
      <c r="BN122" s="109"/>
      <c r="BP122" s="10"/>
      <c r="BS122" s="109"/>
      <c r="BT122" s="109"/>
      <c r="BV122" s="10"/>
      <c r="BY122" s="109"/>
      <c r="BZ122" s="109"/>
      <c r="CB122" s="10"/>
      <c r="CE122" s="109"/>
      <c r="CF122" s="109"/>
      <c r="CH122" s="10"/>
      <c r="CK122" s="109"/>
      <c r="CL122" s="109"/>
    </row>
    <row r="123" spans="1:90">
      <c r="A123" s="7" t="str">
        <f t="shared" si="11"/>
        <v>00230998</v>
      </c>
      <c r="B123" s="7" t="s">
        <v>2362</v>
      </c>
      <c r="C123" s="7" t="s">
        <v>2781</v>
      </c>
      <c r="D123" s="7">
        <v>114</v>
      </c>
      <c r="E123" s="7">
        <v>23</v>
      </c>
      <c r="F123" s="7" t="s">
        <v>2135</v>
      </c>
      <c r="G123" s="7">
        <v>998</v>
      </c>
      <c r="H123" s="7" t="s">
        <v>2135</v>
      </c>
      <c r="I123" s="37">
        <v>0</v>
      </c>
      <c r="J123" s="122">
        <v>0</v>
      </c>
      <c r="K123" s="123">
        <f t="shared" si="19"/>
        <v>0</v>
      </c>
      <c r="L123" s="122">
        <f>IF(K124&gt;0, K123/K124, 0)</f>
        <v>0</v>
      </c>
      <c r="M123" s="71"/>
      <c r="N123" s="10">
        <f>ROUND(M124*L123,0)</f>
        <v>0</v>
      </c>
      <c r="O123" s="70">
        <v>0</v>
      </c>
      <c r="P123" s="10">
        <f>N123-O123</f>
        <v>0</v>
      </c>
      <c r="Q123" s="46">
        <f t="shared" si="20"/>
        <v>0</v>
      </c>
      <c r="R123" s="10">
        <v>0</v>
      </c>
      <c r="S123" s="7">
        <f t="shared" si="12"/>
        <v>0</v>
      </c>
      <c r="T123" s="124">
        <f t="shared" si="13"/>
        <v>23</v>
      </c>
      <c r="U123" s="124">
        <f t="shared" si="14"/>
        <v>998</v>
      </c>
      <c r="V123" s="124">
        <f t="shared" si="15"/>
        <v>114</v>
      </c>
      <c r="W123" s="124">
        <f t="shared" si="16"/>
        <v>0</v>
      </c>
      <c r="X123" s="124">
        <f t="shared" si="17"/>
        <v>0</v>
      </c>
      <c r="Y123" s="264">
        <f t="shared" si="18"/>
        <v>114</v>
      </c>
      <c r="Z123" s="10">
        <v>23</v>
      </c>
      <c r="AA123" s="7">
        <v>998</v>
      </c>
      <c r="AB123" s="7">
        <v>114</v>
      </c>
      <c r="AC123" s="109">
        <v>0</v>
      </c>
      <c r="AD123" s="109">
        <v>0</v>
      </c>
      <c r="AE123" s="125"/>
      <c r="AF123" s="10"/>
      <c r="AI123" s="109"/>
      <c r="AJ123" s="109"/>
      <c r="AL123" s="10"/>
      <c r="AO123" s="109"/>
      <c r="AP123" s="109"/>
      <c r="AR123" s="10"/>
      <c r="AU123" s="109"/>
      <c r="AV123" s="109"/>
      <c r="AX123" s="10"/>
      <c r="BA123" s="109"/>
      <c r="BB123" s="109"/>
      <c r="BD123" s="10"/>
      <c r="BG123" s="109"/>
      <c r="BH123" s="109"/>
      <c r="BJ123" s="10"/>
      <c r="BM123" s="109"/>
      <c r="BN123" s="109"/>
      <c r="BP123" s="10"/>
      <c r="BS123" s="109"/>
      <c r="BT123" s="109"/>
      <c r="BV123" s="10"/>
      <c r="BY123" s="109"/>
      <c r="BZ123" s="109"/>
      <c r="CB123" s="10"/>
      <c r="CE123" s="109"/>
      <c r="CF123" s="109"/>
      <c r="CH123" s="10"/>
      <c r="CK123" s="109"/>
      <c r="CL123" s="109"/>
    </row>
    <row r="124" spans="1:90">
      <c r="A124" s="7" t="str">
        <f t="shared" si="11"/>
        <v>00230999</v>
      </c>
      <c r="B124" s="7" t="s">
        <v>2362</v>
      </c>
      <c r="C124" s="7" t="s">
        <v>2782</v>
      </c>
      <c r="D124" s="7">
        <v>115</v>
      </c>
      <c r="E124" s="11">
        <v>23</v>
      </c>
      <c r="F124" s="11" t="s">
        <v>1729</v>
      </c>
      <c r="G124" s="11">
        <v>999</v>
      </c>
      <c r="H124" s="11" t="s">
        <v>1132</v>
      </c>
      <c r="I124" s="105">
        <v>26208295.370000001</v>
      </c>
      <c r="J124" s="126">
        <v>1</v>
      </c>
      <c r="K124" s="127">
        <f>SUM(K120:K123)</f>
        <v>27238290.865626372</v>
      </c>
      <c r="L124" s="126">
        <f>SUM(L120:L123)</f>
        <v>1</v>
      </c>
      <c r="M124" s="105">
        <f>VLOOKUP(E124,town351,22)</f>
        <v>22558495</v>
      </c>
      <c r="N124" s="105">
        <f>SUM(N120:N123)</f>
        <v>22558495</v>
      </c>
      <c r="O124" s="128">
        <v>21909474</v>
      </c>
      <c r="P124" s="105">
        <f>SUM(P120:P123)</f>
        <v>649021</v>
      </c>
      <c r="Q124" s="45">
        <f t="shared" si="20"/>
        <v>2.9622847175609968</v>
      </c>
      <c r="R124" s="105">
        <v>2613</v>
      </c>
      <c r="S124" s="7">
        <f t="shared" si="12"/>
        <v>0</v>
      </c>
      <c r="T124" s="124">
        <f t="shared" si="13"/>
        <v>23</v>
      </c>
      <c r="U124" s="124">
        <f t="shared" si="14"/>
        <v>999</v>
      </c>
      <c r="V124" s="124">
        <f t="shared" si="15"/>
        <v>115</v>
      </c>
      <c r="W124" s="124">
        <f t="shared" si="16"/>
        <v>2668.0000000017599</v>
      </c>
      <c r="X124" s="124">
        <f t="shared" si="17"/>
        <v>27238290.865626372</v>
      </c>
      <c r="Y124" s="264">
        <f t="shared" si="18"/>
        <v>115</v>
      </c>
      <c r="Z124" s="10">
        <v>23</v>
      </c>
      <c r="AA124" s="7">
        <v>999</v>
      </c>
      <c r="AB124" s="7">
        <v>115</v>
      </c>
      <c r="AC124" s="109">
        <v>2668.0000000017599</v>
      </c>
      <c r="AD124" s="109">
        <v>27238290.865626372</v>
      </c>
      <c r="AE124" s="125"/>
      <c r="AF124" s="10"/>
      <c r="AI124" s="109"/>
      <c r="AJ124" s="109"/>
      <c r="AL124" s="10"/>
      <c r="AO124" s="109"/>
      <c r="AP124" s="109"/>
      <c r="AR124" s="10"/>
      <c r="AU124" s="109"/>
      <c r="AV124" s="109"/>
      <c r="AX124" s="10"/>
      <c r="BA124" s="109"/>
      <c r="BB124" s="109"/>
      <c r="BD124" s="10"/>
      <c r="BG124" s="109"/>
      <c r="BH124" s="109"/>
      <c r="BJ124" s="10"/>
      <c r="BM124" s="109"/>
      <c r="BN124" s="109"/>
      <c r="BP124" s="10"/>
      <c r="BS124" s="109"/>
      <c r="BT124" s="109"/>
      <c r="BV124" s="10"/>
      <c r="BY124" s="109"/>
      <c r="BZ124" s="109"/>
      <c r="CB124" s="10"/>
      <c r="CE124" s="109"/>
      <c r="CF124" s="109"/>
      <c r="CH124" s="10"/>
      <c r="CK124" s="109"/>
      <c r="CL124" s="109"/>
    </row>
    <row r="125" spans="1:90">
      <c r="A125" s="7" t="str">
        <f t="shared" si="11"/>
        <v>00240024</v>
      </c>
      <c r="B125" s="7" t="s">
        <v>2363</v>
      </c>
      <c r="C125" s="7" t="s">
        <v>2363</v>
      </c>
      <c r="D125" s="7">
        <v>116</v>
      </c>
      <c r="E125" s="7">
        <v>24</v>
      </c>
      <c r="F125" s="7" t="s">
        <v>1730</v>
      </c>
      <c r="G125" s="7">
        <v>24</v>
      </c>
      <c r="H125" s="7" t="s">
        <v>1290</v>
      </c>
      <c r="I125" s="37">
        <v>23089848.73</v>
      </c>
      <c r="J125" s="122">
        <v>0.93349264056283765</v>
      </c>
      <c r="K125" s="123">
        <f>X125</f>
        <v>23338797.006631523</v>
      </c>
      <c r="L125" s="122">
        <f>IF(K129&gt;0, K125/K129, 0)</f>
        <v>0.9333139595012917</v>
      </c>
      <c r="M125" s="71"/>
      <c r="N125" s="10">
        <f>ROUND(M129*L125,0)</f>
        <v>11231898</v>
      </c>
      <c r="O125" s="70">
        <v>11282677</v>
      </c>
      <c r="P125" s="10">
        <f>N125-O125</f>
        <v>-50779</v>
      </c>
      <c r="Q125" s="46">
        <f t="shared" si="20"/>
        <v>-0.45006162987737752</v>
      </c>
      <c r="R125" s="10">
        <v>2393</v>
      </c>
      <c r="S125" s="7">
        <f t="shared" si="12"/>
        <v>0</v>
      </c>
      <c r="T125" s="124">
        <f t="shared" si="13"/>
        <v>24</v>
      </c>
      <c r="U125" s="124">
        <f t="shared" si="14"/>
        <v>24</v>
      </c>
      <c r="V125" s="124">
        <f t="shared" si="15"/>
        <v>116</v>
      </c>
      <c r="W125" s="124">
        <f t="shared" si="16"/>
        <v>2374</v>
      </c>
      <c r="X125" s="124">
        <f t="shared" si="17"/>
        <v>23338797.006631523</v>
      </c>
      <c r="Y125" s="264">
        <f t="shared" si="18"/>
        <v>116</v>
      </c>
      <c r="Z125" s="10">
        <v>24</v>
      </c>
      <c r="AA125" s="7">
        <v>24</v>
      </c>
      <c r="AB125" s="7">
        <v>116</v>
      </c>
      <c r="AC125" s="109">
        <v>2374</v>
      </c>
      <c r="AD125" s="109">
        <v>23338797.006631523</v>
      </c>
      <c r="AE125" s="125"/>
      <c r="AF125" s="10"/>
      <c r="AI125" s="109"/>
      <c r="AJ125" s="109"/>
      <c r="AL125" s="10"/>
      <c r="AO125" s="109"/>
      <c r="AP125" s="109"/>
      <c r="AR125" s="10"/>
      <c r="AU125" s="109"/>
      <c r="AV125" s="109"/>
      <c r="AX125" s="10"/>
      <c r="BA125" s="109"/>
      <c r="BB125" s="109"/>
      <c r="BD125" s="10"/>
      <c r="BG125" s="109"/>
      <c r="BH125" s="109"/>
      <c r="BJ125" s="10"/>
      <c r="BM125" s="109"/>
      <c r="BN125" s="109"/>
      <c r="BP125" s="10"/>
      <c r="BS125" s="109"/>
      <c r="BT125" s="109"/>
      <c r="BV125" s="10"/>
      <c r="BY125" s="109"/>
      <c r="BZ125" s="109"/>
      <c r="CB125" s="10"/>
      <c r="CE125" s="109"/>
      <c r="CF125" s="109"/>
      <c r="CH125" s="10"/>
      <c r="CK125" s="109"/>
      <c r="CL125" s="109"/>
    </row>
    <row r="126" spans="1:90">
      <c r="A126" s="7" t="str">
        <f t="shared" si="11"/>
        <v>00240860</v>
      </c>
      <c r="B126" s="7" t="s">
        <v>2363</v>
      </c>
      <c r="C126" s="7" t="s">
        <v>2770</v>
      </c>
      <c r="D126" s="7">
        <v>117</v>
      </c>
      <c r="E126" s="7">
        <v>24</v>
      </c>
      <c r="F126" s="7" t="s">
        <v>1730</v>
      </c>
      <c r="G126" s="7">
        <v>860</v>
      </c>
      <c r="H126" s="7" t="s">
        <v>1697</v>
      </c>
      <c r="I126" s="37">
        <v>1645053</v>
      </c>
      <c r="J126" s="122">
        <v>6.6507359437162392E-2</v>
      </c>
      <c r="K126" s="123">
        <f t="shared" si="19"/>
        <v>1667576.0032636768</v>
      </c>
      <c r="L126" s="122">
        <f>IF(K129&gt;0, K126/K129, 0)</f>
        <v>6.6686040498708271E-2</v>
      </c>
      <c r="M126" s="71"/>
      <c r="N126" s="10">
        <f>ROUND(M129*L126,0)</f>
        <v>802528</v>
      </c>
      <c r="O126" s="70">
        <v>803843</v>
      </c>
      <c r="P126" s="10">
        <f>N126-O126</f>
        <v>-1315</v>
      </c>
      <c r="Q126" s="46">
        <f t="shared" si="20"/>
        <v>-0.16358915857947384</v>
      </c>
      <c r="R126" s="10">
        <v>102</v>
      </c>
      <c r="S126" s="7">
        <f t="shared" si="12"/>
        <v>0</v>
      </c>
      <c r="T126" s="124">
        <f t="shared" si="13"/>
        <v>24</v>
      </c>
      <c r="U126" s="124">
        <f t="shared" si="14"/>
        <v>860</v>
      </c>
      <c r="V126" s="124">
        <f t="shared" si="15"/>
        <v>117</v>
      </c>
      <c r="W126" s="124">
        <f t="shared" si="16"/>
        <v>101.00000000211999</v>
      </c>
      <c r="X126" s="124">
        <f t="shared" si="17"/>
        <v>1667576.0032636768</v>
      </c>
      <c r="Y126" s="264">
        <f t="shared" si="18"/>
        <v>117</v>
      </c>
      <c r="Z126" s="10">
        <v>24</v>
      </c>
      <c r="AA126" s="7">
        <v>860</v>
      </c>
      <c r="AB126" s="7">
        <v>117</v>
      </c>
      <c r="AC126" s="109">
        <v>101.00000000211999</v>
      </c>
      <c r="AD126" s="109">
        <v>1667576.0032636768</v>
      </c>
      <c r="AE126" s="125"/>
      <c r="AF126" s="10"/>
      <c r="AI126" s="109"/>
      <c r="AJ126" s="109"/>
      <c r="AL126" s="10"/>
      <c r="AO126" s="109"/>
      <c r="AP126" s="109"/>
      <c r="AR126" s="10"/>
      <c r="AU126" s="109"/>
      <c r="AV126" s="109"/>
      <c r="AX126" s="10"/>
      <c r="BA126" s="109"/>
      <c r="BB126" s="109"/>
      <c r="BD126" s="10"/>
      <c r="BG126" s="109"/>
      <c r="BH126" s="109"/>
      <c r="BJ126" s="10"/>
      <c r="BM126" s="109"/>
      <c r="BN126" s="109"/>
      <c r="BP126" s="10"/>
      <c r="BS126" s="109"/>
      <c r="BT126" s="109"/>
      <c r="BV126" s="10"/>
      <c r="BY126" s="109"/>
      <c r="BZ126" s="109"/>
      <c r="CB126" s="10"/>
      <c r="CE126" s="109"/>
      <c r="CF126" s="109"/>
      <c r="CH126" s="10"/>
      <c r="CK126" s="109"/>
      <c r="CL126" s="109"/>
    </row>
    <row r="127" spans="1:90">
      <c r="A127" s="7" t="str">
        <f t="shared" si="11"/>
        <v>00240998</v>
      </c>
      <c r="B127" s="7" t="s">
        <v>2363</v>
      </c>
      <c r="C127" s="7" t="s">
        <v>2781</v>
      </c>
      <c r="D127" s="7">
        <v>118</v>
      </c>
      <c r="E127" s="7">
        <v>24</v>
      </c>
      <c r="F127" s="7" t="s">
        <v>2135</v>
      </c>
      <c r="G127" s="7">
        <v>998</v>
      </c>
      <c r="H127" s="7" t="s">
        <v>2135</v>
      </c>
      <c r="I127" s="37">
        <v>0</v>
      </c>
      <c r="J127" s="122">
        <v>0</v>
      </c>
      <c r="K127" s="123">
        <f t="shared" si="19"/>
        <v>0</v>
      </c>
      <c r="L127" s="122">
        <f>IF(K129&gt;0, K127/K129, 0)</f>
        <v>0</v>
      </c>
      <c r="M127" s="71"/>
      <c r="N127" s="10">
        <f>ROUND(M129*L127,0)</f>
        <v>0</v>
      </c>
      <c r="O127" s="70">
        <v>0</v>
      </c>
      <c r="P127" s="10">
        <f>N127-O127</f>
        <v>0</v>
      </c>
      <c r="Q127" s="46">
        <f t="shared" si="20"/>
        <v>0</v>
      </c>
      <c r="R127" s="10">
        <v>0</v>
      </c>
      <c r="S127" s="7">
        <f t="shared" si="12"/>
        <v>0</v>
      </c>
      <c r="T127" s="124">
        <f t="shared" si="13"/>
        <v>24</v>
      </c>
      <c r="U127" s="124">
        <f t="shared" si="14"/>
        <v>998</v>
      </c>
      <c r="V127" s="124">
        <f t="shared" si="15"/>
        <v>118</v>
      </c>
      <c r="W127" s="124">
        <f t="shared" si="16"/>
        <v>0</v>
      </c>
      <c r="X127" s="124">
        <f t="shared" si="17"/>
        <v>0</v>
      </c>
      <c r="Y127" s="264">
        <f t="shared" si="18"/>
        <v>118</v>
      </c>
      <c r="Z127" s="10">
        <v>24</v>
      </c>
      <c r="AA127" s="7">
        <v>998</v>
      </c>
      <c r="AB127" s="7">
        <v>118</v>
      </c>
      <c r="AC127" s="109">
        <v>0</v>
      </c>
      <c r="AD127" s="109">
        <v>0</v>
      </c>
      <c r="AE127" s="125"/>
      <c r="AF127" s="10"/>
      <c r="AI127" s="109"/>
      <c r="AJ127" s="109"/>
      <c r="AL127" s="10"/>
      <c r="AO127" s="109"/>
      <c r="AP127" s="109"/>
      <c r="AR127" s="10"/>
      <c r="AU127" s="109"/>
      <c r="AV127" s="109"/>
      <c r="AX127" s="10"/>
      <c r="BA127" s="109"/>
      <c r="BB127" s="109"/>
      <c r="BD127" s="10"/>
      <c r="BG127" s="109"/>
      <c r="BH127" s="109"/>
      <c r="BJ127" s="10"/>
      <c r="BM127" s="109"/>
      <c r="BN127" s="109"/>
      <c r="BP127" s="10"/>
      <c r="BS127" s="109"/>
      <c r="BT127" s="109"/>
      <c r="BV127" s="10"/>
      <c r="BY127" s="109"/>
      <c r="BZ127" s="109"/>
      <c r="CB127" s="10"/>
      <c r="CE127" s="109"/>
      <c r="CF127" s="109"/>
      <c r="CH127" s="10"/>
      <c r="CK127" s="109"/>
      <c r="CL127" s="109"/>
    </row>
    <row r="128" spans="1:90">
      <c r="A128" s="7" t="str">
        <f t="shared" si="11"/>
        <v>00240998</v>
      </c>
      <c r="B128" s="7" t="s">
        <v>2363</v>
      </c>
      <c r="C128" s="7" t="s">
        <v>2781</v>
      </c>
      <c r="D128" s="7">
        <v>119</v>
      </c>
      <c r="E128" s="7">
        <v>24</v>
      </c>
      <c r="F128" s="7" t="s">
        <v>2135</v>
      </c>
      <c r="G128" s="7">
        <v>998</v>
      </c>
      <c r="H128" s="7" t="s">
        <v>2135</v>
      </c>
      <c r="I128" s="37">
        <v>0</v>
      </c>
      <c r="J128" s="122">
        <v>0</v>
      </c>
      <c r="K128" s="123">
        <f t="shared" si="19"/>
        <v>0</v>
      </c>
      <c r="L128" s="122">
        <f>IF(K129&gt;0, K128/K129, 0)</f>
        <v>0</v>
      </c>
      <c r="M128" s="71"/>
      <c r="N128" s="10">
        <f>ROUND(M129*L128,0)</f>
        <v>0</v>
      </c>
      <c r="O128" s="70">
        <v>0</v>
      </c>
      <c r="P128" s="10">
        <f>N128-O128</f>
        <v>0</v>
      </c>
      <c r="Q128" s="46">
        <f t="shared" si="20"/>
        <v>0</v>
      </c>
      <c r="R128" s="10">
        <v>0</v>
      </c>
      <c r="S128" s="7">
        <f t="shared" si="12"/>
        <v>0</v>
      </c>
      <c r="T128" s="124">
        <f t="shared" si="13"/>
        <v>24</v>
      </c>
      <c r="U128" s="124">
        <f t="shared" si="14"/>
        <v>998</v>
      </c>
      <c r="V128" s="124">
        <f t="shared" si="15"/>
        <v>119</v>
      </c>
      <c r="W128" s="124">
        <f t="shared" si="16"/>
        <v>0</v>
      </c>
      <c r="X128" s="124">
        <f t="shared" si="17"/>
        <v>0</v>
      </c>
      <c r="Y128" s="264">
        <f t="shared" si="18"/>
        <v>119</v>
      </c>
      <c r="Z128" s="10">
        <v>24</v>
      </c>
      <c r="AA128" s="7">
        <v>998</v>
      </c>
      <c r="AB128" s="7">
        <v>119</v>
      </c>
      <c r="AC128" s="109">
        <v>0</v>
      </c>
      <c r="AD128" s="109">
        <v>0</v>
      </c>
      <c r="AE128" s="125"/>
      <c r="AF128" s="10"/>
      <c r="AI128" s="109"/>
      <c r="AJ128" s="109"/>
      <c r="AL128" s="10"/>
      <c r="AO128" s="109"/>
      <c r="AP128" s="109"/>
      <c r="AR128" s="10"/>
      <c r="AU128" s="109"/>
      <c r="AV128" s="109"/>
      <c r="AX128" s="10"/>
      <c r="BA128" s="109"/>
      <c r="BB128" s="109"/>
      <c r="BD128" s="10"/>
      <c r="BG128" s="109"/>
      <c r="BH128" s="109"/>
      <c r="BJ128" s="10"/>
      <c r="BM128" s="109"/>
      <c r="BN128" s="109"/>
      <c r="BP128" s="10"/>
      <c r="BS128" s="109"/>
      <c r="BT128" s="109"/>
      <c r="BV128" s="10"/>
      <c r="BY128" s="109"/>
      <c r="BZ128" s="109"/>
      <c r="CB128" s="10"/>
      <c r="CE128" s="109"/>
      <c r="CF128" s="109"/>
      <c r="CH128" s="10"/>
      <c r="CK128" s="109"/>
      <c r="CL128" s="109"/>
    </row>
    <row r="129" spans="1:90">
      <c r="A129" s="7" t="str">
        <f t="shared" si="11"/>
        <v>00240999</v>
      </c>
      <c r="B129" s="7" t="s">
        <v>2363</v>
      </c>
      <c r="C129" s="7" t="s">
        <v>2782</v>
      </c>
      <c r="D129" s="7">
        <v>120</v>
      </c>
      <c r="E129" s="11">
        <v>24</v>
      </c>
      <c r="F129" s="11" t="s">
        <v>1730</v>
      </c>
      <c r="G129" s="11">
        <v>999</v>
      </c>
      <c r="H129" s="11" t="s">
        <v>1132</v>
      </c>
      <c r="I129" s="105">
        <v>24734901.73</v>
      </c>
      <c r="J129" s="126">
        <v>1</v>
      </c>
      <c r="K129" s="127">
        <f>SUM(K125:K128)</f>
        <v>25006373.009895202</v>
      </c>
      <c r="L129" s="126">
        <f>SUM(L125:L128)</f>
        <v>1</v>
      </c>
      <c r="M129" s="105">
        <f>VLOOKUP(E129,town351,22)</f>
        <v>12034426</v>
      </c>
      <c r="N129" s="105">
        <f>SUM(N125:N128)</f>
        <v>12034426</v>
      </c>
      <c r="O129" s="128">
        <v>12086520</v>
      </c>
      <c r="P129" s="105">
        <f>SUM(P125:P128)</f>
        <v>-52094</v>
      </c>
      <c r="Q129" s="45">
        <f t="shared" si="20"/>
        <v>-0.43100909111969365</v>
      </c>
      <c r="R129" s="105">
        <v>2495</v>
      </c>
      <c r="S129" s="7">
        <f t="shared" si="12"/>
        <v>0</v>
      </c>
      <c r="T129" s="124">
        <f t="shared" si="13"/>
        <v>24</v>
      </c>
      <c r="U129" s="124">
        <f t="shared" si="14"/>
        <v>999</v>
      </c>
      <c r="V129" s="124">
        <f t="shared" si="15"/>
        <v>120</v>
      </c>
      <c r="W129" s="124">
        <f t="shared" si="16"/>
        <v>2475.00000000212</v>
      </c>
      <c r="X129" s="124">
        <f t="shared" si="17"/>
        <v>25006373.009895202</v>
      </c>
      <c r="Y129" s="264">
        <f t="shared" si="18"/>
        <v>120</v>
      </c>
      <c r="Z129" s="10">
        <v>24</v>
      </c>
      <c r="AA129" s="7">
        <v>999</v>
      </c>
      <c r="AB129" s="7">
        <v>120</v>
      </c>
      <c r="AC129" s="109">
        <v>2475.00000000212</v>
      </c>
      <c r="AD129" s="109">
        <v>25006373.009895202</v>
      </c>
      <c r="AE129" s="125"/>
      <c r="AF129" s="10"/>
      <c r="AI129" s="109"/>
      <c r="AJ129" s="109"/>
      <c r="AL129" s="10"/>
      <c r="AO129" s="109"/>
      <c r="AP129" s="109"/>
      <c r="AR129" s="10"/>
      <c r="AU129" s="109"/>
      <c r="AV129" s="109"/>
      <c r="AX129" s="10"/>
      <c r="BA129" s="109"/>
      <c r="BB129" s="109"/>
      <c r="BD129" s="10"/>
      <c r="BG129" s="109"/>
      <c r="BH129" s="109"/>
      <c r="BJ129" s="10"/>
      <c r="BM129" s="109"/>
      <c r="BN129" s="109"/>
      <c r="BP129" s="10"/>
      <c r="BS129" s="109"/>
      <c r="BT129" s="109"/>
      <c r="BV129" s="10"/>
      <c r="BY129" s="109"/>
      <c r="BZ129" s="109"/>
      <c r="CB129" s="10"/>
      <c r="CE129" s="109"/>
      <c r="CF129" s="109"/>
      <c r="CH129" s="10"/>
      <c r="CK129" s="109"/>
      <c r="CL129" s="109"/>
    </row>
    <row r="130" spans="1:90">
      <c r="A130" s="7" t="str">
        <f t="shared" si="11"/>
        <v>00250025</v>
      </c>
      <c r="B130" s="7" t="s">
        <v>2364</v>
      </c>
      <c r="C130" s="7" t="s">
        <v>2364</v>
      </c>
      <c r="D130" s="7">
        <v>121</v>
      </c>
      <c r="E130" s="7">
        <v>25</v>
      </c>
      <c r="F130" s="7" t="s">
        <v>1731</v>
      </c>
      <c r="G130" s="7">
        <v>25</v>
      </c>
      <c r="H130" s="7" t="s">
        <v>1291</v>
      </c>
      <c r="I130" s="37">
        <v>22360509.420000002</v>
      </c>
      <c r="J130" s="122">
        <v>0.93585230188443269</v>
      </c>
      <c r="K130" s="123">
        <f>X130</f>
        <v>22943454.173670746</v>
      </c>
      <c r="L130" s="122">
        <f>IF(K134&gt;0, K130/K134, 0)</f>
        <v>0.93999156213675594</v>
      </c>
      <c r="M130" s="71"/>
      <c r="N130" s="10">
        <f>ROUND(M134*L130,0)</f>
        <v>15348243</v>
      </c>
      <c r="O130" s="70">
        <v>15180149</v>
      </c>
      <c r="P130" s="10">
        <f>N130-O130</f>
        <v>168094</v>
      </c>
      <c r="Q130" s="46">
        <f t="shared" si="20"/>
        <v>1.1073277343983909</v>
      </c>
      <c r="R130" s="10">
        <v>2330</v>
      </c>
      <c r="S130" s="7">
        <f t="shared" si="12"/>
        <v>0</v>
      </c>
      <c r="T130" s="124">
        <f t="shared" si="13"/>
        <v>25</v>
      </c>
      <c r="U130" s="124">
        <f t="shared" si="14"/>
        <v>25</v>
      </c>
      <c r="V130" s="124">
        <f t="shared" si="15"/>
        <v>121</v>
      </c>
      <c r="W130" s="124">
        <f t="shared" si="16"/>
        <v>2332</v>
      </c>
      <c r="X130" s="124">
        <f t="shared" si="17"/>
        <v>22943454.173670746</v>
      </c>
      <c r="Y130" s="264">
        <f t="shared" si="18"/>
        <v>121</v>
      </c>
      <c r="Z130" s="10">
        <v>25</v>
      </c>
      <c r="AA130" s="7">
        <v>25</v>
      </c>
      <c r="AB130" s="7">
        <v>121</v>
      </c>
      <c r="AC130" s="109">
        <v>2332</v>
      </c>
      <c r="AD130" s="109">
        <v>22943454.173670746</v>
      </c>
      <c r="AE130" s="125"/>
      <c r="AF130" s="10"/>
      <c r="AI130" s="109"/>
      <c r="AJ130" s="109"/>
      <c r="AL130" s="10"/>
      <c r="AO130" s="109"/>
      <c r="AP130" s="109"/>
      <c r="AR130" s="10"/>
      <c r="AU130" s="109"/>
      <c r="AV130" s="109"/>
      <c r="AX130" s="10"/>
      <c r="BA130" s="109"/>
      <c r="BB130" s="109"/>
      <c r="BD130" s="10"/>
      <c r="BG130" s="109"/>
      <c r="BH130" s="109"/>
      <c r="BJ130" s="10"/>
      <c r="BM130" s="109"/>
      <c r="BN130" s="109"/>
      <c r="BP130" s="10"/>
      <c r="BS130" s="109"/>
      <c r="BT130" s="109"/>
      <c r="BV130" s="10"/>
      <c r="BY130" s="109"/>
      <c r="BZ130" s="109"/>
      <c r="CB130" s="10"/>
      <c r="CE130" s="109"/>
      <c r="CF130" s="109"/>
      <c r="CH130" s="10"/>
      <c r="CK130" s="109"/>
      <c r="CL130" s="109"/>
    </row>
    <row r="131" spans="1:90">
      <c r="A131" s="7" t="str">
        <f t="shared" si="11"/>
        <v>00250805</v>
      </c>
      <c r="B131" s="7" t="s">
        <v>2364</v>
      </c>
      <c r="C131" s="7" t="s">
        <v>2753</v>
      </c>
      <c r="D131" s="7">
        <v>122</v>
      </c>
      <c r="E131" s="7">
        <v>25</v>
      </c>
      <c r="F131" s="7" t="s">
        <v>1731</v>
      </c>
      <c r="G131" s="7">
        <v>805</v>
      </c>
      <c r="H131" s="7" t="s">
        <v>1680</v>
      </c>
      <c r="I131" s="37">
        <v>1322909</v>
      </c>
      <c r="J131" s="122">
        <v>5.5367586202051428E-2</v>
      </c>
      <c r="K131" s="123">
        <f t="shared" si="19"/>
        <v>1283499.625988473</v>
      </c>
      <c r="L131" s="122">
        <f>IF(K134&gt;0, K131/K134, 0)</f>
        <v>5.2584881478716809E-2</v>
      </c>
      <c r="M131" s="71"/>
      <c r="N131" s="10">
        <f>ROUND(M134*L131,0)</f>
        <v>858609</v>
      </c>
      <c r="O131" s="70">
        <v>898099</v>
      </c>
      <c r="P131" s="10">
        <f>N131-O131</f>
        <v>-39490</v>
      </c>
      <c r="Q131" s="46">
        <f t="shared" si="20"/>
        <v>-4.3970653569372642</v>
      </c>
      <c r="R131" s="10">
        <v>89</v>
      </c>
      <c r="S131" s="7">
        <f t="shared" si="12"/>
        <v>0</v>
      </c>
      <c r="T131" s="124">
        <f t="shared" si="13"/>
        <v>25</v>
      </c>
      <c r="U131" s="124">
        <f t="shared" si="14"/>
        <v>805</v>
      </c>
      <c r="V131" s="124">
        <f t="shared" si="15"/>
        <v>122</v>
      </c>
      <c r="W131" s="124">
        <f t="shared" si="16"/>
        <v>85.000000004010005</v>
      </c>
      <c r="X131" s="124">
        <f t="shared" si="17"/>
        <v>1283499.625988473</v>
      </c>
      <c r="Y131" s="264">
        <f t="shared" si="18"/>
        <v>122</v>
      </c>
      <c r="Z131" s="10">
        <v>25</v>
      </c>
      <c r="AA131" s="7">
        <v>805</v>
      </c>
      <c r="AB131" s="7">
        <v>122</v>
      </c>
      <c r="AC131" s="109">
        <v>85.000000004010005</v>
      </c>
      <c r="AD131" s="109">
        <v>1283499.625988473</v>
      </c>
      <c r="AE131" s="125"/>
      <c r="AF131" s="10"/>
      <c r="AI131" s="109"/>
      <c r="AJ131" s="109"/>
      <c r="AL131" s="10"/>
      <c r="AO131" s="109"/>
      <c r="AP131" s="109"/>
      <c r="AR131" s="10"/>
      <c r="AU131" s="109"/>
      <c r="AV131" s="109"/>
      <c r="AX131" s="10"/>
      <c r="BA131" s="109"/>
      <c r="BB131" s="109"/>
      <c r="BD131" s="10"/>
      <c r="BG131" s="109"/>
      <c r="BH131" s="109"/>
      <c r="BJ131" s="10"/>
      <c r="BM131" s="109"/>
      <c r="BN131" s="109"/>
      <c r="BP131" s="10"/>
      <c r="BS131" s="109"/>
      <c r="BT131" s="109"/>
      <c r="BV131" s="10"/>
      <c r="BY131" s="109"/>
      <c r="BZ131" s="109"/>
      <c r="CB131" s="10"/>
      <c r="CE131" s="109"/>
      <c r="CF131" s="109"/>
      <c r="CH131" s="10"/>
      <c r="CK131" s="109"/>
      <c r="CL131" s="109"/>
    </row>
    <row r="132" spans="1:90">
      <c r="A132" s="7" t="str">
        <f t="shared" si="11"/>
        <v>00250915</v>
      </c>
      <c r="B132" s="7" t="s">
        <v>2364</v>
      </c>
      <c r="C132" s="7" t="s">
        <v>2779</v>
      </c>
      <c r="D132" s="7">
        <v>123</v>
      </c>
      <c r="E132" s="7">
        <v>25</v>
      </c>
      <c r="F132" s="7" t="s">
        <v>1731</v>
      </c>
      <c r="G132" s="7">
        <v>915</v>
      </c>
      <c r="H132" s="7" t="s">
        <v>1706</v>
      </c>
      <c r="I132" s="37">
        <v>209785</v>
      </c>
      <c r="J132" s="122">
        <v>8.7801119135158638E-3</v>
      </c>
      <c r="K132" s="123">
        <f t="shared" si="19"/>
        <v>181195.27086699803</v>
      </c>
      <c r="L132" s="122">
        <f>IF(K134&gt;0, K132/K134, 0)</f>
        <v>7.4235563845272612E-3</v>
      </c>
      <c r="M132" s="71"/>
      <c r="N132" s="10">
        <f>ROUND(M134*L132,0)</f>
        <v>121212</v>
      </c>
      <c r="O132" s="70">
        <v>142419</v>
      </c>
      <c r="P132" s="10">
        <f>N132-O132</f>
        <v>-21207</v>
      </c>
      <c r="Q132" s="46">
        <f t="shared" si="20"/>
        <v>-14.890569376277041</v>
      </c>
      <c r="R132" s="10">
        <v>13</v>
      </c>
      <c r="S132" s="7">
        <f t="shared" si="12"/>
        <v>0</v>
      </c>
      <c r="T132" s="124">
        <f t="shared" si="13"/>
        <v>25</v>
      </c>
      <c r="U132" s="124">
        <f t="shared" si="14"/>
        <v>915</v>
      </c>
      <c r="V132" s="124">
        <f t="shared" si="15"/>
        <v>123</v>
      </c>
      <c r="W132" s="124">
        <f t="shared" si="16"/>
        <v>11.0000000007</v>
      </c>
      <c r="X132" s="124">
        <f t="shared" si="17"/>
        <v>181195.27086699803</v>
      </c>
      <c r="Y132" s="264">
        <f t="shared" si="18"/>
        <v>123</v>
      </c>
      <c r="Z132" s="10">
        <v>25</v>
      </c>
      <c r="AA132" s="7">
        <v>915</v>
      </c>
      <c r="AB132" s="7">
        <v>123</v>
      </c>
      <c r="AC132" s="109">
        <v>11.0000000007</v>
      </c>
      <c r="AD132" s="109">
        <v>181195.27086699803</v>
      </c>
      <c r="AE132" s="125"/>
      <c r="AF132" s="10"/>
      <c r="AI132" s="109"/>
      <c r="AJ132" s="109"/>
      <c r="AL132" s="10"/>
      <c r="AO132" s="109"/>
      <c r="AP132" s="109"/>
      <c r="AR132" s="10"/>
      <c r="AU132" s="109"/>
      <c r="AV132" s="109"/>
      <c r="AX132" s="10"/>
      <c r="BA132" s="109"/>
      <c r="BB132" s="109"/>
      <c r="BD132" s="10"/>
      <c r="BG132" s="109"/>
      <c r="BH132" s="109"/>
      <c r="BJ132" s="10"/>
      <c r="BM132" s="109"/>
      <c r="BN132" s="109"/>
      <c r="BP132" s="10"/>
      <c r="BS132" s="109"/>
      <c r="BT132" s="109"/>
      <c r="BV132" s="10"/>
      <c r="BY132" s="109"/>
      <c r="BZ132" s="109"/>
      <c r="CB132" s="10"/>
      <c r="CE132" s="109"/>
      <c r="CF132" s="109"/>
      <c r="CH132" s="10"/>
      <c r="CK132" s="109"/>
      <c r="CL132" s="109"/>
    </row>
    <row r="133" spans="1:90">
      <c r="A133" s="7" t="str">
        <f t="shared" si="11"/>
        <v>00250998</v>
      </c>
      <c r="B133" s="7" t="s">
        <v>2364</v>
      </c>
      <c r="C133" s="7" t="s">
        <v>2781</v>
      </c>
      <c r="D133" s="7">
        <v>124</v>
      </c>
      <c r="E133" s="7">
        <v>25</v>
      </c>
      <c r="F133" s="7" t="s">
        <v>2135</v>
      </c>
      <c r="G133" s="7">
        <v>998</v>
      </c>
      <c r="H133" s="7" t="s">
        <v>2135</v>
      </c>
      <c r="I133" s="37">
        <v>0</v>
      </c>
      <c r="J133" s="122">
        <v>0</v>
      </c>
      <c r="K133" s="123">
        <f t="shared" si="19"/>
        <v>0</v>
      </c>
      <c r="L133" s="122">
        <f>IF(K134&gt;0, K133/K134, 0)</f>
        <v>0</v>
      </c>
      <c r="M133" s="71"/>
      <c r="N133" s="10">
        <f>ROUND(M134*L133,0)</f>
        <v>0</v>
      </c>
      <c r="O133" s="70">
        <v>0</v>
      </c>
      <c r="P133" s="10">
        <f>N133-O133</f>
        <v>0</v>
      </c>
      <c r="Q133" s="46">
        <f t="shared" si="20"/>
        <v>0</v>
      </c>
      <c r="R133" s="10">
        <v>0</v>
      </c>
      <c r="S133" s="7">
        <f t="shared" si="12"/>
        <v>0</v>
      </c>
      <c r="T133" s="124">
        <f t="shared" si="13"/>
        <v>25</v>
      </c>
      <c r="U133" s="124">
        <f t="shared" si="14"/>
        <v>998</v>
      </c>
      <c r="V133" s="124">
        <f t="shared" si="15"/>
        <v>124</v>
      </c>
      <c r="W133" s="124">
        <f t="shared" si="16"/>
        <v>0</v>
      </c>
      <c r="X133" s="124">
        <f t="shared" si="17"/>
        <v>0</v>
      </c>
      <c r="Y133" s="264">
        <f t="shared" si="18"/>
        <v>124</v>
      </c>
      <c r="Z133" s="10">
        <v>25</v>
      </c>
      <c r="AA133" s="7">
        <v>998</v>
      </c>
      <c r="AB133" s="7">
        <v>124</v>
      </c>
      <c r="AC133" s="109">
        <v>0</v>
      </c>
      <c r="AD133" s="109">
        <v>0</v>
      </c>
      <c r="AE133" s="125"/>
      <c r="AF133" s="10"/>
      <c r="AI133" s="109"/>
      <c r="AJ133" s="109"/>
      <c r="AL133" s="10"/>
      <c r="AO133" s="109"/>
      <c r="AP133" s="109"/>
      <c r="AR133" s="10"/>
      <c r="AU133" s="109"/>
      <c r="AV133" s="109"/>
      <c r="AX133" s="10"/>
      <c r="BA133" s="109"/>
      <c r="BB133" s="109"/>
      <c r="BD133" s="10"/>
      <c r="BG133" s="109"/>
      <c r="BH133" s="109"/>
      <c r="BJ133" s="10"/>
      <c r="BM133" s="109"/>
      <c r="BN133" s="109"/>
      <c r="BP133" s="10"/>
      <c r="BS133" s="109"/>
      <c r="BT133" s="109"/>
      <c r="BV133" s="10"/>
      <c r="BY133" s="109"/>
      <c r="BZ133" s="109"/>
      <c r="CB133" s="10"/>
      <c r="CE133" s="109"/>
      <c r="CF133" s="109"/>
      <c r="CH133" s="10"/>
      <c r="CK133" s="109"/>
      <c r="CL133" s="109"/>
    </row>
    <row r="134" spans="1:90">
      <c r="A134" s="7" t="str">
        <f t="shared" si="11"/>
        <v>00250999</v>
      </c>
      <c r="B134" s="7" t="s">
        <v>2364</v>
      </c>
      <c r="C134" s="7" t="s">
        <v>2782</v>
      </c>
      <c r="D134" s="7">
        <v>125</v>
      </c>
      <c r="E134" s="11">
        <v>25</v>
      </c>
      <c r="F134" s="11" t="s">
        <v>1731</v>
      </c>
      <c r="G134" s="11">
        <v>999</v>
      </c>
      <c r="H134" s="11" t="s">
        <v>1132</v>
      </c>
      <c r="I134" s="105">
        <v>23893203.420000002</v>
      </c>
      <c r="J134" s="126">
        <v>1</v>
      </c>
      <c r="K134" s="127">
        <f>SUM(K130:K133)</f>
        <v>24408149.070526216</v>
      </c>
      <c r="L134" s="126">
        <f>SUM(L130:L133)</f>
        <v>1</v>
      </c>
      <c r="M134" s="105">
        <f>VLOOKUP(E134,town351,22)</f>
        <v>16328065</v>
      </c>
      <c r="N134" s="105">
        <f>SUM(N130:N133)</f>
        <v>16328064</v>
      </c>
      <c r="O134" s="128">
        <v>16220667</v>
      </c>
      <c r="P134" s="105">
        <f>SUM(P130:P133)</f>
        <v>107397</v>
      </c>
      <c r="Q134" s="45">
        <f t="shared" si="20"/>
        <v>0.66209977678476473</v>
      </c>
      <c r="R134" s="105">
        <v>2432</v>
      </c>
      <c r="S134" s="7">
        <f t="shared" si="12"/>
        <v>0</v>
      </c>
      <c r="T134" s="124">
        <f t="shared" si="13"/>
        <v>25</v>
      </c>
      <c r="U134" s="124">
        <f t="shared" si="14"/>
        <v>999</v>
      </c>
      <c r="V134" s="124">
        <f t="shared" si="15"/>
        <v>125</v>
      </c>
      <c r="W134" s="124">
        <f t="shared" si="16"/>
        <v>2428.0000000047098</v>
      </c>
      <c r="X134" s="124">
        <f t="shared" si="17"/>
        <v>24408149.070526216</v>
      </c>
      <c r="Y134" s="264">
        <f t="shared" si="18"/>
        <v>125</v>
      </c>
      <c r="Z134" s="10">
        <v>25</v>
      </c>
      <c r="AA134" s="7">
        <v>999</v>
      </c>
      <c r="AB134" s="7">
        <v>125</v>
      </c>
      <c r="AC134" s="109">
        <v>2428.0000000047098</v>
      </c>
      <c r="AD134" s="109">
        <v>24408149.070526216</v>
      </c>
      <c r="AE134" s="125"/>
      <c r="AF134" s="10"/>
      <c r="AI134" s="109"/>
      <c r="AJ134" s="109"/>
      <c r="AL134" s="10"/>
      <c r="AO134" s="109"/>
      <c r="AP134" s="109"/>
      <c r="AR134" s="10"/>
      <c r="AU134" s="109"/>
      <c r="AV134" s="109"/>
      <c r="AX134" s="10"/>
      <c r="BA134" s="109"/>
      <c r="BB134" s="109"/>
      <c r="BD134" s="10"/>
      <c r="BG134" s="109"/>
      <c r="BH134" s="109"/>
      <c r="BJ134" s="10"/>
      <c r="BM134" s="109"/>
      <c r="BN134" s="109"/>
      <c r="BP134" s="10"/>
      <c r="BS134" s="109"/>
      <c r="BT134" s="109"/>
      <c r="BV134" s="10"/>
      <c r="BY134" s="109"/>
      <c r="BZ134" s="109"/>
      <c r="CB134" s="10"/>
      <c r="CE134" s="109"/>
      <c r="CF134" s="109"/>
      <c r="CH134" s="10"/>
      <c r="CK134" s="109"/>
      <c r="CL134" s="109"/>
    </row>
    <row r="135" spans="1:90">
      <c r="A135" s="7" t="str">
        <f t="shared" si="11"/>
        <v>00260026</v>
      </c>
      <c r="B135" s="7" t="s">
        <v>2365</v>
      </c>
      <c r="C135" s="7" t="s">
        <v>2365</v>
      </c>
      <c r="D135" s="7">
        <v>126</v>
      </c>
      <c r="E135" s="7">
        <v>26</v>
      </c>
      <c r="F135" s="7" t="s">
        <v>1732</v>
      </c>
      <c r="G135" s="7">
        <v>26</v>
      </c>
      <c r="H135" s="7" t="s">
        <v>1292</v>
      </c>
      <c r="I135" s="37">
        <v>40728661.169720002</v>
      </c>
      <c r="J135" s="122">
        <v>0.98896816250381858</v>
      </c>
      <c r="K135" s="123">
        <f>X135</f>
        <v>42643514.599933475</v>
      </c>
      <c r="L135" s="122">
        <f>IF(K139&gt;0, K135/K139, 0)</f>
        <v>0.98809243718343587</v>
      </c>
      <c r="M135" s="71"/>
      <c r="N135" s="10">
        <f>ROUND(M139*L135,0)</f>
        <v>34843282</v>
      </c>
      <c r="O135" s="70">
        <v>33616892</v>
      </c>
      <c r="P135" s="10">
        <f>N135-O135</f>
        <v>1226390</v>
      </c>
      <c r="Q135" s="46">
        <f t="shared" si="20"/>
        <v>3.6481361810604027</v>
      </c>
      <c r="R135" s="10">
        <v>4257</v>
      </c>
      <c r="S135" s="7">
        <f t="shared" si="12"/>
        <v>0</v>
      </c>
      <c r="T135" s="124">
        <f t="shared" si="13"/>
        <v>26</v>
      </c>
      <c r="U135" s="124">
        <f t="shared" si="14"/>
        <v>26</v>
      </c>
      <c r="V135" s="124">
        <f t="shared" si="15"/>
        <v>126</v>
      </c>
      <c r="W135" s="124">
        <f t="shared" si="16"/>
        <v>4355</v>
      </c>
      <c r="X135" s="124">
        <f t="shared" si="17"/>
        <v>42643514.599933475</v>
      </c>
      <c r="Y135" s="264">
        <f t="shared" si="18"/>
        <v>126</v>
      </c>
      <c r="Z135" s="10">
        <v>26</v>
      </c>
      <c r="AA135" s="7">
        <v>26</v>
      </c>
      <c r="AB135" s="7">
        <v>126</v>
      </c>
      <c r="AC135" s="109">
        <v>4355</v>
      </c>
      <c r="AD135" s="109">
        <v>42643514.599933475</v>
      </c>
      <c r="AE135" s="125"/>
      <c r="AF135" s="10"/>
      <c r="AI135" s="109"/>
      <c r="AJ135" s="109"/>
      <c r="AL135" s="10"/>
      <c r="AO135" s="109"/>
      <c r="AP135" s="109"/>
      <c r="AR135" s="10"/>
      <c r="AU135" s="109"/>
      <c r="AV135" s="109"/>
      <c r="AX135" s="10"/>
      <c r="BA135" s="109"/>
      <c r="BB135" s="109"/>
      <c r="BD135" s="10"/>
      <c r="BG135" s="109"/>
      <c r="BH135" s="109"/>
      <c r="BJ135" s="10"/>
      <c r="BM135" s="109"/>
      <c r="BN135" s="109"/>
      <c r="BP135" s="10"/>
      <c r="BS135" s="109"/>
      <c r="BT135" s="109"/>
      <c r="BV135" s="10"/>
      <c r="BY135" s="109"/>
      <c r="BZ135" s="109"/>
      <c r="CB135" s="10"/>
      <c r="CE135" s="109"/>
      <c r="CF135" s="109"/>
      <c r="CH135" s="10"/>
      <c r="CK135" s="109"/>
      <c r="CL135" s="109"/>
    </row>
    <row r="136" spans="1:90">
      <c r="A136" s="7" t="str">
        <f t="shared" si="11"/>
        <v>00260830</v>
      </c>
      <c r="B136" s="7" t="s">
        <v>2365</v>
      </c>
      <c r="C136" s="7" t="s">
        <v>2764</v>
      </c>
      <c r="D136" s="7">
        <v>127</v>
      </c>
      <c r="E136" s="7">
        <v>26</v>
      </c>
      <c r="F136" s="7" t="s">
        <v>1732</v>
      </c>
      <c r="G136" s="7">
        <v>830</v>
      </c>
      <c r="H136" s="7" t="s">
        <v>1691</v>
      </c>
      <c r="I136" s="37">
        <v>454324</v>
      </c>
      <c r="J136" s="122">
        <v>1.1031837496181409E-2</v>
      </c>
      <c r="K136" s="123">
        <f t="shared" si="19"/>
        <v>513899.62083426974</v>
      </c>
      <c r="L136" s="122">
        <f>IF(K139&gt;0, K136/K139, 0)</f>
        <v>1.1907562816564124E-2</v>
      </c>
      <c r="M136" s="71"/>
      <c r="N136" s="10">
        <f>ROUND(M139*L136,0)</f>
        <v>419899</v>
      </c>
      <c r="O136" s="70">
        <v>374993</v>
      </c>
      <c r="P136" s="10">
        <f>N136-O136</f>
        <v>44906</v>
      </c>
      <c r="Q136" s="46">
        <f t="shared" si="20"/>
        <v>11.975156869594899</v>
      </c>
      <c r="R136" s="10">
        <v>26</v>
      </c>
      <c r="S136" s="7">
        <f t="shared" si="12"/>
        <v>0</v>
      </c>
      <c r="T136" s="124">
        <f t="shared" si="13"/>
        <v>26</v>
      </c>
      <c r="U136" s="124">
        <f t="shared" si="14"/>
        <v>830</v>
      </c>
      <c r="V136" s="124">
        <f t="shared" si="15"/>
        <v>127</v>
      </c>
      <c r="W136" s="124">
        <f t="shared" si="16"/>
        <v>28.081159420340001</v>
      </c>
      <c r="X136" s="124">
        <f t="shared" si="17"/>
        <v>513899.62083426974</v>
      </c>
      <c r="Y136" s="264">
        <f t="shared" si="18"/>
        <v>127</v>
      </c>
      <c r="Z136" s="10">
        <v>26</v>
      </c>
      <c r="AA136" s="7">
        <v>830</v>
      </c>
      <c r="AB136" s="7">
        <v>127</v>
      </c>
      <c r="AC136" s="109">
        <v>28.081159420340001</v>
      </c>
      <c r="AD136" s="109">
        <v>513899.62083426974</v>
      </c>
      <c r="AE136" s="125"/>
      <c r="AF136" s="10"/>
      <c r="AI136" s="109"/>
      <c r="AJ136" s="109"/>
      <c r="AL136" s="10"/>
      <c r="AO136" s="109"/>
      <c r="AP136" s="109"/>
      <c r="AR136" s="10"/>
      <c r="AU136" s="109"/>
      <c r="AV136" s="109"/>
      <c r="AX136" s="10"/>
      <c r="BA136" s="109"/>
      <c r="BB136" s="109"/>
      <c r="BD136" s="10"/>
      <c r="BG136" s="109"/>
      <c r="BH136" s="109"/>
      <c r="BJ136" s="10"/>
      <c r="BM136" s="109"/>
      <c r="BN136" s="109"/>
      <c r="BP136" s="10"/>
      <c r="BS136" s="109"/>
      <c r="BT136" s="109"/>
      <c r="BV136" s="10"/>
      <c r="BY136" s="109"/>
      <c r="BZ136" s="109"/>
      <c r="CB136" s="10"/>
      <c r="CE136" s="109"/>
      <c r="CF136" s="109"/>
      <c r="CH136" s="10"/>
      <c r="CK136" s="109"/>
      <c r="CL136" s="109"/>
    </row>
    <row r="137" spans="1:90">
      <c r="A137" s="7" t="str">
        <f t="shared" si="11"/>
        <v>00260998</v>
      </c>
      <c r="B137" s="7" t="s">
        <v>2365</v>
      </c>
      <c r="C137" s="7" t="s">
        <v>2781</v>
      </c>
      <c r="D137" s="7">
        <v>128</v>
      </c>
      <c r="E137" s="7">
        <v>26</v>
      </c>
      <c r="F137" s="7" t="s">
        <v>2135</v>
      </c>
      <c r="G137" s="7">
        <v>998</v>
      </c>
      <c r="H137" s="7" t="s">
        <v>2135</v>
      </c>
      <c r="I137" s="37">
        <v>0</v>
      </c>
      <c r="J137" s="122">
        <v>0</v>
      </c>
      <c r="K137" s="123">
        <f t="shared" si="19"/>
        <v>0</v>
      </c>
      <c r="L137" s="122">
        <f>IF(K139&gt;0, K137/K139, 0)</f>
        <v>0</v>
      </c>
      <c r="M137" s="71"/>
      <c r="N137" s="10">
        <f>ROUND(M139*L137,0)</f>
        <v>0</v>
      </c>
      <c r="O137" s="70">
        <v>0</v>
      </c>
      <c r="P137" s="10">
        <f>N137-O137</f>
        <v>0</v>
      </c>
      <c r="Q137" s="46">
        <f t="shared" si="20"/>
        <v>0</v>
      </c>
      <c r="R137" s="10">
        <v>0</v>
      </c>
      <c r="S137" s="7">
        <f t="shared" si="12"/>
        <v>0</v>
      </c>
      <c r="T137" s="124">
        <f t="shared" si="13"/>
        <v>26</v>
      </c>
      <c r="U137" s="124">
        <f t="shared" si="14"/>
        <v>998</v>
      </c>
      <c r="V137" s="124">
        <f t="shared" si="15"/>
        <v>128</v>
      </c>
      <c r="W137" s="124">
        <f t="shared" si="16"/>
        <v>0</v>
      </c>
      <c r="X137" s="124">
        <f t="shared" si="17"/>
        <v>0</v>
      </c>
      <c r="Y137" s="264">
        <f t="shared" si="18"/>
        <v>128</v>
      </c>
      <c r="Z137" s="10">
        <v>26</v>
      </c>
      <c r="AA137" s="7">
        <v>998</v>
      </c>
      <c r="AB137" s="7">
        <v>128</v>
      </c>
      <c r="AC137" s="109">
        <v>0</v>
      </c>
      <c r="AD137" s="109">
        <v>0</v>
      </c>
      <c r="AE137" s="125"/>
      <c r="AF137" s="10"/>
      <c r="AI137" s="109"/>
      <c r="AJ137" s="109"/>
      <c r="AL137" s="10"/>
      <c r="AO137" s="109"/>
      <c r="AP137" s="109"/>
      <c r="AR137" s="10"/>
      <c r="AU137" s="109"/>
      <c r="AV137" s="109"/>
      <c r="AX137" s="10"/>
      <c r="BA137" s="109"/>
      <c r="BB137" s="109"/>
      <c r="BD137" s="10"/>
      <c r="BG137" s="109"/>
      <c r="BH137" s="109"/>
      <c r="BJ137" s="10"/>
      <c r="BM137" s="109"/>
      <c r="BN137" s="109"/>
      <c r="BP137" s="10"/>
      <c r="BS137" s="109"/>
      <c r="BT137" s="109"/>
      <c r="BV137" s="10"/>
      <c r="BY137" s="109"/>
      <c r="BZ137" s="109"/>
      <c r="CB137" s="10"/>
      <c r="CE137" s="109"/>
      <c r="CF137" s="109"/>
      <c r="CH137" s="10"/>
      <c r="CK137" s="109"/>
      <c r="CL137" s="109"/>
    </row>
    <row r="138" spans="1:90">
      <c r="A138" s="7" t="str">
        <f t="shared" ref="A138:A201" si="21">B138&amp;C138</f>
        <v>00260998</v>
      </c>
      <c r="B138" s="7" t="s">
        <v>2365</v>
      </c>
      <c r="C138" s="7" t="s">
        <v>2781</v>
      </c>
      <c r="D138" s="7">
        <v>129</v>
      </c>
      <c r="E138" s="7">
        <v>26</v>
      </c>
      <c r="F138" s="7" t="s">
        <v>2135</v>
      </c>
      <c r="G138" s="7">
        <v>998</v>
      </c>
      <c r="H138" s="7" t="s">
        <v>2135</v>
      </c>
      <c r="I138" s="37">
        <v>0</v>
      </c>
      <c r="J138" s="122">
        <v>0</v>
      </c>
      <c r="K138" s="123">
        <f t="shared" si="19"/>
        <v>0</v>
      </c>
      <c r="L138" s="122">
        <f>IF(K139&gt;0, K138/K139, 0)</f>
        <v>0</v>
      </c>
      <c r="M138" s="71"/>
      <c r="N138" s="10">
        <f>ROUND(M139*L138,0)</f>
        <v>0</v>
      </c>
      <c r="O138" s="70">
        <v>0</v>
      </c>
      <c r="P138" s="10">
        <f>N138-O138</f>
        <v>0</v>
      </c>
      <c r="Q138" s="46">
        <f t="shared" si="20"/>
        <v>0</v>
      </c>
      <c r="R138" s="10">
        <v>0</v>
      </c>
      <c r="S138" s="7">
        <f t="shared" ref="S138:S201" si="22">ABS(T138-E138)+ABS(U138-G138)</f>
        <v>0</v>
      </c>
      <c r="T138" s="124">
        <f t="shared" ref="T138:T201" si="23">VLOOKUP($D138, foundoptions, VLOOKUP($T$6, foundoptcell, 2, FALSE), FALSE)</f>
        <v>26</v>
      </c>
      <c r="U138" s="124">
        <f t="shared" ref="U138:U201" si="24">VLOOKUP($D138, foundoptions, VLOOKUP($T$6, foundoptcell, 2, FALSE)+1, FALSE)</f>
        <v>998</v>
      </c>
      <c r="V138" s="124">
        <f t="shared" ref="V138:V201" si="25">VLOOKUP($D138, foundoptions, VLOOKUP($T$6, foundoptcell, 2, FALSE)+2, FALSE)</f>
        <v>129</v>
      </c>
      <c r="W138" s="124">
        <f t="shared" ref="W138:W201" si="26">VLOOKUP($D138, foundoptions, VLOOKUP($T$6, foundoptcell, 2, FALSE)+3, FALSE)</f>
        <v>0</v>
      </c>
      <c r="X138" s="124">
        <f t="shared" ref="X138:X201" si="27">VLOOKUP($D138, foundoptions, VLOOKUP($T$6, foundoptcell, 2, FALSE)+4, FALSE)</f>
        <v>0</v>
      </c>
      <c r="Y138" s="264">
        <f t="shared" si="18"/>
        <v>129</v>
      </c>
      <c r="Z138" s="10">
        <v>26</v>
      </c>
      <c r="AA138" s="7">
        <v>998</v>
      </c>
      <c r="AB138" s="7">
        <v>129</v>
      </c>
      <c r="AC138" s="109">
        <v>0</v>
      </c>
      <c r="AD138" s="109">
        <v>0</v>
      </c>
      <c r="AE138" s="125"/>
      <c r="AF138" s="10"/>
      <c r="AI138" s="109"/>
      <c r="AJ138" s="109"/>
      <c r="AL138" s="10"/>
      <c r="AO138" s="109"/>
      <c r="AP138" s="109"/>
      <c r="AR138" s="10"/>
      <c r="AU138" s="109"/>
      <c r="AV138" s="109"/>
      <c r="AX138" s="10"/>
      <c r="BA138" s="109"/>
      <c r="BB138" s="109"/>
      <c r="BD138" s="10"/>
      <c r="BG138" s="109"/>
      <c r="BH138" s="109"/>
      <c r="BJ138" s="10"/>
      <c r="BM138" s="109"/>
      <c r="BN138" s="109"/>
      <c r="BP138" s="10"/>
      <c r="BS138" s="109"/>
      <c r="BT138" s="109"/>
      <c r="BV138" s="10"/>
      <c r="BY138" s="109"/>
      <c r="BZ138" s="109"/>
      <c r="CB138" s="10"/>
      <c r="CE138" s="109"/>
      <c r="CF138" s="109"/>
      <c r="CH138" s="10"/>
      <c r="CK138" s="109"/>
      <c r="CL138" s="109"/>
    </row>
    <row r="139" spans="1:90">
      <c r="A139" s="7" t="str">
        <f t="shared" si="21"/>
        <v>00260999</v>
      </c>
      <c r="B139" s="7" t="s">
        <v>2365</v>
      </c>
      <c r="C139" s="7" t="s">
        <v>2782</v>
      </c>
      <c r="D139" s="7">
        <v>130</v>
      </c>
      <c r="E139" s="11">
        <v>26</v>
      </c>
      <c r="F139" s="11" t="s">
        <v>1732</v>
      </c>
      <c r="G139" s="11">
        <v>999</v>
      </c>
      <c r="H139" s="11" t="s">
        <v>1132</v>
      </c>
      <c r="I139" s="105">
        <v>41182985.169720002</v>
      </c>
      <c r="J139" s="126">
        <v>1</v>
      </c>
      <c r="K139" s="127">
        <f>SUM(K135:K138)</f>
        <v>43157414.220767744</v>
      </c>
      <c r="L139" s="126">
        <f>SUM(L135:L138)</f>
        <v>1</v>
      </c>
      <c r="M139" s="105">
        <f>VLOOKUP(E139,town351,22)</f>
        <v>35263181</v>
      </c>
      <c r="N139" s="105">
        <f>SUM(N135:N138)</f>
        <v>35263181</v>
      </c>
      <c r="O139" s="128">
        <v>33991885</v>
      </c>
      <c r="P139" s="105">
        <f>SUM(P135:P138)</f>
        <v>1271296</v>
      </c>
      <c r="Q139" s="45">
        <f t="shared" si="20"/>
        <v>3.7399985320025646</v>
      </c>
      <c r="R139" s="105">
        <v>4283</v>
      </c>
      <c r="S139" s="7">
        <f t="shared" si="22"/>
        <v>0</v>
      </c>
      <c r="T139" s="124">
        <f t="shared" si="23"/>
        <v>26</v>
      </c>
      <c r="U139" s="124">
        <f t="shared" si="24"/>
        <v>999</v>
      </c>
      <c r="V139" s="124">
        <f t="shared" si="25"/>
        <v>130</v>
      </c>
      <c r="W139" s="124">
        <f t="shared" si="26"/>
        <v>4383.0811594203396</v>
      </c>
      <c r="X139" s="124">
        <f t="shared" si="27"/>
        <v>43157414.220767744</v>
      </c>
      <c r="Y139" s="264">
        <f t="shared" ref="Y139:Y202" si="28">D139</f>
        <v>130</v>
      </c>
      <c r="Z139" s="10">
        <v>26</v>
      </c>
      <c r="AA139" s="7">
        <v>999</v>
      </c>
      <c r="AB139" s="7">
        <v>130</v>
      </c>
      <c r="AC139" s="109">
        <v>4383.0811594203396</v>
      </c>
      <c r="AD139" s="109">
        <v>43157414.220767744</v>
      </c>
      <c r="AE139" s="125"/>
      <c r="AF139" s="10"/>
      <c r="AI139" s="109"/>
      <c r="AJ139" s="109"/>
      <c r="AL139" s="10"/>
      <c r="AO139" s="109"/>
      <c r="AP139" s="109"/>
      <c r="AR139" s="10"/>
      <c r="AU139" s="109"/>
      <c r="AV139" s="109"/>
      <c r="AX139" s="10"/>
      <c r="BA139" s="109"/>
      <c r="BB139" s="109"/>
      <c r="BD139" s="10"/>
      <c r="BG139" s="109"/>
      <c r="BH139" s="109"/>
      <c r="BJ139" s="10"/>
      <c r="BM139" s="109"/>
      <c r="BN139" s="109"/>
      <c r="BP139" s="10"/>
      <c r="BS139" s="109"/>
      <c r="BT139" s="109"/>
      <c r="BV139" s="10"/>
      <c r="BY139" s="109"/>
      <c r="BZ139" s="109"/>
      <c r="CB139" s="10"/>
      <c r="CE139" s="109"/>
      <c r="CF139" s="109"/>
      <c r="CH139" s="10"/>
      <c r="CK139" s="109"/>
      <c r="CL139" s="109"/>
    </row>
    <row r="140" spans="1:90">
      <c r="A140" s="7" t="str">
        <f t="shared" si="21"/>
        <v>00270027</v>
      </c>
      <c r="B140" s="7" t="s">
        <v>2366</v>
      </c>
      <c r="C140" s="7" t="s">
        <v>2366</v>
      </c>
      <c r="D140" s="7">
        <v>131</v>
      </c>
      <c r="E140" s="7">
        <v>27</v>
      </c>
      <c r="F140" s="7" t="s">
        <v>1733</v>
      </c>
      <c r="G140" s="7">
        <v>27</v>
      </c>
      <c r="H140" s="7" t="s">
        <v>1293</v>
      </c>
      <c r="I140" s="70">
        <v>6930346.8399999989</v>
      </c>
      <c r="J140" s="131">
        <v>0.5978970722682071</v>
      </c>
      <c r="K140" s="123">
        <f>X140</f>
        <v>7359719.0961112287</v>
      </c>
      <c r="L140" s="122">
        <f>IF(K144&gt;0, K140/K144, 0)</f>
        <v>0.61371852310679453</v>
      </c>
      <c r="M140" s="71"/>
      <c r="N140" s="10">
        <f>ROUND(M144*L140,0)</f>
        <v>3696563</v>
      </c>
      <c r="O140" s="70">
        <v>3591123</v>
      </c>
      <c r="P140" s="10">
        <f>N140-O140</f>
        <v>105440</v>
      </c>
      <c r="Q140" s="46">
        <f t="shared" si="20"/>
        <v>2.936128893385161</v>
      </c>
      <c r="R140" s="62">
        <v>752</v>
      </c>
      <c r="S140" s="7">
        <f t="shared" si="22"/>
        <v>0</v>
      </c>
      <c r="T140" s="124">
        <f t="shared" si="23"/>
        <v>27</v>
      </c>
      <c r="U140" s="124">
        <f t="shared" si="24"/>
        <v>27</v>
      </c>
      <c r="V140" s="124">
        <f t="shared" si="25"/>
        <v>131</v>
      </c>
      <c r="W140" s="124">
        <f t="shared" si="26"/>
        <v>784</v>
      </c>
      <c r="X140" s="124">
        <f t="shared" si="27"/>
        <v>7359719.0961112287</v>
      </c>
      <c r="Y140" s="264">
        <f t="shared" si="28"/>
        <v>131</v>
      </c>
      <c r="Z140" s="10">
        <v>27</v>
      </c>
      <c r="AA140" s="7">
        <v>27</v>
      </c>
      <c r="AB140" s="7">
        <v>131</v>
      </c>
      <c r="AC140" s="109">
        <v>784</v>
      </c>
      <c r="AD140" s="109">
        <v>7359719.0961112287</v>
      </c>
      <c r="AE140" s="125"/>
      <c r="AF140" s="10"/>
      <c r="AI140" s="109"/>
      <c r="AJ140" s="109"/>
      <c r="AL140" s="10"/>
      <c r="AO140" s="109"/>
      <c r="AP140" s="109"/>
      <c r="AR140" s="10"/>
      <c r="AU140" s="109"/>
      <c r="AV140" s="109"/>
      <c r="AX140" s="10"/>
      <c r="BA140" s="109"/>
      <c r="BB140" s="109"/>
      <c r="BD140" s="10"/>
      <c r="BG140" s="109"/>
      <c r="BH140" s="109"/>
      <c r="BJ140" s="10"/>
      <c r="BM140" s="109"/>
      <c r="BN140" s="109"/>
      <c r="BP140" s="10"/>
      <c r="BS140" s="109"/>
      <c r="BT140" s="109"/>
      <c r="BV140" s="10"/>
      <c r="BY140" s="109"/>
      <c r="BZ140" s="109"/>
      <c r="CB140" s="10"/>
      <c r="CE140" s="109"/>
      <c r="CF140" s="109"/>
      <c r="CH140" s="10"/>
      <c r="CK140" s="109"/>
      <c r="CL140" s="109"/>
    </row>
    <row r="141" spans="1:90">
      <c r="A141" s="7" t="str">
        <f t="shared" si="21"/>
        <v>00270763</v>
      </c>
      <c r="B141" s="7" t="s">
        <v>2366</v>
      </c>
      <c r="C141" s="7" t="s">
        <v>2742</v>
      </c>
      <c r="D141" s="7">
        <v>132</v>
      </c>
      <c r="E141" s="7">
        <v>27</v>
      </c>
      <c r="F141" s="7" t="s">
        <v>1733</v>
      </c>
      <c r="G141" s="7">
        <v>763</v>
      </c>
      <c r="H141" s="7" t="s">
        <v>1669</v>
      </c>
      <c r="I141" s="70">
        <v>2828808</v>
      </c>
      <c r="J141" s="131">
        <v>0.24404781755610985</v>
      </c>
      <c r="K141" s="123">
        <f t="shared" si="19"/>
        <v>3011540.8406543937</v>
      </c>
      <c r="L141" s="122">
        <f>IF(K144&gt;0, K141/K144, 0)</f>
        <v>0.25112893207823539</v>
      </c>
      <c r="M141" s="71"/>
      <c r="N141" s="10">
        <f>ROUND(M144*L141,0)</f>
        <v>1512605</v>
      </c>
      <c r="O141" s="70">
        <v>1465814</v>
      </c>
      <c r="P141" s="10">
        <f>N141-O141</f>
        <v>46791</v>
      </c>
      <c r="Q141" s="46">
        <f t="shared" si="20"/>
        <v>3.1921512552070044</v>
      </c>
      <c r="R141" s="62">
        <v>262</v>
      </c>
      <c r="S141" s="7">
        <f t="shared" si="22"/>
        <v>0</v>
      </c>
      <c r="T141" s="124">
        <f t="shared" si="23"/>
        <v>27</v>
      </c>
      <c r="U141" s="124">
        <f t="shared" si="24"/>
        <v>763</v>
      </c>
      <c r="V141" s="124">
        <f t="shared" si="25"/>
        <v>132</v>
      </c>
      <c r="W141" s="124">
        <f t="shared" si="26"/>
        <v>277.28323107936001</v>
      </c>
      <c r="X141" s="124">
        <f t="shared" si="27"/>
        <v>3011540.8406543937</v>
      </c>
      <c r="Y141" s="264">
        <f t="shared" si="28"/>
        <v>132</v>
      </c>
      <c r="Z141" s="10">
        <v>27</v>
      </c>
      <c r="AA141" s="7">
        <v>763</v>
      </c>
      <c r="AB141" s="7">
        <v>132</v>
      </c>
      <c r="AC141" s="109">
        <v>277.28323107936001</v>
      </c>
      <c r="AD141" s="109">
        <v>3011540.8406543937</v>
      </c>
      <c r="AE141" s="125"/>
      <c r="AF141" s="10"/>
      <c r="AI141" s="109"/>
      <c r="AJ141" s="109"/>
      <c r="AL141" s="10"/>
      <c r="AO141" s="109"/>
      <c r="AP141" s="109"/>
      <c r="AR141" s="10"/>
      <c r="AU141" s="109"/>
      <c r="AV141" s="109"/>
      <c r="AX141" s="10"/>
      <c r="BA141" s="109"/>
      <c r="BB141" s="109"/>
      <c r="BD141" s="10"/>
      <c r="BG141" s="109"/>
      <c r="BH141" s="109"/>
      <c r="BJ141" s="10"/>
      <c r="BM141" s="109"/>
      <c r="BN141" s="109"/>
      <c r="BP141" s="10"/>
      <c r="BS141" s="109"/>
      <c r="BT141" s="109"/>
      <c r="BV141" s="10"/>
      <c r="BY141" s="109"/>
      <c r="BZ141" s="109"/>
      <c r="CB141" s="10"/>
      <c r="CE141" s="109"/>
      <c r="CF141" s="109"/>
      <c r="CH141" s="10"/>
      <c r="CK141" s="109"/>
      <c r="CL141" s="109"/>
    </row>
    <row r="142" spans="1:90">
      <c r="A142" s="7" t="str">
        <f t="shared" si="21"/>
        <v>00270810</v>
      </c>
      <c r="B142" s="7" t="s">
        <v>2366</v>
      </c>
      <c r="C142" s="7" t="s">
        <v>2755</v>
      </c>
      <c r="D142" s="7">
        <v>133</v>
      </c>
      <c r="E142" s="7">
        <v>27</v>
      </c>
      <c r="F142" s="7" t="s">
        <v>1733</v>
      </c>
      <c r="G142" s="7">
        <v>810</v>
      </c>
      <c r="H142" s="7" t="s">
        <v>1682</v>
      </c>
      <c r="I142" s="70">
        <v>1709477</v>
      </c>
      <c r="J142" s="131">
        <v>0.14748053986427004</v>
      </c>
      <c r="K142" s="123">
        <f t="shared" si="19"/>
        <v>1495813.7090583805</v>
      </c>
      <c r="L142" s="122">
        <f>IF(K144&gt;0, K142/K144, 0)</f>
        <v>0.12473418732126182</v>
      </c>
      <c r="M142" s="71"/>
      <c r="N142" s="10">
        <f>ROUND(M144*L142,0)</f>
        <v>751302</v>
      </c>
      <c r="O142" s="70">
        <v>885806</v>
      </c>
      <c r="P142" s="10">
        <f>N142-O142</f>
        <v>-134504</v>
      </c>
      <c r="Q142" s="46">
        <f t="shared" si="20"/>
        <v>-15.184363167555876</v>
      </c>
      <c r="R142" s="62">
        <v>111</v>
      </c>
      <c r="S142" s="7">
        <f t="shared" si="22"/>
        <v>0</v>
      </c>
      <c r="T142" s="124">
        <f t="shared" si="23"/>
        <v>27</v>
      </c>
      <c r="U142" s="124">
        <f t="shared" si="24"/>
        <v>810</v>
      </c>
      <c r="V142" s="124">
        <f t="shared" si="25"/>
        <v>133</v>
      </c>
      <c r="W142" s="124">
        <f t="shared" si="26"/>
        <v>94.564141038810007</v>
      </c>
      <c r="X142" s="124">
        <f t="shared" si="27"/>
        <v>1495813.7090583805</v>
      </c>
      <c r="Y142" s="264">
        <f t="shared" si="28"/>
        <v>133</v>
      </c>
      <c r="Z142" s="10">
        <v>27</v>
      </c>
      <c r="AA142" s="7">
        <v>810</v>
      </c>
      <c r="AB142" s="7">
        <v>133</v>
      </c>
      <c r="AC142" s="109">
        <v>94.564141038810007</v>
      </c>
      <c r="AD142" s="109">
        <v>1495813.7090583805</v>
      </c>
      <c r="AE142" s="125"/>
      <c r="AF142" s="10"/>
      <c r="AI142" s="109"/>
      <c r="AJ142" s="109"/>
      <c r="AL142" s="10"/>
      <c r="AO142" s="109"/>
      <c r="AP142" s="109"/>
      <c r="AR142" s="10"/>
      <c r="AU142" s="109"/>
      <c r="AV142" s="109"/>
      <c r="AX142" s="10"/>
      <c r="BA142" s="109"/>
      <c r="BB142" s="109"/>
      <c r="BD142" s="10"/>
      <c r="BG142" s="109"/>
      <c r="BH142" s="109"/>
      <c r="BJ142" s="10"/>
      <c r="BM142" s="109"/>
      <c r="BN142" s="109"/>
      <c r="BP142" s="10"/>
      <c r="BS142" s="109"/>
      <c r="BT142" s="109"/>
      <c r="BV142" s="10"/>
      <c r="BY142" s="109"/>
      <c r="BZ142" s="109"/>
      <c r="CB142" s="10"/>
      <c r="CE142" s="109"/>
      <c r="CF142" s="109"/>
      <c r="CH142" s="10"/>
      <c r="CK142" s="109"/>
      <c r="CL142" s="109"/>
    </row>
    <row r="143" spans="1:90">
      <c r="A143" s="7" t="str">
        <f t="shared" si="21"/>
        <v>00270910</v>
      </c>
      <c r="B143" s="7" t="s">
        <v>2366</v>
      </c>
      <c r="C143" s="7" t="s">
        <v>2778</v>
      </c>
      <c r="D143" s="7">
        <v>134</v>
      </c>
      <c r="E143" s="7">
        <v>27</v>
      </c>
      <c r="F143" s="7" t="s">
        <v>1733</v>
      </c>
      <c r="G143" s="7">
        <v>910</v>
      </c>
      <c r="H143" s="7" t="s">
        <v>1705</v>
      </c>
      <c r="I143" s="70">
        <v>122572</v>
      </c>
      <c r="J143" s="131">
        <v>1.0574570311412968E-2</v>
      </c>
      <c r="K143" s="123">
        <f t="shared" si="19"/>
        <v>124937.05454481817</v>
      </c>
      <c r="L143" s="122">
        <f>IF(K144&gt;0, K143/K144, 0)</f>
        <v>1.0418357493708346E-2</v>
      </c>
      <c r="M143" s="71"/>
      <c r="N143" s="10">
        <f>ROUND(M144*L143,0)</f>
        <v>62752</v>
      </c>
      <c r="O143" s="70">
        <v>63514</v>
      </c>
      <c r="P143" s="10">
        <f>N143-O143</f>
        <v>-762</v>
      </c>
      <c r="Q143" s="46">
        <f t="shared" si="20"/>
        <v>-1.1997354913877256</v>
      </c>
      <c r="R143" s="62">
        <v>8</v>
      </c>
      <c r="S143" s="7">
        <f t="shared" si="22"/>
        <v>0</v>
      </c>
      <c r="T143" s="124">
        <f t="shared" si="23"/>
        <v>27</v>
      </c>
      <c r="U143" s="124">
        <f t="shared" si="24"/>
        <v>910</v>
      </c>
      <c r="V143" s="124">
        <f t="shared" si="25"/>
        <v>134</v>
      </c>
      <c r="W143" s="124">
        <f t="shared" si="26"/>
        <v>8.0000000007600001</v>
      </c>
      <c r="X143" s="124">
        <f t="shared" si="27"/>
        <v>124937.05454481817</v>
      </c>
      <c r="Y143" s="264">
        <f t="shared" si="28"/>
        <v>134</v>
      </c>
      <c r="Z143" s="10">
        <v>27</v>
      </c>
      <c r="AA143" s="7">
        <v>910</v>
      </c>
      <c r="AB143" s="7">
        <v>134</v>
      </c>
      <c r="AC143" s="109">
        <v>8.0000000007600001</v>
      </c>
      <c r="AD143" s="109">
        <v>124937.05454481817</v>
      </c>
      <c r="AE143" s="125"/>
      <c r="AF143" s="10"/>
      <c r="AI143" s="109"/>
      <c r="AJ143" s="109"/>
      <c r="AL143" s="10"/>
      <c r="AO143" s="109"/>
      <c r="AP143" s="109"/>
      <c r="AR143" s="10"/>
      <c r="AU143" s="109"/>
      <c r="AV143" s="109"/>
      <c r="AX143" s="10"/>
      <c r="BA143" s="109"/>
      <c r="BB143" s="109"/>
      <c r="BD143" s="10"/>
      <c r="BG143" s="109"/>
      <c r="BH143" s="109"/>
      <c r="BJ143" s="10"/>
      <c r="BM143" s="109"/>
      <c r="BN143" s="109"/>
      <c r="BP143" s="10"/>
      <c r="BS143" s="109"/>
      <c r="BT143" s="109"/>
      <c r="BV143" s="10"/>
      <c r="BY143" s="109"/>
      <c r="BZ143" s="109"/>
      <c r="CB143" s="10"/>
      <c r="CE143" s="109"/>
      <c r="CF143" s="109"/>
      <c r="CH143" s="10"/>
      <c r="CK143" s="109"/>
      <c r="CL143" s="109"/>
    </row>
    <row r="144" spans="1:90">
      <c r="A144" s="7" t="str">
        <f t="shared" si="21"/>
        <v>00270999</v>
      </c>
      <c r="B144" s="7" t="s">
        <v>2366</v>
      </c>
      <c r="C144" s="7" t="s">
        <v>2782</v>
      </c>
      <c r="D144" s="7">
        <v>135</v>
      </c>
      <c r="E144" s="11">
        <v>27</v>
      </c>
      <c r="F144" s="11" t="s">
        <v>1733</v>
      </c>
      <c r="G144" s="11">
        <v>999</v>
      </c>
      <c r="H144" s="11" t="s">
        <v>1132</v>
      </c>
      <c r="I144" s="134">
        <v>11591203.84</v>
      </c>
      <c r="J144" s="131">
        <v>0.99999999999999989</v>
      </c>
      <c r="K144" s="127">
        <f>SUM(K140:K143)</f>
        <v>11992010.70036882</v>
      </c>
      <c r="L144" s="126">
        <f>SUM(L140:L143)</f>
        <v>1.0000000000000002</v>
      </c>
      <c r="M144" s="105">
        <f>VLOOKUP(E144,town351,22)</f>
        <v>6023222</v>
      </c>
      <c r="N144" s="105">
        <f>SUM(N140:N143)</f>
        <v>6023222</v>
      </c>
      <c r="O144" s="128">
        <v>6006257</v>
      </c>
      <c r="P144" s="105">
        <f>SUM(P140:P143)</f>
        <v>16965</v>
      </c>
      <c r="Q144" s="45">
        <f t="shared" ref="Q144:Q207" si="29">IF(O144&gt;0,P144*100/O144,IF(P144&gt;0,100,0))</f>
        <v>0.28245544604568201</v>
      </c>
      <c r="R144" s="134">
        <v>1133</v>
      </c>
      <c r="S144" s="7">
        <f t="shared" si="22"/>
        <v>0</v>
      </c>
      <c r="T144" s="124">
        <f t="shared" si="23"/>
        <v>27</v>
      </c>
      <c r="U144" s="124">
        <f t="shared" si="24"/>
        <v>999</v>
      </c>
      <c r="V144" s="124">
        <f t="shared" si="25"/>
        <v>135</v>
      </c>
      <c r="W144" s="124">
        <f t="shared" si="26"/>
        <v>1163.8473721189303</v>
      </c>
      <c r="X144" s="124">
        <f t="shared" si="27"/>
        <v>11992010.70036882</v>
      </c>
      <c r="Y144" s="264">
        <f t="shared" si="28"/>
        <v>135</v>
      </c>
      <c r="Z144" s="10">
        <v>27</v>
      </c>
      <c r="AA144" s="7">
        <v>999</v>
      </c>
      <c r="AB144" s="7">
        <v>135</v>
      </c>
      <c r="AC144" s="109">
        <v>1163.8473721189303</v>
      </c>
      <c r="AD144" s="109">
        <v>11992010.70036882</v>
      </c>
      <c r="AE144" s="125"/>
      <c r="AF144" s="10"/>
      <c r="AI144" s="109"/>
      <c r="AJ144" s="109"/>
      <c r="AL144" s="10"/>
      <c r="AO144" s="109"/>
      <c r="AP144" s="109"/>
      <c r="AR144" s="10"/>
      <c r="AU144" s="109"/>
      <c r="AV144" s="109"/>
      <c r="AX144" s="10"/>
      <c r="BA144" s="109"/>
      <c r="BB144" s="109"/>
      <c r="BD144" s="10"/>
      <c r="BG144" s="109"/>
      <c r="BH144" s="109"/>
      <c r="BJ144" s="10"/>
      <c r="BM144" s="109"/>
      <c r="BN144" s="109"/>
      <c r="BP144" s="10"/>
      <c r="BS144" s="109"/>
      <c r="BT144" s="109"/>
      <c r="BV144" s="10"/>
      <c r="BY144" s="109"/>
      <c r="BZ144" s="109"/>
      <c r="CB144" s="10"/>
      <c r="CE144" s="109"/>
      <c r="CF144" s="109"/>
      <c r="CH144" s="10"/>
      <c r="CK144" s="109"/>
      <c r="CL144" s="109"/>
    </row>
    <row r="145" spans="1:90">
      <c r="A145" s="7" t="str">
        <f t="shared" si="21"/>
        <v>00280028</v>
      </c>
      <c r="B145" s="7" t="s">
        <v>2367</v>
      </c>
      <c r="C145" s="7" t="s">
        <v>2367</v>
      </c>
      <c r="D145" s="7">
        <v>136</v>
      </c>
      <c r="E145" s="7">
        <v>28</v>
      </c>
      <c r="F145" s="7" t="s">
        <v>1734</v>
      </c>
      <c r="G145" s="7">
        <v>28</v>
      </c>
      <c r="H145" s="7" t="s">
        <v>1294</v>
      </c>
      <c r="I145" s="37">
        <v>1517885.7034299998</v>
      </c>
      <c r="J145" s="122">
        <v>0.39062718117310796</v>
      </c>
      <c r="K145" s="123">
        <f t="shared" ref="K145:K208" si="30">X145</f>
        <v>1603891.1351568666</v>
      </c>
      <c r="L145" s="122">
        <f>IF(K149&gt;0, K145/K149, 0)</f>
        <v>0.41779617053791862</v>
      </c>
      <c r="M145" s="71"/>
      <c r="N145" s="10">
        <f>ROUND(M149*L145,0)</f>
        <v>1339179</v>
      </c>
      <c r="O145" s="70">
        <v>1268093</v>
      </c>
      <c r="P145" s="10">
        <f>N145-O145</f>
        <v>71086</v>
      </c>
      <c r="Q145" s="46">
        <f t="shared" si="29"/>
        <v>5.6057402729925956</v>
      </c>
      <c r="R145" s="10">
        <v>155</v>
      </c>
      <c r="S145" s="7">
        <f t="shared" si="22"/>
        <v>0</v>
      </c>
      <c r="T145" s="124">
        <f t="shared" si="23"/>
        <v>28</v>
      </c>
      <c r="U145" s="124">
        <f t="shared" si="24"/>
        <v>28</v>
      </c>
      <c r="V145" s="124">
        <f t="shared" si="25"/>
        <v>136</v>
      </c>
      <c r="W145" s="124">
        <f t="shared" si="26"/>
        <v>160</v>
      </c>
      <c r="X145" s="124">
        <f t="shared" si="27"/>
        <v>1603891.1351568666</v>
      </c>
      <c r="Y145" s="264">
        <f t="shared" si="28"/>
        <v>136</v>
      </c>
      <c r="Z145" s="10">
        <v>28</v>
      </c>
      <c r="AA145" s="7">
        <v>28</v>
      </c>
      <c r="AB145" s="7">
        <v>136</v>
      </c>
      <c r="AC145" s="109">
        <v>160</v>
      </c>
      <c r="AD145" s="109">
        <v>1603891.1351568666</v>
      </c>
      <c r="AE145" s="125"/>
      <c r="AF145" s="10"/>
      <c r="AI145" s="109"/>
      <c r="AJ145" s="109"/>
      <c r="AL145" s="10"/>
      <c r="AO145" s="109"/>
      <c r="AP145" s="109"/>
      <c r="AR145" s="10"/>
      <c r="AU145" s="109"/>
      <c r="AV145" s="109"/>
      <c r="AX145" s="10"/>
      <c r="BA145" s="109"/>
      <c r="BB145" s="109"/>
      <c r="BD145" s="10"/>
      <c r="BG145" s="109"/>
      <c r="BH145" s="109"/>
      <c r="BJ145" s="10"/>
      <c r="BM145" s="109"/>
      <c r="BN145" s="109"/>
      <c r="BP145" s="10"/>
      <c r="BS145" s="109"/>
      <c r="BT145" s="109"/>
      <c r="BV145" s="10"/>
      <c r="BY145" s="109"/>
      <c r="BZ145" s="109"/>
      <c r="CB145" s="10"/>
      <c r="CE145" s="109"/>
      <c r="CF145" s="109"/>
      <c r="CH145" s="10"/>
      <c r="CK145" s="109"/>
      <c r="CL145" s="109"/>
    </row>
    <row r="146" spans="1:90">
      <c r="A146" s="7" t="str">
        <f t="shared" si="21"/>
        <v>00280620</v>
      </c>
      <c r="B146" s="7" t="s">
        <v>2367</v>
      </c>
      <c r="C146" s="7" t="s">
        <v>2701</v>
      </c>
      <c r="D146" s="7">
        <v>137</v>
      </c>
      <c r="E146" s="7">
        <v>28</v>
      </c>
      <c r="F146" s="7" t="s">
        <v>1734</v>
      </c>
      <c r="G146" s="7">
        <v>620</v>
      </c>
      <c r="H146" s="7" t="s">
        <v>1628</v>
      </c>
      <c r="I146" s="37">
        <v>1912453</v>
      </c>
      <c r="J146" s="122">
        <v>0.49216889178672324</v>
      </c>
      <c r="K146" s="123">
        <f t="shared" si="30"/>
        <v>1914408.0785531555</v>
      </c>
      <c r="L146" s="122">
        <f>IF(K149&gt;0, K146/K149, 0)</f>
        <v>0.49868245202822736</v>
      </c>
      <c r="M146" s="71"/>
      <c r="N146" s="10">
        <f>ROUND(M149*L146,0)</f>
        <v>1598447</v>
      </c>
      <c r="O146" s="70">
        <v>1597728</v>
      </c>
      <c r="P146" s="10">
        <f>N146-O146</f>
        <v>719</v>
      </c>
      <c r="Q146" s="46">
        <f t="shared" si="29"/>
        <v>4.5001401990826972E-2</v>
      </c>
      <c r="R146" s="10">
        <v>201</v>
      </c>
      <c r="S146" s="7">
        <f t="shared" si="22"/>
        <v>0</v>
      </c>
      <c r="T146" s="124">
        <f t="shared" si="23"/>
        <v>28</v>
      </c>
      <c r="U146" s="124">
        <f t="shared" si="24"/>
        <v>620</v>
      </c>
      <c r="V146" s="124">
        <f t="shared" si="25"/>
        <v>137</v>
      </c>
      <c r="W146" s="124">
        <f t="shared" si="26"/>
        <v>196.99999999740001</v>
      </c>
      <c r="X146" s="124">
        <f t="shared" si="27"/>
        <v>1914408.0785531555</v>
      </c>
      <c r="Y146" s="264">
        <f t="shared" si="28"/>
        <v>137</v>
      </c>
      <c r="Z146" s="10">
        <v>28</v>
      </c>
      <c r="AA146" s="7">
        <v>620</v>
      </c>
      <c r="AB146" s="7">
        <v>137</v>
      </c>
      <c r="AC146" s="109">
        <v>196.99999999740001</v>
      </c>
      <c r="AD146" s="109">
        <v>1914408.0785531555</v>
      </c>
      <c r="AE146" s="125"/>
      <c r="AF146" s="10"/>
      <c r="AI146" s="109"/>
      <c r="AJ146" s="109"/>
      <c r="AL146" s="10"/>
      <c r="AO146" s="109"/>
      <c r="AP146" s="109"/>
      <c r="AR146" s="10"/>
      <c r="AU146" s="109"/>
      <c r="AV146" s="109"/>
      <c r="AX146" s="10"/>
      <c r="BA146" s="109"/>
      <c r="BB146" s="109"/>
      <c r="BD146" s="10"/>
      <c r="BG146" s="109"/>
      <c r="BH146" s="109"/>
      <c r="BJ146" s="10"/>
      <c r="BM146" s="109"/>
      <c r="BN146" s="109"/>
      <c r="BP146" s="10"/>
      <c r="BS146" s="109"/>
      <c r="BT146" s="109"/>
      <c r="BV146" s="10"/>
      <c r="BY146" s="109"/>
      <c r="BZ146" s="109"/>
      <c r="CB146" s="10"/>
      <c r="CE146" s="109"/>
      <c r="CF146" s="109"/>
      <c r="CH146" s="10"/>
      <c r="CK146" s="109"/>
      <c r="CL146" s="109"/>
    </row>
    <row r="147" spans="1:90">
      <c r="A147" s="7" t="str">
        <f t="shared" si="21"/>
        <v>00280801</v>
      </c>
      <c r="B147" s="7" t="s">
        <v>2367</v>
      </c>
      <c r="C147" s="7" t="s">
        <v>2752</v>
      </c>
      <c r="D147" s="7">
        <v>138</v>
      </c>
      <c r="E147" s="7">
        <v>28</v>
      </c>
      <c r="F147" s="7" t="s">
        <v>1734</v>
      </c>
      <c r="G147" s="7">
        <v>801</v>
      </c>
      <c r="H147" s="7" t="s">
        <v>1679</v>
      </c>
      <c r="I147" s="37">
        <v>455427</v>
      </c>
      <c r="J147" s="122">
        <v>0.11720392704016883</v>
      </c>
      <c r="K147" s="123">
        <f t="shared" si="30"/>
        <v>320632.89783095615</v>
      </c>
      <c r="L147" s="122">
        <f>IF(K149&gt;0, K147/K149, 0)</f>
        <v>8.3521377433854002E-2</v>
      </c>
      <c r="M147" s="71"/>
      <c r="N147" s="10">
        <f>ROUND(M149*L147,0)</f>
        <v>267714</v>
      </c>
      <c r="O147" s="70">
        <v>380479</v>
      </c>
      <c r="P147" s="10">
        <f>N147-O147</f>
        <v>-112765</v>
      </c>
      <c r="Q147" s="46">
        <f t="shared" si="29"/>
        <v>-29.63764097361484</v>
      </c>
      <c r="R147" s="10">
        <v>27</v>
      </c>
      <c r="S147" s="7">
        <f t="shared" si="22"/>
        <v>0</v>
      </c>
      <c r="T147" s="124">
        <f t="shared" si="23"/>
        <v>28</v>
      </c>
      <c r="U147" s="124">
        <f t="shared" si="24"/>
        <v>801</v>
      </c>
      <c r="V147" s="124">
        <f t="shared" si="25"/>
        <v>138</v>
      </c>
      <c r="W147" s="124">
        <f t="shared" si="26"/>
        <v>19.000000003340002</v>
      </c>
      <c r="X147" s="124">
        <f t="shared" si="27"/>
        <v>320632.89783095615</v>
      </c>
      <c r="Y147" s="264">
        <f t="shared" si="28"/>
        <v>138</v>
      </c>
      <c r="Z147" s="10">
        <v>28</v>
      </c>
      <c r="AA147" s="7">
        <v>801</v>
      </c>
      <c r="AB147" s="7">
        <v>138</v>
      </c>
      <c r="AC147" s="109">
        <v>19.000000003340002</v>
      </c>
      <c r="AD147" s="109">
        <v>320632.89783095615</v>
      </c>
      <c r="AE147" s="125"/>
      <c r="AF147" s="10"/>
      <c r="AI147" s="109"/>
      <c r="AJ147" s="109"/>
      <c r="AL147" s="10"/>
      <c r="AO147" s="109"/>
      <c r="AP147" s="109"/>
      <c r="AR147" s="10"/>
      <c r="AU147" s="109"/>
      <c r="AV147" s="109"/>
      <c r="AX147" s="10"/>
      <c r="BA147" s="109"/>
      <c r="BB147" s="109"/>
      <c r="BD147" s="10"/>
      <c r="BG147" s="109"/>
      <c r="BH147" s="109"/>
      <c r="BJ147" s="10"/>
      <c r="BM147" s="109"/>
      <c r="BN147" s="109"/>
      <c r="BP147" s="10"/>
      <c r="BS147" s="109"/>
      <c r="BT147" s="109"/>
      <c r="BV147" s="10"/>
      <c r="BY147" s="109"/>
      <c r="BZ147" s="109"/>
      <c r="CB147" s="10"/>
      <c r="CE147" s="109"/>
      <c r="CF147" s="109"/>
      <c r="CH147" s="10"/>
      <c r="CK147" s="109"/>
      <c r="CL147" s="109"/>
    </row>
    <row r="148" spans="1:90">
      <c r="A148" s="7" t="str">
        <f t="shared" si="21"/>
        <v>00280998</v>
      </c>
      <c r="B148" s="7" t="s">
        <v>2367</v>
      </c>
      <c r="C148" s="7" t="s">
        <v>2781</v>
      </c>
      <c r="D148" s="7">
        <v>139</v>
      </c>
      <c r="E148" s="7">
        <v>28</v>
      </c>
      <c r="F148" s="7" t="s">
        <v>2135</v>
      </c>
      <c r="G148" s="7">
        <v>998</v>
      </c>
      <c r="H148" s="7" t="s">
        <v>2135</v>
      </c>
      <c r="I148" s="37">
        <v>0</v>
      </c>
      <c r="J148" s="122">
        <v>0</v>
      </c>
      <c r="K148" s="123">
        <f t="shared" si="30"/>
        <v>0</v>
      </c>
      <c r="L148" s="122">
        <f>IF(K149&gt;0, K148/K149, 0)</f>
        <v>0</v>
      </c>
      <c r="M148" s="71"/>
      <c r="N148" s="10">
        <f>ROUND(M149*L148,0)</f>
        <v>0</v>
      </c>
      <c r="O148" s="70">
        <v>0</v>
      </c>
      <c r="P148" s="10">
        <f>N148-O148</f>
        <v>0</v>
      </c>
      <c r="Q148" s="46">
        <f t="shared" si="29"/>
        <v>0</v>
      </c>
      <c r="R148" s="10">
        <v>0</v>
      </c>
      <c r="S148" s="7">
        <f t="shared" si="22"/>
        <v>0</v>
      </c>
      <c r="T148" s="124">
        <f t="shared" si="23"/>
        <v>28</v>
      </c>
      <c r="U148" s="124">
        <f t="shared" si="24"/>
        <v>998</v>
      </c>
      <c r="V148" s="124">
        <f t="shared" si="25"/>
        <v>139</v>
      </c>
      <c r="W148" s="124">
        <f t="shared" si="26"/>
        <v>0</v>
      </c>
      <c r="X148" s="124">
        <f t="shared" si="27"/>
        <v>0</v>
      </c>
      <c r="Y148" s="264">
        <f t="shared" si="28"/>
        <v>139</v>
      </c>
      <c r="Z148" s="10">
        <v>28</v>
      </c>
      <c r="AA148" s="7">
        <v>998</v>
      </c>
      <c r="AB148" s="7">
        <v>139</v>
      </c>
      <c r="AC148" s="109">
        <v>0</v>
      </c>
      <c r="AD148" s="109">
        <v>0</v>
      </c>
      <c r="AE148" s="125"/>
      <c r="AF148" s="10"/>
      <c r="AI148" s="109"/>
      <c r="AJ148" s="109"/>
      <c r="AL148" s="10"/>
      <c r="AO148" s="109"/>
      <c r="AP148" s="109"/>
      <c r="AR148" s="10"/>
      <c r="AU148" s="109"/>
      <c r="AV148" s="109"/>
      <c r="AX148" s="10"/>
      <c r="BA148" s="109"/>
      <c r="BB148" s="109"/>
      <c r="BD148" s="10"/>
      <c r="BG148" s="109"/>
      <c r="BH148" s="109"/>
      <c r="BJ148" s="10"/>
      <c r="BM148" s="109"/>
      <c r="BN148" s="109"/>
      <c r="BP148" s="10"/>
      <c r="BS148" s="109"/>
      <c r="BT148" s="109"/>
      <c r="BV148" s="10"/>
      <c r="BY148" s="109"/>
      <c r="BZ148" s="109"/>
      <c r="CB148" s="10"/>
      <c r="CE148" s="109"/>
      <c r="CF148" s="109"/>
      <c r="CH148" s="10"/>
      <c r="CK148" s="109"/>
      <c r="CL148" s="109"/>
    </row>
    <row r="149" spans="1:90">
      <c r="A149" s="7" t="str">
        <f t="shared" si="21"/>
        <v>00280999</v>
      </c>
      <c r="B149" s="7" t="s">
        <v>2367</v>
      </c>
      <c r="C149" s="7" t="s">
        <v>2782</v>
      </c>
      <c r="D149" s="7">
        <v>140</v>
      </c>
      <c r="E149" s="11">
        <v>28</v>
      </c>
      <c r="F149" s="11" t="s">
        <v>1734</v>
      </c>
      <c r="G149" s="11">
        <v>999</v>
      </c>
      <c r="H149" s="11" t="s">
        <v>1132</v>
      </c>
      <c r="I149" s="105">
        <v>3885765.7034299998</v>
      </c>
      <c r="J149" s="126">
        <v>1</v>
      </c>
      <c r="K149" s="127">
        <f>SUM(K145:K148)</f>
        <v>3838932.1115409783</v>
      </c>
      <c r="L149" s="126">
        <f>SUM(L145:L148)</f>
        <v>1</v>
      </c>
      <c r="M149" s="105">
        <f>VLOOKUP(E149,town351,22)</f>
        <v>3205340</v>
      </c>
      <c r="N149" s="105">
        <f>SUM(N145:N148)</f>
        <v>3205340</v>
      </c>
      <c r="O149" s="128">
        <v>3246300</v>
      </c>
      <c r="P149" s="105">
        <f>SUM(P145:P148)</f>
        <v>-40960</v>
      </c>
      <c r="Q149" s="45">
        <f t="shared" si="29"/>
        <v>-1.2617441394818716</v>
      </c>
      <c r="R149" s="105">
        <v>383</v>
      </c>
      <c r="S149" s="7">
        <f t="shared" si="22"/>
        <v>0</v>
      </c>
      <c r="T149" s="124">
        <f t="shared" si="23"/>
        <v>28</v>
      </c>
      <c r="U149" s="124">
        <f t="shared" si="24"/>
        <v>999</v>
      </c>
      <c r="V149" s="124">
        <f t="shared" si="25"/>
        <v>140</v>
      </c>
      <c r="W149" s="124">
        <f t="shared" si="26"/>
        <v>376.00000000073999</v>
      </c>
      <c r="X149" s="124">
        <f t="shared" si="27"/>
        <v>3838932.1115409783</v>
      </c>
      <c r="Y149" s="264">
        <f t="shared" si="28"/>
        <v>140</v>
      </c>
      <c r="Z149" s="10">
        <v>28</v>
      </c>
      <c r="AA149" s="7">
        <v>999</v>
      </c>
      <c r="AB149" s="7">
        <v>140</v>
      </c>
      <c r="AC149" s="109">
        <v>376.00000000073999</v>
      </c>
      <c r="AD149" s="109">
        <v>3838932.1115409783</v>
      </c>
      <c r="AE149" s="125"/>
      <c r="AF149" s="10"/>
      <c r="AI149" s="109"/>
      <c r="AJ149" s="109"/>
      <c r="AL149" s="10"/>
      <c r="AO149" s="109"/>
      <c r="AP149" s="109"/>
      <c r="AR149" s="10"/>
      <c r="AU149" s="109"/>
      <c r="AV149" s="109"/>
      <c r="AX149" s="10"/>
      <c r="BA149" s="109"/>
      <c r="BB149" s="109"/>
      <c r="BD149" s="10"/>
      <c r="BG149" s="109"/>
      <c r="BH149" s="109"/>
      <c r="BJ149" s="10"/>
      <c r="BM149" s="109"/>
      <c r="BN149" s="109"/>
      <c r="BP149" s="10"/>
      <c r="BS149" s="109"/>
      <c r="BT149" s="109"/>
      <c r="BV149" s="10"/>
      <c r="BY149" s="109"/>
      <c r="BZ149" s="109"/>
      <c r="CB149" s="10"/>
      <c r="CE149" s="109"/>
      <c r="CF149" s="109"/>
      <c r="CH149" s="10"/>
      <c r="CK149" s="109"/>
      <c r="CL149" s="109"/>
    </row>
    <row r="150" spans="1:90">
      <c r="A150" s="7" t="str">
        <f t="shared" si="21"/>
        <v>00290029</v>
      </c>
      <c r="B150" s="7" t="s">
        <v>2368</v>
      </c>
      <c r="C150" s="7" t="s">
        <v>2368</v>
      </c>
      <c r="D150" s="7">
        <v>141</v>
      </c>
      <c r="E150" s="7">
        <v>29</v>
      </c>
      <c r="F150" s="7" t="s">
        <v>1735</v>
      </c>
      <c r="G150" s="7">
        <v>29</v>
      </c>
      <c r="H150" s="7" t="s">
        <v>1295</v>
      </c>
      <c r="I150" s="37">
        <v>0</v>
      </c>
      <c r="J150" s="122">
        <v>0</v>
      </c>
      <c r="K150" s="123">
        <f>X150</f>
        <v>0</v>
      </c>
      <c r="L150" s="122">
        <f>IF(K154&gt;0, K150/K154, 0)</f>
        <v>0</v>
      </c>
      <c r="M150" s="71"/>
      <c r="N150" s="10">
        <f>ROUND(M154*L150,0)</f>
        <v>0</v>
      </c>
      <c r="O150" s="70">
        <v>0</v>
      </c>
      <c r="P150" s="10">
        <f>N150-O150</f>
        <v>0</v>
      </c>
      <c r="Q150" s="46">
        <f t="shared" si="29"/>
        <v>0</v>
      </c>
      <c r="R150" s="10">
        <v>0</v>
      </c>
      <c r="S150" s="7">
        <f t="shared" si="22"/>
        <v>0</v>
      </c>
      <c r="T150" s="124">
        <f t="shared" si="23"/>
        <v>29</v>
      </c>
      <c r="U150" s="124">
        <f t="shared" si="24"/>
        <v>29</v>
      </c>
      <c r="V150" s="124">
        <f t="shared" si="25"/>
        <v>141</v>
      </c>
      <c r="W150" s="124">
        <f t="shared" si="26"/>
        <v>0</v>
      </c>
      <c r="X150" s="124">
        <f t="shared" si="27"/>
        <v>0</v>
      </c>
      <c r="Y150" s="264">
        <f t="shared" si="28"/>
        <v>141</v>
      </c>
      <c r="Z150" s="10">
        <v>29</v>
      </c>
      <c r="AA150" s="7">
        <v>29</v>
      </c>
      <c r="AB150" s="7">
        <v>141</v>
      </c>
      <c r="AC150" s="109">
        <v>0</v>
      </c>
      <c r="AD150" s="109">
        <v>0</v>
      </c>
      <c r="AE150" s="125"/>
      <c r="AF150" s="10"/>
      <c r="AI150" s="109"/>
      <c r="AJ150" s="109"/>
      <c r="AL150" s="10"/>
      <c r="AO150" s="109"/>
      <c r="AP150" s="109"/>
      <c r="AR150" s="10"/>
      <c r="AU150" s="109"/>
      <c r="AV150" s="109"/>
      <c r="AX150" s="10"/>
      <c r="BA150" s="109"/>
      <c r="BB150" s="109"/>
      <c r="BD150" s="10"/>
      <c r="BG150" s="109"/>
      <c r="BH150" s="109"/>
      <c r="BJ150" s="10"/>
      <c r="BM150" s="109"/>
      <c r="BN150" s="109"/>
      <c r="BP150" s="10"/>
      <c r="BS150" s="109"/>
      <c r="BT150" s="109"/>
      <c r="BV150" s="10"/>
      <c r="BY150" s="109"/>
      <c r="BZ150" s="109"/>
      <c r="CB150" s="10"/>
      <c r="CE150" s="109"/>
      <c r="CF150" s="109"/>
      <c r="CH150" s="10"/>
      <c r="CK150" s="109"/>
      <c r="CL150" s="109"/>
    </row>
    <row r="151" spans="1:90">
      <c r="A151" s="7" t="str">
        <f t="shared" si="21"/>
        <v>00290750</v>
      </c>
      <c r="B151" s="7" t="s">
        <v>2368</v>
      </c>
      <c r="C151" s="7" t="s">
        <v>2738</v>
      </c>
      <c r="D151" s="7">
        <v>142</v>
      </c>
      <c r="E151" s="7">
        <v>29</v>
      </c>
      <c r="F151" s="7" t="s">
        <v>1735</v>
      </c>
      <c r="G151" s="7">
        <v>750</v>
      </c>
      <c r="H151" s="7" t="s">
        <v>1665</v>
      </c>
      <c r="I151" s="37">
        <v>2596976</v>
      </c>
      <c r="J151" s="122">
        <v>0.88895369833144211</v>
      </c>
      <c r="K151" s="123">
        <f t="shared" si="30"/>
        <v>2733049.7477342063</v>
      </c>
      <c r="L151" s="122">
        <f>IF(K154&gt;0, K151/K154, 0)</f>
        <v>0.88704845898376727</v>
      </c>
      <c r="M151" s="71"/>
      <c r="N151" s="10">
        <f>ROUND(M154*L151,0)</f>
        <v>1430433</v>
      </c>
      <c r="O151" s="70">
        <v>1477728</v>
      </c>
      <c r="P151" s="10">
        <f>N151-O151</f>
        <v>-47295</v>
      </c>
      <c r="Q151" s="46">
        <f t="shared" si="29"/>
        <v>-3.2005213408692263</v>
      </c>
      <c r="R151" s="10">
        <v>259</v>
      </c>
      <c r="S151" s="7">
        <f t="shared" si="22"/>
        <v>0</v>
      </c>
      <c r="T151" s="124">
        <f t="shared" si="23"/>
        <v>29</v>
      </c>
      <c r="U151" s="124">
        <f t="shared" si="24"/>
        <v>750</v>
      </c>
      <c r="V151" s="124">
        <f t="shared" si="25"/>
        <v>142</v>
      </c>
      <c r="W151" s="124">
        <f t="shared" si="26"/>
        <v>267.15500686024001</v>
      </c>
      <c r="X151" s="124">
        <f t="shared" si="27"/>
        <v>2733049.7477342063</v>
      </c>
      <c r="Y151" s="264">
        <f t="shared" si="28"/>
        <v>142</v>
      </c>
      <c r="Z151" s="10">
        <v>29</v>
      </c>
      <c r="AA151" s="7">
        <v>750</v>
      </c>
      <c r="AB151" s="7">
        <v>142</v>
      </c>
      <c r="AC151" s="109">
        <v>267.15500686024001</v>
      </c>
      <c r="AD151" s="109">
        <v>2733049.7477342063</v>
      </c>
      <c r="AE151" s="125"/>
      <c r="AF151" s="10"/>
      <c r="AI151" s="109"/>
      <c r="AJ151" s="109"/>
      <c r="AL151" s="10"/>
      <c r="AO151" s="109"/>
      <c r="AP151" s="109"/>
      <c r="AR151" s="10"/>
      <c r="AU151" s="109"/>
      <c r="AV151" s="109"/>
      <c r="AX151" s="10"/>
      <c r="BA151" s="109"/>
      <c r="BB151" s="109"/>
      <c r="BD151" s="10"/>
      <c r="BG151" s="109"/>
      <c r="BH151" s="109"/>
      <c r="BJ151" s="10"/>
      <c r="BM151" s="109"/>
      <c r="BN151" s="109"/>
      <c r="BP151" s="10"/>
      <c r="BS151" s="109"/>
      <c r="BT151" s="109"/>
      <c r="BV151" s="10"/>
      <c r="BY151" s="109"/>
      <c r="BZ151" s="109"/>
      <c r="CB151" s="10"/>
      <c r="CE151" s="109"/>
      <c r="CF151" s="109"/>
      <c r="CH151" s="10"/>
      <c r="CK151" s="109"/>
      <c r="CL151" s="109"/>
    </row>
    <row r="152" spans="1:90">
      <c r="A152" s="7" t="str">
        <f t="shared" si="21"/>
        <v>00290818</v>
      </c>
      <c r="B152" s="7" t="s">
        <v>2368</v>
      </c>
      <c r="C152" s="7" t="s">
        <v>2758</v>
      </c>
      <c r="D152" s="7">
        <v>143</v>
      </c>
      <c r="E152" s="7">
        <v>29</v>
      </c>
      <c r="F152" s="7" t="s">
        <v>1735</v>
      </c>
      <c r="G152" s="7">
        <v>818</v>
      </c>
      <c r="H152" s="7" t="s">
        <v>1685</v>
      </c>
      <c r="I152" s="37">
        <v>324409</v>
      </c>
      <c r="J152" s="122">
        <v>0.11104630166855789</v>
      </c>
      <c r="K152" s="123">
        <f t="shared" si="30"/>
        <v>348010.50332048844</v>
      </c>
      <c r="L152" s="122">
        <f>IF(K154&gt;0, K152/K154, 0)</f>
        <v>0.11295154101623266</v>
      </c>
      <c r="M152" s="71"/>
      <c r="N152" s="10">
        <f>ROUND(M154*L152,0)</f>
        <v>182143</v>
      </c>
      <c r="O152" s="70">
        <v>184595</v>
      </c>
      <c r="P152" s="10">
        <f>N152-O152</f>
        <v>-2452</v>
      </c>
      <c r="Q152" s="46">
        <f t="shared" si="29"/>
        <v>-1.3283133345973619</v>
      </c>
      <c r="R152" s="10">
        <v>20</v>
      </c>
      <c r="S152" s="7">
        <f t="shared" si="22"/>
        <v>0</v>
      </c>
      <c r="T152" s="124">
        <f t="shared" si="23"/>
        <v>29</v>
      </c>
      <c r="U152" s="124">
        <f t="shared" si="24"/>
        <v>818</v>
      </c>
      <c r="V152" s="124">
        <f t="shared" si="25"/>
        <v>143</v>
      </c>
      <c r="W152" s="124">
        <f t="shared" si="26"/>
        <v>21.000000000669999</v>
      </c>
      <c r="X152" s="124">
        <f t="shared" si="27"/>
        <v>348010.50332048844</v>
      </c>
      <c r="Y152" s="264">
        <f t="shared" si="28"/>
        <v>143</v>
      </c>
      <c r="Z152" s="10">
        <v>29</v>
      </c>
      <c r="AA152" s="7">
        <v>818</v>
      </c>
      <c r="AB152" s="7">
        <v>143</v>
      </c>
      <c r="AC152" s="109">
        <v>21.000000000669999</v>
      </c>
      <c r="AD152" s="109">
        <v>348010.50332048844</v>
      </c>
      <c r="AE152" s="125"/>
      <c r="AF152" s="10"/>
      <c r="AI152" s="109"/>
      <c r="AJ152" s="109"/>
      <c r="AL152" s="10"/>
      <c r="AO152" s="109"/>
      <c r="AP152" s="109"/>
      <c r="AR152" s="10"/>
      <c r="AU152" s="109"/>
      <c r="AV152" s="109"/>
      <c r="AX152" s="10"/>
      <c r="BA152" s="109"/>
      <c r="BB152" s="109"/>
      <c r="BD152" s="10"/>
      <c r="BG152" s="109"/>
      <c r="BH152" s="109"/>
      <c r="BJ152" s="10"/>
      <c r="BM152" s="109"/>
      <c r="BN152" s="109"/>
      <c r="BP152" s="10"/>
      <c r="BS152" s="109"/>
      <c r="BT152" s="109"/>
      <c r="BV152" s="10"/>
      <c r="BY152" s="109"/>
      <c r="BZ152" s="109"/>
      <c r="CB152" s="10"/>
      <c r="CE152" s="109"/>
      <c r="CF152" s="109"/>
      <c r="CH152" s="10"/>
      <c r="CK152" s="109"/>
      <c r="CL152" s="109"/>
    </row>
    <row r="153" spans="1:90">
      <c r="A153" s="7" t="str">
        <f t="shared" si="21"/>
        <v>00290998</v>
      </c>
      <c r="B153" s="7" t="s">
        <v>2368</v>
      </c>
      <c r="C153" s="7" t="s">
        <v>2781</v>
      </c>
      <c r="D153" s="7">
        <v>144</v>
      </c>
      <c r="E153" s="7">
        <v>29</v>
      </c>
      <c r="F153" s="7" t="s">
        <v>2135</v>
      </c>
      <c r="G153" s="7">
        <v>998</v>
      </c>
      <c r="H153" s="7" t="s">
        <v>2135</v>
      </c>
      <c r="I153" s="37">
        <v>0</v>
      </c>
      <c r="J153" s="122">
        <v>0</v>
      </c>
      <c r="K153" s="123">
        <f t="shared" si="30"/>
        <v>0</v>
      </c>
      <c r="L153" s="122">
        <f>IF(K154&gt;0, K153/K154, 0)</f>
        <v>0</v>
      </c>
      <c r="M153" s="71"/>
      <c r="N153" s="10">
        <f>ROUND(M154*L153,0)</f>
        <v>0</v>
      </c>
      <c r="O153" s="70">
        <v>0</v>
      </c>
      <c r="P153" s="10">
        <f>N153-O153</f>
        <v>0</v>
      </c>
      <c r="Q153" s="46">
        <f t="shared" si="29"/>
        <v>0</v>
      </c>
      <c r="R153" s="10">
        <v>0</v>
      </c>
      <c r="S153" s="7">
        <f t="shared" si="22"/>
        <v>0</v>
      </c>
      <c r="T153" s="124">
        <f t="shared" si="23"/>
        <v>29</v>
      </c>
      <c r="U153" s="124">
        <f t="shared" si="24"/>
        <v>998</v>
      </c>
      <c r="V153" s="124">
        <f t="shared" si="25"/>
        <v>144</v>
      </c>
      <c r="W153" s="124">
        <f t="shared" si="26"/>
        <v>0</v>
      </c>
      <c r="X153" s="124">
        <f t="shared" si="27"/>
        <v>0</v>
      </c>
      <c r="Y153" s="264">
        <f t="shared" si="28"/>
        <v>144</v>
      </c>
      <c r="Z153" s="10">
        <v>29</v>
      </c>
      <c r="AA153" s="7">
        <v>998</v>
      </c>
      <c r="AB153" s="7">
        <v>144</v>
      </c>
      <c r="AC153" s="109">
        <v>0</v>
      </c>
      <c r="AD153" s="109">
        <v>0</v>
      </c>
      <c r="AE153" s="125"/>
      <c r="AF153" s="10"/>
      <c r="AI153" s="109"/>
      <c r="AJ153" s="109"/>
      <c r="AL153" s="10"/>
      <c r="AO153" s="109"/>
      <c r="AP153" s="109"/>
      <c r="AR153" s="10"/>
      <c r="AU153" s="109"/>
      <c r="AV153" s="109"/>
      <c r="AX153" s="10"/>
      <c r="BA153" s="109"/>
      <c r="BB153" s="109"/>
      <c r="BD153" s="10"/>
      <c r="BG153" s="109"/>
      <c r="BH153" s="109"/>
      <c r="BJ153" s="10"/>
      <c r="BM153" s="109"/>
      <c r="BN153" s="109"/>
      <c r="BP153" s="10"/>
      <c r="BS153" s="109"/>
      <c r="BT153" s="109"/>
      <c r="BV153" s="10"/>
      <c r="BY153" s="109"/>
      <c r="BZ153" s="109"/>
      <c r="CB153" s="10"/>
      <c r="CE153" s="109"/>
      <c r="CF153" s="109"/>
      <c r="CH153" s="10"/>
      <c r="CK153" s="109"/>
      <c r="CL153" s="109"/>
    </row>
    <row r="154" spans="1:90">
      <c r="A154" s="7" t="str">
        <f t="shared" si="21"/>
        <v>00290999</v>
      </c>
      <c r="B154" s="7" t="s">
        <v>2368</v>
      </c>
      <c r="C154" s="7" t="s">
        <v>2782</v>
      </c>
      <c r="D154" s="7">
        <v>145</v>
      </c>
      <c r="E154" s="11">
        <v>29</v>
      </c>
      <c r="F154" s="11" t="s">
        <v>1735</v>
      </c>
      <c r="G154" s="11">
        <v>999</v>
      </c>
      <c r="H154" s="11" t="s">
        <v>1132</v>
      </c>
      <c r="I154" s="105">
        <v>2921385</v>
      </c>
      <c r="J154" s="126">
        <v>1</v>
      </c>
      <c r="K154" s="127">
        <f>SUM(K150:K153)</f>
        <v>3081060.2510546949</v>
      </c>
      <c r="L154" s="126">
        <f>SUM(L150:L153)</f>
        <v>0.99999999999999989</v>
      </c>
      <c r="M154" s="105">
        <f>VLOOKUP(E154,town351,22)</f>
        <v>1612576</v>
      </c>
      <c r="N154" s="105">
        <f>SUM(N150:N153)</f>
        <v>1612576</v>
      </c>
      <c r="O154" s="128">
        <v>1662323</v>
      </c>
      <c r="P154" s="105">
        <f>SUM(P150:P153)</f>
        <v>-49747</v>
      </c>
      <c r="Q154" s="45">
        <f t="shared" si="29"/>
        <v>-2.9926193645879891</v>
      </c>
      <c r="R154" s="105">
        <v>279</v>
      </c>
      <c r="S154" s="7">
        <f t="shared" si="22"/>
        <v>0</v>
      </c>
      <c r="T154" s="124">
        <f t="shared" si="23"/>
        <v>29</v>
      </c>
      <c r="U154" s="124">
        <f t="shared" si="24"/>
        <v>999</v>
      </c>
      <c r="V154" s="124">
        <f t="shared" si="25"/>
        <v>145</v>
      </c>
      <c r="W154" s="124">
        <f t="shared" si="26"/>
        <v>288.15500686091002</v>
      </c>
      <c r="X154" s="124">
        <f t="shared" si="27"/>
        <v>3081060.2510546949</v>
      </c>
      <c r="Y154" s="264">
        <f t="shared" si="28"/>
        <v>145</v>
      </c>
      <c r="Z154" s="10">
        <v>29</v>
      </c>
      <c r="AA154" s="7">
        <v>999</v>
      </c>
      <c r="AB154" s="7">
        <v>145</v>
      </c>
      <c r="AC154" s="109">
        <v>288.15500686091002</v>
      </c>
      <c r="AD154" s="109">
        <v>3081060.2510546949</v>
      </c>
      <c r="AE154" s="125"/>
      <c r="AF154" s="10"/>
      <c r="AI154" s="109"/>
      <c r="AJ154" s="109"/>
      <c r="AL154" s="10"/>
      <c r="AO154" s="109"/>
      <c r="AP154" s="109"/>
      <c r="AR154" s="10"/>
      <c r="AU154" s="109"/>
      <c r="AV154" s="109"/>
      <c r="AX154" s="10"/>
      <c r="BA154" s="109"/>
      <c r="BB154" s="109"/>
      <c r="BD154" s="10"/>
      <c r="BG154" s="109"/>
      <c r="BH154" s="109"/>
      <c r="BJ154" s="10"/>
      <c r="BM154" s="109"/>
      <c r="BN154" s="109"/>
      <c r="BP154" s="10"/>
      <c r="BS154" s="109"/>
      <c r="BT154" s="109"/>
      <c r="BV154" s="10"/>
      <c r="BY154" s="109"/>
      <c r="BZ154" s="109"/>
      <c r="CB154" s="10"/>
      <c r="CE154" s="109"/>
      <c r="CF154" s="109"/>
      <c r="CH154" s="10"/>
      <c r="CK154" s="109"/>
      <c r="CL154" s="109"/>
    </row>
    <row r="155" spans="1:90">
      <c r="A155" s="7" t="str">
        <f t="shared" si="21"/>
        <v>00300030</v>
      </c>
      <c r="B155" s="7" t="s">
        <v>2369</v>
      </c>
      <c r="C155" s="7" t="s">
        <v>2369</v>
      </c>
      <c r="D155" s="7">
        <v>146</v>
      </c>
      <c r="E155" s="7">
        <v>30</v>
      </c>
      <c r="F155" s="7" t="s">
        <v>1736</v>
      </c>
      <c r="G155" s="7">
        <v>30</v>
      </c>
      <c r="H155" s="7" t="s">
        <v>1296</v>
      </c>
      <c r="I155" s="37">
        <v>44666515.990000002</v>
      </c>
      <c r="J155" s="122">
        <v>0.96229342469915669</v>
      </c>
      <c r="K155" s="123">
        <f>X155</f>
        <v>45588032.85854122</v>
      </c>
      <c r="L155" s="122">
        <f>IF(K159&gt;0, K155/K159, 0)</f>
        <v>0.95884716357016264</v>
      </c>
      <c r="M155" s="71"/>
      <c r="N155" s="10">
        <f>ROUND(M159*L155,0)</f>
        <v>37741029</v>
      </c>
      <c r="O155" s="70">
        <v>37114279</v>
      </c>
      <c r="P155" s="10">
        <f>N155-O155</f>
        <v>626750</v>
      </c>
      <c r="Q155" s="46">
        <f t="shared" si="29"/>
        <v>1.6887031538454513</v>
      </c>
      <c r="R155" s="10">
        <v>4449</v>
      </c>
      <c r="S155" s="7">
        <f t="shared" si="22"/>
        <v>0</v>
      </c>
      <c r="T155" s="124">
        <f t="shared" si="23"/>
        <v>30</v>
      </c>
      <c r="U155" s="124">
        <f t="shared" si="24"/>
        <v>30</v>
      </c>
      <c r="V155" s="124">
        <f t="shared" si="25"/>
        <v>146</v>
      </c>
      <c r="W155" s="124">
        <f t="shared" si="26"/>
        <v>4444</v>
      </c>
      <c r="X155" s="124">
        <f t="shared" si="27"/>
        <v>45588032.85854122</v>
      </c>
      <c r="Y155" s="264">
        <f t="shared" si="28"/>
        <v>146</v>
      </c>
      <c r="Z155" s="10">
        <v>30</v>
      </c>
      <c r="AA155" s="7">
        <v>30</v>
      </c>
      <c r="AB155" s="7">
        <v>146</v>
      </c>
      <c r="AC155" s="109">
        <v>4444</v>
      </c>
      <c r="AD155" s="109">
        <v>45588032.85854122</v>
      </c>
      <c r="AE155" s="125"/>
      <c r="AF155" s="10"/>
      <c r="AI155" s="109"/>
      <c r="AJ155" s="109"/>
      <c r="AL155" s="10"/>
      <c r="AO155" s="109"/>
      <c r="AP155" s="109"/>
      <c r="AR155" s="10"/>
      <c r="AU155" s="109"/>
      <c r="AV155" s="109"/>
      <c r="AX155" s="10"/>
      <c r="BA155" s="109"/>
      <c r="BB155" s="109"/>
      <c r="BD155" s="10"/>
      <c r="BG155" s="109"/>
      <c r="BH155" s="109"/>
      <c r="BJ155" s="10"/>
      <c r="BM155" s="109"/>
      <c r="BN155" s="109"/>
      <c r="BP155" s="10"/>
      <c r="BS155" s="109"/>
      <c r="BT155" s="109"/>
      <c r="BV155" s="10"/>
      <c r="BY155" s="109"/>
      <c r="BZ155" s="109"/>
      <c r="CB155" s="10"/>
      <c r="CE155" s="109"/>
      <c r="CF155" s="109"/>
      <c r="CH155" s="10"/>
      <c r="CK155" s="109"/>
      <c r="CL155" s="109"/>
    </row>
    <row r="156" spans="1:90">
      <c r="A156" s="7" t="str">
        <f t="shared" si="21"/>
        <v>00300817</v>
      </c>
      <c r="B156" s="7" t="s">
        <v>2369</v>
      </c>
      <c r="C156" s="7" t="s">
        <v>2757</v>
      </c>
      <c r="D156" s="7">
        <v>147</v>
      </c>
      <c r="E156" s="7">
        <v>30</v>
      </c>
      <c r="F156" s="7" t="s">
        <v>1736</v>
      </c>
      <c r="G156" s="7">
        <v>817</v>
      </c>
      <c r="H156" s="7" t="s">
        <v>1684</v>
      </c>
      <c r="I156" s="37">
        <v>1750216</v>
      </c>
      <c r="J156" s="122">
        <v>3.7706575300843363E-2</v>
      </c>
      <c r="K156" s="123">
        <f t="shared" si="30"/>
        <v>1956596.348890712</v>
      </c>
      <c r="L156" s="122">
        <f>IF(K159&gt;0, K156/K159, 0)</f>
        <v>4.115283642983731E-2</v>
      </c>
      <c r="M156" s="71"/>
      <c r="N156" s="10">
        <f>ROUND(M159*L156,0)</f>
        <v>1619810</v>
      </c>
      <c r="O156" s="70">
        <v>1454289</v>
      </c>
      <c r="P156" s="10">
        <f>N156-O156</f>
        <v>165521</v>
      </c>
      <c r="Q156" s="46">
        <f t="shared" si="29"/>
        <v>11.381575464024001</v>
      </c>
      <c r="R156" s="10">
        <v>111</v>
      </c>
      <c r="S156" s="7">
        <f t="shared" si="22"/>
        <v>0</v>
      </c>
      <c r="T156" s="124">
        <f t="shared" si="23"/>
        <v>30</v>
      </c>
      <c r="U156" s="124">
        <f t="shared" si="24"/>
        <v>817</v>
      </c>
      <c r="V156" s="124">
        <f t="shared" si="25"/>
        <v>147</v>
      </c>
      <c r="W156" s="124">
        <f t="shared" si="26"/>
        <v>123.00000000209999</v>
      </c>
      <c r="X156" s="124">
        <f t="shared" si="27"/>
        <v>1956596.348890712</v>
      </c>
      <c r="Y156" s="264">
        <f t="shared" si="28"/>
        <v>147</v>
      </c>
      <c r="Z156" s="10">
        <v>30</v>
      </c>
      <c r="AA156" s="7">
        <v>817</v>
      </c>
      <c r="AB156" s="7">
        <v>147</v>
      </c>
      <c r="AC156" s="109">
        <v>123.00000000209999</v>
      </c>
      <c r="AD156" s="109">
        <v>1956596.348890712</v>
      </c>
      <c r="AE156" s="125"/>
      <c r="AF156" s="10"/>
      <c r="AI156" s="109"/>
      <c r="AJ156" s="109"/>
      <c r="AL156" s="10"/>
      <c r="AO156" s="109"/>
      <c r="AP156" s="109"/>
      <c r="AR156" s="10"/>
      <c r="AU156" s="109"/>
      <c r="AV156" s="109"/>
      <c r="AX156" s="10"/>
      <c r="BA156" s="109"/>
      <c r="BB156" s="109"/>
      <c r="BD156" s="10"/>
      <c r="BG156" s="109"/>
      <c r="BH156" s="109"/>
      <c r="BJ156" s="10"/>
      <c r="BM156" s="109"/>
      <c r="BN156" s="109"/>
      <c r="BP156" s="10"/>
      <c r="BS156" s="109"/>
      <c r="BT156" s="109"/>
      <c r="BV156" s="10"/>
      <c r="BY156" s="109"/>
      <c r="BZ156" s="109"/>
      <c r="CB156" s="10"/>
      <c r="CE156" s="109"/>
      <c r="CF156" s="109"/>
      <c r="CH156" s="10"/>
      <c r="CK156" s="109"/>
      <c r="CL156" s="109"/>
    </row>
    <row r="157" spans="1:90">
      <c r="A157" s="7" t="str">
        <f t="shared" si="21"/>
        <v>00300998</v>
      </c>
      <c r="B157" s="7" t="s">
        <v>2369</v>
      </c>
      <c r="C157" s="7" t="s">
        <v>2781</v>
      </c>
      <c r="D157" s="7">
        <v>148</v>
      </c>
      <c r="E157" s="7">
        <v>30</v>
      </c>
      <c r="F157" s="7" t="s">
        <v>2135</v>
      </c>
      <c r="G157" s="7">
        <v>998</v>
      </c>
      <c r="I157" s="129">
        <v>0</v>
      </c>
      <c r="J157" s="130">
        <v>0</v>
      </c>
      <c r="K157" s="123">
        <f t="shared" si="30"/>
        <v>0</v>
      </c>
      <c r="L157" s="122">
        <f>IF(K159&gt;0, K157/K159, 0)</f>
        <v>0</v>
      </c>
      <c r="M157" s="71"/>
      <c r="N157" s="10">
        <f>ROUND(M159*L157,0)</f>
        <v>0</v>
      </c>
      <c r="O157" s="70">
        <v>0</v>
      </c>
      <c r="P157" s="10">
        <f>N157-O157</f>
        <v>0</v>
      </c>
      <c r="Q157" s="46">
        <f t="shared" si="29"/>
        <v>0</v>
      </c>
      <c r="R157" s="10">
        <v>0</v>
      </c>
      <c r="S157" s="7">
        <f t="shared" si="22"/>
        <v>0</v>
      </c>
      <c r="T157" s="124">
        <f t="shared" si="23"/>
        <v>30</v>
      </c>
      <c r="U157" s="124">
        <f t="shared" si="24"/>
        <v>998</v>
      </c>
      <c r="V157" s="124">
        <f t="shared" si="25"/>
        <v>148</v>
      </c>
      <c r="W157" s="124">
        <f t="shared" si="26"/>
        <v>0</v>
      </c>
      <c r="X157" s="124">
        <f t="shared" si="27"/>
        <v>0</v>
      </c>
      <c r="Y157" s="264">
        <f t="shared" si="28"/>
        <v>148</v>
      </c>
      <c r="Z157" s="10">
        <v>30</v>
      </c>
      <c r="AA157" s="7">
        <v>998</v>
      </c>
      <c r="AB157" s="7">
        <v>148</v>
      </c>
      <c r="AC157" s="109">
        <v>0</v>
      </c>
      <c r="AD157" s="109">
        <v>0</v>
      </c>
      <c r="AE157" s="125"/>
      <c r="AF157" s="10"/>
      <c r="AI157" s="109"/>
      <c r="AJ157" s="109"/>
      <c r="AL157" s="10"/>
      <c r="AO157" s="109"/>
      <c r="AP157" s="109"/>
      <c r="AR157" s="10"/>
      <c r="AU157" s="109"/>
      <c r="AV157" s="109"/>
      <c r="AX157" s="10"/>
      <c r="BA157" s="109"/>
      <c r="BB157" s="109"/>
      <c r="BD157" s="10"/>
      <c r="BG157" s="109"/>
      <c r="BH157" s="109"/>
      <c r="BJ157" s="10"/>
      <c r="BM157" s="109"/>
      <c r="BN157" s="109"/>
      <c r="BP157" s="10"/>
      <c r="BS157" s="109"/>
      <c r="BT157" s="109"/>
      <c r="BV157" s="10"/>
      <c r="BY157" s="109"/>
      <c r="BZ157" s="109"/>
      <c r="CB157" s="10"/>
      <c r="CE157" s="109"/>
      <c r="CF157" s="109"/>
      <c r="CH157" s="10"/>
      <c r="CK157" s="109"/>
      <c r="CL157" s="109"/>
    </row>
    <row r="158" spans="1:90">
      <c r="A158" s="7" t="str">
        <f t="shared" si="21"/>
        <v>00300998</v>
      </c>
      <c r="B158" s="7" t="s">
        <v>2369</v>
      </c>
      <c r="C158" s="7" t="s">
        <v>2781</v>
      </c>
      <c r="D158" s="7">
        <v>149</v>
      </c>
      <c r="E158" s="7">
        <v>30</v>
      </c>
      <c r="F158" s="7" t="s">
        <v>2135</v>
      </c>
      <c r="G158" s="7">
        <v>998</v>
      </c>
      <c r="H158" s="7" t="s">
        <v>2135</v>
      </c>
      <c r="I158" s="37">
        <v>0</v>
      </c>
      <c r="J158" s="122">
        <v>0</v>
      </c>
      <c r="K158" s="123">
        <f t="shared" si="30"/>
        <v>0</v>
      </c>
      <c r="L158" s="122">
        <f>IF(K159&gt;0, K158/K159, 0)</f>
        <v>0</v>
      </c>
      <c r="M158" s="71"/>
      <c r="N158" s="10">
        <f>ROUND(M159*L158,0)</f>
        <v>0</v>
      </c>
      <c r="O158" s="70">
        <v>0</v>
      </c>
      <c r="P158" s="10">
        <f>N158-O158</f>
        <v>0</v>
      </c>
      <c r="Q158" s="46">
        <f t="shared" si="29"/>
        <v>0</v>
      </c>
      <c r="R158" s="10">
        <v>0</v>
      </c>
      <c r="S158" s="7">
        <f t="shared" si="22"/>
        <v>0</v>
      </c>
      <c r="T158" s="124">
        <f t="shared" si="23"/>
        <v>30</v>
      </c>
      <c r="U158" s="124">
        <f t="shared" si="24"/>
        <v>998</v>
      </c>
      <c r="V158" s="124">
        <f t="shared" si="25"/>
        <v>149</v>
      </c>
      <c r="W158" s="124">
        <f t="shared" si="26"/>
        <v>0</v>
      </c>
      <c r="X158" s="124">
        <f t="shared" si="27"/>
        <v>0</v>
      </c>
      <c r="Y158" s="264">
        <f t="shared" si="28"/>
        <v>149</v>
      </c>
      <c r="Z158" s="10">
        <v>30</v>
      </c>
      <c r="AA158" s="7">
        <v>998</v>
      </c>
      <c r="AB158" s="7">
        <v>149</v>
      </c>
      <c r="AC158" s="109">
        <v>0</v>
      </c>
      <c r="AD158" s="109">
        <v>0</v>
      </c>
      <c r="AE158" s="125"/>
      <c r="AF158" s="10"/>
      <c r="AI158" s="109"/>
      <c r="AJ158" s="109"/>
      <c r="AL158" s="10"/>
      <c r="AO158" s="109"/>
      <c r="AP158" s="109"/>
      <c r="AR158" s="10"/>
      <c r="AU158" s="109"/>
      <c r="AV158" s="109"/>
      <c r="AX158" s="10"/>
      <c r="BA158" s="109"/>
      <c r="BB158" s="109"/>
      <c r="BD158" s="10"/>
      <c r="BG158" s="109"/>
      <c r="BH158" s="109"/>
      <c r="BJ158" s="10"/>
      <c r="BM158" s="109"/>
      <c r="BN158" s="109"/>
      <c r="BP158" s="10"/>
      <c r="BS158" s="109"/>
      <c r="BT158" s="109"/>
      <c r="BV158" s="10"/>
      <c r="BY158" s="109"/>
      <c r="BZ158" s="109"/>
      <c r="CB158" s="10"/>
      <c r="CE158" s="109"/>
      <c r="CF158" s="109"/>
      <c r="CH158" s="10"/>
      <c r="CK158" s="109"/>
      <c r="CL158" s="109"/>
    </row>
    <row r="159" spans="1:90">
      <c r="A159" s="7" t="str">
        <f t="shared" si="21"/>
        <v>00300999</v>
      </c>
      <c r="B159" s="7" t="s">
        <v>2369</v>
      </c>
      <c r="C159" s="7" t="s">
        <v>2782</v>
      </c>
      <c r="D159" s="7">
        <v>150</v>
      </c>
      <c r="E159" s="11">
        <v>30</v>
      </c>
      <c r="F159" s="11" t="s">
        <v>1736</v>
      </c>
      <c r="G159" s="11">
        <v>999</v>
      </c>
      <c r="H159" s="11" t="s">
        <v>1132</v>
      </c>
      <c r="I159" s="105">
        <v>46416731.990000002</v>
      </c>
      <c r="J159" s="126">
        <v>1</v>
      </c>
      <c r="K159" s="127">
        <f>SUM(K155:K158)</f>
        <v>47544629.207431935</v>
      </c>
      <c r="L159" s="126">
        <f>SUM(L155:L158)</f>
        <v>1</v>
      </c>
      <c r="M159" s="105">
        <f>VLOOKUP(E159,town351,22)</f>
        <v>39360839</v>
      </c>
      <c r="N159" s="105">
        <f>SUM(N155:N158)</f>
        <v>39360839</v>
      </c>
      <c r="O159" s="128">
        <v>38568568</v>
      </c>
      <c r="P159" s="105">
        <f>SUM(P155:P158)</f>
        <v>792271</v>
      </c>
      <c r="Q159" s="45">
        <f t="shared" si="29"/>
        <v>2.0541882706145587</v>
      </c>
      <c r="R159" s="105">
        <v>4560</v>
      </c>
      <c r="S159" s="7">
        <f t="shared" si="22"/>
        <v>0</v>
      </c>
      <c r="T159" s="124">
        <f t="shared" si="23"/>
        <v>30</v>
      </c>
      <c r="U159" s="124">
        <f t="shared" si="24"/>
        <v>999</v>
      </c>
      <c r="V159" s="124">
        <f t="shared" si="25"/>
        <v>150</v>
      </c>
      <c r="W159" s="124">
        <f t="shared" si="26"/>
        <v>4567.0000000021</v>
      </c>
      <c r="X159" s="124">
        <f t="shared" si="27"/>
        <v>47544629.207431935</v>
      </c>
      <c r="Y159" s="264">
        <f t="shared" si="28"/>
        <v>150</v>
      </c>
      <c r="Z159" s="10">
        <v>30</v>
      </c>
      <c r="AA159" s="7">
        <v>999</v>
      </c>
      <c r="AB159" s="7">
        <v>150</v>
      </c>
      <c r="AC159" s="109">
        <v>4567.0000000021</v>
      </c>
      <c r="AD159" s="109">
        <v>47544629.207431935</v>
      </c>
      <c r="AE159" s="125"/>
      <c r="AF159" s="10"/>
      <c r="AI159" s="109"/>
      <c r="AJ159" s="109"/>
      <c r="AL159" s="10"/>
      <c r="AO159" s="109"/>
      <c r="AP159" s="109"/>
      <c r="AR159" s="10"/>
      <c r="AU159" s="109"/>
      <c r="AV159" s="109"/>
      <c r="AX159" s="10"/>
      <c r="BA159" s="109"/>
      <c r="BB159" s="109"/>
      <c r="BD159" s="10"/>
      <c r="BG159" s="109"/>
      <c r="BH159" s="109"/>
      <c r="BJ159" s="10"/>
      <c r="BM159" s="109"/>
      <c r="BN159" s="109"/>
      <c r="BP159" s="10"/>
      <c r="BS159" s="109"/>
      <c r="BT159" s="109"/>
      <c r="BV159" s="10"/>
      <c r="BY159" s="109"/>
      <c r="BZ159" s="109"/>
      <c r="CB159" s="10"/>
      <c r="CE159" s="109"/>
      <c r="CF159" s="109"/>
      <c r="CH159" s="10"/>
      <c r="CK159" s="109"/>
      <c r="CL159" s="109"/>
    </row>
    <row r="160" spans="1:90">
      <c r="A160" s="7" t="str">
        <f t="shared" si="21"/>
        <v>00310031</v>
      </c>
      <c r="B160" s="7" t="s">
        <v>2370</v>
      </c>
      <c r="C160" s="7" t="s">
        <v>2370</v>
      </c>
      <c r="D160" s="7">
        <v>151</v>
      </c>
      <c r="E160" s="7">
        <v>31</v>
      </c>
      <c r="F160" s="7" t="s">
        <v>1737</v>
      </c>
      <c r="G160" s="7">
        <v>31</v>
      </c>
      <c r="H160" s="7" t="s">
        <v>1297</v>
      </c>
      <c r="I160" s="37">
        <v>49371895.506909996</v>
      </c>
      <c r="J160" s="122">
        <v>0.83270318126119769</v>
      </c>
      <c r="K160" s="123">
        <f>X160</f>
        <v>49374269.014992416</v>
      </c>
      <c r="L160" s="122">
        <f>IF(K164&gt;0, K160/K164, 0)</f>
        <v>0.83278980656071233</v>
      </c>
      <c r="M160" s="71"/>
      <c r="N160" s="10">
        <f>ROUND(M164*L160,0)</f>
        <v>35556235</v>
      </c>
      <c r="O160" s="70">
        <v>34830635</v>
      </c>
      <c r="P160" s="10">
        <f>N160-O160</f>
        <v>725600</v>
      </c>
      <c r="Q160" s="46">
        <f t="shared" si="29"/>
        <v>2.0832235760272528</v>
      </c>
      <c r="R160" s="10">
        <v>5162</v>
      </c>
      <c r="S160" s="7">
        <f t="shared" si="22"/>
        <v>0</v>
      </c>
      <c r="T160" s="124">
        <f t="shared" si="23"/>
        <v>31</v>
      </c>
      <c r="U160" s="124">
        <f t="shared" si="24"/>
        <v>31</v>
      </c>
      <c r="V160" s="124">
        <f t="shared" si="25"/>
        <v>151</v>
      </c>
      <c r="W160" s="124">
        <f t="shared" si="26"/>
        <v>5034</v>
      </c>
      <c r="X160" s="124">
        <f t="shared" si="27"/>
        <v>49374269.014992416</v>
      </c>
      <c r="Y160" s="264">
        <f t="shared" si="28"/>
        <v>151</v>
      </c>
      <c r="Z160" s="10">
        <v>31</v>
      </c>
      <c r="AA160" s="7">
        <v>31</v>
      </c>
      <c r="AB160" s="7">
        <v>151</v>
      </c>
      <c r="AC160" s="109">
        <v>5034</v>
      </c>
      <c r="AD160" s="109">
        <v>49374269.014992416</v>
      </c>
      <c r="AE160" s="125"/>
      <c r="AF160" s="10"/>
      <c r="AI160" s="109"/>
      <c r="AJ160" s="109"/>
      <c r="AL160" s="10"/>
      <c r="AO160" s="109"/>
      <c r="AP160" s="109"/>
      <c r="AR160" s="10"/>
      <c r="AU160" s="109"/>
      <c r="AV160" s="109"/>
      <c r="AX160" s="10"/>
      <c r="BA160" s="109"/>
      <c r="BB160" s="109"/>
      <c r="BD160" s="10"/>
      <c r="BG160" s="109"/>
      <c r="BH160" s="109"/>
      <c r="BJ160" s="10"/>
      <c r="BM160" s="109"/>
      <c r="BN160" s="109"/>
      <c r="BP160" s="10"/>
      <c r="BS160" s="109"/>
      <c r="BT160" s="109"/>
      <c r="BV160" s="10"/>
      <c r="BY160" s="109"/>
      <c r="BZ160" s="109"/>
      <c r="CB160" s="10"/>
      <c r="CE160" s="109"/>
      <c r="CF160" s="109"/>
      <c r="CH160" s="10"/>
      <c r="CK160" s="109"/>
      <c r="CL160" s="109"/>
    </row>
    <row r="161" spans="1:90">
      <c r="A161" s="7" t="str">
        <f t="shared" si="21"/>
        <v>00310871</v>
      </c>
      <c r="B161" s="7" t="s">
        <v>2370</v>
      </c>
      <c r="C161" s="7" t="s">
        <v>2771</v>
      </c>
      <c r="D161" s="7">
        <v>152</v>
      </c>
      <c r="E161" s="7">
        <v>31</v>
      </c>
      <c r="F161" s="7" t="s">
        <v>1737</v>
      </c>
      <c r="G161" s="7">
        <v>871</v>
      </c>
      <c r="H161" s="7" t="s">
        <v>1698</v>
      </c>
      <c r="I161" s="37">
        <v>9919214</v>
      </c>
      <c r="J161" s="122">
        <v>0.16729681873880231</v>
      </c>
      <c r="K161" s="123">
        <f t="shared" si="30"/>
        <v>9913523.2058324162</v>
      </c>
      <c r="L161" s="122">
        <f>IF(K164&gt;0, K161/K164, 0)</f>
        <v>0.1672101934392877</v>
      </c>
      <c r="M161" s="71"/>
      <c r="N161" s="10">
        <f>ROUND(M164*L161,0)</f>
        <v>7139094</v>
      </c>
      <c r="O161" s="70">
        <v>6997757</v>
      </c>
      <c r="P161" s="10">
        <f>N161-O161</f>
        <v>141337</v>
      </c>
      <c r="Q161" s="46">
        <f t="shared" si="29"/>
        <v>2.0197471847050421</v>
      </c>
      <c r="R161" s="10">
        <v>655</v>
      </c>
      <c r="S161" s="7">
        <f t="shared" si="22"/>
        <v>0</v>
      </c>
      <c r="T161" s="124">
        <f t="shared" si="23"/>
        <v>31</v>
      </c>
      <c r="U161" s="124">
        <f t="shared" si="24"/>
        <v>871</v>
      </c>
      <c r="V161" s="124">
        <f t="shared" si="25"/>
        <v>152</v>
      </c>
      <c r="W161" s="124">
        <f t="shared" si="26"/>
        <v>645.00000000384</v>
      </c>
      <c r="X161" s="124">
        <f t="shared" si="27"/>
        <v>9913523.2058324162</v>
      </c>
      <c r="Y161" s="264">
        <f t="shared" si="28"/>
        <v>152</v>
      </c>
      <c r="Z161" s="10">
        <v>31</v>
      </c>
      <c r="AA161" s="7">
        <v>871</v>
      </c>
      <c r="AB161" s="7">
        <v>152</v>
      </c>
      <c r="AC161" s="109">
        <v>645.00000000384</v>
      </c>
      <c r="AD161" s="109">
        <v>9913523.2058324162</v>
      </c>
      <c r="AE161" s="125"/>
      <c r="AF161" s="10"/>
      <c r="AI161" s="109"/>
      <c r="AJ161" s="109"/>
      <c r="AL161" s="10"/>
      <c r="AO161" s="109"/>
      <c r="AP161" s="109"/>
      <c r="AR161" s="10"/>
      <c r="AU161" s="109"/>
      <c r="AV161" s="109"/>
      <c r="AX161" s="10"/>
      <c r="BA161" s="109"/>
      <c r="BB161" s="109"/>
      <c r="BD161" s="10"/>
      <c r="BG161" s="109"/>
      <c r="BH161" s="109"/>
      <c r="BJ161" s="10"/>
      <c r="BM161" s="109"/>
      <c r="BN161" s="109"/>
      <c r="BP161" s="10"/>
      <c r="BS161" s="109"/>
      <c r="BT161" s="109"/>
      <c r="BV161" s="10"/>
      <c r="BY161" s="109"/>
      <c r="BZ161" s="109"/>
      <c r="CB161" s="10"/>
      <c r="CE161" s="109"/>
      <c r="CF161" s="109"/>
      <c r="CH161" s="10"/>
      <c r="CK161" s="109"/>
      <c r="CL161" s="109"/>
    </row>
    <row r="162" spans="1:90">
      <c r="A162" s="7" t="str">
        <f t="shared" si="21"/>
        <v>00310998</v>
      </c>
      <c r="B162" s="7" t="s">
        <v>2370</v>
      </c>
      <c r="C162" s="7" t="s">
        <v>2781</v>
      </c>
      <c r="D162" s="7">
        <v>153</v>
      </c>
      <c r="E162" s="7">
        <v>31</v>
      </c>
      <c r="F162" s="7" t="s">
        <v>2135</v>
      </c>
      <c r="G162" s="7">
        <v>998</v>
      </c>
      <c r="I162" s="129">
        <v>0</v>
      </c>
      <c r="J162" s="130">
        <v>0</v>
      </c>
      <c r="K162" s="123">
        <f t="shared" si="30"/>
        <v>0</v>
      </c>
      <c r="L162" s="122">
        <f>IF(K164&gt;0, K162/K164, 0)</f>
        <v>0</v>
      </c>
      <c r="M162" s="71"/>
      <c r="N162" s="10">
        <f>ROUND(M164*L162,0)</f>
        <v>0</v>
      </c>
      <c r="O162" s="70">
        <v>0</v>
      </c>
      <c r="P162" s="10">
        <f>N162-O162</f>
        <v>0</v>
      </c>
      <c r="Q162" s="46">
        <f t="shared" si="29"/>
        <v>0</v>
      </c>
      <c r="R162" s="10">
        <v>0</v>
      </c>
      <c r="S162" s="7">
        <f t="shared" si="22"/>
        <v>0</v>
      </c>
      <c r="T162" s="124">
        <f t="shared" si="23"/>
        <v>31</v>
      </c>
      <c r="U162" s="124">
        <f t="shared" si="24"/>
        <v>998</v>
      </c>
      <c r="V162" s="124">
        <f t="shared" si="25"/>
        <v>153</v>
      </c>
      <c r="W162" s="124">
        <f t="shared" si="26"/>
        <v>0</v>
      </c>
      <c r="X162" s="124">
        <f t="shared" si="27"/>
        <v>0</v>
      </c>
      <c r="Y162" s="264">
        <f t="shared" si="28"/>
        <v>153</v>
      </c>
      <c r="Z162" s="10">
        <v>31</v>
      </c>
      <c r="AA162" s="7">
        <v>998</v>
      </c>
      <c r="AB162" s="7">
        <v>153</v>
      </c>
      <c r="AC162" s="109">
        <v>0</v>
      </c>
      <c r="AD162" s="109">
        <v>0</v>
      </c>
      <c r="AE162" s="125"/>
      <c r="AF162" s="10"/>
      <c r="AI162" s="109"/>
      <c r="AJ162" s="109"/>
      <c r="AL162" s="10"/>
      <c r="AO162" s="109"/>
      <c r="AP162" s="109"/>
      <c r="AR162" s="10"/>
      <c r="AU162" s="109"/>
      <c r="AV162" s="109"/>
      <c r="AX162" s="10"/>
      <c r="BA162" s="109"/>
      <c r="BB162" s="109"/>
      <c r="BD162" s="10"/>
      <c r="BG162" s="109"/>
      <c r="BH162" s="109"/>
      <c r="BJ162" s="10"/>
      <c r="BM162" s="109"/>
      <c r="BN162" s="109"/>
      <c r="BP162" s="10"/>
      <c r="BS162" s="109"/>
      <c r="BT162" s="109"/>
      <c r="BV162" s="10"/>
      <c r="BY162" s="109"/>
      <c r="BZ162" s="109"/>
      <c r="CB162" s="10"/>
      <c r="CE162" s="109"/>
      <c r="CF162" s="109"/>
      <c r="CH162" s="10"/>
      <c r="CK162" s="109"/>
      <c r="CL162" s="109"/>
    </row>
    <row r="163" spans="1:90">
      <c r="A163" s="7" t="str">
        <f t="shared" si="21"/>
        <v>00310998</v>
      </c>
      <c r="B163" s="7" t="s">
        <v>2370</v>
      </c>
      <c r="C163" s="7" t="s">
        <v>2781</v>
      </c>
      <c r="D163" s="7">
        <v>154</v>
      </c>
      <c r="E163" s="7">
        <v>31</v>
      </c>
      <c r="F163" s="7" t="s">
        <v>2135</v>
      </c>
      <c r="G163" s="7">
        <v>998</v>
      </c>
      <c r="H163" s="7" t="s">
        <v>2135</v>
      </c>
      <c r="I163" s="37">
        <v>0</v>
      </c>
      <c r="J163" s="122">
        <v>0</v>
      </c>
      <c r="K163" s="123">
        <f t="shared" si="30"/>
        <v>0</v>
      </c>
      <c r="L163" s="122">
        <f>IF(K164&gt;0, K163/K164, 0)</f>
        <v>0</v>
      </c>
      <c r="M163" s="71"/>
      <c r="N163" s="10">
        <f>ROUND(M164*L163,0)</f>
        <v>0</v>
      </c>
      <c r="O163" s="70">
        <v>0</v>
      </c>
      <c r="P163" s="10">
        <f>N163-O163</f>
        <v>0</v>
      </c>
      <c r="Q163" s="46">
        <f t="shared" si="29"/>
        <v>0</v>
      </c>
      <c r="R163" s="10">
        <v>0</v>
      </c>
      <c r="S163" s="7">
        <f t="shared" si="22"/>
        <v>0</v>
      </c>
      <c r="T163" s="124">
        <f t="shared" si="23"/>
        <v>31</v>
      </c>
      <c r="U163" s="124">
        <f t="shared" si="24"/>
        <v>998</v>
      </c>
      <c r="V163" s="124">
        <f t="shared" si="25"/>
        <v>154</v>
      </c>
      <c r="W163" s="124">
        <f t="shared" si="26"/>
        <v>0</v>
      </c>
      <c r="X163" s="124">
        <f t="shared" si="27"/>
        <v>0</v>
      </c>
      <c r="Y163" s="264">
        <f t="shared" si="28"/>
        <v>154</v>
      </c>
      <c r="Z163" s="10">
        <v>31</v>
      </c>
      <c r="AA163" s="7">
        <v>998</v>
      </c>
      <c r="AB163" s="7">
        <v>154</v>
      </c>
      <c r="AC163" s="109">
        <v>0</v>
      </c>
      <c r="AD163" s="109">
        <v>0</v>
      </c>
      <c r="AE163" s="125"/>
      <c r="AF163" s="10"/>
      <c r="AI163" s="109"/>
      <c r="AJ163" s="109"/>
      <c r="AL163" s="10"/>
      <c r="AO163" s="109"/>
      <c r="AP163" s="109"/>
      <c r="AR163" s="10"/>
      <c r="AU163" s="109"/>
      <c r="AV163" s="109"/>
      <c r="AX163" s="10"/>
      <c r="BA163" s="109"/>
      <c r="BB163" s="109"/>
      <c r="BD163" s="10"/>
      <c r="BG163" s="109"/>
      <c r="BH163" s="109"/>
      <c r="BJ163" s="10"/>
      <c r="BM163" s="109"/>
      <c r="BN163" s="109"/>
      <c r="BP163" s="10"/>
      <c r="BS163" s="109"/>
      <c r="BT163" s="109"/>
      <c r="BV163" s="10"/>
      <c r="BY163" s="109"/>
      <c r="BZ163" s="109"/>
      <c r="CB163" s="10"/>
      <c r="CE163" s="109"/>
      <c r="CF163" s="109"/>
      <c r="CH163" s="10"/>
      <c r="CK163" s="109"/>
      <c r="CL163" s="109"/>
    </row>
    <row r="164" spans="1:90">
      <c r="A164" s="7" t="str">
        <f t="shared" si="21"/>
        <v>00310999</v>
      </c>
      <c r="B164" s="7" t="s">
        <v>2370</v>
      </c>
      <c r="C164" s="7" t="s">
        <v>2782</v>
      </c>
      <c r="D164" s="7">
        <v>155</v>
      </c>
      <c r="E164" s="11">
        <v>31</v>
      </c>
      <c r="F164" s="11" t="s">
        <v>1737</v>
      </c>
      <c r="G164" s="11">
        <v>999</v>
      </c>
      <c r="H164" s="11" t="s">
        <v>1132</v>
      </c>
      <c r="I164" s="105">
        <v>59291109.506909996</v>
      </c>
      <c r="J164" s="126">
        <v>1</v>
      </c>
      <c r="K164" s="127">
        <f>SUM(K160:K163)</f>
        <v>59287792.22082483</v>
      </c>
      <c r="L164" s="126">
        <f>SUM(L160:L163)</f>
        <v>1</v>
      </c>
      <c r="M164" s="105">
        <f>VLOOKUP(E164,town351,22)</f>
        <v>42695329</v>
      </c>
      <c r="N164" s="105">
        <f>SUM(N160:N163)</f>
        <v>42695329</v>
      </c>
      <c r="O164" s="128">
        <v>41828392</v>
      </c>
      <c r="P164" s="105">
        <f>SUM(P160:P163)</f>
        <v>866937</v>
      </c>
      <c r="Q164" s="45">
        <f t="shared" si="29"/>
        <v>2.0726041775643682</v>
      </c>
      <c r="R164" s="105">
        <v>5817</v>
      </c>
      <c r="S164" s="7">
        <f t="shared" si="22"/>
        <v>0</v>
      </c>
      <c r="T164" s="124">
        <f t="shared" si="23"/>
        <v>31</v>
      </c>
      <c r="U164" s="124">
        <f t="shared" si="24"/>
        <v>999</v>
      </c>
      <c r="V164" s="124">
        <f t="shared" si="25"/>
        <v>155</v>
      </c>
      <c r="W164" s="124">
        <f t="shared" si="26"/>
        <v>5679.0000000038399</v>
      </c>
      <c r="X164" s="124">
        <f t="shared" si="27"/>
        <v>59287792.22082483</v>
      </c>
      <c r="Y164" s="264">
        <f t="shared" si="28"/>
        <v>155</v>
      </c>
      <c r="Z164" s="10">
        <v>31</v>
      </c>
      <c r="AA164" s="7">
        <v>999</v>
      </c>
      <c r="AB164" s="7">
        <v>155</v>
      </c>
      <c r="AC164" s="109">
        <v>5679.0000000038399</v>
      </c>
      <c r="AD164" s="109">
        <v>59287792.22082483</v>
      </c>
      <c r="AE164" s="125"/>
      <c r="AF164" s="10"/>
      <c r="AI164" s="109"/>
      <c r="AJ164" s="109"/>
      <c r="AL164" s="10"/>
      <c r="AO164" s="109"/>
      <c r="AP164" s="109"/>
      <c r="AR164" s="10"/>
      <c r="AU164" s="109"/>
      <c r="AV164" s="109"/>
      <c r="AX164" s="10"/>
      <c r="BA164" s="109"/>
      <c r="BB164" s="109"/>
      <c r="BD164" s="10"/>
      <c r="BG164" s="109"/>
      <c r="BH164" s="109"/>
      <c r="BJ164" s="10"/>
      <c r="BM164" s="109"/>
      <c r="BN164" s="109"/>
      <c r="BP164" s="10"/>
      <c r="BS164" s="109"/>
      <c r="BT164" s="109"/>
      <c r="BV164" s="10"/>
      <c r="BY164" s="109"/>
      <c r="BZ164" s="109"/>
      <c r="CB164" s="10"/>
      <c r="CE164" s="109"/>
      <c r="CF164" s="109"/>
      <c r="CH164" s="10"/>
      <c r="CK164" s="109"/>
      <c r="CL164" s="109"/>
    </row>
    <row r="165" spans="1:90">
      <c r="A165" s="7" t="str">
        <f t="shared" si="21"/>
        <v>00320032</v>
      </c>
      <c r="B165" s="7" t="s">
        <v>2371</v>
      </c>
      <c r="C165" s="7" t="s">
        <v>2371</v>
      </c>
      <c r="D165" s="7">
        <v>156</v>
      </c>
      <c r="E165" s="7">
        <v>32</v>
      </c>
      <c r="F165" s="7" t="s">
        <v>1738</v>
      </c>
      <c r="G165" s="7">
        <v>32</v>
      </c>
      <c r="H165" s="7" t="s">
        <v>1298</v>
      </c>
      <c r="I165" s="37">
        <v>249182.32000000004</v>
      </c>
      <c r="J165" s="122">
        <v>1.809596160604578E-2</v>
      </c>
      <c r="K165" s="123">
        <f>X165</f>
        <v>293968.34941619023</v>
      </c>
      <c r="L165" s="122">
        <f>IF(K169&gt;0, K165/K169, 0)</f>
        <v>2.0440378444796774E-2</v>
      </c>
      <c r="M165" s="71"/>
      <c r="N165" s="10">
        <f>ROUND(M169*L165,0)</f>
        <v>142085</v>
      </c>
      <c r="O165" s="70">
        <v>125734</v>
      </c>
      <c r="P165" s="10">
        <f>N165-O165</f>
        <v>16351</v>
      </c>
      <c r="Q165" s="46">
        <f t="shared" si="29"/>
        <v>13.00443794041389</v>
      </c>
      <c r="R165" s="10">
        <v>17</v>
      </c>
      <c r="S165" s="7">
        <f t="shared" si="22"/>
        <v>0</v>
      </c>
      <c r="T165" s="124">
        <f t="shared" si="23"/>
        <v>32</v>
      </c>
      <c r="U165" s="124">
        <f t="shared" si="24"/>
        <v>32</v>
      </c>
      <c r="V165" s="124">
        <f t="shared" si="25"/>
        <v>156</v>
      </c>
      <c r="W165" s="124">
        <f t="shared" si="26"/>
        <v>20</v>
      </c>
      <c r="X165" s="124">
        <f t="shared" si="27"/>
        <v>293968.34941619023</v>
      </c>
      <c r="Y165" s="264">
        <f t="shared" si="28"/>
        <v>156</v>
      </c>
      <c r="Z165" s="10">
        <v>32</v>
      </c>
      <c r="AA165" s="7">
        <v>32</v>
      </c>
      <c r="AB165" s="7">
        <v>156</v>
      </c>
      <c r="AC165" s="109">
        <v>20</v>
      </c>
      <c r="AD165" s="109">
        <v>293968.34941619023</v>
      </c>
      <c r="AE165" s="125"/>
      <c r="AF165" s="10"/>
      <c r="AI165" s="109"/>
      <c r="AJ165" s="109"/>
      <c r="AL165" s="10"/>
      <c r="AO165" s="109"/>
      <c r="AP165" s="109"/>
      <c r="AR165" s="10"/>
      <c r="AU165" s="109"/>
      <c r="AV165" s="109"/>
      <c r="AX165" s="10"/>
      <c r="BA165" s="109"/>
      <c r="BB165" s="109"/>
      <c r="BD165" s="10"/>
      <c r="BG165" s="109"/>
      <c r="BH165" s="109"/>
      <c r="BJ165" s="10"/>
      <c r="BM165" s="109"/>
      <c r="BN165" s="109"/>
      <c r="BP165" s="10"/>
      <c r="BS165" s="109"/>
      <c r="BT165" s="109"/>
      <c r="BV165" s="10"/>
      <c r="BY165" s="109"/>
      <c r="BZ165" s="109"/>
      <c r="CB165" s="10"/>
      <c r="CE165" s="109"/>
      <c r="CF165" s="109"/>
      <c r="CH165" s="10"/>
      <c r="CK165" s="109"/>
      <c r="CL165" s="109"/>
    </row>
    <row r="166" spans="1:90">
      <c r="A166" s="7" t="str">
        <f t="shared" si="21"/>
        <v>00320622</v>
      </c>
      <c r="B166" s="7" t="s">
        <v>2371</v>
      </c>
      <c r="C166" s="7" t="s">
        <v>2702</v>
      </c>
      <c r="D166" s="7">
        <v>157</v>
      </c>
      <c r="E166" s="7">
        <v>32</v>
      </c>
      <c r="F166" s="7" t="s">
        <v>1738</v>
      </c>
      <c r="G166" s="7">
        <v>622</v>
      </c>
      <c r="H166" s="7" t="s">
        <v>1629</v>
      </c>
      <c r="I166" s="37">
        <v>12272281</v>
      </c>
      <c r="J166" s="122">
        <v>0.89122986652746905</v>
      </c>
      <c r="K166" s="123">
        <f t="shared" si="30"/>
        <v>12940178.889133006</v>
      </c>
      <c r="L166" s="122">
        <f>IF(K169&gt;0, K166/K169, 0)</f>
        <v>0.89976405338377274</v>
      </c>
      <c r="M166" s="71"/>
      <c r="N166" s="10">
        <f>ROUND(M169*L166,0)</f>
        <v>6254416</v>
      </c>
      <c r="O166" s="70">
        <v>6192445</v>
      </c>
      <c r="P166" s="10">
        <f>N166-O166</f>
        <v>61971</v>
      </c>
      <c r="Q166" s="46">
        <f t="shared" si="29"/>
        <v>1.0007517224618063</v>
      </c>
      <c r="R166" s="10">
        <v>1271</v>
      </c>
      <c r="S166" s="7">
        <f t="shared" si="22"/>
        <v>0</v>
      </c>
      <c r="T166" s="124">
        <f t="shared" si="23"/>
        <v>32</v>
      </c>
      <c r="U166" s="124">
        <f t="shared" si="24"/>
        <v>622</v>
      </c>
      <c r="V166" s="124">
        <f t="shared" si="25"/>
        <v>157</v>
      </c>
      <c r="W166" s="124">
        <f t="shared" si="26"/>
        <v>1301.4526952709</v>
      </c>
      <c r="X166" s="124">
        <f t="shared" si="27"/>
        <v>12940178.889133006</v>
      </c>
      <c r="Y166" s="264">
        <f t="shared" si="28"/>
        <v>157</v>
      </c>
      <c r="Z166" s="10">
        <v>32</v>
      </c>
      <c r="AA166" s="7">
        <v>622</v>
      </c>
      <c r="AB166" s="7">
        <v>157</v>
      </c>
      <c r="AC166" s="109">
        <v>1301.4526952709</v>
      </c>
      <c r="AD166" s="109">
        <v>12940178.889133006</v>
      </c>
      <c r="AE166" s="125"/>
      <c r="AF166" s="10"/>
      <c r="AI166" s="109"/>
      <c r="AJ166" s="109"/>
      <c r="AL166" s="10"/>
      <c r="AO166" s="109"/>
      <c r="AP166" s="109"/>
      <c r="AR166" s="10"/>
      <c r="AU166" s="109"/>
      <c r="AV166" s="109"/>
      <c r="AX166" s="10"/>
      <c r="BA166" s="109"/>
      <c r="BB166" s="109"/>
      <c r="BD166" s="10"/>
      <c r="BG166" s="109"/>
      <c r="BH166" s="109"/>
      <c r="BJ166" s="10"/>
      <c r="BM166" s="109"/>
      <c r="BN166" s="109"/>
      <c r="BP166" s="10"/>
      <c r="BS166" s="109"/>
      <c r="BT166" s="109"/>
      <c r="BV166" s="10"/>
      <c r="BY166" s="109"/>
      <c r="BZ166" s="109"/>
      <c r="CB166" s="10"/>
      <c r="CE166" s="109"/>
      <c r="CF166" s="109"/>
      <c r="CH166" s="10"/>
      <c r="CK166" s="109"/>
      <c r="CL166" s="109"/>
    </row>
    <row r="167" spans="1:90">
      <c r="A167" s="7" t="str">
        <f t="shared" si="21"/>
        <v>00320805</v>
      </c>
      <c r="B167" s="7" t="s">
        <v>2371</v>
      </c>
      <c r="C167" s="7" t="s">
        <v>2753</v>
      </c>
      <c r="D167" s="7">
        <v>158</v>
      </c>
      <c r="E167" s="7">
        <v>32</v>
      </c>
      <c r="F167" s="7" t="s">
        <v>1738</v>
      </c>
      <c r="G167" s="7">
        <v>805</v>
      </c>
      <c r="H167" s="7" t="s">
        <v>1680</v>
      </c>
      <c r="I167" s="37">
        <v>1248588</v>
      </c>
      <c r="J167" s="122">
        <v>9.0674171866485104E-2</v>
      </c>
      <c r="K167" s="123">
        <f t="shared" si="30"/>
        <v>1147599.665506864</v>
      </c>
      <c r="L167" s="122">
        <f>IF(K169&gt;0, K167/K169, 0)</f>
        <v>7.9795568171430437E-2</v>
      </c>
      <c r="M167" s="71"/>
      <c r="N167" s="10">
        <f>ROUND(M169*L167,0)</f>
        <v>554673</v>
      </c>
      <c r="O167" s="70">
        <v>630022</v>
      </c>
      <c r="P167" s="10">
        <f>N167-O167</f>
        <v>-75349</v>
      </c>
      <c r="Q167" s="46">
        <f t="shared" si="29"/>
        <v>-11.959741088406437</v>
      </c>
      <c r="R167" s="10">
        <v>84</v>
      </c>
      <c r="S167" s="7">
        <f t="shared" si="22"/>
        <v>0</v>
      </c>
      <c r="T167" s="124">
        <f t="shared" si="23"/>
        <v>32</v>
      </c>
      <c r="U167" s="124">
        <f t="shared" si="24"/>
        <v>805</v>
      </c>
      <c r="V167" s="124">
        <f t="shared" si="25"/>
        <v>158</v>
      </c>
      <c r="W167" s="124">
        <f t="shared" si="26"/>
        <v>75.999999998100009</v>
      </c>
      <c r="X167" s="124">
        <f t="shared" si="27"/>
        <v>1147599.665506864</v>
      </c>
      <c r="Y167" s="264">
        <f t="shared" si="28"/>
        <v>158</v>
      </c>
      <c r="Z167" s="10">
        <v>32</v>
      </c>
      <c r="AA167" s="7">
        <v>805</v>
      </c>
      <c r="AB167" s="7">
        <v>158</v>
      </c>
      <c r="AC167" s="109">
        <v>75.999999998100009</v>
      </c>
      <c r="AD167" s="109">
        <v>1147599.665506864</v>
      </c>
      <c r="AE167" s="125"/>
      <c r="AF167" s="10"/>
      <c r="AI167" s="109"/>
      <c r="AJ167" s="109"/>
      <c r="AL167" s="10"/>
      <c r="AO167" s="109"/>
      <c r="AP167" s="109"/>
      <c r="AR167" s="10"/>
      <c r="AU167" s="109"/>
      <c r="AV167" s="109"/>
      <c r="AX167" s="10"/>
      <c r="BA167" s="109"/>
      <c r="BB167" s="109"/>
      <c r="BD167" s="10"/>
      <c r="BG167" s="109"/>
      <c r="BH167" s="109"/>
      <c r="BJ167" s="10"/>
      <c r="BM167" s="109"/>
      <c r="BN167" s="109"/>
      <c r="BP167" s="10"/>
      <c r="BS167" s="109"/>
      <c r="BT167" s="109"/>
      <c r="BV167" s="10"/>
      <c r="BY167" s="109"/>
      <c r="BZ167" s="109"/>
      <c r="CB167" s="10"/>
      <c r="CE167" s="109"/>
      <c r="CF167" s="109"/>
      <c r="CH167" s="10"/>
      <c r="CK167" s="109"/>
      <c r="CL167" s="109"/>
    </row>
    <row r="168" spans="1:90">
      <c r="A168" s="7" t="str">
        <f t="shared" si="21"/>
        <v>00320998</v>
      </c>
      <c r="B168" s="7" t="s">
        <v>2371</v>
      </c>
      <c r="C168" s="7" t="s">
        <v>2781</v>
      </c>
      <c r="D168" s="7">
        <v>159</v>
      </c>
      <c r="E168" s="7">
        <v>32</v>
      </c>
      <c r="F168" s="7" t="s">
        <v>2135</v>
      </c>
      <c r="G168" s="7">
        <v>998</v>
      </c>
      <c r="H168" s="7" t="s">
        <v>2135</v>
      </c>
      <c r="I168" s="37">
        <v>0</v>
      </c>
      <c r="J168" s="122">
        <v>0</v>
      </c>
      <c r="K168" s="123">
        <f t="shared" si="30"/>
        <v>0</v>
      </c>
      <c r="L168" s="122">
        <f>IF(K169&gt;0, K168/K169, 0)</f>
        <v>0</v>
      </c>
      <c r="M168" s="71"/>
      <c r="N168" s="10">
        <f>ROUND(M169*L168,0)</f>
        <v>0</v>
      </c>
      <c r="O168" s="70">
        <v>0</v>
      </c>
      <c r="P168" s="10">
        <f>N168-O168</f>
        <v>0</v>
      </c>
      <c r="Q168" s="46">
        <f t="shared" si="29"/>
        <v>0</v>
      </c>
      <c r="R168" s="10">
        <v>0</v>
      </c>
      <c r="S168" s="7">
        <f t="shared" si="22"/>
        <v>0</v>
      </c>
      <c r="T168" s="124">
        <f t="shared" si="23"/>
        <v>32</v>
      </c>
      <c r="U168" s="124">
        <f t="shared" si="24"/>
        <v>998</v>
      </c>
      <c r="V168" s="124">
        <f t="shared" si="25"/>
        <v>159</v>
      </c>
      <c r="W168" s="124">
        <f t="shared" si="26"/>
        <v>0</v>
      </c>
      <c r="X168" s="124">
        <f t="shared" si="27"/>
        <v>0</v>
      </c>
      <c r="Y168" s="264">
        <f t="shared" si="28"/>
        <v>159</v>
      </c>
      <c r="Z168" s="10">
        <v>32</v>
      </c>
      <c r="AA168" s="7">
        <v>998</v>
      </c>
      <c r="AB168" s="7">
        <v>159</v>
      </c>
      <c r="AC168" s="109">
        <v>0</v>
      </c>
      <c r="AD168" s="109">
        <v>0</v>
      </c>
      <c r="AE168" s="125"/>
      <c r="AF168" s="10"/>
      <c r="AI168" s="109"/>
      <c r="AJ168" s="109"/>
      <c r="AL168" s="10"/>
      <c r="AO168" s="109"/>
      <c r="AP168" s="109"/>
      <c r="AR168" s="10"/>
      <c r="AU168" s="109"/>
      <c r="AV168" s="109"/>
      <c r="AX168" s="10"/>
      <c r="BA168" s="109"/>
      <c r="BB168" s="109"/>
      <c r="BD168" s="10"/>
      <c r="BG168" s="109"/>
      <c r="BH168" s="109"/>
      <c r="BJ168" s="10"/>
      <c r="BM168" s="109"/>
      <c r="BN168" s="109"/>
      <c r="BP168" s="10"/>
      <c r="BS168" s="109"/>
      <c r="BT168" s="109"/>
      <c r="BV168" s="10"/>
      <c r="BY168" s="109"/>
      <c r="BZ168" s="109"/>
      <c r="CB168" s="10"/>
      <c r="CE168" s="109"/>
      <c r="CF168" s="109"/>
      <c r="CH168" s="10"/>
      <c r="CK168" s="109"/>
      <c r="CL168" s="109"/>
    </row>
    <row r="169" spans="1:90">
      <c r="A169" s="7" t="str">
        <f t="shared" si="21"/>
        <v>00320999</v>
      </c>
      <c r="B169" s="7" t="s">
        <v>2371</v>
      </c>
      <c r="C169" s="7" t="s">
        <v>2782</v>
      </c>
      <c r="D169" s="7">
        <v>160</v>
      </c>
      <c r="E169" s="11">
        <v>32</v>
      </c>
      <c r="F169" s="11" t="s">
        <v>1738</v>
      </c>
      <c r="G169" s="11">
        <v>999</v>
      </c>
      <c r="H169" s="11" t="s">
        <v>1132</v>
      </c>
      <c r="I169" s="105">
        <v>13770051.32</v>
      </c>
      <c r="J169" s="126">
        <v>0.99999999999999989</v>
      </c>
      <c r="K169" s="127">
        <f>SUM(K165:K168)</f>
        <v>14381746.904056061</v>
      </c>
      <c r="L169" s="126">
        <f>SUM(L165:L168)</f>
        <v>0.99999999999999989</v>
      </c>
      <c r="M169" s="105">
        <f>VLOOKUP(E169,town351,22)</f>
        <v>6951173</v>
      </c>
      <c r="N169" s="105">
        <f>SUM(N165:N168)</f>
        <v>6951174</v>
      </c>
      <c r="O169" s="128">
        <v>6948201</v>
      </c>
      <c r="P169" s="105">
        <f>SUM(P165:P168)</f>
        <v>2973</v>
      </c>
      <c r="Q169" s="45">
        <f t="shared" si="29"/>
        <v>4.2788054058885173E-2</v>
      </c>
      <c r="R169" s="105">
        <v>1372</v>
      </c>
      <c r="S169" s="7">
        <f t="shared" si="22"/>
        <v>0</v>
      </c>
      <c r="T169" s="124">
        <f t="shared" si="23"/>
        <v>32</v>
      </c>
      <c r="U169" s="124">
        <f t="shared" si="24"/>
        <v>999</v>
      </c>
      <c r="V169" s="124">
        <f t="shared" si="25"/>
        <v>160</v>
      </c>
      <c r="W169" s="124">
        <f t="shared" si="26"/>
        <v>1397.4526952690001</v>
      </c>
      <c r="X169" s="124">
        <f t="shared" si="27"/>
        <v>14381746.904056061</v>
      </c>
      <c r="Y169" s="264">
        <f t="shared" si="28"/>
        <v>160</v>
      </c>
      <c r="Z169" s="10">
        <v>32</v>
      </c>
      <c r="AA169" s="7">
        <v>999</v>
      </c>
      <c r="AB169" s="7">
        <v>160</v>
      </c>
      <c r="AC169" s="109">
        <v>1397.4526952690001</v>
      </c>
      <c r="AD169" s="109">
        <v>14381746.904056061</v>
      </c>
      <c r="AE169" s="125"/>
      <c r="AF169" s="10"/>
      <c r="AI169" s="109"/>
      <c r="AJ169" s="109"/>
      <c r="AL169" s="10"/>
      <c r="AO169" s="109"/>
      <c r="AP169" s="109"/>
      <c r="AR169" s="10"/>
      <c r="AU169" s="109"/>
      <c r="AV169" s="109"/>
      <c r="AX169" s="10"/>
      <c r="BA169" s="109"/>
      <c r="BB169" s="109"/>
      <c r="BD169" s="10"/>
      <c r="BG169" s="109"/>
      <c r="BH169" s="109"/>
      <c r="BJ169" s="10"/>
      <c r="BM169" s="109"/>
      <c r="BN169" s="109"/>
      <c r="BP169" s="10"/>
      <c r="BS169" s="109"/>
      <c r="BT169" s="109"/>
      <c r="BV169" s="10"/>
      <c r="BY169" s="109"/>
      <c r="BZ169" s="109"/>
      <c r="CB169" s="10"/>
      <c r="CE169" s="109"/>
      <c r="CF169" s="109"/>
      <c r="CH169" s="10"/>
      <c r="CK169" s="109"/>
      <c r="CL169" s="109"/>
    </row>
    <row r="170" spans="1:90">
      <c r="A170" s="7" t="str">
        <f t="shared" si="21"/>
        <v>00330033</v>
      </c>
      <c r="B170" s="7" t="s">
        <v>2372</v>
      </c>
      <c r="C170" s="7" t="s">
        <v>2372</v>
      </c>
      <c r="D170" s="7">
        <v>161</v>
      </c>
      <c r="E170" s="7">
        <v>33</v>
      </c>
      <c r="F170" s="7" t="s">
        <v>1739</v>
      </c>
      <c r="G170" s="7">
        <v>33</v>
      </c>
      <c r="H170" s="7" t="s">
        <v>1299</v>
      </c>
      <c r="I170" s="37">
        <v>105367.36000000002</v>
      </c>
      <c r="J170" s="122">
        <v>7.6852065206843942E-2</v>
      </c>
      <c r="K170" s="123">
        <f>X170</f>
        <v>80501.000061537285</v>
      </c>
      <c r="L170" s="122">
        <f>IF(K174&gt;0, K170/K174, 0)</f>
        <v>6.2453402624004985E-2</v>
      </c>
      <c r="M170" s="71"/>
      <c r="N170" s="10">
        <f>ROUND(M174*L170,0)</f>
        <v>67637</v>
      </c>
      <c r="O170" s="70">
        <v>88144</v>
      </c>
      <c r="P170" s="10">
        <f>N170-O170</f>
        <v>-20507</v>
      </c>
      <c r="Q170" s="46">
        <f t="shared" si="29"/>
        <v>-23.265338536939552</v>
      </c>
      <c r="R170" s="10">
        <v>8</v>
      </c>
      <c r="S170" s="7">
        <f t="shared" si="22"/>
        <v>0</v>
      </c>
      <c r="T170" s="124">
        <f t="shared" si="23"/>
        <v>33</v>
      </c>
      <c r="U170" s="124">
        <f t="shared" si="24"/>
        <v>33</v>
      </c>
      <c r="V170" s="124">
        <f t="shared" si="25"/>
        <v>161</v>
      </c>
      <c r="W170" s="124">
        <f t="shared" si="26"/>
        <v>6</v>
      </c>
      <c r="X170" s="124">
        <f t="shared" si="27"/>
        <v>80501.000061537285</v>
      </c>
      <c r="Y170" s="264">
        <f t="shared" si="28"/>
        <v>161</v>
      </c>
      <c r="Z170" s="10">
        <v>33</v>
      </c>
      <c r="AA170" s="7">
        <v>33</v>
      </c>
      <c r="AB170" s="7">
        <v>161</v>
      </c>
      <c r="AC170" s="109">
        <v>6</v>
      </c>
      <c r="AD170" s="109">
        <v>80501.000061537285</v>
      </c>
      <c r="AE170" s="125"/>
      <c r="AF170" s="10"/>
      <c r="AI170" s="109"/>
      <c r="AJ170" s="109"/>
      <c r="AL170" s="10"/>
      <c r="AO170" s="109"/>
      <c r="AP170" s="109"/>
      <c r="AR170" s="10"/>
      <c r="AU170" s="109"/>
      <c r="AV170" s="109"/>
      <c r="AX170" s="10"/>
      <c r="BA170" s="109"/>
      <c r="BB170" s="109"/>
      <c r="BD170" s="10"/>
      <c r="BG170" s="109"/>
      <c r="BH170" s="109"/>
      <c r="BJ170" s="10"/>
      <c r="BM170" s="109"/>
      <c r="BN170" s="109"/>
      <c r="BP170" s="10"/>
      <c r="BS170" s="109"/>
      <c r="BT170" s="109"/>
      <c r="BV170" s="10"/>
      <c r="BY170" s="109"/>
      <c r="BZ170" s="109"/>
      <c r="CB170" s="10"/>
      <c r="CE170" s="109"/>
      <c r="CF170" s="109"/>
      <c r="CH170" s="10"/>
      <c r="CK170" s="109"/>
      <c r="CL170" s="109"/>
    </row>
    <row r="171" spans="1:90">
      <c r="A171" s="7" t="str">
        <f t="shared" si="21"/>
        <v>00330672</v>
      </c>
      <c r="B171" s="7" t="s">
        <v>2372</v>
      </c>
      <c r="C171" s="7" t="s">
        <v>2715</v>
      </c>
      <c r="D171" s="7">
        <v>162</v>
      </c>
      <c r="E171" s="7">
        <v>33</v>
      </c>
      <c r="F171" s="7" t="s">
        <v>1739</v>
      </c>
      <c r="G171" s="7">
        <v>672</v>
      </c>
      <c r="H171" s="7" t="s">
        <v>1642</v>
      </c>
      <c r="I171" s="37">
        <v>1265674</v>
      </c>
      <c r="J171" s="122">
        <v>0.92314793479315593</v>
      </c>
      <c r="K171" s="123">
        <f t="shared" si="30"/>
        <v>1208476.0080638039</v>
      </c>
      <c r="L171" s="122">
        <f>IF(K174&gt;0, K171/K174, 0)</f>
        <v>0.93754659737599499</v>
      </c>
      <c r="M171" s="71"/>
      <c r="N171" s="10">
        <f>ROUND(M174*L171,0)</f>
        <v>1015369</v>
      </c>
      <c r="O171" s="70">
        <v>1058789</v>
      </c>
      <c r="P171" s="10">
        <f>N171-O171</f>
        <v>-43420</v>
      </c>
      <c r="Q171" s="46">
        <f t="shared" si="29"/>
        <v>-4.1009115130587865</v>
      </c>
      <c r="R171" s="10">
        <v>124</v>
      </c>
      <c r="S171" s="7">
        <f t="shared" si="22"/>
        <v>0</v>
      </c>
      <c r="T171" s="124">
        <f t="shared" si="23"/>
        <v>33</v>
      </c>
      <c r="U171" s="124">
        <f t="shared" si="24"/>
        <v>672</v>
      </c>
      <c r="V171" s="124">
        <f t="shared" si="25"/>
        <v>162</v>
      </c>
      <c r="W171" s="124">
        <f t="shared" si="26"/>
        <v>115.76365663279999</v>
      </c>
      <c r="X171" s="124">
        <f t="shared" si="27"/>
        <v>1208476.0080638039</v>
      </c>
      <c r="Y171" s="264">
        <f t="shared" si="28"/>
        <v>162</v>
      </c>
      <c r="Z171" s="10">
        <v>33</v>
      </c>
      <c r="AA171" s="7">
        <v>672</v>
      </c>
      <c r="AB171" s="7">
        <v>162</v>
      </c>
      <c r="AC171" s="109">
        <v>115.76365663279999</v>
      </c>
      <c r="AD171" s="109">
        <v>1208476.0080638039</v>
      </c>
      <c r="AE171" s="125"/>
      <c r="AF171" s="10"/>
      <c r="AI171" s="109"/>
      <c r="AJ171" s="109"/>
      <c r="AL171" s="10"/>
      <c r="AO171" s="109"/>
      <c r="AP171" s="109"/>
      <c r="AR171" s="10"/>
      <c r="AU171" s="109"/>
      <c r="AV171" s="109"/>
      <c r="AX171" s="10"/>
      <c r="BA171" s="109"/>
      <c r="BB171" s="109"/>
      <c r="BD171" s="10"/>
      <c r="BG171" s="109"/>
      <c r="BH171" s="109"/>
      <c r="BJ171" s="10"/>
      <c r="BM171" s="109"/>
      <c r="BN171" s="109"/>
      <c r="BP171" s="10"/>
      <c r="BS171" s="109"/>
      <c r="BT171" s="109"/>
      <c r="BV171" s="10"/>
      <c r="BY171" s="109"/>
      <c r="BZ171" s="109"/>
      <c r="CB171" s="10"/>
      <c r="CE171" s="109"/>
      <c r="CF171" s="109"/>
      <c r="CH171" s="10"/>
      <c r="CK171" s="109"/>
      <c r="CL171" s="109"/>
    </row>
    <row r="172" spans="1:90">
      <c r="A172" s="7" t="str">
        <f t="shared" si="21"/>
        <v>00330998</v>
      </c>
      <c r="B172" s="7" t="s">
        <v>2372</v>
      </c>
      <c r="C172" s="7" t="s">
        <v>2781</v>
      </c>
      <c r="D172" s="7">
        <v>163</v>
      </c>
      <c r="E172" s="7">
        <v>33</v>
      </c>
      <c r="F172" s="7" t="s">
        <v>2135</v>
      </c>
      <c r="G172" s="7">
        <v>998</v>
      </c>
      <c r="H172" s="7" t="s">
        <v>2135</v>
      </c>
      <c r="I172" s="37">
        <v>0</v>
      </c>
      <c r="J172" s="122">
        <v>0</v>
      </c>
      <c r="K172" s="123">
        <f t="shared" si="30"/>
        <v>0</v>
      </c>
      <c r="L172" s="122">
        <f>IF(K174&gt;0, K172/K174, 0)</f>
        <v>0</v>
      </c>
      <c r="M172" s="71"/>
      <c r="N172" s="10">
        <f>ROUND(M174*L172,0)</f>
        <v>0</v>
      </c>
      <c r="O172" s="70">
        <v>0</v>
      </c>
      <c r="P172" s="10">
        <f>N172-O172</f>
        <v>0</v>
      </c>
      <c r="Q172" s="46">
        <f t="shared" si="29"/>
        <v>0</v>
      </c>
      <c r="R172" s="10">
        <v>0</v>
      </c>
      <c r="S172" s="7">
        <f t="shared" si="22"/>
        <v>0</v>
      </c>
      <c r="T172" s="124">
        <f t="shared" si="23"/>
        <v>33</v>
      </c>
      <c r="U172" s="124">
        <f t="shared" si="24"/>
        <v>998</v>
      </c>
      <c r="V172" s="124">
        <f t="shared" si="25"/>
        <v>163</v>
      </c>
      <c r="W172" s="124">
        <f t="shared" si="26"/>
        <v>0</v>
      </c>
      <c r="X172" s="124">
        <f t="shared" si="27"/>
        <v>0</v>
      </c>
      <c r="Y172" s="264">
        <f t="shared" si="28"/>
        <v>163</v>
      </c>
      <c r="Z172" s="10">
        <v>33</v>
      </c>
      <c r="AA172" s="7">
        <v>998</v>
      </c>
      <c r="AB172" s="7">
        <v>163</v>
      </c>
      <c r="AC172" s="109">
        <v>0</v>
      </c>
      <c r="AD172" s="109">
        <v>0</v>
      </c>
      <c r="AE172" s="125"/>
      <c r="AF172" s="10"/>
      <c r="AI172" s="109"/>
      <c r="AJ172" s="109"/>
      <c r="AL172" s="10"/>
      <c r="AO172" s="109"/>
      <c r="AP172" s="109"/>
      <c r="AR172" s="10"/>
      <c r="AU172" s="109"/>
      <c r="AV172" s="109"/>
      <c r="AX172" s="10"/>
      <c r="BA172" s="109"/>
      <c r="BB172" s="109"/>
      <c r="BD172" s="10"/>
      <c r="BG172" s="109"/>
      <c r="BH172" s="109"/>
      <c r="BJ172" s="10"/>
      <c r="BM172" s="109"/>
      <c r="BN172" s="109"/>
      <c r="BP172" s="10"/>
      <c r="BS172" s="109"/>
      <c r="BT172" s="109"/>
      <c r="BV172" s="10"/>
      <c r="BY172" s="109"/>
      <c r="BZ172" s="109"/>
      <c r="CB172" s="10"/>
      <c r="CE172" s="109"/>
      <c r="CF172" s="109"/>
      <c r="CH172" s="10"/>
      <c r="CK172" s="109"/>
      <c r="CL172" s="109"/>
    </row>
    <row r="173" spans="1:90">
      <c r="A173" s="7" t="str">
        <f t="shared" si="21"/>
        <v>00330998</v>
      </c>
      <c r="B173" s="7" t="s">
        <v>2372</v>
      </c>
      <c r="C173" s="7" t="s">
        <v>2781</v>
      </c>
      <c r="D173" s="7">
        <v>164</v>
      </c>
      <c r="E173" s="7">
        <v>33</v>
      </c>
      <c r="F173" s="7" t="s">
        <v>2135</v>
      </c>
      <c r="G173" s="7">
        <v>998</v>
      </c>
      <c r="H173" s="7" t="s">
        <v>2135</v>
      </c>
      <c r="I173" s="37">
        <v>0</v>
      </c>
      <c r="J173" s="122">
        <v>0</v>
      </c>
      <c r="K173" s="123">
        <f t="shared" si="30"/>
        <v>0</v>
      </c>
      <c r="L173" s="122">
        <f>IF(K174&gt;0, K173/K174, 0)</f>
        <v>0</v>
      </c>
      <c r="M173" s="71"/>
      <c r="N173" s="10">
        <f>ROUND(M174*L173,0)</f>
        <v>0</v>
      </c>
      <c r="O173" s="70">
        <v>0</v>
      </c>
      <c r="P173" s="10">
        <f>N173-O173</f>
        <v>0</v>
      </c>
      <c r="Q173" s="46">
        <f t="shared" si="29"/>
        <v>0</v>
      </c>
      <c r="R173" s="10">
        <v>0</v>
      </c>
      <c r="S173" s="7">
        <f t="shared" si="22"/>
        <v>0</v>
      </c>
      <c r="T173" s="124">
        <f t="shared" si="23"/>
        <v>33</v>
      </c>
      <c r="U173" s="124">
        <f t="shared" si="24"/>
        <v>998</v>
      </c>
      <c r="V173" s="124">
        <f t="shared" si="25"/>
        <v>164</v>
      </c>
      <c r="W173" s="124">
        <f t="shared" si="26"/>
        <v>0</v>
      </c>
      <c r="X173" s="124">
        <f t="shared" si="27"/>
        <v>0</v>
      </c>
      <c r="Y173" s="264">
        <f t="shared" si="28"/>
        <v>164</v>
      </c>
      <c r="Z173" s="10">
        <v>33</v>
      </c>
      <c r="AA173" s="7">
        <v>998</v>
      </c>
      <c r="AB173" s="7">
        <v>164</v>
      </c>
      <c r="AC173" s="109">
        <v>0</v>
      </c>
      <c r="AD173" s="109">
        <v>0</v>
      </c>
      <c r="AE173" s="125"/>
      <c r="AF173" s="10"/>
      <c r="AI173" s="109"/>
      <c r="AJ173" s="109"/>
      <c r="AL173" s="10"/>
      <c r="AO173" s="109"/>
      <c r="AP173" s="109"/>
      <c r="AR173" s="10"/>
      <c r="AU173" s="109"/>
      <c r="AV173" s="109"/>
      <c r="AX173" s="10"/>
      <c r="BA173" s="109"/>
      <c r="BB173" s="109"/>
      <c r="BD173" s="10"/>
      <c r="BG173" s="109"/>
      <c r="BH173" s="109"/>
      <c r="BJ173" s="10"/>
      <c r="BM173" s="109"/>
      <c r="BN173" s="109"/>
      <c r="BP173" s="10"/>
      <c r="BS173" s="109"/>
      <c r="BT173" s="109"/>
      <c r="BV173" s="10"/>
      <c r="BY173" s="109"/>
      <c r="BZ173" s="109"/>
      <c r="CB173" s="10"/>
      <c r="CE173" s="109"/>
      <c r="CF173" s="109"/>
      <c r="CH173" s="10"/>
      <c r="CK173" s="109"/>
      <c r="CL173" s="109"/>
    </row>
    <row r="174" spans="1:90">
      <c r="A174" s="7" t="str">
        <f t="shared" si="21"/>
        <v>00330999</v>
      </c>
      <c r="B174" s="7" t="s">
        <v>2372</v>
      </c>
      <c r="C174" s="7" t="s">
        <v>2782</v>
      </c>
      <c r="D174" s="7">
        <v>165</v>
      </c>
      <c r="E174" s="11">
        <v>33</v>
      </c>
      <c r="F174" s="11" t="s">
        <v>1739</v>
      </c>
      <c r="G174" s="11">
        <v>999</v>
      </c>
      <c r="H174" s="11" t="s">
        <v>1132</v>
      </c>
      <c r="I174" s="105">
        <v>1371041.36</v>
      </c>
      <c r="J174" s="126">
        <v>0.99999999999999989</v>
      </c>
      <c r="K174" s="127">
        <f>SUM(K170:K173)</f>
        <v>1288977.0081253413</v>
      </c>
      <c r="L174" s="126">
        <f>SUM(L170:L173)</f>
        <v>1</v>
      </c>
      <c r="M174" s="105">
        <f>VLOOKUP(E174,town351,22)</f>
        <v>1083006</v>
      </c>
      <c r="N174" s="105">
        <f>SUM(N170:N173)</f>
        <v>1083006</v>
      </c>
      <c r="O174" s="128">
        <v>1146933</v>
      </c>
      <c r="P174" s="105">
        <f>SUM(P170:P173)</f>
        <v>-63927</v>
      </c>
      <c r="Q174" s="45">
        <f t="shared" si="29"/>
        <v>-5.5737344727198534</v>
      </c>
      <c r="R174" s="105">
        <v>132</v>
      </c>
      <c r="S174" s="7">
        <f t="shared" si="22"/>
        <v>0</v>
      </c>
      <c r="T174" s="124">
        <f t="shared" si="23"/>
        <v>33</v>
      </c>
      <c r="U174" s="124">
        <f t="shared" si="24"/>
        <v>999</v>
      </c>
      <c r="V174" s="124">
        <f t="shared" si="25"/>
        <v>165</v>
      </c>
      <c r="W174" s="124">
        <f t="shared" si="26"/>
        <v>121.76365663279999</v>
      </c>
      <c r="X174" s="124">
        <f t="shared" si="27"/>
        <v>1288977.0081253413</v>
      </c>
      <c r="Y174" s="264">
        <f t="shared" si="28"/>
        <v>165</v>
      </c>
      <c r="Z174" s="10">
        <v>33</v>
      </c>
      <c r="AA174" s="7">
        <v>999</v>
      </c>
      <c r="AB174" s="7">
        <v>165</v>
      </c>
      <c r="AC174" s="109">
        <v>121.76365663279999</v>
      </c>
      <c r="AD174" s="109">
        <v>1288977.0081253413</v>
      </c>
      <c r="AE174" s="125"/>
      <c r="AF174" s="10"/>
      <c r="AI174" s="109"/>
      <c r="AJ174" s="109"/>
      <c r="AL174" s="10"/>
      <c r="AO174" s="109"/>
      <c r="AP174" s="109"/>
      <c r="AR174" s="10"/>
      <c r="AU174" s="109"/>
      <c r="AV174" s="109"/>
      <c r="AX174" s="10"/>
      <c r="BA174" s="109"/>
      <c r="BB174" s="109"/>
      <c r="BD174" s="10"/>
      <c r="BG174" s="109"/>
      <c r="BH174" s="109"/>
      <c r="BJ174" s="10"/>
      <c r="BM174" s="109"/>
      <c r="BN174" s="109"/>
      <c r="BP174" s="10"/>
      <c r="BS174" s="109"/>
      <c r="BT174" s="109"/>
      <c r="BV174" s="10"/>
      <c r="BY174" s="109"/>
      <c r="BZ174" s="109"/>
      <c r="CB174" s="10"/>
      <c r="CE174" s="109"/>
      <c r="CF174" s="109"/>
      <c r="CH174" s="10"/>
      <c r="CK174" s="109"/>
      <c r="CL174" s="109"/>
    </row>
    <row r="175" spans="1:90">
      <c r="A175" s="7" t="str">
        <f t="shared" si="21"/>
        <v>00340034</v>
      </c>
      <c r="B175" s="7" t="s">
        <v>2373</v>
      </c>
      <c r="C175" s="7" t="s">
        <v>2373</v>
      </c>
      <c r="D175" s="7">
        <v>166</v>
      </c>
      <c r="E175" s="7">
        <v>34</v>
      </c>
      <c r="F175" s="7" t="s">
        <v>1740</v>
      </c>
      <c r="G175" s="7">
        <v>34</v>
      </c>
      <c r="H175" s="7" t="s">
        <v>1300</v>
      </c>
      <c r="I175" s="37">
        <v>27251.545720000002</v>
      </c>
      <c r="J175" s="122">
        <v>2.7469190860899485E-3</v>
      </c>
      <c r="K175" s="123">
        <f>X175</f>
        <v>13854.834543589546</v>
      </c>
      <c r="L175" s="122">
        <f>IF(K179&gt;0, K175/K179, 0)</f>
        <v>1.3952720816993642E-3</v>
      </c>
      <c r="M175" s="71"/>
      <c r="N175" s="10">
        <f>ROUND(M179*L175,0)</f>
        <v>11515</v>
      </c>
      <c r="O175" s="70">
        <v>22684</v>
      </c>
      <c r="P175" s="10">
        <f>N175-O175</f>
        <v>-11169</v>
      </c>
      <c r="Q175" s="46">
        <f t="shared" si="29"/>
        <v>-49.237347910421441</v>
      </c>
      <c r="R175" s="10">
        <v>2</v>
      </c>
      <c r="S175" s="7">
        <f t="shared" si="22"/>
        <v>0</v>
      </c>
      <c r="T175" s="124">
        <f t="shared" si="23"/>
        <v>34</v>
      </c>
      <c r="U175" s="124">
        <f t="shared" si="24"/>
        <v>34</v>
      </c>
      <c r="V175" s="124">
        <f t="shared" si="25"/>
        <v>166</v>
      </c>
      <c r="W175" s="124">
        <f t="shared" si="26"/>
        <v>1</v>
      </c>
      <c r="X175" s="124">
        <f t="shared" si="27"/>
        <v>13854.834543589546</v>
      </c>
      <c r="Y175" s="264">
        <f t="shared" si="28"/>
        <v>166</v>
      </c>
      <c r="Z175" s="10">
        <v>34</v>
      </c>
      <c r="AA175" s="7">
        <v>34</v>
      </c>
      <c r="AB175" s="7">
        <v>166</v>
      </c>
      <c r="AC175" s="109">
        <v>1</v>
      </c>
      <c r="AD175" s="109">
        <v>13854.834543589546</v>
      </c>
      <c r="AE175" s="125"/>
      <c r="AF175" s="10"/>
      <c r="AI175" s="109"/>
      <c r="AJ175" s="109"/>
      <c r="AL175" s="10"/>
      <c r="AO175" s="109"/>
      <c r="AP175" s="109"/>
      <c r="AR175" s="10"/>
      <c r="AU175" s="109"/>
      <c r="AV175" s="109"/>
      <c r="AX175" s="10"/>
      <c r="BA175" s="109"/>
      <c r="BB175" s="109"/>
      <c r="BD175" s="10"/>
      <c r="BG175" s="109"/>
      <c r="BH175" s="109"/>
      <c r="BJ175" s="10"/>
      <c r="BM175" s="109"/>
      <c r="BN175" s="109"/>
      <c r="BP175" s="10"/>
      <c r="BS175" s="109"/>
      <c r="BT175" s="109"/>
      <c r="BV175" s="10"/>
      <c r="BY175" s="109"/>
      <c r="BZ175" s="109"/>
      <c r="CB175" s="10"/>
      <c r="CE175" s="109"/>
      <c r="CF175" s="109"/>
      <c r="CH175" s="10"/>
      <c r="CK175" s="109"/>
      <c r="CL175" s="109"/>
    </row>
    <row r="176" spans="1:90">
      <c r="A176" s="7" t="str">
        <f t="shared" si="21"/>
        <v>00340725</v>
      </c>
      <c r="B176" s="7" t="s">
        <v>2373</v>
      </c>
      <c r="C176" s="7" t="s">
        <v>2732</v>
      </c>
      <c r="D176" s="7">
        <v>167</v>
      </c>
      <c r="E176" s="7">
        <v>34</v>
      </c>
      <c r="F176" s="7" t="s">
        <v>1740</v>
      </c>
      <c r="G176" s="7">
        <v>725</v>
      </c>
      <c r="H176" s="7" t="s">
        <v>1659</v>
      </c>
      <c r="I176" s="37">
        <v>9736250</v>
      </c>
      <c r="J176" s="122">
        <v>0.98140088003577863</v>
      </c>
      <c r="K176" s="123">
        <f t="shared" si="30"/>
        <v>9714100.3403017316</v>
      </c>
      <c r="L176" s="122">
        <f>IF(K179&gt;0, K176/K179, 0)</f>
        <v>0.97827317684717319</v>
      </c>
      <c r="M176" s="71"/>
      <c r="N176" s="10">
        <f>ROUND(M179*L176,0)</f>
        <v>8073490</v>
      </c>
      <c r="O176" s="70">
        <v>8104449</v>
      </c>
      <c r="P176" s="10">
        <f>N176-O176</f>
        <v>-30959</v>
      </c>
      <c r="Q176" s="46">
        <f t="shared" si="29"/>
        <v>-0.38200005947350646</v>
      </c>
      <c r="R176" s="10">
        <v>1030</v>
      </c>
      <c r="S176" s="7">
        <f t="shared" si="22"/>
        <v>0</v>
      </c>
      <c r="T176" s="124">
        <f t="shared" si="23"/>
        <v>34</v>
      </c>
      <c r="U176" s="124">
        <f t="shared" si="24"/>
        <v>725</v>
      </c>
      <c r="V176" s="124">
        <f t="shared" si="25"/>
        <v>167</v>
      </c>
      <c r="W176" s="124">
        <f t="shared" si="26"/>
        <v>1000.9978884011</v>
      </c>
      <c r="X176" s="124">
        <f t="shared" si="27"/>
        <v>9714100.3403017316</v>
      </c>
      <c r="Y176" s="264">
        <f t="shared" si="28"/>
        <v>167</v>
      </c>
      <c r="Z176" s="10">
        <v>34</v>
      </c>
      <c r="AA176" s="7">
        <v>725</v>
      </c>
      <c r="AB176" s="7">
        <v>167</v>
      </c>
      <c r="AC176" s="109">
        <v>1000.9978884011</v>
      </c>
      <c r="AD176" s="109">
        <v>9714100.3403017316</v>
      </c>
      <c r="AE176" s="125"/>
      <c r="AF176" s="10"/>
      <c r="AI176" s="109"/>
      <c r="AJ176" s="109"/>
      <c r="AL176" s="10"/>
      <c r="AO176" s="109"/>
      <c r="AP176" s="109"/>
      <c r="AR176" s="10"/>
      <c r="AU176" s="109"/>
      <c r="AV176" s="109"/>
      <c r="AX176" s="10"/>
      <c r="BA176" s="109"/>
      <c r="BB176" s="109"/>
      <c r="BD176" s="10"/>
      <c r="BG176" s="109"/>
      <c r="BH176" s="109"/>
      <c r="BJ176" s="10"/>
      <c r="BM176" s="109"/>
      <c r="BN176" s="109"/>
      <c r="BP176" s="10"/>
      <c r="BS176" s="109"/>
      <c r="BT176" s="109"/>
      <c r="BV176" s="10"/>
      <c r="BY176" s="109"/>
      <c r="BZ176" s="109"/>
      <c r="CB176" s="10"/>
      <c r="CE176" s="109"/>
      <c r="CF176" s="109"/>
      <c r="CH176" s="10"/>
      <c r="CK176" s="109"/>
      <c r="CL176" s="109"/>
    </row>
    <row r="177" spans="1:90">
      <c r="A177" s="7" t="str">
        <f t="shared" si="21"/>
        <v>00340830</v>
      </c>
      <c r="B177" s="7" t="s">
        <v>2373</v>
      </c>
      <c r="C177" s="7" t="s">
        <v>2764</v>
      </c>
      <c r="D177" s="7">
        <v>168</v>
      </c>
      <c r="E177" s="7">
        <v>34</v>
      </c>
      <c r="F177" s="7" t="s">
        <v>1740</v>
      </c>
      <c r="G177" s="7">
        <v>830</v>
      </c>
      <c r="H177" s="7" t="s">
        <v>1691</v>
      </c>
      <c r="I177" s="37">
        <v>157266</v>
      </c>
      <c r="J177" s="122">
        <v>1.5852200878131391E-2</v>
      </c>
      <c r="K177" s="123">
        <f t="shared" si="30"/>
        <v>201889.13674953594</v>
      </c>
      <c r="L177" s="122">
        <f>IF(K179&gt;0, K177/K179, 0)</f>
        <v>2.033155107112752E-2</v>
      </c>
      <c r="M177" s="71"/>
      <c r="N177" s="10">
        <f>ROUND(M179*L177,0)</f>
        <v>167792</v>
      </c>
      <c r="O177" s="70">
        <v>130908</v>
      </c>
      <c r="P177" s="10">
        <f>N177-O177</f>
        <v>36884</v>
      </c>
      <c r="Q177" s="46">
        <f t="shared" si="29"/>
        <v>28.175512573715892</v>
      </c>
      <c r="R177" s="10">
        <v>9</v>
      </c>
      <c r="S177" s="7">
        <f t="shared" si="22"/>
        <v>0</v>
      </c>
      <c r="T177" s="124">
        <f t="shared" si="23"/>
        <v>34</v>
      </c>
      <c r="U177" s="124">
        <f t="shared" si="24"/>
        <v>830</v>
      </c>
      <c r="V177" s="124">
        <f t="shared" si="25"/>
        <v>168</v>
      </c>
      <c r="W177" s="124">
        <f t="shared" si="26"/>
        <v>11.031884057619999</v>
      </c>
      <c r="X177" s="124">
        <f t="shared" si="27"/>
        <v>201889.13674953594</v>
      </c>
      <c r="Y177" s="264">
        <f t="shared" si="28"/>
        <v>168</v>
      </c>
      <c r="Z177" s="10">
        <v>34</v>
      </c>
      <c r="AA177" s="7">
        <v>830</v>
      </c>
      <c r="AB177" s="7">
        <v>168</v>
      </c>
      <c r="AC177" s="109">
        <v>11.031884057619999</v>
      </c>
      <c r="AD177" s="109">
        <v>201889.13674953594</v>
      </c>
      <c r="AE177" s="125"/>
      <c r="AF177" s="10"/>
      <c r="AI177" s="109"/>
      <c r="AJ177" s="109"/>
      <c r="AL177" s="10"/>
      <c r="AO177" s="109"/>
      <c r="AP177" s="109"/>
      <c r="AR177" s="10"/>
      <c r="AU177" s="109"/>
      <c r="AV177" s="109"/>
      <c r="AX177" s="10"/>
      <c r="BA177" s="109"/>
      <c r="BB177" s="109"/>
      <c r="BD177" s="10"/>
      <c r="BG177" s="109"/>
      <c r="BH177" s="109"/>
      <c r="BJ177" s="10"/>
      <c r="BM177" s="109"/>
      <c r="BN177" s="109"/>
      <c r="BP177" s="10"/>
      <c r="BS177" s="109"/>
      <c r="BT177" s="109"/>
      <c r="BV177" s="10"/>
      <c r="BY177" s="109"/>
      <c r="BZ177" s="109"/>
      <c r="CB177" s="10"/>
      <c r="CE177" s="109"/>
      <c r="CF177" s="109"/>
      <c r="CH177" s="10"/>
      <c r="CK177" s="109"/>
      <c r="CL177" s="109"/>
    </row>
    <row r="178" spans="1:90">
      <c r="A178" s="7" t="str">
        <f t="shared" si="21"/>
        <v>00340998</v>
      </c>
      <c r="B178" s="7" t="s">
        <v>2373</v>
      </c>
      <c r="C178" s="7" t="s">
        <v>2781</v>
      </c>
      <c r="D178" s="7">
        <v>169</v>
      </c>
      <c r="E178" s="7">
        <v>34</v>
      </c>
      <c r="F178" s="7" t="s">
        <v>2135</v>
      </c>
      <c r="G178" s="7">
        <v>998</v>
      </c>
      <c r="H178" s="7" t="s">
        <v>2135</v>
      </c>
      <c r="I178" s="37">
        <v>0</v>
      </c>
      <c r="J178" s="122">
        <v>0</v>
      </c>
      <c r="K178" s="123">
        <f t="shared" si="30"/>
        <v>0</v>
      </c>
      <c r="L178" s="122">
        <f>IF(K179&gt;0, K178/K179, 0)</f>
        <v>0</v>
      </c>
      <c r="M178" s="71"/>
      <c r="N178" s="10">
        <f>ROUND(M179*L178,0)</f>
        <v>0</v>
      </c>
      <c r="O178" s="70">
        <v>0</v>
      </c>
      <c r="P178" s="10">
        <f>N178-O178</f>
        <v>0</v>
      </c>
      <c r="Q178" s="46">
        <f t="shared" si="29"/>
        <v>0</v>
      </c>
      <c r="R178" s="10">
        <v>0</v>
      </c>
      <c r="S178" s="7">
        <f t="shared" si="22"/>
        <v>0</v>
      </c>
      <c r="T178" s="124">
        <f t="shared" si="23"/>
        <v>34</v>
      </c>
      <c r="U178" s="124">
        <f t="shared" si="24"/>
        <v>998</v>
      </c>
      <c r="V178" s="124">
        <f t="shared" si="25"/>
        <v>169</v>
      </c>
      <c r="W178" s="124">
        <f t="shared" si="26"/>
        <v>0</v>
      </c>
      <c r="X178" s="124">
        <f t="shared" si="27"/>
        <v>0</v>
      </c>
      <c r="Y178" s="264">
        <f t="shared" si="28"/>
        <v>169</v>
      </c>
      <c r="Z178" s="10">
        <v>34</v>
      </c>
      <c r="AA178" s="7">
        <v>998</v>
      </c>
      <c r="AB178" s="7">
        <v>169</v>
      </c>
      <c r="AC178" s="109">
        <v>0</v>
      </c>
      <c r="AD178" s="109">
        <v>0</v>
      </c>
      <c r="AE178" s="125"/>
      <c r="AF178" s="10"/>
      <c r="AI178" s="109"/>
      <c r="AJ178" s="109"/>
      <c r="AL178" s="10"/>
      <c r="AO178" s="109"/>
      <c r="AP178" s="109"/>
      <c r="AR178" s="10"/>
      <c r="AU178" s="109"/>
      <c r="AV178" s="109"/>
      <c r="AX178" s="10"/>
      <c r="BA178" s="109"/>
      <c r="BB178" s="109"/>
      <c r="BD178" s="10"/>
      <c r="BG178" s="109"/>
      <c r="BH178" s="109"/>
      <c r="BJ178" s="10"/>
      <c r="BM178" s="109"/>
      <c r="BN178" s="109"/>
      <c r="BP178" s="10"/>
      <c r="BS178" s="109"/>
      <c r="BT178" s="109"/>
      <c r="BV178" s="10"/>
      <c r="BY178" s="109"/>
      <c r="BZ178" s="109"/>
      <c r="CB178" s="10"/>
      <c r="CE178" s="109"/>
      <c r="CF178" s="109"/>
      <c r="CH178" s="10"/>
      <c r="CK178" s="109"/>
      <c r="CL178" s="109"/>
    </row>
    <row r="179" spans="1:90">
      <c r="A179" s="7" t="str">
        <f t="shared" si="21"/>
        <v>00340999</v>
      </c>
      <c r="B179" s="7" t="s">
        <v>2373</v>
      </c>
      <c r="C179" s="7" t="s">
        <v>2782</v>
      </c>
      <c r="D179" s="7">
        <v>170</v>
      </c>
      <c r="E179" s="11">
        <v>34</v>
      </c>
      <c r="F179" s="11" t="s">
        <v>1740</v>
      </c>
      <c r="G179" s="11">
        <v>999</v>
      </c>
      <c r="H179" s="11" t="s">
        <v>1132</v>
      </c>
      <c r="I179" s="105">
        <v>9920767.5457199998</v>
      </c>
      <c r="J179" s="126">
        <v>1</v>
      </c>
      <c r="K179" s="127">
        <f>SUM(K175:K178)</f>
        <v>9929844.3115948569</v>
      </c>
      <c r="L179" s="126">
        <f>SUM(L175:L178)</f>
        <v>1</v>
      </c>
      <c r="M179" s="105">
        <f>VLOOKUP(E179,town351,22)</f>
        <v>8252797</v>
      </c>
      <c r="N179" s="105">
        <f>SUM(N175:N178)</f>
        <v>8252797</v>
      </c>
      <c r="O179" s="128">
        <v>8258041</v>
      </c>
      <c r="P179" s="105">
        <f>SUM(P175:P178)</f>
        <v>-5244</v>
      </c>
      <c r="Q179" s="45">
        <f t="shared" si="29"/>
        <v>-6.3501743331136284E-2</v>
      </c>
      <c r="R179" s="105">
        <v>1041</v>
      </c>
      <c r="S179" s="7">
        <f t="shared" si="22"/>
        <v>0</v>
      </c>
      <c r="T179" s="124">
        <f t="shared" si="23"/>
        <v>34</v>
      </c>
      <c r="U179" s="124">
        <f t="shared" si="24"/>
        <v>999</v>
      </c>
      <c r="V179" s="124">
        <f t="shared" si="25"/>
        <v>170</v>
      </c>
      <c r="W179" s="124">
        <f t="shared" si="26"/>
        <v>1013.02977245872</v>
      </c>
      <c r="X179" s="124">
        <f t="shared" si="27"/>
        <v>9929844.3115948569</v>
      </c>
      <c r="Y179" s="264">
        <f t="shared" si="28"/>
        <v>170</v>
      </c>
      <c r="Z179" s="10">
        <v>34</v>
      </c>
      <c r="AA179" s="7">
        <v>999</v>
      </c>
      <c r="AB179" s="7">
        <v>170</v>
      </c>
      <c r="AC179" s="109">
        <v>1013.02977245872</v>
      </c>
      <c r="AD179" s="109">
        <v>9929844.3115948569</v>
      </c>
      <c r="AE179" s="125"/>
      <c r="AF179" s="10"/>
      <c r="AI179" s="109"/>
      <c r="AJ179" s="109"/>
      <c r="AL179" s="10"/>
      <c r="AO179" s="109"/>
      <c r="AP179" s="109"/>
      <c r="AR179" s="10"/>
      <c r="AU179" s="109"/>
      <c r="AV179" s="109"/>
      <c r="AX179" s="10"/>
      <c r="BA179" s="109"/>
      <c r="BB179" s="109"/>
      <c r="BD179" s="10"/>
      <c r="BG179" s="109"/>
      <c r="BH179" s="109"/>
      <c r="BJ179" s="10"/>
      <c r="BM179" s="109"/>
      <c r="BN179" s="109"/>
      <c r="BP179" s="10"/>
      <c r="BS179" s="109"/>
      <c r="BT179" s="109"/>
      <c r="BV179" s="10"/>
      <c r="BY179" s="109"/>
      <c r="BZ179" s="109"/>
      <c r="CB179" s="10"/>
      <c r="CE179" s="109"/>
      <c r="CF179" s="109"/>
      <c r="CH179" s="10"/>
      <c r="CK179" s="109"/>
      <c r="CL179" s="109"/>
    </row>
    <row r="180" spans="1:90">
      <c r="A180" s="7" t="str">
        <f t="shared" si="21"/>
        <v>00350035</v>
      </c>
      <c r="B180" s="7" t="s">
        <v>2374</v>
      </c>
      <c r="C180" s="7" t="s">
        <v>2374</v>
      </c>
      <c r="D180" s="7">
        <v>171</v>
      </c>
      <c r="E180" s="7">
        <v>35</v>
      </c>
      <c r="F180" s="7" t="s">
        <v>1741</v>
      </c>
      <c r="G180" s="7">
        <v>35</v>
      </c>
      <c r="H180" s="7" t="s">
        <v>1301</v>
      </c>
      <c r="I180" s="37">
        <v>802914847.56588995</v>
      </c>
      <c r="J180" s="122">
        <v>1</v>
      </c>
      <c r="K180" s="123">
        <f>X180</f>
        <v>829896970.52937865</v>
      </c>
      <c r="L180" s="122">
        <f>IF(K184&gt;0, K180/K184, 0)</f>
        <v>1</v>
      </c>
      <c r="M180" s="71"/>
      <c r="N180" s="10">
        <f>ROUND(M184*L180,0)</f>
        <v>686260642</v>
      </c>
      <c r="O180" s="70">
        <v>666445514</v>
      </c>
      <c r="P180" s="10">
        <f>N180-O180</f>
        <v>19815128</v>
      </c>
      <c r="Q180" s="46">
        <f t="shared" si="29"/>
        <v>2.9732555150787614</v>
      </c>
      <c r="R180" s="10">
        <v>64220</v>
      </c>
      <c r="S180" s="7">
        <f t="shared" si="22"/>
        <v>0</v>
      </c>
      <c r="T180" s="124">
        <f t="shared" si="23"/>
        <v>35</v>
      </c>
      <c r="U180" s="124">
        <f t="shared" si="24"/>
        <v>35</v>
      </c>
      <c r="V180" s="124">
        <f t="shared" si="25"/>
        <v>171</v>
      </c>
      <c r="W180" s="124">
        <f t="shared" si="26"/>
        <v>64602</v>
      </c>
      <c r="X180" s="124">
        <f t="shared" si="27"/>
        <v>829896970.52937865</v>
      </c>
      <c r="Y180" s="264">
        <f t="shared" si="28"/>
        <v>171</v>
      </c>
      <c r="Z180" s="10">
        <v>35</v>
      </c>
      <c r="AA180" s="7">
        <v>35</v>
      </c>
      <c r="AB180" s="7">
        <v>171</v>
      </c>
      <c r="AC180" s="109">
        <v>64602</v>
      </c>
      <c r="AD180" s="109">
        <v>829896970.52937865</v>
      </c>
      <c r="AE180" s="125"/>
      <c r="AF180" s="10"/>
      <c r="AI180" s="109"/>
      <c r="AJ180" s="109"/>
      <c r="AL180" s="10"/>
      <c r="AO180" s="109"/>
      <c r="AP180" s="109"/>
      <c r="AR180" s="10"/>
      <c r="AU180" s="109"/>
      <c r="AV180" s="109"/>
      <c r="AX180" s="10"/>
      <c r="BA180" s="109"/>
      <c r="BB180" s="109"/>
      <c r="BD180" s="10"/>
      <c r="BG180" s="109"/>
      <c r="BH180" s="109"/>
      <c r="BJ180" s="10"/>
      <c r="BM180" s="109"/>
      <c r="BN180" s="109"/>
      <c r="BP180" s="10"/>
      <c r="BS180" s="109"/>
      <c r="BT180" s="109"/>
      <c r="BV180" s="10"/>
      <c r="BY180" s="109"/>
      <c r="BZ180" s="109"/>
      <c r="CB180" s="10"/>
      <c r="CE180" s="109"/>
      <c r="CF180" s="109"/>
      <c r="CH180" s="10"/>
      <c r="CK180" s="109"/>
      <c r="CL180" s="109"/>
    </row>
    <row r="181" spans="1:90">
      <c r="A181" s="7" t="str">
        <f t="shared" si="21"/>
        <v>00350998</v>
      </c>
      <c r="B181" s="7" t="s">
        <v>2374</v>
      </c>
      <c r="C181" s="7" t="s">
        <v>2781</v>
      </c>
      <c r="D181" s="7">
        <v>172</v>
      </c>
      <c r="E181" s="7">
        <v>35</v>
      </c>
      <c r="F181" s="7" t="s">
        <v>2135</v>
      </c>
      <c r="G181" s="7">
        <v>998</v>
      </c>
      <c r="I181" s="129">
        <v>0</v>
      </c>
      <c r="J181" s="130">
        <v>0</v>
      </c>
      <c r="K181" s="123">
        <f t="shared" si="30"/>
        <v>0</v>
      </c>
      <c r="L181" s="122">
        <f>IF(K184&gt;0, K181/K184, 0)</f>
        <v>0</v>
      </c>
      <c r="M181" s="71"/>
      <c r="N181" s="10">
        <f>ROUND(M184*L181,0)</f>
        <v>0</v>
      </c>
      <c r="O181" s="70">
        <v>0</v>
      </c>
      <c r="P181" s="10">
        <f>N181-O181</f>
        <v>0</v>
      </c>
      <c r="Q181" s="46">
        <f t="shared" si="29"/>
        <v>0</v>
      </c>
      <c r="R181" s="10">
        <v>0</v>
      </c>
      <c r="S181" s="7">
        <f t="shared" si="22"/>
        <v>0</v>
      </c>
      <c r="T181" s="124">
        <f t="shared" si="23"/>
        <v>35</v>
      </c>
      <c r="U181" s="124">
        <f t="shared" si="24"/>
        <v>998</v>
      </c>
      <c r="V181" s="124">
        <f t="shared" si="25"/>
        <v>172</v>
      </c>
      <c r="W181" s="124">
        <f t="shared" si="26"/>
        <v>0</v>
      </c>
      <c r="X181" s="124">
        <f t="shared" si="27"/>
        <v>0</v>
      </c>
      <c r="Y181" s="264">
        <f t="shared" si="28"/>
        <v>172</v>
      </c>
      <c r="Z181" s="10">
        <v>35</v>
      </c>
      <c r="AA181" s="7">
        <v>998</v>
      </c>
      <c r="AB181" s="7">
        <v>172</v>
      </c>
      <c r="AC181" s="109">
        <v>0</v>
      </c>
      <c r="AD181" s="109">
        <v>0</v>
      </c>
      <c r="AE181" s="125"/>
      <c r="AF181" s="10"/>
      <c r="AI181" s="109"/>
      <c r="AJ181" s="109"/>
      <c r="AL181" s="10"/>
      <c r="AO181" s="109"/>
      <c r="AP181" s="109"/>
      <c r="AR181" s="10"/>
      <c r="AU181" s="109"/>
      <c r="AV181" s="109"/>
      <c r="AX181" s="10"/>
      <c r="BA181" s="109"/>
      <c r="BB181" s="109"/>
      <c r="BD181" s="10"/>
      <c r="BG181" s="109"/>
      <c r="BH181" s="109"/>
      <c r="BJ181" s="10"/>
      <c r="BM181" s="109"/>
      <c r="BN181" s="109"/>
      <c r="BP181" s="10"/>
      <c r="BS181" s="109"/>
      <c r="BT181" s="109"/>
      <c r="BV181" s="10"/>
      <c r="BY181" s="109"/>
      <c r="BZ181" s="109"/>
      <c r="CB181" s="10"/>
      <c r="CE181" s="109"/>
      <c r="CF181" s="109"/>
      <c r="CH181" s="10"/>
      <c r="CK181" s="109"/>
      <c r="CL181" s="109"/>
    </row>
    <row r="182" spans="1:90">
      <c r="A182" s="7" t="str">
        <f t="shared" si="21"/>
        <v>00350998</v>
      </c>
      <c r="B182" s="7" t="s">
        <v>2374</v>
      </c>
      <c r="C182" s="7" t="s">
        <v>2781</v>
      </c>
      <c r="D182" s="7">
        <v>173</v>
      </c>
      <c r="E182" s="7">
        <v>35</v>
      </c>
      <c r="F182" s="7" t="s">
        <v>2135</v>
      </c>
      <c r="G182" s="7">
        <v>998</v>
      </c>
      <c r="H182" s="7" t="s">
        <v>2135</v>
      </c>
      <c r="I182" s="37">
        <v>0</v>
      </c>
      <c r="J182" s="122">
        <v>0</v>
      </c>
      <c r="K182" s="123">
        <f t="shared" si="30"/>
        <v>0</v>
      </c>
      <c r="L182" s="122">
        <f>IF(K184&gt;0, K182/K184, 0)</f>
        <v>0</v>
      </c>
      <c r="M182" s="71"/>
      <c r="N182" s="10">
        <f>ROUND(M184*L182,0)</f>
        <v>0</v>
      </c>
      <c r="O182" s="70">
        <v>0</v>
      </c>
      <c r="P182" s="10">
        <f>N182-O182</f>
        <v>0</v>
      </c>
      <c r="Q182" s="46">
        <f t="shared" si="29"/>
        <v>0</v>
      </c>
      <c r="R182" s="10">
        <v>0</v>
      </c>
      <c r="S182" s="7">
        <f t="shared" si="22"/>
        <v>0</v>
      </c>
      <c r="T182" s="124">
        <f t="shared" si="23"/>
        <v>35</v>
      </c>
      <c r="U182" s="124">
        <f t="shared" si="24"/>
        <v>998</v>
      </c>
      <c r="V182" s="124">
        <f t="shared" si="25"/>
        <v>173</v>
      </c>
      <c r="W182" s="124">
        <f t="shared" si="26"/>
        <v>0</v>
      </c>
      <c r="X182" s="124">
        <f t="shared" si="27"/>
        <v>0</v>
      </c>
      <c r="Y182" s="264">
        <f t="shared" si="28"/>
        <v>173</v>
      </c>
      <c r="Z182" s="10">
        <v>35</v>
      </c>
      <c r="AA182" s="7">
        <v>998</v>
      </c>
      <c r="AB182" s="7">
        <v>173</v>
      </c>
      <c r="AC182" s="109">
        <v>0</v>
      </c>
      <c r="AD182" s="109">
        <v>0</v>
      </c>
      <c r="AE182" s="125"/>
      <c r="AF182" s="10"/>
      <c r="AI182" s="109"/>
      <c r="AJ182" s="109"/>
      <c r="AL182" s="10"/>
      <c r="AO182" s="109"/>
      <c r="AP182" s="109"/>
      <c r="AR182" s="10"/>
      <c r="AU182" s="109"/>
      <c r="AV182" s="109"/>
      <c r="AX182" s="10"/>
      <c r="BA182" s="109"/>
      <c r="BB182" s="109"/>
      <c r="BD182" s="10"/>
      <c r="BG182" s="109"/>
      <c r="BH182" s="109"/>
      <c r="BJ182" s="10"/>
      <c r="BM182" s="109"/>
      <c r="BN182" s="109"/>
      <c r="BP182" s="10"/>
      <c r="BS182" s="109"/>
      <c r="BT182" s="109"/>
      <c r="BV182" s="10"/>
      <c r="BY182" s="109"/>
      <c r="BZ182" s="109"/>
      <c r="CB182" s="10"/>
      <c r="CE182" s="109"/>
      <c r="CF182" s="109"/>
      <c r="CH182" s="10"/>
      <c r="CK182" s="109"/>
      <c r="CL182" s="109"/>
    </row>
    <row r="183" spans="1:90">
      <c r="A183" s="7" t="str">
        <f t="shared" si="21"/>
        <v>00350998</v>
      </c>
      <c r="B183" s="7" t="s">
        <v>2374</v>
      </c>
      <c r="C183" s="7" t="s">
        <v>2781</v>
      </c>
      <c r="D183" s="7">
        <v>174</v>
      </c>
      <c r="E183" s="7">
        <v>35</v>
      </c>
      <c r="F183" s="7" t="s">
        <v>2135</v>
      </c>
      <c r="G183" s="7">
        <v>998</v>
      </c>
      <c r="H183" s="7" t="s">
        <v>2135</v>
      </c>
      <c r="I183" s="37">
        <v>0</v>
      </c>
      <c r="J183" s="122">
        <v>0</v>
      </c>
      <c r="K183" s="123">
        <f t="shared" si="30"/>
        <v>0</v>
      </c>
      <c r="L183" s="122">
        <f>IF(K184&gt;0, K183/K184, 0)</f>
        <v>0</v>
      </c>
      <c r="M183" s="71"/>
      <c r="N183" s="10">
        <f>ROUND(M184*L183,0)</f>
        <v>0</v>
      </c>
      <c r="O183" s="70">
        <v>0</v>
      </c>
      <c r="P183" s="10">
        <f>N183-O183</f>
        <v>0</v>
      </c>
      <c r="Q183" s="46">
        <f t="shared" si="29"/>
        <v>0</v>
      </c>
      <c r="R183" s="10">
        <v>0</v>
      </c>
      <c r="S183" s="7">
        <f t="shared" si="22"/>
        <v>0</v>
      </c>
      <c r="T183" s="124">
        <f t="shared" si="23"/>
        <v>35</v>
      </c>
      <c r="U183" s="124">
        <f t="shared" si="24"/>
        <v>998</v>
      </c>
      <c r="V183" s="124">
        <f t="shared" si="25"/>
        <v>174</v>
      </c>
      <c r="W183" s="124">
        <f t="shared" si="26"/>
        <v>0</v>
      </c>
      <c r="X183" s="124">
        <f t="shared" si="27"/>
        <v>0</v>
      </c>
      <c r="Y183" s="264">
        <f t="shared" si="28"/>
        <v>174</v>
      </c>
      <c r="Z183" s="10">
        <v>35</v>
      </c>
      <c r="AA183" s="7">
        <v>998</v>
      </c>
      <c r="AB183" s="7">
        <v>174</v>
      </c>
      <c r="AC183" s="109">
        <v>0</v>
      </c>
      <c r="AD183" s="109">
        <v>0</v>
      </c>
      <c r="AE183" s="125"/>
      <c r="AF183" s="10"/>
      <c r="AI183" s="109"/>
      <c r="AJ183" s="109"/>
      <c r="AL183" s="10"/>
      <c r="AO183" s="109"/>
      <c r="AP183" s="109"/>
      <c r="AR183" s="10"/>
      <c r="AU183" s="109"/>
      <c r="AV183" s="109"/>
      <c r="AX183" s="10"/>
      <c r="BA183" s="109"/>
      <c r="BB183" s="109"/>
      <c r="BD183" s="10"/>
      <c r="BG183" s="109"/>
      <c r="BH183" s="109"/>
      <c r="BJ183" s="10"/>
      <c r="BM183" s="109"/>
      <c r="BN183" s="109"/>
      <c r="BP183" s="10"/>
      <c r="BS183" s="109"/>
      <c r="BT183" s="109"/>
      <c r="BV183" s="10"/>
      <c r="BY183" s="109"/>
      <c r="BZ183" s="109"/>
      <c r="CB183" s="10"/>
      <c r="CE183" s="109"/>
      <c r="CF183" s="109"/>
      <c r="CH183" s="10"/>
      <c r="CK183" s="109"/>
      <c r="CL183" s="109"/>
    </row>
    <row r="184" spans="1:90">
      <c r="A184" s="7" t="str">
        <f t="shared" si="21"/>
        <v>00350999</v>
      </c>
      <c r="B184" s="7" t="s">
        <v>2374</v>
      </c>
      <c r="C184" s="7" t="s">
        <v>2782</v>
      </c>
      <c r="D184" s="7">
        <v>175</v>
      </c>
      <c r="E184" s="11">
        <v>35</v>
      </c>
      <c r="F184" s="11" t="s">
        <v>1741</v>
      </c>
      <c r="G184" s="11">
        <v>999</v>
      </c>
      <c r="H184" s="11" t="s">
        <v>1132</v>
      </c>
      <c r="I184" s="105">
        <v>802914847.56588995</v>
      </c>
      <c r="J184" s="126">
        <v>1</v>
      </c>
      <c r="K184" s="127">
        <f>SUM(K180:K183)</f>
        <v>829896970.52937865</v>
      </c>
      <c r="L184" s="126">
        <f>SUM(L180:L183)</f>
        <v>1</v>
      </c>
      <c r="M184" s="105">
        <f>VLOOKUP(E184,town351,22)</f>
        <v>686260642</v>
      </c>
      <c r="N184" s="105">
        <f>SUM(N180:N183)</f>
        <v>686260642</v>
      </c>
      <c r="O184" s="128">
        <v>666445514</v>
      </c>
      <c r="P184" s="105">
        <f>SUM(P180:P183)</f>
        <v>19815128</v>
      </c>
      <c r="Q184" s="45">
        <f t="shared" si="29"/>
        <v>2.9732555150787614</v>
      </c>
      <c r="R184" s="105">
        <v>64220</v>
      </c>
      <c r="S184" s="7">
        <f t="shared" si="22"/>
        <v>0</v>
      </c>
      <c r="T184" s="124">
        <f t="shared" si="23"/>
        <v>35</v>
      </c>
      <c r="U184" s="124">
        <f t="shared" si="24"/>
        <v>999</v>
      </c>
      <c r="V184" s="124">
        <f t="shared" si="25"/>
        <v>175</v>
      </c>
      <c r="W184" s="124">
        <f t="shared" si="26"/>
        <v>64602</v>
      </c>
      <c r="X184" s="124">
        <f t="shared" si="27"/>
        <v>829896970.52937865</v>
      </c>
      <c r="Y184" s="264">
        <f t="shared" si="28"/>
        <v>175</v>
      </c>
      <c r="Z184" s="10">
        <v>35</v>
      </c>
      <c r="AA184" s="7">
        <v>999</v>
      </c>
      <c r="AB184" s="7">
        <v>175</v>
      </c>
      <c r="AC184" s="109">
        <v>64602</v>
      </c>
      <c r="AD184" s="109">
        <v>829896970.52937865</v>
      </c>
      <c r="AE184" s="125"/>
      <c r="AF184" s="10"/>
      <c r="AI184" s="109"/>
      <c r="AJ184" s="109"/>
      <c r="AL184" s="10"/>
      <c r="AO184" s="109"/>
      <c r="AP184" s="109"/>
      <c r="AR184" s="10"/>
      <c r="AU184" s="109"/>
      <c r="AV184" s="109"/>
      <c r="AX184" s="10"/>
      <c r="BA184" s="109"/>
      <c r="BB184" s="109"/>
      <c r="BD184" s="10"/>
      <c r="BG184" s="109"/>
      <c r="BH184" s="109"/>
      <c r="BJ184" s="10"/>
      <c r="BM184" s="109"/>
      <c r="BN184" s="109"/>
      <c r="BP184" s="10"/>
      <c r="BS184" s="109"/>
      <c r="BT184" s="109"/>
      <c r="BV184" s="10"/>
      <c r="BY184" s="109"/>
      <c r="BZ184" s="109"/>
      <c r="CB184" s="10"/>
      <c r="CE184" s="109"/>
      <c r="CF184" s="109"/>
      <c r="CH184" s="10"/>
      <c r="CK184" s="109"/>
      <c r="CL184" s="109"/>
    </row>
    <row r="185" spans="1:90">
      <c r="A185" s="7" t="str">
        <f t="shared" si="21"/>
        <v>00360036</v>
      </c>
      <c r="B185" s="7" t="s">
        <v>2375</v>
      </c>
      <c r="C185" s="7" t="s">
        <v>2375</v>
      </c>
      <c r="D185" s="7">
        <v>176</v>
      </c>
      <c r="E185" s="7">
        <v>36</v>
      </c>
      <c r="F185" s="7" t="s">
        <v>1742</v>
      </c>
      <c r="G185" s="7">
        <v>36</v>
      </c>
      <c r="H185" s="7" t="s">
        <v>1302</v>
      </c>
      <c r="I185" s="37">
        <v>19315319.800000001</v>
      </c>
      <c r="J185" s="122">
        <v>0.85879722236096834</v>
      </c>
      <c r="K185" s="123">
        <f>X185</f>
        <v>20067959.034898311</v>
      </c>
      <c r="L185" s="122">
        <f>IF(K189&gt;0, K185/K189, 0)</f>
        <v>0.86804780105870971</v>
      </c>
      <c r="M185" s="71"/>
      <c r="N185" s="10">
        <f>ROUND(M189*L185,0)</f>
        <v>16608266</v>
      </c>
      <c r="O185" s="70">
        <v>16178695</v>
      </c>
      <c r="P185" s="10">
        <f>N185-O185</f>
        <v>429571</v>
      </c>
      <c r="Q185" s="46">
        <f t="shared" si="29"/>
        <v>2.6551647088964838</v>
      </c>
      <c r="R185" s="10">
        <v>1950</v>
      </c>
      <c r="S185" s="7">
        <f t="shared" si="22"/>
        <v>0</v>
      </c>
      <c r="T185" s="124">
        <f t="shared" si="23"/>
        <v>36</v>
      </c>
      <c r="U185" s="124">
        <f t="shared" si="24"/>
        <v>36</v>
      </c>
      <c r="V185" s="124">
        <f t="shared" si="25"/>
        <v>176</v>
      </c>
      <c r="W185" s="124">
        <f t="shared" si="26"/>
        <v>1981</v>
      </c>
      <c r="X185" s="124">
        <f t="shared" si="27"/>
        <v>20067959.034898311</v>
      </c>
      <c r="Y185" s="264">
        <f t="shared" si="28"/>
        <v>176</v>
      </c>
      <c r="Z185" s="10">
        <v>36</v>
      </c>
      <c r="AA185" s="7">
        <v>36</v>
      </c>
      <c r="AB185" s="7">
        <v>176</v>
      </c>
      <c r="AC185" s="109">
        <v>1981</v>
      </c>
      <c r="AD185" s="109">
        <v>20067959.034898311</v>
      </c>
      <c r="AE185" s="125"/>
      <c r="AF185" s="10"/>
      <c r="AI185" s="109"/>
      <c r="AJ185" s="109"/>
      <c r="AL185" s="10"/>
      <c r="AO185" s="109"/>
      <c r="AP185" s="109"/>
      <c r="AR185" s="10"/>
      <c r="AU185" s="109"/>
      <c r="AV185" s="109"/>
      <c r="AX185" s="10"/>
      <c r="BA185" s="109"/>
      <c r="BB185" s="109"/>
      <c r="BD185" s="10"/>
      <c r="BG185" s="109"/>
      <c r="BH185" s="109"/>
      <c r="BJ185" s="10"/>
      <c r="BM185" s="109"/>
      <c r="BN185" s="109"/>
      <c r="BP185" s="10"/>
      <c r="BS185" s="109"/>
      <c r="BT185" s="109"/>
      <c r="BV185" s="10"/>
      <c r="BY185" s="109"/>
      <c r="BZ185" s="109"/>
      <c r="CB185" s="10"/>
      <c r="CE185" s="109"/>
      <c r="CF185" s="109"/>
      <c r="CH185" s="10"/>
      <c r="CK185" s="109"/>
      <c r="CL185" s="109"/>
    </row>
    <row r="186" spans="1:90">
      <c r="A186" s="7" t="str">
        <f t="shared" si="21"/>
        <v>00360879</v>
      </c>
      <c r="B186" s="7" t="s">
        <v>2375</v>
      </c>
      <c r="C186" s="7" t="s">
        <v>2776</v>
      </c>
      <c r="D186" s="7">
        <v>177</v>
      </c>
      <c r="E186" s="7">
        <v>36</v>
      </c>
      <c r="F186" s="7" t="s">
        <v>1742</v>
      </c>
      <c r="G186" s="7">
        <v>879</v>
      </c>
      <c r="H186" s="7" t="s">
        <v>1703</v>
      </c>
      <c r="I186" s="37">
        <v>3175810</v>
      </c>
      <c r="J186" s="122">
        <v>0.14120277763903172</v>
      </c>
      <c r="K186" s="123">
        <f t="shared" si="30"/>
        <v>3050536.2949931249</v>
      </c>
      <c r="L186" s="122">
        <f>IF(K189&gt;0, K186/K189, 0)</f>
        <v>0.13195219894129029</v>
      </c>
      <c r="M186" s="71"/>
      <c r="N186" s="10">
        <f>ROUND(M189*L186,0)</f>
        <v>2524627</v>
      </c>
      <c r="O186" s="70">
        <v>2660088</v>
      </c>
      <c r="P186" s="10">
        <f>N186-O186</f>
        <v>-135461</v>
      </c>
      <c r="Q186" s="46">
        <f t="shared" si="29"/>
        <v>-5.0923503282598173</v>
      </c>
      <c r="R186" s="10">
        <v>204</v>
      </c>
      <c r="S186" s="7">
        <f t="shared" si="22"/>
        <v>0</v>
      </c>
      <c r="T186" s="124">
        <f t="shared" si="23"/>
        <v>36</v>
      </c>
      <c r="U186" s="124">
        <f t="shared" si="24"/>
        <v>879</v>
      </c>
      <c r="V186" s="124">
        <f t="shared" si="25"/>
        <v>177</v>
      </c>
      <c r="W186" s="124">
        <f t="shared" si="26"/>
        <v>193.73783783624</v>
      </c>
      <c r="X186" s="124">
        <f t="shared" si="27"/>
        <v>3050536.2949931249</v>
      </c>
      <c r="Y186" s="264">
        <f t="shared" si="28"/>
        <v>177</v>
      </c>
      <c r="Z186" s="10">
        <v>36</v>
      </c>
      <c r="AA186" s="7">
        <v>879</v>
      </c>
      <c r="AB186" s="7">
        <v>177</v>
      </c>
      <c r="AC186" s="109">
        <v>193.73783783624</v>
      </c>
      <c r="AD186" s="109">
        <v>3050536.2949931249</v>
      </c>
      <c r="AE186" s="125"/>
      <c r="AF186" s="10"/>
      <c r="AI186" s="109"/>
      <c r="AJ186" s="109"/>
      <c r="AL186" s="10"/>
      <c r="AO186" s="109"/>
      <c r="AP186" s="109"/>
      <c r="AR186" s="10"/>
      <c r="AU186" s="109"/>
      <c r="AV186" s="109"/>
      <c r="AX186" s="10"/>
      <c r="BA186" s="109"/>
      <c r="BB186" s="109"/>
      <c r="BD186" s="10"/>
      <c r="BG186" s="109"/>
      <c r="BH186" s="109"/>
      <c r="BJ186" s="10"/>
      <c r="BM186" s="109"/>
      <c r="BN186" s="109"/>
      <c r="BP186" s="10"/>
      <c r="BS186" s="109"/>
      <c r="BT186" s="109"/>
      <c r="BV186" s="10"/>
      <c r="BY186" s="109"/>
      <c r="BZ186" s="109"/>
      <c r="CB186" s="10"/>
      <c r="CE186" s="109"/>
      <c r="CF186" s="109"/>
      <c r="CH186" s="10"/>
      <c r="CK186" s="109"/>
      <c r="CL186" s="109"/>
    </row>
    <row r="187" spans="1:90">
      <c r="A187" s="7" t="str">
        <f t="shared" si="21"/>
        <v>00360998</v>
      </c>
      <c r="B187" s="7" t="s">
        <v>2375</v>
      </c>
      <c r="C187" s="7" t="s">
        <v>2781</v>
      </c>
      <c r="D187" s="7">
        <v>178</v>
      </c>
      <c r="E187" s="7">
        <v>36</v>
      </c>
      <c r="F187" s="7" t="s">
        <v>2135</v>
      </c>
      <c r="G187" s="7">
        <v>998</v>
      </c>
      <c r="H187" s="7" t="s">
        <v>2135</v>
      </c>
      <c r="I187" s="37">
        <v>0</v>
      </c>
      <c r="J187" s="122">
        <v>0</v>
      </c>
      <c r="K187" s="123">
        <f t="shared" si="30"/>
        <v>0</v>
      </c>
      <c r="L187" s="122">
        <f>IF(K189&gt;0, K187/K189, 0)</f>
        <v>0</v>
      </c>
      <c r="M187" s="71"/>
      <c r="N187" s="10">
        <f>ROUND(M189*L187,0)</f>
        <v>0</v>
      </c>
      <c r="O187" s="70">
        <v>0</v>
      </c>
      <c r="P187" s="10">
        <f>N187-O187</f>
        <v>0</v>
      </c>
      <c r="Q187" s="46">
        <f t="shared" si="29"/>
        <v>0</v>
      </c>
      <c r="R187" s="10">
        <v>0</v>
      </c>
      <c r="S187" s="7">
        <f t="shared" si="22"/>
        <v>0</v>
      </c>
      <c r="T187" s="124">
        <f t="shared" si="23"/>
        <v>36</v>
      </c>
      <c r="U187" s="124">
        <f t="shared" si="24"/>
        <v>998</v>
      </c>
      <c r="V187" s="124">
        <f t="shared" si="25"/>
        <v>178</v>
      </c>
      <c r="W187" s="124">
        <f t="shared" si="26"/>
        <v>0</v>
      </c>
      <c r="X187" s="124">
        <f t="shared" si="27"/>
        <v>0</v>
      </c>
      <c r="Y187" s="264">
        <f t="shared" si="28"/>
        <v>178</v>
      </c>
      <c r="Z187" s="10">
        <v>36</v>
      </c>
      <c r="AA187" s="7">
        <v>998</v>
      </c>
      <c r="AB187" s="7">
        <v>178</v>
      </c>
      <c r="AC187" s="109">
        <v>0</v>
      </c>
      <c r="AD187" s="109">
        <v>0</v>
      </c>
      <c r="AE187" s="125"/>
      <c r="AF187" s="10"/>
      <c r="AI187" s="109"/>
      <c r="AJ187" s="109"/>
      <c r="AL187" s="10"/>
      <c r="AO187" s="109"/>
      <c r="AP187" s="109"/>
      <c r="AR187" s="10"/>
      <c r="AU187" s="109"/>
      <c r="AV187" s="109"/>
      <c r="AX187" s="10"/>
      <c r="BA187" s="109"/>
      <c r="BB187" s="109"/>
      <c r="BD187" s="10"/>
      <c r="BG187" s="109"/>
      <c r="BH187" s="109"/>
      <c r="BJ187" s="10"/>
      <c r="BM187" s="109"/>
      <c r="BN187" s="109"/>
      <c r="BP187" s="10"/>
      <c r="BS187" s="109"/>
      <c r="BT187" s="109"/>
      <c r="BV187" s="10"/>
      <c r="BY187" s="109"/>
      <c r="BZ187" s="109"/>
      <c r="CB187" s="10"/>
      <c r="CE187" s="109"/>
      <c r="CF187" s="109"/>
      <c r="CH187" s="10"/>
      <c r="CK187" s="109"/>
      <c r="CL187" s="109"/>
    </row>
    <row r="188" spans="1:90">
      <c r="A188" s="7" t="str">
        <f t="shared" si="21"/>
        <v>00360998</v>
      </c>
      <c r="B188" s="7" t="s">
        <v>2375</v>
      </c>
      <c r="C188" s="7" t="s">
        <v>2781</v>
      </c>
      <c r="D188" s="7">
        <v>179</v>
      </c>
      <c r="E188" s="7">
        <v>36</v>
      </c>
      <c r="F188" s="7" t="s">
        <v>2135</v>
      </c>
      <c r="G188" s="7">
        <v>998</v>
      </c>
      <c r="H188" s="7" t="s">
        <v>2135</v>
      </c>
      <c r="I188" s="37">
        <v>0</v>
      </c>
      <c r="J188" s="122">
        <v>0</v>
      </c>
      <c r="K188" s="123">
        <f t="shared" si="30"/>
        <v>0</v>
      </c>
      <c r="L188" s="122">
        <f>IF(K189&gt;0, K188/K189, 0)</f>
        <v>0</v>
      </c>
      <c r="M188" s="71"/>
      <c r="N188" s="10">
        <f>ROUND(M189*L188,0)</f>
        <v>0</v>
      </c>
      <c r="O188" s="70">
        <v>0</v>
      </c>
      <c r="P188" s="10">
        <f>N188-O188</f>
        <v>0</v>
      </c>
      <c r="Q188" s="46">
        <f t="shared" si="29"/>
        <v>0</v>
      </c>
      <c r="R188" s="10">
        <v>0</v>
      </c>
      <c r="S188" s="7">
        <f t="shared" si="22"/>
        <v>0</v>
      </c>
      <c r="T188" s="124">
        <f t="shared" si="23"/>
        <v>36</v>
      </c>
      <c r="U188" s="124">
        <f t="shared" si="24"/>
        <v>998</v>
      </c>
      <c r="V188" s="124">
        <f t="shared" si="25"/>
        <v>179</v>
      </c>
      <c r="W188" s="124">
        <f t="shared" si="26"/>
        <v>0</v>
      </c>
      <c r="X188" s="124">
        <f t="shared" si="27"/>
        <v>0</v>
      </c>
      <c r="Y188" s="264">
        <f t="shared" si="28"/>
        <v>179</v>
      </c>
      <c r="Z188" s="10">
        <v>36</v>
      </c>
      <c r="AA188" s="7">
        <v>998</v>
      </c>
      <c r="AB188" s="7">
        <v>179</v>
      </c>
      <c r="AC188" s="109">
        <v>0</v>
      </c>
      <c r="AD188" s="109">
        <v>0</v>
      </c>
      <c r="AE188" s="125"/>
      <c r="AF188" s="10"/>
      <c r="AI188" s="109"/>
      <c r="AJ188" s="109"/>
      <c r="AL188" s="10"/>
      <c r="AO188" s="109"/>
      <c r="AP188" s="109"/>
      <c r="AR188" s="10"/>
      <c r="AU188" s="109"/>
      <c r="AV188" s="109"/>
      <c r="AX188" s="10"/>
      <c r="BA188" s="109"/>
      <c r="BB188" s="109"/>
      <c r="BD188" s="10"/>
      <c r="BG188" s="109"/>
      <c r="BH188" s="109"/>
      <c r="BJ188" s="10"/>
      <c r="BM188" s="109"/>
      <c r="BN188" s="109"/>
      <c r="BP188" s="10"/>
      <c r="BS188" s="109"/>
      <c r="BT188" s="109"/>
      <c r="BV188" s="10"/>
      <c r="BY188" s="109"/>
      <c r="BZ188" s="109"/>
      <c r="CB188" s="10"/>
      <c r="CE188" s="109"/>
      <c r="CF188" s="109"/>
      <c r="CH188" s="10"/>
      <c r="CK188" s="109"/>
      <c r="CL188" s="109"/>
    </row>
    <row r="189" spans="1:90">
      <c r="A189" s="7" t="str">
        <f t="shared" si="21"/>
        <v>00360999</v>
      </c>
      <c r="B189" s="7" t="s">
        <v>2375</v>
      </c>
      <c r="C189" s="7" t="s">
        <v>2782</v>
      </c>
      <c r="D189" s="7">
        <v>180</v>
      </c>
      <c r="E189" s="11">
        <v>36</v>
      </c>
      <c r="F189" s="11" t="s">
        <v>1742</v>
      </c>
      <c r="G189" s="11">
        <v>999</v>
      </c>
      <c r="H189" s="11" t="s">
        <v>1132</v>
      </c>
      <c r="I189" s="105">
        <v>22491129.800000001</v>
      </c>
      <c r="J189" s="126">
        <v>1</v>
      </c>
      <c r="K189" s="127">
        <f>SUM(K185:K188)</f>
        <v>23118495.329891436</v>
      </c>
      <c r="L189" s="126">
        <f>SUM(L185:L188)</f>
        <v>1</v>
      </c>
      <c r="M189" s="105">
        <f>VLOOKUP(E189,town351,22)</f>
        <v>19132893</v>
      </c>
      <c r="N189" s="105">
        <f>SUM(N185:N188)</f>
        <v>19132893</v>
      </c>
      <c r="O189" s="128">
        <v>18838783</v>
      </c>
      <c r="P189" s="105">
        <f>SUM(P185:P188)</f>
        <v>294110</v>
      </c>
      <c r="Q189" s="45">
        <f t="shared" si="29"/>
        <v>1.5611942661051936</v>
      </c>
      <c r="R189" s="105">
        <v>2154</v>
      </c>
      <c r="S189" s="7">
        <f t="shared" si="22"/>
        <v>0</v>
      </c>
      <c r="T189" s="124">
        <f t="shared" si="23"/>
        <v>36</v>
      </c>
      <c r="U189" s="124">
        <f t="shared" si="24"/>
        <v>999</v>
      </c>
      <c r="V189" s="124">
        <f t="shared" si="25"/>
        <v>180</v>
      </c>
      <c r="W189" s="124">
        <f t="shared" si="26"/>
        <v>2174.73783783624</v>
      </c>
      <c r="X189" s="124">
        <f t="shared" si="27"/>
        <v>23118495.329891436</v>
      </c>
      <c r="Y189" s="264">
        <f t="shared" si="28"/>
        <v>180</v>
      </c>
      <c r="Z189" s="10">
        <v>36</v>
      </c>
      <c r="AA189" s="7">
        <v>999</v>
      </c>
      <c r="AB189" s="7">
        <v>180</v>
      </c>
      <c r="AC189" s="109">
        <v>2174.73783783624</v>
      </c>
      <c r="AD189" s="109">
        <v>23118495.329891436</v>
      </c>
      <c r="AE189" s="125"/>
      <c r="AF189" s="10"/>
      <c r="AI189" s="109"/>
      <c r="AJ189" s="109"/>
      <c r="AL189" s="10"/>
      <c r="AO189" s="109"/>
      <c r="AP189" s="109"/>
      <c r="AR189" s="10"/>
      <c r="AU189" s="109"/>
      <c r="AV189" s="109"/>
      <c r="AX189" s="10"/>
      <c r="BA189" s="109"/>
      <c r="BB189" s="109"/>
      <c r="BD189" s="10"/>
      <c r="BG189" s="109"/>
      <c r="BH189" s="109"/>
      <c r="BJ189" s="10"/>
      <c r="BM189" s="109"/>
      <c r="BN189" s="109"/>
      <c r="BP189" s="10"/>
      <c r="BS189" s="109"/>
      <c r="BT189" s="109"/>
      <c r="BV189" s="10"/>
      <c r="BY189" s="109"/>
      <c r="BZ189" s="109"/>
      <c r="CB189" s="10"/>
      <c r="CE189" s="109"/>
      <c r="CF189" s="109"/>
      <c r="CH189" s="10"/>
      <c r="CK189" s="109"/>
      <c r="CL189" s="109"/>
    </row>
    <row r="190" spans="1:90">
      <c r="A190" s="7" t="str">
        <f t="shared" si="21"/>
        <v>00370037</v>
      </c>
      <c r="B190" s="7" t="s">
        <v>2376</v>
      </c>
      <c r="C190" s="7" t="s">
        <v>2376</v>
      </c>
      <c r="D190" s="7">
        <v>181</v>
      </c>
      <c r="E190" s="7">
        <v>37</v>
      </c>
      <c r="F190" s="7" t="s">
        <v>1743</v>
      </c>
      <c r="G190" s="7">
        <v>37</v>
      </c>
      <c r="H190" s="7" t="s">
        <v>1303</v>
      </c>
      <c r="I190" s="37">
        <v>0</v>
      </c>
      <c r="J190" s="122">
        <v>0</v>
      </c>
      <c r="K190" s="123">
        <f>X190</f>
        <v>88385.021661537277</v>
      </c>
      <c r="L190" s="122">
        <f>IF(K194&gt;0, K190/K194, 0)</f>
        <v>1.0735190199738348E-2</v>
      </c>
      <c r="M190" s="71"/>
      <c r="N190" s="10">
        <f>ROUND(M194*L190,0)</f>
        <v>73448</v>
      </c>
      <c r="O190" s="70">
        <v>0</v>
      </c>
      <c r="P190" s="10">
        <f>N190-O190</f>
        <v>73448</v>
      </c>
      <c r="Q190" s="46">
        <f t="shared" si="29"/>
        <v>100</v>
      </c>
      <c r="R190" s="10">
        <v>0</v>
      </c>
      <c r="S190" s="7">
        <f t="shared" si="22"/>
        <v>0</v>
      </c>
      <c r="T190" s="124">
        <f t="shared" si="23"/>
        <v>37</v>
      </c>
      <c r="U190" s="124">
        <f t="shared" si="24"/>
        <v>37</v>
      </c>
      <c r="V190" s="124">
        <f t="shared" si="25"/>
        <v>181</v>
      </c>
      <c r="W190" s="124">
        <f t="shared" si="26"/>
        <v>6</v>
      </c>
      <c r="X190" s="124">
        <f t="shared" si="27"/>
        <v>88385.021661537277</v>
      </c>
      <c r="Y190" s="264">
        <f t="shared" si="28"/>
        <v>181</v>
      </c>
      <c r="Z190" s="10">
        <v>37</v>
      </c>
      <c r="AA190" s="7">
        <v>37</v>
      </c>
      <c r="AB190" s="7">
        <v>181</v>
      </c>
      <c r="AC190" s="109">
        <v>6</v>
      </c>
      <c r="AD190" s="109">
        <v>88385.021661537277</v>
      </c>
      <c r="AE190" s="125"/>
      <c r="AF190" s="10"/>
      <c r="AI190" s="109"/>
      <c r="AJ190" s="109"/>
      <c r="AL190" s="10"/>
      <c r="AO190" s="109"/>
      <c r="AP190" s="109"/>
      <c r="AR190" s="10"/>
      <c r="AU190" s="109"/>
      <c r="AV190" s="109"/>
      <c r="AX190" s="10"/>
      <c r="BA190" s="109"/>
      <c r="BB190" s="109"/>
      <c r="BD190" s="10"/>
      <c r="BG190" s="109"/>
      <c r="BH190" s="109"/>
      <c r="BJ190" s="10"/>
      <c r="BM190" s="109"/>
      <c r="BN190" s="109"/>
      <c r="BP190" s="10"/>
      <c r="BS190" s="109"/>
      <c r="BT190" s="109"/>
      <c r="BV190" s="10"/>
      <c r="BY190" s="109"/>
      <c r="BZ190" s="109"/>
      <c r="CB190" s="10"/>
      <c r="CE190" s="109"/>
      <c r="CF190" s="109"/>
      <c r="CH190" s="10"/>
      <c r="CK190" s="109"/>
      <c r="CL190" s="109"/>
    </row>
    <row r="191" spans="1:90">
      <c r="A191" s="7" t="str">
        <f t="shared" si="21"/>
        <v>00370600</v>
      </c>
      <c r="B191" s="7" t="s">
        <v>2376</v>
      </c>
      <c r="C191" s="7" t="s">
        <v>2694</v>
      </c>
      <c r="D191" s="7">
        <v>182</v>
      </c>
      <c r="E191" s="7">
        <v>37</v>
      </c>
      <c r="F191" s="7" t="s">
        <v>1743</v>
      </c>
      <c r="G191" s="7">
        <v>600</v>
      </c>
      <c r="H191" s="7" t="s">
        <v>1621</v>
      </c>
      <c r="I191" s="37">
        <v>8126392</v>
      </c>
      <c r="J191" s="122">
        <v>0.98517125708141029</v>
      </c>
      <c r="K191" s="123">
        <f t="shared" si="30"/>
        <v>8144819.9814218283</v>
      </c>
      <c r="L191" s="122">
        <f>IF(K194&gt;0, K191/K194, 0)</f>
        <v>0.98926480980026155</v>
      </c>
      <c r="M191" s="71"/>
      <c r="N191" s="10">
        <f>ROUND(M194*L191,0)</f>
        <v>6768317</v>
      </c>
      <c r="O191" s="70">
        <v>6781955</v>
      </c>
      <c r="P191" s="10">
        <f>N191-O191</f>
        <v>-13638</v>
      </c>
      <c r="Q191" s="46">
        <f t="shared" si="29"/>
        <v>-0.20109245785322963</v>
      </c>
      <c r="R191" s="10">
        <v>852</v>
      </c>
      <c r="S191" s="7">
        <f t="shared" si="22"/>
        <v>0</v>
      </c>
      <c r="T191" s="124">
        <f t="shared" si="23"/>
        <v>37</v>
      </c>
      <c r="U191" s="124">
        <f t="shared" si="24"/>
        <v>600</v>
      </c>
      <c r="V191" s="124">
        <f t="shared" si="25"/>
        <v>182</v>
      </c>
      <c r="W191" s="124">
        <f t="shared" si="26"/>
        <v>829.85688598825004</v>
      </c>
      <c r="X191" s="124">
        <f t="shared" si="27"/>
        <v>8144819.9814218283</v>
      </c>
      <c r="Y191" s="264">
        <f t="shared" si="28"/>
        <v>182</v>
      </c>
      <c r="Z191" s="10">
        <v>37</v>
      </c>
      <c r="AA191" s="7">
        <v>600</v>
      </c>
      <c r="AB191" s="7">
        <v>182</v>
      </c>
      <c r="AC191" s="109">
        <v>829.85688598825004</v>
      </c>
      <c r="AD191" s="109">
        <v>8144819.9814218283</v>
      </c>
      <c r="AE191" s="125"/>
      <c r="AF191" s="10"/>
      <c r="AI191" s="109"/>
      <c r="AJ191" s="109"/>
      <c r="AL191" s="10"/>
      <c r="AO191" s="109"/>
      <c r="AP191" s="109"/>
      <c r="AR191" s="10"/>
      <c r="AU191" s="109"/>
      <c r="AV191" s="109"/>
      <c r="AX191" s="10"/>
      <c r="BA191" s="109"/>
      <c r="BB191" s="109"/>
      <c r="BD191" s="10"/>
      <c r="BG191" s="109"/>
      <c r="BH191" s="109"/>
      <c r="BJ191" s="10"/>
      <c r="BM191" s="109"/>
      <c r="BN191" s="109"/>
      <c r="BP191" s="10"/>
      <c r="BS191" s="109"/>
      <c r="BT191" s="109"/>
      <c r="BV191" s="10"/>
      <c r="BY191" s="109"/>
      <c r="BZ191" s="109"/>
      <c r="CB191" s="10"/>
      <c r="CE191" s="109"/>
      <c r="CF191" s="109"/>
      <c r="CH191" s="10"/>
      <c r="CK191" s="109"/>
      <c r="CL191" s="109"/>
    </row>
    <row r="192" spans="1:90">
      <c r="A192" s="7" t="str">
        <f t="shared" si="21"/>
        <v>00370830</v>
      </c>
      <c r="B192" s="7" t="s">
        <v>2376</v>
      </c>
      <c r="C192" s="7" t="s">
        <v>2764</v>
      </c>
      <c r="D192" s="7">
        <v>183</v>
      </c>
      <c r="E192" s="7">
        <v>37</v>
      </c>
      <c r="F192" s="7" t="s">
        <v>1303</v>
      </c>
      <c r="G192" s="7">
        <v>830</v>
      </c>
      <c r="H192" s="7" t="s">
        <v>1691</v>
      </c>
      <c r="I192" s="37">
        <v>122318</v>
      </c>
      <c r="J192" s="122">
        <v>1.4828742918589695E-2</v>
      </c>
      <c r="K192" s="123">
        <f t="shared" si="30"/>
        <v>0</v>
      </c>
      <c r="L192" s="122">
        <f>IF(K194&gt;0, K192/K194, 0)</f>
        <v>0</v>
      </c>
      <c r="M192" s="71"/>
      <c r="N192" s="10">
        <f>ROUND(M194*L192,0)</f>
        <v>0</v>
      </c>
      <c r="O192" s="70">
        <v>102082</v>
      </c>
      <c r="P192" s="10">
        <f>N192-O192</f>
        <v>-102082</v>
      </c>
      <c r="Q192" s="46">
        <f t="shared" si="29"/>
        <v>-100</v>
      </c>
      <c r="R192" s="10">
        <v>7</v>
      </c>
      <c r="S192" s="7">
        <f t="shared" si="22"/>
        <v>0</v>
      </c>
      <c r="T192" s="124">
        <f t="shared" si="23"/>
        <v>37</v>
      </c>
      <c r="U192" s="124">
        <f t="shared" si="24"/>
        <v>830</v>
      </c>
      <c r="V192" s="124">
        <f t="shared" si="25"/>
        <v>183</v>
      </c>
      <c r="W192" s="124">
        <f t="shared" si="26"/>
        <v>0</v>
      </c>
      <c r="X192" s="124">
        <f t="shared" si="27"/>
        <v>0</v>
      </c>
      <c r="Y192" s="264">
        <f t="shared" si="28"/>
        <v>183</v>
      </c>
      <c r="Z192" s="10">
        <v>37</v>
      </c>
      <c r="AA192" s="7">
        <v>830</v>
      </c>
      <c r="AB192" s="7">
        <v>183</v>
      </c>
      <c r="AC192" s="109">
        <v>0</v>
      </c>
      <c r="AD192" s="109">
        <v>0</v>
      </c>
      <c r="AE192" s="125"/>
      <c r="AF192" s="10"/>
      <c r="AI192" s="109"/>
      <c r="AJ192" s="109"/>
      <c r="AL192" s="10"/>
      <c r="AO192" s="109"/>
      <c r="AP192" s="109"/>
      <c r="AR192" s="10"/>
      <c r="AU192" s="109"/>
      <c r="AV192" s="109"/>
      <c r="AX192" s="10"/>
      <c r="BA192" s="109"/>
      <c r="BB192" s="109"/>
      <c r="BD192" s="10"/>
      <c r="BG192" s="109"/>
      <c r="BH192" s="109"/>
      <c r="BJ192" s="10"/>
      <c r="BM192" s="109"/>
      <c r="BN192" s="109"/>
      <c r="BP192" s="10"/>
      <c r="BS192" s="109"/>
      <c r="BT192" s="109"/>
      <c r="BV192" s="10"/>
      <c r="BY192" s="109"/>
      <c r="BZ192" s="109"/>
      <c r="CB192" s="10"/>
      <c r="CE192" s="109"/>
      <c r="CF192" s="109"/>
      <c r="CH192" s="10"/>
      <c r="CK192" s="109"/>
      <c r="CL192" s="109"/>
    </row>
    <row r="193" spans="1:90">
      <c r="A193" s="7" t="str">
        <f t="shared" si="21"/>
        <v>00370998</v>
      </c>
      <c r="B193" s="7" t="s">
        <v>2376</v>
      </c>
      <c r="C193" s="7" t="s">
        <v>2781</v>
      </c>
      <c r="D193" s="7">
        <v>184</v>
      </c>
      <c r="E193" s="7">
        <v>37</v>
      </c>
      <c r="F193" s="7" t="s">
        <v>2135</v>
      </c>
      <c r="G193" s="7">
        <v>998</v>
      </c>
      <c r="H193" s="7" t="s">
        <v>2135</v>
      </c>
      <c r="I193" s="37">
        <v>0</v>
      </c>
      <c r="J193" s="122">
        <v>0</v>
      </c>
      <c r="K193" s="123">
        <f t="shared" si="30"/>
        <v>0</v>
      </c>
      <c r="L193" s="122">
        <f>IF(K194&gt;0, K193/K194, 0)</f>
        <v>0</v>
      </c>
      <c r="M193" s="71"/>
      <c r="N193" s="10">
        <f>ROUND(M194*L193,0)</f>
        <v>0</v>
      </c>
      <c r="O193" s="70">
        <v>0</v>
      </c>
      <c r="P193" s="10">
        <f>N193-O193</f>
        <v>0</v>
      </c>
      <c r="Q193" s="46">
        <f t="shared" si="29"/>
        <v>0</v>
      </c>
      <c r="R193" s="10">
        <v>0</v>
      </c>
      <c r="S193" s="7">
        <f t="shared" si="22"/>
        <v>0</v>
      </c>
      <c r="T193" s="124">
        <f t="shared" si="23"/>
        <v>37</v>
      </c>
      <c r="U193" s="124">
        <f t="shared" si="24"/>
        <v>998</v>
      </c>
      <c r="V193" s="124">
        <f t="shared" si="25"/>
        <v>184</v>
      </c>
      <c r="W193" s="124">
        <f t="shared" si="26"/>
        <v>0</v>
      </c>
      <c r="X193" s="124">
        <f t="shared" si="27"/>
        <v>0</v>
      </c>
      <c r="Y193" s="264">
        <f t="shared" si="28"/>
        <v>184</v>
      </c>
      <c r="Z193" s="10">
        <v>37</v>
      </c>
      <c r="AA193" s="7">
        <v>998</v>
      </c>
      <c r="AB193" s="7">
        <v>184</v>
      </c>
      <c r="AC193" s="109">
        <v>0</v>
      </c>
      <c r="AD193" s="109">
        <v>0</v>
      </c>
      <c r="AE193" s="125"/>
      <c r="AF193" s="10"/>
      <c r="AI193" s="109"/>
      <c r="AJ193" s="109"/>
      <c r="AL193" s="10"/>
      <c r="AO193" s="109"/>
      <c r="AP193" s="109"/>
      <c r="AR193" s="10"/>
      <c r="AU193" s="109"/>
      <c r="AV193" s="109"/>
      <c r="AX193" s="10"/>
      <c r="BA193" s="109"/>
      <c r="BB193" s="109"/>
      <c r="BD193" s="10"/>
      <c r="BG193" s="109"/>
      <c r="BH193" s="109"/>
      <c r="BJ193" s="10"/>
      <c r="BM193" s="109"/>
      <c r="BN193" s="109"/>
      <c r="BP193" s="10"/>
      <c r="BS193" s="109"/>
      <c r="BT193" s="109"/>
      <c r="BV193" s="10"/>
      <c r="BY193" s="109"/>
      <c r="BZ193" s="109"/>
      <c r="CB193" s="10"/>
      <c r="CE193" s="109"/>
      <c r="CF193" s="109"/>
      <c r="CH193" s="10"/>
      <c r="CK193" s="109"/>
      <c r="CL193" s="109"/>
    </row>
    <row r="194" spans="1:90">
      <c r="A194" s="7" t="str">
        <f t="shared" si="21"/>
        <v>00370999</v>
      </c>
      <c r="B194" s="7" t="s">
        <v>2376</v>
      </c>
      <c r="C194" s="7" t="s">
        <v>2782</v>
      </c>
      <c r="D194" s="7">
        <v>185</v>
      </c>
      <c r="E194" s="11">
        <v>37</v>
      </c>
      <c r="F194" s="11" t="s">
        <v>1303</v>
      </c>
      <c r="G194" s="11">
        <v>999</v>
      </c>
      <c r="H194" s="11" t="s">
        <v>1132</v>
      </c>
      <c r="I194" s="105">
        <v>8248710</v>
      </c>
      <c r="J194" s="126">
        <v>1</v>
      </c>
      <c r="K194" s="127">
        <f>SUM(K190:K193)</f>
        <v>8233205.003083366</v>
      </c>
      <c r="L194" s="126">
        <f>SUM(L190:L193)</f>
        <v>0.99999999999999989</v>
      </c>
      <c r="M194" s="105">
        <f>VLOOKUP(E194,town351,22)</f>
        <v>6841765</v>
      </c>
      <c r="N194" s="105">
        <f>SUM(N190:N193)</f>
        <v>6841765</v>
      </c>
      <c r="O194" s="128">
        <v>6884037</v>
      </c>
      <c r="P194" s="105">
        <f>SUM(P190:P193)</f>
        <v>-42272</v>
      </c>
      <c r="Q194" s="45">
        <f t="shared" si="29"/>
        <v>-0.61405829166810111</v>
      </c>
      <c r="R194" s="105">
        <v>859</v>
      </c>
      <c r="S194" s="7">
        <f t="shared" si="22"/>
        <v>0</v>
      </c>
      <c r="T194" s="124">
        <f t="shared" si="23"/>
        <v>37</v>
      </c>
      <c r="U194" s="124">
        <f t="shared" si="24"/>
        <v>999</v>
      </c>
      <c r="V194" s="124">
        <f t="shared" si="25"/>
        <v>185</v>
      </c>
      <c r="W194" s="124">
        <f t="shared" si="26"/>
        <v>835.85688598825004</v>
      </c>
      <c r="X194" s="124">
        <f t="shared" si="27"/>
        <v>8233205.003083366</v>
      </c>
      <c r="Y194" s="264">
        <f t="shared" si="28"/>
        <v>185</v>
      </c>
      <c r="Z194" s="10">
        <v>37</v>
      </c>
      <c r="AA194" s="7">
        <v>999</v>
      </c>
      <c r="AB194" s="7">
        <v>185</v>
      </c>
      <c r="AC194" s="109">
        <v>835.85688598825004</v>
      </c>
      <c r="AD194" s="109">
        <v>8233205.003083366</v>
      </c>
      <c r="AE194" s="125"/>
      <c r="AF194" s="10"/>
      <c r="AI194" s="109"/>
      <c r="AJ194" s="109"/>
      <c r="AL194" s="10"/>
      <c r="AO194" s="109"/>
      <c r="AP194" s="109"/>
      <c r="AR194" s="10"/>
      <c r="AU194" s="109"/>
      <c r="AV194" s="109"/>
      <c r="AX194" s="10"/>
      <c r="BA194" s="109"/>
      <c r="BB194" s="109"/>
      <c r="BD194" s="10"/>
      <c r="BG194" s="109"/>
      <c r="BH194" s="109"/>
      <c r="BJ194" s="10"/>
      <c r="BM194" s="109"/>
      <c r="BN194" s="109"/>
      <c r="BP194" s="10"/>
      <c r="BS194" s="109"/>
      <c r="BT194" s="109"/>
      <c r="BV194" s="10"/>
      <c r="BY194" s="109"/>
      <c r="BZ194" s="109"/>
      <c r="CB194" s="10"/>
      <c r="CE194" s="109"/>
      <c r="CF194" s="109"/>
      <c r="CH194" s="10"/>
      <c r="CK194" s="109"/>
      <c r="CL194" s="109"/>
    </row>
    <row r="195" spans="1:90">
      <c r="A195" s="7" t="str">
        <f t="shared" si="21"/>
        <v>00380038</v>
      </c>
      <c r="B195" s="7" t="s">
        <v>2377</v>
      </c>
      <c r="C195" s="7" t="s">
        <v>2377</v>
      </c>
      <c r="D195" s="7">
        <v>186</v>
      </c>
      <c r="E195" s="7">
        <v>38</v>
      </c>
      <c r="F195" s="7" t="s">
        <v>1304</v>
      </c>
      <c r="G195" s="7">
        <v>38</v>
      </c>
      <c r="H195" s="7" t="s">
        <v>1304</v>
      </c>
      <c r="I195" s="37">
        <v>6361983.2980000013</v>
      </c>
      <c r="J195" s="122">
        <v>0.45437427187769114</v>
      </c>
      <c r="K195" s="123">
        <f>X195</f>
        <v>6728318.9448366938</v>
      </c>
      <c r="L195" s="122">
        <f>IF(K199&gt;0, K195/K199, 0)</f>
        <v>0.47375945426251553</v>
      </c>
      <c r="M195" s="71"/>
      <c r="N195" s="10">
        <f>ROUND(M199*L195,0)</f>
        <v>5579890</v>
      </c>
      <c r="O195" s="70">
        <v>5310704</v>
      </c>
      <c r="P195" s="10">
        <f>N195-O195</f>
        <v>269186</v>
      </c>
      <c r="Q195" s="46">
        <f t="shared" si="29"/>
        <v>5.0687441815623693</v>
      </c>
      <c r="R195" s="10">
        <v>718</v>
      </c>
      <c r="S195" s="7">
        <f t="shared" si="22"/>
        <v>0</v>
      </c>
      <c r="T195" s="124">
        <f t="shared" si="23"/>
        <v>38</v>
      </c>
      <c r="U195" s="124">
        <f t="shared" si="24"/>
        <v>38</v>
      </c>
      <c r="V195" s="124">
        <f t="shared" si="25"/>
        <v>186</v>
      </c>
      <c r="W195" s="124">
        <f t="shared" si="26"/>
        <v>739</v>
      </c>
      <c r="X195" s="124">
        <f t="shared" si="27"/>
        <v>6728318.9448366938</v>
      </c>
      <c r="Y195" s="264">
        <f t="shared" si="28"/>
        <v>186</v>
      </c>
      <c r="Z195" s="10">
        <v>38</v>
      </c>
      <c r="AA195" s="7">
        <v>38</v>
      </c>
      <c r="AB195" s="7">
        <v>186</v>
      </c>
      <c r="AC195" s="109">
        <v>739</v>
      </c>
      <c r="AD195" s="109">
        <v>6728318.9448366938</v>
      </c>
      <c r="AE195" s="125"/>
      <c r="AF195" s="10"/>
      <c r="AI195" s="109"/>
      <c r="AJ195" s="109"/>
      <c r="AL195" s="10"/>
      <c r="AO195" s="109"/>
      <c r="AP195" s="109"/>
      <c r="AR195" s="10"/>
      <c r="AU195" s="109"/>
      <c r="AV195" s="109"/>
      <c r="AX195" s="10"/>
      <c r="BA195" s="109"/>
      <c r="BB195" s="109"/>
      <c r="BD195" s="10"/>
      <c r="BG195" s="109"/>
      <c r="BH195" s="109"/>
      <c r="BJ195" s="10"/>
      <c r="BM195" s="109"/>
      <c r="BN195" s="109"/>
      <c r="BP195" s="10"/>
      <c r="BS195" s="109"/>
      <c r="BT195" s="109"/>
      <c r="BV195" s="10"/>
      <c r="BY195" s="109"/>
      <c r="BZ195" s="109"/>
      <c r="CB195" s="10"/>
      <c r="CE195" s="109"/>
      <c r="CF195" s="109"/>
      <c r="CH195" s="10"/>
      <c r="CK195" s="109"/>
      <c r="CL195" s="109"/>
    </row>
    <row r="196" spans="1:90">
      <c r="A196" s="7" t="str">
        <f t="shared" si="21"/>
        <v>00380705</v>
      </c>
      <c r="B196" s="7" t="s">
        <v>2377</v>
      </c>
      <c r="C196" s="7" t="s">
        <v>2726</v>
      </c>
      <c r="D196" s="7">
        <v>187</v>
      </c>
      <c r="E196" s="7">
        <v>38</v>
      </c>
      <c r="F196" s="7" t="s">
        <v>1304</v>
      </c>
      <c r="G196" s="7">
        <v>705</v>
      </c>
      <c r="H196" s="7" t="s">
        <v>1653</v>
      </c>
      <c r="I196" s="37">
        <v>7292763</v>
      </c>
      <c r="J196" s="122">
        <v>0.52085076663801799</v>
      </c>
      <c r="K196" s="123">
        <f t="shared" si="30"/>
        <v>7187322.8123042211</v>
      </c>
      <c r="L196" s="122">
        <f>IF(K199&gt;0, K196/K199, 0)</f>
        <v>0.50607917981932438</v>
      </c>
      <c r="M196" s="71"/>
      <c r="N196" s="10">
        <f>ROUND(M199*L196,0)</f>
        <v>5960548</v>
      </c>
      <c r="O196" s="70">
        <v>6087678</v>
      </c>
      <c r="P196" s="10">
        <f>N196-O196</f>
        <v>-127130</v>
      </c>
      <c r="Q196" s="46">
        <f t="shared" si="29"/>
        <v>-2.0883167605119719</v>
      </c>
      <c r="R196" s="10">
        <v>742</v>
      </c>
      <c r="S196" s="7">
        <f t="shared" si="22"/>
        <v>0</v>
      </c>
      <c r="T196" s="124">
        <f t="shared" si="23"/>
        <v>38</v>
      </c>
      <c r="U196" s="124">
        <f t="shared" si="24"/>
        <v>705</v>
      </c>
      <c r="V196" s="124">
        <f t="shared" si="25"/>
        <v>187</v>
      </c>
      <c r="W196" s="124">
        <f t="shared" si="26"/>
        <v>712.37852205785998</v>
      </c>
      <c r="X196" s="124">
        <f t="shared" si="27"/>
        <v>7187322.8123042211</v>
      </c>
      <c r="Y196" s="264">
        <f t="shared" si="28"/>
        <v>187</v>
      </c>
      <c r="Z196" s="10">
        <v>38</v>
      </c>
      <c r="AA196" s="7">
        <v>705</v>
      </c>
      <c r="AB196" s="7">
        <v>187</v>
      </c>
      <c r="AC196" s="109">
        <v>712.37852205785998</v>
      </c>
      <c r="AD196" s="109">
        <v>7187322.8123042211</v>
      </c>
      <c r="AE196" s="125"/>
      <c r="AF196" s="10"/>
      <c r="AI196" s="109"/>
      <c r="AJ196" s="109"/>
      <c r="AL196" s="10"/>
      <c r="AO196" s="109"/>
      <c r="AP196" s="109"/>
      <c r="AR196" s="10"/>
      <c r="AU196" s="109"/>
      <c r="AV196" s="109"/>
      <c r="AX196" s="10"/>
      <c r="BA196" s="109"/>
      <c r="BB196" s="109"/>
      <c r="BD196" s="10"/>
      <c r="BG196" s="109"/>
      <c r="BH196" s="109"/>
      <c r="BJ196" s="10"/>
      <c r="BM196" s="109"/>
      <c r="BN196" s="109"/>
      <c r="BP196" s="10"/>
      <c r="BS196" s="109"/>
      <c r="BT196" s="109"/>
      <c r="BV196" s="10"/>
      <c r="BY196" s="109"/>
      <c r="BZ196" s="109"/>
      <c r="CB196" s="10"/>
      <c r="CE196" s="109"/>
      <c r="CF196" s="109"/>
      <c r="CH196" s="10"/>
      <c r="CK196" s="109"/>
      <c r="CL196" s="109"/>
    </row>
    <row r="197" spans="1:90">
      <c r="A197" s="7" t="str">
        <f t="shared" si="21"/>
        <v>00380817</v>
      </c>
      <c r="B197" s="7" t="s">
        <v>2377</v>
      </c>
      <c r="C197" s="7" t="s">
        <v>2757</v>
      </c>
      <c r="D197" s="7">
        <v>188</v>
      </c>
      <c r="E197" s="7">
        <v>38</v>
      </c>
      <c r="F197" s="7" t="s">
        <v>1304</v>
      </c>
      <c r="G197" s="7">
        <v>817</v>
      </c>
      <c r="H197" s="7" t="s">
        <v>1684</v>
      </c>
      <c r="I197" s="37">
        <v>346890</v>
      </c>
      <c r="J197" s="122">
        <v>2.4774961484290939E-2</v>
      </c>
      <c r="K197" s="123">
        <f t="shared" si="30"/>
        <v>286331.17300446273</v>
      </c>
      <c r="L197" s="122">
        <f>IF(K199&gt;0, K197/K199, 0)</f>
        <v>2.0161365918159913E-2</v>
      </c>
      <c r="M197" s="71"/>
      <c r="N197" s="10">
        <f>ROUND(M199*L197,0)</f>
        <v>237458</v>
      </c>
      <c r="O197" s="70">
        <v>289569</v>
      </c>
      <c r="P197" s="10">
        <f>N197-O197</f>
        <v>-52111</v>
      </c>
      <c r="Q197" s="46">
        <f t="shared" si="29"/>
        <v>-17.996056207674165</v>
      </c>
      <c r="R197" s="10">
        <v>22</v>
      </c>
      <c r="S197" s="7">
        <f t="shared" si="22"/>
        <v>0</v>
      </c>
      <c r="T197" s="124">
        <f t="shared" si="23"/>
        <v>38</v>
      </c>
      <c r="U197" s="124">
        <f t="shared" si="24"/>
        <v>817</v>
      </c>
      <c r="V197" s="124">
        <f t="shared" si="25"/>
        <v>188</v>
      </c>
      <c r="W197" s="124">
        <f t="shared" si="26"/>
        <v>18.000000000060002</v>
      </c>
      <c r="X197" s="124">
        <f t="shared" si="27"/>
        <v>286331.17300446273</v>
      </c>
      <c r="Y197" s="264">
        <f t="shared" si="28"/>
        <v>188</v>
      </c>
      <c r="Z197" s="10">
        <v>38</v>
      </c>
      <c r="AA197" s="7">
        <v>817</v>
      </c>
      <c r="AB197" s="7">
        <v>188</v>
      </c>
      <c r="AC197" s="109">
        <v>18.000000000060002</v>
      </c>
      <c r="AD197" s="109">
        <v>286331.17300446273</v>
      </c>
      <c r="AE197" s="125"/>
      <c r="AF197" s="10"/>
      <c r="AI197" s="109"/>
      <c r="AJ197" s="109"/>
      <c r="AL197" s="10"/>
      <c r="AO197" s="109"/>
      <c r="AP197" s="109"/>
      <c r="AR197" s="10"/>
      <c r="AU197" s="109"/>
      <c r="AV197" s="109"/>
      <c r="AX197" s="10"/>
      <c r="BA197" s="109"/>
      <c r="BB197" s="109"/>
      <c r="BD197" s="10"/>
      <c r="BG197" s="109"/>
      <c r="BH197" s="109"/>
      <c r="BJ197" s="10"/>
      <c r="BM197" s="109"/>
      <c r="BN197" s="109"/>
      <c r="BP197" s="10"/>
      <c r="BS197" s="109"/>
      <c r="BT197" s="109"/>
      <c r="BV197" s="10"/>
      <c r="BY197" s="109"/>
      <c r="BZ197" s="109"/>
      <c r="CB197" s="10"/>
      <c r="CE197" s="109"/>
      <c r="CF197" s="109"/>
      <c r="CH197" s="10"/>
      <c r="CK197" s="109"/>
      <c r="CL197" s="109"/>
    </row>
    <row r="198" spans="1:90">
      <c r="A198" s="7" t="str">
        <f t="shared" si="21"/>
        <v>00380998</v>
      </c>
      <c r="B198" s="7" t="s">
        <v>2377</v>
      </c>
      <c r="C198" s="7" t="s">
        <v>2781</v>
      </c>
      <c r="D198" s="7">
        <v>189</v>
      </c>
      <c r="E198" s="7">
        <v>38</v>
      </c>
      <c r="F198" s="7" t="s">
        <v>2135</v>
      </c>
      <c r="G198" s="7">
        <v>998</v>
      </c>
      <c r="I198" s="129">
        <v>0</v>
      </c>
      <c r="J198" s="130">
        <v>0</v>
      </c>
      <c r="K198" s="123">
        <f t="shared" si="30"/>
        <v>0</v>
      </c>
      <c r="L198" s="122">
        <f>IF(K199&gt;0, K198/K199, 0)</f>
        <v>0</v>
      </c>
      <c r="M198" s="71"/>
      <c r="N198" s="10">
        <f>ROUND(M199*L198,0)</f>
        <v>0</v>
      </c>
      <c r="O198" s="70">
        <v>0</v>
      </c>
      <c r="P198" s="10">
        <f>N198-O198</f>
        <v>0</v>
      </c>
      <c r="Q198" s="46">
        <f t="shared" si="29"/>
        <v>0</v>
      </c>
      <c r="R198" s="10">
        <v>0</v>
      </c>
      <c r="S198" s="7">
        <f t="shared" si="22"/>
        <v>0</v>
      </c>
      <c r="T198" s="124">
        <f t="shared" si="23"/>
        <v>38</v>
      </c>
      <c r="U198" s="124">
        <f t="shared" si="24"/>
        <v>998</v>
      </c>
      <c r="V198" s="124">
        <f t="shared" si="25"/>
        <v>189</v>
      </c>
      <c r="W198" s="124">
        <f t="shared" si="26"/>
        <v>0</v>
      </c>
      <c r="X198" s="124">
        <f t="shared" si="27"/>
        <v>0</v>
      </c>
      <c r="Y198" s="264">
        <f t="shared" si="28"/>
        <v>189</v>
      </c>
      <c r="Z198" s="10">
        <v>38</v>
      </c>
      <c r="AA198" s="7">
        <v>998</v>
      </c>
      <c r="AB198" s="7">
        <v>189</v>
      </c>
      <c r="AC198" s="109">
        <v>0</v>
      </c>
      <c r="AD198" s="109">
        <v>0</v>
      </c>
      <c r="AE198" s="125"/>
      <c r="AF198" s="10"/>
      <c r="AI198" s="109"/>
      <c r="AJ198" s="109"/>
      <c r="AL198" s="10"/>
      <c r="AO198" s="109"/>
      <c r="AP198" s="109"/>
      <c r="AR198" s="10"/>
      <c r="AU198" s="109"/>
      <c r="AV198" s="109"/>
      <c r="AX198" s="10"/>
      <c r="BA198" s="109"/>
      <c r="BB198" s="109"/>
      <c r="BD198" s="10"/>
      <c r="BG198" s="109"/>
      <c r="BH198" s="109"/>
      <c r="BJ198" s="10"/>
      <c r="BM198" s="109"/>
      <c r="BN198" s="109"/>
      <c r="BP198" s="10"/>
      <c r="BS198" s="109"/>
      <c r="BT198" s="109"/>
      <c r="BV198" s="10"/>
      <c r="BY198" s="109"/>
      <c r="BZ198" s="109"/>
      <c r="CB198" s="10"/>
      <c r="CE198" s="109"/>
      <c r="CF198" s="109"/>
      <c r="CH198" s="10"/>
      <c r="CK198" s="109"/>
      <c r="CL198" s="109"/>
    </row>
    <row r="199" spans="1:90">
      <c r="A199" s="7" t="str">
        <f t="shared" si="21"/>
        <v>00380999</v>
      </c>
      <c r="B199" s="7" t="s">
        <v>2377</v>
      </c>
      <c r="C199" s="7" t="s">
        <v>2782</v>
      </c>
      <c r="D199" s="7">
        <v>190</v>
      </c>
      <c r="E199" s="11">
        <v>38</v>
      </c>
      <c r="F199" s="11" t="s">
        <v>1744</v>
      </c>
      <c r="G199" s="11">
        <v>999</v>
      </c>
      <c r="H199" s="11" t="s">
        <v>1132</v>
      </c>
      <c r="I199" s="105">
        <v>14001636.298</v>
      </c>
      <c r="J199" s="126">
        <v>1</v>
      </c>
      <c r="K199" s="127">
        <f>SUM(K195:K198)</f>
        <v>14201972.930145379</v>
      </c>
      <c r="L199" s="126">
        <f>SUM(L195:L198)</f>
        <v>0.99999999999999978</v>
      </c>
      <c r="M199" s="105">
        <f>VLOOKUP(E199,town351,22)</f>
        <v>11777896</v>
      </c>
      <c r="N199" s="105">
        <f>SUM(N195:N198)</f>
        <v>11777896</v>
      </c>
      <c r="O199" s="128">
        <v>11687951</v>
      </c>
      <c r="P199" s="105">
        <f>SUM(P195:P198)</f>
        <v>89945</v>
      </c>
      <c r="Q199" s="45">
        <f t="shared" si="29"/>
        <v>0.76955319200089045</v>
      </c>
      <c r="R199" s="105">
        <v>1482</v>
      </c>
      <c r="S199" s="7">
        <f t="shared" si="22"/>
        <v>0</v>
      </c>
      <c r="T199" s="124">
        <f t="shared" si="23"/>
        <v>38</v>
      </c>
      <c r="U199" s="124">
        <f t="shared" si="24"/>
        <v>999</v>
      </c>
      <c r="V199" s="124">
        <f t="shared" si="25"/>
        <v>190</v>
      </c>
      <c r="W199" s="124">
        <f t="shared" si="26"/>
        <v>1469.37852205792</v>
      </c>
      <c r="X199" s="124">
        <f t="shared" si="27"/>
        <v>14201972.930145379</v>
      </c>
      <c r="Y199" s="264">
        <f t="shared" si="28"/>
        <v>190</v>
      </c>
      <c r="Z199" s="10">
        <v>38</v>
      </c>
      <c r="AA199" s="7">
        <v>999</v>
      </c>
      <c r="AB199" s="7">
        <v>190</v>
      </c>
      <c r="AC199" s="109">
        <v>1469.37852205792</v>
      </c>
      <c r="AD199" s="109">
        <v>14201972.930145379</v>
      </c>
      <c r="AE199" s="125"/>
      <c r="AF199" s="10"/>
      <c r="AI199" s="109"/>
      <c r="AJ199" s="109"/>
      <c r="AL199" s="10"/>
      <c r="AO199" s="109"/>
      <c r="AP199" s="109"/>
      <c r="AR199" s="10"/>
      <c r="AU199" s="109"/>
      <c r="AV199" s="109"/>
      <c r="AX199" s="10"/>
      <c r="BA199" s="109"/>
      <c r="BB199" s="109"/>
      <c r="BD199" s="10"/>
      <c r="BG199" s="109"/>
      <c r="BH199" s="109"/>
      <c r="BJ199" s="10"/>
      <c r="BM199" s="109"/>
      <c r="BN199" s="109"/>
      <c r="BP199" s="10"/>
      <c r="BS199" s="109"/>
      <c r="BT199" s="109"/>
      <c r="BV199" s="10"/>
      <c r="BY199" s="109"/>
      <c r="BZ199" s="109"/>
      <c r="CB199" s="10"/>
      <c r="CE199" s="109"/>
      <c r="CF199" s="109"/>
      <c r="CH199" s="10"/>
      <c r="CK199" s="109"/>
      <c r="CL199" s="109"/>
    </row>
    <row r="200" spans="1:90">
      <c r="A200" s="7" t="str">
        <f t="shared" si="21"/>
        <v>00390039</v>
      </c>
      <c r="B200" s="7" t="s">
        <v>2378</v>
      </c>
      <c r="C200" s="7" t="s">
        <v>2378</v>
      </c>
      <c r="D200" s="7">
        <v>191</v>
      </c>
      <c r="E200" s="7">
        <v>39</v>
      </c>
      <c r="F200" s="7" t="s">
        <v>1745</v>
      </c>
      <c r="G200" s="7">
        <v>39</v>
      </c>
      <c r="H200" s="7" t="s">
        <v>1305</v>
      </c>
      <c r="I200" s="37">
        <v>2586705.9099999997</v>
      </c>
      <c r="J200" s="122">
        <v>0.45396655163065514</v>
      </c>
      <c r="K200" s="123">
        <f>X200</f>
        <v>2629403.7758567845</v>
      </c>
      <c r="L200" s="122">
        <f>IF(K204&gt;0, K200/K204, 0)</f>
        <v>0.44098188612435779</v>
      </c>
      <c r="M200" s="71"/>
      <c r="N200" s="10">
        <f>ROUND(M204*L200,0)</f>
        <v>2172204</v>
      </c>
      <c r="O200" s="70">
        <v>2165226</v>
      </c>
      <c r="P200" s="10">
        <f>N200-O200</f>
        <v>6978</v>
      </c>
      <c r="Q200" s="46">
        <f t="shared" si="29"/>
        <v>0.32227582709610914</v>
      </c>
      <c r="R200" s="10">
        <v>275</v>
      </c>
      <c r="S200" s="7">
        <f t="shared" si="22"/>
        <v>0</v>
      </c>
      <c r="T200" s="124">
        <f t="shared" si="23"/>
        <v>39</v>
      </c>
      <c r="U200" s="124">
        <f t="shared" si="24"/>
        <v>39</v>
      </c>
      <c r="V200" s="124">
        <f t="shared" si="25"/>
        <v>191</v>
      </c>
      <c r="W200" s="124">
        <f t="shared" si="26"/>
        <v>275</v>
      </c>
      <c r="X200" s="124">
        <f t="shared" si="27"/>
        <v>2629403.7758567845</v>
      </c>
      <c r="Y200" s="264">
        <f t="shared" si="28"/>
        <v>191</v>
      </c>
      <c r="Z200" s="10">
        <v>39</v>
      </c>
      <c r="AA200" s="7">
        <v>39</v>
      </c>
      <c r="AB200" s="7">
        <v>191</v>
      </c>
      <c r="AC200" s="109">
        <v>275</v>
      </c>
      <c r="AD200" s="109">
        <v>2629403.7758567845</v>
      </c>
      <c r="AE200" s="125"/>
      <c r="AF200" s="10"/>
      <c r="AI200" s="109"/>
      <c r="AJ200" s="109"/>
      <c r="AL200" s="10"/>
      <c r="AO200" s="109"/>
      <c r="AP200" s="109"/>
      <c r="AR200" s="10"/>
      <c r="AU200" s="109"/>
      <c r="AV200" s="109"/>
      <c r="AX200" s="10"/>
      <c r="BA200" s="109"/>
      <c r="BB200" s="109"/>
      <c r="BD200" s="10"/>
      <c r="BG200" s="109"/>
      <c r="BH200" s="109"/>
      <c r="BJ200" s="10"/>
      <c r="BM200" s="109"/>
      <c r="BN200" s="109"/>
      <c r="BP200" s="10"/>
      <c r="BS200" s="109"/>
      <c r="BT200" s="109"/>
      <c r="BV200" s="10"/>
      <c r="BY200" s="109"/>
      <c r="BZ200" s="109"/>
      <c r="CB200" s="10"/>
      <c r="CE200" s="109"/>
      <c r="CF200" s="109"/>
      <c r="CH200" s="10"/>
      <c r="CK200" s="109"/>
      <c r="CL200" s="109"/>
    </row>
    <row r="201" spans="1:90">
      <c r="A201" s="7" t="str">
        <f t="shared" si="21"/>
        <v>00390620</v>
      </c>
      <c r="B201" s="7" t="s">
        <v>2378</v>
      </c>
      <c r="C201" s="7" t="s">
        <v>2701</v>
      </c>
      <c r="D201" s="7">
        <v>192</v>
      </c>
      <c r="E201" s="7">
        <v>39</v>
      </c>
      <c r="F201" s="7" t="s">
        <v>1745</v>
      </c>
      <c r="G201" s="7">
        <v>620</v>
      </c>
      <c r="H201" s="7" t="s">
        <v>1628</v>
      </c>
      <c r="I201" s="37">
        <v>3111304</v>
      </c>
      <c r="J201" s="122">
        <v>0.54603344836934475</v>
      </c>
      <c r="K201" s="123">
        <f t="shared" si="30"/>
        <v>3333207.9744029245</v>
      </c>
      <c r="L201" s="122">
        <f>IF(K204&gt;0, K201/K204, 0)</f>
        <v>0.55901811387564226</v>
      </c>
      <c r="M201" s="71"/>
      <c r="N201" s="10">
        <f>ROUND(M204*L201,0)</f>
        <v>2753632</v>
      </c>
      <c r="O201" s="70">
        <v>2604345</v>
      </c>
      <c r="P201" s="10">
        <f>N201-O201</f>
        <v>149287</v>
      </c>
      <c r="Q201" s="46">
        <f t="shared" si="29"/>
        <v>5.73222825700896</v>
      </c>
      <c r="R201" s="10">
        <v>327</v>
      </c>
      <c r="S201" s="7">
        <f t="shared" si="22"/>
        <v>0</v>
      </c>
      <c r="T201" s="124">
        <f t="shared" si="23"/>
        <v>39</v>
      </c>
      <c r="U201" s="124">
        <f t="shared" si="24"/>
        <v>620</v>
      </c>
      <c r="V201" s="124">
        <f t="shared" si="25"/>
        <v>192</v>
      </c>
      <c r="W201" s="124">
        <f t="shared" si="26"/>
        <v>343.00000000260002</v>
      </c>
      <c r="X201" s="124">
        <f t="shared" si="27"/>
        <v>3333207.9744029245</v>
      </c>
      <c r="Y201" s="264">
        <f t="shared" si="28"/>
        <v>192</v>
      </c>
      <c r="Z201" s="10">
        <v>39</v>
      </c>
      <c r="AA201" s="7">
        <v>620</v>
      </c>
      <c r="AB201" s="7">
        <v>192</v>
      </c>
      <c r="AC201" s="109">
        <v>343.00000000260002</v>
      </c>
      <c r="AD201" s="109">
        <v>3333207.9744029245</v>
      </c>
      <c r="AE201" s="125"/>
      <c r="AF201" s="10"/>
      <c r="AI201" s="109"/>
      <c r="AJ201" s="109"/>
      <c r="AL201" s="10"/>
      <c r="AO201" s="109"/>
      <c r="AP201" s="109"/>
      <c r="AR201" s="10"/>
      <c r="AU201" s="109"/>
      <c r="AV201" s="109"/>
      <c r="AX201" s="10"/>
      <c r="BA201" s="109"/>
      <c r="BB201" s="109"/>
      <c r="BD201" s="10"/>
      <c r="BG201" s="109"/>
      <c r="BH201" s="109"/>
      <c r="BJ201" s="10"/>
      <c r="BM201" s="109"/>
      <c r="BN201" s="109"/>
      <c r="BP201" s="10"/>
      <c r="BS201" s="109"/>
      <c r="BT201" s="109"/>
      <c r="BV201" s="10"/>
      <c r="BY201" s="109"/>
      <c r="BZ201" s="109"/>
      <c r="CB201" s="10"/>
      <c r="CE201" s="109"/>
      <c r="CF201" s="109"/>
      <c r="CH201" s="10"/>
      <c r="CK201" s="109"/>
      <c r="CL201" s="109"/>
    </row>
    <row r="202" spans="1:90">
      <c r="A202" s="7" t="str">
        <f t="shared" ref="A202:A265" si="31">B202&amp;C202</f>
        <v>00390998</v>
      </c>
      <c r="B202" s="7" t="s">
        <v>2378</v>
      </c>
      <c r="C202" s="7" t="s">
        <v>2781</v>
      </c>
      <c r="D202" s="7">
        <v>193</v>
      </c>
      <c r="E202" s="7">
        <v>39</v>
      </c>
      <c r="F202" s="7" t="s">
        <v>2135</v>
      </c>
      <c r="G202" s="7">
        <v>998</v>
      </c>
      <c r="H202" s="7" t="s">
        <v>2135</v>
      </c>
      <c r="I202" s="37">
        <v>0</v>
      </c>
      <c r="J202" s="122">
        <v>0</v>
      </c>
      <c r="K202" s="123">
        <f t="shared" si="30"/>
        <v>0</v>
      </c>
      <c r="L202" s="122">
        <f>IF(K204&gt;0, K202/K204, 0)</f>
        <v>0</v>
      </c>
      <c r="M202" s="71"/>
      <c r="N202" s="10">
        <f>ROUND(M204*L202,0)</f>
        <v>0</v>
      </c>
      <c r="O202" s="70">
        <v>0</v>
      </c>
      <c r="P202" s="10">
        <f>N202-O202</f>
        <v>0</v>
      </c>
      <c r="Q202" s="46">
        <f t="shared" si="29"/>
        <v>0</v>
      </c>
      <c r="R202" s="10">
        <v>0</v>
      </c>
      <c r="S202" s="7">
        <f t="shared" ref="S202:S265" si="32">ABS(T202-E202)+ABS(U202-G202)</f>
        <v>0</v>
      </c>
      <c r="T202" s="124">
        <f t="shared" ref="T202:T265" si="33">VLOOKUP($D202, foundoptions, VLOOKUP($T$6, foundoptcell, 2, FALSE), FALSE)</f>
        <v>39</v>
      </c>
      <c r="U202" s="124">
        <f t="shared" ref="U202:U265" si="34">VLOOKUP($D202, foundoptions, VLOOKUP($T$6, foundoptcell, 2, FALSE)+1, FALSE)</f>
        <v>998</v>
      </c>
      <c r="V202" s="124">
        <f t="shared" ref="V202:V265" si="35">VLOOKUP($D202, foundoptions, VLOOKUP($T$6, foundoptcell, 2, FALSE)+2, FALSE)</f>
        <v>193</v>
      </c>
      <c r="W202" s="124">
        <f t="shared" ref="W202:W265" si="36">VLOOKUP($D202, foundoptions, VLOOKUP($T$6, foundoptcell, 2, FALSE)+3, FALSE)</f>
        <v>0</v>
      </c>
      <c r="X202" s="124">
        <f t="shared" ref="X202:X265" si="37">VLOOKUP($D202, foundoptions, VLOOKUP($T$6, foundoptcell, 2, FALSE)+4, FALSE)</f>
        <v>0</v>
      </c>
      <c r="Y202" s="264">
        <f t="shared" si="28"/>
        <v>193</v>
      </c>
      <c r="Z202" s="10">
        <v>39</v>
      </c>
      <c r="AA202" s="7">
        <v>998</v>
      </c>
      <c r="AB202" s="7">
        <v>193</v>
      </c>
      <c r="AC202" s="109">
        <v>0</v>
      </c>
      <c r="AD202" s="109">
        <v>0</v>
      </c>
      <c r="AE202" s="125"/>
      <c r="AF202" s="10"/>
      <c r="AI202" s="109"/>
      <c r="AJ202" s="109"/>
      <c r="AL202" s="10"/>
      <c r="AO202" s="109"/>
      <c r="AP202" s="109"/>
      <c r="AR202" s="10"/>
      <c r="AU202" s="109"/>
      <c r="AV202" s="109"/>
      <c r="AX202" s="10"/>
      <c r="BA202" s="109"/>
      <c r="BB202" s="109"/>
      <c r="BD202" s="10"/>
      <c r="BG202" s="109"/>
      <c r="BH202" s="109"/>
      <c r="BJ202" s="10"/>
      <c r="BM202" s="109"/>
      <c r="BN202" s="109"/>
      <c r="BP202" s="10"/>
      <c r="BS202" s="109"/>
      <c r="BT202" s="109"/>
      <c r="BV202" s="10"/>
      <c r="BY202" s="109"/>
      <c r="BZ202" s="109"/>
      <c r="CB202" s="10"/>
      <c r="CE202" s="109"/>
      <c r="CF202" s="109"/>
      <c r="CH202" s="10"/>
      <c r="CK202" s="109"/>
      <c r="CL202" s="109"/>
    </row>
    <row r="203" spans="1:90">
      <c r="A203" s="7" t="str">
        <f t="shared" si="31"/>
        <v>00390998</v>
      </c>
      <c r="B203" s="7" t="s">
        <v>2378</v>
      </c>
      <c r="C203" s="7" t="s">
        <v>2781</v>
      </c>
      <c r="D203" s="7">
        <v>194</v>
      </c>
      <c r="E203" s="7">
        <v>39</v>
      </c>
      <c r="F203" s="7" t="s">
        <v>2135</v>
      </c>
      <c r="G203" s="7">
        <v>998</v>
      </c>
      <c r="H203" s="7" t="s">
        <v>2135</v>
      </c>
      <c r="I203" s="37">
        <v>0</v>
      </c>
      <c r="J203" s="122">
        <v>0</v>
      </c>
      <c r="K203" s="123">
        <f t="shared" si="30"/>
        <v>0</v>
      </c>
      <c r="L203" s="122">
        <f>IF(K204&gt;0, K203/K204, 0)</f>
        <v>0</v>
      </c>
      <c r="M203" s="71"/>
      <c r="N203" s="10">
        <f>ROUND(M204*L203,0)</f>
        <v>0</v>
      </c>
      <c r="O203" s="70">
        <v>0</v>
      </c>
      <c r="P203" s="10">
        <f>N203-O203</f>
        <v>0</v>
      </c>
      <c r="Q203" s="46">
        <f t="shared" si="29"/>
        <v>0</v>
      </c>
      <c r="R203" s="10">
        <v>0</v>
      </c>
      <c r="S203" s="7">
        <f t="shared" si="32"/>
        <v>0</v>
      </c>
      <c r="T203" s="124">
        <f t="shared" si="33"/>
        <v>39</v>
      </c>
      <c r="U203" s="124">
        <f t="shared" si="34"/>
        <v>998</v>
      </c>
      <c r="V203" s="124">
        <f t="shared" si="35"/>
        <v>194</v>
      </c>
      <c r="W203" s="124">
        <f t="shared" si="36"/>
        <v>0</v>
      </c>
      <c r="X203" s="124">
        <f t="shared" si="37"/>
        <v>0</v>
      </c>
      <c r="Y203" s="264">
        <f t="shared" ref="Y203:Y266" si="38">D203</f>
        <v>194</v>
      </c>
      <c r="Z203" s="10">
        <v>39</v>
      </c>
      <c r="AA203" s="7">
        <v>998</v>
      </c>
      <c r="AB203" s="7">
        <v>194</v>
      </c>
      <c r="AC203" s="109">
        <v>0</v>
      </c>
      <c r="AD203" s="109">
        <v>0</v>
      </c>
      <c r="AE203" s="125"/>
      <c r="AF203" s="10"/>
      <c r="AI203" s="109"/>
      <c r="AJ203" s="109"/>
      <c r="AL203" s="10"/>
      <c r="AO203" s="109"/>
      <c r="AP203" s="109"/>
      <c r="AR203" s="10"/>
      <c r="AU203" s="109"/>
      <c r="AV203" s="109"/>
      <c r="AX203" s="10"/>
      <c r="BA203" s="109"/>
      <c r="BB203" s="109"/>
      <c r="BD203" s="10"/>
      <c r="BG203" s="109"/>
      <c r="BH203" s="109"/>
      <c r="BJ203" s="10"/>
      <c r="BM203" s="109"/>
      <c r="BN203" s="109"/>
      <c r="BP203" s="10"/>
      <c r="BS203" s="109"/>
      <c r="BT203" s="109"/>
      <c r="BV203" s="10"/>
      <c r="BY203" s="109"/>
      <c r="BZ203" s="109"/>
      <c r="CB203" s="10"/>
      <c r="CE203" s="109"/>
      <c r="CF203" s="109"/>
      <c r="CH203" s="10"/>
      <c r="CK203" s="109"/>
      <c r="CL203" s="109"/>
    </row>
    <row r="204" spans="1:90">
      <c r="A204" s="7" t="str">
        <f t="shared" si="31"/>
        <v>00390999</v>
      </c>
      <c r="B204" s="7" t="s">
        <v>2378</v>
      </c>
      <c r="C204" s="7" t="s">
        <v>2782</v>
      </c>
      <c r="D204" s="7">
        <v>195</v>
      </c>
      <c r="E204" s="11">
        <v>39</v>
      </c>
      <c r="F204" s="11" t="s">
        <v>1745</v>
      </c>
      <c r="G204" s="11">
        <v>999</v>
      </c>
      <c r="H204" s="11" t="s">
        <v>1132</v>
      </c>
      <c r="I204" s="105">
        <v>5698009.9100000001</v>
      </c>
      <c r="J204" s="126">
        <v>0.99999999999999989</v>
      </c>
      <c r="K204" s="127">
        <f>SUM(K200:K203)</f>
        <v>5962611.7502597086</v>
      </c>
      <c r="L204" s="126">
        <f>SUM(L200:L203)</f>
        <v>1</v>
      </c>
      <c r="M204" s="105">
        <f>VLOOKUP(E204,town351,22)</f>
        <v>4925836</v>
      </c>
      <c r="N204" s="105">
        <f>SUM(N200:N203)</f>
        <v>4925836</v>
      </c>
      <c r="O204" s="128">
        <v>4769571</v>
      </c>
      <c r="P204" s="105">
        <f>SUM(P200:P203)</f>
        <v>156265</v>
      </c>
      <c r="Q204" s="45">
        <f t="shared" si="29"/>
        <v>3.2762904672139275</v>
      </c>
      <c r="R204" s="105">
        <v>602</v>
      </c>
      <c r="S204" s="7">
        <f t="shared" si="32"/>
        <v>0</v>
      </c>
      <c r="T204" s="124">
        <f t="shared" si="33"/>
        <v>39</v>
      </c>
      <c r="U204" s="124">
        <f t="shared" si="34"/>
        <v>999</v>
      </c>
      <c r="V204" s="124">
        <f t="shared" si="35"/>
        <v>195</v>
      </c>
      <c r="W204" s="124">
        <f t="shared" si="36"/>
        <v>618.00000000260002</v>
      </c>
      <c r="X204" s="124">
        <f t="shared" si="37"/>
        <v>5962611.7502597086</v>
      </c>
      <c r="Y204" s="264">
        <f t="shared" si="38"/>
        <v>195</v>
      </c>
      <c r="Z204" s="10">
        <v>39</v>
      </c>
      <c r="AA204" s="7">
        <v>999</v>
      </c>
      <c r="AB204" s="7">
        <v>195</v>
      </c>
      <c r="AC204" s="109">
        <v>618.00000000260002</v>
      </c>
      <c r="AD204" s="109">
        <v>5962611.7502597086</v>
      </c>
      <c r="AE204" s="125"/>
      <c r="AF204" s="10"/>
      <c r="AI204" s="109"/>
      <c r="AJ204" s="109"/>
      <c r="AL204" s="10"/>
      <c r="AO204" s="109"/>
      <c r="AP204" s="109"/>
      <c r="AR204" s="10"/>
      <c r="AU204" s="109"/>
      <c r="AV204" s="109"/>
      <c r="AX204" s="10"/>
      <c r="BA204" s="109"/>
      <c r="BB204" s="109"/>
      <c r="BD204" s="10"/>
      <c r="BG204" s="109"/>
      <c r="BH204" s="109"/>
      <c r="BJ204" s="10"/>
      <c r="BM204" s="109"/>
      <c r="BN204" s="109"/>
      <c r="BP204" s="10"/>
      <c r="BS204" s="109"/>
      <c r="BT204" s="109"/>
      <c r="BV204" s="10"/>
      <c r="BY204" s="109"/>
      <c r="BZ204" s="109"/>
      <c r="CB204" s="10"/>
      <c r="CE204" s="109"/>
      <c r="CF204" s="109"/>
      <c r="CH204" s="10"/>
      <c r="CK204" s="109"/>
      <c r="CL204" s="109"/>
    </row>
    <row r="205" spans="1:90">
      <c r="A205" s="7" t="str">
        <f t="shared" si="31"/>
        <v>00400040</v>
      </c>
      <c r="B205" s="7" t="s">
        <v>2379</v>
      </c>
      <c r="C205" s="7" t="s">
        <v>2379</v>
      </c>
      <c r="D205" s="7">
        <v>196</v>
      </c>
      <c r="E205" s="7">
        <v>40</v>
      </c>
      <c r="F205" s="7" t="s">
        <v>1746</v>
      </c>
      <c r="G205" s="7">
        <v>40</v>
      </c>
      <c r="H205" s="7" t="s">
        <v>1306</v>
      </c>
      <c r="I205" s="37">
        <v>56110509.381990001</v>
      </c>
      <c r="J205" s="122">
        <v>0.95273845498625753</v>
      </c>
      <c r="K205" s="123">
        <f>X205</f>
        <v>58118969.896002591</v>
      </c>
      <c r="L205" s="122">
        <f>IF(K209&gt;0, K205/K209, 0)</f>
        <v>0.95300142020493084</v>
      </c>
      <c r="M205" s="71"/>
      <c r="N205" s="10">
        <f>ROUND(M209*L205,0)</f>
        <v>40917885</v>
      </c>
      <c r="O205" s="70">
        <v>39512030</v>
      </c>
      <c r="P205" s="10">
        <f>N205-O205</f>
        <v>1405855</v>
      </c>
      <c r="Q205" s="46">
        <f t="shared" si="29"/>
        <v>3.5580429555251909</v>
      </c>
      <c r="R205" s="10">
        <v>5615</v>
      </c>
      <c r="S205" s="7">
        <f t="shared" si="32"/>
        <v>0</v>
      </c>
      <c r="T205" s="124">
        <f t="shared" si="33"/>
        <v>40</v>
      </c>
      <c r="U205" s="124">
        <f t="shared" si="34"/>
        <v>40</v>
      </c>
      <c r="V205" s="124">
        <f t="shared" si="35"/>
        <v>196</v>
      </c>
      <c r="W205" s="124">
        <f t="shared" si="36"/>
        <v>5667</v>
      </c>
      <c r="X205" s="124">
        <f t="shared" si="37"/>
        <v>58118969.896002591</v>
      </c>
      <c r="Y205" s="264">
        <f t="shared" si="38"/>
        <v>196</v>
      </c>
      <c r="Z205" s="10">
        <v>40</v>
      </c>
      <c r="AA205" s="7">
        <v>40</v>
      </c>
      <c r="AB205" s="7">
        <v>196</v>
      </c>
      <c r="AC205" s="109">
        <v>5667</v>
      </c>
      <c r="AD205" s="109">
        <v>58118969.896002591</v>
      </c>
      <c r="AE205" s="125"/>
      <c r="AF205" s="10"/>
      <c r="AI205" s="109"/>
      <c r="AJ205" s="109"/>
      <c r="AL205" s="10"/>
      <c r="AO205" s="109"/>
      <c r="AP205" s="109"/>
      <c r="AR205" s="10"/>
      <c r="AU205" s="109"/>
      <c r="AV205" s="109"/>
      <c r="AX205" s="10"/>
      <c r="BA205" s="109"/>
      <c r="BB205" s="109"/>
      <c r="BD205" s="10"/>
      <c r="BG205" s="109"/>
      <c r="BH205" s="109"/>
      <c r="BJ205" s="10"/>
      <c r="BM205" s="109"/>
      <c r="BN205" s="109"/>
      <c r="BP205" s="10"/>
      <c r="BS205" s="109"/>
      <c r="BT205" s="109"/>
      <c r="BV205" s="10"/>
      <c r="BY205" s="109"/>
      <c r="BZ205" s="109"/>
      <c r="CB205" s="10"/>
      <c r="CE205" s="109"/>
      <c r="CF205" s="109"/>
      <c r="CH205" s="10"/>
      <c r="CK205" s="109"/>
      <c r="CL205" s="109"/>
    </row>
    <row r="206" spans="1:90">
      <c r="A206" s="7" t="str">
        <f t="shared" si="31"/>
        <v>00400806</v>
      </c>
      <c r="B206" s="7" t="s">
        <v>2379</v>
      </c>
      <c r="C206" s="7" t="s">
        <v>2754</v>
      </c>
      <c r="D206" s="7">
        <v>197</v>
      </c>
      <c r="E206" s="7">
        <v>40</v>
      </c>
      <c r="F206" s="7" t="s">
        <v>1746</v>
      </c>
      <c r="G206" s="7">
        <v>806</v>
      </c>
      <c r="H206" s="7" t="s">
        <v>1681</v>
      </c>
      <c r="I206" s="37">
        <v>2654319</v>
      </c>
      <c r="J206" s="122">
        <v>4.5069485395054523E-2</v>
      </c>
      <c r="K206" s="123">
        <f t="shared" si="30"/>
        <v>2685021.9102964113</v>
      </c>
      <c r="L206" s="122">
        <f>IF(K209&gt;0, K206/K209, 0)</f>
        <v>4.4027444023398497E-2</v>
      </c>
      <c r="M206" s="71"/>
      <c r="N206" s="10">
        <f>ROUND(M209*L206,0)</f>
        <v>1890354</v>
      </c>
      <c r="O206" s="70">
        <v>1869125</v>
      </c>
      <c r="P206" s="10">
        <f>N206-O206</f>
        <v>21229</v>
      </c>
      <c r="Q206" s="46">
        <f t="shared" si="29"/>
        <v>1.1357720858690563</v>
      </c>
      <c r="R206" s="10">
        <v>164</v>
      </c>
      <c r="S206" s="7">
        <f t="shared" si="32"/>
        <v>0</v>
      </c>
      <c r="T206" s="124">
        <f t="shared" si="33"/>
        <v>40</v>
      </c>
      <c r="U206" s="124">
        <f t="shared" si="34"/>
        <v>806</v>
      </c>
      <c r="V206" s="124">
        <f t="shared" si="35"/>
        <v>197</v>
      </c>
      <c r="W206" s="124">
        <f t="shared" si="36"/>
        <v>163.00000000291001</v>
      </c>
      <c r="X206" s="124">
        <f t="shared" si="37"/>
        <v>2685021.9102964113</v>
      </c>
      <c r="Y206" s="264">
        <f t="shared" si="38"/>
        <v>197</v>
      </c>
      <c r="Z206" s="10">
        <v>40</v>
      </c>
      <c r="AA206" s="7">
        <v>806</v>
      </c>
      <c r="AB206" s="7">
        <v>197</v>
      </c>
      <c r="AC206" s="109">
        <v>163.00000000291001</v>
      </c>
      <c r="AD206" s="109">
        <v>2685021.9102964113</v>
      </c>
      <c r="AE206" s="125"/>
      <c r="AF206" s="10"/>
      <c r="AI206" s="109"/>
      <c r="AJ206" s="109"/>
      <c r="AL206" s="10"/>
      <c r="AO206" s="109"/>
      <c r="AP206" s="109"/>
      <c r="AR206" s="10"/>
      <c r="AU206" s="109"/>
      <c r="AV206" s="109"/>
      <c r="AX206" s="10"/>
      <c r="BA206" s="109"/>
      <c r="BB206" s="109"/>
      <c r="BD206" s="10"/>
      <c r="BG206" s="109"/>
      <c r="BH206" s="109"/>
      <c r="BJ206" s="10"/>
      <c r="BM206" s="109"/>
      <c r="BN206" s="109"/>
      <c r="BP206" s="10"/>
      <c r="BS206" s="109"/>
      <c r="BT206" s="109"/>
      <c r="BV206" s="10"/>
      <c r="BY206" s="109"/>
      <c r="BZ206" s="109"/>
      <c r="CB206" s="10"/>
      <c r="CE206" s="109"/>
      <c r="CF206" s="109"/>
      <c r="CH206" s="10"/>
      <c r="CK206" s="109"/>
      <c r="CL206" s="109"/>
    </row>
    <row r="207" spans="1:90">
      <c r="A207" s="7" t="str">
        <f t="shared" si="31"/>
        <v>00400915</v>
      </c>
      <c r="B207" s="7" t="s">
        <v>2379</v>
      </c>
      <c r="C207" s="7" t="s">
        <v>2779</v>
      </c>
      <c r="D207" s="7">
        <v>198</v>
      </c>
      <c r="E207" s="7">
        <v>40</v>
      </c>
      <c r="F207" s="7" t="s">
        <v>1746</v>
      </c>
      <c r="G207" s="7">
        <v>915</v>
      </c>
      <c r="H207" s="7" t="s">
        <v>1706</v>
      </c>
      <c r="I207" s="37">
        <v>129099</v>
      </c>
      <c r="J207" s="122">
        <v>2.1920596186879361E-3</v>
      </c>
      <c r="K207" s="123">
        <f t="shared" si="30"/>
        <v>181195.27086699803</v>
      </c>
      <c r="L207" s="122">
        <f>IF(K209&gt;0, K207/K209, 0)</f>
        <v>2.9711357716707071E-3</v>
      </c>
      <c r="M207" s="71"/>
      <c r="N207" s="10">
        <f>ROUND(M209*L207,0)</f>
        <v>127568</v>
      </c>
      <c r="O207" s="70">
        <v>90909</v>
      </c>
      <c r="P207" s="10">
        <f>N207-O207</f>
        <v>36659</v>
      </c>
      <c r="Q207" s="46">
        <f t="shared" si="29"/>
        <v>40.324940324940322</v>
      </c>
      <c r="R207" s="10">
        <v>8</v>
      </c>
      <c r="S207" s="7">
        <f t="shared" si="32"/>
        <v>0</v>
      </c>
      <c r="T207" s="124">
        <f t="shared" si="33"/>
        <v>40</v>
      </c>
      <c r="U207" s="124">
        <f t="shared" si="34"/>
        <v>915</v>
      </c>
      <c r="V207" s="124">
        <f t="shared" si="35"/>
        <v>198</v>
      </c>
      <c r="W207" s="124">
        <f t="shared" si="36"/>
        <v>11.0000000007</v>
      </c>
      <c r="X207" s="124">
        <f t="shared" si="37"/>
        <v>181195.27086699803</v>
      </c>
      <c r="Y207" s="264">
        <f t="shared" si="38"/>
        <v>198</v>
      </c>
      <c r="Z207" s="10">
        <v>40</v>
      </c>
      <c r="AA207" s="7">
        <v>915</v>
      </c>
      <c r="AB207" s="7">
        <v>198</v>
      </c>
      <c r="AC207" s="109">
        <v>11.0000000007</v>
      </c>
      <c r="AD207" s="109">
        <v>181195.27086699803</v>
      </c>
      <c r="AE207" s="125"/>
      <c r="AF207" s="10"/>
      <c r="AI207" s="109"/>
      <c r="AJ207" s="109"/>
      <c r="AL207" s="10"/>
      <c r="AO207" s="109"/>
      <c r="AP207" s="109"/>
      <c r="AR207" s="10"/>
      <c r="AU207" s="109"/>
      <c r="AV207" s="109"/>
      <c r="AX207" s="10"/>
      <c r="BA207" s="109"/>
      <c r="BB207" s="109"/>
      <c r="BD207" s="10"/>
      <c r="BG207" s="109"/>
      <c r="BH207" s="109"/>
      <c r="BJ207" s="10"/>
      <c r="BM207" s="109"/>
      <c r="BN207" s="109"/>
      <c r="BP207" s="10"/>
      <c r="BS207" s="109"/>
      <c r="BT207" s="109"/>
      <c r="BV207" s="10"/>
      <c r="BY207" s="109"/>
      <c r="BZ207" s="109"/>
      <c r="CB207" s="10"/>
      <c r="CE207" s="109"/>
      <c r="CF207" s="109"/>
      <c r="CH207" s="10"/>
      <c r="CK207" s="109"/>
      <c r="CL207" s="109"/>
    </row>
    <row r="208" spans="1:90">
      <c r="A208" s="7" t="str">
        <f t="shared" si="31"/>
        <v>00400998</v>
      </c>
      <c r="B208" s="7" t="s">
        <v>2379</v>
      </c>
      <c r="C208" s="7" t="s">
        <v>2781</v>
      </c>
      <c r="D208" s="7">
        <v>199</v>
      </c>
      <c r="E208" s="7">
        <v>40</v>
      </c>
      <c r="F208" s="7" t="s">
        <v>2135</v>
      </c>
      <c r="G208" s="7">
        <v>998</v>
      </c>
      <c r="H208" s="7" t="s">
        <v>2135</v>
      </c>
      <c r="I208" s="37">
        <v>0</v>
      </c>
      <c r="J208" s="122">
        <v>0</v>
      </c>
      <c r="K208" s="123">
        <f t="shared" si="30"/>
        <v>0</v>
      </c>
      <c r="L208" s="122">
        <f>IF(K209&gt;0, K208/K209, 0)</f>
        <v>0</v>
      </c>
      <c r="M208" s="71"/>
      <c r="N208" s="10">
        <f>ROUND(M209*L208,0)</f>
        <v>0</v>
      </c>
      <c r="O208" s="70">
        <v>0</v>
      </c>
      <c r="P208" s="10">
        <f>N208-O208</f>
        <v>0</v>
      </c>
      <c r="Q208" s="46">
        <f>IF(O208&gt;0,P208*100/O208,IF(P208&gt;0,100,0))</f>
        <v>0</v>
      </c>
      <c r="R208" s="10">
        <v>0</v>
      </c>
      <c r="S208" s="7">
        <f t="shared" si="32"/>
        <v>0</v>
      </c>
      <c r="T208" s="124">
        <f t="shared" si="33"/>
        <v>40</v>
      </c>
      <c r="U208" s="124">
        <f t="shared" si="34"/>
        <v>998</v>
      </c>
      <c r="V208" s="124">
        <f t="shared" si="35"/>
        <v>199</v>
      </c>
      <c r="W208" s="124">
        <f t="shared" si="36"/>
        <v>0</v>
      </c>
      <c r="X208" s="124">
        <f t="shared" si="37"/>
        <v>0</v>
      </c>
      <c r="Y208" s="264">
        <f t="shared" si="38"/>
        <v>199</v>
      </c>
      <c r="Z208" s="10">
        <v>40</v>
      </c>
      <c r="AA208" s="7">
        <v>998</v>
      </c>
      <c r="AB208" s="7">
        <v>199</v>
      </c>
      <c r="AC208" s="109">
        <v>0</v>
      </c>
      <c r="AD208" s="109">
        <v>0</v>
      </c>
      <c r="AE208" s="125"/>
      <c r="AF208" s="10"/>
      <c r="AI208" s="109"/>
      <c r="AJ208" s="109"/>
      <c r="AL208" s="10"/>
      <c r="AO208" s="109"/>
      <c r="AP208" s="109"/>
      <c r="AR208" s="10"/>
      <c r="AU208" s="109"/>
      <c r="AV208" s="109"/>
      <c r="AX208" s="10"/>
      <c r="BA208" s="109"/>
      <c r="BB208" s="109"/>
      <c r="BD208" s="10"/>
      <c r="BG208" s="109"/>
      <c r="BH208" s="109"/>
      <c r="BJ208" s="10"/>
      <c r="BM208" s="109"/>
      <c r="BN208" s="109"/>
      <c r="BP208" s="10"/>
      <c r="BS208" s="109"/>
      <c r="BT208" s="109"/>
      <c r="BV208" s="10"/>
      <c r="BY208" s="109"/>
      <c r="BZ208" s="109"/>
      <c r="CB208" s="10"/>
      <c r="CE208" s="109"/>
      <c r="CF208" s="109"/>
      <c r="CH208" s="10"/>
      <c r="CK208" s="109"/>
      <c r="CL208" s="109"/>
    </row>
    <row r="209" spans="1:90">
      <c r="A209" s="7" t="str">
        <f t="shared" si="31"/>
        <v>00400999</v>
      </c>
      <c r="B209" s="7" t="s">
        <v>2379</v>
      </c>
      <c r="C209" s="7" t="s">
        <v>2782</v>
      </c>
      <c r="D209" s="7">
        <v>200</v>
      </c>
      <c r="E209" s="11">
        <v>40</v>
      </c>
      <c r="F209" s="11" t="s">
        <v>1746</v>
      </c>
      <c r="G209" s="11">
        <v>999</v>
      </c>
      <c r="H209" s="11" t="s">
        <v>1132</v>
      </c>
      <c r="I209" s="105">
        <v>58893927.381990001</v>
      </c>
      <c r="J209" s="126">
        <v>1</v>
      </c>
      <c r="K209" s="127">
        <f>SUM(K205:K208)</f>
        <v>60985187.077165999</v>
      </c>
      <c r="L209" s="126">
        <f>SUM(L205:L208)</f>
        <v>1</v>
      </c>
      <c r="M209" s="105">
        <f>VLOOKUP(E209,town351,22)</f>
        <v>42935807</v>
      </c>
      <c r="N209" s="105">
        <f>SUM(N205:N208)</f>
        <v>42935807</v>
      </c>
      <c r="O209" s="128">
        <v>41472064</v>
      </c>
      <c r="P209" s="105">
        <f>SUM(P205:P208)</f>
        <v>1463743</v>
      </c>
      <c r="Q209" s="45">
        <f t="shared" ref="Q209:Q271" si="39">IF(O209&gt;0,P209*100/O209,IF(P209&gt;0,100,0))</f>
        <v>3.5294674506675143</v>
      </c>
      <c r="R209" s="105">
        <v>5787</v>
      </c>
      <c r="S209" s="7">
        <f t="shared" si="32"/>
        <v>0</v>
      </c>
      <c r="T209" s="124">
        <f t="shared" si="33"/>
        <v>40</v>
      </c>
      <c r="U209" s="124">
        <f t="shared" si="34"/>
        <v>999</v>
      </c>
      <c r="V209" s="124">
        <f t="shared" si="35"/>
        <v>200</v>
      </c>
      <c r="W209" s="124">
        <f t="shared" si="36"/>
        <v>5841.0000000036107</v>
      </c>
      <c r="X209" s="124">
        <f t="shared" si="37"/>
        <v>60985187.077165999</v>
      </c>
      <c r="Y209" s="264">
        <f t="shared" si="38"/>
        <v>200</v>
      </c>
      <c r="Z209" s="10">
        <v>40</v>
      </c>
      <c r="AA209" s="7">
        <v>999</v>
      </c>
      <c r="AB209" s="7">
        <v>200</v>
      </c>
      <c r="AC209" s="109">
        <v>5841.0000000036107</v>
      </c>
      <c r="AD209" s="109">
        <v>60985187.077165999</v>
      </c>
      <c r="AE209" s="125"/>
      <c r="AF209" s="10"/>
      <c r="AI209" s="109"/>
      <c r="AJ209" s="109"/>
      <c r="AL209" s="10"/>
      <c r="AO209" s="109"/>
      <c r="AP209" s="109"/>
      <c r="AR209" s="10"/>
      <c r="AU209" s="109"/>
      <c r="AV209" s="109"/>
      <c r="AX209" s="10"/>
      <c r="BA209" s="109"/>
      <c r="BB209" s="109"/>
      <c r="BD209" s="10"/>
      <c r="BG209" s="109"/>
      <c r="BH209" s="109"/>
      <c r="BJ209" s="10"/>
      <c r="BM209" s="109"/>
      <c r="BN209" s="109"/>
      <c r="BP209" s="10"/>
      <c r="BS209" s="109"/>
      <c r="BT209" s="109"/>
      <c r="BV209" s="10"/>
      <c r="BY209" s="109"/>
      <c r="BZ209" s="109"/>
      <c r="CB209" s="10"/>
      <c r="CE209" s="109"/>
      <c r="CF209" s="109"/>
      <c r="CH209" s="10"/>
      <c r="CK209" s="109"/>
      <c r="CL209" s="109"/>
    </row>
    <row r="210" spans="1:90">
      <c r="A210" s="7" t="str">
        <f t="shared" si="31"/>
        <v>00410041</v>
      </c>
      <c r="B210" s="7" t="s">
        <v>2380</v>
      </c>
      <c r="C210" s="7" t="s">
        <v>2380</v>
      </c>
      <c r="D210" s="7">
        <v>201</v>
      </c>
      <c r="E210" s="7">
        <v>41</v>
      </c>
      <c r="F210" s="7" t="s">
        <v>1747</v>
      </c>
      <c r="G210" s="7">
        <v>41</v>
      </c>
      <c r="H210" s="7" t="s">
        <v>1307</v>
      </c>
      <c r="I210" s="37">
        <v>4710846.5600000005</v>
      </c>
      <c r="J210" s="122">
        <v>0.42012629570108528</v>
      </c>
      <c r="K210" s="123">
        <f t="shared" ref="K210:K273" si="40">X210</f>
        <v>4863009.8651172351</v>
      </c>
      <c r="L210" s="122">
        <f>IF(K214&gt;0, K210/K214, 0)</f>
        <v>0.43073976993492685</v>
      </c>
      <c r="M210" s="71"/>
      <c r="N210" s="10">
        <f>ROUND(M214*L210,0)</f>
        <v>4034625</v>
      </c>
      <c r="O210" s="70">
        <v>3929503</v>
      </c>
      <c r="P210" s="10">
        <f>N210-O210</f>
        <v>105122</v>
      </c>
      <c r="Q210" s="46">
        <f t="shared" si="39"/>
        <v>2.6751983647804822</v>
      </c>
      <c r="R210" s="10">
        <v>486</v>
      </c>
      <c r="S210" s="7">
        <f t="shared" si="32"/>
        <v>0</v>
      </c>
      <c r="T210" s="124">
        <f t="shared" si="33"/>
        <v>41</v>
      </c>
      <c r="U210" s="124">
        <f t="shared" si="34"/>
        <v>41</v>
      </c>
      <c r="V210" s="124">
        <f t="shared" si="35"/>
        <v>201</v>
      </c>
      <c r="W210" s="124">
        <f t="shared" si="36"/>
        <v>490</v>
      </c>
      <c r="X210" s="124">
        <f t="shared" si="37"/>
        <v>4863009.8651172351</v>
      </c>
      <c r="Y210" s="264">
        <f t="shared" si="38"/>
        <v>201</v>
      </c>
      <c r="Z210" s="10">
        <v>41</v>
      </c>
      <c r="AA210" s="7">
        <v>41</v>
      </c>
      <c r="AB210" s="7">
        <v>201</v>
      </c>
      <c r="AC210" s="109">
        <v>490</v>
      </c>
      <c r="AD210" s="109">
        <v>4863009.8651172351</v>
      </c>
      <c r="AE210" s="125"/>
      <c r="AF210" s="10"/>
      <c r="AI210" s="109"/>
      <c r="AJ210" s="109"/>
      <c r="AL210" s="10"/>
      <c r="AO210" s="109"/>
      <c r="AP210" s="109"/>
      <c r="AR210" s="10"/>
      <c r="AU210" s="109"/>
      <c r="AV210" s="109"/>
      <c r="AX210" s="10"/>
      <c r="BA210" s="109"/>
      <c r="BB210" s="109"/>
      <c r="BD210" s="10"/>
      <c r="BG210" s="109"/>
      <c r="BH210" s="109"/>
      <c r="BJ210" s="10"/>
      <c r="BM210" s="109"/>
      <c r="BN210" s="109"/>
      <c r="BP210" s="10"/>
      <c r="BS210" s="109"/>
      <c r="BT210" s="109"/>
      <c r="BV210" s="10"/>
      <c r="BY210" s="109"/>
      <c r="BZ210" s="109"/>
      <c r="CB210" s="10"/>
      <c r="CE210" s="109"/>
      <c r="CF210" s="109"/>
      <c r="CH210" s="10"/>
      <c r="CK210" s="109"/>
      <c r="CL210" s="109"/>
    </row>
    <row r="211" spans="1:90">
      <c r="A211" s="7" t="str">
        <f t="shared" si="31"/>
        <v>00410660</v>
      </c>
      <c r="B211" s="7" t="s">
        <v>2380</v>
      </c>
      <c r="C211" s="7" t="s">
        <v>2711</v>
      </c>
      <c r="D211" s="7">
        <v>202</v>
      </c>
      <c r="E211" s="7">
        <v>41</v>
      </c>
      <c r="F211" s="7" t="s">
        <v>1747</v>
      </c>
      <c r="G211" s="7">
        <v>660</v>
      </c>
      <c r="H211" s="7" t="s">
        <v>1638</v>
      </c>
      <c r="I211" s="37">
        <v>5815540</v>
      </c>
      <c r="J211" s="122">
        <v>0.51864590505819608</v>
      </c>
      <c r="K211" s="123">
        <f t="shared" si="40"/>
        <v>5721735.3782170611</v>
      </c>
      <c r="L211" s="122">
        <f>IF(K214&gt;0, K211/K214, 0)</f>
        <v>0.50680114760210004</v>
      </c>
      <c r="M211" s="71"/>
      <c r="N211" s="10">
        <f>ROUND(M214*L211,0)</f>
        <v>4747072</v>
      </c>
      <c r="O211" s="70">
        <v>4850971</v>
      </c>
      <c r="P211" s="10">
        <f>N211-O211</f>
        <v>-103899</v>
      </c>
      <c r="Q211" s="46">
        <f t="shared" si="39"/>
        <v>-2.1418186173448572</v>
      </c>
      <c r="R211" s="10">
        <v>555</v>
      </c>
      <c r="S211" s="7">
        <f t="shared" si="32"/>
        <v>0</v>
      </c>
      <c r="T211" s="124">
        <f t="shared" si="33"/>
        <v>41</v>
      </c>
      <c r="U211" s="124">
        <f t="shared" si="34"/>
        <v>660</v>
      </c>
      <c r="V211" s="124">
        <f t="shared" si="35"/>
        <v>202</v>
      </c>
      <c r="W211" s="124">
        <f t="shared" si="36"/>
        <v>541.91617274066994</v>
      </c>
      <c r="X211" s="124">
        <f t="shared" si="37"/>
        <v>5721735.3782170611</v>
      </c>
      <c r="Y211" s="264">
        <f t="shared" si="38"/>
        <v>202</v>
      </c>
      <c r="Z211" s="10">
        <v>41</v>
      </c>
      <c r="AA211" s="7">
        <v>660</v>
      </c>
      <c r="AB211" s="7">
        <v>202</v>
      </c>
      <c r="AC211" s="109">
        <v>541.91617274066994</v>
      </c>
      <c r="AD211" s="109">
        <v>5721735.3782170611</v>
      </c>
      <c r="AE211" s="125"/>
      <c r="AF211" s="10"/>
      <c r="AI211" s="109"/>
      <c r="AJ211" s="109"/>
      <c r="AL211" s="10"/>
      <c r="AO211" s="109"/>
      <c r="AP211" s="109"/>
      <c r="AR211" s="10"/>
      <c r="AU211" s="109"/>
      <c r="AV211" s="109"/>
      <c r="AX211" s="10"/>
      <c r="BA211" s="109"/>
      <c r="BB211" s="109"/>
      <c r="BD211" s="10"/>
      <c r="BG211" s="109"/>
      <c r="BH211" s="109"/>
      <c r="BJ211" s="10"/>
      <c r="BM211" s="109"/>
      <c r="BN211" s="109"/>
      <c r="BP211" s="10"/>
      <c r="BS211" s="109"/>
      <c r="BT211" s="109"/>
      <c r="BV211" s="10"/>
      <c r="BY211" s="109"/>
      <c r="BZ211" s="109"/>
      <c r="CB211" s="10"/>
      <c r="CE211" s="109"/>
      <c r="CF211" s="109"/>
      <c r="CH211" s="10"/>
      <c r="CK211" s="109"/>
      <c r="CL211" s="109"/>
    </row>
    <row r="212" spans="1:90">
      <c r="A212" s="7" t="str">
        <f t="shared" si="31"/>
        <v>00410815</v>
      </c>
      <c r="B212" s="7" t="s">
        <v>2380</v>
      </c>
      <c r="C212" s="7" t="s">
        <v>2756</v>
      </c>
      <c r="D212" s="7">
        <v>203</v>
      </c>
      <c r="E212" s="7">
        <v>41</v>
      </c>
      <c r="F212" s="7" t="s">
        <v>1747</v>
      </c>
      <c r="G212" s="7">
        <v>815</v>
      </c>
      <c r="H212" s="7" t="s">
        <v>1683</v>
      </c>
      <c r="I212" s="37">
        <v>686543</v>
      </c>
      <c r="J212" s="122">
        <v>6.1227799240718674E-2</v>
      </c>
      <c r="K212" s="123">
        <f t="shared" si="40"/>
        <v>705156.93089935707</v>
      </c>
      <c r="L212" s="122">
        <f>IF(K214&gt;0, K212/K214, 0)</f>
        <v>6.2459082462972916E-2</v>
      </c>
      <c r="M212" s="71"/>
      <c r="N212" s="10">
        <f>ROUND(M214*L212,0)</f>
        <v>585038</v>
      </c>
      <c r="O212" s="70">
        <v>572673</v>
      </c>
      <c r="P212" s="10">
        <f>N212-O212</f>
        <v>12365</v>
      </c>
      <c r="Q212" s="46">
        <f t="shared" si="39"/>
        <v>2.1591728613013013</v>
      </c>
      <c r="R212" s="10">
        <v>43</v>
      </c>
      <c r="S212" s="7">
        <f t="shared" si="32"/>
        <v>0</v>
      </c>
      <c r="T212" s="124">
        <f t="shared" si="33"/>
        <v>41</v>
      </c>
      <c r="U212" s="124">
        <f t="shared" si="34"/>
        <v>815</v>
      </c>
      <c r="V212" s="124">
        <f t="shared" si="35"/>
        <v>203</v>
      </c>
      <c r="W212" s="124">
        <f t="shared" si="36"/>
        <v>42.999999997709999</v>
      </c>
      <c r="X212" s="124">
        <f t="shared" si="37"/>
        <v>705156.93089935707</v>
      </c>
      <c r="Y212" s="264">
        <f t="shared" si="38"/>
        <v>203</v>
      </c>
      <c r="Z212" s="10">
        <v>41</v>
      </c>
      <c r="AA212" s="7">
        <v>815</v>
      </c>
      <c r="AB212" s="7">
        <v>203</v>
      </c>
      <c r="AC212" s="109">
        <v>42.999999997709999</v>
      </c>
      <c r="AD212" s="109">
        <v>705156.93089935707</v>
      </c>
      <c r="AE212" s="125"/>
      <c r="AF212" s="10"/>
      <c r="AI212" s="109"/>
      <c r="AJ212" s="109"/>
      <c r="AL212" s="10"/>
      <c r="AO212" s="109"/>
      <c r="AP212" s="109"/>
      <c r="AR212" s="10"/>
      <c r="AU212" s="109"/>
      <c r="AV212" s="109"/>
      <c r="AX212" s="10"/>
      <c r="BA212" s="109"/>
      <c r="BB212" s="109"/>
      <c r="BD212" s="10"/>
      <c r="BG212" s="109"/>
      <c r="BH212" s="109"/>
      <c r="BJ212" s="10"/>
      <c r="BM212" s="109"/>
      <c r="BN212" s="109"/>
      <c r="BP212" s="10"/>
      <c r="BS212" s="109"/>
      <c r="BT212" s="109"/>
      <c r="BV212" s="10"/>
      <c r="BY212" s="109"/>
      <c r="BZ212" s="109"/>
      <c r="CB212" s="10"/>
      <c r="CE212" s="109"/>
      <c r="CF212" s="109"/>
      <c r="CH212" s="10"/>
      <c r="CK212" s="109"/>
      <c r="CL212" s="109"/>
    </row>
    <row r="213" spans="1:90">
      <c r="A213" s="7" t="str">
        <f t="shared" si="31"/>
        <v>00410998</v>
      </c>
      <c r="B213" s="7" t="s">
        <v>2380</v>
      </c>
      <c r="C213" s="7" t="s">
        <v>2781</v>
      </c>
      <c r="D213" s="7">
        <v>204</v>
      </c>
      <c r="E213" s="7">
        <v>41</v>
      </c>
      <c r="F213" s="7" t="s">
        <v>2135</v>
      </c>
      <c r="G213" s="7">
        <v>998</v>
      </c>
      <c r="H213" s="7" t="s">
        <v>2135</v>
      </c>
      <c r="I213" s="37">
        <v>0</v>
      </c>
      <c r="J213" s="122">
        <v>0</v>
      </c>
      <c r="K213" s="123">
        <f t="shared" si="40"/>
        <v>0</v>
      </c>
      <c r="L213" s="122">
        <f>IF(K214&gt;0, K213/K214, 0)</f>
        <v>0</v>
      </c>
      <c r="M213" s="71"/>
      <c r="N213" s="10">
        <f>ROUND(M214*L213,0)</f>
        <v>0</v>
      </c>
      <c r="O213" s="70">
        <v>0</v>
      </c>
      <c r="P213" s="10">
        <f>N213-O213</f>
        <v>0</v>
      </c>
      <c r="Q213" s="46">
        <f t="shared" si="39"/>
        <v>0</v>
      </c>
      <c r="R213" s="10">
        <v>0</v>
      </c>
      <c r="S213" s="7">
        <f t="shared" si="32"/>
        <v>0</v>
      </c>
      <c r="T213" s="124">
        <f t="shared" si="33"/>
        <v>41</v>
      </c>
      <c r="U213" s="124">
        <f t="shared" si="34"/>
        <v>998</v>
      </c>
      <c r="V213" s="124">
        <f t="shared" si="35"/>
        <v>204</v>
      </c>
      <c r="W213" s="124">
        <f t="shared" si="36"/>
        <v>0</v>
      </c>
      <c r="X213" s="124">
        <f t="shared" si="37"/>
        <v>0</v>
      </c>
      <c r="Y213" s="264">
        <f t="shared" si="38"/>
        <v>204</v>
      </c>
      <c r="Z213" s="10">
        <v>41</v>
      </c>
      <c r="AA213" s="7">
        <v>998</v>
      </c>
      <c r="AB213" s="7">
        <v>204</v>
      </c>
      <c r="AC213" s="109">
        <v>0</v>
      </c>
      <c r="AD213" s="109">
        <v>0</v>
      </c>
      <c r="AE213" s="125"/>
      <c r="AF213" s="10"/>
      <c r="AI213" s="109"/>
      <c r="AJ213" s="109"/>
      <c r="AL213" s="10"/>
      <c r="AO213" s="109"/>
      <c r="AP213" s="109"/>
      <c r="AR213" s="10"/>
      <c r="AU213" s="109"/>
      <c r="AV213" s="109"/>
      <c r="AX213" s="10"/>
      <c r="BA213" s="109"/>
      <c r="BB213" s="109"/>
      <c r="BD213" s="10"/>
      <c r="BG213" s="109"/>
      <c r="BH213" s="109"/>
      <c r="BJ213" s="10"/>
      <c r="BM213" s="109"/>
      <c r="BN213" s="109"/>
      <c r="BP213" s="10"/>
      <c r="BS213" s="109"/>
      <c r="BT213" s="109"/>
      <c r="BV213" s="10"/>
      <c r="BY213" s="109"/>
      <c r="BZ213" s="109"/>
      <c r="CB213" s="10"/>
      <c r="CE213" s="109"/>
      <c r="CF213" s="109"/>
      <c r="CH213" s="10"/>
      <c r="CK213" s="109"/>
      <c r="CL213" s="109"/>
    </row>
    <row r="214" spans="1:90">
      <c r="A214" s="7" t="str">
        <f t="shared" si="31"/>
        <v>00410999</v>
      </c>
      <c r="B214" s="7" t="s">
        <v>2380</v>
      </c>
      <c r="C214" s="7" t="s">
        <v>2782</v>
      </c>
      <c r="D214" s="7">
        <v>205</v>
      </c>
      <c r="E214" s="11">
        <v>41</v>
      </c>
      <c r="F214" s="11" t="s">
        <v>1747</v>
      </c>
      <c r="G214" s="11">
        <v>999</v>
      </c>
      <c r="H214" s="11" t="s">
        <v>1132</v>
      </c>
      <c r="I214" s="105">
        <v>11212929.560000001</v>
      </c>
      <c r="J214" s="126">
        <v>1</v>
      </c>
      <c r="K214" s="127">
        <f>SUM(K210:K213)</f>
        <v>11289902.174233655</v>
      </c>
      <c r="L214" s="126">
        <f>SUM(L210:L213)</f>
        <v>0.99999999999999978</v>
      </c>
      <c r="M214" s="105">
        <f>VLOOKUP(E214,town351,22)</f>
        <v>9366735</v>
      </c>
      <c r="N214" s="105">
        <f>SUM(N210:N213)</f>
        <v>9366735</v>
      </c>
      <c r="O214" s="128">
        <v>9353147</v>
      </c>
      <c r="P214" s="105">
        <f>SUM(P210:P213)</f>
        <v>13588</v>
      </c>
      <c r="Q214" s="45">
        <f t="shared" si="39"/>
        <v>0.14527730613022546</v>
      </c>
      <c r="R214" s="105">
        <v>1084</v>
      </c>
      <c r="S214" s="7">
        <f t="shared" si="32"/>
        <v>0</v>
      </c>
      <c r="T214" s="124">
        <f t="shared" si="33"/>
        <v>41</v>
      </c>
      <c r="U214" s="124">
        <f t="shared" si="34"/>
        <v>999</v>
      </c>
      <c r="V214" s="124">
        <f t="shared" si="35"/>
        <v>205</v>
      </c>
      <c r="W214" s="124">
        <f t="shared" si="36"/>
        <v>1074.9161727383798</v>
      </c>
      <c r="X214" s="124">
        <f t="shared" si="37"/>
        <v>11289902.174233655</v>
      </c>
      <c r="Y214" s="264">
        <f t="shared" si="38"/>
        <v>205</v>
      </c>
      <c r="Z214" s="10">
        <v>41</v>
      </c>
      <c r="AA214" s="7">
        <v>999</v>
      </c>
      <c r="AB214" s="7">
        <v>205</v>
      </c>
      <c r="AC214" s="109">
        <v>1074.9161727383798</v>
      </c>
      <c r="AD214" s="109">
        <v>11289902.174233655</v>
      </c>
      <c r="AE214" s="125"/>
      <c r="AF214" s="10"/>
      <c r="AI214" s="109"/>
      <c r="AJ214" s="109"/>
      <c r="AL214" s="10"/>
      <c r="AO214" s="109"/>
      <c r="AP214" s="109"/>
      <c r="AR214" s="10"/>
      <c r="AU214" s="109"/>
      <c r="AV214" s="109"/>
      <c r="AX214" s="10"/>
      <c r="BA214" s="109"/>
      <c r="BB214" s="109"/>
      <c r="BD214" s="10"/>
      <c r="BG214" s="109"/>
      <c r="BH214" s="109"/>
      <c r="BJ214" s="10"/>
      <c r="BM214" s="109"/>
      <c r="BN214" s="109"/>
      <c r="BP214" s="10"/>
      <c r="BS214" s="109"/>
      <c r="BT214" s="109"/>
      <c r="BV214" s="10"/>
      <c r="BY214" s="109"/>
      <c r="BZ214" s="109"/>
      <c r="CB214" s="10"/>
      <c r="CE214" s="109"/>
      <c r="CF214" s="109"/>
      <c r="CH214" s="10"/>
      <c r="CK214" s="109"/>
      <c r="CL214" s="109"/>
    </row>
    <row r="215" spans="1:90">
      <c r="A215" s="7" t="str">
        <f t="shared" si="31"/>
        <v>00420042</v>
      </c>
      <c r="B215" s="7" t="s">
        <v>2381</v>
      </c>
      <c r="C215" s="7" t="s">
        <v>2381</v>
      </c>
      <c r="D215" s="7">
        <v>206</v>
      </c>
      <c r="E215" s="7">
        <v>42</v>
      </c>
      <c r="F215" s="7" t="s">
        <v>1748</v>
      </c>
      <c r="G215" s="7">
        <v>42</v>
      </c>
      <c r="H215" s="7" t="s">
        <v>1308</v>
      </c>
      <c r="I215" s="37">
        <v>196498.64000000004</v>
      </c>
      <c r="J215" s="122">
        <v>5.8863708131016582E-3</v>
      </c>
      <c r="K215" s="123">
        <f>X215</f>
        <v>200050.51601106342</v>
      </c>
      <c r="L215" s="122">
        <f>IF(K219&gt;0, K215/K219, 0)</f>
        <v>5.9125912250398999E-3</v>
      </c>
      <c r="M215" s="71"/>
      <c r="N215" s="10">
        <f>ROUND(M219*L215,0)</f>
        <v>124537</v>
      </c>
      <c r="O215" s="70">
        <v>121288</v>
      </c>
      <c r="P215" s="10">
        <f>N215-O215</f>
        <v>3249</v>
      </c>
      <c r="Q215" s="46">
        <f t="shared" si="39"/>
        <v>2.6787481036870919</v>
      </c>
      <c r="R215" s="10">
        <v>13</v>
      </c>
      <c r="S215" s="7">
        <f t="shared" si="32"/>
        <v>0</v>
      </c>
      <c r="T215" s="124">
        <f t="shared" si="33"/>
        <v>42</v>
      </c>
      <c r="U215" s="124">
        <f t="shared" si="34"/>
        <v>42</v>
      </c>
      <c r="V215" s="124">
        <f t="shared" si="35"/>
        <v>206</v>
      </c>
      <c r="W215" s="124">
        <f t="shared" si="36"/>
        <v>13</v>
      </c>
      <c r="X215" s="124">
        <f t="shared" si="37"/>
        <v>200050.51601106342</v>
      </c>
      <c r="Y215" s="264">
        <f t="shared" si="38"/>
        <v>206</v>
      </c>
      <c r="Z215" s="10">
        <v>42</v>
      </c>
      <c r="AA215" s="7">
        <v>42</v>
      </c>
      <c r="AB215" s="7">
        <v>206</v>
      </c>
      <c r="AC215" s="109">
        <v>13</v>
      </c>
      <c r="AD215" s="109">
        <v>200050.51601106342</v>
      </c>
      <c r="AE215" s="125"/>
      <c r="AF215" s="10"/>
      <c r="AI215" s="109"/>
      <c r="AJ215" s="109"/>
      <c r="AL215" s="10"/>
      <c r="AO215" s="109"/>
      <c r="AP215" s="109"/>
      <c r="AR215" s="10"/>
      <c r="AU215" s="109"/>
      <c r="AV215" s="109"/>
      <c r="AX215" s="10"/>
      <c r="BA215" s="109"/>
      <c r="BB215" s="109"/>
      <c r="BD215" s="10"/>
      <c r="BG215" s="109"/>
      <c r="BH215" s="109"/>
      <c r="BJ215" s="10"/>
      <c r="BM215" s="109"/>
      <c r="BN215" s="109"/>
      <c r="BP215" s="10"/>
      <c r="BS215" s="109"/>
      <c r="BT215" s="109"/>
      <c r="BV215" s="10"/>
      <c r="BY215" s="109"/>
      <c r="BZ215" s="109"/>
      <c r="CB215" s="10"/>
      <c r="CE215" s="109"/>
      <c r="CF215" s="109"/>
      <c r="CH215" s="10"/>
      <c r="CK215" s="109"/>
      <c r="CL215" s="109"/>
    </row>
    <row r="216" spans="1:90">
      <c r="A216" s="7" t="str">
        <f t="shared" si="31"/>
        <v>00420625</v>
      </c>
      <c r="B216" s="7" t="s">
        <v>2381</v>
      </c>
      <c r="C216" s="7" t="s">
        <v>2703</v>
      </c>
      <c r="D216" s="7">
        <v>207</v>
      </c>
      <c r="E216" s="7">
        <v>42</v>
      </c>
      <c r="F216" s="7" t="s">
        <v>1748</v>
      </c>
      <c r="G216" s="7">
        <v>625</v>
      </c>
      <c r="H216" s="7" t="s">
        <v>1630</v>
      </c>
      <c r="I216" s="37">
        <v>31273963</v>
      </c>
      <c r="J216" s="122">
        <v>0.93685199558236709</v>
      </c>
      <c r="K216" s="123">
        <f t="shared" si="40"/>
        <v>31693234.615528297</v>
      </c>
      <c r="L216" s="122">
        <f>IF(K219&gt;0, K216/K219, 0)</f>
        <v>0.93670911036560489</v>
      </c>
      <c r="M216" s="71"/>
      <c r="N216" s="10">
        <f>ROUND(M219*L216,0)</f>
        <v>19729920</v>
      </c>
      <c r="O216" s="70">
        <v>19303682</v>
      </c>
      <c r="P216" s="10">
        <f>N216-O216</f>
        <v>426238</v>
      </c>
      <c r="Q216" s="46">
        <f t="shared" si="39"/>
        <v>2.2080657980171865</v>
      </c>
      <c r="R216" s="10">
        <v>3299</v>
      </c>
      <c r="S216" s="7">
        <f t="shared" si="32"/>
        <v>0</v>
      </c>
      <c r="T216" s="124">
        <f t="shared" si="33"/>
        <v>42</v>
      </c>
      <c r="U216" s="124">
        <f t="shared" si="34"/>
        <v>625</v>
      </c>
      <c r="V216" s="124">
        <f t="shared" si="35"/>
        <v>207</v>
      </c>
      <c r="W216" s="124">
        <f t="shared" si="36"/>
        <v>3264.23202613695</v>
      </c>
      <c r="X216" s="124">
        <f t="shared" si="37"/>
        <v>31693234.615528297</v>
      </c>
      <c r="Y216" s="264">
        <f t="shared" si="38"/>
        <v>207</v>
      </c>
      <c r="Z216" s="10">
        <v>42</v>
      </c>
      <c r="AA216" s="7">
        <v>625</v>
      </c>
      <c r="AB216" s="7">
        <v>207</v>
      </c>
      <c r="AC216" s="109">
        <v>3264.23202613695</v>
      </c>
      <c r="AD216" s="109">
        <v>31693234.615528297</v>
      </c>
      <c r="AE216" s="125"/>
      <c r="AF216" s="10"/>
      <c r="AI216" s="109"/>
      <c r="AJ216" s="109"/>
      <c r="AL216" s="10"/>
      <c r="AO216" s="109"/>
      <c r="AP216" s="109"/>
      <c r="AR216" s="10"/>
      <c r="AU216" s="109"/>
      <c r="AV216" s="109"/>
      <c r="AX216" s="10"/>
      <c r="BA216" s="109"/>
      <c r="BB216" s="109"/>
      <c r="BD216" s="10"/>
      <c r="BG216" s="109"/>
      <c r="BH216" s="109"/>
      <c r="BJ216" s="10"/>
      <c r="BM216" s="109"/>
      <c r="BN216" s="109"/>
      <c r="BP216" s="10"/>
      <c r="BS216" s="109"/>
      <c r="BT216" s="109"/>
      <c r="BV216" s="10"/>
      <c r="BY216" s="109"/>
      <c r="BZ216" s="109"/>
      <c r="CB216" s="10"/>
      <c r="CE216" s="109"/>
      <c r="CF216" s="109"/>
      <c r="CH216" s="10"/>
      <c r="CK216" s="109"/>
      <c r="CL216" s="109"/>
    </row>
    <row r="217" spans="1:90">
      <c r="A217" s="7" t="str">
        <f t="shared" si="31"/>
        <v>00420810</v>
      </c>
      <c r="B217" s="7" t="s">
        <v>2381</v>
      </c>
      <c r="C217" s="7" t="s">
        <v>2755</v>
      </c>
      <c r="D217" s="7">
        <v>208</v>
      </c>
      <c r="E217" s="7">
        <v>42</v>
      </c>
      <c r="F217" s="7" t="s">
        <v>1748</v>
      </c>
      <c r="G217" s="7">
        <v>810</v>
      </c>
      <c r="H217" s="7" t="s">
        <v>1682</v>
      </c>
      <c r="I217" s="37">
        <v>1911506</v>
      </c>
      <c r="J217" s="122">
        <v>5.7261633604531285E-2</v>
      </c>
      <c r="K217" s="123">
        <f t="shared" si="40"/>
        <v>1941375.2393394718</v>
      </c>
      <c r="L217" s="122">
        <f>IF(K219&gt;0, K217/K219, 0)</f>
        <v>5.7378298409355245E-2</v>
      </c>
      <c r="M217" s="71"/>
      <c r="N217" s="10">
        <f>ROUND(M219*L217,0)</f>
        <v>1208560</v>
      </c>
      <c r="O217" s="70">
        <v>1179867</v>
      </c>
      <c r="P217" s="10">
        <f>N217-O217</f>
        <v>28693</v>
      </c>
      <c r="Q217" s="46">
        <f t="shared" si="39"/>
        <v>2.4318842717018105</v>
      </c>
      <c r="R217" s="10">
        <v>124</v>
      </c>
      <c r="S217" s="7">
        <f t="shared" si="32"/>
        <v>0</v>
      </c>
      <c r="T217" s="124">
        <f t="shared" si="33"/>
        <v>42</v>
      </c>
      <c r="U217" s="124">
        <f t="shared" si="34"/>
        <v>810</v>
      </c>
      <c r="V217" s="124">
        <f t="shared" si="35"/>
        <v>208</v>
      </c>
      <c r="W217" s="124">
        <f t="shared" si="36"/>
        <v>122.73218304552</v>
      </c>
      <c r="X217" s="124">
        <f t="shared" si="37"/>
        <v>1941375.2393394718</v>
      </c>
      <c r="Y217" s="264">
        <f t="shared" si="38"/>
        <v>208</v>
      </c>
      <c r="Z217" s="10">
        <v>42</v>
      </c>
      <c r="AA217" s="7">
        <v>810</v>
      </c>
      <c r="AB217" s="7">
        <v>208</v>
      </c>
      <c r="AC217" s="109">
        <v>122.73218304552</v>
      </c>
      <c r="AD217" s="109">
        <v>1941375.2393394718</v>
      </c>
      <c r="AE217" s="125"/>
      <c r="AF217" s="10"/>
      <c r="AI217" s="109"/>
      <c r="AJ217" s="109"/>
      <c r="AL217" s="10"/>
      <c r="AO217" s="109"/>
      <c r="AP217" s="109"/>
      <c r="AR217" s="10"/>
      <c r="AU217" s="109"/>
      <c r="AV217" s="109"/>
      <c r="AX217" s="10"/>
      <c r="BA217" s="109"/>
      <c r="BB217" s="109"/>
      <c r="BD217" s="10"/>
      <c r="BG217" s="109"/>
      <c r="BH217" s="109"/>
      <c r="BJ217" s="10"/>
      <c r="BM217" s="109"/>
      <c r="BN217" s="109"/>
      <c r="BP217" s="10"/>
      <c r="BS217" s="109"/>
      <c r="BT217" s="109"/>
      <c r="BV217" s="10"/>
      <c r="BY217" s="109"/>
      <c r="BZ217" s="109"/>
      <c r="CB217" s="10"/>
      <c r="CE217" s="109"/>
      <c r="CF217" s="109"/>
      <c r="CH217" s="10"/>
      <c r="CK217" s="109"/>
      <c r="CL217" s="109"/>
    </row>
    <row r="218" spans="1:90">
      <c r="A218" s="7" t="str">
        <f t="shared" si="31"/>
        <v>00420998</v>
      </c>
      <c r="B218" s="7" t="s">
        <v>2381</v>
      </c>
      <c r="C218" s="7" t="s">
        <v>2781</v>
      </c>
      <c r="D218" s="7">
        <v>209</v>
      </c>
      <c r="E218" s="7">
        <v>42</v>
      </c>
      <c r="F218" s="7" t="s">
        <v>2135</v>
      </c>
      <c r="G218" s="7">
        <v>998</v>
      </c>
      <c r="H218" s="7" t="s">
        <v>2135</v>
      </c>
      <c r="I218" s="37">
        <v>0</v>
      </c>
      <c r="J218" s="122">
        <v>0</v>
      </c>
      <c r="K218" s="123">
        <f t="shared" si="40"/>
        <v>0</v>
      </c>
      <c r="L218" s="122">
        <f>IF(K219&gt;0, K218/K219, 0)</f>
        <v>0</v>
      </c>
      <c r="M218" s="71"/>
      <c r="N218" s="10">
        <f>ROUND(M219*L218,0)</f>
        <v>0</v>
      </c>
      <c r="O218" s="70">
        <v>0</v>
      </c>
      <c r="P218" s="10">
        <f>N218-O218</f>
        <v>0</v>
      </c>
      <c r="Q218" s="46">
        <f t="shared" si="39"/>
        <v>0</v>
      </c>
      <c r="R218" s="10">
        <v>0</v>
      </c>
      <c r="S218" s="7">
        <f t="shared" si="32"/>
        <v>0</v>
      </c>
      <c r="T218" s="124">
        <f t="shared" si="33"/>
        <v>42</v>
      </c>
      <c r="U218" s="124">
        <f t="shared" si="34"/>
        <v>998</v>
      </c>
      <c r="V218" s="124">
        <f t="shared" si="35"/>
        <v>209</v>
      </c>
      <c r="W218" s="124">
        <f t="shared" si="36"/>
        <v>0</v>
      </c>
      <c r="X218" s="124">
        <f t="shared" si="37"/>
        <v>0</v>
      </c>
      <c r="Y218" s="264">
        <f t="shared" si="38"/>
        <v>209</v>
      </c>
      <c r="Z218" s="10">
        <v>42</v>
      </c>
      <c r="AA218" s="7">
        <v>998</v>
      </c>
      <c r="AB218" s="7">
        <v>209</v>
      </c>
      <c r="AC218" s="109">
        <v>0</v>
      </c>
      <c r="AD218" s="109">
        <v>0</v>
      </c>
      <c r="AE218" s="125"/>
      <c r="AF218" s="10"/>
      <c r="AI218" s="109"/>
      <c r="AJ218" s="109"/>
      <c r="AL218" s="10"/>
      <c r="AO218" s="109"/>
      <c r="AP218" s="109"/>
      <c r="AR218" s="10"/>
      <c r="AU218" s="109"/>
      <c r="AV218" s="109"/>
      <c r="AX218" s="10"/>
      <c r="BA218" s="109"/>
      <c r="BB218" s="109"/>
      <c r="BD218" s="10"/>
      <c r="BG218" s="109"/>
      <c r="BH218" s="109"/>
      <c r="BJ218" s="10"/>
      <c r="BM218" s="109"/>
      <c r="BN218" s="109"/>
      <c r="BP218" s="10"/>
      <c r="BS218" s="109"/>
      <c r="BT218" s="109"/>
      <c r="BV218" s="10"/>
      <c r="BY218" s="109"/>
      <c r="BZ218" s="109"/>
      <c r="CB218" s="10"/>
      <c r="CE218" s="109"/>
      <c r="CF218" s="109"/>
      <c r="CH218" s="10"/>
      <c r="CK218" s="109"/>
      <c r="CL218" s="109"/>
    </row>
    <row r="219" spans="1:90">
      <c r="A219" s="7" t="str">
        <f t="shared" si="31"/>
        <v>00420999</v>
      </c>
      <c r="B219" s="7" t="s">
        <v>2381</v>
      </c>
      <c r="C219" s="7" t="s">
        <v>2782</v>
      </c>
      <c r="D219" s="7">
        <v>210</v>
      </c>
      <c r="E219" s="11">
        <v>42</v>
      </c>
      <c r="F219" s="11" t="s">
        <v>1748</v>
      </c>
      <c r="G219" s="11">
        <v>999</v>
      </c>
      <c r="H219" s="11" t="s">
        <v>1132</v>
      </c>
      <c r="I219" s="105">
        <v>33381967.640000001</v>
      </c>
      <c r="J219" s="126">
        <v>1</v>
      </c>
      <c r="K219" s="127">
        <f>SUM(K215:K218)</f>
        <v>33834660.370878831</v>
      </c>
      <c r="L219" s="126">
        <f>SUM(L215:L218)</f>
        <v>1</v>
      </c>
      <c r="M219" s="105">
        <f>VLOOKUP(E219,town351,22)</f>
        <v>21063017</v>
      </c>
      <c r="N219" s="105">
        <f>SUM(N215:N218)</f>
        <v>21063017</v>
      </c>
      <c r="O219" s="128">
        <v>20604837</v>
      </c>
      <c r="P219" s="105">
        <f>SUM(P215:P218)</f>
        <v>458180</v>
      </c>
      <c r="Q219" s="45">
        <f t="shared" si="39"/>
        <v>2.2236526306905509</v>
      </c>
      <c r="R219" s="105">
        <v>3436</v>
      </c>
      <c r="S219" s="7">
        <f t="shared" si="32"/>
        <v>0</v>
      </c>
      <c r="T219" s="124">
        <f t="shared" si="33"/>
        <v>42</v>
      </c>
      <c r="U219" s="124">
        <f t="shared" si="34"/>
        <v>999</v>
      </c>
      <c r="V219" s="124">
        <f t="shared" si="35"/>
        <v>210</v>
      </c>
      <c r="W219" s="124">
        <f t="shared" si="36"/>
        <v>3399.9642091824699</v>
      </c>
      <c r="X219" s="124">
        <f t="shared" si="37"/>
        <v>33834660.370878831</v>
      </c>
      <c r="Y219" s="264">
        <f t="shared" si="38"/>
        <v>210</v>
      </c>
      <c r="Z219" s="10">
        <v>42</v>
      </c>
      <c r="AA219" s="7">
        <v>999</v>
      </c>
      <c r="AB219" s="7">
        <v>210</v>
      </c>
      <c r="AC219" s="109">
        <v>3399.9642091824699</v>
      </c>
      <c r="AD219" s="109">
        <v>33834660.370878831</v>
      </c>
      <c r="AE219" s="125"/>
      <c r="AF219" s="10"/>
      <c r="AI219" s="109"/>
      <c r="AJ219" s="109"/>
      <c r="AL219" s="10"/>
      <c r="AO219" s="109"/>
      <c r="AP219" s="109"/>
      <c r="AR219" s="10"/>
      <c r="AU219" s="109"/>
      <c r="AV219" s="109"/>
      <c r="AX219" s="10"/>
      <c r="BA219" s="109"/>
      <c r="BB219" s="109"/>
      <c r="BD219" s="10"/>
      <c r="BG219" s="109"/>
      <c r="BH219" s="109"/>
      <c r="BJ219" s="10"/>
      <c r="BM219" s="109"/>
      <c r="BN219" s="109"/>
      <c r="BP219" s="10"/>
      <c r="BS219" s="109"/>
      <c r="BT219" s="109"/>
      <c r="BV219" s="10"/>
      <c r="BY219" s="109"/>
      <c r="BZ219" s="109"/>
      <c r="CB219" s="10"/>
      <c r="CE219" s="109"/>
      <c r="CF219" s="109"/>
      <c r="CH219" s="10"/>
      <c r="CK219" s="109"/>
      <c r="CL219" s="109"/>
    </row>
    <row r="220" spans="1:90">
      <c r="A220" s="7" t="str">
        <f t="shared" si="31"/>
        <v>00430043</v>
      </c>
      <c r="B220" s="7" t="s">
        <v>2382</v>
      </c>
      <c r="C220" s="7" t="s">
        <v>2382</v>
      </c>
      <c r="D220" s="7">
        <v>211</v>
      </c>
      <c r="E220" s="7">
        <v>43</v>
      </c>
      <c r="F220" s="7" t="s">
        <v>1749</v>
      </c>
      <c r="G220" s="7">
        <v>43</v>
      </c>
      <c r="H220" s="7" t="s">
        <v>1309</v>
      </c>
      <c r="I220" s="37">
        <v>2386674.08</v>
      </c>
      <c r="J220" s="122">
        <v>0.42947775887473683</v>
      </c>
      <c r="K220" s="123">
        <f>X220</f>
        <v>2534076.5705832485</v>
      </c>
      <c r="L220" s="122">
        <f>IF(K224&gt;0, K220/K224, 0)</f>
        <v>0.45259708905305029</v>
      </c>
      <c r="M220" s="71"/>
      <c r="N220" s="10">
        <f>ROUND(M224*L220,0)</f>
        <v>1459687</v>
      </c>
      <c r="O220" s="70">
        <v>1412227</v>
      </c>
      <c r="P220" s="10">
        <f>N220-O220</f>
        <v>47460</v>
      </c>
      <c r="Q220" s="46">
        <f t="shared" si="39"/>
        <v>3.3606495273068706</v>
      </c>
      <c r="R220" s="10">
        <v>256</v>
      </c>
      <c r="S220" s="7">
        <f t="shared" si="32"/>
        <v>0</v>
      </c>
      <c r="T220" s="124">
        <f t="shared" si="33"/>
        <v>43</v>
      </c>
      <c r="U220" s="124">
        <f t="shared" si="34"/>
        <v>43</v>
      </c>
      <c r="V220" s="124">
        <f t="shared" si="35"/>
        <v>211</v>
      </c>
      <c r="W220" s="124">
        <f t="shared" si="36"/>
        <v>268</v>
      </c>
      <c r="X220" s="124">
        <f t="shared" si="37"/>
        <v>2534076.5705832485</v>
      </c>
      <c r="Y220" s="264">
        <f t="shared" si="38"/>
        <v>211</v>
      </c>
      <c r="Z220" s="10">
        <v>43</v>
      </c>
      <c r="AA220" s="7">
        <v>43</v>
      </c>
      <c r="AB220" s="7">
        <v>211</v>
      </c>
      <c r="AC220" s="109">
        <v>268</v>
      </c>
      <c r="AD220" s="109">
        <v>2534076.5705832485</v>
      </c>
      <c r="AE220" s="125"/>
      <c r="AF220" s="10"/>
      <c r="AI220" s="109"/>
      <c r="AJ220" s="109"/>
      <c r="AL220" s="10"/>
      <c r="AO220" s="109"/>
      <c r="AP220" s="109"/>
      <c r="AR220" s="10"/>
      <c r="AU220" s="109"/>
      <c r="AV220" s="109"/>
      <c r="AX220" s="10"/>
      <c r="BA220" s="109"/>
      <c r="BB220" s="109"/>
      <c r="BD220" s="10"/>
      <c r="BG220" s="109"/>
      <c r="BH220" s="109"/>
      <c r="BJ220" s="10"/>
      <c r="BM220" s="109"/>
      <c r="BN220" s="109"/>
      <c r="BP220" s="10"/>
      <c r="BS220" s="109"/>
      <c r="BT220" s="109"/>
      <c r="BV220" s="10"/>
      <c r="BY220" s="109"/>
      <c r="BZ220" s="109"/>
      <c r="CB220" s="10"/>
      <c r="CE220" s="109"/>
      <c r="CF220" s="109"/>
      <c r="CH220" s="10"/>
      <c r="CK220" s="109"/>
      <c r="CL220" s="109"/>
    </row>
    <row r="221" spans="1:90">
      <c r="A221" s="7" t="str">
        <f t="shared" si="31"/>
        <v>00430770</v>
      </c>
      <c r="B221" s="7" t="s">
        <v>2382</v>
      </c>
      <c r="C221" s="7" t="s">
        <v>2746</v>
      </c>
      <c r="D221" s="7">
        <v>212</v>
      </c>
      <c r="E221" s="7">
        <v>43</v>
      </c>
      <c r="F221" s="7" t="s">
        <v>1749</v>
      </c>
      <c r="G221" s="7">
        <v>770</v>
      </c>
      <c r="H221" s="7" t="s">
        <v>1673</v>
      </c>
      <c r="I221" s="37">
        <v>3170480</v>
      </c>
      <c r="J221" s="122">
        <v>0.57052224112526317</v>
      </c>
      <c r="K221" s="123">
        <f t="shared" si="40"/>
        <v>3064891.323543489</v>
      </c>
      <c r="L221" s="122">
        <f>IF(K224&gt;0, K221/K224, 0)</f>
        <v>0.54740291094694971</v>
      </c>
      <c r="M221" s="71"/>
      <c r="N221" s="10">
        <f>ROUND(M224*L221,0)</f>
        <v>1765448</v>
      </c>
      <c r="O221" s="70">
        <v>1876016</v>
      </c>
      <c r="P221" s="10">
        <f>N221-O221</f>
        <v>-110568</v>
      </c>
      <c r="Q221" s="46">
        <f t="shared" si="39"/>
        <v>-5.893766364465975</v>
      </c>
      <c r="R221" s="10">
        <v>278</v>
      </c>
      <c r="S221" s="7">
        <f t="shared" si="32"/>
        <v>0</v>
      </c>
      <c r="T221" s="124">
        <f t="shared" si="33"/>
        <v>43</v>
      </c>
      <c r="U221" s="124">
        <f t="shared" si="34"/>
        <v>770</v>
      </c>
      <c r="V221" s="124">
        <f t="shared" si="35"/>
        <v>212</v>
      </c>
      <c r="W221" s="124">
        <f t="shared" si="36"/>
        <v>266.00000000756</v>
      </c>
      <c r="X221" s="124">
        <f t="shared" si="37"/>
        <v>3064891.323543489</v>
      </c>
      <c r="Y221" s="264">
        <f t="shared" si="38"/>
        <v>212</v>
      </c>
      <c r="Z221" s="10">
        <v>43</v>
      </c>
      <c r="AA221" s="7">
        <v>770</v>
      </c>
      <c r="AB221" s="7">
        <v>212</v>
      </c>
      <c r="AC221" s="109">
        <v>266.00000000756</v>
      </c>
      <c r="AD221" s="109">
        <v>3064891.323543489</v>
      </c>
      <c r="AE221" s="125"/>
      <c r="AF221" s="10"/>
      <c r="AI221" s="109"/>
      <c r="AJ221" s="109"/>
      <c r="AL221" s="10"/>
      <c r="AO221" s="109"/>
      <c r="AP221" s="109"/>
      <c r="AR221" s="10"/>
      <c r="AU221" s="109"/>
      <c r="AV221" s="109"/>
      <c r="AX221" s="10"/>
      <c r="BA221" s="109"/>
      <c r="BB221" s="109"/>
      <c r="BD221" s="10"/>
      <c r="BG221" s="109"/>
      <c r="BH221" s="109"/>
      <c r="BJ221" s="10"/>
      <c r="BM221" s="109"/>
      <c r="BN221" s="109"/>
      <c r="BP221" s="10"/>
      <c r="BS221" s="109"/>
      <c r="BT221" s="109"/>
      <c r="BV221" s="10"/>
      <c r="BY221" s="109"/>
      <c r="BZ221" s="109"/>
      <c r="CB221" s="10"/>
      <c r="CE221" s="109"/>
      <c r="CF221" s="109"/>
      <c r="CH221" s="10"/>
      <c r="CK221" s="109"/>
      <c r="CL221" s="109"/>
    </row>
    <row r="222" spans="1:90">
      <c r="A222" s="7" t="str">
        <f t="shared" si="31"/>
        <v>00430998</v>
      </c>
      <c r="B222" s="7" t="s">
        <v>2382</v>
      </c>
      <c r="C222" s="7" t="s">
        <v>2781</v>
      </c>
      <c r="D222" s="7">
        <v>213</v>
      </c>
      <c r="E222" s="7">
        <v>43</v>
      </c>
      <c r="F222" s="7" t="s">
        <v>2135</v>
      </c>
      <c r="G222" s="7">
        <v>998</v>
      </c>
      <c r="H222" s="7" t="s">
        <v>2135</v>
      </c>
      <c r="I222" s="37">
        <v>0</v>
      </c>
      <c r="J222" s="122">
        <v>0</v>
      </c>
      <c r="K222" s="123">
        <f t="shared" si="40"/>
        <v>0</v>
      </c>
      <c r="L222" s="122">
        <f>IF(K224&gt;0, K222/K224, 0)</f>
        <v>0</v>
      </c>
      <c r="M222" s="71"/>
      <c r="N222" s="10">
        <f>ROUND(M224*L222,0)</f>
        <v>0</v>
      </c>
      <c r="O222" s="70">
        <v>0</v>
      </c>
      <c r="P222" s="10">
        <f>N222-O222</f>
        <v>0</v>
      </c>
      <c r="Q222" s="46">
        <f t="shared" si="39"/>
        <v>0</v>
      </c>
      <c r="R222" s="10">
        <v>0</v>
      </c>
      <c r="S222" s="7">
        <f t="shared" si="32"/>
        <v>0</v>
      </c>
      <c r="T222" s="124">
        <f t="shared" si="33"/>
        <v>43</v>
      </c>
      <c r="U222" s="124">
        <f t="shared" si="34"/>
        <v>998</v>
      </c>
      <c r="V222" s="124">
        <f t="shared" si="35"/>
        <v>213</v>
      </c>
      <c r="W222" s="124">
        <f t="shared" si="36"/>
        <v>0</v>
      </c>
      <c r="X222" s="124">
        <f t="shared" si="37"/>
        <v>0</v>
      </c>
      <c r="Y222" s="264">
        <f t="shared" si="38"/>
        <v>213</v>
      </c>
      <c r="Z222" s="10">
        <v>43</v>
      </c>
      <c r="AA222" s="7">
        <v>998</v>
      </c>
      <c r="AB222" s="7">
        <v>213</v>
      </c>
      <c r="AC222" s="109">
        <v>0</v>
      </c>
      <c r="AD222" s="109">
        <v>0</v>
      </c>
      <c r="AE222" s="125"/>
      <c r="AF222" s="10"/>
      <c r="AI222" s="109"/>
      <c r="AJ222" s="109"/>
      <c r="AL222" s="10"/>
      <c r="AO222" s="109"/>
      <c r="AP222" s="109"/>
      <c r="AR222" s="10"/>
      <c r="AU222" s="109"/>
      <c r="AV222" s="109"/>
      <c r="AX222" s="10"/>
      <c r="BA222" s="109"/>
      <c r="BB222" s="109"/>
      <c r="BD222" s="10"/>
      <c r="BG222" s="109"/>
      <c r="BH222" s="109"/>
      <c r="BJ222" s="10"/>
      <c r="BM222" s="109"/>
      <c r="BN222" s="109"/>
      <c r="BP222" s="10"/>
      <c r="BS222" s="109"/>
      <c r="BT222" s="109"/>
      <c r="BV222" s="10"/>
      <c r="BY222" s="109"/>
      <c r="BZ222" s="109"/>
      <c r="CB222" s="10"/>
      <c r="CE222" s="109"/>
      <c r="CF222" s="109"/>
      <c r="CH222" s="10"/>
      <c r="CK222" s="109"/>
      <c r="CL222" s="109"/>
    </row>
    <row r="223" spans="1:90">
      <c r="A223" s="7" t="str">
        <f t="shared" si="31"/>
        <v>00430998</v>
      </c>
      <c r="B223" s="7" t="s">
        <v>2382</v>
      </c>
      <c r="C223" s="7" t="s">
        <v>2781</v>
      </c>
      <c r="D223" s="7">
        <v>214</v>
      </c>
      <c r="E223" s="7">
        <v>43</v>
      </c>
      <c r="F223" s="7" t="s">
        <v>2135</v>
      </c>
      <c r="G223" s="7">
        <v>998</v>
      </c>
      <c r="H223" s="7" t="s">
        <v>2135</v>
      </c>
      <c r="I223" s="37">
        <v>0</v>
      </c>
      <c r="J223" s="122">
        <v>0</v>
      </c>
      <c r="K223" s="123">
        <f t="shared" si="40"/>
        <v>0</v>
      </c>
      <c r="L223" s="122">
        <f>IF(K224&gt;0, K223/K224, 0)</f>
        <v>0</v>
      </c>
      <c r="M223" s="71"/>
      <c r="N223" s="10">
        <f>ROUND(M224*L223,0)</f>
        <v>0</v>
      </c>
      <c r="O223" s="70">
        <v>0</v>
      </c>
      <c r="P223" s="10">
        <f>N223-O223</f>
        <v>0</v>
      </c>
      <c r="Q223" s="46">
        <f t="shared" si="39"/>
        <v>0</v>
      </c>
      <c r="R223" s="10">
        <v>0</v>
      </c>
      <c r="S223" s="7">
        <f t="shared" si="32"/>
        <v>0</v>
      </c>
      <c r="T223" s="124">
        <f t="shared" si="33"/>
        <v>43</v>
      </c>
      <c r="U223" s="124">
        <f t="shared" si="34"/>
        <v>998</v>
      </c>
      <c r="V223" s="124">
        <f t="shared" si="35"/>
        <v>214</v>
      </c>
      <c r="W223" s="124">
        <f t="shared" si="36"/>
        <v>0</v>
      </c>
      <c r="X223" s="124">
        <f t="shared" si="37"/>
        <v>0</v>
      </c>
      <c r="Y223" s="264">
        <f t="shared" si="38"/>
        <v>214</v>
      </c>
      <c r="Z223" s="10">
        <v>43</v>
      </c>
      <c r="AA223" s="7">
        <v>998</v>
      </c>
      <c r="AB223" s="7">
        <v>214</v>
      </c>
      <c r="AC223" s="109">
        <v>0</v>
      </c>
      <c r="AD223" s="109">
        <v>0</v>
      </c>
      <c r="AE223" s="125"/>
      <c r="AF223" s="10"/>
      <c r="AI223" s="109"/>
      <c r="AJ223" s="109"/>
      <c r="AL223" s="10"/>
      <c r="AO223" s="109"/>
      <c r="AP223" s="109"/>
      <c r="AR223" s="10"/>
      <c r="AU223" s="109"/>
      <c r="AV223" s="109"/>
      <c r="AX223" s="10"/>
      <c r="BA223" s="109"/>
      <c r="BB223" s="109"/>
      <c r="BD223" s="10"/>
      <c r="BG223" s="109"/>
      <c r="BH223" s="109"/>
      <c r="BJ223" s="10"/>
      <c r="BM223" s="109"/>
      <c r="BN223" s="109"/>
      <c r="BP223" s="10"/>
      <c r="BS223" s="109"/>
      <c r="BT223" s="109"/>
      <c r="BV223" s="10"/>
      <c r="BY223" s="109"/>
      <c r="BZ223" s="109"/>
      <c r="CB223" s="10"/>
      <c r="CE223" s="109"/>
      <c r="CF223" s="109"/>
      <c r="CH223" s="10"/>
      <c r="CK223" s="109"/>
      <c r="CL223" s="109"/>
    </row>
    <row r="224" spans="1:90">
      <c r="A224" s="7" t="str">
        <f t="shared" si="31"/>
        <v>00430999</v>
      </c>
      <c r="B224" s="7" t="s">
        <v>2382</v>
      </c>
      <c r="C224" s="7" t="s">
        <v>2782</v>
      </c>
      <c r="D224" s="7">
        <v>215</v>
      </c>
      <c r="E224" s="11">
        <v>43</v>
      </c>
      <c r="F224" s="11" t="s">
        <v>1749</v>
      </c>
      <c r="G224" s="11">
        <v>999</v>
      </c>
      <c r="H224" s="11" t="s">
        <v>1132</v>
      </c>
      <c r="I224" s="105">
        <v>5557154.0800000001</v>
      </c>
      <c r="J224" s="126">
        <v>1</v>
      </c>
      <c r="K224" s="127">
        <f>SUM(K220:K223)</f>
        <v>5598967.8941267375</v>
      </c>
      <c r="L224" s="126">
        <f>SUM(L220:L223)</f>
        <v>1</v>
      </c>
      <c r="M224" s="105">
        <f>VLOOKUP(E224,town351,22)</f>
        <v>3225135</v>
      </c>
      <c r="N224" s="105">
        <f>SUM(N220:N223)</f>
        <v>3225135</v>
      </c>
      <c r="O224" s="128">
        <v>3288243</v>
      </c>
      <c r="P224" s="105">
        <f>SUM(P220:P223)</f>
        <v>-63108</v>
      </c>
      <c r="Q224" s="45">
        <f t="shared" si="39"/>
        <v>-1.9192012269166239</v>
      </c>
      <c r="R224" s="105">
        <v>534</v>
      </c>
      <c r="S224" s="7">
        <f t="shared" si="32"/>
        <v>0</v>
      </c>
      <c r="T224" s="124">
        <f t="shared" si="33"/>
        <v>43</v>
      </c>
      <c r="U224" s="124">
        <f t="shared" si="34"/>
        <v>999</v>
      </c>
      <c r="V224" s="124">
        <f t="shared" si="35"/>
        <v>215</v>
      </c>
      <c r="W224" s="124">
        <f t="shared" si="36"/>
        <v>534.00000000755995</v>
      </c>
      <c r="X224" s="124">
        <f t="shared" si="37"/>
        <v>5598967.8941267375</v>
      </c>
      <c r="Y224" s="264">
        <f t="shared" si="38"/>
        <v>215</v>
      </c>
      <c r="Z224" s="10">
        <v>43</v>
      </c>
      <c r="AA224" s="7">
        <v>999</v>
      </c>
      <c r="AB224" s="7">
        <v>215</v>
      </c>
      <c r="AC224" s="109">
        <v>534.00000000755995</v>
      </c>
      <c r="AD224" s="109">
        <v>5598967.8941267375</v>
      </c>
      <c r="AE224" s="125"/>
      <c r="AF224" s="10"/>
      <c r="AI224" s="109"/>
      <c r="AJ224" s="109"/>
      <c r="AL224" s="10"/>
      <c r="AO224" s="109"/>
      <c r="AP224" s="109"/>
      <c r="AR224" s="10"/>
      <c r="AU224" s="109"/>
      <c r="AV224" s="109"/>
      <c r="AX224" s="10"/>
      <c r="BA224" s="109"/>
      <c r="BB224" s="109"/>
      <c r="BD224" s="10"/>
      <c r="BG224" s="109"/>
      <c r="BH224" s="109"/>
      <c r="BJ224" s="10"/>
      <c r="BM224" s="109"/>
      <c r="BN224" s="109"/>
      <c r="BP224" s="10"/>
      <c r="BS224" s="109"/>
      <c r="BT224" s="109"/>
      <c r="BV224" s="10"/>
      <c r="BY224" s="109"/>
      <c r="BZ224" s="109"/>
      <c r="CB224" s="10"/>
      <c r="CE224" s="109"/>
      <c r="CF224" s="109"/>
      <c r="CH224" s="10"/>
      <c r="CK224" s="109"/>
      <c r="CL224" s="109"/>
    </row>
    <row r="225" spans="1:90">
      <c r="A225" s="7" t="str">
        <f t="shared" si="31"/>
        <v>00440044</v>
      </c>
      <c r="B225" s="7" t="s">
        <v>2383</v>
      </c>
      <c r="C225" s="7" t="s">
        <v>2383</v>
      </c>
      <c r="D225" s="7">
        <v>216</v>
      </c>
      <c r="E225" s="7">
        <v>44</v>
      </c>
      <c r="F225" s="7" t="s">
        <v>1750</v>
      </c>
      <c r="G225" s="7">
        <v>44</v>
      </c>
      <c r="H225" s="7" t="s">
        <v>1310</v>
      </c>
      <c r="I225" s="37">
        <v>202933234.47</v>
      </c>
      <c r="J225" s="122">
        <v>0.9318379978645539</v>
      </c>
      <c r="K225" s="123">
        <f>X225</f>
        <v>210658023.1896143</v>
      </c>
      <c r="L225" s="122">
        <f>IF(K229&gt;0, K225/K229, 0)</f>
        <v>0.93056436450995872</v>
      </c>
      <c r="M225" s="71"/>
      <c r="N225" s="10">
        <f>ROUND(M229*L225,0)</f>
        <v>42271112</v>
      </c>
      <c r="O225" s="70">
        <v>40436538</v>
      </c>
      <c r="P225" s="10">
        <f>N225-O225</f>
        <v>1834574</v>
      </c>
      <c r="Q225" s="46">
        <f t="shared" si="39"/>
        <v>4.5369215336881705</v>
      </c>
      <c r="R225" s="10">
        <v>17674</v>
      </c>
      <c r="S225" s="7">
        <f t="shared" si="32"/>
        <v>0</v>
      </c>
      <c r="T225" s="124">
        <f t="shared" si="33"/>
        <v>44</v>
      </c>
      <c r="U225" s="124">
        <f t="shared" si="34"/>
        <v>44</v>
      </c>
      <c r="V225" s="124">
        <f t="shared" si="35"/>
        <v>216</v>
      </c>
      <c r="W225" s="124">
        <f t="shared" si="36"/>
        <v>17888</v>
      </c>
      <c r="X225" s="124">
        <f t="shared" si="37"/>
        <v>210658023.1896143</v>
      </c>
      <c r="Y225" s="264">
        <f t="shared" si="38"/>
        <v>216</v>
      </c>
      <c r="Z225" s="10">
        <v>44</v>
      </c>
      <c r="AA225" s="7">
        <v>44</v>
      </c>
      <c r="AB225" s="7">
        <v>216</v>
      </c>
      <c r="AC225" s="109">
        <v>17888</v>
      </c>
      <c r="AD225" s="109">
        <v>210658023.1896143</v>
      </c>
      <c r="AE225" s="125"/>
      <c r="AF225" s="10"/>
      <c r="AI225" s="109"/>
      <c r="AJ225" s="109"/>
      <c r="AL225" s="10"/>
      <c r="AO225" s="109"/>
      <c r="AP225" s="109"/>
      <c r="AR225" s="10"/>
      <c r="AU225" s="109"/>
      <c r="AV225" s="109"/>
      <c r="AX225" s="10"/>
      <c r="BA225" s="109"/>
      <c r="BB225" s="109"/>
      <c r="BD225" s="10"/>
      <c r="BG225" s="109"/>
      <c r="BH225" s="109"/>
      <c r="BJ225" s="10"/>
      <c r="BM225" s="109"/>
      <c r="BN225" s="109"/>
      <c r="BP225" s="10"/>
      <c r="BS225" s="109"/>
      <c r="BT225" s="109"/>
      <c r="BV225" s="10"/>
      <c r="BY225" s="109"/>
      <c r="BZ225" s="109"/>
      <c r="CB225" s="10"/>
      <c r="CE225" s="109"/>
      <c r="CF225" s="109"/>
      <c r="CH225" s="10"/>
      <c r="CK225" s="109"/>
      <c r="CL225" s="109"/>
    </row>
    <row r="226" spans="1:90">
      <c r="A226" s="7" t="str">
        <f t="shared" si="31"/>
        <v>00440872</v>
      </c>
      <c r="B226" s="7" t="s">
        <v>2383</v>
      </c>
      <c r="C226" s="7" t="s">
        <v>2772</v>
      </c>
      <c r="D226" s="7">
        <v>217</v>
      </c>
      <c r="E226" s="7">
        <v>44</v>
      </c>
      <c r="F226" s="7" t="s">
        <v>1750</v>
      </c>
      <c r="G226" s="7">
        <v>872</v>
      </c>
      <c r="H226" s="7" t="s">
        <v>1699</v>
      </c>
      <c r="I226" s="37">
        <v>14844142</v>
      </c>
      <c r="J226" s="122">
        <v>6.8162002135446154E-2</v>
      </c>
      <c r="K226" s="123">
        <f t="shared" si="40"/>
        <v>15718605.041306825</v>
      </c>
      <c r="L226" s="122">
        <f>IF(K229&gt;0, K226/K229, 0)</f>
        <v>6.9435635490041267E-2</v>
      </c>
      <c r="M226" s="71"/>
      <c r="N226" s="10">
        <f>ROUND(M229*L226,0)</f>
        <v>3154131</v>
      </c>
      <c r="O226" s="70">
        <v>2957848</v>
      </c>
      <c r="P226" s="10">
        <f>N226-O226</f>
        <v>196283</v>
      </c>
      <c r="Q226" s="46">
        <f t="shared" si="39"/>
        <v>6.6360069888648772</v>
      </c>
      <c r="R226" s="10">
        <v>926</v>
      </c>
      <c r="S226" s="7">
        <f t="shared" si="32"/>
        <v>0</v>
      </c>
      <c r="T226" s="124">
        <f t="shared" si="33"/>
        <v>44</v>
      </c>
      <c r="U226" s="124">
        <f t="shared" si="34"/>
        <v>872</v>
      </c>
      <c r="V226" s="124">
        <f t="shared" si="35"/>
        <v>217</v>
      </c>
      <c r="W226" s="124">
        <f t="shared" si="36"/>
        <v>961.91235059280007</v>
      </c>
      <c r="X226" s="124">
        <f t="shared" si="37"/>
        <v>15718605.041306825</v>
      </c>
      <c r="Y226" s="264">
        <f t="shared" si="38"/>
        <v>217</v>
      </c>
      <c r="Z226" s="10">
        <v>44</v>
      </c>
      <c r="AA226" s="7">
        <v>872</v>
      </c>
      <c r="AB226" s="7">
        <v>217</v>
      </c>
      <c r="AC226" s="109">
        <v>961.91235059280007</v>
      </c>
      <c r="AD226" s="109">
        <v>15718605.041306825</v>
      </c>
      <c r="AE226" s="125"/>
      <c r="AF226" s="10"/>
      <c r="AI226" s="109"/>
      <c r="AJ226" s="109"/>
      <c r="AL226" s="10"/>
      <c r="AO226" s="109"/>
      <c r="AP226" s="109"/>
      <c r="AR226" s="10"/>
      <c r="AU226" s="109"/>
      <c r="AV226" s="109"/>
      <c r="AX226" s="10"/>
      <c r="BA226" s="109"/>
      <c r="BB226" s="109"/>
      <c r="BD226" s="10"/>
      <c r="BG226" s="109"/>
      <c r="BH226" s="109"/>
      <c r="BJ226" s="10"/>
      <c r="BM226" s="109"/>
      <c r="BN226" s="109"/>
      <c r="BP226" s="10"/>
      <c r="BS226" s="109"/>
      <c r="BT226" s="109"/>
      <c r="BV226" s="10"/>
      <c r="BY226" s="109"/>
      <c r="BZ226" s="109"/>
      <c r="CB226" s="10"/>
      <c r="CE226" s="109"/>
      <c r="CF226" s="109"/>
      <c r="CH226" s="10"/>
      <c r="CK226" s="109"/>
      <c r="CL226" s="109"/>
    </row>
    <row r="227" spans="1:90">
      <c r="A227" s="7" t="str">
        <f t="shared" si="31"/>
        <v>00440998</v>
      </c>
      <c r="B227" s="7" t="s">
        <v>2383</v>
      </c>
      <c r="C227" s="7" t="s">
        <v>2781</v>
      </c>
      <c r="D227" s="7">
        <v>218</v>
      </c>
      <c r="E227" s="7">
        <v>44</v>
      </c>
      <c r="F227" s="7" t="s">
        <v>2135</v>
      </c>
      <c r="G227" s="7">
        <v>998</v>
      </c>
      <c r="H227" s="7" t="s">
        <v>2135</v>
      </c>
      <c r="I227" s="37">
        <v>0</v>
      </c>
      <c r="J227" s="122">
        <v>0</v>
      </c>
      <c r="K227" s="123">
        <f t="shared" si="40"/>
        <v>0</v>
      </c>
      <c r="L227" s="122">
        <f>IF(K229&gt;0, K227/K229, 0)</f>
        <v>0</v>
      </c>
      <c r="M227" s="71"/>
      <c r="N227" s="10">
        <f>ROUND(M229*L227,0)</f>
        <v>0</v>
      </c>
      <c r="O227" s="70">
        <v>0</v>
      </c>
      <c r="P227" s="10">
        <f>N227-O227</f>
        <v>0</v>
      </c>
      <c r="Q227" s="46">
        <f t="shared" si="39"/>
        <v>0</v>
      </c>
      <c r="R227" s="10">
        <v>0</v>
      </c>
      <c r="S227" s="7">
        <f t="shared" si="32"/>
        <v>0</v>
      </c>
      <c r="T227" s="124">
        <f t="shared" si="33"/>
        <v>44</v>
      </c>
      <c r="U227" s="124">
        <f t="shared" si="34"/>
        <v>998</v>
      </c>
      <c r="V227" s="124">
        <f t="shared" si="35"/>
        <v>218</v>
      </c>
      <c r="W227" s="124">
        <f t="shared" si="36"/>
        <v>0</v>
      </c>
      <c r="X227" s="124">
        <f t="shared" si="37"/>
        <v>0</v>
      </c>
      <c r="Y227" s="264">
        <f t="shared" si="38"/>
        <v>218</v>
      </c>
      <c r="Z227" s="10">
        <v>44</v>
      </c>
      <c r="AA227" s="7">
        <v>998</v>
      </c>
      <c r="AB227" s="7">
        <v>218</v>
      </c>
      <c r="AC227" s="109">
        <v>0</v>
      </c>
      <c r="AD227" s="109">
        <v>0</v>
      </c>
      <c r="AE227" s="125"/>
      <c r="AF227" s="10"/>
      <c r="AI227" s="109"/>
      <c r="AJ227" s="109"/>
      <c r="AL227" s="10"/>
      <c r="AO227" s="109"/>
      <c r="AP227" s="109"/>
      <c r="AR227" s="10"/>
      <c r="AU227" s="109"/>
      <c r="AV227" s="109"/>
      <c r="AX227" s="10"/>
      <c r="BA227" s="109"/>
      <c r="BB227" s="109"/>
      <c r="BD227" s="10"/>
      <c r="BG227" s="109"/>
      <c r="BH227" s="109"/>
      <c r="BJ227" s="10"/>
      <c r="BM227" s="109"/>
      <c r="BN227" s="109"/>
      <c r="BP227" s="10"/>
      <c r="BS227" s="109"/>
      <c r="BT227" s="109"/>
      <c r="BV227" s="10"/>
      <c r="BY227" s="109"/>
      <c r="BZ227" s="109"/>
      <c r="CB227" s="10"/>
      <c r="CE227" s="109"/>
      <c r="CF227" s="109"/>
      <c r="CH227" s="10"/>
      <c r="CK227" s="109"/>
      <c r="CL227" s="109"/>
    </row>
    <row r="228" spans="1:90">
      <c r="A228" s="7" t="str">
        <f t="shared" si="31"/>
        <v>00440998</v>
      </c>
      <c r="B228" s="7" t="s">
        <v>2383</v>
      </c>
      <c r="C228" s="7" t="s">
        <v>2781</v>
      </c>
      <c r="D228" s="7">
        <v>219</v>
      </c>
      <c r="E228" s="7">
        <v>44</v>
      </c>
      <c r="F228" s="7" t="s">
        <v>2135</v>
      </c>
      <c r="G228" s="7">
        <v>998</v>
      </c>
      <c r="H228" s="7" t="s">
        <v>2135</v>
      </c>
      <c r="I228" s="37">
        <v>0</v>
      </c>
      <c r="J228" s="122">
        <v>0</v>
      </c>
      <c r="K228" s="123">
        <f t="shared" si="40"/>
        <v>0</v>
      </c>
      <c r="L228" s="122">
        <f>IF(K229&gt;0, K228/K229, 0)</f>
        <v>0</v>
      </c>
      <c r="M228" s="71"/>
      <c r="N228" s="10">
        <f>ROUND(M229*L228,0)</f>
        <v>0</v>
      </c>
      <c r="O228" s="70">
        <v>0</v>
      </c>
      <c r="P228" s="10">
        <f>N228-O228</f>
        <v>0</v>
      </c>
      <c r="Q228" s="46">
        <f t="shared" si="39"/>
        <v>0</v>
      </c>
      <c r="R228" s="10">
        <v>0</v>
      </c>
      <c r="S228" s="7">
        <f t="shared" si="32"/>
        <v>0</v>
      </c>
      <c r="T228" s="124">
        <f t="shared" si="33"/>
        <v>44</v>
      </c>
      <c r="U228" s="124">
        <f t="shared" si="34"/>
        <v>998</v>
      </c>
      <c r="V228" s="124">
        <f t="shared" si="35"/>
        <v>219</v>
      </c>
      <c r="W228" s="124">
        <f t="shared" si="36"/>
        <v>0</v>
      </c>
      <c r="X228" s="124">
        <f t="shared" si="37"/>
        <v>0</v>
      </c>
      <c r="Y228" s="264">
        <f t="shared" si="38"/>
        <v>219</v>
      </c>
      <c r="Z228" s="10">
        <v>44</v>
      </c>
      <c r="AA228" s="7">
        <v>998</v>
      </c>
      <c r="AB228" s="7">
        <v>219</v>
      </c>
      <c r="AC228" s="109">
        <v>0</v>
      </c>
      <c r="AD228" s="109">
        <v>0</v>
      </c>
      <c r="AE228" s="125"/>
      <c r="AF228" s="10"/>
      <c r="AI228" s="109"/>
      <c r="AJ228" s="109"/>
      <c r="AL228" s="10"/>
      <c r="AO228" s="109"/>
      <c r="AP228" s="109"/>
      <c r="AR228" s="10"/>
      <c r="AU228" s="109"/>
      <c r="AV228" s="109"/>
      <c r="AX228" s="10"/>
      <c r="BA228" s="109"/>
      <c r="BB228" s="109"/>
      <c r="BD228" s="10"/>
      <c r="BG228" s="109"/>
      <c r="BH228" s="109"/>
      <c r="BJ228" s="10"/>
      <c r="BM228" s="109"/>
      <c r="BN228" s="109"/>
      <c r="BP228" s="10"/>
      <c r="BS228" s="109"/>
      <c r="BT228" s="109"/>
      <c r="BV228" s="10"/>
      <c r="BY228" s="109"/>
      <c r="BZ228" s="109"/>
      <c r="CB228" s="10"/>
      <c r="CE228" s="109"/>
      <c r="CF228" s="109"/>
      <c r="CH228" s="10"/>
      <c r="CK228" s="109"/>
      <c r="CL228" s="109"/>
    </row>
    <row r="229" spans="1:90">
      <c r="A229" s="7" t="str">
        <f t="shared" si="31"/>
        <v>00440999</v>
      </c>
      <c r="B229" s="7" t="s">
        <v>2383</v>
      </c>
      <c r="C229" s="7" t="s">
        <v>2782</v>
      </c>
      <c r="D229" s="7">
        <v>220</v>
      </c>
      <c r="E229" s="11">
        <v>44</v>
      </c>
      <c r="F229" s="11" t="s">
        <v>1750</v>
      </c>
      <c r="G229" s="11">
        <v>999</v>
      </c>
      <c r="H229" s="11" t="s">
        <v>1132</v>
      </c>
      <c r="I229" s="105">
        <v>217777376.47</v>
      </c>
      <c r="J229" s="126">
        <v>1</v>
      </c>
      <c r="K229" s="127">
        <f>SUM(K225:K228)</f>
        <v>226376628.23092112</v>
      </c>
      <c r="L229" s="126">
        <f>SUM(L225:L228)</f>
        <v>1</v>
      </c>
      <c r="M229" s="105">
        <f>VLOOKUP(E229,town351,22)</f>
        <v>45425243</v>
      </c>
      <c r="N229" s="105">
        <f>SUM(N225:N228)</f>
        <v>45425243</v>
      </c>
      <c r="O229" s="128">
        <v>43394386</v>
      </c>
      <c r="P229" s="105">
        <f>SUM(P225:P228)</f>
        <v>2030857</v>
      </c>
      <c r="Q229" s="45">
        <f t="shared" si="39"/>
        <v>4.6799993897828163</v>
      </c>
      <c r="R229" s="105">
        <v>18600</v>
      </c>
      <c r="S229" s="7">
        <f t="shared" si="32"/>
        <v>0</v>
      </c>
      <c r="T229" s="124">
        <f t="shared" si="33"/>
        <v>44</v>
      </c>
      <c r="U229" s="124">
        <f t="shared" si="34"/>
        <v>999</v>
      </c>
      <c r="V229" s="124">
        <f t="shared" si="35"/>
        <v>220</v>
      </c>
      <c r="W229" s="124">
        <f t="shared" si="36"/>
        <v>18849.9123505928</v>
      </c>
      <c r="X229" s="124">
        <f t="shared" si="37"/>
        <v>226376628.23092112</v>
      </c>
      <c r="Y229" s="264">
        <f t="shared" si="38"/>
        <v>220</v>
      </c>
      <c r="Z229" s="10">
        <v>44</v>
      </c>
      <c r="AA229" s="7">
        <v>999</v>
      </c>
      <c r="AB229" s="7">
        <v>220</v>
      </c>
      <c r="AC229" s="109">
        <v>18849.9123505928</v>
      </c>
      <c r="AD229" s="109">
        <v>226376628.23092112</v>
      </c>
      <c r="AE229" s="125"/>
      <c r="AF229" s="10"/>
      <c r="AI229" s="109"/>
      <c r="AJ229" s="109"/>
      <c r="AL229" s="10"/>
      <c r="AO229" s="109"/>
      <c r="AP229" s="109"/>
      <c r="AR229" s="10"/>
      <c r="AU229" s="109"/>
      <c r="AV229" s="109"/>
      <c r="AX229" s="10"/>
      <c r="BA229" s="109"/>
      <c r="BB229" s="109"/>
      <c r="BD229" s="10"/>
      <c r="BG229" s="109"/>
      <c r="BH229" s="109"/>
      <c r="BJ229" s="10"/>
      <c r="BM229" s="109"/>
      <c r="BN229" s="109"/>
      <c r="BP229" s="10"/>
      <c r="BS229" s="109"/>
      <c r="BT229" s="109"/>
      <c r="BV229" s="10"/>
      <c r="BY229" s="109"/>
      <c r="BZ229" s="109"/>
      <c r="CB229" s="10"/>
      <c r="CE229" s="109"/>
      <c r="CF229" s="109"/>
      <c r="CH229" s="10"/>
      <c r="CK229" s="109"/>
      <c r="CL229" s="109"/>
    </row>
    <row r="230" spans="1:90">
      <c r="A230" s="7" t="str">
        <f t="shared" si="31"/>
        <v>00450045</v>
      </c>
      <c r="B230" s="7" t="s">
        <v>2384</v>
      </c>
      <c r="C230" s="7" t="s">
        <v>2384</v>
      </c>
      <c r="D230" s="7">
        <v>221</v>
      </c>
      <c r="E230" s="7">
        <v>45</v>
      </c>
      <c r="F230" s="7" t="s">
        <v>1751</v>
      </c>
      <c r="G230" s="7">
        <v>45</v>
      </c>
      <c r="H230" s="7" t="s">
        <v>1311</v>
      </c>
      <c r="I230" s="37">
        <v>2406993.0500000003</v>
      </c>
      <c r="J230" s="122">
        <v>0.47210012129006956</v>
      </c>
      <c r="K230" s="123">
        <f>X230</f>
        <v>2393041.9473765823</v>
      </c>
      <c r="L230" s="122">
        <f>IF(K234&gt;0, K230/K234, 0)</f>
        <v>0.46599727925008066</v>
      </c>
      <c r="M230" s="71"/>
      <c r="N230" s="10">
        <f>ROUND(M234*L230,0)</f>
        <v>1030082</v>
      </c>
      <c r="O230" s="70">
        <v>1047029</v>
      </c>
      <c r="P230" s="10">
        <f>N230-O230</f>
        <v>-16947</v>
      </c>
      <c r="Q230" s="46">
        <f t="shared" si="39"/>
        <v>-1.6185798101103217</v>
      </c>
      <c r="R230" s="10">
        <v>243</v>
      </c>
      <c r="S230" s="7">
        <f t="shared" si="32"/>
        <v>0</v>
      </c>
      <c r="T230" s="124">
        <f t="shared" si="33"/>
        <v>45</v>
      </c>
      <c r="U230" s="124">
        <f t="shared" si="34"/>
        <v>45</v>
      </c>
      <c r="V230" s="124">
        <f t="shared" si="35"/>
        <v>221</v>
      </c>
      <c r="W230" s="124">
        <f t="shared" si="36"/>
        <v>234</v>
      </c>
      <c r="X230" s="124">
        <f t="shared" si="37"/>
        <v>2393041.9473765823</v>
      </c>
      <c r="Y230" s="264">
        <f t="shared" si="38"/>
        <v>221</v>
      </c>
      <c r="Z230" s="10">
        <v>45</v>
      </c>
      <c r="AA230" s="7">
        <v>45</v>
      </c>
      <c r="AB230" s="7">
        <v>221</v>
      </c>
      <c r="AC230" s="109">
        <v>234</v>
      </c>
      <c r="AD230" s="109">
        <v>2393041.9473765823</v>
      </c>
      <c r="AE230" s="125"/>
      <c r="AF230" s="10"/>
      <c r="AI230" s="109"/>
      <c r="AJ230" s="109"/>
      <c r="AL230" s="10"/>
      <c r="AO230" s="109"/>
      <c r="AP230" s="109"/>
      <c r="AR230" s="10"/>
      <c r="AU230" s="109"/>
      <c r="AV230" s="109"/>
      <c r="AX230" s="10"/>
      <c r="BA230" s="109"/>
      <c r="BB230" s="109"/>
      <c r="BD230" s="10"/>
      <c r="BG230" s="109"/>
      <c r="BH230" s="109"/>
      <c r="BJ230" s="10"/>
      <c r="BM230" s="109"/>
      <c r="BN230" s="109"/>
      <c r="BP230" s="10"/>
      <c r="BS230" s="109"/>
      <c r="BT230" s="109"/>
      <c r="BV230" s="10"/>
      <c r="BY230" s="109"/>
      <c r="BZ230" s="109"/>
      <c r="CB230" s="10"/>
      <c r="CE230" s="109"/>
      <c r="CF230" s="109"/>
      <c r="CH230" s="10"/>
      <c r="CK230" s="109"/>
      <c r="CL230" s="109"/>
    </row>
    <row r="231" spans="1:90">
      <c r="A231" s="7" t="str">
        <f t="shared" si="31"/>
        <v>00450770</v>
      </c>
      <c r="B231" s="7" t="s">
        <v>2384</v>
      </c>
      <c r="C231" s="7" t="s">
        <v>2746</v>
      </c>
      <c r="D231" s="7">
        <v>222</v>
      </c>
      <c r="E231" s="7">
        <v>45</v>
      </c>
      <c r="F231" s="7" t="s">
        <v>1751</v>
      </c>
      <c r="G231" s="7">
        <v>770</v>
      </c>
      <c r="H231" s="7" t="s">
        <v>1673</v>
      </c>
      <c r="I231" s="37">
        <v>2691487</v>
      </c>
      <c r="J231" s="122">
        <v>0.52789987870993038</v>
      </c>
      <c r="K231" s="123">
        <f t="shared" si="40"/>
        <v>2742271.1841242132</v>
      </c>
      <c r="L231" s="122">
        <f>IF(K234&gt;0, K231/K234, 0)</f>
        <v>0.53400272074991939</v>
      </c>
      <c r="M231" s="71"/>
      <c r="N231" s="10">
        <f>ROUND(M234*L231,0)</f>
        <v>1180407</v>
      </c>
      <c r="O231" s="70">
        <v>1170783</v>
      </c>
      <c r="P231" s="10">
        <f>N231-O231</f>
        <v>9624</v>
      </c>
      <c r="Q231" s="46">
        <f t="shared" si="39"/>
        <v>0.82201398551225979</v>
      </c>
      <c r="R231" s="10">
        <v>236</v>
      </c>
      <c r="S231" s="7">
        <f t="shared" si="32"/>
        <v>0</v>
      </c>
      <c r="T231" s="124">
        <f t="shared" si="33"/>
        <v>45</v>
      </c>
      <c r="U231" s="124">
        <f t="shared" si="34"/>
        <v>770</v>
      </c>
      <c r="V231" s="124">
        <f t="shared" si="35"/>
        <v>222</v>
      </c>
      <c r="W231" s="124">
        <f t="shared" si="36"/>
        <v>237.99999999818002</v>
      </c>
      <c r="X231" s="124">
        <f t="shared" si="37"/>
        <v>2742271.1841242132</v>
      </c>
      <c r="Y231" s="264">
        <f t="shared" si="38"/>
        <v>222</v>
      </c>
      <c r="Z231" s="10">
        <v>45</v>
      </c>
      <c r="AA231" s="7">
        <v>770</v>
      </c>
      <c r="AB231" s="7">
        <v>222</v>
      </c>
      <c r="AC231" s="109">
        <v>237.99999999818002</v>
      </c>
      <c r="AD231" s="109">
        <v>2742271.1841242132</v>
      </c>
      <c r="AE231" s="125"/>
      <c r="AF231" s="10"/>
      <c r="AI231" s="109"/>
      <c r="AJ231" s="109"/>
      <c r="AL231" s="10"/>
      <c r="AO231" s="109"/>
      <c r="AP231" s="109"/>
      <c r="AR231" s="10"/>
      <c r="AU231" s="109"/>
      <c r="AV231" s="109"/>
      <c r="AX231" s="10"/>
      <c r="BA231" s="109"/>
      <c r="BB231" s="109"/>
      <c r="BD231" s="10"/>
      <c r="BG231" s="109"/>
      <c r="BH231" s="109"/>
      <c r="BJ231" s="10"/>
      <c r="BM231" s="109"/>
      <c r="BN231" s="109"/>
      <c r="BP231" s="10"/>
      <c r="BS231" s="109"/>
      <c r="BT231" s="109"/>
      <c r="BV231" s="10"/>
      <c r="BY231" s="109"/>
      <c r="BZ231" s="109"/>
      <c r="CB231" s="10"/>
      <c r="CE231" s="109"/>
      <c r="CF231" s="109"/>
      <c r="CH231" s="10"/>
      <c r="CK231" s="109"/>
      <c r="CL231" s="109"/>
    </row>
    <row r="232" spans="1:90">
      <c r="A232" s="7" t="str">
        <f t="shared" si="31"/>
        <v>00450998</v>
      </c>
      <c r="B232" s="7" t="s">
        <v>2384</v>
      </c>
      <c r="C232" s="7" t="s">
        <v>2781</v>
      </c>
      <c r="D232" s="7">
        <v>223</v>
      </c>
      <c r="E232" s="7">
        <v>45</v>
      </c>
      <c r="F232" s="7" t="s">
        <v>2135</v>
      </c>
      <c r="G232" s="7">
        <v>998</v>
      </c>
      <c r="H232" s="7" t="s">
        <v>2135</v>
      </c>
      <c r="I232" s="37">
        <v>0</v>
      </c>
      <c r="J232" s="122">
        <v>0</v>
      </c>
      <c r="K232" s="123">
        <f t="shared" si="40"/>
        <v>0</v>
      </c>
      <c r="L232" s="122">
        <f>IF(K234&gt;0, K232/K234, 0)</f>
        <v>0</v>
      </c>
      <c r="M232" s="71"/>
      <c r="N232" s="10">
        <f>ROUND(M234*L232,0)</f>
        <v>0</v>
      </c>
      <c r="O232" s="70">
        <v>0</v>
      </c>
      <c r="P232" s="10">
        <f>N232-O232</f>
        <v>0</v>
      </c>
      <c r="Q232" s="46">
        <f t="shared" si="39"/>
        <v>0</v>
      </c>
      <c r="R232" s="10">
        <v>0</v>
      </c>
      <c r="S232" s="7">
        <f t="shared" si="32"/>
        <v>0</v>
      </c>
      <c r="T232" s="124">
        <f t="shared" si="33"/>
        <v>45</v>
      </c>
      <c r="U232" s="124">
        <f t="shared" si="34"/>
        <v>998</v>
      </c>
      <c r="V232" s="124">
        <f t="shared" si="35"/>
        <v>223</v>
      </c>
      <c r="W232" s="124">
        <f t="shared" si="36"/>
        <v>0</v>
      </c>
      <c r="X232" s="124">
        <f t="shared" si="37"/>
        <v>0</v>
      </c>
      <c r="Y232" s="264">
        <f t="shared" si="38"/>
        <v>223</v>
      </c>
      <c r="Z232" s="10">
        <v>45</v>
      </c>
      <c r="AA232" s="7">
        <v>998</v>
      </c>
      <c r="AB232" s="7">
        <v>223</v>
      </c>
      <c r="AC232" s="109">
        <v>0</v>
      </c>
      <c r="AD232" s="109">
        <v>0</v>
      </c>
      <c r="AE232" s="125"/>
      <c r="AF232" s="10"/>
      <c r="AI232" s="109"/>
      <c r="AJ232" s="109"/>
      <c r="AL232" s="10"/>
      <c r="AO232" s="109"/>
      <c r="AP232" s="109"/>
      <c r="AR232" s="10"/>
      <c r="AU232" s="109"/>
      <c r="AV232" s="109"/>
      <c r="AX232" s="10"/>
      <c r="BA232" s="109"/>
      <c r="BB232" s="109"/>
      <c r="BD232" s="10"/>
      <c r="BG232" s="109"/>
      <c r="BH232" s="109"/>
      <c r="BJ232" s="10"/>
      <c r="BM232" s="109"/>
      <c r="BN232" s="109"/>
      <c r="BP232" s="10"/>
      <c r="BS232" s="109"/>
      <c r="BT232" s="109"/>
      <c r="BV232" s="10"/>
      <c r="BY232" s="109"/>
      <c r="BZ232" s="109"/>
      <c r="CB232" s="10"/>
      <c r="CE232" s="109"/>
      <c r="CF232" s="109"/>
      <c r="CH232" s="10"/>
      <c r="CK232" s="109"/>
      <c r="CL232" s="109"/>
    </row>
    <row r="233" spans="1:90">
      <c r="A233" s="7" t="str">
        <f t="shared" si="31"/>
        <v>00450998</v>
      </c>
      <c r="B233" s="7" t="s">
        <v>2384</v>
      </c>
      <c r="C233" s="7" t="s">
        <v>2781</v>
      </c>
      <c r="D233" s="7">
        <v>224</v>
      </c>
      <c r="E233" s="7">
        <v>45</v>
      </c>
      <c r="F233" s="7" t="s">
        <v>2135</v>
      </c>
      <c r="G233" s="7">
        <v>998</v>
      </c>
      <c r="H233" s="7" t="s">
        <v>2135</v>
      </c>
      <c r="I233" s="37">
        <v>0</v>
      </c>
      <c r="J233" s="122">
        <v>0</v>
      </c>
      <c r="K233" s="123">
        <f t="shared" si="40"/>
        <v>0</v>
      </c>
      <c r="L233" s="122">
        <f>IF(K234&gt;0, K233/K234, 0)</f>
        <v>0</v>
      </c>
      <c r="M233" s="71"/>
      <c r="N233" s="10">
        <f>ROUND(M234*L233,0)</f>
        <v>0</v>
      </c>
      <c r="O233" s="70">
        <v>0</v>
      </c>
      <c r="P233" s="10">
        <f>N233-O233</f>
        <v>0</v>
      </c>
      <c r="Q233" s="46">
        <f t="shared" si="39"/>
        <v>0</v>
      </c>
      <c r="R233" s="10">
        <v>0</v>
      </c>
      <c r="S233" s="7">
        <f t="shared" si="32"/>
        <v>0</v>
      </c>
      <c r="T233" s="124">
        <f t="shared" si="33"/>
        <v>45</v>
      </c>
      <c r="U233" s="124">
        <f t="shared" si="34"/>
        <v>998</v>
      </c>
      <c r="V233" s="124">
        <f t="shared" si="35"/>
        <v>224</v>
      </c>
      <c r="W233" s="124">
        <f t="shared" si="36"/>
        <v>0</v>
      </c>
      <c r="X233" s="124">
        <f t="shared" si="37"/>
        <v>0</v>
      </c>
      <c r="Y233" s="264">
        <f t="shared" si="38"/>
        <v>224</v>
      </c>
      <c r="Z233" s="10">
        <v>45</v>
      </c>
      <c r="AA233" s="7">
        <v>998</v>
      </c>
      <c r="AB233" s="7">
        <v>224</v>
      </c>
      <c r="AC233" s="109">
        <v>0</v>
      </c>
      <c r="AD233" s="109">
        <v>0</v>
      </c>
      <c r="AE233" s="125"/>
      <c r="AF233" s="10"/>
      <c r="AI233" s="109"/>
      <c r="AJ233" s="109"/>
      <c r="AL233" s="10"/>
      <c r="AO233" s="109"/>
      <c r="AP233" s="109"/>
      <c r="AR233" s="10"/>
      <c r="AU233" s="109"/>
      <c r="AV233" s="109"/>
      <c r="AX233" s="10"/>
      <c r="BA233" s="109"/>
      <c r="BB233" s="109"/>
      <c r="BD233" s="10"/>
      <c r="BG233" s="109"/>
      <c r="BH233" s="109"/>
      <c r="BJ233" s="10"/>
      <c r="BM233" s="109"/>
      <c r="BN233" s="109"/>
      <c r="BP233" s="10"/>
      <c r="BS233" s="109"/>
      <c r="BT233" s="109"/>
      <c r="BV233" s="10"/>
      <c r="BY233" s="109"/>
      <c r="BZ233" s="109"/>
      <c r="CB233" s="10"/>
      <c r="CE233" s="109"/>
      <c r="CF233" s="109"/>
      <c r="CH233" s="10"/>
      <c r="CK233" s="109"/>
      <c r="CL233" s="109"/>
    </row>
    <row r="234" spans="1:90">
      <c r="A234" s="7" t="str">
        <f t="shared" si="31"/>
        <v>00450999</v>
      </c>
      <c r="B234" s="7" t="s">
        <v>2384</v>
      </c>
      <c r="C234" s="7" t="s">
        <v>2782</v>
      </c>
      <c r="D234" s="7">
        <v>225</v>
      </c>
      <c r="E234" s="11">
        <v>45</v>
      </c>
      <c r="F234" s="11" t="s">
        <v>1751</v>
      </c>
      <c r="G234" s="11">
        <v>999</v>
      </c>
      <c r="H234" s="11" t="s">
        <v>1132</v>
      </c>
      <c r="I234" s="105">
        <v>5098480.0500000007</v>
      </c>
      <c r="J234" s="126">
        <v>1</v>
      </c>
      <c r="K234" s="127">
        <f>SUM(K230:K233)</f>
        <v>5135313.1315007955</v>
      </c>
      <c r="L234" s="126">
        <f>SUM(L230:L233)</f>
        <v>1</v>
      </c>
      <c r="M234" s="105">
        <f>VLOOKUP(E234,town351,22)</f>
        <v>2210489</v>
      </c>
      <c r="N234" s="105">
        <f>SUM(N230:N233)</f>
        <v>2210489</v>
      </c>
      <c r="O234" s="128">
        <v>2217812</v>
      </c>
      <c r="P234" s="105">
        <f>SUM(P230:P233)</f>
        <v>-7323</v>
      </c>
      <c r="Q234" s="45">
        <f t="shared" si="39"/>
        <v>-0.33019029566076835</v>
      </c>
      <c r="R234" s="105">
        <v>479</v>
      </c>
      <c r="S234" s="7">
        <f t="shared" si="32"/>
        <v>0</v>
      </c>
      <c r="T234" s="124">
        <f t="shared" si="33"/>
        <v>45</v>
      </c>
      <c r="U234" s="124">
        <f t="shared" si="34"/>
        <v>999</v>
      </c>
      <c r="V234" s="124">
        <f t="shared" si="35"/>
        <v>225</v>
      </c>
      <c r="W234" s="124">
        <f t="shared" si="36"/>
        <v>471.99999999817999</v>
      </c>
      <c r="X234" s="124">
        <f t="shared" si="37"/>
        <v>5135313.1315007955</v>
      </c>
      <c r="Y234" s="264">
        <f t="shared" si="38"/>
        <v>225</v>
      </c>
      <c r="Z234" s="10">
        <v>45</v>
      </c>
      <c r="AA234" s="7">
        <v>999</v>
      </c>
      <c r="AB234" s="7">
        <v>225</v>
      </c>
      <c r="AC234" s="109">
        <v>471.99999999817999</v>
      </c>
      <c r="AD234" s="109">
        <v>5135313.1315007955</v>
      </c>
      <c r="AE234" s="125"/>
      <c r="AF234" s="10"/>
      <c r="AI234" s="109"/>
      <c r="AJ234" s="109"/>
      <c r="AL234" s="10"/>
      <c r="AO234" s="109"/>
      <c r="AP234" s="109"/>
      <c r="AR234" s="10"/>
      <c r="AU234" s="109"/>
      <c r="AV234" s="109"/>
      <c r="AX234" s="10"/>
      <c r="BA234" s="109"/>
      <c r="BB234" s="109"/>
      <c r="BD234" s="10"/>
      <c r="BG234" s="109"/>
      <c r="BH234" s="109"/>
      <c r="BJ234" s="10"/>
      <c r="BM234" s="109"/>
      <c r="BN234" s="109"/>
      <c r="BP234" s="10"/>
      <c r="BS234" s="109"/>
      <c r="BT234" s="109"/>
      <c r="BV234" s="10"/>
      <c r="BY234" s="109"/>
      <c r="BZ234" s="109"/>
      <c r="CB234" s="10"/>
      <c r="CE234" s="109"/>
      <c r="CF234" s="109"/>
      <c r="CH234" s="10"/>
      <c r="CK234" s="109"/>
      <c r="CL234" s="109"/>
    </row>
    <row r="235" spans="1:90">
      <c r="A235" s="7" t="str">
        <f t="shared" si="31"/>
        <v>00460046</v>
      </c>
      <c r="B235" s="7" t="s">
        <v>2385</v>
      </c>
      <c r="C235" s="7" t="s">
        <v>2385</v>
      </c>
      <c r="D235" s="7">
        <v>226</v>
      </c>
      <c r="E235" s="7">
        <v>46</v>
      </c>
      <c r="F235" s="7" t="s">
        <v>1752</v>
      </c>
      <c r="G235" s="7">
        <v>46</v>
      </c>
      <c r="H235" s="7" t="s">
        <v>1312</v>
      </c>
      <c r="I235" s="37">
        <v>73409265.273400009</v>
      </c>
      <c r="J235" s="122">
        <v>1</v>
      </c>
      <c r="K235" s="123">
        <f>X235</f>
        <v>75819883.374121532</v>
      </c>
      <c r="L235" s="122">
        <f>IF(K239&gt;0, K235/K239, 0)</f>
        <v>1</v>
      </c>
      <c r="M235" s="71"/>
      <c r="N235" s="10">
        <f>ROUND(M239*L235,0)</f>
        <v>62590117</v>
      </c>
      <c r="O235" s="70">
        <v>60679638</v>
      </c>
      <c r="P235" s="10">
        <f>N235-O235</f>
        <v>1910479</v>
      </c>
      <c r="Q235" s="46">
        <f t="shared" si="39"/>
        <v>3.1484680248092447</v>
      </c>
      <c r="R235" s="10">
        <v>7502</v>
      </c>
      <c r="S235" s="7">
        <f t="shared" si="32"/>
        <v>0</v>
      </c>
      <c r="T235" s="124">
        <f t="shared" si="33"/>
        <v>46</v>
      </c>
      <c r="U235" s="124">
        <f t="shared" si="34"/>
        <v>46</v>
      </c>
      <c r="V235" s="124">
        <f t="shared" si="35"/>
        <v>226</v>
      </c>
      <c r="W235" s="124">
        <f t="shared" si="36"/>
        <v>7541</v>
      </c>
      <c r="X235" s="124">
        <f t="shared" si="37"/>
        <v>75819883.374121532</v>
      </c>
      <c r="Y235" s="264">
        <f t="shared" si="38"/>
        <v>226</v>
      </c>
      <c r="Z235" s="10">
        <v>46</v>
      </c>
      <c r="AA235" s="7">
        <v>46</v>
      </c>
      <c r="AB235" s="7">
        <v>226</v>
      </c>
      <c r="AC235" s="109">
        <v>7541</v>
      </c>
      <c r="AD235" s="109">
        <v>75819883.374121532</v>
      </c>
      <c r="AE235" s="125"/>
      <c r="AF235" s="10"/>
      <c r="AI235" s="109"/>
      <c r="AJ235" s="109"/>
      <c r="AL235" s="10"/>
      <c r="AO235" s="109"/>
      <c r="AP235" s="109"/>
      <c r="AR235" s="10"/>
      <c r="AU235" s="109"/>
      <c r="AV235" s="109"/>
      <c r="AX235" s="10"/>
      <c r="BA235" s="109"/>
      <c r="BB235" s="109"/>
      <c r="BD235" s="10"/>
      <c r="BG235" s="109"/>
      <c r="BH235" s="109"/>
      <c r="BJ235" s="10"/>
      <c r="BM235" s="109"/>
      <c r="BN235" s="109"/>
      <c r="BP235" s="10"/>
      <c r="BS235" s="109"/>
      <c r="BT235" s="109"/>
      <c r="BV235" s="10"/>
      <c r="BY235" s="109"/>
      <c r="BZ235" s="109"/>
      <c r="CB235" s="10"/>
      <c r="CE235" s="109"/>
      <c r="CF235" s="109"/>
      <c r="CH235" s="10"/>
      <c r="CK235" s="109"/>
      <c r="CL235" s="109"/>
    </row>
    <row r="236" spans="1:90">
      <c r="A236" s="7" t="str">
        <f t="shared" si="31"/>
        <v>00460915</v>
      </c>
      <c r="B236" s="7" t="s">
        <v>2385</v>
      </c>
      <c r="C236" s="7" t="s">
        <v>2779</v>
      </c>
      <c r="D236" s="7">
        <v>227</v>
      </c>
      <c r="E236" s="7">
        <v>46</v>
      </c>
      <c r="F236" s="7" t="s">
        <v>1752</v>
      </c>
      <c r="G236" s="7">
        <v>915</v>
      </c>
      <c r="H236" s="7" t="s">
        <v>1706</v>
      </c>
      <c r="I236" s="37">
        <v>0</v>
      </c>
      <c r="J236" s="122">
        <v>0</v>
      </c>
      <c r="K236" s="123">
        <f t="shared" si="40"/>
        <v>0</v>
      </c>
      <c r="L236" s="122">
        <f>IF(K239&gt;0, K236/K239, 0)</f>
        <v>0</v>
      </c>
      <c r="M236" s="71"/>
      <c r="N236" s="10">
        <f>ROUND(M239*L236,0)</f>
        <v>0</v>
      </c>
      <c r="O236" s="70">
        <v>0</v>
      </c>
      <c r="P236" s="10">
        <f>N236-O236</f>
        <v>0</v>
      </c>
      <c r="Q236" s="46">
        <f t="shared" si="39"/>
        <v>0</v>
      </c>
      <c r="R236" s="10">
        <v>0</v>
      </c>
      <c r="S236" s="7">
        <f t="shared" si="32"/>
        <v>0</v>
      </c>
      <c r="T236" s="124">
        <f t="shared" si="33"/>
        <v>46</v>
      </c>
      <c r="U236" s="124">
        <f t="shared" si="34"/>
        <v>915</v>
      </c>
      <c r="V236" s="124">
        <f t="shared" si="35"/>
        <v>227</v>
      </c>
      <c r="W236" s="124">
        <f t="shared" si="36"/>
        <v>0</v>
      </c>
      <c r="X236" s="124">
        <f t="shared" si="37"/>
        <v>0</v>
      </c>
      <c r="Y236" s="264">
        <f t="shared" si="38"/>
        <v>227</v>
      </c>
      <c r="Z236" s="10">
        <v>46</v>
      </c>
      <c r="AA236" s="7">
        <v>915</v>
      </c>
      <c r="AB236" s="7">
        <v>227</v>
      </c>
      <c r="AC236" s="109">
        <v>0</v>
      </c>
      <c r="AD236" s="109">
        <v>0</v>
      </c>
      <c r="AE236" s="125"/>
      <c r="AF236" s="10"/>
      <c r="AI236" s="109"/>
      <c r="AJ236" s="109"/>
      <c r="AL236" s="10"/>
      <c r="AO236" s="109"/>
      <c r="AP236" s="109"/>
      <c r="AR236" s="10"/>
      <c r="AU236" s="109"/>
      <c r="AV236" s="109"/>
      <c r="AX236" s="10"/>
      <c r="BA236" s="109"/>
      <c r="BB236" s="109"/>
      <c r="BD236" s="10"/>
      <c r="BG236" s="109"/>
      <c r="BH236" s="109"/>
      <c r="BJ236" s="10"/>
      <c r="BM236" s="109"/>
      <c r="BN236" s="109"/>
      <c r="BP236" s="10"/>
      <c r="BS236" s="109"/>
      <c r="BT236" s="109"/>
      <c r="BV236" s="10"/>
      <c r="BY236" s="109"/>
      <c r="BZ236" s="109"/>
      <c r="CB236" s="10"/>
      <c r="CE236" s="109"/>
      <c r="CF236" s="109"/>
      <c r="CH236" s="10"/>
      <c r="CK236" s="109"/>
      <c r="CL236" s="109"/>
    </row>
    <row r="237" spans="1:90">
      <c r="A237" s="7" t="str">
        <f t="shared" si="31"/>
        <v>00460998</v>
      </c>
      <c r="B237" s="7" t="s">
        <v>2385</v>
      </c>
      <c r="C237" s="7" t="s">
        <v>2781</v>
      </c>
      <c r="D237" s="7">
        <v>228</v>
      </c>
      <c r="E237" s="7">
        <v>46</v>
      </c>
      <c r="F237" s="7" t="s">
        <v>2135</v>
      </c>
      <c r="G237" s="7">
        <v>998</v>
      </c>
      <c r="H237" s="7" t="s">
        <v>2135</v>
      </c>
      <c r="I237" s="37">
        <v>0</v>
      </c>
      <c r="J237" s="122">
        <v>0</v>
      </c>
      <c r="K237" s="123">
        <f t="shared" si="40"/>
        <v>0</v>
      </c>
      <c r="L237" s="122">
        <f>IF(K239&gt;0, K237/K239, 0)</f>
        <v>0</v>
      </c>
      <c r="M237" s="71"/>
      <c r="N237" s="10">
        <f>ROUND(M239*L237,0)</f>
        <v>0</v>
      </c>
      <c r="O237" s="70">
        <v>0</v>
      </c>
      <c r="P237" s="10">
        <f>N237-O237</f>
        <v>0</v>
      </c>
      <c r="Q237" s="46">
        <f t="shared" si="39"/>
        <v>0</v>
      </c>
      <c r="R237" s="10">
        <v>0</v>
      </c>
      <c r="S237" s="7">
        <f t="shared" si="32"/>
        <v>0</v>
      </c>
      <c r="T237" s="124">
        <f t="shared" si="33"/>
        <v>46</v>
      </c>
      <c r="U237" s="124">
        <f t="shared" si="34"/>
        <v>998</v>
      </c>
      <c r="V237" s="124">
        <f t="shared" si="35"/>
        <v>228</v>
      </c>
      <c r="W237" s="124">
        <f t="shared" si="36"/>
        <v>0</v>
      </c>
      <c r="X237" s="124">
        <f t="shared" si="37"/>
        <v>0</v>
      </c>
      <c r="Y237" s="264">
        <f t="shared" si="38"/>
        <v>228</v>
      </c>
      <c r="Z237" s="10">
        <v>46</v>
      </c>
      <c r="AA237" s="7">
        <v>998</v>
      </c>
      <c r="AB237" s="7">
        <v>228</v>
      </c>
      <c r="AC237" s="109">
        <v>0</v>
      </c>
      <c r="AD237" s="109">
        <v>0</v>
      </c>
      <c r="AE237" s="125"/>
      <c r="AF237" s="10"/>
      <c r="AI237" s="109"/>
      <c r="AJ237" s="109"/>
      <c r="AL237" s="10"/>
      <c r="AO237" s="109"/>
      <c r="AP237" s="109"/>
      <c r="AR237" s="10"/>
      <c r="AU237" s="109"/>
      <c r="AV237" s="109"/>
      <c r="AX237" s="10"/>
      <c r="BA237" s="109"/>
      <c r="BB237" s="109"/>
      <c r="BD237" s="10"/>
      <c r="BG237" s="109"/>
      <c r="BH237" s="109"/>
      <c r="BJ237" s="10"/>
      <c r="BM237" s="109"/>
      <c r="BN237" s="109"/>
      <c r="BP237" s="10"/>
      <c r="BS237" s="109"/>
      <c r="BT237" s="109"/>
      <c r="BV237" s="10"/>
      <c r="BY237" s="109"/>
      <c r="BZ237" s="109"/>
      <c r="CB237" s="10"/>
      <c r="CE237" s="109"/>
      <c r="CF237" s="109"/>
      <c r="CH237" s="10"/>
      <c r="CK237" s="109"/>
      <c r="CL237" s="109"/>
    </row>
    <row r="238" spans="1:90">
      <c r="A238" s="7" t="str">
        <f t="shared" si="31"/>
        <v>00460998</v>
      </c>
      <c r="B238" s="7" t="s">
        <v>2385</v>
      </c>
      <c r="C238" s="7" t="s">
        <v>2781</v>
      </c>
      <c r="D238" s="7">
        <v>229</v>
      </c>
      <c r="E238" s="7">
        <v>46</v>
      </c>
      <c r="F238" s="7" t="s">
        <v>2135</v>
      </c>
      <c r="G238" s="7">
        <v>998</v>
      </c>
      <c r="H238" s="7" t="s">
        <v>2135</v>
      </c>
      <c r="I238" s="37">
        <v>0</v>
      </c>
      <c r="J238" s="122">
        <v>0</v>
      </c>
      <c r="K238" s="123">
        <f t="shared" si="40"/>
        <v>0</v>
      </c>
      <c r="L238" s="122">
        <f>IF(K239&gt;0, K238/K239, 0)</f>
        <v>0</v>
      </c>
      <c r="M238" s="71"/>
      <c r="N238" s="10">
        <f>ROUND(M239*L238,0)</f>
        <v>0</v>
      </c>
      <c r="O238" s="70">
        <v>0</v>
      </c>
      <c r="P238" s="10">
        <f>N238-O238</f>
        <v>0</v>
      </c>
      <c r="Q238" s="46">
        <f t="shared" si="39"/>
        <v>0</v>
      </c>
      <c r="R238" s="10">
        <v>0</v>
      </c>
      <c r="S238" s="7">
        <f t="shared" si="32"/>
        <v>0</v>
      </c>
      <c r="T238" s="124">
        <f t="shared" si="33"/>
        <v>46</v>
      </c>
      <c r="U238" s="124">
        <f t="shared" si="34"/>
        <v>998</v>
      </c>
      <c r="V238" s="124">
        <f t="shared" si="35"/>
        <v>229</v>
      </c>
      <c r="W238" s="124">
        <f t="shared" si="36"/>
        <v>0</v>
      </c>
      <c r="X238" s="124">
        <f t="shared" si="37"/>
        <v>0</v>
      </c>
      <c r="Y238" s="264">
        <f t="shared" si="38"/>
        <v>229</v>
      </c>
      <c r="Z238" s="10">
        <v>46</v>
      </c>
      <c r="AA238" s="7">
        <v>998</v>
      </c>
      <c r="AB238" s="7">
        <v>229</v>
      </c>
      <c r="AC238" s="109">
        <v>0</v>
      </c>
      <c r="AD238" s="109">
        <v>0</v>
      </c>
      <c r="AE238" s="125"/>
      <c r="AF238" s="10"/>
      <c r="AI238" s="109"/>
      <c r="AJ238" s="109"/>
      <c r="AL238" s="10"/>
      <c r="AO238" s="109"/>
      <c r="AP238" s="109"/>
      <c r="AR238" s="10"/>
      <c r="AU238" s="109"/>
      <c r="AV238" s="109"/>
      <c r="AX238" s="10"/>
      <c r="BA238" s="109"/>
      <c r="BB238" s="109"/>
      <c r="BD238" s="10"/>
      <c r="BG238" s="109"/>
      <c r="BH238" s="109"/>
      <c r="BJ238" s="10"/>
      <c r="BM238" s="109"/>
      <c r="BN238" s="109"/>
      <c r="BP238" s="10"/>
      <c r="BS238" s="109"/>
      <c r="BT238" s="109"/>
      <c r="BV238" s="10"/>
      <c r="BY238" s="109"/>
      <c r="BZ238" s="109"/>
      <c r="CB238" s="10"/>
      <c r="CE238" s="109"/>
      <c r="CF238" s="109"/>
      <c r="CH238" s="10"/>
      <c r="CK238" s="109"/>
      <c r="CL238" s="109"/>
    </row>
    <row r="239" spans="1:90">
      <c r="A239" s="7" t="str">
        <f t="shared" si="31"/>
        <v>00460999</v>
      </c>
      <c r="B239" s="7" t="s">
        <v>2385</v>
      </c>
      <c r="C239" s="7" t="s">
        <v>2782</v>
      </c>
      <c r="D239" s="7">
        <v>230</v>
      </c>
      <c r="E239" s="11">
        <v>46</v>
      </c>
      <c r="F239" s="11" t="s">
        <v>1752</v>
      </c>
      <c r="G239" s="11">
        <v>999</v>
      </c>
      <c r="H239" s="11" t="s">
        <v>1132</v>
      </c>
      <c r="I239" s="105">
        <v>73409265.273400009</v>
      </c>
      <c r="J239" s="126">
        <v>1</v>
      </c>
      <c r="K239" s="127">
        <f>SUM(K235:K238)</f>
        <v>75819883.374121532</v>
      </c>
      <c r="L239" s="126">
        <f>SUM(L235:L238)</f>
        <v>1</v>
      </c>
      <c r="M239" s="105">
        <f>VLOOKUP(E239,town351,22)</f>
        <v>62590117</v>
      </c>
      <c r="N239" s="105">
        <f>SUM(N235:N238)</f>
        <v>62590117</v>
      </c>
      <c r="O239" s="128">
        <v>60679638</v>
      </c>
      <c r="P239" s="105">
        <f>SUM(P235:P238)</f>
        <v>1910479</v>
      </c>
      <c r="Q239" s="45">
        <f t="shared" si="39"/>
        <v>3.1484680248092447</v>
      </c>
      <c r="R239" s="105">
        <v>7502</v>
      </c>
      <c r="S239" s="7">
        <f t="shared" si="32"/>
        <v>0</v>
      </c>
      <c r="T239" s="124">
        <f t="shared" si="33"/>
        <v>46</v>
      </c>
      <c r="U239" s="124">
        <f t="shared" si="34"/>
        <v>999</v>
      </c>
      <c r="V239" s="124">
        <f t="shared" si="35"/>
        <v>230</v>
      </c>
      <c r="W239" s="124">
        <f t="shared" si="36"/>
        <v>7541</v>
      </c>
      <c r="X239" s="124">
        <f t="shared" si="37"/>
        <v>75819883.374121532</v>
      </c>
      <c r="Y239" s="264">
        <f t="shared" si="38"/>
        <v>230</v>
      </c>
      <c r="Z239" s="10">
        <v>46</v>
      </c>
      <c r="AA239" s="7">
        <v>999</v>
      </c>
      <c r="AB239" s="7">
        <v>230</v>
      </c>
      <c r="AC239" s="109">
        <v>7541</v>
      </c>
      <c r="AD239" s="109">
        <v>75819883.374121532</v>
      </c>
      <c r="AE239" s="125"/>
      <c r="AF239" s="10"/>
      <c r="AI239" s="109"/>
      <c r="AJ239" s="109"/>
      <c r="AL239" s="10"/>
      <c r="AO239" s="109"/>
      <c r="AP239" s="109"/>
      <c r="AR239" s="10"/>
      <c r="AU239" s="109"/>
      <c r="AV239" s="109"/>
      <c r="AX239" s="10"/>
      <c r="BA239" s="109"/>
      <c r="BB239" s="109"/>
      <c r="BD239" s="10"/>
      <c r="BG239" s="109"/>
      <c r="BH239" s="109"/>
      <c r="BJ239" s="10"/>
      <c r="BM239" s="109"/>
      <c r="BN239" s="109"/>
      <c r="BP239" s="10"/>
      <c r="BS239" s="109"/>
      <c r="BT239" s="109"/>
      <c r="BV239" s="10"/>
      <c r="BY239" s="109"/>
      <c r="BZ239" s="109"/>
      <c r="CB239" s="10"/>
      <c r="CE239" s="109"/>
      <c r="CF239" s="109"/>
      <c r="CH239" s="10"/>
      <c r="CK239" s="109"/>
      <c r="CL239" s="109"/>
    </row>
    <row r="240" spans="1:90">
      <c r="A240" s="7" t="str">
        <f t="shared" si="31"/>
        <v>00470047</v>
      </c>
      <c r="B240" s="7" t="s">
        <v>2386</v>
      </c>
      <c r="C240" s="7" t="s">
        <v>2386</v>
      </c>
      <c r="D240" s="7">
        <v>231</v>
      </c>
      <c r="E240" s="7">
        <v>47</v>
      </c>
      <c r="F240" s="7" t="s">
        <v>1753</v>
      </c>
      <c r="G240" s="7">
        <v>47</v>
      </c>
      <c r="H240" s="7" t="s">
        <v>1313</v>
      </c>
      <c r="I240" s="37">
        <v>0</v>
      </c>
      <c r="J240" s="122">
        <v>0</v>
      </c>
      <c r="K240" s="123">
        <f>X240</f>
        <v>13416.833343589547</v>
      </c>
      <c r="L240" s="122">
        <f>IF(K244&gt;0, K240/K244, 0)</f>
        <v>6.3228268616870491E-3</v>
      </c>
      <c r="M240" s="71"/>
      <c r="N240" s="10">
        <f>ROUND(M244*L240,0)</f>
        <v>8460</v>
      </c>
      <c r="O240" s="70">
        <v>0</v>
      </c>
      <c r="P240" s="10">
        <f>N240-O240</f>
        <v>8460</v>
      </c>
      <c r="Q240" s="46">
        <f t="shared" si="39"/>
        <v>100</v>
      </c>
      <c r="R240" s="10">
        <v>0</v>
      </c>
      <c r="S240" s="7">
        <f t="shared" si="32"/>
        <v>0</v>
      </c>
      <c r="T240" s="124">
        <f t="shared" si="33"/>
        <v>47</v>
      </c>
      <c r="U240" s="124">
        <f t="shared" si="34"/>
        <v>47</v>
      </c>
      <c r="V240" s="124">
        <f t="shared" si="35"/>
        <v>231</v>
      </c>
      <c r="W240" s="124">
        <f t="shared" si="36"/>
        <v>1</v>
      </c>
      <c r="X240" s="124">
        <f t="shared" si="37"/>
        <v>13416.833343589547</v>
      </c>
      <c r="Y240" s="264">
        <f t="shared" si="38"/>
        <v>231</v>
      </c>
      <c r="Z240" s="10">
        <v>47</v>
      </c>
      <c r="AA240" s="7">
        <v>47</v>
      </c>
      <c r="AB240" s="7">
        <v>231</v>
      </c>
      <c r="AC240" s="109">
        <v>1</v>
      </c>
      <c r="AD240" s="109">
        <v>13416.833343589547</v>
      </c>
      <c r="AE240" s="125"/>
      <c r="AF240" s="10"/>
      <c r="AI240" s="109"/>
      <c r="AJ240" s="109"/>
      <c r="AL240" s="10"/>
      <c r="AO240" s="109"/>
      <c r="AP240" s="109"/>
      <c r="AR240" s="10"/>
      <c r="AU240" s="109"/>
      <c r="AV240" s="109"/>
      <c r="AX240" s="10"/>
      <c r="BA240" s="109"/>
      <c r="BB240" s="109"/>
      <c r="BD240" s="10"/>
      <c r="BG240" s="109"/>
      <c r="BH240" s="109"/>
      <c r="BJ240" s="10"/>
      <c r="BM240" s="109"/>
      <c r="BN240" s="109"/>
      <c r="BP240" s="10"/>
      <c r="BS240" s="109"/>
      <c r="BT240" s="109"/>
      <c r="BV240" s="10"/>
      <c r="BY240" s="109"/>
      <c r="BZ240" s="109"/>
      <c r="CB240" s="10"/>
      <c r="CE240" s="109"/>
      <c r="CF240" s="109"/>
      <c r="CH240" s="10"/>
      <c r="CK240" s="109"/>
      <c r="CL240" s="109"/>
    </row>
    <row r="241" spans="1:90">
      <c r="A241" s="7" t="str">
        <f t="shared" si="31"/>
        <v>00470717</v>
      </c>
      <c r="B241" s="7" t="s">
        <v>2386</v>
      </c>
      <c r="C241" s="7" t="s">
        <v>2730</v>
      </c>
      <c r="D241" s="7">
        <v>232</v>
      </c>
      <c r="E241" s="7">
        <v>47</v>
      </c>
      <c r="F241" s="7" t="s">
        <v>1753</v>
      </c>
      <c r="G241" s="7">
        <v>717</v>
      </c>
      <c r="H241" s="7" t="s">
        <v>1657</v>
      </c>
      <c r="I241" s="37">
        <v>1912106</v>
      </c>
      <c r="J241" s="122">
        <v>0.92180295047367533</v>
      </c>
      <c r="K241" s="123">
        <f t="shared" si="40"/>
        <v>1959403.3452204606</v>
      </c>
      <c r="L241" s="122">
        <f>IF(K244&gt;0, K241/K244, 0)</f>
        <v>0.92338987798180683</v>
      </c>
      <c r="M241" s="71"/>
      <c r="N241" s="10">
        <f>ROUND(M244*L241,0)</f>
        <v>1235461</v>
      </c>
      <c r="O241" s="70">
        <v>1257121</v>
      </c>
      <c r="P241" s="10">
        <f>N241-O241</f>
        <v>-21660</v>
      </c>
      <c r="Q241" s="46">
        <f t="shared" si="39"/>
        <v>-1.722984501889635</v>
      </c>
      <c r="R241" s="10">
        <v>183</v>
      </c>
      <c r="S241" s="7">
        <f t="shared" si="32"/>
        <v>0</v>
      </c>
      <c r="T241" s="124">
        <f t="shared" si="33"/>
        <v>47</v>
      </c>
      <c r="U241" s="124">
        <f t="shared" si="34"/>
        <v>717</v>
      </c>
      <c r="V241" s="124">
        <f t="shared" si="35"/>
        <v>232</v>
      </c>
      <c r="W241" s="124">
        <f t="shared" si="36"/>
        <v>186.02085506114</v>
      </c>
      <c r="X241" s="124">
        <f t="shared" si="37"/>
        <v>1959403.3452204606</v>
      </c>
      <c r="Y241" s="264">
        <f t="shared" si="38"/>
        <v>232</v>
      </c>
      <c r="Z241" s="10">
        <v>47</v>
      </c>
      <c r="AA241" s="7">
        <v>717</v>
      </c>
      <c r="AB241" s="7">
        <v>232</v>
      </c>
      <c r="AC241" s="109">
        <v>186.02085506114</v>
      </c>
      <c r="AD241" s="109">
        <v>1959403.3452204606</v>
      </c>
      <c r="AE241" s="125"/>
      <c r="AF241" s="10"/>
      <c r="AI241" s="109"/>
      <c r="AJ241" s="109"/>
      <c r="AL241" s="10"/>
      <c r="AO241" s="109"/>
      <c r="AP241" s="109"/>
      <c r="AR241" s="10"/>
      <c r="AU241" s="109"/>
      <c r="AV241" s="109"/>
      <c r="AX241" s="10"/>
      <c r="BA241" s="109"/>
      <c r="BB241" s="109"/>
      <c r="BD241" s="10"/>
      <c r="BG241" s="109"/>
      <c r="BH241" s="109"/>
      <c r="BJ241" s="10"/>
      <c r="BM241" s="109"/>
      <c r="BN241" s="109"/>
      <c r="BP241" s="10"/>
      <c r="BS241" s="109"/>
      <c r="BT241" s="109"/>
      <c r="BV241" s="10"/>
      <c r="BY241" s="109"/>
      <c r="BZ241" s="109"/>
      <c r="CB241" s="10"/>
      <c r="CE241" s="109"/>
      <c r="CF241" s="109"/>
      <c r="CH241" s="10"/>
      <c r="CK241" s="109"/>
      <c r="CL241" s="109"/>
    </row>
    <row r="242" spans="1:90">
      <c r="A242" s="7" t="str">
        <f t="shared" si="31"/>
        <v>00470818</v>
      </c>
      <c r="B242" s="7" t="s">
        <v>2386</v>
      </c>
      <c r="C242" s="7" t="s">
        <v>2758</v>
      </c>
      <c r="D242" s="7">
        <v>233</v>
      </c>
      <c r="E242" s="7">
        <v>47</v>
      </c>
      <c r="F242" s="7" t="s">
        <v>1753</v>
      </c>
      <c r="G242" s="7">
        <v>818</v>
      </c>
      <c r="H242" s="7" t="s">
        <v>1685</v>
      </c>
      <c r="I242" s="37">
        <v>162205</v>
      </c>
      <c r="J242" s="122">
        <v>7.8197049526324641E-2</v>
      </c>
      <c r="K242" s="123">
        <f t="shared" si="40"/>
        <v>149147.35859696049</v>
      </c>
      <c r="L242" s="122">
        <f>IF(K244&gt;0, K242/K244, 0)</f>
        <v>7.028729515650621E-2</v>
      </c>
      <c r="M242" s="71"/>
      <c r="N242" s="10">
        <f>ROUND(M244*L242,0)</f>
        <v>94042</v>
      </c>
      <c r="O242" s="70">
        <v>106642</v>
      </c>
      <c r="P242" s="10">
        <f>N242-O242</f>
        <v>-12600</v>
      </c>
      <c r="Q242" s="46">
        <f t="shared" si="39"/>
        <v>-11.815232272463007</v>
      </c>
      <c r="R242" s="10">
        <v>10</v>
      </c>
      <c r="S242" s="7">
        <f t="shared" si="32"/>
        <v>0</v>
      </c>
      <c r="T242" s="124">
        <f t="shared" si="33"/>
        <v>47</v>
      </c>
      <c r="U242" s="124">
        <f t="shared" si="34"/>
        <v>818</v>
      </c>
      <c r="V242" s="124">
        <f t="shared" si="35"/>
        <v>233</v>
      </c>
      <c r="W242" s="124">
        <f t="shared" si="36"/>
        <v>9.0000000021600002</v>
      </c>
      <c r="X242" s="124">
        <f t="shared" si="37"/>
        <v>149147.35859696049</v>
      </c>
      <c r="Y242" s="264">
        <f t="shared" si="38"/>
        <v>233</v>
      </c>
      <c r="Z242" s="10">
        <v>47</v>
      </c>
      <c r="AA242" s="7">
        <v>818</v>
      </c>
      <c r="AB242" s="7">
        <v>233</v>
      </c>
      <c r="AC242" s="109">
        <v>9.0000000021600002</v>
      </c>
      <c r="AD242" s="109">
        <v>149147.35859696049</v>
      </c>
      <c r="AE242" s="125"/>
      <c r="AF242" s="10"/>
      <c r="AI242" s="109"/>
      <c r="AJ242" s="109"/>
      <c r="AL242" s="10"/>
      <c r="AO242" s="109"/>
      <c r="AP242" s="109"/>
      <c r="AR242" s="10"/>
      <c r="AU242" s="109"/>
      <c r="AV242" s="109"/>
      <c r="AX242" s="10"/>
      <c r="BA242" s="109"/>
      <c r="BB242" s="109"/>
      <c r="BD242" s="10"/>
      <c r="BG242" s="109"/>
      <c r="BH242" s="109"/>
      <c r="BJ242" s="10"/>
      <c r="BM242" s="109"/>
      <c r="BN242" s="109"/>
      <c r="BP242" s="10"/>
      <c r="BS242" s="109"/>
      <c r="BT242" s="109"/>
      <c r="BV242" s="10"/>
      <c r="BY242" s="109"/>
      <c r="BZ242" s="109"/>
      <c r="CB242" s="10"/>
      <c r="CE242" s="109"/>
      <c r="CF242" s="109"/>
      <c r="CH242" s="10"/>
      <c r="CK242" s="109"/>
      <c r="CL242" s="109"/>
    </row>
    <row r="243" spans="1:90">
      <c r="A243" s="7" t="str">
        <f t="shared" si="31"/>
        <v>00470998</v>
      </c>
      <c r="B243" s="7" t="s">
        <v>2386</v>
      </c>
      <c r="C243" s="7" t="s">
        <v>2781</v>
      </c>
      <c r="D243" s="7">
        <v>234</v>
      </c>
      <c r="E243" s="7">
        <v>47</v>
      </c>
      <c r="F243" s="7" t="s">
        <v>2135</v>
      </c>
      <c r="G243" s="7">
        <v>998</v>
      </c>
      <c r="H243" s="7" t="s">
        <v>2135</v>
      </c>
      <c r="I243" s="37">
        <v>0</v>
      </c>
      <c r="J243" s="122">
        <v>0</v>
      </c>
      <c r="K243" s="123">
        <f t="shared" si="40"/>
        <v>0</v>
      </c>
      <c r="L243" s="122">
        <f>IF(K244&gt;0, K243/K244, 0)</f>
        <v>0</v>
      </c>
      <c r="M243" s="71"/>
      <c r="N243" s="10">
        <f>ROUND(M244*L243,0)</f>
        <v>0</v>
      </c>
      <c r="O243" s="70">
        <v>0</v>
      </c>
      <c r="P243" s="10">
        <f>N243-O243</f>
        <v>0</v>
      </c>
      <c r="Q243" s="46">
        <f t="shared" si="39"/>
        <v>0</v>
      </c>
      <c r="R243" s="10">
        <v>0</v>
      </c>
      <c r="S243" s="7">
        <f t="shared" si="32"/>
        <v>0</v>
      </c>
      <c r="T243" s="124">
        <f t="shared" si="33"/>
        <v>47</v>
      </c>
      <c r="U243" s="124">
        <f t="shared" si="34"/>
        <v>998</v>
      </c>
      <c r="V243" s="124">
        <f t="shared" si="35"/>
        <v>234</v>
      </c>
      <c r="W243" s="124">
        <f t="shared" si="36"/>
        <v>0</v>
      </c>
      <c r="X243" s="124">
        <f t="shared" si="37"/>
        <v>0</v>
      </c>
      <c r="Y243" s="264">
        <f t="shared" si="38"/>
        <v>234</v>
      </c>
      <c r="Z243" s="10">
        <v>47</v>
      </c>
      <c r="AA243" s="7">
        <v>998</v>
      </c>
      <c r="AB243" s="7">
        <v>234</v>
      </c>
      <c r="AC243" s="109">
        <v>0</v>
      </c>
      <c r="AD243" s="109">
        <v>0</v>
      </c>
      <c r="AE243" s="125"/>
      <c r="AF243" s="10"/>
      <c r="AI243" s="109"/>
      <c r="AJ243" s="109"/>
      <c r="AL243" s="10"/>
      <c r="AO243" s="109"/>
      <c r="AP243" s="109"/>
      <c r="AR243" s="10"/>
      <c r="AU243" s="109"/>
      <c r="AV243" s="109"/>
      <c r="AX243" s="10"/>
      <c r="BA243" s="109"/>
      <c r="BB243" s="109"/>
      <c r="BD243" s="10"/>
      <c r="BG243" s="109"/>
      <c r="BH243" s="109"/>
      <c r="BJ243" s="10"/>
      <c r="BM243" s="109"/>
      <c r="BN243" s="109"/>
      <c r="BP243" s="10"/>
      <c r="BS243" s="109"/>
      <c r="BT243" s="109"/>
      <c r="BV243" s="10"/>
      <c r="BY243" s="109"/>
      <c r="BZ243" s="109"/>
      <c r="CB243" s="10"/>
      <c r="CE243" s="109"/>
      <c r="CF243" s="109"/>
      <c r="CH243" s="10"/>
      <c r="CK243" s="109"/>
      <c r="CL243" s="109"/>
    </row>
    <row r="244" spans="1:90">
      <c r="A244" s="7" t="str">
        <f t="shared" si="31"/>
        <v>00470999</v>
      </c>
      <c r="B244" s="7" t="s">
        <v>2386</v>
      </c>
      <c r="C244" s="7" t="s">
        <v>2782</v>
      </c>
      <c r="D244" s="7">
        <v>235</v>
      </c>
      <c r="E244" s="11">
        <v>47</v>
      </c>
      <c r="F244" s="11" t="s">
        <v>1753</v>
      </c>
      <c r="G244" s="11">
        <v>999</v>
      </c>
      <c r="H244" s="11" t="s">
        <v>1132</v>
      </c>
      <c r="I244" s="105">
        <v>2074311</v>
      </c>
      <c r="J244" s="126">
        <v>1</v>
      </c>
      <c r="K244" s="127">
        <f>SUM(K240:K243)</f>
        <v>2121967.5371610103</v>
      </c>
      <c r="L244" s="126">
        <f>SUM(L240:L243)</f>
        <v>1</v>
      </c>
      <c r="M244" s="105">
        <f>VLOOKUP(E244,town351,22)</f>
        <v>1337963</v>
      </c>
      <c r="N244" s="105">
        <f>SUM(N240:N243)</f>
        <v>1337963</v>
      </c>
      <c r="O244" s="128">
        <v>1363763</v>
      </c>
      <c r="P244" s="105">
        <f>SUM(P240:P243)</f>
        <v>-25800</v>
      </c>
      <c r="Q244" s="45">
        <f t="shared" si="39"/>
        <v>-1.8918243125821714</v>
      </c>
      <c r="R244" s="105">
        <v>193</v>
      </c>
      <c r="S244" s="7">
        <f t="shared" si="32"/>
        <v>0</v>
      </c>
      <c r="T244" s="124">
        <f t="shared" si="33"/>
        <v>47</v>
      </c>
      <c r="U244" s="124">
        <f t="shared" si="34"/>
        <v>999</v>
      </c>
      <c r="V244" s="124">
        <f t="shared" si="35"/>
        <v>235</v>
      </c>
      <c r="W244" s="124">
        <f t="shared" si="36"/>
        <v>196.02085506329999</v>
      </c>
      <c r="X244" s="124">
        <f t="shared" si="37"/>
        <v>2121967.5371610103</v>
      </c>
      <c r="Y244" s="264">
        <f t="shared" si="38"/>
        <v>235</v>
      </c>
      <c r="Z244" s="10">
        <v>47</v>
      </c>
      <c r="AA244" s="7">
        <v>999</v>
      </c>
      <c r="AB244" s="7">
        <v>235</v>
      </c>
      <c r="AC244" s="109">
        <v>196.02085506329999</v>
      </c>
      <c r="AD244" s="109">
        <v>2121967.5371610103</v>
      </c>
      <c r="AE244" s="125"/>
      <c r="AF244" s="10"/>
      <c r="AI244" s="109"/>
      <c r="AJ244" s="109"/>
      <c r="AL244" s="10"/>
      <c r="AO244" s="109"/>
      <c r="AP244" s="109"/>
      <c r="AR244" s="10"/>
      <c r="AU244" s="109"/>
      <c r="AV244" s="109"/>
      <c r="AX244" s="10"/>
      <c r="BA244" s="109"/>
      <c r="BB244" s="109"/>
      <c r="BD244" s="10"/>
      <c r="BG244" s="109"/>
      <c r="BH244" s="109"/>
      <c r="BJ244" s="10"/>
      <c r="BM244" s="109"/>
      <c r="BN244" s="109"/>
      <c r="BP244" s="10"/>
      <c r="BS244" s="109"/>
      <c r="BT244" s="109"/>
      <c r="BV244" s="10"/>
      <c r="BY244" s="109"/>
      <c r="BZ244" s="109"/>
      <c r="CB244" s="10"/>
      <c r="CE244" s="109"/>
      <c r="CF244" s="109"/>
      <c r="CH244" s="10"/>
      <c r="CK244" s="109"/>
      <c r="CL244" s="109"/>
    </row>
    <row r="245" spans="1:90">
      <c r="A245" s="7" t="str">
        <f t="shared" si="31"/>
        <v>00480048</v>
      </c>
      <c r="B245" s="7" t="s">
        <v>2387</v>
      </c>
      <c r="C245" s="7" t="s">
        <v>2387</v>
      </c>
      <c r="D245" s="7">
        <v>236</v>
      </c>
      <c r="E245" s="7">
        <v>48</v>
      </c>
      <c r="F245" s="7" t="s">
        <v>1754</v>
      </c>
      <c r="G245" s="7">
        <v>48</v>
      </c>
      <c r="H245" s="7" t="s">
        <v>1314</v>
      </c>
      <c r="I245" s="37">
        <v>34371376.749679998</v>
      </c>
      <c r="J245" s="122">
        <v>0.95217439268842174</v>
      </c>
      <c r="K245" s="123">
        <f>X245</f>
        <v>35700016.024699226</v>
      </c>
      <c r="L245" s="122">
        <f>IF(K249&gt;0, K245/K249, 0)</f>
        <v>0.94738424917169706</v>
      </c>
      <c r="M245" s="71"/>
      <c r="N245" s="10">
        <f>ROUND(M249*L245,0)</f>
        <v>29571420</v>
      </c>
      <c r="O245" s="70">
        <v>28843485</v>
      </c>
      <c r="P245" s="10">
        <f>N245-O245</f>
        <v>727935</v>
      </c>
      <c r="Q245" s="46">
        <f t="shared" si="39"/>
        <v>2.5237414965632619</v>
      </c>
      <c r="R245" s="10">
        <v>3458</v>
      </c>
      <c r="S245" s="7">
        <f t="shared" si="32"/>
        <v>0</v>
      </c>
      <c r="T245" s="124">
        <f t="shared" si="33"/>
        <v>48</v>
      </c>
      <c r="U245" s="124">
        <f t="shared" si="34"/>
        <v>48</v>
      </c>
      <c r="V245" s="124">
        <f t="shared" si="35"/>
        <v>236</v>
      </c>
      <c r="W245" s="124">
        <f t="shared" si="36"/>
        <v>3495</v>
      </c>
      <c r="X245" s="124">
        <f t="shared" si="37"/>
        <v>35700016.024699226</v>
      </c>
      <c r="Y245" s="264">
        <f t="shared" si="38"/>
        <v>236</v>
      </c>
      <c r="Z245" s="10">
        <v>48</v>
      </c>
      <c r="AA245" s="7">
        <v>48</v>
      </c>
      <c r="AB245" s="7">
        <v>236</v>
      </c>
      <c r="AC245" s="109">
        <v>3495</v>
      </c>
      <c r="AD245" s="109">
        <v>35700016.024699226</v>
      </c>
      <c r="AE245" s="125"/>
      <c r="AF245" s="10"/>
      <c r="AI245" s="109"/>
      <c r="AJ245" s="109"/>
      <c r="AL245" s="10"/>
      <c r="AO245" s="109"/>
      <c r="AP245" s="109"/>
      <c r="AR245" s="10"/>
      <c r="AU245" s="109"/>
      <c r="AV245" s="109"/>
      <c r="AX245" s="10"/>
      <c r="BA245" s="109"/>
      <c r="BB245" s="109"/>
      <c r="BD245" s="10"/>
      <c r="BG245" s="109"/>
      <c r="BH245" s="109"/>
      <c r="BJ245" s="10"/>
      <c r="BM245" s="109"/>
      <c r="BN245" s="109"/>
      <c r="BP245" s="10"/>
      <c r="BS245" s="109"/>
      <c r="BT245" s="109"/>
      <c r="BV245" s="10"/>
      <c r="BY245" s="109"/>
      <c r="BZ245" s="109"/>
      <c r="CB245" s="10"/>
      <c r="CE245" s="109"/>
      <c r="CF245" s="109"/>
      <c r="CH245" s="10"/>
      <c r="CK245" s="109"/>
      <c r="CL245" s="109"/>
    </row>
    <row r="246" spans="1:90">
      <c r="A246" s="7" t="str">
        <f t="shared" si="31"/>
        <v>00480871</v>
      </c>
      <c r="B246" s="7" t="s">
        <v>2387</v>
      </c>
      <c r="C246" s="7" t="s">
        <v>2771</v>
      </c>
      <c r="D246" s="7">
        <v>237</v>
      </c>
      <c r="E246" s="7">
        <v>48</v>
      </c>
      <c r="F246" s="7" t="s">
        <v>1754</v>
      </c>
      <c r="G246" s="7">
        <v>871</v>
      </c>
      <c r="H246" s="7" t="s">
        <v>1698</v>
      </c>
      <c r="I246" s="37">
        <v>1726398</v>
      </c>
      <c r="J246" s="122">
        <v>4.7825607311578242E-2</v>
      </c>
      <c r="K246" s="123">
        <f t="shared" si="40"/>
        <v>1982704.6410833634</v>
      </c>
      <c r="L246" s="122">
        <f>IF(K249&gt;0, K246/K249, 0)</f>
        <v>5.2615750828303075E-2</v>
      </c>
      <c r="M246" s="71"/>
      <c r="N246" s="10">
        <f>ROUND(M249*L246,0)</f>
        <v>1642335</v>
      </c>
      <c r="O246" s="70">
        <v>1448744</v>
      </c>
      <c r="P246" s="10">
        <f>N246-O246</f>
        <v>193591</v>
      </c>
      <c r="Q246" s="46">
        <f t="shared" si="39"/>
        <v>13.362678292369115</v>
      </c>
      <c r="R246" s="10">
        <v>114</v>
      </c>
      <c r="S246" s="7">
        <f t="shared" si="32"/>
        <v>0</v>
      </c>
      <c r="T246" s="124">
        <f t="shared" si="33"/>
        <v>48</v>
      </c>
      <c r="U246" s="124">
        <f t="shared" si="34"/>
        <v>871</v>
      </c>
      <c r="V246" s="124">
        <f t="shared" si="35"/>
        <v>237</v>
      </c>
      <c r="W246" s="124">
        <f t="shared" si="36"/>
        <v>128.99999999536001</v>
      </c>
      <c r="X246" s="124">
        <f t="shared" si="37"/>
        <v>1982704.6410833634</v>
      </c>
      <c r="Y246" s="264">
        <f t="shared" si="38"/>
        <v>237</v>
      </c>
      <c r="Z246" s="10">
        <v>48</v>
      </c>
      <c r="AA246" s="7">
        <v>871</v>
      </c>
      <c r="AB246" s="7">
        <v>237</v>
      </c>
      <c r="AC246" s="109">
        <v>128.99999999536001</v>
      </c>
      <c r="AD246" s="109">
        <v>1982704.6410833634</v>
      </c>
      <c r="AE246" s="125"/>
      <c r="AF246" s="10"/>
      <c r="AI246" s="109"/>
      <c r="AJ246" s="109"/>
      <c r="AL246" s="10"/>
      <c r="AO246" s="109"/>
      <c r="AP246" s="109"/>
      <c r="AR246" s="10"/>
      <c r="AU246" s="109"/>
      <c r="AV246" s="109"/>
      <c r="AX246" s="10"/>
      <c r="BA246" s="109"/>
      <c r="BB246" s="109"/>
      <c r="BD246" s="10"/>
      <c r="BG246" s="109"/>
      <c r="BH246" s="109"/>
      <c r="BJ246" s="10"/>
      <c r="BM246" s="109"/>
      <c r="BN246" s="109"/>
      <c r="BP246" s="10"/>
      <c r="BS246" s="109"/>
      <c r="BT246" s="109"/>
      <c r="BV246" s="10"/>
      <c r="BY246" s="109"/>
      <c r="BZ246" s="109"/>
      <c r="CB246" s="10"/>
      <c r="CE246" s="109"/>
      <c r="CF246" s="109"/>
      <c r="CH246" s="10"/>
      <c r="CK246" s="109"/>
      <c r="CL246" s="109"/>
    </row>
    <row r="247" spans="1:90">
      <c r="A247" s="7" t="str">
        <f t="shared" si="31"/>
        <v>00480998</v>
      </c>
      <c r="B247" s="7" t="s">
        <v>2387</v>
      </c>
      <c r="C247" s="7" t="s">
        <v>2781</v>
      </c>
      <c r="D247" s="7">
        <v>238</v>
      </c>
      <c r="E247" s="7">
        <v>48</v>
      </c>
      <c r="F247" s="7" t="s">
        <v>2135</v>
      </c>
      <c r="G247" s="7">
        <v>998</v>
      </c>
      <c r="H247" s="7" t="s">
        <v>2135</v>
      </c>
      <c r="I247" s="37">
        <v>0</v>
      </c>
      <c r="J247" s="122">
        <v>0</v>
      </c>
      <c r="K247" s="123">
        <f t="shared" si="40"/>
        <v>0</v>
      </c>
      <c r="L247" s="122">
        <f>IF(K249&gt;0, K247/K249, 0)</f>
        <v>0</v>
      </c>
      <c r="M247" s="71"/>
      <c r="N247" s="10">
        <f>ROUND(M249*L247,0)</f>
        <v>0</v>
      </c>
      <c r="O247" s="70">
        <v>0</v>
      </c>
      <c r="P247" s="10">
        <f>N247-O247</f>
        <v>0</v>
      </c>
      <c r="Q247" s="46">
        <f t="shared" si="39"/>
        <v>0</v>
      </c>
      <c r="R247" s="10">
        <v>0</v>
      </c>
      <c r="S247" s="7">
        <f t="shared" si="32"/>
        <v>0</v>
      </c>
      <c r="T247" s="124">
        <f t="shared" si="33"/>
        <v>48</v>
      </c>
      <c r="U247" s="124">
        <f t="shared" si="34"/>
        <v>998</v>
      </c>
      <c r="V247" s="124">
        <f t="shared" si="35"/>
        <v>238</v>
      </c>
      <c r="W247" s="124">
        <f t="shared" si="36"/>
        <v>0</v>
      </c>
      <c r="X247" s="124">
        <f t="shared" si="37"/>
        <v>0</v>
      </c>
      <c r="Y247" s="264">
        <f t="shared" si="38"/>
        <v>238</v>
      </c>
      <c r="Z247" s="10">
        <v>48</v>
      </c>
      <c r="AA247" s="7">
        <v>998</v>
      </c>
      <c r="AB247" s="7">
        <v>238</v>
      </c>
      <c r="AC247" s="109">
        <v>0</v>
      </c>
      <c r="AD247" s="109">
        <v>0</v>
      </c>
      <c r="AE247" s="125"/>
      <c r="AF247" s="10"/>
      <c r="AI247" s="109"/>
      <c r="AJ247" s="109"/>
      <c r="AL247" s="10"/>
      <c r="AO247" s="109"/>
      <c r="AP247" s="109"/>
      <c r="AR247" s="10"/>
      <c r="AU247" s="109"/>
      <c r="AV247" s="109"/>
      <c r="AX247" s="10"/>
      <c r="BA247" s="109"/>
      <c r="BB247" s="109"/>
      <c r="BD247" s="10"/>
      <c r="BG247" s="109"/>
      <c r="BH247" s="109"/>
      <c r="BJ247" s="10"/>
      <c r="BM247" s="109"/>
      <c r="BN247" s="109"/>
      <c r="BP247" s="10"/>
      <c r="BS247" s="109"/>
      <c r="BT247" s="109"/>
      <c r="BV247" s="10"/>
      <c r="BY247" s="109"/>
      <c r="BZ247" s="109"/>
      <c r="CB247" s="10"/>
      <c r="CE247" s="109"/>
      <c r="CF247" s="109"/>
      <c r="CH247" s="10"/>
      <c r="CK247" s="109"/>
      <c r="CL247" s="109"/>
    </row>
    <row r="248" spans="1:90">
      <c r="A248" s="7" t="str">
        <f t="shared" si="31"/>
        <v>00480998</v>
      </c>
      <c r="B248" s="7" t="s">
        <v>2387</v>
      </c>
      <c r="C248" s="7" t="s">
        <v>2781</v>
      </c>
      <c r="D248" s="7">
        <v>239</v>
      </c>
      <c r="E248" s="7">
        <v>48</v>
      </c>
      <c r="F248" s="7" t="s">
        <v>2135</v>
      </c>
      <c r="G248" s="7">
        <v>998</v>
      </c>
      <c r="H248" s="7" t="s">
        <v>2135</v>
      </c>
      <c r="I248" s="37">
        <v>0</v>
      </c>
      <c r="J248" s="122">
        <v>0</v>
      </c>
      <c r="K248" s="123">
        <f t="shared" si="40"/>
        <v>0</v>
      </c>
      <c r="L248" s="122">
        <f>IF(K249&gt;0, K248/K249, 0)</f>
        <v>0</v>
      </c>
      <c r="M248" s="71"/>
      <c r="N248" s="10">
        <f>ROUND(M249*L248,0)</f>
        <v>0</v>
      </c>
      <c r="O248" s="70">
        <v>0</v>
      </c>
      <c r="P248" s="10">
        <f>N248-O248</f>
        <v>0</v>
      </c>
      <c r="Q248" s="46">
        <f t="shared" si="39"/>
        <v>0</v>
      </c>
      <c r="R248" s="10">
        <v>0</v>
      </c>
      <c r="S248" s="7">
        <f t="shared" si="32"/>
        <v>0</v>
      </c>
      <c r="T248" s="124">
        <f t="shared" si="33"/>
        <v>48</v>
      </c>
      <c r="U248" s="124">
        <f t="shared" si="34"/>
        <v>998</v>
      </c>
      <c r="V248" s="124">
        <f t="shared" si="35"/>
        <v>239</v>
      </c>
      <c r="W248" s="124">
        <f t="shared" si="36"/>
        <v>0</v>
      </c>
      <c r="X248" s="124">
        <f t="shared" si="37"/>
        <v>0</v>
      </c>
      <c r="Y248" s="264">
        <f t="shared" si="38"/>
        <v>239</v>
      </c>
      <c r="Z248" s="10">
        <v>48</v>
      </c>
      <c r="AA248" s="7">
        <v>998</v>
      </c>
      <c r="AB248" s="7">
        <v>239</v>
      </c>
      <c r="AC248" s="109">
        <v>0</v>
      </c>
      <c r="AD248" s="109">
        <v>0</v>
      </c>
      <c r="AE248" s="125"/>
      <c r="AF248" s="10"/>
      <c r="AI248" s="109"/>
      <c r="AJ248" s="109"/>
      <c r="AL248" s="10"/>
      <c r="AO248" s="109"/>
      <c r="AP248" s="109"/>
      <c r="AR248" s="10"/>
      <c r="AU248" s="109"/>
      <c r="AV248" s="109"/>
      <c r="AX248" s="10"/>
      <c r="BA248" s="109"/>
      <c r="BB248" s="109"/>
      <c r="BD248" s="10"/>
      <c r="BG248" s="109"/>
      <c r="BH248" s="109"/>
      <c r="BJ248" s="10"/>
      <c r="BM248" s="109"/>
      <c r="BN248" s="109"/>
      <c r="BP248" s="10"/>
      <c r="BS248" s="109"/>
      <c r="BT248" s="109"/>
      <c r="BV248" s="10"/>
      <c r="BY248" s="109"/>
      <c r="BZ248" s="109"/>
      <c r="CB248" s="10"/>
      <c r="CE248" s="109"/>
      <c r="CF248" s="109"/>
      <c r="CH248" s="10"/>
      <c r="CK248" s="109"/>
      <c r="CL248" s="109"/>
    </row>
    <row r="249" spans="1:90">
      <c r="A249" s="7" t="str">
        <f t="shared" si="31"/>
        <v>00480999</v>
      </c>
      <c r="B249" s="7" t="s">
        <v>2387</v>
      </c>
      <c r="C249" s="7" t="s">
        <v>2782</v>
      </c>
      <c r="D249" s="7">
        <v>240</v>
      </c>
      <c r="E249" s="11">
        <v>48</v>
      </c>
      <c r="F249" s="11" t="s">
        <v>1754</v>
      </c>
      <c r="G249" s="11">
        <v>999</v>
      </c>
      <c r="H249" s="11" t="s">
        <v>1132</v>
      </c>
      <c r="I249" s="105">
        <v>36097774.749679998</v>
      </c>
      <c r="J249" s="126">
        <v>1</v>
      </c>
      <c r="K249" s="127">
        <f>SUM(K245:K248)</f>
        <v>37682720.665782586</v>
      </c>
      <c r="L249" s="126">
        <f>SUM(L245:L248)</f>
        <v>1.0000000000000002</v>
      </c>
      <c r="M249" s="105">
        <f>VLOOKUP(E249,town351,22)</f>
        <v>31213755</v>
      </c>
      <c r="N249" s="105">
        <f>SUM(N245:N248)</f>
        <v>31213755</v>
      </c>
      <c r="O249" s="128">
        <v>30292229</v>
      </c>
      <c r="P249" s="105">
        <f>SUM(P245:P248)</f>
        <v>921526</v>
      </c>
      <c r="Q249" s="45">
        <f t="shared" si="39"/>
        <v>3.042120142429928</v>
      </c>
      <c r="R249" s="105">
        <v>3572</v>
      </c>
      <c r="S249" s="7">
        <f t="shared" si="32"/>
        <v>0</v>
      </c>
      <c r="T249" s="124">
        <f t="shared" si="33"/>
        <v>48</v>
      </c>
      <c r="U249" s="124">
        <f t="shared" si="34"/>
        <v>999</v>
      </c>
      <c r="V249" s="124">
        <f t="shared" si="35"/>
        <v>240</v>
      </c>
      <c r="W249" s="124">
        <f t="shared" si="36"/>
        <v>3623.9999999953602</v>
      </c>
      <c r="X249" s="124">
        <f t="shared" si="37"/>
        <v>37682720.665782586</v>
      </c>
      <c r="Y249" s="264">
        <f t="shared" si="38"/>
        <v>240</v>
      </c>
      <c r="Z249" s="10">
        <v>48</v>
      </c>
      <c r="AA249" s="7">
        <v>999</v>
      </c>
      <c r="AB249" s="7">
        <v>240</v>
      </c>
      <c r="AC249" s="109">
        <v>3623.9999999953602</v>
      </c>
      <c r="AD249" s="109">
        <v>37682720.665782586</v>
      </c>
      <c r="AE249" s="125"/>
      <c r="AF249" s="10"/>
      <c r="AI249" s="109"/>
      <c r="AJ249" s="109"/>
      <c r="AL249" s="10"/>
      <c r="AO249" s="109"/>
      <c r="AP249" s="109"/>
      <c r="AR249" s="10"/>
      <c r="AU249" s="109"/>
      <c r="AV249" s="109"/>
      <c r="AX249" s="10"/>
      <c r="BA249" s="109"/>
      <c r="BB249" s="109"/>
      <c r="BD249" s="10"/>
      <c r="BG249" s="109"/>
      <c r="BH249" s="109"/>
      <c r="BJ249" s="10"/>
      <c r="BM249" s="109"/>
      <c r="BN249" s="109"/>
      <c r="BP249" s="10"/>
      <c r="BS249" s="109"/>
      <c r="BT249" s="109"/>
      <c r="BV249" s="10"/>
      <c r="BY249" s="109"/>
      <c r="BZ249" s="109"/>
      <c r="CB249" s="10"/>
      <c r="CE249" s="109"/>
      <c r="CF249" s="109"/>
      <c r="CH249" s="10"/>
      <c r="CK249" s="109"/>
      <c r="CL249" s="109"/>
    </row>
    <row r="250" spans="1:90">
      <c r="A250" s="7" t="str">
        <f t="shared" si="31"/>
        <v>00490049</v>
      </c>
      <c r="B250" s="7" t="s">
        <v>2388</v>
      </c>
      <c r="C250" s="7" t="s">
        <v>2388</v>
      </c>
      <c r="D250" s="7">
        <v>241</v>
      </c>
      <c r="E250" s="7">
        <v>49</v>
      </c>
      <c r="F250" s="7" t="s">
        <v>1755</v>
      </c>
      <c r="G250" s="7">
        <v>49</v>
      </c>
      <c r="H250" s="7" t="s">
        <v>1315</v>
      </c>
      <c r="I250" s="37">
        <v>80655732.60428001</v>
      </c>
      <c r="J250" s="122">
        <v>1</v>
      </c>
      <c r="K250" s="123">
        <f>X250</f>
        <v>84055799.773383468</v>
      </c>
      <c r="L250" s="122">
        <f>IF(K254&gt;0, K250/K254, 0)</f>
        <v>1</v>
      </c>
      <c r="M250" s="71"/>
      <c r="N250" s="10">
        <f>ROUND(M254*L250,0)</f>
        <v>69688258</v>
      </c>
      <c r="O250" s="70">
        <v>67464934</v>
      </c>
      <c r="P250" s="10">
        <f>N250-O250</f>
        <v>2223324</v>
      </c>
      <c r="Q250" s="46">
        <f t="shared" si="39"/>
        <v>3.2955253465452143</v>
      </c>
      <c r="R250" s="10">
        <v>7009</v>
      </c>
      <c r="S250" s="7">
        <f t="shared" si="32"/>
        <v>0</v>
      </c>
      <c r="T250" s="124">
        <f t="shared" si="33"/>
        <v>49</v>
      </c>
      <c r="U250" s="124">
        <f t="shared" si="34"/>
        <v>49</v>
      </c>
      <c r="V250" s="124">
        <f t="shared" si="35"/>
        <v>241</v>
      </c>
      <c r="W250" s="124">
        <f t="shared" si="36"/>
        <v>7159</v>
      </c>
      <c r="X250" s="124">
        <f t="shared" si="37"/>
        <v>84055799.773383468</v>
      </c>
      <c r="Y250" s="264">
        <f t="shared" si="38"/>
        <v>241</v>
      </c>
      <c r="Z250" s="10">
        <v>49</v>
      </c>
      <c r="AA250" s="7">
        <v>49</v>
      </c>
      <c r="AB250" s="7">
        <v>241</v>
      </c>
      <c r="AC250" s="109">
        <v>7159</v>
      </c>
      <c r="AD250" s="109">
        <v>84055799.773383468</v>
      </c>
      <c r="AE250" s="125"/>
      <c r="AF250" s="10"/>
      <c r="AI250" s="109"/>
      <c r="AJ250" s="109"/>
      <c r="AL250" s="10"/>
      <c r="AO250" s="109"/>
      <c r="AP250" s="109"/>
      <c r="AR250" s="10"/>
      <c r="AU250" s="109"/>
      <c r="AV250" s="109"/>
      <c r="AX250" s="10"/>
      <c r="BA250" s="109"/>
      <c r="BB250" s="109"/>
      <c r="BD250" s="10"/>
      <c r="BG250" s="109"/>
      <c r="BH250" s="109"/>
      <c r="BJ250" s="10"/>
      <c r="BM250" s="109"/>
      <c r="BN250" s="109"/>
      <c r="BP250" s="10"/>
      <c r="BS250" s="109"/>
      <c r="BT250" s="109"/>
      <c r="BV250" s="10"/>
      <c r="BY250" s="109"/>
      <c r="BZ250" s="109"/>
      <c r="CB250" s="10"/>
      <c r="CE250" s="109"/>
      <c r="CF250" s="109"/>
      <c r="CH250" s="10"/>
      <c r="CK250" s="109"/>
      <c r="CL250" s="109"/>
    </row>
    <row r="251" spans="1:90">
      <c r="A251" s="7" t="str">
        <f t="shared" si="31"/>
        <v>00490998</v>
      </c>
      <c r="B251" s="7" t="s">
        <v>2388</v>
      </c>
      <c r="C251" s="7" t="s">
        <v>2781</v>
      </c>
      <c r="D251" s="7">
        <v>242</v>
      </c>
      <c r="E251" s="7">
        <v>49</v>
      </c>
      <c r="F251" s="7" t="s">
        <v>2135</v>
      </c>
      <c r="G251" s="7">
        <v>998</v>
      </c>
      <c r="H251" s="7" t="s">
        <v>2135</v>
      </c>
      <c r="I251" s="37">
        <v>0</v>
      </c>
      <c r="J251" s="122">
        <v>0</v>
      </c>
      <c r="K251" s="123">
        <f t="shared" si="40"/>
        <v>0</v>
      </c>
      <c r="L251" s="122">
        <f>IF(K254&gt;0, K251/K254, 0)</f>
        <v>0</v>
      </c>
      <c r="M251" s="71"/>
      <c r="N251" s="10">
        <f>ROUND(M254*L251,0)</f>
        <v>0</v>
      </c>
      <c r="O251" s="70">
        <v>0</v>
      </c>
      <c r="P251" s="10">
        <f>N251-O251</f>
        <v>0</v>
      </c>
      <c r="Q251" s="46">
        <f t="shared" si="39"/>
        <v>0</v>
      </c>
      <c r="R251" s="10">
        <v>0</v>
      </c>
      <c r="S251" s="7">
        <f t="shared" si="32"/>
        <v>0</v>
      </c>
      <c r="T251" s="124">
        <f t="shared" si="33"/>
        <v>49</v>
      </c>
      <c r="U251" s="124">
        <f t="shared" si="34"/>
        <v>998</v>
      </c>
      <c r="V251" s="124">
        <f t="shared" si="35"/>
        <v>242</v>
      </c>
      <c r="W251" s="124">
        <f t="shared" si="36"/>
        <v>0</v>
      </c>
      <c r="X251" s="124">
        <f t="shared" si="37"/>
        <v>0</v>
      </c>
      <c r="Y251" s="264">
        <f t="shared" si="38"/>
        <v>242</v>
      </c>
      <c r="Z251" s="10">
        <v>49</v>
      </c>
      <c r="AA251" s="7">
        <v>998</v>
      </c>
      <c r="AB251" s="7">
        <v>242</v>
      </c>
      <c r="AC251" s="109">
        <v>0</v>
      </c>
      <c r="AD251" s="109">
        <v>0</v>
      </c>
      <c r="AE251" s="125"/>
      <c r="AF251" s="10"/>
      <c r="AI251" s="109"/>
      <c r="AJ251" s="109"/>
      <c r="AL251" s="10"/>
      <c r="AO251" s="109"/>
      <c r="AP251" s="109"/>
      <c r="AR251" s="10"/>
      <c r="AU251" s="109"/>
      <c r="AV251" s="109"/>
      <c r="AX251" s="10"/>
      <c r="BA251" s="109"/>
      <c r="BB251" s="109"/>
      <c r="BD251" s="10"/>
      <c r="BG251" s="109"/>
      <c r="BH251" s="109"/>
      <c r="BJ251" s="10"/>
      <c r="BM251" s="109"/>
      <c r="BN251" s="109"/>
      <c r="BP251" s="10"/>
      <c r="BS251" s="109"/>
      <c r="BT251" s="109"/>
      <c r="BV251" s="10"/>
      <c r="BY251" s="109"/>
      <c r="BZ251" s="109"/>
      <c r="CB251" s="10"/>
      <c r="CE251" s="109"/>
      <c r="CF251" s="109"/>
      <c r="CH251" s="10"/>
      <c r="CK251" s="109"/>
      <c r="CL251" s="109"/>
    </row>
    <row r="252" spans="1:90">
      <c r="A252" s="7" t="str">
        <f t="shared" si="31"/>
        <v>00490998</v>
      </c>
      <c r="B252" s="7" t="s">
        <v>2388</v>
      </c>
      <c r="C252" s="7" t="s">
        <v>2781</v>
      </c>
      <c r="D252" s="7">
        <v>243</v>
      </c>
      <c r="E252" s="7">
        <v>49</v>
      </c>
      <c r="F252" s="7" t="s">
        <v>2135</v>
      </c>
      <c r="G252" s="7">
        <v>998</v>
      </c>
      <c r="H252" s="7" t="s">
        <v>2135</v>
      </c>
      <c r="I252" s="37">
        <v>0</v>
      </c>
      <c r="J252" s="122">
        <v>0</v>
      </c>
      <c r="K252" s="123">
        <f t="shared" si="40"/>
        <v>0</v>
      </c>
      <c r="L252" s="122">
        <f>IF(K254&gt;0, K252/K254, 0)</f>
        <v>0</v>
      </c>
      <c r="M252" s="71"/>
      <c r="N252" s="10">
        <f>ROUND(M254*L252,0)</f>
        <v>0</v>
      </c>
      <c r="O252" s="70">
        <v>0</v>
      </c>
      <c r="P252" s="10">
        <f>N252-O252</f>
        <v>0</v>
      </c>
      <c r="Q252" s="46">
        <f t="shared" si="39"/>
        <v>0</v>
      </c>
      <c r="R252" s="10">
        <v>0</v>
      </c>
      <c r="S252" s="7">
        <f t="shared" si="32"/>
        <v>0</v>
      </c>
      <c r="T252" s="124">
        <f t="shared" si="33"/>
        <v>49</v>
      </c>
      <c r="U252" s="124">
        <f t="shared" si="34"/>
        <v>998</v>
      </c>
      <c r="V252" s="124">
        <f t="shared" si="35"/>
        <v>243</v>
      </c>
      <c r="W252" s="124">
        <f t="shared" si="36"/>
        <v>0</v>
      </c>
      <c r="X252" s="124">
        <f t="shared" si="37"/>
        <v>0</v>
      </c>
      <c r="Y252" s="264">
        <f t="shared" si="38"/>
        <v>243</v>
      </c>
      <c r="Z252" s="10">
        <v>49</v>
      </c>
      <c r="AA252" s="7">
        <v>998</v>
      </c>
      <c r="AB252" s="7">
        <v>243</v>
      </c>
      <c r="AC252" s="109">
        <v>0</v>
      </c>
      <c r="AD252" s="109">
        <v>0</v>
      </c>
      <c r="AE252" s="125"/>
      <c r="AF252" s="10"/>
      <c r="AI252" s="109"/>
      <c r="AJ252" s="109"/>
      <c r="AL252" s="10"/>
      <c r="AO252" s="109"/>
      <c r="AP252" s="109"/>
      <c r="AR252" s="10"/>
      <c r="AU252" s="109"/>
      <c r="AV252" s="109"/>
      <c r="AX252" s="10"/>
      <c r="BA252" s="109"/>
      <c r="BB252" s="109"/>
      <c r="BD252" s="10"/>
      <c r="BG252" s="109"/>
      <c r="BH252" s="109"/>
      <c r="BJ252" s="10"/>
      <c r="BM252" s="109"/>
      <c r="BN252" s="109"/>
      <c r="BP252" s="10"/>
      <c r="BS252" s="109"/>
      <c r="BT252" s="109"/>
      <c r="BV252" s="10"/>
      <c r="BY252" s="109"/>
      <c r="BZ252" s="109"/>
      <c r="CB252" s="10"/>
      <c r="CE252" s="109"/>
      <c r="CF252" s="109"/>
      <c r="CH252" s="10"/>
      <c r="CK252" s="109"/>
      <c r="CL252" s="109"/>
    </row>
    <row r="253" spans="1:90">
      <c r="A253" s="7" t="str">
        <f t="shared" si="31"/>
        <v>00490998</v>
      </c>
      <c r="B253" s="7" t="s">
        <v>2388</v>
      </c>
      <c r="C253" s="7" t="s">
        <v>2781</v>
      </c>
      <c r="D253" s="7">
        <v>244</v>
      </c>
      <c r="E253" s="7">
        <v>49</v>
      </c>
      <c r="F253" s="7" t="s">
        <v>2135</v>
      </c>
      <c r="G253" s="7">
        <v>998</v>
      </c>
      <c r="H253" s="7" t="s">
        <v>2135</v>
      </c>
      <c r="I253" s="37">
        <v>0</v>
      </c>
      <c r="J253" s="122">
        <v>0</v>
      </c>
      <c r="K253" s="123">
        <f t="shared" si="40"/>
        <v>0</v>
      </c>
      <c r="L253" s="122">
        <f>IF(K254&gt;0, K253/K254, 0)</f>
        <v>0</v>
      </c>
      <c r="M253" s="71"/>
      <c r="N253" s="10">
        <f>ROUND(M254*L253,0)</f>
        <v>0</v>
      </c>
      <c r="O253" s="70">
        <v>0</v>
      </c>
      <c r="P253" s="10">
        <f>N253-O253</f>
        <v>0</v>
      </c>
      <c r="Q253" s="46">
        <f t="shared" si="39"/>
        <v>0</v>
      </c>
      <c r="R253" s="10">
        <v>0</v>
      </c>
      <c r="S253" s="7">
        <f t="shared" si="32"/>
        <v>0</v>
      </c>
      <c r="T253" s="124">
        <f t="shared" si="33"/>
        <v>49</v>
      </c>
      <c r="U253" s="124">
        <f t="shared" si="34"/>
        <v>998</v>
      </c>
      <c r="V253" s="124">
        <f t="shared" si="35"/>
        <v>244</v>
      </c>
      <c r="W253" s="124">
        <f t="shared" si="36"/>
        <v>0</v>
      </c>
      <c r="X253" s="124">
        <f t="shared" si="37"/>
        <v>0</v>
      </c>
      <c r="Y253" s="264">
        <f t="shared" si="38"/>
        <v>244</v>
      </c>
      <c r="Z253" s="10">
        <v>49</v>
      </c>
      <c r="AA253" s="7">
        <v>998</v>
      </c>
      <c r="AB253" s="7">
        <v>244</v>
      </c>
      <c r="AC253" s="109">
        <v>0</v>
      </c>
      <c r="AD253" s="109">
        <v>0</v>
      </c>
      <c r="AE253" s="125"/>
      <c r="AF253" s="10"/>
      <c r="AI253" s="109"/>
      <c r="AJ253" s="109"/>
      <c r="AL253" s="10"/>
      <c r="AO253" s="109"/>
      <c r="AP253" s="109"/>
      <c r="AR253" s="10"/>
      <c r="AU253" s="109"/>
      <c r="AV253" s="109"/>
      <c r="AX253" s="10"/>
      <c r="BA253" s="109"/>
      <c r="BB253" s="109"/>
      <c r="BD253" s="10"/>
      <c r="BG253" s="109"/>
      <c r="BH253" s="109"/>
      <c r="BJ253" s="10"/>
      <c r="BM253" s="109"/>
      <c r="BN253" s="109"/>
      <c r="BP253" s="10"/>
      <c r="BS253" s="109"/>
      <c r="BT253" s="109"/>
      <c r="BV253" s="10"/>
      <c r="BY253" s="109"/>
      <c r="BZ253" s="109"/>
      <c r="CB253" s="10"/>
      <c r="CE253" s="109"/>
      <c r="CF253" s="109"/>
      <c r="CH253" s="10"/>
      <c r="CK253" s="109"/>
      <c r="CL253" s="109"/>
    </row>
    <row r="254" spans="1:90">
      <c r="A254" s="7" t="str">
        <f t="shared" si="31"/>
        <v>00490999</v>
      </c>
      <c r="B254" s="7" t="s">
        <v>2388</v>
      </c>
      <c r="C254" s="7" t="s">
        <v>2782</v>
      </c>
      <c r="D254" s="7">
        <v>245</v>
      </c>
      <c r="E254" s="11">
        <v>49</v>
      </c>
      <c r="F254" s="11" t="s">
        <v>1755</v>
      </c>
      <c r="G254" s="11">
        <v>999</v>
      </c>
      <c r="H254" s="11" t="s">
        <v>1132</v>
      </c>
      <c r="I254" s="105">
        <v>80655732.60428001</v>
      </c>
      <c r="J254" s="126">
        <v>1</v>
      </c>
      <c r="K254" s="127">
        <f>SUM(K250:K253)</f>
        <v>84055799.773383468</v>
      </c>
      <c r="L254" s="126">
        <f>SUM(L250:L253)</f>
        <v>1</v>
      </c>
      <c r="M254" s="105">
        <f>VLOOKUP(E254,town351,22)</f>
        <v>69688258</v>
      </c>
      <c r="N254" s="105">
        <f>SUM(N250:N253)</f>
        <v>69688258</v>
      </c>
      <c r="O254" s="128">
        <v>67464934</v>
      </c>
      <c r="P254" s="105">
        <f>SUM(P250:P253)</f>
        <v>2223324</v>
      </c>
      <c r="Q254" s="45">
        <f t="shared" si="39"/>
        <v>3.2955253465452143</v>
      </c>
      <c r="R254" s="105">
        <v>7009</v>
      </c>
      <c r="S254" s="7">
        <f t="shared" si="32"/>
        <v>0</v>
      </c>
      <c r="T254" s="124">
        <f t="shared" si="33"/>
        <v>49</v>
      </c>
      <c r="U254" s="124">
        <f t="shared" si="34"/>
        <v>999</v>
      </c>
      <c r="V254" s="124">
        <f t="shared" si="35"/>
        <v>245</v>
      </c>
      <c r="W254" s="124">
        <f t="shared" si="36"/>
        <v>7159</v>
      </c>
      <c r="X254" s="124">
        <f t="shared" si="37"/>
        <v>84055799.773383468</v>
      </c>
      <c r="Y254" s="264">
        <f t="shared" si="38"/>
        <v>245</v>
      </c>
      <c r="Z254" s="10">
        <v>49</v>
      </c>
      <c r="AA254" s="7">
        <v>999</v>
      </c>
      <c r="AB254" s="7">
        <v>245</v>
      </c>
      <c r="AC254" s="109">
        <v>7159</v>
      </c>
      <c r="AD254" s="109">
        <v>84055799.773383468</v>
      </c>
      <c r="AE254" s="125"/>
      <c r="AF254" s="10"/>
      <c r="AI254" s="109"/>
      <c r="AJ254" s="109"/>
      <c r="AL254" s="10"/>
      <c r="AO254" s="109"/>
      <c r="AP254" s="109"/>
      <c r="AR254" s="10"/>
      <c r="AU254" s="109"/>
      <c r="AV254" s="109"/>
      <c r="AX254" s="10"/>
      <c r="BA254" s="109"/>
      <c r="BB254" s="109"/>
      <c r="BD254" s="10"/>
      <c r="BG254" s="109"/>
      <c r="BH254" s="109"/>
      <c r="BJ254" s="10"/>
      <c r="BM254" s="109"/>
      <c r="BN254" s="109"/>
      <c r="BP254" s="10"/>
      <c r="BS254" s="109"/>
      <c r="BT254" s="109"/>
      <c r="BV254" s="10"/>
      <c r="BY254" s="109"/>
      <c r="BZ254" s="109"/>
      <c r="CB254" s="10"/>
      <c r="CE254" s="109"/>
      <c r="CF254" s="109"/>
      <c r="CH254" s="10"/>
      <c r="CK254" s="109"/>
      <c r="CL254" s="109"/>
    </row>
    <row r="255" spans="1:90">
      <c r="A255" s="7" t="str">
        <f t="shared" si="31"/>
        <v>00500050</v>
      </c>
      <c r="B255" s="7" t="s">
        <v>2389</v>
      </c>
      <c r="C255" s="7" t="s">
        <v>2389</v>
      </c>
      <c r="D255" s="7">
        <v>246</v>
      </c>
      <c r="E255" s="7">
        <v>50</v>
      </c>
      <c r="F255" s="7" t="s">
        <v>1756</v>
      </c>
      <c r="G255" s="7">
        <v>50</v>
      </c>
      <c r="H255" s="7" t="s">
        <v>1316</v>
      </c>
      <c r="I255" s="37">
        <v>31711055.289259996</v>
      </c>
      <c r="J255" s="122">
        <v>0.96503679404059417</v>
      </c>
      <c r="K255" s="123">
        <f>X255</f>
        <v>33816147.853070647</v>
      </c>
      <c r="L255" s="122">
        <f>IF(K259&gt;0, K255/K259, 0)</f>
        <v>0.96748173637024215</v>
      </c>
      <c r="M255" s="71"/>
      <c r="N255" s="10">
        <f>ROUND(M259*L255,0)</f>
        <v>27788653</v>
      </c>
      <c r="O255" s="70">
        <v>26390963</v>
      </c>
      <c r="P255" s="10">
        <f>N255-O255</f>
        <v>1397690</v>
      </c>
      <c r="Q255" s="46">
        <f t="shared" si="39"/>
        <v>5.2960932119074249</v>
      </c>
      <c r="R255" s="10">
        <v>3219</v>
      </c>
      <c r="S255" s="7">
        <f t="shared" si="32"/>
        <v>0</v>
      </c>
      <c r="T255" s="124">
        <f t="shared" si="33"/>
        <v>50</v>
      </c>
      <c r="U255" s="124">
        <f t="shared" si="34"/>
        <v>50</v>
      </c>
      <c r="V255" s="124">
        <f t="shared" si="35"/>
        <v>246</v>
      </c>
      <c r="W255" s="124">
        <f t="shared" si="36"/>
        <v>3340</v>
      </c>
      <c r="X255" s="124">
        <f t="shared" si="37"/>
        <v>33816147.853070647</v>
      </c>
      <c r="Y255" s="264">
        <f t="shared" si="38"/>
        <v>246</v>
      </c>
      <c r="Z255" s="10">
        <v>50</v>
      </c>
      <c r="AA255" s="7">
        <v>50</v>
      </c>
      <c r="AB255" s="7">
        <v>246</v>
      </c>
      <c r="AC255" s="109">
        <v>3340</v>
      </c>
      <c r="AD255" s="109">
        <v>33816147.853070647</v>
      </c>
      <c r="AE255" s="125"/>
      <c r="AF255" s="10"/>
      <c r="AI255" s="109"/>
      <c r="AJ255" s="109"/>
      <c r="AL255" s="10"/>
      <c r="AO255" s="109"/>
      <c r="AP255" s="109"/>
      <c r="AR255" s="10"/>
      <c r="AU255" s="109"/>
      <c r="AV255" s="109"/>
      <c r="AX255" s="10"/>
      <c r="BA255" s="109"/>
      <c r="BB255" s="109"/>
      <c r="BD255" s="10"/>
      <c r="BG255" s="109"/>
      <c r="BH255" s="109"/>
      <c r="BJ255" s="10"/>
      <c r="BM255" s="109"/>
      <c r="BN255" s="109"/>
      <c r="BP255" s="10"/>
      <c r="BS255" s="109"/>
      <c r="BT255" s="109"/>
      <c r="BV255" s="10"/>
      <c r="BY255" s="109"/>
      <c r="BZ255" s="109"/>
      <c r="CB255" s="10"/>
      <c r="CE255" s="109"/>
      <c r="CF255" s="109"/>
      <c r="CH255" s="10"/>
      <c r="CK255" s="109"/>
      <c r="CL255" s="109"/>
    </row>
    <row r="256" spans="1:90">
      <c r="A256" s="7" t="str">
        <f t="shared" si="31"/>
        <v>00500806</v>
      </c>
      <c r="B256" s="7" t="s">
        <v>2389</v>
      </c>
      <c r="C256" s="7" t="s">
        <v>2754</v>
      </c>
      <c r="D256" s="7">
        <v>247</v>
      </c>
      <c r="E256" s="7">
        <v>50</v>
      </c>
      <c r="F256" s="7" t="s">
        <v>1756</v>
      </c>
      <c r="G256" s="7">
        <v>806</v>
      </c>
      <c r="H256" s="7" t="s">
        <v>1681</v>
      </c>
      <c r="I256" s="37">
        <v>1068202</v>
      </c>
      <c r="J256" s="122">
        <v>3.2507724011849072E-2</v>
      </c>
      <c r="K256" s="123">
        <f t="shared" si="40"/>
        <v>1021296.6775565357</v>
      </c>
      <c r="L256" s="122">
        <f>IF(K259&gt;0, K256/K259, 0)</f>
        <v>2.9219350685499034E-2</v>
      </c>
      <c r="M256" s="71"/>
      <c r="N256" s="10">
        <f>ROUND(M259*L256,0)</f>
        <v>839258</v>
      </c>
      <c r="O256" s="70">
        <v>888992</v>
      </c>
      <c r="P256" s="10">
        <f>N256-O256</f>
        <v>-49734</v>
      </c>
      <c r="Q256" s="46">
        <f t="shared" si="39"/>
        <v>-5.5944260465785973</v>
      </c>
      <c r="R256" s="10">
        <v>66</v>
      </c>
      <c r="S256" s="7">
        <f t="shared" si="32"/>
        <v>0</v>
      </c>
      <c r="T256" s="124">
        <f t="shared" si="33"/>
        <v>50</v>
      </c>
      <c r="U256" s="124">
        <f t="shared" si="34"/>
        <v>806</v>
      </c>
      <c r="V256" s="124">
        <f t="shared" si="35"/>
        <v>247</v>
      </c>
      <c r="W256" s="124">
        <f t="shared" si="36"/>
        <v>62.000000002349999</v>
      </c>
      <c r="X256" s="124">
        <f t="shared" si="37"/>
        <v>1021296.6775565357</v>
      </c>
      <c r="Y256" s="264">
        <f t="shared" si="38"/>
        <v>247</v>
      </c>
      <c r="Z256" s="10">
        <v>50</v>
      </c>
      <c r="AA256" s="7">
        <v>806</v>
      </c>
      <c r="AB256" s="7">
        <v>247</v>
      </c>
      <c r="AC256" s="109">
        <v>62.000000002349999</v>
      </c>
      <c r="AD256" s="109">
        <v>1021296.6775565357</v>
      </c>
      <c r="AE256" s="125"/>
      <c r="AF256" s="10"/>
      <c r="AI256" s="109"/>
      <c r="AJ256" s="109"/>
      <c r="AL256" s="10"/>
      <c r="AO256" s="109"/>
      <c r="AP256" s="109"/>
      <c r="AR256" s="10"/>
      <c r="AU256" s="109"/>
      <c r="AV256" s="109"/>
      <c r="AX256" s="10"/>
      <c r="BA256" s="109"/>
      <c r="BB256" s="109"/>
      <c r="BD256" s="10"/>
      <c r="BG256" s="109"/>
      <c r="BH256" s="109"/>
      <c r="BJ256" s="10"/>
      <c r="BM256" s="109"/>
      <c r="BN256" s="109"/>
      <c r="BP256" s="10"/>
      <c r="BS256" s="109"/>
      <c r="BT256" s="109"/>
      <c r="BV256" s="10"/>
      <c r="BY256" s="109"/>
      <c r="BZ256" s="109"/>
      <c r="CB256" s="10"/>
      <c r="CE256" s="109"/>
      <c r="CF256" s="109"/>
      <c r="CH256" s="10"/>
      <c r="CK256" s="109"/>
      <c r="CL256" s="109"/>
    </row>
    <row r="257" spans="1:90">
      <c r="A257" s="7" t="str">
        <f t="shared" si="31"/>
        <v>00500915</v>
      </c>
      <c r="B257" s="7" t="s">
        <v>2389</v>
      </c>
      <c r="C257" s="7" t="s">
        <v>2779</v>
      </c>
      <c r="D257" s="7">
        <v>248</v>
      </c>
      <c r="E257" s="7">
        <v>50</v>
      </c>
      <c r="F257" s="7" t="s">
        <v>1756</v>
      </c>
      <c r="G257" s="7">
        <v>915</v>
      </c>
      <c r="H257" s="7" t="s">
        <v>1706</v>
      </c>
      <c r="I257" s="37">
        <v>80687</v>
      </c>
      <c r="J257" s="122">
        <v>2.4554819475567976E-3</v>
      </c>
      <c r="K257" s="123">
        <f t="shared" si="40"/>
        <v>115306.0814315711</v>
      </c>
      <c r="L257" s="122">
        <f>IF(K259&gt;0, K257/K259, 0)</f>
        <v>3.2989129442588228E-3</v>
      </c>
      <c r="M257" s="71"/>
      <c r="N257" s="10">
        <f>ROUND(M259*L257,0)</f>
        <v>94754</v>
      </c>
      <c r="O257" s="70">
        <v>67150</v>
      </c>
      <c r="P257" s="10">
        <f>N257-O257</f>
        <v>27604</v>
      </c>
      <c r="Q257" s="46">
        <f t="shared" si="39"/>
        <v>41.107967237527923</v>
      </c>
      <c r="R257" s="10">
        <v>5</v>
      </c>
      <c r="S257" s="7">
        <f t="shared" si="32"/>
        <v>0</v>
      </c>
      <c r="T257" s="124">
        <f t="shared" si="33"/>
        <v>50</v>
      </c>
      <c r="U257" s="124">
        <f t="shared" si="34"/>
        <v>915</v>
      </c>
      <c r="V257" s="124">
        <f t="shared" si="35"/>
        <v>248</v>
      </c>
      <c r="W257" s="124">
        <f t="shared" si="36"/>
        <v>6.9999999986699999</v>
      </c>
      <c r="X257" s="124">
        <f t="shared" si="37"/>
        <v>115306.0814315711</v>
      </c>
      <c r="Y257" s="264">
        <f t="shared" si="38"/>
        <v>248</v>
      </c>
      <c r="Z257" s="10">
        <v>50</v>
      </c>
      <c r="AA257" s="7">
        <v>915</v>
      </c>
      <c r="AB257" s="7">
        <v>248</v>
      </c>
      <c r="AC257" s="109">
        <v>6.9999999986699999</v>
      </c>
      <c r="AD257" s="109">
        <v>115306.0814315711</v>
      </c>
      <c r="AE257" s="125"/>
      <c r="AF257" s="10"/>
      <c r="AI257" s="109"/>
      <c r="AJ257" s="109"/>
      <c r="AL257" s="10"/>
      <c r="AO257" s="109"/>
      <c r="AP257" s="109"/>
      <c r="AR257" s="10"/>
      <c r="AU257" s="109"/>
      <c r="AV257" s="109"/>
      <c r="AX257" s="10"/>
      <c r="BA257" s="109"/>
      <c r="BB257" s="109"/>
      <c r="BD257" s="10"/>
      <c r="BG257" s="109"/>
      <c r="BH257" s="109"/>
      <c r="BJ257" s="10"/>
      <c r="BM257" s="109"/>
      <c r="BN257" s="109"/>
      <c r="BP257" s="10"/>
      <c r="BS257" s="109"/>
      <c r="BT257" s="109"/>
      <c r="BV257" s="10"/>
      <c r="BY257" s="109"/>
      <c r="BZ257" s="109"/>
      <c r="CB257" s="10"/>
      <c r="CE257" s="109"/>
      <c r="CF257" s="109"/>
      <c r="CH257" s="10"/>
      <c r="CK257" s="109"/>
      <c r="CL257" s="109"/>
    </row>
    <row r="258" spans="1:90">
      <c r="A258" s="7" t="str">
        <f t="shared" si="31"/>
        <v>00500998</v>
      </c>
      <c r="B258" s="7" t="s">
        <v>2389</v>
      </c>
      <c r="C258" s="7" t="s">
        <v>2781</v>
      </c>
      <c r="D258" s="7">
        <v>249</v>
      </c>
      <c r="E258" s="7">
        <v>50</v>
      </c>
      <c r="F258" s="7" t="s">
        <v>2135</v>
      </c>
      <c r="G258" s="7">
        <v>998</v>
      </c>
      <c r="H258" s="7" t="s">
        <v>2135</v>
      </c>
      <c r="I258" s="37">
        <v>0</v>
      </c>
      <c r="J258" s="122">
        <v>0</v>
      </c>
      <c r="K258" s="123">
        <f t="shared" si="40"/>
        <v>0</v>
      </c>
      <c r="L258" s="122">
        <f>IF(K259&gt;0, K258/K259, 0)</f>
        <v>0</v>
      </c>
      <c r="M258" s="71"/>
      <c r="N258" s="10">
        <f>ROUND(M259*L258,0)</f>
        <v>0</v>
      </c>
      <c r="O258" s="70">
        <v>0</v>
      </c>
      <c r="P258" s="10">
        <f>N258-O258</f>
        <v>0</v>
      </c>
      <c r="Q258" s="46">
        <f t="shared" si="39"/>
        <v>0</v>
      </c>
      <c r="R258" s="10">
        <v>0</v>
      </c>
      <c r="S258" s="7">
        <f t="shared" si="32"/>
        <v>0</v>
      </c>
      <c r="T258" s="124">
        <f t="shared" si="33"/>
        <v>50</v>
      </c>
      <c r="U258" s="124">
        <f t="shared" si="34"/>
        <v>998</v>
      </c>
      <c r="V258" s="124">
        <f t="shared" si="35"/>
        <v>249</v>
      </c>
      <c r="W258" s="124">
        <f t="shared" si="36"/>
        <v>0</v>
      </c>
      <c r="X258" s="124">
        <f t="shared" si="37"/>
        <v>0</v>
      </c>
      <c r="Y258" s="264">
        <f t="shared" si="38"/>
        <v>249</v>
      </c>
      <c r="Z258" s="10">
        <v>50</v>
      </c>
      <c r="AA258" s="7">
        <v>998</v>
      </c>
      <c r="AB258" s="7">
        <v>249</v>
      </c>
      <c r="AC258" s="109">
        <v>0</v>
      </c>
      <c r="AD258" s="109">
        <v>0</v>
      </c>
      <c r="AE258" s="125"/>
      <c r="AF258" s="10"/>
      <c r="AI258" s="109"/>
      <c r="AJ258" s="109"/>
      <c r="AL258" s="10"/>
      <c r="AO258" s="109"/>
      <c r="AP258" s="109"/>
      <c r="AR258" s="10"/>
      <c r="AU258" s="109"/>
      <c r="AV258" s="109"/>
      <c r="AX258" s="10"/>
      <c r="BA258" s="109"/>
      <c r="BB258" s="109"/>
      <c r="BD258" s="10"/>
      <c r="BG258" s="109"/>
      <c r="BH258" s="109"/>
      <c r="BJ258" s="10"/>
      <c r="BM258" s="109"/>
      <c r="BN258" s="109"/>
      <c r="BP258" s="10"/>
      <c r="BS258" s="109"/>
      <c r="BT258" s="109"/>
      <c r="BV258" s="10"/>
      <c r="BY258" s="109"/>
      <c r="BZ258" s="109"/>
      <c r="CB258" s="10"/>
      <c r="CE258" s="109"/>
      <c r="CF258" s="109"/>
      <c r="CH258" s="10"/>
      <c r="CK258" s="109"/>
      <c r="CL258" s="109"/>
    </row>
    <row r="259" spans="1:90">
      <c r="A259" s="7" t="str">
        <f t="shared" si="31"/>
        <v>00500999</v>
      </c>
      <c r="B259" s="7" t="s">
        <v>2389</v>
      </c>
      <c r="C259" s="7" t="s">
        <v>2782</v>
      </c>
      <c r="D259" s="7">
        <v>250</v>
      </c>
      <c r="E259" s="11">
        <v>50</v>
      </c>
      <c r="F259" s="11" t="s">
        <v>1756</v>
      </c>
      <c r="G259" s="11">
        <v>999</v>
      </c>
      <c r="H259" s="11" t="s">
        <v>1132</v>
      </c>
      <c r="I259" s="105">
        <v>32859944.289259996</v>
      </c>
      <c r="J259" s="126">
        <v>1</v>
      </c>
      <c r="K259" s="127">
        <f>SUM(K255:K258)</f>
        <v>34952750.612058751</v>
      </c>
      <c r="L259" s="126">
        <f>SUM(L255:L258)</f>
        <v>1</v>
      </c>
      <c r="M259" s="105">
        <f>VLOOKUP(E259,town351,22)</f>
        <v>28722664</v>
      </c>
      <c r="N259" s="105">
        <f>SUM(N255:N258)</f>
        <v>28722665</v>
      </c>
      <c r="O259" s="128">
        <v>27347105</v>
      </c>
      <c r="P259" s="105">
        <f>SUM(P255:P258)</f>
        <v>1375560</v>
      </c>
      <c r="Q259" s="45">
        <f t="shared" si="39"/>
        <v>5.0300022616653575</v>
      </c>
      <c r="R259" s="105">
        <v>3290</v>
      </c>
      <c r="S259" s="7">
        <f t="shared" si="32"/>
        <v>0</v>
      </c>
      <c r="T259" s="124">
        <f t="shared" si="33"/>
        <v>50</v>
      </c>
      <c r="U259" s="124">
        <f t="shared" si="34"/>
        <v>999</v>
      </c>
      <c r="V259" s="124">
        <f t="shared" si="35"/>
        <v>250</v>
      </c>
      <c r="W259" s="124">
        <f t="shared" si="36"/>
        <v>3409.00000000102</v>
      </c>
      <c r="X259" s="124">
        <f t="shared" si="37"/>
        <v>34952750.612058751</v>
      </c>
      <c r="Y259" s="264">
        <f t="shared" si="38"/>
        <v>250</v>
      </c>
      <c r="Z259" s="10">
        <v>50</v>
      </c>
      <c r="AA259" s="7">
        <v>999</v>
      </c>
      <c r="AB259" s="7">
        <v>250</v>
      </c>
      <c r="AC259" s="109">
        <v>3409.00000000102</v>
      </c>
      <c r="AD259" s="109">
        <v>34952750.612058751</v>
      </c>
      <c r="AE259" s="125"/>
      <c r="AF259" s="10"/>
      <c r="AI259" s="109"/>
      <c r="AJ259" s="109"/>
      <c r="AL259" s="10"/>
      <c r="AO259" s="109"/>
      <c r="AP259" s="109"/>
      <c r="AR259" s="10"/>
      <c r="AU259" s="109"/>
      <c r="AV259" s="109"/>
      <c r="AX259" s="10"/>
      <c r="BA259" s="109"/>
      <c r="BB259" s="109"/>
      <c r="BD259" s="10"/>
      <c r="BG259" s="109"/>
      <c r="BH259" s="109"/>
      <c r="BJ259" s="10"/>
      <c r="BM259" s="109"/>
      <c r="BN259" s="109"/>
      <c r="BP259" s="10"/>
      <c r="BS259" s="109"/>
      <c r="BT259" s="109"/>
      <c r="BV259" s="10"/>
      <c r="BY259" s="109"/>
      <c r="BZ259" s="109"/>
      <c r="CB259" s="10"/>
      <c r="CE259" s="109"/>
      <c r="CF259" s="109"/>
      <c r="CH259" s="10"/>
      <c r="CK259" s="109"/>
      <c r="CL259" s="109"/>
    </row>
    <row r="260" spans="1:90">
      <c r="A260" s="7" t="str">
        <f t="shared" si="31"/>
        <v>00510051</v>
      </c>
      <c r="B260" s="7" t="s">
        <v>2390</v>
      </c>
      <c r="C260" s="7" t="s">
        <v>2390</v>
      </c>
      <c r="D260" s="7">
        <v>251</v>
      </c>
      <c r="E260" s="7">
        <v>51</v>
      </c>
      <c r="F260" s="7" t="s">
        <v>1757</v>
      </c>
      <c r="G260" s="7">
        <v>51</v>
      </c>
      <c r="H260" s="7" t="s">
        <v>1317</v>
      </c>
      <c r="I260" s="37">
        <v>5096190.4877600009</v>
      </c>
      <c r="J260" s="122">
        <v>0.57352321405204554</v>
      </c>
      <c r="K260" s="123">
        <f>X260</f>
        <v>5148187.6529762335</v>
      </c>
      <c r="L260" s="122">
        <f>IF(K264&gt;0, K260/K264, 0)</f>
        <v>0.57807821751614796</v>
      </c>
      <c r="M260" s="71"/>
      <c r="N260" s="10">
        <f>ROUND(M264*L260,0)</f>
        <v>4284734</v>
      </c>
      <c r="O260" s="70">
        <v>4276513</v>
      </c>
      <c r="P260" s="10">
        <f>N260-O260</f>
        <v>8221</v>
      </c>
      <c r="Q260" s="46">
        <f t="shared" si="39"/>
        <v>0.1922360577414356</v>
      </c>
      <c r="R260" s="10">
        <v>577</v>
      </c>
      <c r="S260" s="7">
        <f t="shared" si="32"/>
        <v>0</v>
      </c>
      <c r="T260" s="124">
        <f t="shared" si="33"/>
        <v>51</v>
      </c>
      <c r="U260" s="124">
        <f t="shared" si="34"/>
        <v>51</v>
      </c>
      <c r="V260" s="124">
        <f t="shared" si="35"/>
        <v>251</v>
      </c>
      <c r="W260" s="124">
        <f t="shared" si="36"/>
        <v>563</v>
      </c>
      <c r="X260" s="124">
        <f t="shared" si="37"/>
        <v>5148187.6529762335</v>
      </c>
      <c r="Y260" s="264">
        <f t="shared" si="38"/>
        <v>251</v>
      </c>
      <c r="Z260" s="10">
        <v>51</v>
      </c>
      <c r="AA260" s="7">
        <v>51</v>
      </c>
      <c r="AB260" s="7">
        <v>251</v>
      </c>
      <c r="AC260" s="109">
        <v>563</v>
      </c>
      <c r="AD260" s="109">
        <v>5148187.6529762335</v>
      </c>
      <c r="AE260" s="125"/>
      <c r="AF260" s="10"/>
      <c r="AI260" s="109"/>
      <c r="AJ260" s="109"/>
      <c r="AL260" s="10"/>
      <c r="AO260" s="109"/>
      <c r="AP260" s="109"/>
      <c r="AR260" s="10"/>
      <c r="AU260" s="109"/>
      <c r="AV260" s="109"/>
      <c r="AX260" s="10"/>
      <c r="BA260" s="109"/>
      <c r="BB260" s="109"/>
      <c r="BD260" s="10"/>
      <c r="BG260" s="109"/>
      <c r="BH260" s="109"/>
      <c r="BJ260" s="10"/>
      <c r="BM260" s="109"/>
      <c r="BN260" s="109"/>
      <c r="BP260" s="10"/>
      <c r="BS260" s="109"/>
      <c r="BT260" s="109"/>
      <c r="BV260" s="10"/>
      <c r="BY260" s="109"/>
      <c r="BZ260" s="109"/>
      <c r="CB260" s="10"/>
      <c r="CE260" s="109"/>
      <c r="CF260" s="109"/>
      <c r="CH260" s="10"/>
      <c r="CK260" s="109"/>
      <c r="CL260" s="109"/>
    </row>
    <row r="261" spans="1:90">
      <c r="A261" s="7" t="str">
        <f t="shared" si="31"/>
        <v>00510640</v>
      </c>
      <c r="B261" s="7" t="s">
        <v>2390</v>
      </c>
      <c r="C261" s="7" t="s">
        <v>2706</v>
      </c>
      <c r="D261" s="7">
        <v>252</v>
      </c>
      <c r="E261" s="7">
        <v>51</v>
      </c>
      <c r="F261" s="7" t="s">
        <v>1757</v>
      </c>
      <c r="G261" s="7">
        <v>640</v>
      </c>
      <c r="H261" s="7" t="s">
        <v>1633</v>
      </c>
      <c r="I261" s="37">
        <v>3702201</v>
      </c>
      <c r="J261" s="122">
        <v>0.41664420152394649</v>
      </c>
      <c r="K261" s="123">
        <f t="shared" si="40"/>
        <v>3757506.2427333463</v>
      </c>
      <c r="L261" s="122">
        <f>IF(K264&gt;0, K261/K264, 0)</f>
        <v>0.42192178248385204</v>
      </c>
      <c r="M261" s="71"/>
      <c r="N261" s="10">
        <f>ROUND(M264*L261,0)</f>
        <v>3127298</v>
      </c>
      <c r="O261" s="70">
        <v>3106734</v>
      </c>
      <c r="P261" s="10">
        <f>N261-O261</f>
        <v>20564</v>
      </c>
      <c r="Q261" s="46">
        <f t="shared" si="39"/>
        <v>0.66191698420270295</v>
      </c>
      <c r="R261" s="10">
        <v>352</v>
      </c>
      <c r="S261" s="7">
        <f t="shared" si="32"/>
        <v>0</v>
      </c>
      <c r="T261" s="124">
        <f t="shared" si="33"/>
        <v>51</v>
      </c>
      <c r="U261" s="124">
        <f t="shared" si="34"/>
        <v>640</v>
      </c>
      <c r="V261" s="124">
        <f t="shared" si="35"/>
        <v>252</v>
      </c>
      <c r="W261" s="124">
        <f t="shared" si="36"/>
        <v>348.68500797090002</v>
      </c>
      <c r="X261" s="124">
        <f t="shared" si="37"/>
        <v>3757506.2427333463</v>
      </c>
      <c r="Y261" s="264">
        <f t="shared" si="38"/>
        <v>252</v>
      </c>
      <c r="Z261" s="10">
        <v>51</v>
      </c>
      <c r="AA261" s="7">
        <v>640</v>
      </c>
      <c r="AB261" s="7">
        <v>252</v>
      </c>
      <c r="AC261" s="109">
        <v>348.68500797090002</v>
      </c>
      <c r="AD261" s="109">
        <v>3757506.2427333463</v>
      </c>
      <c r="AE261" s="125"/>
      <c r="AF261" s="10"/>
      <c r="AI261" s="109"/>
      <c r="AJ261" s="109"/>
      <c r="AL261" s="10"/>
      <c r="AO261" s="109"/>
      <c r="AP261" s="109"/>
      <c r="AR261" s="10"/>
      <c r="AU261" s="109"/>
      <c r="AV261" s="109"/>
      <c r="AX261" s="10"/>
      <c r="BA261" s="109"/>
      <c r="BB261" s="109"/>
      <c r="BD261" s="10"/>
      <c r="BG261" s="109"/>
      <c r="BH261" s="109"/>
      <c r="BJ261" s="10"/>
      <c r="BM261" s="109"/>
      <c r="BN261" s="109"/>
      <c r="BP261" s="10"/>
      <c r="BS261" s="109"/>
      <c r="BT261" s="109"/>
      <c r="BV261" s="10"/>
      <c r="BY261" s="109"/>
      <c r="BZ261" s="109"/>
      <c r="CB261" s="10"/>
      <c r="CE261" s="109"/>
      <c r="CF261" s="109"/>
      <c r="CH261" s="10"/>
      <c r="CK261" s="109"/>
      <c r="CL261" s="109"/>
    </row>
    <row r="262" spans="1:90">
      <c r="A262" s="7" t="str">
        <f t="shared" si="31"/>
        <v>00510830</v>
      </c>
      <c r="B262" s="7" t="s">
        <v>2390</v>
      </c>
      <c r="C262" s="7" t="s">
        <v>2764</v>
      </c>
      <c r="D262" s="7">
        <v>253</v>
      </c>
      <c r="E262" s="7">
        <v>51</v>
      </c>
      <c r="F262" s="7" t="s">
        <v>1757</v>
      </c>
      <c r="G262" s="7">
        <v>830</v>
      </c>
      <c r="H262" s="7" t="s">
        <v>1691</v>
      </c>
      <c r="I262" s="37">
        <v>87370</v>
      </c>
      <c r="J262" s="122">
        <v>9.8325844240080978E-3</v>
      </c>
      <c r="K262" s="123">
        <f t="shared" si="40"/>
        <v>0</v>
      </c>
      <c r="L262" s="122">
        <f>IF(K264&gt;0, K262/K264, 0)</f>
        <v>0</v>
      </c>
      <c r="M262" s="71"/>
      <c r="N262" s="10">
        <f>ROUND(M264*L262,0)</f>
        <v>0</v>
      </c>
      <c r="O262" s="70">
        <v>73317</v>
      </c>
      <c r="P262" s="10">
        <f>N262-O262</f>
        <v>-73317</v>
      </c>
      <c r="Q262" s="46">
        <f t="shared" si="39"/>
        <v>-100</v>
      </c>
      <c r="R262" s="10">
        <v>5</v>
      </c>
      <c r="S262" s="7">
        <f t="shared" si="32"/>
        <v>0</v>
      </c>
      <c r="T262" s="124">
        <f t="shared" si="33"/>
        <v>51</v>
      </c>
      <c r="U262" s="124">
        <f t="shared" si="34"/>
        <v>830</v>
      </c>
      <c r="V262" s="124">
        <f t="shared" si="35"/>
        <v>253</v>
      </c>
      <c r="W262" s="124">
        <f t="shared" si="36"/>
        <v>0</v>
      </c>
      <c r="X262" s="124">
        <f t="shared" si="37"/>
        <v>0</v>
      </c>
      <c r="Y262" s="264">
        <f t="shared" si="38"/>
        <v>253</v>
      </c>
      <c r="Z262" s="10">
        <v>51</v>
      </c>
      <c r="AA262" s="7">
        <v>830</v>
      </c>
      <c r="AB262" s="7">
        <v>253</v>
      </c>
      <c r="AC262" s="109">
        <v>0</v>
      </c>
      <c r="AD262" s="109">
        <v>0</v>
      </c>
      <c r="AE262" s="125"/>
      <c r="AF262" s="10"/>
      <c r="AI262" s="109"/>
      <c r="AJ262" s="109"/>
      <c r="AL262" s="10"/>
      <c r="AO262" s="109"/>
      <c r="AP262" s="109"/>
      <c r="AR262" s="10"/>
      <c r="AU262" s="109"/>
      <c r="AV262" s="109"/>
      <c r="AX262" s="10"/>
      <c r="BA262" s="109"/>
      <c r="BB262" s="109"/>
      <c r="BD262" s="10"/>
      <c r="BG262" s="109"/>
      <c r="BH262" s="109"/>
      <c r="BJ262" s="10"/>
      <c r="BM262" s="109"/>
      <c r="BN262" s="109"/>
      <c r="BP262" s="10"/>
      <c r="BS262" s="109"/>
      <c r="BT262" s="109"/>
      <c r="BV262" s="10"/>
      <c r="BY262" s="109"/>
      <c r="BZ262" s="109"/>
      <c r="CB262" s="10"/>
      <c r="CE262" s="109"/>
      <c r="CF262" s="109"/>
      <c r="CH262" s="10"/>
      <c r="CK262" s="109"/>
      <c r="CL262" s="109"/>
    </row>
    <row r="263" spans="1:90">
      <c r="A263" s="7" t="str">
        <f t="shared" si="31"/>
        <v>00510998</v>
      </c>
      <c r="B263" s="7" t="s">
        <v>2390</v>
      </c>
      <c r="C263" s="7" t="s">
        <v>2781</v>
      </c>
      <c r="D263" s="7">
        <v>254</v>
      </c>
      <c r="E263" s="7">
        <v>51</v>
      </c>
      <c r="F263" s="7" t="s">
        <v>2135</v>
      </c>
      <c r="G263" s="7">
        <v>998</v>
      </c>
      <c r="H263" s="7" t="s">
        <v>2135</v>
      </c>
      <c r="I263" s="37">
        <v>0</v>
      </c>
      <c r="J263" s="122">
        <v>0</v>
      </c>
      <c r="K263" s="123">
        <f t="shared" si="40"/>
        <v>0</v>
      </c>
      <c r="L263" s="122">
        <f>IF(K264&gt;0, K263/K264, 0)</f>
        <v>0</v>
      </c>
      <c r="M263" s="71"/>
      <c r="N263" s="10">
        <f>ROUND(M264*L263,0)</f>
        <v>0</v>
      </c>
      <c r="O263" s="70">
        <v>0</v>
      </c>
      <c r="P263" s="10">
        <f>N263-O263</f>
        <v>0</v>
      </c>
      <c r="Q263" s="46">
        <f t="shared" si="39"/>
        <v>0</v>
      </c>
      <c r="R263" s="10">
        <v>0</v>
      </c>
      <c r="S263" s="7">
        <f t="shared" si="32"/>
        <v>0</v>
      </c>
      <c r="T263" s="124">
        <f t="shared" si="33"/>
        <v>51</v>
      </c>
      <c r="U263" s="124">
        <f t="shared" si="34"/>
        <v>998</v>
      </c>
      <c r="V263" s="124">
        <f t="shared" si="35"/>
        <v>254</v>
      </c>
      <c r="W263" s="124">
        <f t="shared" si="36"/>
        <v>0</v>
      </c>
      <c r="X263" s="124">
        <f t="shared" si="37"/>
        <v>0</v>
      </c>
      <c r="Y263" s="264">
        <f t="shared" si="38"/>
        <v>254</v>
      </c>
      <c r="Z263" s="10">
        <v>51</v>
      </c>
      <c r="AA263" s="7">
        <v>998</v>
      </c>
      <c r="AB263" s="7">
        <v>254</v>
      </c>
      <c r="AC263" s="109">
        <v>0</v>
      </c>
      <c r="AD263" s="109">
        <v>0</v>
      </c>
      <c r="AE263" s="125"/>
      <c r="AF263" s="10"/>
      <c r="AI263" s="109"/>
      <c r="AJ263" s="109"/>
      <c r="AL263" s="10"/>
      <c r="AO263" s="109"/>
      <c r="AP263" s="109"/>
      <c r="AR263" s="10"/>
      <c r="AU263" s="109"/>
      <c r="AV263" s="109"/>
      <c r="AX263" s="10"/>
      <c r="BA263" s="109"/>
      <c r="BB263" s="109"/>
      <c r="BD263" s="10"/>
      <c r="BG263" s="109"/>
      <c r="BH263" s="109"/>
      <c r="BJ263" s="10"/>
      <c r="BM263" s="109"/>
      <c r="BN263" s="109"/>
      <c r="BP263" s="10"/>
      <c r="BS263" s="109"/>
      <c r="BT263" s="109"/>
      <c r="BV263" s="10"/>
      <c r="BY263" s="109"/>
      <c r="BZ263" s="109"/>
      <c r="CB263" s="10"/>
      <c r="CE263" s="109"/>
      <c r="CF263" s="109"/>
      <c r="CH263" s="10"/>
      <c r="CK263" s="109"/>
      <c r="CL263" s="109"/>
    </row>
    <row r="264" spans="1:90">
      <c r="A264" s="7" t="str">
        <f t="shared" si="31"/>
        <v>00510999</v>
      </c>
      <c r="B264" s="7" t="s">
        <v>2390</v>
      </c>
      <c r="C264" s="7" t="s">
        <v>2782</v>
      </c>
      <c r="D264" s="7">
        <v>255</v>
      </c>
      <c r="E264" s="11">
        <v>51</v>
      </c>
      <c r="F264" s="11" t="s">
        <v>1757</v>
      </c>
      <c r="G264" s="11">
        <v>999</v>
      </c>
      <c r="H264" s="11" t="s">
        <v>1132</v>
      </c>
      <c r="I264" s="105">
        <v>8885761.4877599999</v>
      </c>
      <c r="J264" s="126">
        <v>1.0000000000000002</v>
      </c>
      <c r="K264" s="127">
        <f>SUM(K260:K263)</f>
        <v>8905693.8957095798</v>
      </c>
      <c r="L264" s="126">
        <f>SUM(L260:L263)</f>
        <v>1</v>
      </c>
      <c r="M264" s="105">
        <f>VLOOKUP(E264,town351,22)</f>
        <v>7412032</v>
      </c>
      <c r="N264" s="105">
        <f>SUM(N260:N263)</f>
        <v>7412032</v>
      </c>
      <c r="O264" s="128">
        <v>7456564</v>
      </c>
      <c r="P264" s="105">
        <f>SUM(P260:P263)</f>
        <v>-44532</v>
      </c>
      <c r="Q264" s="45">
        <f t="shared" si="39"/>
        <v>-0.59721877261430334</v>
      </c>
      <c r="R264" s="105">
        <v>934</v>
      </c>
      <c r="S264" s="7">
        <f t="shared" si="32"/>
        <v>0</v>
      </c>
      <c r="T264" s="124">
        <f t="shared" si="33"/>
        <v>51</v>
      </c>
      <c r="U264" s="124">
        <f t="shared" si="34"/>
        <v>999</v>
      </c>
      <c r="V264" s="124">
        <f t="shared" si="35"/>
        <v>255</v>
      </c>
      <c r="W264" s="124">
        <f t="shared" si="36"/>
        <v>911.68500797089996</v>
      </c>
      <c r="X264" s="124">
        <f t="shared" si="37"/>
        <v>8905693.8957095798</v>
      </c>
      <c r="Y264" s="264">
        <f t="shared" si="38"/>
        <v>255</v>
      </c>
      <c r="Z264" s="10">
        <v>51</v>
      </c>
      <c r="AA264" s="7">
        <v>999</v>
      </c>
      <c r="AB264" s="7">
        <v>255</v>
      </c>
      <c r="AC264" s="109">
        <v>911.68500797089996</v>
      </c>
      <c r="AD264" s="109">
        <v>8905693.8957095798</v>
      </c>
      <c r="AE264" s="125"/>
      <c r="AF264" s="10"/>
      <c r="AI264" s="109"/>
      <c r="AJ264" s="109"/>
      <c r="AL264" s="10"/>
      <c r="AO264" s="109"/>
      <c r="AP264" s="109"/>
      <c r="AR264" s="10"/>
      <c r="AU264" s="109"/>
      <c r="AV264" s="109"/>
      <c r="AX264" s="10"/>
      <c r="BA264" s="109"/>
      <c r="BB264" s="109"/>
      <c r="BD264" s="10"/>
      <c r="BG264" s="109"/>
      <c r="BH264" s="109"/>
      <c r="BJ264" s="10"/>
      <c r="BM264" s="109"/>
      <c r="BN264" s="109"/>
      <c r="BP264" s="10"/>
      <c r="BS264" s="109"/>
      <c r="BT264" s="109"/>
      <c r="BV264" s="10"/>
      <c r="BY264" s="109"/>
      <c r="BZ264" s="109"/>
      <c r="CB264" s="10"/>
      <c r="CE264" s="109"/>
      <c r="CF264" s="109"/>
      <c r="CH264" s="10"/>
      <c r="CK264" s="109"/>
      <c r="CL264" s="109"/>
    </row>
    <row r="265" spans="1:90">
      <c r="A265" s="7" t="str">
        <f t="shared" si="31"/>
        <v>00520052</v>
      </c>
      <c r="B265" s="7" t="s">
        <v>2391</v>
      </c>
      <c r="C265" s="7" t="s">
        <v>2391</v>
      </c>
      <c r="D265" s="7">
        <v>256</v>
      </c>
      <c r="E265" s="7">
        <v>52</v>
      </c>
      <c r="F265" s="7" t="s">
        <v>1758</v>
      </c>
      <c r="G265" s="7">
        <v>52</v>
      </c>
      <c r="H265" s="7" t="s">
        <v>1318</v>
      </c>
      <c r="I265" s="37">
        <v>16376740.850159999</v>
      </c>
      <c r="J265" s="122">
        <v>0.91955891176826654</v>
      </c>
      <c r="K265" s="123">
        <f>X265</f>
        <v>16782096.605596974</v>
      </c>
      <c r="L265" s="122">
        <f>IF(K269&gt;0, K265/K269, 0)</f>
        <v>0.92150539306164181</v>
      </c>
      <c r="M265" s="71"/>
      <c r="N265" s="10">
        <f>ROUND(M269*L265,0)</f>
        <v>8454008</v>
      </c>
      <c r="O265" s="70">
        <v>8366875</v>
      </c>
      <c r="P265" s="10">
        <f>N265-O265</f>
        <v>87133</v>
      </c>
      <c r="Q265" s="46">
        <f t="shared" si="39"/>
        <v>1.0414043475013073</v>
      </c>
      <c r="R265" s="10">
        <v>1651</v>
      </c>
      <c r="S265" s="7">
        <f t="shared" si="32"/>
        <v>0</v>
      </c>
      <c r="T265" s="124">
        <f t="shared" si="33"/>
        <v>52</v>
      </c>
      <c r="U265" s="124">
        <f t="shared" si="34"/>
        <v>52</v>
      </c>
      <c r="V265" s="124">
        <f t="shared" si="35"/>
        <v>256</v>
      </c>
      <c r="W265" s="124">
        <f t="shared" si="36"/>
        <v>1651</v>
      </c>
      <c r="X265" s="124">
        <f t="shared" si="37"/>
        <v>16782096.605596974</v>
      </c>
      <c r="Y265" s="264">
        <f t="shared" si="38"/>
        <v>256</v>
      </c>
      <c r="Z265" s="10">
        <v>52</v>
      </c>
      <c r="AA265" s="7">
        <v>52</v>
      </c>
      <c r="AB265" s="7">
        <v>256</v>
      </c>
      <c r="AC265" s="109">
        <v>1651</v>
      </c>
      <c r="AD265" s="109">
        <v>16782096.605596974</v>
      </c>
      <c r="AE265" s="125"/>
      <c r="AF265" s="10"/>
      <c r="AI265" s="109"/>
      <c r="AJ265" s="109"/>
      <c r="AL265" s="10"/>
      <c r="AO265" s="109"/>
      <c r="AP265" s="109"/>
      <c r="AR265" s="10"/>
      <c r="AU265" s="109"/>
      <c r="AV265" s="109"/>
      <c r="AX265" s="10"/>
      <c r="BA265" s="109"/>
      <c r="BB265" s="109"/>
      <c r="BD265" s="10"/>
      <c r="BG265" s="109"/>
      <c r="BH265" s="109"/>
      <c r="BJ265" s="10"/>
      <c r="BM265" s="109"/>
      <c r="BN265" s="109"/>
      <c r="BP265" s="10"/>
      <c r="BS265" s="109"/>
      <c r="BT265" s="109"/>
      <c r="BV265" s="10"/>
      <c r="BY265" s="109"/>
      <c r="BZ265" s="109"/>
      <c r="CB265" s="10"/>
      <c r="CE265" s="109"/>
      <c r="CF265" s="109"/>
      <c r="CH265" s="10"/>
      <c r="CK265" s="109"/>
      <c r="CL265" s="109"/>
    </row>
    <row r="266" spans="1:90">
      <c r="A266" s="7" t="str">
        <f t="shared" ref="A266:A329" si="41">B266&amp;C266</f>
        <v>00520855</v>
      </c>
      <c r="B266" s="7" t="s">
        <v>2391</v>
      </c>
      <c r="C266" s="7" t="s">
        <v>2769</v>
      </c>
      <c r="D266" s="7">
        <v>257</v>
      </c>
      <c r="E266" s="7">
        <v>52</v>
      </c>
      <c r="F266" s="7" t="s">
        <v>1758</v>
      </c>
      <c r="G266" s="7">
        <v>855</v>
      </c>
      <c r="H266" s="7" t="s">
        <v>1696</v>
      </c>
      <c r="I266" s="37">
        <v>1432603</v>
      </c>
      <c r="J266" s="122">
        <v>8.0441088231733446E-2</v>
      </c>
      <c r="K266" s="123">
        <f t="shared" si="40"/>
        <v>1429513.1494360899</v>
      </c>
      <c r="L266" s="122">
        <f>IF(K269&gt;0, K266/K269, 0)</f>
        <v>7.8494606938358177E-2</v>
      </c>
      <c r="M266" s="71"/>
      <c r="N266" s="10">
        <f>ROUND(M269*L266,0)</f>
        <v>720119</v>
      </c>
      <c r="O266" s="70">
        <v>731917</v>
      </c>
      <c r="P266" s="10">
        <f>N266-O266</f>
        <v>-11798</v>
      </c>
      <c r="Q266" s="46">
        <f t="shared" si="39"/>
        <v>-1.6119314075229842</v>
      </c>
      <c r="R266" s="10">
        <v>93</v>
      </c>
      <c r="S266" s="7">
        <f t="shared" ref="S266:S329" si="42">ABS(T266-E266)+ABS(U266-G266)</f>
        <v>0</v>
      </c>
      <c r="T266" s="124">
        <f t="shared" ref="T266:T329" si="43">VLOOKUP($D266, foundoptions, VLOOKUP($T$6, foundoptcell, 2, FALSE), FALSE)</f>
        <v>52</v>
      </c>
      <c r="U266" s="124">
        <f t="shared" ref="U266:U329" si="44">VLOOKUP($D266, foundoptions, VLOOKUP($T$6, foundoptcell, 2, FALSE)+1, FALSE)</f>
        <v>855</v>
      </c>
      <c r="V266" s="124">
        <f t="shared" ref="V266:V329" si="45">VLOOKUP($D266, foundoptions, VLOOKUP($T$6, foundoptcell, 2, FALSE)+2, FALSE)</f>
        <v>257</v>
      </c>
      <c r="W266" s="124">
        <f t="shared" ref="W266:W329" si="46">VLOOKUP($D266, foundoptions, VLOOKUP($T$6, foundoptcell, 2, FALSE)+3, FALSE)</f>
        <v>92.000000001149999</v>
      </c>
      <c r="X266" s="124">
        <f t="shared" ref="X266:X329" si="47">VLOOKUP($D266, foundoptions, VLOOKUP($T$6, foundoptcell, 2, FALSE)+4, FALSE)</f>
        <v>1429513.1494360899</v>
      </c>
      <c r="Y266" s="264">
        <f t="shared" si="38"/>
        <v>257</v>
      </c>
      <c r="Z266" s="10">
        <v>52</v>
      </c>
      <c r="AA266" s="7">
        <v>855</v>
      </c>
      <c r="AB266" s="7">
        <v>257</v>
      </c>
      <c r="AC266" s="109">
        <v>92.000000001149999</v>
      </c>
      <c r="AD266" s="109">
        <v>1429513.1494360899</v>
      </c>
      <c r="AE266" s="125"/>
      <c r="AF266" s="10"/>
      <c r="AI266" s="109"/>
      <c r="AJ266" s="109"/>
      <c r="AL266" s="10"/>
      <c r="AO266" s="109"/>
      <c r="AP266" s="109"/>
      <c r="AR266" s="10"/>
      <c r="AU266" s="109"/>
      <c r="AV266" s="109"/>
      <c r="AX266" s="10"/>
      <c r="BA266" s="109"/>
      <c r="BB266" s="109"/>
      <c r="BD266" s="10"/>
      <c r="BG266" s="109"/>
      <c r="BH266" s="109"/>
      <c r="BJ266" s="10"/>
      <c r="BM266" s="109"/>
      <c r="BN266" s="109"/>
      <c r="BP266" s="10"/>
      <c r="BS266" s="109"/>
      <c r="BT266" s="109"/>
      <c r="BV266" s="10"/>
      <c r="BY266" s="109"/>
      <c r="BZ266" s="109"/>
      <c r="CB266" s="10"/>
      <c r="CE266" s="109"/>
      <c r="CF266" s="109"/>
      <c r="CH266" s="10"/>
      <c r="CK266" s="109"/>
      <c r="CL266" s="109"/>
    </row>
    <row r="267" spans="1:90">
      <c r="A267" s="7" t="str">
        <f t="shared" si="41"/>
        <v>00520998</v>
      </c>
      <c r="B267" s="7" t="s">
        <v>2391</v>
      </c>
      <c r="C267" s="7" t="s">
        <v>2781</v>
      </c>
      <c r="D267" s="7">
        <v>258</v>
      </c>
      <c r="E267" s="7">
        <v>52</v>
      </c>
      <c r="F267" s="7" t="s">
        <v>2135</v>
      </c>
      <c r="G267" s="7">
        <v>998</v>
      </c>
      <c r="H267" s="7" t="s">
        <v>2135</v>
      </c>
      <c r="I267" s="37">
        <v>0</v>
      </c>
      <c r="J267" s="122">
        <v>0</v>
      </c>
      <c r="K267" s="123">
        <f t="shared" si="40"/>
        <v>0</v>
      </c>
      <c r="L267" s="122">
        <f>IF(K269&gt;0, K267/K269, 0)</f>
        <v>0</v>
      </c>
      <c r="M267" s="71"/>
      <c r="N267" s="10">
        <f>ROUND(M269*L267,0)</f>
        <v>0</v>
      </c>
      <c r="O267" s="70">
        <v>0</v>
      </c>
      <c r="P267" s="10">
        <f>N267-O267</f>
        <v>0</v>
      </c>
      <c r="Q267" s="46">
        <f t="shared" si="39"/>
        <v>0</v>
      </c>
      <c r="R267" s="10">
        <v>0</v>
      </c>
      <c r="S267" s="7">
        <f t="shared" si="42"/>
        <v>0</v>
      </c>
      <c r="T267" s="124">
        <f t="shared" si="43"/>
        <v>52</v>
      </c>
      <c r="U267" s="124">
        <f t="shared" si="44"/>
        <v>998</v>
      </c>
      <c r="V267" s="124">
        <f t="shared" si="45"/>
        <v>258</v>
      </c>
      <c r="W267" s="124">
        <f t="shared" si="46"/>
        <v>0</v>
      </c>
      <c r="X267" s="124">
        <f t="shared" si="47"/>
        <v>0</v>
      </c>
      <c r="Y267" s="264">
        <f t="shared" ref="Y267:Y330" si="48">D267</f>
        <v>258</v>
      </c>
      <c r="Z267" s="10">
        <v>52</v>
      </c>
      <c r="AA267" s="7">
        <v>998</v>
      </c>
      <c r="AB267" s="7">
        <v>258</v>
      </c>
      <c r="AC267" s="109">
        <v>0</v>
      </c>
      <c r="AD267" s="109">
        <v>0</v>
      </c>
      <c r="AE267" s="125"/>
      <c r="AF267" s="10"/>
      <c r="AI267" s="109"/>
      <c r="AJ267" s="109"/>
      <c r="AL267" s="10"/>
      <c r="AO267" s="109"/>
      <c r="AP267" s="109"/>
      <c r="AR267" s="10"/>
      <c r="AU267" s="109"/>
      <c r="AV267" s="109"/>
      <c r="AX267" s="10"/>
      <c r="BA267" s="109"/>
      <c r="BB267" s="109"/>
      <c r="BD267" s="10"/>
      <c r="BG267" s="109"/>
      <c r="BH267" s="109"/>
      <c r="BJ267" s="10"/>
      <c r="BM267" s="109"/>
      <c r="BN267" s="109"/>
      <c r="BP267" s="10"/>
      <c r="BS267" s="109"/>
      <c r="BT267" s="109"/>
      <c r="BV267" s="10"/>
      <c r="BY267" s="109"/>
      <c r="BZ267" s="109"/>
      <c r="CB267" s="10"/>
      <c r="CE267" s="109"/>
      <c r="CF267" s="109"/>
      <c r="CH267" s="10"/>
      <c r="CK267" s="109"/>
      <c r="CL267" s="109"/>
    </row>
    <row r="268" spans="1:90">
      <c r="A268" s="7" t="str">
        <f t="shared" si="41"/>
        <v>00520998</v>
      </c>
      <c r="B268" s="7" t="s">
        <v>2391</v>
      </c>
      <c r="C268" s="7" t="s">
        <v>2781</v>
      </c>
      <c r="D268" s="7">
        <v>259</v>
      </c>
      <c r="E268" s="7">
        <v>52</v>
      </c>
      <c r="F268" s="7" t="s">
        <v>2135</v>
      </c>
      <c r="G268" s="7">
        <v>998</v>
      </c>
      <c r="H268" s="7" t="s">
        <v>2135</v>
      </c>
      <c r="I268" s="37">
        <v>0</v>
      </c>
      <c r="J268" s="122">
        <v>0</v>
      </c>
      <c r="K268" s="123">
        <f t="shared" si="40"/>
        <v>0</v>
      </c>
      <c r="L268" s="122">
        <f>IF(K269&gt;0, K268/K269, 0)</f>
        <v>0</v>
      </c>
      <c r="M268" s="71"/>
      <c r="N268" s="10">
        <f>ROUND(M269*L268,0)</f>
        <v>0</v>
      </c>
      <c r="O268" s="70">
        <v>0</v>
      </c>
      <c r="P268" s="10">
        <f>N268-O268</f>
        <v>0</v>
      </c>
      <c r="Q268" s="46">
        <f t="shared" si="39"/>
        <v>0</v>
      </c>
      <c r="R268" s="10">
        <v>0</v>
      </c>
      <c r="S268" s="7">
        <f t="shared" si="42"/>
        <v>0</v>
      </c>
      <c r="T268" s="124">
        <f t="shared" si="43"/>
        <v>52</v>
      </c>
      <c r="U268" s="124">
        <f t="shared" si="44"/>
        <v>998</v>
      </c>
      <c r="V268" s="124">
        <f t="shared" si="45"/>
        <v>259</v>
      </c>
      <c r="W268" s="124">
        <f t="shared" si="46"/>
        <v>0</v>
      </c>
      <c r="X268" s="124">
        <f t="shared" si="47"/>
        <v>0</v>
      </c>
      <c r="Y268" s="264">
        <f t="shared" si="48"/>
        <v>259</v>
      </c>
      <c r="Z268" s="10">
        <v>52</v>
      </c>
      <c r="AA268" s="7">
        <v>998</v>
      </c>
      <c r="AB268" s="7">
        <v>259</v>
      </c>
      <c r="AC268" s="109">
        <v>0</v>
      </c>
      <c r="AD268" s="109">
        <v>0</v>
      </c>
      <c r="AE268" s="125"/>
      <c r="AF268" s="10"/>
      <c r="AI268" s="109"/>
      <c r="AJ268" s="109"/>
      <c r="AL268" s="10"/>
      <c r="AO268" s="109"/>
      <c r="AP268" s="109"/>
      <c r="AR268" s="10"/>
      <c r="AU268" s="109"/>
      <c r="AV268" s="109"/>
      <c r="AX268" s="10"/>
      <c r="BA268" s="109"/>
      <c r="BB268" s="109"/>
      <c r="BD268" s="10"/>
      <c r="BG268" s="109"/>
      <c r="BH268" s="109"/>
      <c r="BJ268" s="10"/>
      <c r="BM268" s="109"/>
      <c r="BN268" s="109"/>
      <c r="BP268" s="10"/>
      <c r="BS268" s="109"/>
      <c r="BT268" s="109"/>
      <c r="BV268" s="10"/>
      <c r="BY268" s="109"/>
      <c r="BZ268" s="109"/>
      <c r="CB268" s="10"/>
      <c r="CE268" s="109"/>
      <c r="CF268" s="109"/>
      <c r="CH268" s="10"/>
      <c r="CK268" s="109"/>
      <c r="CL268" s="109"/>
    </row>
    <row r="269" spans="1:90">
      <c r="A269" s="7" t="str">
        <f t="shared" si="41"/>
        <v>00520999</v>
      </c>
      <c r="B269" s="7" t="s">
        <v>2391</v>
      </c>
      <c r="C269" s="7" t="s">
        <v>2782</v>
      </c>
      <c r="D269" s="7">
        <v>260</v>
      </c>
      <c r="E269" s="11">
        <v>52</v>
      </c>
      <c r="F269" s="11" t="s">
        <v>1758</v>
      </c>
      <c r="G269" s="11">
        <v>999</v>
      </c>
      <c r="H269" s="11" t="s">
        <v>1132</v>
      </c>
      <c r="I269" s="105">
        <v>17809343.850159999</v>
      </c>
      <c r="J269" s="126">
        <v>1</v>
      </c>
      <c r="K269" s="127">
        <f>SUM(K265:K268)</f>
        <v>18211609.755033065</v>
      </c>
      <c r="L269" s="126">
        <f>SUM(L265:L268)</f>
        <v>1</v>
      </c>
      <c r="M269" s="105">
        <f>VLOOKUP(E269,town351,22)</f>
        <v>9174127</v>
      </c>
      <c r="N269" s="105">
        <f>SUM(N265:N268)</f>
        <v>9174127</v>
      </c>
      <c r="O269" s="128">
        <v>9098792</v>
      </c>
      <c r="P269" s="105">
        <f>SUM(P265:P268)</f>
        <v>75335</v>
      </c>
      <c r="Q269" s="45">
        <f t="shared" si="39"/>
        <v>0.82796705320882158</v>
      </c>
      <c r="R269" s="105">
        <v>1744</v>
      </c>
      <c r="S269" s="7">
        <f t="shared" si="42"/>
        <v>0</v>
      </c>
      <c r="T269" s="124">
        <f t="shared" si="43"/>
        <v>52</v>
      </c>
      <c r="U269" s="124">
        <f t="shared" si="44"/>
        <v>999</v>
      </c>
      <c r="V269" s="124">
        <f t="shared" si="45"/>
        <v>260</v>
      </c>
      <c r="W269" s="124">
        <f t="shared" si="46"/>
        <v>1743.0000000011501</v>
      </c>
      <c r="X269" s="124">
        <f t="shared" si="47"/>
        <v>18211609.755033065</v>
      </c>
      <c r="Y269" s="264">
        <f t="shared" si="48"/>
        <v>260</v>
      </c>
      <c r="Z269" s="10">
        <v>52</v>
      </c>
      <c r="AA269" s="7">
        <v>999</v>
      </c>
      <c r="AB269" s="7">
        <v>260</v>
      </c>
      <c r="AC269" s="109">
        <v>1743.0000000011501</v>
      </c>
      <c r="AD269" s="109">
        <v>18211609.755033065</v>
      </c>
      <c r="AE269" s="125"/>
      <c r="AF269" s="10"/>
      <c r="AI269" s="109"/>
      <c r="AJ269" s="109"/>
      <c r="AL269" s="10"/>
      <c r="AO269" s="109"/>
      <c r="AP269" s="109"/>
      <c r="AR269" s="10"/>
      <c r="AU269" s="109"/>
      <c r="AV269" s="109"/>
      <c r="AX269" s="10"/>
      <c r="BA269" s="109"/>
      <c r="BB269" s="109"/>
      <c r="BD269" s="10"/>
      <c r="BG269" s="109"/>
      <c r="BH269" s="109"/>
      <c r="BJ269" s="10"/>
      <c r="BM269" s="109"/>
      <c r="BN269" s="109"/>
      <c r="BP269" s="10"/>
      <c r="BS269" s="109"/>
      <c r="BT269" s="109"/>
      <c r="BV269" s="10"/>
      <c r="BY269" s="109"/>
      <c r="BZ269" s="109"/>
      <c r="CB269" s="10"/>
      <c r="CE269" s="109"/>
      <c r="CF269" s="109"/>
      <c r="CH269" s="10"/>
      <c r="CK269" s="109"/>
      <c r="CL269" s="109"/>
    </row>
    <row r="270" spans="1:90">
      <c r="A270" s="7" t="str">
        <f t="shared" si="41"/>
        <v>00530053</v>
      </c>
      <c r="B270" s="7" t="s">
        <v>2392</v>
      </c>
      <c r="C270" s="7" t="s">
        <v>2392</v>
      </c>
      <c r="D270" s="7">
        <v>261</v>
      </c>
      <c r="E270" s="7">
        <v>53</v>
      </c>
      <c r="F270" s="7" t="s">
        <v>1759</v>
      </c>
      <c r="G270" s="7">
        <v>53</v>
      </c>
      <c r="H270" s="7" t="s">
        <v>1319</v>
      </c>
      <c r="I270" s="37">
        <v>118538.28</v>
      </c>
      <c r="J270" s="122">
        <v>7.0081061091139762E-2</v>
      </c>
      <c r="K270" s="123">
        <f>X270</f>
        <v>186633.68266747385</v>
      </c>
      <c r="L270" s="122">
        <f>IF(K274&gt;0, K270/K274, 0)</f>
        <v>0.1067757556288987</v>
      </c>
      <c r="M270" s="71"/>
      <c r="N270" s="10">
        <f>ROUND(M274*L270,0)</f>
        <v>94583</v>
      </c>
      <c r="O270" s="70">
        <v>62581</v>
      </c>
      <c r="P270" s="10">
        <f>N270-O270</f>
        <v>32002</v>
      </c>
      <c r="Q270" s="46">
        <f t="shared" si="39"/>
        <v>51.136926543200012</v>
      </c>
      <c r="R270" s="10">
        <v>9</v>
      </c>
      <c r="S270" s="7">
        <f t="shared" si="42"/>
        <v>0</v>
      </c>
      <c r="T270" s="124">
        <f t="shared" si="43"/>
        <v>53</v>
      </c>
      <c r="U270" s="124">
        <f t="shared" si="44"/>
        <v>53</v>
      </c>
      <c r="V270" s="124">
        <f t="shared" si="45"/>
        <v>261</v>
      </c>
      <c r="W270" s="124">
        <f t="shared" si="46"/>
        <v>12</v>
      </c>
      <c r="X270" s="124">
        <f t="shared" si="47"/>
        <v>186633.68266747385</v>
      </c>
      <c r="Y270" s="264">
        <f t="shared" si="48"/>
        <v>261</v>
      </c>
      <c r="Z270" s="10">
        <v>53</v>
      </c>
      <c r="AA270" s="7">
        <v>53</v>
      </c>
      <c r="AB270" s="7">
        <v>261</v>
      </c>
      <c r="AC270" s="109">
        <v>12</v>
      </c>
      <c r="AD270" s="109">
        <v>186633.68266747385</v>
      </c>
      <c r="AE270" s="125"/>
      <c r="AF270" s="10"/>
      <c r="AI270" s="109"/>
      <c r="AJ270" s="109"/>
      <c r="AL270" s="10"/>
      <c r="AO270" s="109"/>
      <c r="AP270" s="109"/>
      <c r="AR270" s="10"/>
      <c r="AU270" s="109"/>
      <c r="AV270" s="109"/>
      <c r="AX270" s="10"/>
      <c r="BA270" s="109"/>
      <c r="BB270" s="109"/>
      <c r="BD270" s="10"/>
      <c r="BG270" s="109"/>
      <c r="BH270" s="109"/>
      <c r="BJ270" s="10"/>
      <c r="BM270" s="109"/>
      <c r="BN270" s="109"/>
      <c r="BP270" s="10"/>
      <c r="BS270" s="109"/>
      <c r="BT270" s="109"/>
      <c r="BV270" s="10"/>
      <c r="BY270" s="109"/>
      <c r="BZ270" s="109"/>
      <c r="CB270" s="10"/>
      <c r="CE270" s="109"/>
      <c r="CF270" s="109"/>
      <c r="CH270" s="10"/>
      <c r="CK270" s="109"/>
      <c r="CL270" s="109"/>
    </row>
    <row r="271" spans="1:90">
      <c r="A271" s="7" t="str">
        <f t="shared" si="41"/>
        <v>00530685</v>
      </c>
      <c r="B271" s="7" t="s">
        <v>2392</v>
      </c>
      <c r="C271" s="7" t="s">
        <v>2721</v>
      </c>
      <c r="D271" s="7">
        <v>262</v>
      </c>
      <c r="E271" s="7">
        <v>53</v>
      </c>
      <c r="F271" s="7" t="s">
        <v>1759</v>
      </c>
      <c r="G271" s="7">
        <v>685</v>
      </c>
      <c r="H271" s="7" t="s">
        <v>1648</v>
      </c>
      <c r="I271" s="37">
        <v>754841</v>
      </c>
      <c r="J271" s="122">
        <v>0.44626983144261101</v>
      </c>
      <c r="K271" s="123">
        <f t="shared" si="40"/>
        <v>761094.30791219114</v>
      </c>
      <c r="L271" s="122">
        <f>IF(K274&gt;0, K271/K274, 0)</f>
        <v>0.43543276149659799</v>
      </c>
      <c r="M271" s="71"/>
      <c r="N271" s="10">
        <f>ROUND(M274*L271,0)</f>
        <v>385710</v>
      </c>
      <c r="O271" s="70">
        <v>398507</v>
      </c>
      <c r="P271" s="10">
        <f>N271-O271</f>
        <v>-12797</v>
      </c>
      <c r="Q271" s="46">
        <f t="shared" si="39"/>
        <v>-3.211235938139104</v>
      </c>
      <c r="R271" s="10">
        <v>70</v>
      </c>
      <c r="S271" s="7">
        <f t="shared" si="42"/>
        <v>0</v>
      </c>
      <c r="T271" s="124">
        <f t="shared" si="43"/>
        <v>53</v>
      </c>
      <c r="U271" s="124">
        <f t="shared" si="44"/>
        <v>685</v>
      </c>
      <c r="V271" s="124">
        <f t="shared" si="45"/>
        <v>262</v>
      </c>
      <c r="W271" s="124">
        <f t="shared" si="46"/>
        <v>65.790697674800001</v>
      </c>
      <c r="X271" s="124">
        <f t="shared" si="47"/>
        <v>761094.30791219114</v>
      </c>
      <c r="Y271" s="264">
        <f t="shared" si="48"/>
        <v>262</v>
      </c>
      <c r="Z271" s="10">
        <v>53</v>
      </c>
      <c r="AA271" s="7">
        <v>685</v>
      </c>
      <c r="AB271" s="7">
        <v>262</v>
      </c>
      <c r="AC271" s="109">
        <v>65.790697674800001</v>
      </c>
      <c r="AD271" s="109">
        <v>761094.30791219114</v>
      </c>
      <c r="AE271" s="125"/>
      <c r="AF271" s="10"/>
      <c r="AI271" s="109"/>
      <c r="AJ271" s="109"/>
      <c r="AL271" s="10"/>
      <c r="AO271" s="109"/>
      <c r="AP271" s="109"/>
      <c r="AR271" s="10"/>
      <c r="AU271" s="109"/>
      <c r="AV271" s="109"/>
      <c r="AX271" s="10"/>
      <c r="BA271" s="109"/>
      <c r="BB271" s="109"/>
      <c r="BD271" s="10"/>
      <c r="BG271" s="109"/>
      <c r="BH271" s="109"/>
      <c r="BJ271" s="10"/>
      <c r="BM271" s="109"/>
      <c r="BN271" s="109"/>
      <c r="BP271" s="10"/>
      <c r="BS271" s="109"/>
      <c r="BT271" s="109"/>
      <c r="BV271" s="10"/>
      <c r="BY271" s="109"/>
      <c r="BZ271" s="109"/>
      <c r="CB271" s="10"/>
      <c r="CE271" s="109"/>
      <c r="CF271" s="109"/>
      <c r="CH271" s="10"/>
      <c r="CK271" s="109"/>
      <c r="CL271" s="109"/>
    </row>
    <row r="272" spans="1:90">
      <c r="A272" s="7" t="str">
        <f t="shared" si="41"/>
        <v>00530717</v>
      </c>
      <c r="B272" s="7" t="s">
        <v>2392</v>
      </c>
      <c r="C272" s="7" t="s">
        <v>2730</v>
      </c>
      <c r="D272" s="7">
        <v>263</v>
      </c>
      <c r="E272" s="7">
        <v>53</v>
      </c>
      <c r="F272" s="7" t="s">
        <v>1759</v>
      </c>
      <c r="G272" s="7">
        <v>717</v>
      </c>
      <c r="H272" s="7" t="s">
        <v>1657</v>
      </c>
      <c r="I272" s="37">
        <v>818066</v>
      </c>
      <c r="J272" s="122">
        <v>0.48364910746624923</v>
      </c>
      <c r="K272" s="123">
        <f t="shared" si="40"/>
        <v>800175.18807938381</v>
      </c>
      <c r="L272" s="122">
        <f>IF(K274&gt;0, K272/K274, 0)</f>
        <v>0.45779148287450327</v>
      </c>
      <c r="M272" s="71"/>
      <c r="N272" s="10">
        <f>ROUND(M274*L272,0)</f>
        <v>405516</v>
      </c>
      <c r="O272" s="70">
        <v>431886</v>
      </c>
      <c r="P272" s="10">
        <f>N272-O272</f>
        <v>-26370</v>
      </c>
      <c r="Q272" s="46">
        <f>IF(O272&gt;0,P272*100/O272,IF(P272&gt;0,100,0))</f>
        <v>-6.1057779136160928</v>
      </c>
      <c r="R272" s="10">
        <v>78</v>
      </c>
      <c r="S272" s="7">
        <f t="shared" si="42"/>
        <v>0</v>
      </c>
      <c r="T272" s="124">
        <f t="shared" si="43"/>
        <v>53</v>
      </c>
      <c r="U272" s="124">
        <f t="shared" si="44"/>
        <v>717</v>
      </c>
      <c r="V272" s="124">
        <f t="shared" si="45"/>
        <v>263</v>
      </c>
      <c r="W272" s="124">
        <f t="shared" si="46"/>
        <v>75.966631907779998</v>
      </c>
      <c r="X272" s="124">
        <f t="shared" si="47"/>
        <v>800175.18807938381</v>
      </c>
      <c r="Y272" s="264">
        <f t="shared" si="48"/>
        <v>263</v>
      </c>
      <c r="Z272" s="10">
        <v>53</v>
      </c>
      <c r="AA272" s="7">
        <v>717</v>
      </c>
      <c r="AB272" s="7">
        <v>263</v>
      </c>
      <c r="AC272" s="109">
        <v>75.966631907779998</v>
      </c>
      <c r="AD272" s="109">
        <v>800175.18807938381</v>
      </c>
      <c r="AE272" s="125"/>
      <c r="AF272" s="10"/>
      <c r="AI272" s="109"/>
      <c r="AJ272" s="109"/>
      <c r="AL272" s="10"/>
      <c r="AO272" s="109"/>
      <c r="AP272" s="109"/>
      <c r="AR272" s="10"/>
      <c r="AU272" s="109"/>
      <c r="AV272" s="109"/>
      <c r="AX272" s="10"/>
      <c r="BA272" s="109"/>
      <c r="BB272" s="109"/>
      <c r="BD272" s="10"/>
      <c r="BG272" s="109"/>
      <c r="BH272" s="109"/>
      <c r="BJ272" s="10"/>
      <c r="BM272" s="109"/>
      <c r="BN272" s="109"/>
      <c r="BP272" s="10"/>
      <c r="BS272" s="109"/>
      <c r="BT272" s="109"/>
      <c r="BV272" s="10"/>
      <c r="BY272" s="109"/>
      <c r="BZ272" s="109"/>
      <c r="CB272" s="10"/>
      <c r="CE272" s="109"/>
      <c r="CF272" s="109"/>
      <c r="CH272" s="10"/>
      <c r="CK272" s="109"/>
      <c r="CL272" s="109"/>
    </row>
    <row r="273" spans="1:90">
      <c r="A273" s="7" t="str">
        <f t="shared" si="41"/>
        <v>00530998</v>
      </c>
      <c r="B273" s="7" t="s">
        <v>2392</v>
      </c>
      <c r="C273" s="7" t="s">
        <v>2781</v>
      </c>
      <c r="D273" s="7">
        <v>264</v>
      </c>
      <c r="E273" s="7">
        <v>53</v>
      </c>
      <c r="F273" s="7" t="s">
        <v>2135</v>
      </c>
      <c r="G273" s="7">
        <v>998</v>
      </c>
      <c r="H273" s="7" t="s">
        <v>2135</v>
      </c>
      <c r="I273" s="37">
        <v>0</v>
      </c>
      <c r="J273" s="122">
        <v>0</v>
      </c>
      <c r="K273" s="123">
        <f t="shared" si="40"/>
        <v>0</v>
      </c>
      <c r="L273" s="122">
        <f>IF(K274&gt;0, K273/K274, 0)</f>
        <v>0</v>
      </c>
      <c r="M273" s="71"/>
      <c r="N273" s="10">
        <f>ROUND(M274*L273,0)</f>
        <v>0</v>
      </c>
      <c r="O273" s="70">
        <v>0</v>
      </c>
      <c r="P273" s="10">
        <f>N273-O273</f>
        <v>0</v>
      </c>
      <c r="Q273" s="46">
        <f>IF(O273&gt;0,P273*100/O273,IF(P273&gt;0,100,0))</f>
        <v>0</v>
      </c>
      <c r="R273" s="10">
        <v>0</v>
      </c>
      <c r="S273" s="7">
        <f t="shared" si="42"/>
        <v>0</v>
      </c>
      <c r="T273" s="124">
        <f t="shared" si="43"/>
        <v>53</v>
      </c>
      <c r="U273" s="124">
        <f t="shared" si="44"/>
        <v>998</v>
      </c>
      <c r="V273" s="124">
        <f t="shared" si="45"/>
        <v>264</v>
      </c>
      <c r="W273" s="124">
        <f t="shared" si="46"/>
        <v>0</v>
      </c>
      <c r="X273" s="124">
        <f t="shared" si="47"/>
        <v>0</v>
      </c>
      <c r="Y273" s="264">
        <f t="shared" si="48"/>
        <v>264</v>
      </c>
      <c r="Z273" s="10">
        <v>53</v>
      </c>
      <c r="AA273" s="7">
        <v>998</v>
      </c>
      <c r="AB273" s="7">
        <v>264</v>
      </c>
      <c r="AC273" s="109">
        <v>0</v>
      </c>
      <c r="AD273" s="109">
        <v>0</v>
      </c>
      <c r="AE273" s="125"/>
      <c r="AF273" s="10"/>
      <c r="AI273" s="109"/>
      <c r="AJ273" s="109"/>
      <c r="AL273" s="10"/>
      <c r="AO273" s="109"/>
      <c r="AP273" s="109"/>
      <c r="AR273" s="10"/>
      <c r="AU273" s="109"/>
      <c r="AV273" s="109"/>
      <c r="AX273" s="10"/>
      <c r="BA273" s="109"/>
      <c r="BB273" s="109"/>
      <c r="BD273" s="10"/>
      <c r="BG273" s="109"/>
      <c r="BH273" s="109"/>
      <c r="BJ273" s="10"/>
      <c r="BM273" s="109"/>
      <c r="BN273" s="109"/>
      <c r="BP273" s="10"/>
      <c r="BS273" s="109"/>
      <c r="BT273" s="109"/>
      <c r="BV273" s="10"/>
      <c r="BY273" s="109"/>
      <c r="BZ273" s="109"/>
      <c r="CB273" s="10"/>
      <c r="CE273" s="109"/>
      <c r="CF273" s="109"/>
      <c r="CH273" s="10"/>
      <c r="CK273" s="109"/>
      <c r="CL273" s="109"/>
    </row>
    <row r="274" spans="1:90">
      <c r="A274" s="7" t="str">
        <f t="shared" si="41"/>
        <v>00530999</v>
      </c>
      <c r="B274" s="7" t="s">
        <v>2392</v>
      </c>
      <c r="C274" s="7" t="s">
        <v>2782</v>
      </c>
      <c r="D274" s="7">
        <v>265</v>
      </c>
      <c r="E274" s="11">
        <v>53</v>
      </c>
      <c r="F274" s="11" t="s">
        <v>1759</v>
      </c>
      <c r="G274" s="11">
        <v>999</v>
      </c>
      <c r="H274" s="11" t="s">
        <v>1132</v>
      </c>
      <c r="I274" s="105">
        <v>1691445.28</v>
      </c>
      <c r="J274" s="126">
        <v>1</v>
      </c>
      <c r="K274" s="127">
        <f>SUM(K270:K273)</f>
        <v>1747903.1786590489</v>
      </c>
      <c r="L274" s="126">
        <f>SUM(L270:L273)</f>
        <v>1</v>
      </c>
      <c r="M274" s="105">
        <f>VLOOKUP(E274,town351,22)</f>
        <v>885809</v>
      </c>
      <c r="N274" s="105">
        <f>SUM(N270:N273)</f>
        <v>885809</v>
      </c>
      <c r="O274" s="128">
        <v>892974</v>
      </c>
      <c r="P274" s="105">
        <f>SUM(P270:P273)</f>
        <v>-7165</v>
      </c>
      <c r="Q274" s="45">
        <f t="shared" ref="Q274:Q335" si="49">IF(O274&gt;0,P274*100/O274,IF(P274&gt;0,100,0))</f>
        <v>-0.80237498516194206</v>
      </c>
      <c r="R274" s="105">
        <v>157</v>
      </c>
      <c r="S274" s="7">
        <f t="shared" si="42"/>
        <v>0</v>
      </c>
      <c r="T274" s="124">
        <f t="shared" si="43"/>
        <v>53</v>
      </c>
      <c r="U274" s="124">
        <f t="shared" si="44"/>
        <v>999</v>
      </c>
      <c r="V274" s="124">
        <f t="shared" si="45"/>
        <v>265</v>
      </c>
      <c r="W274" s="124">
        <f t="shared" si="46"/>
        <v>153.75732958257998</v>
      </c>
      <c r="X274" s="124">
        <f t="shared" si="47"/>
        <v>1747903.1786590489</v>
      </c>
      <c r="Y274" s="264">
        <f t="shared" si="48"/>
        <v>265</v>
      </c>
      <c r="Z274" s="10">
        <v>53</v>
      </c>
      <c r="AA274" s="7">
        <v>999</v>
      </c>
      <c r="AB274" s="7">
        <v>265</v>
      </c>
      <c r="AC274" s="109">
        <v>153.75732958257998</v>
      </c>
      <c r="AD274" s="109">
        <v>1747903.1786590489</v>
      </c>
      <c r="AE274" s="125"/>
      <c r="AF274" s="10"/>
      <c r="AI274" s="109"/>
      <c r="AJ274" s="109"/>
      <c r="AL274" s="10"/>
      <c r="AO274" s="109"/>
      <c r="AP274" s="109"/>
      <c r="AR274" s="10"/>
      <c r="AU274" s="109"/>
      <c r="AV274" s="109"/>
      <c r="AX274" s="10"/>
      <c r="BA274" s="109"/>
      <c r="BB274" s="109"/>
      <c r="BD274" s="10"/>
      <c r="BG274" s="109"/>
      <c r="BH274" s="109"/>
      <c r="BJ274" s="10"/>
      <c r="BM274" s="109"/>
      <c r="BN274" s="109"/>
      <c r="BP274" s="10"/>
      <c r="BS274" s="109"/>
      <c r="BT274" s="109"/>
      <c r="BV274" s="10"/>
      <c r="BY274" s="109"/>
      <c r="BZ274" s="109"/>
      <c r="CB274" s="10"/>
      <c r="CE274" s="109"/>
      <c r="CF274" s="109"/>
      <c r="CH274" s="10"/>
      <c r="CK274" s="109"/>
      <c r="CL274" s="109"/>
    </row>
    <row r="275" spans="1:90">
      <c r="A275" s="7" t="str">
        <f t="shared" si="41"/>
        <v>00540054</v>
      </c>
      <c r="B275" s="7" t="s">
        <v>2393</v>
      </c>
      <c r="C275" s="7" t="s">
        <v>2393</v>
      </c>
      <c r="D275" s="7">
        <v>266</v>
      </c>
      <c r="E275" s="7">
        <v>54</v>
      </c>
      <c r="F275" s="7" t="s">
        <v>1760</v>
      </c>
      <c r="G275" s="7">
        <v>54</v>
      </c>
      <c r="H275" s="7" t="s">
        <v>1320</v>
      </c>
      <c r="I275" s="37">
        <v>26341.840000000004</v>
      </c>
      <c r="J275" s="122">
        <v>1.1609708081526777E-3</v>
      </c>
      <c r="K275" s="123">
        <f t="shared" ref="K275:K338" si="50">X275</f>
        <v>40250.500030768642</v>
      </c>
      <c r="L275" s="122">
        <f>IF(K279&gt;0, K275/K279, 0)</f>
        <v>1.7837200119723243E-3</v>
      </c>
      <c r="M275" s="71"/>
      <c r="N275" s="10">
        <f>ROUND(M279*L275,0)</f>
        <v>20853</v>
      </c>
      <c r="O275" s="70">
        <v>13326</v>
      </c>
      <c r="P275" s="10">
        <f>N275-O275</f>
        <v>7527</v>
      </c>
      <c r="Q275" s="46">
        <f t="shared" si="49"/>
        <v>56.4835659612787</v>
      </c>
      <c r="R275" s="10">
        <v>2</v>
      </c>
      <c r="S275" s="7">
        <f t="shared" si="42"/>
        <v>0</v>
      </c>
      <c r="T275" s="124">
        <f t="shared" si="43"/>
        <v>54</v>
      </c>
      <c r="U275" s="124">
        <f t="shared" si="44"/>
        <v>54</v>
      </c>
      <c r="V275" s="124">
        <f t="shared" si="45"/>
        <v>266</v>
      </c>
      <c r="W275" s="124">
        <f t="shared" si="46"/>
        <v>3</v>
      </c>
      <c r="X275" s="124">
        <f t="shared" si="47"/>
        <v>40250.500030768642</v>
      </c>
      <c r="Y275" s="264">
        <f t="shared" si="48"/>
        <v>266</v>
      </c>
      <c r="Z275" s="10">
        <v>54</v>
      </c>
      <c r="AA275" s="7">
        <v>54</v>
      </c>
      <c r="AB275" s="7">
        <v>266</v>
      </c>
      <c r="AC275" s="109">
        <v>3</v>
      </c>
      <c r="AD275" s="109">
        <v>40250.500030768642</v>
      </c>
      <c r="AE275" s="125"/>
      <c r="AF275" s="10"/>
      <c r="AI275" s="109"/>
      <c r="AJ275" s="109"/>
      <c r="AL275" s="10"/>
      <c r="AO275" s="109"/>
      <c r="AP275" s="109"/>
      <c r="AR275" s="10"/>
      <c r="AU275" s="109"/>
      <c r="AV275" s="109"/>
      <c r="AX275" s="10"/>
      <c r="BA275" s="109"/>
      <c r="BB275" s="109"/>
      <c r="BD275" s="10"/>
      <c r="BG275" s="109"/>
      <c r="BH275" s="109"/>
      <c r="BJ275" s="10"/>
      <c r="BM275" s="109"/>
      <c r="BN275" s="109"/>
      <c r="BP275" s="10"/>
      <c r="BS275" s="109"/>
      <c r="BT275" s="109"/>
      <c r="BV275" s="10"/>
      <c r="BY275" s="109"/>
      <c r="BZ275" s="109"/>
      <c r="CB275" s="10"/>
      <c r="CE275" s="109"/>
      <c r="CF275" s="109"/>
      <c r="CH275" s="10"/>
      <c r="CK275" s="109"/>
      <c r="CL275" s="109"/>
    </row>
    <row r="276" spans="1:90">
      <c r="A276" s="7" t="str">
        <f t="shared" si="41"/>
        <v>00540658</v>
      </c>
      <c r="B276" s="7" t="s">
        <v>2393</v>
      </c>
      <c r="C276" s="7" t="s">
        <v>2710</v>
      </c>
      <c r="D276" s="7">
        <v>267</v>
      </c>
      <c r="E276" s="7">
        <v>54</v>
      </c>
      <c r="F276" s="7" t="s">
        <v>1760</v>
      </c>
      <c r="G276" s="7">
        <v>658</v>
      </c>
      <c r="H276" s="7" t="s">
        <v>1637</v>
      </c>
      <c r="I276" s="37">
        <v>19872221</v>
      </c>
      <c r="J276" s="122">
        <v>0.87583359682385931</v>
      </c>
      <c r="K276" s="123">
        <f t="shared" si="50"/>
        <v>19832734.185498331</v>
      </c>
      <c r="L276" s="122">
        <f>IF(K279&gt;0, K276/K279, 0)</f>
        <v>0.87889702815514192</v>
      </c>
      <c r="M276" s="71"/>
      <c r="N276" s="10">
        <f>ROUND(M279*L276,0)</f>
        <v>10274927</v>
      </c>
      <c r="O276" s="70">
        <v>10053024</v>
      </c>
      <c r="P276" s="10">
        <f>N276-O276</f>
        <v>221903</v>
      </c>
      <c r="Q276" s="46">
        <f t="shared" si="49"/>
        <v>2.2073258752789209</v>
      </c>
      <c r="R276" s="10">
        <v>2047</v>
      </c>
      <c r="S276" s="7">
        <f t="shared" si="42"/>
        <v>0</v>
      </c>
      <c r="T276" s="124">
        <f t="shared" si="43"/>
        <v>54</v>
      </c>
      <c r="U276" s="124">
        <f t="shared" si="44"/>
        <v>658</v>
      </c>
      <c r="V276" s="124">
        <f t="shared" si="45"/>
        <v>267</v>
      </c>
      <c r="W276" s="124">
        <f t="shared" si="46"/>
        <v>1999.01020674598</v>
      </c>
      <c r="X276" s="124">
        <f t="shared" si="47"/>
        <v>19832734.185498331</v>
      </c>
      <c r="Y276" s="264">
        <f t="shared" si="48"/>
        <v>267</v>
      </c>
      <c r="Z276" s="10">
        <v>54</v>
      </c>
      <c r="AA276" s="7">
        <v>658</v>
      </c>
      <c r="AB276" s="7">
        <v>267</v>
      </c>
      <c r="AC276" s="109">
        <v>1999.01020674598</v>
      </c>
      <c r="AD276" s="109">
        <v>19832734.185498331</v>
      </c>
      <c r="AE276" s="125"/>
      <c r="AF276" s="10"/>
      <c r="AI276" s="109"/>
      <c r="AJ276" s="109"/>
      <c r="AL276" s="10"/>
      <c r="AO276" s="109"/>
      <c r="AP276" s="109"/>
      <c r="AR276" s="10"/>
      <c r="AU276" s="109"/>
      <c r="AV276" s="109"/>
      <c r="AX276" s="10"/>
      <c r="BA276" s="109"/>
      <c r="BB276" s="109"/>
      <c r="BD276" s="10"/>
      <c r="BG276" s="109"/>
      <c r="BH276" s="109"/>
      <c r="BJ276" s="10"/>
      <c r="BM276" s="109"/>
      <c r="BN276" s="109"/>
      <c r="BP276" s="10"/>
      <c r="BS276" s="109"/>
      <c r="BT276" s="109"/>
      <c r="BV276" s="10"/>
      <c r="BY276" s="109"/>
      <c r="BZ276" s="109"/>
      <c r="CB276" s="10"/>
      <c r="CE276" s="109"/>
      <c r="CF276" s="109"/>
      <c r="CH276" s="10"/>
      <c r="CK276" s="109"/>
      <c r="CL276" s="109"/>
    </row>
    <row r="277" spans="1:90">
      <c r="A277" s="7" t="str">
        <f t="shared" si="41"/>
        <v>00540876</v>
      </c>
      <c r="B277" s="7" t="s">
        <v>2393</v>
      </c>
      <c r="C277" s="7" t="s">
        <v>2774</v>
      </c>
      <c r="D277" s="7">
        <v>268</v>
      </c>
      <c r="E277" s="7">
        <v>54</v>
      </c>
      <c r="F277" s="7" t="s">
        <v>1760</v>
      </c>
      <c r="G277" s="7">
        <v>876</v>
      </c>
      <c r="H277" s="7" t="s">
        <v>1701</v>
      </c>
      <c r="I277" s="37">
        <v>2790931</v>
      </c>
      <c r="J277" s="122">
        <v>0.12300543236798799</v>
      </c>
      <c r="K277" s="123">
        <f t="shared" si="50"/>
        <v>2692496.3095863843</v>
      </c>
      <c r="L277" s="122">
        <f>IF(K279&gt;0, K277/K279, 0)</f>
        <v>0.11931925183288587</v>
      </c>
      <c r="M277" s="71"/>
      <c r="N277" s="10">
        <f>ROUND(M279*L277,0)</f>
        <v>1394926</v>
      </c>
      <c r="O277" s="70">
        <v>1411885</v>
      </c>
      <c r="P277" s="10">
        <f>N277-O277</f>
        <v>-16959</v>
      </c>
      <c r="Q277" s="46">
        <f t="shared" si="49"/>
        <v>-1.2011601511454544</v>
      </c>
      <c r="R277" s="10">
        <v>179</v>
      </c>
      <c r="S277" s="7">
        <f t="shared" si="42"/>
        <v>0</v>
      </c>
      <c r="T277" s="124">
        <f t="shared" si="43"/>
        <v>54</v>
      </c>
      <c r="U277" s="124">
        <f t="shared" si="44"/>
        <v>876</v>
      </c>
      <c r="V277" s="124">
        <f t="shared" si="45"/>
        <v>268</v>
      </c>
      <c r="W277" s="124">
        <f t="shared" si="46"/>
        <v>169.99999999940002</v>
      </c>
      <c r="X277" s="124">
        <f t="shared" si="47"/>
        <v>2692496.3095863843</v>
      </c>
      <c r="Y277" s="264">
        <f t="shared" si="48"/>
        <v>268</v>
      </c>
      <c r="Z277" s="10">
        <v>54</v>
      </c>
      <c r="AA277" s="7">
        <v>876</v>
      </c>
      <c r="AB277" s="7">
        <v>268</v>
      </c>
      <c r="AC277" s="109">
        <v>169.99999999940002</v>
      </c>
      <c r="AD277" s="109">
        <v>2692496.3095863843</v>
      </c>
      <c r="AE277" s="125"/>
      <c r="AF277" s="10"/>
      <c r="AI277" s="109"/>
      <c r="AJ277" s="109"/>
      <c r="AL277" s="10"/>
      <c r="AO277" s="109"/>
      <c r="AP277" s="109"/>
      <c r="AR277" s="10"/>
      <c r="AU277" s="109"/>
      <c r="AV277" s="109"/>
      <c r="AX277" s="10"/>
      <c r="BA277" s="109"/>
      <c r="BB277" s="109"/>
      <c r="BD277" s="10"/>
      <c r="BG277" s="109"/>
      <c r="BH277" s="109"/>
      <c r="BJ277" s="10"/>
      <c r="BM277" s="109"/>
      <c r="BN277" s="109"/>
      <c r="BP277" s="10"/>
      <c r="BS277" s="109"/>
      <c r="BT277" s="109"/>
      <c r="BV277" s="10"/>
      <c r="BY277" s="109"/>
      <c r="BZ277" s="109"/>
      <c r="CB277" s="10"/>
      <c r="CE277" s="109"/>
      <c r="CF277" s="109"/>
      <c r="CH277" s="10"/>
      <c r="CK277" s="109"/>
      <c r="CL277" s="109"/>
    </row>
    <row r="278" spans="1:90">
      <c r="A278" s="7" t="str">
        <f t="shared" si="41"/>
        <v>00540998</v>
      </c>
      <c r="B278" s="7" t="s">
        <v>2393</v>
      </c>
      <c r="C278" s="7" t="s">
        <v>2781</v>
      </c>
      <c r="D278" s="7">
        <v>269</v>
      </c>
      <c r="E278" s="7">
        <v>54</v>
      </c>
      <c r="F278" s="7" t="s">
        <v>2135</v>
      </c>
      <c r="G278" s="7">
        <v>998</v>
      </c>
      <c r="H278" s="7" t="s">
        <v>2135</v>
      </c>
      <c r="I278" s="37">
        <v>0</v>
      </c>
      <c r="J278" s="122">
        <v>0</v>
      </c>
      <c r="K278" s="123">
        <f t="shared" si="50"/>
        <v>0</v>
      </c>
      <c r="L278" s="122">
        <f>IF(K279&gt;0, K278/K279, 0)</f>
        <v>0</v>
      </c>
      <c r="M278" s="71"/>
      <c r="N278" s="10">
        <f>ROUND(M279*L278,0)</f>
        <v>0</v>
      </c>
      <c r="O278" s="70">
        <v>0</v>
      </c>
      <c r="P278" s="10">
        <f>N278-O278</f>
        <v>0</v>
      </c>
      <c r="Q278" s="46">
        <f t="shared" si="49"/>
        <v>0</v>
      </c>
      <c r="R278" s="10">
        <v>0</v>
      </c>
      <c r="S278" s="7">
        <f t="shared" si="42"/>
        <v>0</v>
      </c>
      <c r="T278" s="124">
        <f t="shared" si="43"/>
        <v>54</v>
      </c>
      <c r="U278" s="124">
        <f t="shared" si="44"/>
        <v>998</v>
      </c>
      <c r="V278" s="124">
        <f t="shared" si="45"/>
        <v>269</v>
      </c>
      <c r="W278" s="124">
        <f t="shared" si="46"/>
        <v>0</v>
      </c>
      <c r="X278" s="124">
        <f t="shared" si="47"/>
        <v>0</v>
      </c>
      <c r="Y278" s="264">
        <f t="shared" si="48"/>
        <v>269</v>
      </c>
      <c r="Z278" s="10">
        <v>54</v>
      </c>
      <c r="AA278" s="7">
        <v>998</v>
      </c>
      <c r="AB278" s="7">
        <v>269</v>
      </c>
      <c r="AC278" s="109">
        <v>0</v>
      </c>
      <c r="AD278" s="109">
        <v>0</v>
      </c>
      <c r="AE278" s="125"/>
      <c r="AF278" s="10"/>
      <c r="AI278" s="109"/>
      <c r="AJ278" s="109"/>
      <c r="AL278" s="10"/>
      <c r="AO278" s="109"/>
      <c r="AP278" s="109"/>
      <c r="AR278" s="10"/>
      <c r="AU278" s="109"/>
      <c r="AV278" s="109"/>
      <c r="AX278" s="10"/>
      <c r="BA278" s="109"/>
      <c r="BB278" s="109"/>
      <c r="BD278" s="10"/>
      <c r="BG278" s="109"/>
      <c r="BH278" s="109"/>
      <c r="BJ278" s="10"/>
      <c r="BM278" s="109"/>
      <c r="BN278" s="109"/>
      <c r="BP278" s="10"/>
      <c r="BS278" s="109"/>
      <c r="BT278" s="109"/>
      <c r="BV278" s="10"/>
      <c r="BY278" s="109"/>
      <c r="BZ278" s="109"/>
      <c r="CB278" s="10"/>
      <c r="CE278" s="109"/>
      <c r="CF278" s="109"/>
      <c r="CH278" s="10"/>
      <c r="CK278" s="109"/>
      <c r="CL278" s="109"/>
    </row>
    <row r="279" spans="1:90">
      <c r="A279" s="7" t="str">
        <f t="shared" si="41"/>
        <v>00540999</v>
      </c>
      <c r="B279" s="7" t="s">
        <v>2393</v>
      </c>
      <c r="C279" s="7" t="s">
        <v>2782</v>
      </c>
      <c r="D279" s="7">
        <v>270</v>
      </c>
      <c r="E279" s="11">
        <v>54</v>
      </c>
      <c r="F279" s="11" t="s">
        <v>1760</v>
      </c>
      <c r="G279" s="11">
        <v>999</v>
      </c>
      <c r="H279" s="11" t="s">
        <v>1132</v>
      </c>
      <c r="I279" s="105">
        <v>22689493.84</v>
      </c>
      <c r="J279" s="126">
        <v>1</v>
      </c>
      <c r="K279" s="127">
        <f>SUM(K275:K278)</f>
        <v>22565480.995115481</v>
      </c>
      <c r="L279" s="126">
        <f>SUM(L275:L278)</f>
        <v>1.0000000000000002</v>
      </c>
      <c r="M279" s="105">
        <f>VLOOKUP(E279,town351,22)</f>
        <v>11690706</v>
      </c>
      <c r="N279" s="105">
        <f>SUM(N275:N278)</f>
        <v>11690706</v>
      </c>
      <c r="O279" s="128">
        <v>11478235</v>
      </c>
      <c r="P279" s="105">
        <f>SUM(P275:P278)</f>
        <v>212471</v>
      </c>
      <c r="Q279" s="45">
        <f t="shared" si="49"/>
        <v>1.851077277996138</v>
      </c>
      <c r="R279" s="105">
        <v>2228</v>
      </c>
      <c r="S279" s="7">
        <f t="shared" si="42"/>
        <v>0</v>
      </c>
      <c r="T279" s="124">
        <f t="shared" si="43"/>
        <v>54</v>
      </c>
      <c r="U279" s="124">
        <f t="shared" si="44"/>
        <v>999</v>
      </c>
      <c r="V279" s="124">
        <f t="shared" si="45"/>
        <v>270</v>
      </c>
      <c r="W279" s="124">
        <f t="shared" si="46"/>
        <v>2172.0102067453799</v>
      </c>
      <c r="X279" s="124">
        <f t="shared" si="47"/>
        <v>22565480.995115481</v>
      </c>
      <c r="Y279" s="264">
        <f t="shared" si="48"/>
        <v>270</v>
      </c>
      <c r="Z279" s="10">
        <v>54</v>
      </c>
      <c r="AA279" s="7">
        <v>999</v>
      </c>
      <c r="AB279" s="7">
        <v>270</v>
      </c>
      <c r="AC279" s="109">
        <v>2172.0102067453799</v>
      </c>
      <c r="AD279" s="109">
        <v>22565480.995115481</v>
      </c>
      <c r="AE279" s="125"/>
      <c r="AF279" s="10"/>
      <c r="AI279" s="109"/>
      <c r="AJ279" s="109"/>
      <c r="AL279" s="10"/>
      <c r="AO279" s="109"/>
      <c r="AP279" s="109"/>
      <c r="AR279" s="10"/>
      <c r="AU279" s="109"/>
      <c r="AV279" s="109"/>
      <c r="AX279" s="10"/>
      <c r="BA279" s="109"/>
      <c r="BB279" s="109"/>
      <c r="BD279" s="10"/>
      <c r="BG279" s="109"/>
      <c r="BH279" s="109"/>
      <c r="BJ279" s="10"/>
      <c r="BM279" s="109"/>
      <c r="BN279" s="109"/>
      <c r="BP279" s="10"/>
      <c r="BS279" s="109"/>
      <c r="BT279" s="109"/>
      <c r="BV279" s="10"/>
      <c r="BY279" s="109"/>
      <c r="BZ279" s="109"/>
      <c r="CB279" s="10"/>
      <c r="CE279" s="109"/>
      <c r="CF279" s="109"/>
      <c r="CH279" s="10"/>
      <c r="CK279" s="109"/>
      <c r="CL279" s="109"/>
    </row>
    <row r="280" spans="1:90">
      <c r="A280" s="7" t="str">
        <f t="shared" si="41"/>
        <v>00550055</v>
      </c>
      <c r="B280" s="7" t="s">
        <v>2394</v>
      </c>
      <c r="C280" s="7" t="s">
        <v>2394</v>
      </c>
      <c r="D280" s="7">
        <v>271</v>
      </c>
      <c r="E280" s="7">
        <v>55</v>
      </c>
      <c r="F280" s="7" t="s">
        <v>1761</v>
      </c>
      <c r="G280" s="7">
        <v>55</v>
      </c>
      <c r="H280" s="7" t="s">
        <v>1321</v>
      </c>
      <c r="I280" s="37">
        <v>0</v>
      </c>
      <c r="J280" s="122">
        <v>0</v>
      </c>
      <c r="K280" s="123">
        <f>X280</f>
        <v>0</v>
      </c>
      <c r="L280" s="122">
        <f>IF(K284&gt;0, K280/K284, 0)</f>
        <v>0</v>
      </c>
      <c r="M280" s="71"/>
      <c r="N280" s="10">
        <f>ROUND(M284*L280,0)</f>
        <v>0</v>
      </c>
      <c r="O280" s="70">
        <v>0</v>
      </c>
      <c r="P280" s="10">
        <f>N280-O280</f>
        <v>0</v>
      </c>
      <c r="Q280" s="46">
        <f t="shared" si="49"/>
        <v>0</v>
      </c>
      <c r="R280" s="10">
        <v>0</v>
      </c>
      <c r="S280" s="7">
        <f t="shared" si="42"/>
        <v>0</v>
      </c>
      <c r="T280" s="124">
        <f t="shared" si="43"/>
        <v>55</v>
      </c>
      <c r="U280" s="124">
        <f t="shared" si="44"/>
        <v>55</v>
      </c>
      <c r="V280" s="124">
        <f t="shared" si="45"/>
        <v>271</v>
      </c>
      <c r="W280" s="124">
        <f t="shared" si="46"/>
        <v>0</v>
      </c>
      <c r="X280" s="124">
        <f t="shared" si="47"/>
        <v>0</v>
      </c>
      <c r="Y280" s="264">
        <f t="shared" si="48"/>
        <v>271</v>
      </c>
      <c r="Z280" s="10">
        <v>55</v>
      </c>
      <c r="AA280" s="7">
        <v>55</v>
      </c>
      <c r="AB280" s="7">
        <v>271</v>
      </c>
      <c r="AC280" s="109">
        <v>0</v>
      </c>
      <c r="AD280" s="109">
        <v>0</v>
      </c>
      <c r="AE280" s="125"/>
      <c r="AF280" s="10"/>
      <c r="AI280" s="109"/>
      <c r="AJ280" s="109"/>
      <c r="AL280" s="10"/>
      <c r="AO280" s="109"/>
      <c r="AP280" s="109"/>
      <c r="AR280" s="10"/>
      <c r="AU280" s="109"/>
      <c r="AV280" s="109"/>
      <c r="AX280" s="10"/>
      <c r="BA280" s="109"/>
      <c r="BB280" s="109"/>
      <c r="BD280" s="10"/>
      <c r="BG280" s="109"/>
      <c r="BH280" s="109"/>
      <c r="BJ280" s="10"/>
      <c r="BM280" s="109"/>
      <c r="BN280" s="109"/>
      <c r="BP280" s="10"/>
      <c r="BS280" s="109"/>
      <c r="BT280" s="109"/>
      <c r="BV280" s="10"/>
      <c r="BY280" s="109"/>
      <c r="BZ280" s="109"/>
      <c r="CB280" s="10"/>
      <c r="CE280" s="109"/>
      <c r="CF280" s="109"/>
      <c r="CH280" s="10"/>
      <c r="CK280" s="109"/>
      <c r="CL280" s="109"/>
    </row>
    <row r="281" spans="1:90">
      <c r="A281" s="7" t="str">
        <f t="shared" si="41"/>
        <v>00550712</v>
      </c>
      <c r="B281" s="7" t="s">
        <v>2394</v>
      </c>
      <c r="C281" s="7" t="s">
        <v>2728</v>
      </c>
      <c r="D281" s="7">
        <v>272</v>
      </c>
      <c r="E281" s="7">
        <v>55</v>
      </c>
      <c r="F281" s="7" t="s">
        <v>1761</v>
      </c>
      <c r="G281" s="7">
        <v>712</v>
      </c>
      <c r="H281" s="7" t="s">
        <v>1655</v>
      </c>
      <c r="I281" s="37">
        <v>5180710</v>
      </c>
      <c r="J281" s="122">
        <v>0.96721136104767125</v>
      </c>
      <c r="K281" s="123">
        <f t="shared" si="50"/>
        <v>5100445.1617456907</v>
      </c>
      <c r="L281" s="122">
        <f>IF(K284&gt;0, K281/K284, 0)</f>
        <v>0.96884946258420046</v>
      </c>
      <c r="M281" s="71"/>
      <c r="N281" s="10">
        <f>ROUND(M284*L281,0)</f>
        <v>4251756</v>
      </c>
      <c r="O281" s="70">
        <v>4294036</v>
      </c>
      <c r="P281" s="10">
        <f>N281-O281</f>
        <v>-42280</v>
      </c>
      <c r="Q281" s="46">
        <f t="shared" si="49"/>
        <v>-0.98462146102175208</v>
      </c>
      <c r="R281" s="10">
        <v>511</v>
      </c>
      <c r="S281" s="7">
        <f t="shared" si="42"/>
        <v>0</v>
      </c>
      <c r="T281" s="124">
        <f t="shared" si="43"/>
        <v>55</v>
      </c>
      <c r="U281" s="124">
        <f t="shared" si="44"/>
        <v>712</v>
      </c>
      <c r="V281" s="124">
        <f t="shared" si="45"/>
        <v>272</v>
      </c>
      <c r="W281" s="124">
        <f t="shared" si="46"/>
        <v>493.82597125962997</v>
      </c>
      <c r="X281" s="124">
        <f t="shared" si="47"/>
        <v>5100445.1617456907</v>
      </c>
      <c r="Y281" s="264">
        <f t="shared" si="48"/>
        <v>272</v>
      </c>
      <c r="Z281" s="10">
        <v>55</v>
      </c>
      <c r="AA281" s="7">
        <v>712</v>
      </c>
      <c r="AB281" s="7">
        <v>272</v>
      </c>
      <c r="AC281" s="109">
        <v>493.82597125962997</v>
      </c>
      <c r="AD281" s="109">
        <v>5100445.1617456907</v>
      </c>
      <c r="AE281" s="125"/>
      <c r="AF281" s="10"/>
      <c r="AI281" s="109"/>
      <c r="AJ281" s="109"/>
      <c r="AL281" s="10"/>
      <c r="AO281" s="109"/>
      <c r="AP281" s="109"/>
      <c r="AR281" s="10"/>
      <c r="AU281" s="109"/>
      <c r="AV281" s="109"/>
      <c r="AX281" s="10"/>
      <c r="BA281" s="109"/>
      <c r="BB281" s="109"/>
      <c r="BD281" s="10"/>
      <c r="BG281" s="109"/>
      <c r="BH281" s="109"/>
      <c r="BJ281" s="10"/>
      <c r="BM281" s="109"/>
      <c r="BN281" s="109"/>
      <c r="BP281" s="10"/>
      <c r="BS281" s="109"/>
      <c r="BT281" s="109"/>
      <c r="BV281" s="10"/>
      <c r="BY281" s="109"/>
      <c r="BZ281" s="109"/>
      <c r="CB281" s="10"/>
      <c r="CE281" s="109"/>
      <c r="CF281" s="109"/>
      <c r="CH281" s="10"/>
      <c r="CK281" s="109"/>
      <c r="CL281" s="109"/>
    </row>
    <row r="282" spans="1:90">
      <c r="A282" s="7" t="str">
        <f t="shared" si="41"/>
        <v>00550815</v>
      </c>
      <c r="B282" s="7" t="s">
        <v>2394</v>
      </c>
      <c r="C282" s="7" t="s">
        <v>2756</v>
      </c>
      <c r="D282" s="7">
        <v>273</v>
      </c>
      <c r="E282" s="7">
        <v>55</v>
      </c>
      <c r="F282" s="7" t="s">
        <v>1761</v>
      </c>
      <c r="G282" s="7">
        <v>815</v>
      </c>
      <c r="H282" s="7" t="s">
        <v>1683</v>
      </c>
      <c r="I282" s="37">
        <v>175627</v>
      </c>
      <c r="J282" s="122">
        <v>3.2788638952328801E-2</v>
      </c>
      <c r="K282" s="123">
        <f t="shared" si="50"/>
        <v>163989.98397997799</v>
      </c>
      <c r="L282" s="122">
        <f>IF(K284&gt;0, K282/K284, 0)</f>
        <v>3.1150537415799626E-2</v>
      </c>
      <c r="M282" s="71"/>
      <c r="N282" s="10">
        <f>ROUND(M284*L282,0)</f>
        <v>136703</v>
      </c>
      <c r="O282" s="70">
        <v>145569</v>
      </c>
      <c r="P282" s="10">
        <f>N282-O282</f>
        <v>-8866</v>
      </c>
      <c r="Q282" s="46">
        <f t="shared" si="49"/>
        <v>-6.0905824729166236</v>
      </c>
      <c r="R282" s="10">
        <v>11</v>
      </c>
      <c r="S282" s="7">
        <f t="shared" si="42"/>
        <v>0</v>
      </c>
      <c r="T282" s="124">
        <f t="shared" si="43"/>
        <v>55</v>
      </c>
      <c r="U282" s="124">
        <f t="shared" si="44"/>
        <v>815</v>
      </c>
      <c r="V282" s="124">
        <f t="shared" si="45"/>
        <v>273</v>
      </c>
      <c r="W282" s="124">
        <f t="shared" si="46"/>
        <v>10.000000002510001</v>
      </c>
      <c r="X282" s="124">
        <f t="shared" si="47"/>
        <v>163989.98397997799</v>
      </c>
      <c r="Y282" s="264">
        <f t="shared" si="48"/>
        <v>273</v>
      </c>
      <c r="Z282" s="10">
        <v>55</v>
      </c>
      <c r="AA282" s="7">
        <v>815</v>
      </c>
      <c r="AB282" s="7">
        <v>273</v>
      </c>
      <c r="AC282" s="109">
        <v>10.000000002510001</v>
      </c>
      <c r="AD282" s="109">
        <v>163989.98397997799</v>
      </c>
      <c r="AE282" s="125"/>
      <c r="AF282" s="10"/>
      <c r="AI282" s="109"/>
      <c r="AJ282" s="109"/>
      <c r="AL282" s="10"/>
      <c r="AO282" s="109"/>
      <c r="AP282" s="109"/>
      <c r="AR282" s="10"/>
      <c r="AU282" s="109"/>
      <c r="AV282" s="109"/>
      <c r="AX282" s="10"/>
      <c r="BA282" s="109"/>
      <c r="BB282" s="109"/>
      <c r="BD282" s="10"/>
      <c r="BG282" s="109"/>
      <c r="BH282" s="109"/>
      <c r="BJ282" s="10"/>
      <c r="BM282" s="109"/>
      <c r="BN282" s="109"/>
      <c r="BP282" s="10"/>
      <c r="BS282" s="109"/>
      <c r="BT282" s="109"/>
      <c r="BV282" s="10"/>
      <c r="BY282" s="109"/>
      <c r="BZ282" s="109"/>
      <c r="CB282" s="10"/>
      <c r="CE282" s="109"/>
      <c r="CF282" s="109"/>
      <c r="CH282" s="10"/>
      <c r="CK282" s="109"/>
      <c r="CL282" s="109"/>
    </row>
    <row r="283" spans="1:90">
      <c r="A283" s="7" t="str">
        <f t="shared" si="41"/>
        <v>00550998</v>
      </c>
      <c r="B283" s="7" t="s">
        <v>2394</v>
      </c>
      <c r="C283" s="7" t="s">
        <v>2781</v>
      </c>
      <c r="D283" s="7">
        <v>274</v>
      </c>
      <c r="E283" s="7">
        <v>55</v>
      </c>
      <c r="F283" s="7" t="s">
        <v>2135</v>
      </c>
      <c r="G283" s="7">
        <v>998</v>
      </c>
      <c r="H283" s="7" t="s">
        <v>2135</v>
      </c>
      <c r="I283" s="37">
        <v>0</v>
      </c>
      <c r="J283" s="122">
        <v>0</v>
      </c>
      <c r="K283" s="123">
        <f t="shared" si="50"/>
        <v>0</v>
      </c>
      <c r="L283" s="122">
        <f>IF(K284&gt;0, K283/K284, 0)</f>
        <v>0</v>
      </c>
      <c r="M283" s="71"/>
      <c r="N283" s="10">
        <f>ROUND(M284*L283,0)</f>
        <v>0</v>
      </c>
      <c r="O283" s="70">
        <v>0</v>
      </c>
      <c r="P283" s="10">
        <f>N283-O283</f>
        <v>0</v>
      </c>
      <c r="Q283" s="46">
        <f t="shared" si="49"/>
        <v>0</v>
      </c>
      <c r="R283" s="10">
        <v>0</v>
      </c>
      <c r="S283" s="7">
        <f t="shared" si="42"/>
        <v>0</v>
      </c>
      <c r="T283" s="124">
        <f t="shared" si="43"/>
        <v>55</v>
      </c>
      <c r="U283" s="124">
        <f t="shared" si="44"/>
        <v>998</v>
      </c>
      <c r="V283" s="124">
        <f t="shared" si="45"/>
        <v>274</v>
      </c>
      <c r="W283" s="124">
        <f t="shared" si="46"/>
        <v>0</v>
      </c>
      <c r="X283" s="124">
        <f t="shared" si="47"/>
        <v>0</v>
      </c>
      <c r="Y283" s="264">
        <f t="shared" si="48"/>
        <v>274</v>
      </c>
      <c r="Z283" s="10">
        <v>55</v>
      </c>
      <c r="AA283" s="7">
        <v>998</v>
      </c>
      <c r="AB283" s="7">
        <v>274</v>
      </c>
      <c r="AC283" s="109">
        <v>0</v>
      </c>
      <c r="AD283" s="109">
        <v>0</v>
      </c>
      <c r="AE283" s="125"/>
      <c r="AF283" s="10"/>
      <c r="AI283" s="109"/>
      <c r="AJ283" s="109"/>
      <c r="AL283" s="10"/>
      <c r="AO283" s="109"/>
      <c r="AP283" s="109"/>
      <c r="AR283" s="10"/>
      <c r="AU283" s="109"/>
      <c r="AV283" s="109"/>
      <c r="AX283" s="10"/>
      <c r="BA283" s="109"/>
      <c r="BB283" s="109"/>
      <c r="BD283" s="10"/>
      <c r="BG283" s="109"/>
      <c r="BH283" s="109"/>
      <c r="BJ283" s="10"/>
      <c r="BM283" s="109"/>
      <c r="BN283" s="109"/>
      <c r="BP283" s="10"/>
      <c r="BS283" s="109"/>
      <c r="BT283" s="109"/>
      <c r="BV283" s="10"/>
      <c r="BY283" s="109"/>
      <c r="BZ283" s="109"/>
      <c r="CB283" s="10"/>
      <c r="CE283" s="109"/>
      <c r="CF283" s="109"/>
      <c r="CH283" s="10"/>
      <c r="CK283" s="109"/>
      <c r="CL283" s="109"/>
    </row>
    <row r="284" spans="1:90">
      <c r="A284" s="7" t="str">
        <f t="shared" si="41"/>
        <v>00550999</v>
      </c>
      <c r="B284" s="7" t="s">
        <v>2394</v>
      </c>
      <c r="C284" s="7" t="s">
        <v>2782</v>
      </c>
      <c r="D284" s="7">
        <v>275</v>
      </c>
      <c r="E284" s="11">
        <v>55</v>
      </c>
      <c r="F284" s="11" t="s">
        <v>1761</v>
      </c>
      <c r="G284" s="11">
        <v>999</v>
      </c>
      <c r="H284" s="11" t="s">
        <v>1132</v>
      </c>
      <c r="I284" s="105">
        <v>5356337</v>
      </c>
      <c r="J284" s="126">
        <v>1</v>
      </c>
      <c r="K284" s="127">
        <f>SUM(K280:K283)</f>
        <v>5264435.1457256684</v>
      </c>
      <c r="L284" s="126">
        <f>SUM(L280:L283)</f>
        <v>1</v>
      </c>
      <c r="M284" s="105">
        <f>VLOOKUP(E284,town351,22)</f>
        <v>4388459</v>
      </c>
      <c r="N284" s="105">
        <f>SUM(N280:N283)</f>
        <v>4388459</v>
      </c>
      <c r="O284" s="128">
        <v>4439605</v>
      </c>
      <c r="P284" s="105">
        <f>SUM(P280:P283)</f>
        <v>-51146</v>
      </c>
      <c r="Q284" s="45">
        <f t="shared" si="49"/>
        <v>-1.1520394269309995</v>
      </c>
      <c r="R284" s="105">
        <v>522</v>
      </c>
      <c r="S284" s="7">
        <f t="shared" si="42"/>
        <v>0</v>
      </c>
      <c r="T284" s="124">
        <f t="shared" si="43"/>
        <v>55</v>
      </c>
      <c r="U284" s="124">
        <f t="shared" si="44"/>
        <v>999</v>
      </c>
      <c r="V284" s="124">
        <f t="shared" si="45"/>
        <v>275</v>
      </c>
      <c r="W284" s="124">
        <f t="shared" si="46"/>
        <v>503.82597126213994</v>
      </c>
      <c r="X284" s="124">
        <f t="shared" si="47"/>
        <v>5264435.1457256684</v>
      </c>
      <c r="Y284" s="264">
        <f t="shared" si="48"/>
        <v>275</v>
      </c>
      <c r="Z284" s="10">
        <v>55</v>
      </c>
      <c r="AA284" s="7">
        <v>999</v>
      </c>
      <c r="AB284" s="7">
        <v>275</v>
      </c>
      <c r="AC284" s="109">
        <v>503.82597126213994</v>
      </c>
      <c r="AD284" s="109">
        <v>5264435.1457256684</v>
      </c>
      <c r="AE284" s="125"/>
      <c r="AF284" s="10"/>
      <c r="AI284" s="109"/>
      <c r="AJ284" s="109"/>
      <c r="AL284" s="10"/>
      <c r="AO284" s="109"/>
      <c r="AP284" s="109"/>
      <c r="AR284" s="10"/>
      <c r="AU284" s="109"/>
      <c r="AV284" s="109"/>
      <c r="AX284" s="10"/>
      <c r="BA284" s="109"/>
      <c r="BB284" s="109"/>
      <c r="BD284" s="10"/>
      <c r="BG284" s="109"/>
      <c r="BH284" s="109"/>
      <c r="BJ284" s="10"/>
      <c r="BM284" s="109"/>
      <c r="BN284" s="109"/>
      <c r="BP284" s="10"/>
      <c r="BS284" s="109"/>
      <c r="BT284" s="109"/>
      <c r="BV284" s="10"/>
      <c r="BY284" s="109"/>
      <c r="BZ284" s="109"/>
      <c r="CB284" s="10"/>
      <c r="CE284" s="109"/>
      <c r="CF284" s="109"/>
      <c r="CH284" s="10"/>
      <c r="CK284" s="109"/>
      <c r="CL284" s="109"/>
    </row>
    <row r="285" spans="1:90">
      <c r="A285" s="7" t="str">
        <f t="shared" si="41"/>
        <v>00560056</v>
      </c>
      <c r="B285" s="7" t="s">
        <v>2395</v>
      </c>
      <c r="C285" s="7" t="s">
        <v>2395</v>
      </c>
      <c r="D285" s="7">
        <v>276</v>
      </c>
      <c r="E285" s="7">
        <v>56</v>
      </c>
      <c r="F285" s="7" t="s">
        <v>1762</v>
      </c>
      <c r="G285" s="7">
        <v>56</v>
      </c>
      <c r="H285" s="7" t="s">
        <v>1322</v>
      </c>
      <c r="I285" s="37">
        <v>46800513.146480002</v>
      </c>
      <c r="J285" s="122">
        <v>0.94213348718545997</v>
      </c>
      <c r="K285" s="123">
        <f>X285</f>
        <v>47405594.168949671</v>
      </c>
      <c r="L285" s="122">
        <f>IF(K289&gt;0, K285/K289, 0)</f>
        <v>0.93962202906455372</v>
      </c>
      <c r="M285" s="71"/>
      <c r="N285" s="10">
        <f>ROUND(M289*L285,0)</f>
        <v>37968938</v>
      </c>
      <c r="O285" s="70">
        <v>38219600</v>
      </c>
      <c r="P285" s="10">
        <f>N285-O285</f>
        <v>-250662</v>
      </c>
      <c r="Q285" s="46">
        <f t="shared" si="49"/>
        <v>-0.65584673832274543</v>
      </c>
      <c r="R285" s="10">
        <v>4970</v>
      </c>
      <c r="S285" s="7">
        <f t="shared" si="42"/>
        <v>0</v>
      </c>
      <c r="T285" s="124">
        <f t="shared" si="43"/>
        <v>56</v>
      </c>
      <c r="U285" s="124">
        <f t="shared" si="44"/>
        <v>56</v>
      </c>
      <c r="V285" s="124">
        <f t="shared" si="45"/>
        <v>276</v>
      </c>
      <c r="W285" s="124">
        <f t="shared" si="46"/>
        <v>4932</v>
      </c>
      <c r="X285" s="124">
        <f t="shared" si="47"/>
        <v>47405594.168949671</v>
      </c>
      <c r="Y285" s="264">
        <f t="shared" si="48"/>
        <v>276</v>
      </c>
      <c r="Z285" s="10">
        <v>56</v>
      </c>
      <c r="AA285" s="7">
        <v>56</v>
      </c>
      <c r="AB285" s="7">
        <v>276</v>
      </c>
      <c r="AC285" s="109">
        <v>4932</v>
      </c>
      <c r="AD285" s="109">
        <v>47405594.168949671</v>
      </c>
      <c r="AE285" s="125"/>
      <c r="AF285" s="10"/>
      <c r="AI285" s="109"/>
      <c r="AJ285" s="109"/>
      <c r="AL285" s="10"/>
      <c r="AO285" s="109"/>
      <c r="AP285" s="109"/>
      <c r="AR285" s="10"/>
      <c r="AU285" s="109"/>
      <c r="AV285" s="109"/>
      <c r="AX285" s="10"/>
      <c r="BA285" s="109"/>
      <c r="BB285" s="109"/>
      <c r="BD285" s="10"/>
      <c r="BG285" s="109"/>
      <c r="BH285" s="109"/>
      <c r="BJ285" s="10"/>
      <c r="BM285" s="109"/>
      <c r="BN285" s="109"/>
      <c r="BP285" s="10"/>
      <c r="BS285" s="109"/>
      <c r="BT285" s="109"/>
      <c r="BV285" s="10"/>
      <c r="BY285" s="109"/>
      <c r="BZ285" s="109"/>
      <c r="CB285" s="10"/>
      <c r="CE285" s="109"/>
      <c r="CF285" s="109"/>
      <c r="CH285" s="10"/>
      <c r="CK285" s="109"/>
      <c r="CL285" s="109"/>
    </row>
    <row r="286" spans="1:90">
      <c r="A286" s="7" t="str">
        <f t="shared" si="41"/>
        <v>00560852</v>
      </c>
      <c r="B286" s="7" t="s">
        <v>2395</v>
      </c>
      <c r="C286" s="7" t="s">
        <v>2767</v>
      </c>
      <c r="D286" s="7">
        <v>277</v>
      </c>
      <c r="E286" s="7">
        <v>56</v>
      </c>
      <c r="F286" s="7" t="s">
        <v>1762</v>
      </c>
      <c r="G286" s="7">
        <v>852</v>
      </c>
      <c r="H286" s="7" t="s">
        <v>1694</v>
      </c>
      <c r="I286" s="37">
        <v>2874521</v>
      </c>
      <c r="J286" s="122">
        <v>5.7866512814540055E-2</v>
      </c>
      <c r="K286" s="123">
        <f t="shared" si="50"/>
        <v>3046175.4816028895</v>
      </c>
      <c r="L286" s="122">
        <f>IF(K289&gt;0, K286/K289, 0)</f>
        <v>6.0377970935446203E-2</v>
      </c>
      <c r="M286" s="71"/>
      <c r="N286" s="10">
        <f>ROUND(M289*L286,0)</f>
        <v>2439797</v>
      </c>
      <c r="O286" s="70">
        <v>2347475</v>
      </c>
      <c r="P286" s="10">
        <f>N286-O286</f>
        <v>92322</v>
      </c>
      <c r="Q286" s="46">
        <f t="shared" si="49"/>
        <v>3.9328214357980382</v>
      </c>
      <c r="R286" s="10">
        <v>184</v>
      </c>
      <c r="S286" s="7">
        <f t="shared" si="42"/>
        <v>0</v>
      </c>
      <c r="T286" s="124">
        <f t="shared" si="43"/>
        <v>56</v>
      </c>
      <c r="U286" s="124">
        <f t="shared" si="44"/>
        <v>852</v>
      </c>
      <c r="V286" s="124">
        <f t="shared" si="45"/>
        <v>277</v>
      </c>
      <c r="W286" s="124">
        <f t="shared" si="46"/>
        <v>190.99999999799999</v>
      </c>
      <c r="X286" s="124">
        <f t="shared" si="47"/>
        <v>3046175.4816028895</v>
      </c>
      <c r="Y286" s="264">
        <f t="shared" si="48"/>
        <v>277</v>
      </c>
      <c r="Z286" s="10">
        <v>56</v>
      </c>
      <c r="AA286" s="7">
        <v>852</v>
      </c>
      <c r="AB286" s="7">
        <v>277</v>
      </c>
      <c r="AC286" s="109">
        <v>190.99999999799999</v>
      </c>
      <c r="AD286" s="109">
        <v>3046175.4816028895</v>
      </c>
      <c r="AE286" s="125"/>
      <c r="AF286" s="10"/>
      <c r="AI286" s="109"/>
      <c r="AJ286" s="109"/>
      <c r="AL286" s="10"/>
      <c r="AO286" s="109"/>
      <c r="AP286" s="109"/>
      <c r="AR286" s="10"/>
      <c r="AU286" s="109"/>
      <c r="AV286" s="109"/>
      <c r="AX286" s="10"/>
      <c r="BA286" s="109"/>
      <c r="BB286" s="109"/>
      <c r="BD286" s="10"/>
      <c r="BG286" s="109"/>
      <c r="BH286" s="109"/>
      <c r="BJ286" s="10"/>
      <c r="BM286" s="109"/>
      <c r="BN286" s="109"/>
      <c r="BP286" s="10"/>
      <c r="BS286" s="109"/>
      <c r="BT286" s="109"/>
      <c r="BV286" s="10"/>
      <c r="BY286" s="109"/>
      <c r="BZ286" s="109"/>
      <c r="CB286" s="10"/>
      <c r="CE286" s="109"/>
      <c r="CF286" s="109"/>
      <c r="CH286" s="10"/>
      <c r="CK286" s="109"/>
      <c r="CL286" s="109"/>
    </row>
    <row r="287" spans="1:90">
      <c r="A287" s="7" t="str">
        <f t="shared" si="41"/>
        <v>00560998</v>
      </c>
      <c r="B287" s="7" t="s">
        <v>2395</v>
      </c>
      <c r="C287" s="7" t="s">
        <v>2781</v>
      </c>
      <c r="D287" s="7">
        <v>278</v>
      </c>
      <c r="E287" s="7">
        <v>56</v>
      </c>
      <c r="F287" s="7" t="s">
        <v>2135</v>
      </c>
      <c r="G287" s="7">
        <v>998</v>
      </c>
      <c r="H287" s="7" t="s">
        <v>2135</v>
      </c>
      <c r="I287" s="37">
        <v>0</v>
      </c>
      <c r="J287" s="122">
        <v>0</v>
      </c>
      <c r="K287" s="123">
        <f t="shared" si="50"/>
        <v>0</v>
      </c>
      <c r="L287" s="122">
        <f>IF(K289&gt;0, K287/K289, 0)</f>
        <v>0</v>
      </c>
      <c r="M287" s="71"/>
      <c r="N287" s="10">
        <f>ROUND(M289*L287,0)</f>
        <v>0</v>
      </c>
      <c r="O287" s="70">
        <v>0</v>
      </c>
      <c r="P287" s="10">
        <f>N287-O287</f>
        <v>0</v>
      </c>
      <c r="Q287" s="46">
        <f t="shared" si="49"/>
        <v>0</v>
      </c>
      <c r="R287" s="10">
        <v>0</v>
      </c>
      <c r="S287" s="7">
        <f t="shared" si="42"/>
        <v>0</v>
      </c>
      <c r="T287" s="124">
        <f t="shared" si="43"/>
        <v>56</v>
      </c>
      <c r="U287" s="124">
        <f t="shared" si="44"/>
        <v>998</v>
      </c>
      <c r="V287" s="124">
        <f t="shared" si="45"/>
        <v>278</v>
      </c>
      <c r="W287" s="124">
        <f t="shared" si="46"/>
        <v>0</v>
      </c>
      <c r="X287" s="124">
        <f t="shared" si="47"/>
        <v>0</v>
      </c>
      <c r="Y287" s="264">
        <f t="shared" si="48"/>
        <v>278</v>
      </c>
      <c r="Z287" s="10">
        <v>56</v>
      </c>
      <c r="AA287" s="7">
        <v>998</v>
      </c>
      <c r="AB287" s="7">
        <v>278</v>
      </c>
      <c r="AC287" s="109">
        <v>0</v>
      </c>
      <c r="AD287" s="109">
        <v>0</v>
      </c>
      <c r="AE287" s="125"/>
      <c r="AF287" s="10"/>
      <c r="AI287" s="109"/>
      <c r="AJ287" s="109"/>
      <c r="AL287" s="10"/>
      <c r="AO287" s="109"/>
      <c r="AP287" s="109"/>
      <c r="AR287" s="10"/>
      <c r="AU287" s="109"/>
      <c r="AV287" s="109"/>
      <c r="AX287" s="10"/>
      <c r="BA287" s="109"/>
      <c r="BB287" s="109"/>
      <c r="BD287" s="10"/>
      <c r="BG287" s="109"/>
      <c r="BH287" s="109"/>
      <c r="BJ287" s="10"/>
      <c r="BM287" s="109"/>
      <c r="BN287" s="109"/>
      <c r="BP287" s="10"/>
      <c r="BS287" s="109"/>
      <c r="BT287" s="109"/>
      <c r="BV287" s="10"/>
      <c r="BY287" s="109"/>
      <c r="BZ287" s="109"/>
      <c r="CB287" s="10"/>
      <c r="CE287" s="109"/>
      <c r="CF287" s="109"/>
      <c r="CH287" s="10"/>
      <c r="CK287" s="109"/>
      <c r="CL287" s="109"/>
    </row>
    <row r="288" spans="1:90">
      <c r="A288" s="7" t="str">
        <f t="shared" si="41"/>
        <v>00560998</v>
      </c>
      <c r="B288" s="7" t="s">
        <v>2395</v>
      </c>
      <c r="C288" s="7" t="s">
        <v>2781</v>
      </c>
      <c r="D288" s="7">
        <v>279</v>
      </c>
      <c r="E288" s="7">
        <v>56</v>
      </c>
      <c r="F288" s="7" t="s">
        <v>2135</v>
      </c>
      <c r="G288" s="7">
        <v>998</v>
      </c>
      <c r="H288" s="7" t="s">
        <v>2135</v>
      </c>
      <c r="I288" s="37">
        <v>0</v>
      </c>
      <c r="J288" s="122">
        <v>0</v>
      </c>
      <c r="K288" s="123">
        <f t="shared" si="50"/>
        <v>0</v>
      </c>
      <c r="L288" s="122">
        <f>IF(K289&gt;0, K288/K289, 0)</f>
        <v>0</v>
      </c>
      <c r="M288" s="71"/>
      <c r="N288" s="10">
        <f>ROUND(M289*L288,0)</f>
        <v>0</v>
      </c>
      <c r="O288" s="70">
        <v>0</v>
      </c>
      <c r="P288" s="10">
        <f>N288-O288</f>
        <v>0</v>
      </c>
      <c r="Q288" s="46">
        <f t="shared" si="49"/>
        <v>0</v>
      </c>
      <c r="R288" s="10">
        <v>0</v>
      </c>
      <c r="S288" s="7">
        <f t="shared" si="42"/>
        <v>0</v>
      </c>
      <c r="T288" s="124">
        <f t="shared" si="43"/>
        <v>56</v>
      </c>
      <c r="U288" s="124">
        <f t="shared" si="44"/>
        <v>998</v>
      </c>
      <c r="V288" s="124">
        <f t="shared" si="45"/>
        <v>279</v>
      </c>
      <c r="W288" s="124">
        <f t="shared" si="46"/>
        <v>0</v>
      </c>
      <c r="X288" s="124">
        <f t="shared" si="47"/>
        <v>0</v>
      </c>
      <c r="Y288" s="264">
        <f t="shared" si="48"/>
        <v>279</v>
      </c>
      <c r="Z288" s="10">
        <v>56</v>
      </c>
      <c r="AA288" s="7">
        <v>998</v>
      </c>
      <c r="AB288" s="7">
        <v>279</v>
      </c>
      <c r="AC288" s="109">
        <v>0</v>
      </c>
      <c r="AD288" s="109">
        <v>0</v>
      </c>
      <c r="AE288" s="125"/>
      <c r="AF288" s="10"/>
      <c r="AI288" s="109"/>
      <c r="AJ288" s="109"/>
      <c r="AL288" s="10"/>
      <c r="AO288" s="109"/>
      <c r="AP288" s="109"/>
      <c r="AR288" s="10"/>
      <c r="AU288" s="109"/>
      <c r="AV288" s="109"/>
      <c r="AX288" s="10"/>
      <c r="BA288" s="109"/>
      <c r="BB288" s="109"/>
      <c r="BD288" s="10"/>
      <c r="BG288" s="109"/>
      <c r="BH288" s="109"/>
      <c r="BJ288" s="10"/>
      <c r="BM288" s="109"/>
      <c r="BN288" s="109"/>
      <c r="BP288" s="10"/>
      <c r="BS288" s="109"/>
      <c r="BT288" s="109"/>
      <c r="BV288" s="10"/>
      <c r="BY288" s="109"/>
      <c r="BZ288" s="109"/>
      <c r="CB288" s="10"/>
      <c r="CE288" s="109"/>
      <c r="CF288" s="109"/>
      <c r="CH288" s="10"/>
      <c r="CK288" s="109"/>
      <c r="CL288" s="109"/>
    </row>
    <row r="289" spans="1:90">
      <c r="A289" s="7" t="str">
        <f t="shared" si="41"/>
        <v>00560999</v>
      </c>
      <c r="B289" s="7" t="s">
        <v>2395</v>
      </c>
      <c r="C289" s="7" t="s">
        <v>2782</v>
      </c>
      <c r="D289" s="7">
        <v>280</v>
      </c>
      <c r="E289" s="11">
        <v>56</v>
      </c>
      <c r="F289" s="11" t="s">
        <v>1762</v>
      </c>
      <c r="G289" s="11">
        <v>999</v>
      </c>
      <c r="H289" s="11" t="s">
        <v>1132</v>
      </c>
      <c r="I289" s="105">
        <v>49675034.146480002</v>
      </c>
      <c r="J289" s="126">
        <v>1</v>
      </c>
      <c r="K289" s="127">
        <f>SUM(K285:K288)</f>
        <v>50451769.650552563</v>
      </c>
      <c r="L289" s="126">
        <f>SUM(L285:L288)</f>
        <v>0.99999999999999989</v>
      </c>
      <c r="M289" s="105">
        <f>VLOOKUP(E289,town351,22)</f>
        <v>40408735</v>
      </c>
      <c r="N289" s="105">
        <f>SUM(N285:N288)</f>
        <v>40408735</v>
      </c>
      <c r="O289" s="128">
        <v>40567075</v>
      </c>
      <c r="P289" s="105">
        <f>SUM(P285:P288)</f>
        <v>-158340</v>
      </c>
      <c r="Q289" s="45">
        <f t="shared" si="49"/>
        <v>-0.39031653132497229</v>
      </c>
      <c r="R289" s="105">
        <v>5154</v>
      </c>
      <c r="S289" s="7">
        <f t="shared" si="42"/>
        <v>0</v>
      </c>
      <c r="T289" s="124">
        <f t="shared" si="43"/>
        <v>56</v>
      </c>
      <c r="U289" s="124">
        <f t="shared" si="44"/>
        <v>999</v>
      </c>
      <c r="V289" s="124">
        <f t="shared" si="45"/>
        <v>280</v>
      </c>
      <c r="W289" s="124">
        <f t="shared" si="46"/>
        <v>5122.999999998</v>
      </c>
      <c r="X289" s="124">
        <f t="shared" si="47"/>
        <v>50451769.650552563</v>
      </c>
      <c r="Y289" s="264">
        <f t="shared" si="48"/>
        <v>280</v>
      </c>
      <c r="Z289" s="10">
        <v>56</v>
      </c>
      <c r="AA289" s="7">
        <v>999</v>
      </c>
      <c r="AB289" s="7">
        <v>280</v>
      </c>
      <c r="AC289" s="109">
        <v>5122.999999998</v>
      </c>
      <c r="AD289" s="109">
        <v>50451769.650552563</v>
      </c>
      <c r="AE289" s="125"/>
      <c r="AF289" s="10"/>
      <c r="AI289" s="109"/>
      <c r="AJ289" s="109"/>
      <c r="AL289" s="10"/>
      <c r="AO289" s="109"/>
      <c r="AP289" s="109"/>
      <c r="AR289" s="10"/>
      <c r="AU289" s="109"/>
      <c r="AV289" s="109"/>
      <c r="AX289" s="10"/>
      <c r="BA289" s="109"/>
      <c r="BB289" s="109"/>
      <c r="BD289" s="10"/>
      <c r="BG289" s="109"/>
      <c r="BH289" s="109"/>
      <c r="BJ289" s="10"/>
      <c r="BM289" s="109"/>
      <c r="BN289" s="109"/>
      <c r="BP289" s="10"/>
      <c r="BS289" s="109"/>
      <c r="BT289" s="109"/>
      <c r="BV289" s="10"/>
      <c r="BY289" s="109"/>
      <c r="BZ289" s="109"/>
      <c r="CB289" s="10"/>
      <c r="CE289" s="109"/>
      <c r="CF289" s="109"/>
      <c r="CH289" s="10"/>
      <c r="CK289" s="109"/>
      <c r="CL289" s="109"/>
    </row>
    <row r="290" spans="1:90">
      <c r="A290" s="7" t="str">
        <f t="shared" si="41"/>
        <v>00570057</v>
      </c>
      <c r="B290" s="7" t="s">
        <v>2396</v>
      </c>
      <c r="C290" s="7" t="s">
        <v>2396</v>
      </c>
      <c r="D290" s="7">
        <v>281</v>
      </c>
      <c r="E290" s="7">
        <v>57</v>
      </c>
      <c r="F290" s="7" t="s">
        <v>1763</v>
      </c>
      <c r="G290" s="7">
        <v>57</v>
      </c>
      <c r="H290" s="7" t="s">
        <v>1323</v>
      </c>
      <c r="I290" s="37">
        <v>83654803.231740028</v>
      </c>
      <c r="J290" s="122">
        <v>0.95848785137556514</v>
      </c>
      <c r="K290" s="123">
        <f>X290</f>
        <v>87574481.054575801</v>
      </c>
      <c r="L290" s="122">
        <f>IF(K294&gt;0, K290/K294, 0)</f>
        <v>0.95933480126140602</v>
      </c>
      <c r="M290" s="71"/>
      <c r="N290" s="10">
        <f>ROUND(M294*L290,0)</f>
        <v>16070465</v>
      </c>
      <c r="O290" s="70">
        <v>14735937</v>
      </c>
      <c r="P290" s="10">
        <f>N290-O290</f>
        <v>1334528</v>
      </c>
      <c r="Q290" s="46">
        <f t="shared" si="49"/>
        <v>9.0562819317156418</v>
      </c>
      <c r="R290" s="10">
        <v>7038</v>
      </c>
      <c r="S290" s="7">
        <f t="shared" si="42"/>
        <v>0</v>
      </c>
      <c r="T290" s="124">
        <f t="shared" si="43"/>
        <v>57</v>
      </c>
      <c r="U290" s="124">
        <f t="shared" si="44"/>
        <v>57</v>
      </c>
      <c r="V290" s="124">
        <f t="shared" si="45"/>
        <v>281</v>
      </c>
      <c r="W290" s="124">
        <f t="shared" si="46"/>
        <v>7143</v>
      </c>
      <c r="X290" s="124">
        <f t="shared" si="47"/>
        <v>87574481.054575801</v>
      </c>
      <c r="Y290" s="264">
        <f t="shared" si="48"/>
        <v>281</v>
      </c>
      <c r="Z290" s="10">
        <v>57</v>
      </c>
      <c r="AA290" s="7">
        <v>57</v>
      </c>
      <c r="AB290" s="7">
        <v>281</v>
      </c>
      <c r="AC290" s="109">
        <v>7143</v>
      </c>
      <c r="AD290" s="109">
        <v>87574481.054575801</v>
      </c>
      <c r="AE290" s="125"/>
      <c r="AF290" s="10"/>
      <c r="AI290" s="109"/>
      <c r="AJ290" s="109"/>
      <c r="AL290" s="10"/>
      <c r="AO290" s="109"/>
      <c r="AP290" s="109"/>
      <c r="AR290" s="10"/>
      <c r="AU290" s="109"/>
      <c r="AV290" s="109"/>
      <c r="AX290" s="10"/>
      <c r="BA290" s="109"/>
      <c r="BB290" s="109"/>
      <c r="BD290" s="10"/>
      <c r="BG290" s="109"/>
      <c r="BH290" s="109"/>
      <c r="BJ290" s="10"/>
      <c r="BM290" s="109"/>
      <c r="BN290" s="109"/>
      <c r="BP290" s="10"/>
      <c r="BS290" s="109"/>
      <c r="BT290" s="109"/>
      <c r="BV290" s="10"/>
      <c r="BY290" s="109"/>
      <c r="BZ290" s="109"/>
      <c r="CB290" s="10"/>
      <c r="CE290" s="109"/>
      <c r="CF290" s="109"/>
      <c r="CH290" s="10"/>
      <c r="CK290" s="109"/>
      <c r="CL290" s="109"/>
    </row>
    <row r="291" spans="1:90">
      <c r="A291" s="7" t="str">
        <f t="shared" si="41"/>
        <v>00570853</v>
      </c>
      <c r="B291" s="7" t="s">
        <v>2396</v>
      </c>
      <c r="C291" s="7" t="s">
        <v>2768</v>
      </c>
      <c r="D291" s="7">
        <v>282</v>
      </c>
      <c r="E291" s="7">
        <v>57</v>
      </c>
      <c r="F291" s="7" t="s">
        <v>1763</v>
      </c>
      <c r="G291" s="7">
        <v>853</v>
      </c>
      <c r="H291" s="7" t="s">
        <v>1695</v>
      </c>
      <c r="I291" s="37">
        <v>3623093</v>
      </c>
      <c r="J291" s="122">
        <v>4.1512148624434912E-2</v>
      </c>
      <c r="K291" s="123">
        <f t="shared" si="50"/>
        <v>3712190.6469263686</v>
      </c>
      <c r="L291" s="122">
        <f>IF(K294&gt;0, K291/K294, 0)</f>
        <v>4.0665198738593977E-2</v>
      </c>
      <c r="M291" s="71"/>
      <c r="N291" s="10">
        <f>ROUND(M294*L291,0)</f>
        <v>681210</v>
      </c>
      <c r="O291" s="70">
        <v>638214</v>
      </c>
      <c r="P291" s="10">
        <f>N291-O291</f>
        <v>42996</v>
      </c>
      <c r="Q291" s="46">
        <f t="shared" si="49"/>
        <v>6.7369252319754818</v>
      </c>
      <c r="R291" s="10">
        <v>218</v>
      </c>
      <c r="S291" s="7">
        <f t="shared" si="42"/>
        <v>0</v>
      </c>
      <c r="T291" s="124">
        <f t="shared" si="43"/>
        <v>57</v>
      </c>
      <c r="U291" s="124">
        <f t="shared" si="44"/>
        <v>853</v>
      </c>
      <c r="V291" s="124">
        <f t="shared" si="45"/>
        <v>282</v>
      </c>
      <c r="W291" s="124">
        <f t="shared" si="46"/>
        <v>218.99999999766001</v>
      </c>
      <c r="X291" s="124">
        <f t="shared" si="47"/>
        <v>3712190.6469263686</v>
      </c>
      <c r="Y291" s="264">
        <f t="shared" si="48"/>
        <v>282</v>
      </c>
      <c r="Z291" s="10">
        <v>57</v>
      </c>
      <c r="AA291" s="7">
        <v>853</v>
      </c>
      <c r="AB291" s="7">
        <v>282</v>
      </c>
      <c r="AC291" s="109">
        <v>218.99999999766001</v>
      </c>
      <c r="AD291" s="109">
        <v>3712190.6469263686</v>
      </c>
      <c r="AE291" s="125"/>
      <c r="AF291" s="10"/>
      <c r="AI291" s="109"/>
      <c r="AJ291" s="109"/>
      <c r="AL291" s="10"/>
      <c r="AO291" s="109"/>
      <c r="AP291" s="109"/>
      <c r="AR291" s="10"/>
      <c r="AU291" s="109"/>
      <c r="AV291" s="109"/>
      <c r="AX291" s="10"/>
      <c r="BA291" s="109"/>
      <c r="BB291" s="109"/>
      <c r="BD291" s="10"/>
      <c r="BG291" s="109"/>
      <c r="BH291" s="109"/>
      <c r="BJ291" s="10"/>
      <c r="BM291" s="109"/>
      <c r="BN291" s="109"/>
      <c r="BP291" s="10"/>
      <c r="BS291" s="109"/>
      <c r="BT291" s="109"/>
      <c r="BV291" s="10"/>
      <c r="BY291" s="109"/>
      <c r="BZ291" s="109"/>
      <c r="CB291" s="10"/>
      <c r="CE291" s="109"/>
      <c r="CF291" s="109"/>
      <c r="CH291" s="10"/>
      <c r="CK291" s="109"/>
      <c r="CL291" s="109"/>
    </row>
    <row r="292" spans="1:90">
      <c r="A292" s="7" t="str">
        <f t="shared" si="41"/>
        <v>00570998</v>
      </c>
      <c r="B292" s="7" t="s">
        <v>2396</v>
      </c>
      <c r="C292" s="7" t="s">
        <v>2781</v>
      </c>
      <c r="D292" s="7">
        <v>283</v>
      </c>
      <c r="E292" s="7">
        <v>57</v>
      </c>
      <c r="F292" s="7" t="s">
        <v>2135</v>
      </c>
      <c r="G292" s="7">
        <v>998</v>
      </c>
      <c r="H292" s="7" t="s">
        <v>2135</v>
      </c>
      <c r="I292" s="37">
        <v>0</v>
      </c>
      <c r="J292" s="122">
        <v>0</v>
      </c>
      <c r="K292" s="123">
        <f t="shared" si="50"/>
        <v>0</v>
      </c>
      <c r="L292" s="122">
        <f>IF(K294&gt;0, K292/K294, 0)</f>
        <v>0</v>
      </c>
      <c r="M292" s="71"/>
      <c r="N292" s="10">
        <f>ROUND(M294*L292,0)</f>
        <v>0</v>
      </c>
      <c r="O292" s="70">
        <v>0</v>
      </c>
      <c r="P292" s="10">
        <f>N292-O292</f>
        <v>0</v>
      </c>
      <c r="Q292" s="46">
        <f t="shared" si="49"/>
        <v>0</v>
      </c>
      <c r="R292" s="10">
        <v>0</v>
      </c>
      <c r="S292" s="7">
        <f t="shared" si="42"/>
        <v>0</v>
      </c>
      <c r="T292" s="124">
        <f t="shared" si="43"/>
        <v>57</v>
      </c>
      <c r="U292" s="124">
        <f t="shared" si="44"/>
        <v>998</v>
      </c>
      <c r="V292" s="124">
        <f t="shared" si="45"/>
        <v>283</v>
      </c>
      <c r="W292" s="124">
        <f t="shared" si="46"/>
        <v>0</v>
      </c>
      <c r="X292" s="124">
        <f t="shared" si="47"/>
        <v>0</v>
      </c>
      <c r="Y292" s="264">
        <f t="shared" si="48"/>
        <v>283</v>
      </c>
      <c r="Z292" s="10">
        <v>57</v>
      </c>
      <c r="AA292" s="7">
        <v>998</v>
      </c>
      <c r="AB292" s="7">
        <v>283</v>
      </c>
      <c r="AC292" s="109">
        <v>0</v>
      </c>
      <c r="AD292" s="109">
        <v>0</v>
      </c>
      <c r="AE292" s="125"/>
      <c r="AF292" s="10"/>
      <c r="AI292" s="109"/>
      <c r="AJ292" s="109"/>
      <c r="AL292" s="10"/>
      <c r="AO292" s="109"/>
      <c r="AP292" s="109"/>
      <c r="AR292" s="10"/>
      <c r="AU292" s="109"/>
      <c r="AV292" s="109"/>
      <c r="AX292" s="10"/>
      <c r="BA292" s="109"/>
      <c r="BB292" s="109"/>
      <c r="BD292" s="10"/>
      <c r="BG292" s="109"/>
      <c r="BH292" s="109"/>
      <c r="BJ292" s="10"/>
      <c r="BM292" s="109"/>
      <c r="BN292" s="109"/>
      <c r="BP292" s="10"/>
      <c r="BS292" s="109"/>
      <c r="BT292" s="109"/>
      <c r="BV292" s="10"/>
      <c r="BY292" s="109"/>
      <c r="BZ292" s="109"/>
      <c r="CB292" s="10"/>
      <c r="CE292" s="109"/>
      <c r="CF292" s="109"/>
      <c r="CH292" s="10"/>
      <c r="CK292" s="109"/>
      <c r="CL292" s="109"/>
    </row>
    <row r="293" spans="1:90">
      <c r="A293" s="7" t="str">
        <f t="shared" si="41"/>
        <v>00570998</v>
      </c>
      <c r="B293" s="7" t="s">
        <v>2396</v>
      </c>
      <c r="C293" s="7" t="s">
        <v>2781</v>
      </c>
      <c r="D293" s="7">
        <v>284</v>
      </c>
      <c r="E293" s="7">
        <v>57</v>
      </c>
      <c r="F293" s="7" t="s">
        <v>2135</v>
      </c>
      <c r="G293" s="7">
        <v>998</v>
      </c>
      <c r="H293" s="7" t="s">
        <v>2135</v>
      </c>
      <c r="I293" s="37">
        <v>0</v>
      </c>
      <c r="J293" s="122">
        <v>0</v>
      </c>
      <c r="K293" s="123">
        <f t="shared" si="50"/>
        <v>0</v>
      </c>
      <c r="L293" s="122">
        <f>IF(K294&gt;0, K293/K294, 0)</f>
        <v>0</v>
      </c>
      <c r="M293" s="71"/>
      <c r="N293" s="10">
        <f>ROUND(M294*L293,0)</f>
        <v>0</v>
      </c>
      <c r="O293" s="70">
        <v>0</v>
      </c>
      <c r="P293" s="10">
        <f>N293-O293</f>
        <v>0</v>
      </c>
      <c r="Q293" s="46">
        <f t="shared" si="49"/>
        <v>0</v>
      </c>
      <c r="R293" s="10">
        <v>0</v>
      </c>
      <c r="S293" s="7">
        <f t="shared" si="42"/>
        <v>0</v>
      </c>
      <c r="T293" s="124">
        <f t="shared" si="43"/>
        <v>57</v>
      </c>
      <c r="U293" s="124">
        <f t="shared" si="44"/>
        <v>998</v>
      </c>
      <c r="V293" s="124">
        <f t="shared" si="45"/>
        <v>284</v>
      </c>
      <c r="W293" s="124">
        <f t="shared" si="46"/>
        <v>0</v>
      </c>
      <c r="X293" s="124">
        <f t="shared" si="47"/>
        <v>0</v>
      </c>
      <c r="Y293" s="264">
        <f t="shared" si="48"/>
        <v>284</v>
      </c>
      <c r="Z293" s="10">
        <v>57</v>
      </c>
      <c r="AA293" s="7">
        <v>998</v>
      </c>
      <c r="AB293" s="7">
        <v>284</v>
      </c>
      <c r="AC293" s="109">
        <v>0</v>
      </c>
      <c r="AD293" s="109">
        <v>0</v>
      </c>
      <c r="AE293" s="125"/>
      <c r="AF293" s="10"/>
      <c r="AI293" s="109"/>
      <c r="AJ293" s="109"/>
      <c r="AL293" s="10"/>
      <c r="AO293" s="109"/>
      <c r="AP293" s="109"/>
      <c r="AR293" s="10"/>
      <c r="AU293" s="109"/>
      <c r="AV293" s="109"/>
      <c r="AX293" s="10"/>
      <c r="BA293" s="109"/>
      <c r="BB293" s="109"/>
      <c r="BD293" s="10"/>
      <c r="BG293" s="109"/>
      <c r="BH293" s="109"/>
      <c r="BJ293" s="10"/>
      <c r="BM293" s="109"/>
      <c r="BN293" s="109"/>
      <c r="BP293" s="10"/>
      <c r="BS293" s="109"/>
      <c r="BT293" s="109"/>
      <c r="BV293" s="10"/>
      <c r="BY293" s="109"/>
      <c r="BZ293" s="109"/>
      <c r="CB293" s="10"/>
      <c r="CE293" s="109"/>
      <c r="CF293" s="109"/>
      <c r="CH293" s="10"/>
      <c r="CK293" s="109"/>
      <c r="CL293" s="109"/>
    </row>
    <row r="294" spans="1:90">
      <c r="A294" s="7" t="str">
        <f t="shared" si="41"/>
        <v>00570999</v>
      </c>
      <c r="B294" s="7" t="s">
        <v>2396</v>
      </c>
      <c r="C294" s="7" t="s">
        <v>2782</v>
      </c>
      <c r="D294" s="7">
        <v>285</v>
      </c>
      <c r="E294" s="11">
        <v>57</v>
      </c>
      <c r="F294" s="11" t="s">
        <v>1763</v>
      </c>
      <c r="G294" s="11">
        <v>999</v>
      </c>
      <c r="H294" s="11" t="s">
        <v>1132</v>
      </c>
      <c r="I294" s="137">
        <v>87277896.231740028</v>
      </c>
      <c r="J294" s="126">
        <v>1</v>
      </c>
      <c r="K294" s="127">
        <f>SUM(K290:K293)</f>
        <v>91286671.701502174</v>
      </c>
      <c r="L294" s="126">
        <f>SUM(L290:L293)</f>
        <v>1</v>
      </c>
      <c r="M294" s="105">
        <f>VLOOKUP(E294,town351,22)</f>
        <v>16751675</v>
      </c>
      <c r="N294" s="105">
        <f>SUM(N290:N293)</f>
        <v>16751675</v>
      </c>
      <c r="O294" s="128">
        <v>15374151</v>
      </c>
      <c r="P294" s="105">
        <f>SUM(P290:P293)</f>
        <v>1377524</v>
      </c>
      <c r="Q294" s="45">
        <f t="shared" si="49"/>
        <v>8.9600004579114643</v>
      </c>
      <c r="R294" s="105">
        <v>7256</v>
      </c>
      <c r="S294" s="7">
        <f t="shared" si="42"/>
        <v>0</v>
      </c>
      <c r="T294" s="124">
        <f t="shared" si="43"/>
        <v>57</v>
      </c>
      <c r="U294" s="124">
        <f t="shared" si="44"/>
        <v>999</v>
      </c>
      <c r="V294" s="124">
        <f t="shared" si="45"/>
        <v>285</v>
      </c>
      <c r="W294" s="124">
        <f t="shared" si="46"/>
        <v>7361.9999999976599</v>
      </c>
      <c r="X294" s="124">
        <f t="shared" si="47"/>
        <v>91286671.701502174</v>
      </c>
      <c r="Y294" s="264">
        <f t="shared" si="48"/>
        <v>285</v>
      </c>
      <c r="Z294" s="10">
        <v>57</v>
      </c>
      <c r="AA294" s="7">
        <v>999</v>
      </c>
      <c r="AB294" s="7">
        <v>285</v>
      </c>
      <c r="AC294" s="109">
        <v>7361.9999999976599</v>
      </c>
      <c r="AD294" s="109">
        <v>91286671.701502174</v>
      </c>
      <c r="AE294" s="125"/>
      <c r="AF294" s="10"/>
      <c r="AI294" s="109"/>
      <c r="AJ294" s="109"/>
      <c r="AL294" s="10"/>
      <c r="AO294" s="109"/>
      <c r="AP294" s="109"/>
      <c r="AR294" s="10"/>
      <c r="AU294" s="109"/>
      <c r="AV294" s="109"/>
      <c r="AX294" s="10"/>
      <c r="BA294" s="109"/>
      <c r="BB294" s="109"/>
      <c r="BD294" s="10"/>
      <c r="BG294" s="109"/>
      <c r="BH294" s="109"/>
      <c r="BJ294" s="10"/>
      <c r="BM294" s="109"/>
      <c r="BN294" s="109"/>
      <c r="BP294" s="10"/>
      <c r="BS294" s="109"/>
      <c r="BT294" s="109"/>
      <c r="BV294" s="10"/>
      <c r="BY294" s="109"/>
      <c r="BZ294" s="109"/>
      <c r="CB294" s="10"/>
      <c r="CE294" s="109"/>
      <c r="CF294" s="109"/>
      <c r="CH294" s="10"/>
      <c r="CK294" s="109"/>
      <c r="CL294" s="109"/>
    </row>
    <row r="295" spans="1:90">
      <c r="A295" s="7" t="str">
        <f t="shared" si="41"/>
        <v>00580058</v>
      </c>
      <c r="B295" s="7" t="s">
        <v>2397</v>
      </c>
      <c r="C295" s="7" t="s">
        <v>2397</v>
      </c>
      <c r="D295" s="7">
        <v>286</v>
      </c>
      <c r="E295" s="7">
        <v>58</v>
      </c>
      <c r="F295" s="7" t="s">
        <v>1764</v>
      </c>
      <c r="G295" s="7">
        <v>58</v>
      </c>
      <c r="H295" s="7" t="s">
        <v>1324</v>
      </c>
      <c r="I295" s="37">
        <v>0</v>
      </c>
      <c r="J295" s="122">
        <v>0</v>
      </c>
      <c r="K295" s="123">
        <f>X295</f>
        <v>0</v>
      </c>
      <c r="L295" s="122">
        <f>IF(K299&gt;0, K295/K299, 0)</f>
        <v>0</v>
      </c>
      <c r="M295" s="71"/>
      <c r="N295" s="10">
        <f>ROUND(M299*L295,0)</f>
        <v>0</v>
      </c>
      <c r="O295" s="70">
        <v>0</v>
      </c>
      <c r="P295" s="10">
        <f>N295-O295</f>
        <v>0</v>
      </c>
      <c r="Q295" s="46">
        <f t="shared" si="49"/>
        <v>0</v>
      </c>
      <c r="R295" s="10">
        <v>0</v>
      </c>
      <c r="S295" s="7">
        <f t="shared" si="42"/>
        <v>0</v>
      </c>
      <c r="T295" s="124">
        <f t="shared" si="43"/>
        <v>58</v>
      </c>
      <c r="U295" s="124">
        <f t="shared" si="44"/>
        <v>58</v>
      </c>
      <c r="V295" s="124">
        <f t="shared" si="45"/>
        <v>286</v>
      </c>
      <c r="W295" s="124">
        <f t="shared" si="46"/>
        <v>0</v>
      </c>
      <c r="X295" s="124">
        <f t="shared" si="47"/>
        <v>0</v>
      </c>
      <c r="Y295" s="264">
        <f t="shared" si="48"/>
        <v>286</v>
      </c>
      <c r="Z295" s="10">
        <v>58</v>
      </c>
      <c r="AA295" s="7">
        <v>58</v>
      </c>
      <c r="AB295" s="7">
        <v>286</v>
      </c>
      <c r="AC295" s="109">
        <v>0</v>
      </c>
      <c r="AD295" s="109">
        <v>0</v>
      </c>
      <c r="AE295" s="125"/>
      <c r="AF295" s="10"/>
      <c r="AI295" s="109"/>
      <c r="AJ295" s="109"/>
      <c r="AL295" s="10"/>
      <c r="AO295" s="109"/>
      <c r="AP295" s="109"/>
      <c r="AR295" s="10"/>
      <c r="AU295" s="109"/>
      <c r="AV295" s="109"/>
      <c r="AX295" s="10"/>
      <c r="BA295" s="109"/>
      <c r="BB295" s="109"/>
      <c r="BD295" s="10"/>
      <c r="BG295" s="109"/>
      <c r="BH295" s="109"/>
      <c r="BJ295" s="10"/>
      <c r="BM295" s="109"/>
      <c r="BN295" s="109"/>
      <c r="BP295" s="10"/>
      <c r="BS295" s="109"/>
      <c r="BT295" s="109"/>
      <c r="BV295" s="10"/>
      <c r="BY295" s="109"/>
      <c r="BZ295" s="109"/>
      <c r="CB295" s="10"/>
      <c r="CE295" s="109"/>
      <c r="CF295" s="109"/>
      <c r="CH295" s="10"/>
      <c r="CK295" s="109"/>
      <c r="CL295" s="109"/>
    </row>
    <row r="296" spans="1:90">
      <c r="A296" s="7" t="str">
        <f t="shared" si="41"/>
        <v>00580603</v>
      </c>
      <c r="B296" s="7" t="s">
        <v>2397</v>
      </c>
      <c r="C296" s="7" t="s">
        <v>2695</v>
      </c>
      <c r="D296" s="7">
        <v>287</v>
      </c>
      <c r="E296" s="7">
        <v>58</v>
      </c>
      <c r="F296" s="7" t="s">
        <v>1764</v>
      </c>
      <c r="G296" s="7">
        <v>603</v>
      </c>
      <c r="H296" s="7" t="s">
        <v>1622</v>
      </c>
      <c r="I296" s="37">
        <v>4055080</v>
      </c>
      <c r="J296" s="122">
        <v>0.87077259519042383</v>
      </c>
      <c r="K296" s="123">
        <f t="shared" si="50"/>
        <v>4191608.2570829401</v>
      </c>
      <c r="L296" s="122">
        <f>IF(K299&gt;0, K296/K299, 0)</f>
        <v>0.85555897019554727</v>
      </c>
      <c r="M296" s="71"/>
      <c r="N296" s="10">
        <f>ROUND(M299*L296,0)</f>
        <v>1990260</v>
      </c>
      <c r="O296" s="70">
        <v>1987506</v>
      </c>
      <c r="P296" s="10">
        <f>N296-O296</f>
        <v>2754</v>
      </c>
      <c r="Q296" s="46">
        <f t="shared" si="49"/>
        <v>0.13856561942454512</v>
      </c>
      <c r="R296" s="10">
        <v>375</v>
      </c>
      <c r="S296" s="7">
        <f t="shared" si="42"/>
        <v>0</v>
      </c>
      <c r="T296" s="124">
        <f t="shared" si="43"/>
        <v>58</v>
      </c>
      <c r="U296" s="124">
        <f t="shared" si="44"/>
        <v>603</v>
      </c>
      <c r="V296" s="124">
        <f t="shared" si="45"/>
        <v>287</v>
      </c>
      <c r="W296" s="124">
        <f t="shared" si="46"/>
        <v>383.36931818306999</v>
      </c>
      <c r="X296" s="124">
        <f t="shared" si="47"/>
        <v>4191608.2570829401</v>
      </c>
      <c r="Y296" s="264">
        <f t="shared" si="48"/>
        <v>287</v>
      </c>
      <c r="Z296" s="10">
        <v>58</v>
      </c>
      <c r="AA296" s="7">
        <v>603</v>
      </c>
      <c r="AB296" s="7">
        <v>287</v>
      </c>
      <c r="AC296" s="109">
        <v>383.36931818306999</v>
      </c>
      <c r="AD296" s="109">
        <v>4191608.2570829401</v>
      </c>
      <c r="AE296" s="125"/>
      <c r="AF296" s="10"/>
      <c r="AI296" s="109"/>
      <c r="AJ296" s="109"/>
      <c r="AL296" s="10"/>
      <c r="AO296" s="109"/>
      <c r="AP296" s="109"/>
      <c r="AR296" s="10"/>
      <c r="AU296" s="109"/>
      <c r="AV296" s="109"/>
      <c r="AX296" s="10"/>
      <c r="BA296" s="109"/>
      <c r="BB296" s="109"/>
      <c r="BD296" s="10"/>
      <c r="BG296" s="109"/>
      <c r="BH296" s="109"/>
      <c r="BJ296" s="10"/>
      <c r="BM296" s="109"/>
      <c r="BN296" s="109"/>
      <c r="BP296" s="10"/>
      <c r="BS296" s="109"/>
      <c r="BT296" s="109"/>
      <c r="BV296" s="10"/>
      <c r="BY296" s="109"/>
      <c r="BZ296" s="109"/>
      <c r="CB296" s="10"/>
      <c r="CE296" s="109"/>
      <c r="CF296" s="109"/>
      <c r="CH296" s="10"/>
      <c r="CK296" s="109"/>
      <c r="CL296" s="109"/>
    </row>
    <row r="297" spans="1:90">
      <c r="A297" s="7" t="str">
        <f t="shared" si="41"/>
        <v>00580851</v>
      </c>
      <c r="B297" s="7" t="s">
        <v>2397</v>
      </c>
      <c r="C297" s="7" t="s">
        <v>2766</v>
      </c>
      <c r="D297" s="7">
        <v>288</v>
      </c>
      <c r="E297" s="7">
        <v>58</v>
      </c>
      <c r="F297" s="7" t="s">
        <v>1764</v>
      </c>
      <c r="G297" s="7">
        <v>851</v>
      </c>
      <c r="H297" s="7" t="s">
        <v>1693</v>
      </c>
      <c r="I297" s="37">
        <v>601796</v>
      </c>
      <c r="J297" s="122">
        <v>0.1292274048095762</v>
      </c>
      <c r="K297" s="123">
        <f t="shared" si="50"/>
        <v>707654.56769336073</v>
      </c>
      <c r="L297" s="122">
        <f>IF(K299&gt;0, K297/K299, 0)</f>
        <v>0.14444102980445267</v>
      </c>
      <c r="M297" s="71"/>
      <c r="N297" s="10">
        <f>ROUND(M299*L297,0)</f>
        <v>336009</v>
      </c>
      <c r="O297" s="70">
        <v>294957</v>
      </c>
      <c r="P297" s="10">
        <f>N297-O297</f>
        <v>41052</v>
      </c>
      <c r="Q297" s="46">
        <f t="shared" si="49"/>
        <v>13.917960923117606</v>
      </c>
      <c r="R297" s="10">
        <v>38</v>
      </c>
      <c r="S297" s="7">
        <f t="shared" si="42"/>
        <v>0</v>
      </c>
      <c r="T297" s="124">
        <f t="shared" si="43"/>
        <v>58</v>
      </c>
      <c r="U297" s="124">
        <f t="shared" si="44"/>
        <v>851</v>
      </c>
      <c r="V297" s="124">
        <f t="shared" si="45"/>
        <v>288</v>
      </c>
      <c r="W297" s="124">
        <f t="shared" si="46"/>
        <v>43.99999999992</v>
      </c>
      <c r="X297" s="124">
        <f t="shared" si="47"/>
        <v>707654.56769336073</v>
      </c>
      <c r="Y297" s="264">
        <f t="shared" si="48"/>
        <v>288</v>
      </c>
      <c r="Z297" s="10">
        <v>58</v>
      </c>
      <c r="AA297" s="7">
        <v>851</v>
      </c>
      <c r="AB297" s="7">
        <v>288</v>
      </c>
      <c r="AC297" s="109">
        <v>43.99999999992</v>
      </c>
      <c r="AD297" s="109">
        <v>707654.56769336073</v>
      </c>
      <c r="AE297" s="125"/>
      <c r="AF297" s="10"/>
      <c r="AI297" s="109"/>
      <c r="AJ297" s="109"/>
      <c r="AL297" s="10"/>
      <c r="AO297" s="109"/>
      <c r="AP297" s="109"/>
      <c r="AR297" s="10"/>
      <c r="AU297" s="109"/>
      <c r="AV297" s="109"/>
      <c r="AX297" s="10"/>
      <c r="BA297" s="109"/>
      <c r="BB297" s="109"/>
      <c r="BD297" s="10"/>
      <c r="BG297" s="109"/>
      <c r="BH297" s="109"/>
      <c r="BJ297" s="10"/>
      <c r="BM297" s="109"/>
      <c r="BN297" s="109"/>
      <c r="BP297" s="10"/>
      <c r="BS297" s="109"/>
      <c r="BT297" s="109"/>
      <c r="BV297" s="10"/>
      <c r="BY297" s="109"/>
      <c r="BZ297" s="109"/>
      <c r="CB297" s="10"/>
      <c r="CE297" s="109"/>
      <c r="CF297" s="109"/>
      <c r="CH297" s="10"/>
      <c r="CK297" s="109"/>
      <c r="CL297" s="109"/>
    </row>
    <row r="298" spans="1:90">
      <c r="A298" s="7" t="str">
        <f t="shared" si="41"/>
        <v>00580998</v>
      </c>
      <c r="B298" s="7" t="s">
        <v>2397</v>
      </c>
      <c r="C298" s="7" t="s">
        <v>2781</v>
      </c>
      <c r="D298" s="7">
        <v>289</v>
      </c>
      <c r="E298" s="7">
        <v>58</v>
      </c>
      <c r="F298" s="7" t="s">
        <v>2135</v>
      </c>
      <c r="G298" s="7">
        <v>998</v>
      </c>
      <c r="H298" s="7" t="s">
        <v>2135</v>
      </c>
      <c r="I298" s="37">
        <v>0</v>
      </c>
      <c r="J298" s="122">
        <v>0</v>
      </c>
      <c r="K298" s="123">
        <f t="shared" si="50"/>
        <v>0</v>
      </c>
      <c r="L298" s="122">
        <f>IF(K299&gt;0, K298/K299, 0)</f>
        <v>0</v>
      </c>
      <c r="M298" s="71"/>
      <c r="N298" s="10">
        <f>ROUND(M299*L298,0)</f>
        <v>0</v>
      </c>
      <c r="O298" s="70">
        <v>0</v>
      </c>
      <c r="P298" s="10">
        <f>N298-O298</f>
        <v>0</v>
      </c>
      <c r="Q298" s="46">
        <f t="shared" si="49"/>
        <v>0</v>
      </c>
      <c r="R298" s="10">
        <v>0</v>
      </c>
      <c r="S298" s="7">
        <f t="shared" si="42"/>
        <v>0</v>
      </c>
      <c r="T298" s="124">
        <f t="shared" si="43"/>
        <v>58</v>
      </c>
      <c r="U298" s="124">
        <f t="shared" si="44"/>
        <v>998</v>
      </c>
      <c r="V298" s="124">
        <f t="shared" si="45"/>
        <v>289</v>
      </c>
      <c r="W298" s="124">
        <f t="shared" si="46"/>
        <v>0</v>
      </c>
      <c r="X298" s="124">
        <f t="shared" si="47"/>
        <v>0</v>
      </c>
      <c r="Y298" s="264">
        <f t="shared" si="48"/>
        <v>289</v>
      </c>
      <c r="Z298" s="10">
        <v>58</v>
      </c>
      <c r="AA298" s="7">
        <v>998</v>
      </c>
      <c r="AB298" s="7">
        <v>289</v>
      </c>
      <c r="AC298" s="109">
        <v>0</v>
      </c>
      <c r="AD298" s="109">
        <v>0</v>
      </c>
      <c r="AE298" s="125"/>
      <c r="AF298" s="10"/>
      <c r="AI298" s="109"/>
      <c r="AJ298" s="109"/>
      <c r="AL298" s="10"/>
      <c r="AO298" s="109"/>
      <c r="AP298" s="109"/>
      <c r="AR298" s="10"/>
      <c r="AU298" s="109"/>
      <c r="AV298" s="109"/>
      <c r="AX298" s="10"/>
      <c r="BA298" s="109"/>
      <c r="BB298" s="109"/>
      <c r="BD298" s="10"/>
      <c r="BG298" s="109"/>
      <c r="BH298" s="109"/>
      <c r="BJ298" s="10"/>
      <c r="BM298" s="109"/>
      <c r="BN298" s="109"/>
      <c r="BP298" s="10"/>
      <c r="BS298" s="109"/>
      <c r="BT298" s="109"/>
      <c r="BV298" s="10"/>
      <c r="BY298" s="109"/>
      <c r="BZ298" s="109"/>
      <c r="CB298" s="10"/>
      <c r="CE298" s="109"/>
      <c r="CF298" s="109"/>
      <c r="CH298" s="10"/>
      <c r="CK298" s="109"/>
      <c r="CL298" s="109"/>
    </row>
    <row r="299" spans="1:90">
      <c r="A299" s="7" t="str">
        <f t="shared" si="41"/>
        <v>00580999</v>
      </c>
      <c r="B299" s="7" t="s">
        <v>2397</v>
      </c>
      <c r="C299" s="7" t="s">
        <v>2782</v>
      </c>
      <c r="D299" s="7">
        <v>290</v>
      </c>
      <c r="E299" s="11">
        <v>58</v>
      </c>
      <c r="F299" s="11" t="s">
        <v>1764</v>
      </c>
      <c r="G299" s="11">
        <v>999</v>
      </c>
      <c r="H299" s="11" t="s">
        <v>1132</v>
      </c>
      <c r="I299" s="105">
        <v>4656876</v>
      </c>
      <c r="J299" s="126">
        <v>1</v>
      </c>
      <c r="K299" s="127">
        <f>SUM(K295:K298)</f>
        <v>4899262.8247763012</v>
      </c>
      <c r="L299" s="126">
        <f>SUM(L295:L298)</f>
        <v>1</v>
      </c>
      <c r="M299" s="105">
        <f>VLOOKUP(E299,town351,22)</f>
        <v>2326269</v>
      </c>
      <c r="N299" s="105">
        <f>SUM(N295:N298)</f>
        <v>2326269</v>
      </c>
      <c r="O299" s="128">
        <v>2282463</v>
      </c>
      <c r="P299" s="105">
        <f>SUM(P295:P298)</f>
        <v>43806</v>
      </c>
      <c r="Q299" s="45">
        <f t="shared" si="49"/>
        <v>1.91924250250716</v>
      </c>
      <c r="R299" s="105">
        <v>413</v>
      </c>
      <c r="S299" s="7">
        <f t="shared" si="42"/>
        <v>0</v>
      </c>
      <c r="T299" s="124">
        <f t="shared" si="43"/>
        <v>58</v>
      </c>
      <c r="U299" s="124">
        <f t="shared" si="44"/>
        <v>999</v>
      </c>
      <c r="V299" s="124">
        <f t="shared" si="45"/>
        <v>290</v>
      </c>
      <c r="W299" s="124">
        <f t="shared" si="46"/>
        <v>427.36931818299001</v>
      </c>
      <c r="X299" s="124">
        <f t="shared" si="47"/>
        <v>4899262.8247763012</v>
      </c>
      <c r="Y299" s="264">
        <f t="shared" si="48"/>
        <v>290</v>
      </c>
      <c r="Z299" s="10">
        <v>58</v>
      </c>
      <c r="AA299" s="7">
        <v>999</v>
      </c>
      <c r="AB299" s="7">
        <v>290</v>
      </c>
      <c r="AC299" s="109">
        <v>427.36931818299001</v>
      </c>
      <c r="AD299" s="109">
        <v>4899262.8247763012</v>
      </c>
      <c r="AE299" s="125"/>
      <c r="AF299" s="10"/>
      <c r="AI299" s="109"/>
      <c r="AJ299" s="109"/>
      <c r="AL299" s="10"/>
      <c r="AO299" s="109"/>
      <c r="AP299" s="109"/>
      <c r="AR299" s="10"/>
      <c r="AU299" s="109"/>
      <c r="AV299" s="109"/>
      <c r="AX299" s="10"/>
      <c r="BA299" s="109"/>
      <c r="BB299" s="109"/>
      <c r="BD299" s="10"/>
      <c r="BG299" s="109"/>
      <c r="BH299" s="109"/>
      <c r="BJ299" s="10"/>
      <c r="BM299" s="109"/>
      <c r="BN299" s="109"/>
      <c r="BP299" s="10"/>
      <c r="BS299" s="109"/>
      <c r="BT299" s="109"/>
      <c r="BV299" s="10"/>
      <c r="BY299" s="109"/>
      <c r="BZ299" s="109"/>
      <c r="CB299" s="10"/>
      <c r="CE299" s="109"/>
      <c r="CF299" s="109"/>
      <c r="CH299" s="10"/>
      <c r="CK299" s="109"/>
      <c r="CL299" s="109"/>
    </row>
    <row r="300" spans="1:90">
      <c r="A300" s="7" t="str">
        <f t="shared" si="41"/>
        <v>00590059</v>
      </c>
      <c r="B300" s="7" t="s">
        <v>2398</v>
      </c>
      <c r="C300" s="7" t="s">
        <v>2398</v>
      </c>
      <c r="D300" s="7">
        <v>291</v>
      </c>
      <c r="E300" s="7">
        <v>59</v>
      </c>
      <c r="F300" s="7" t="s">
        <v>1765</v>
      </c>
      <c r="G300" s="7">
        <v>59</v>
      </c>
      <c r="H300" s="7" t="s">
        <v>1325</v>
      </c>
      <c r="I300" s="37">
        <v>131709.20000000001</v>
      </c>
      <c r="J300" s="122">
        <v>7.4031605521506408E-2</v>
      </c>
      <c r="K300" s="123">
        <f>X300</f>
        <v>93917.833405126818</v>
      </c>
      <c r="L300" s="122">
        <f>IF(K304&gt;0, K300/K304, 0)</f>
        <v>5.6201829138521932E-2</v>
      </c>
      <c r="M300" s="71"/>
      <c r="N300" s="10">
        <f>ROUND(M304*L300,0)</f>
        <v>48725</v>
      </c>
      <c r="O300" s="70">
        <v>66688</v>
      </c>
      <c r="P300" s="10">
        <f>N300-O300</f>
        <v>-17963</v>
      </c>
      <c r="Q300" s="46">
        <f t="shared" si="49"/>
        <v>-26.935880518234164</v>
      </c>
      <c r="R300" s="10">
        <v>10</v>
      </c>
      <c r="S300" s="7">
        <f t="shared" si="42"/>
        <v>0</v>
      </c>
      <c r="T300" s="124">
        <f t="shared" si="43"/>
        <v>59</v>
      </c>
      <c r="U300" s="124">
        <f t="shared" si="44"/>
        <v>59</v>
      </c>
      <c r="V300" s="124">
        <f t="shared" si="45"/>
        <v>291</v>
      </c>
      <c r="W300" s="124">
        <f t="shared" si="46"/>
        <v>7</v>
      </c>
      <c r="X300" s="124">
        <f t="shared" si="47"/>
        <v>93917.833405126818</v>
      </c>
      <c r="Y300" s="264">
        <f t="shared" si="48"/>
        <v>291</v>
      </c>
      <c r="Z300" s="10">
        <v>59</v>
      </c>
      <c r="AA300" s="7">
        <v>59</v>
      </c>
      <c r="AB300" s="7">
        <v>291</v>
      </c>
      <c r="AC300" s="109">
        <v>7</v>
      </c>
      <c r="AD300" s="109">
        <v>93917.833405126818</v>
      </c>
      <c r="AE300" s="125"/>
      <c r="AF300" s="10"/>
      <c r="AI300" s="109"/>
      <c r="AJ300" s="109"/>
      <c r="AL300" s="10"/>
      <c r="AO300" s="109"/>
      <c r="AP300" s="109"/>
      <c r="AR300" s="10"/>
      <c r="AU300" s="109"/>
      <c r="AV300" s="109"/>
      <c r="AX300" s="10"/>
      <c r="BA300" s="109"/>
      <c r="BB300" s="109"/>
      <c r="BD300" s="10"/>
      <c r="BG300" s="109"/>
      <c r="BH300" s="109"/>
      <c r="BJ300" s="10"/>
      <c r="BM300" s="109"/>
      <c r="BN300" s="109"/>
      <c r="BP300" s="10"/>
      <c r="BS300" s="109"/>
      <c r="BT300" s="109"/>
      <c r="BV300" s="10"/>
      <c r="BY300" s="109"/>
      <c r="BZ300" s="109"/>
      <c r="CB300" s="10"/>
      <c r="CE300" s="109"/>
      <c r="CF300" s="109"/>
      <c r="CH300" s="10"/>
      <c r="CK300" s="109"/>
      <c r="CL300" s="109"/>
    </row>
    <row r="301" spans="1:90">
      <c r="A301" s="7" t="str">
        <f t="shared" si="41"/>
        <v>00590672</v>
      </c>
      <c r="B301" s="7" t="s">
        <v>2398</v>
      </c>
      <c r="C301" s="7" t="s">
        <v>2715</v>
      </c>
      <c r="D301" s="7">
        <v>292</v>
      </c>
      <c r="E301" s="7">
        <v>59</v>
      </c>
      <c r="F301" s="7" t="s">
        <v>1765</v>
      </c>
      <c r="G301" s="7">
        <v>672</v>
      </c>
      <c r="H301" s="7" t="s">
        <v>1642</v>
      </c>
      <c r="I301" s="37">
        <v>1647385</v>
      </c>
      <c r="J301" s="122">
        <v>0.92596839447849366</v>
      </c>
      <c r="K301" s="123">
        <f t="shared" si="50"/>
        <v>1577163.603706918</v>
      </c>
      <c r="L301" s="122">
        <f>IF(K304&gt;0, K301/K304, 0)</f>
        <v>0.9437981708614781</v>
      </c>
      <c r="M301" s="71"/>
      <c r="N301" s="10">
        <f>ROUND(M304*L301,0)</f>
        <v>818243</v>
      </c>
      <c r="O301" s="70">
        <v>834112</v>
      </c>
      <c r="P301" s="10">
        <f>N301-O301</f>
        <v>-15869</v>
      </c>
      <c r="Q301" s="46">
        <f t="shared" si="49"/>
        <v>-1.9025023018491523</v>
      </c>
      <c r="R301" s="10">
        <v>161</v>
      </c>
      <c r="S301" s="7">
        <f t="shared" si="42"/>
        <v>0</v>
      </c>
      <c r="T301" s="124">
        <f t="shared" si="43"/>
        <v>59</v>
      </c>
      <c r="U301" s="124">
        <f t="shared" si="44"/>
        <v>672</v>
      </c>
      <c r="V301" s="124">
        <f t="shared" si="45"/>
        <v>292</v>
      </c>
      <c r="W301" s="124">
        <f t="shared" si="46"/>
        <v>151.08138238160001</v>
      </c>
      <c r="X301" s="124">
        <f t="shared" si="47"/>
        <v>1577163.603706918</v>
      </c>
      <c r="Y301" s="264">
        <f t="shared" si="48"/>
        <v>292</v>
      </c>
      <c r="Z301" s="10">
        <v>59</v>
      </c>
      <c r="AA301" s="7">
        <v>672</v>
      </c>
      <c r="AB301" s="7">
        <v>292</v>
      </c>
      <c r="AC301" s="109">
        <v>151.08138238160001</v>
      </c>
      <c r="AD301" s="109">
        <v>1577163.603706918</v>
      </c>
      <c r="AE301" s="125"/>
      <c r="AF301" s="10"/>
      <c r="AI301" s="109"/>
      <c r="AJ301" s="109"/>
      <c r="AL301" s="10"/>
      <c r="AO301" s="109"/>
      <c r="AP301" s="109"/>
      <c r="AR301" s="10"/>
      <c r="AU301" s="109"/>
      <c r="AV301" s="109"/>
      <c r="AX301" s="10"/>
      <c r="BA301" s="109"/>
      <c r="BB301" s="109"/>
      <c r="BD301" s="10"/>
      <c r="BG301" s="109"/>
      <c r="BH301" s="109"/>
      <c r="BJ301" s="10"/>
      <c r="BM301" s="109"/>
      <c r="BN301" s="109"/>
      <c r="BP301" s="10"/>
      <c r="BS301" s="109"/>
      <c r="BT301" s="109"/>
      <c r="BV301" s="10"/>
      <c r="BY301" s="109"/>
      <c r="BZ301" s="109"/>
      <c r="CB301" s="10"/>
      <c r="CE301" s="109"/>
      <c r="CF301" s="109"/>
      <c r="CH301" s="10"/>
      <c r="CK301" s="109"/>
      <c r="CL301" s="109"/>
    </row>
    <row r="302" spans="1:90">
      <c r="A302" s="7" t="str">
        <f t="shared" si="41"/>
        <v>00590998</v>
      </c>
      <c r="B302" s="7" t="s">
        <v>2398</v>
      </c>
      <c r="C302" s="7" t="s">
        <v>2781</v>
      </c>
      <c r="D302" s="7">
        <v>293</v>
      </c>
      <c r="E302" s="7">
        <v>59</v>
      </c>
      <c r="F302" s="7" t="s">
        <v>2135</v>
      </c>
      <c r="G302" s="7">
        <v>998</v>
      </c>
      <c r="H302" s="7" t="s">
        <v>2135</v>
      </c>
      <c r="I302" s="37">
        <v>0</v>
      </c>
      <c r="J302" s="122">
        <v>0</v>
      </c>
      <c r="K302" s="123">
        <f t="shared" si="50"/>
        <v>0</v>
      </c>
      <c r="L302" s="122">
        <f>IF(K304&gt;0, K302/K304, 0)</f>
        <v>0</v>
      </c>
      <c r="M302" s="71"/>
      <c r="N302" s="10">
        <f>ROUND(M304*L302,0)</f>
        <v>0</v>
      </c>
      <c r="O302" s="70">
        <v>0</v>
      </c>
      <c r="P302" s="10">
        <f>N302-O302</f>
        <v>0</v>
      </c>
      <c r="Q302" s="46">
        <f t="shared" si="49"/>
        <v>0</v>
      </c>
      <c r="R302" s="10">
        <v>0</v>
      </c>
      <c r="S302" s="7">
        <f t="shared" si="42"/>
        <v>0</v>
      </c>
      <c r="T302" s="124">
        <f t="shared" si="43"/>
        <v>59</v>
      </c>
      <c r="U302" s="124">
        <f t="shared" si="44"/>
        <v>998</v>
      </c>
      <c r="V302" s="124">
        <f t="shared" si="45"/>
        <v>293</v>
      </c>
      <c r="W302" s="124">
        <f t="shared" si="46"/>
        <v>0</v>
      </c>
      <c r="X302" s="124">
        <f t="shared" si="47"/>
        <v>0</v>
      </c>
      <c r="Y302" s="264">
        <f t="shared" si="48"/>
        <v>293</v>
      </c>
      <c r="Z302" s="10">
        <v>59</v>
      </c>
      <c r="AA302" s="7">
        <v>998</v>
      </c>
      <c r="AB302" s="7">
        <v>293</v>
      </c>
      <c r="AC302" s="109">
        <v>0</v>
      </c>
      <c r="AD302" s="109">
        <v>0</v>
      </c>
      <c r="AE302" s="125"/>
      <c r="AF302" s="10"/>
      <c r="AI302" s="109"/>
      <c r="AJ302" s="109"/>
      <c r="AL302" s="10"/>
      <c r="AO302" s="109"/>
      <c r="AP302" s="109"/>
      <c r="AR302" s="10"/>
      <c r="AU302" s="109"/>
      <c r="AV302" s="109"/>
      <c r="AX302" s="10"/>
      <c r="BA302" s="109"/>
      <c r="BB302" s="109"/>
      <c r="BD302" s="10"/>
      <c r="BG302" s="109"/>
      <c r="BH302" s="109"/>
      <c r="BJ302" s="10"/>
      <c r="BM302" s="109"/>
      <c r="BN302" s="109"/>
      <c r="BP302" s="10"/>
      <c r="BS302" s="109"/>
      <c r="BT302" s="109"/>
      <c r="BV302" s="10"/>
      <c r="BY302" s="109"/>
      <c r="BZ302" s="109"/>
      <c r="CB302" s="10"/>
      <c r="CE302" s="109"/>
      <c r="CF302" s="109"/>
      <c r="CH302" s="10"/>
      <c r="CK302" s="109"/>
      <c r="CL302" s="109"/>
    </row>
    <row r="303" spans="1:90">
      <c r="A303" s="7" t="str">
        <f t="shared" si="41"/>
        <v>00590998</v>
      </c>
      <c r="B303" s="7" t="s">
        <v>2398</v>
      </c>
      <c r="C303" s="7" t="s">
        <v>2781</v>
      </c>
      <c r="D303" s="7">
        <v>294</v>
      </c>
      <c r="E303" s="7">
        <v>59</v>
      </c>
      <c r="F303" s="7" t="s">
        <v>2135</v>
      </c>
      <c r="G303" s="7">
        <v>998</v>
      </c>
      <c r="H303" s="7" t="s">
        <v>2135</v>
      </c>
      <c r="I303" s="37">
        <v>0</v>
      </c>
      <c r="J303" s="122">
        <v>0</v>
      </c>
      <c r="K303" s="123">
        <f t="shared" si="50"/>
        <v>0</v>
      </c>
      <c r="L303" s="122">
        <f>IF(K304&gt;0, K303/K304, 0)</f>
        <v>0</v>
      </c>
      <c r="M303" s="71"/>
      <c r="N303" s="10">
        <f>ROUND(M304*L303,0)</f>
        <v>0</v>
      </c>
      <c r="O303" s="70">
        <v>0</v>
      </c>
      <c r="P303" s="10">
        <f>N303-O303</f>
        <v>0</v>
      </c>
      <c r="Q303" s="46">
        <f t="shared" si="49"/>
        <v>0</v>
      </c>
      <c r="R303" s="10">
        <v>0</v>
      </c>
      <c r="S303" s="7">
        <f t="shared" si="42"/>
        <v>0</v>
      </c>
      <c r="T303" s="124">
        <f t="shared" si="43"/>
        <v>59</v>
      </c>
      <c r="U303" s="124">
        <f t="shared" si="44"/>
        <v>998</v>
      </c>
      <c r="V303" s="124">
        <f t="shared" si="45"/>
        <v>294</v>
      </c>
      <c r="W303" s="124">
        <f t="shared" si="46"/>
        <v>0</v>
      </c>
      <c r="X303" s="124">
        <f t="shared" si="47"/>
        <v>0</v>
      </c>
      <c r="Y303" s="264">
        <f t="shared" si="48"/>
        <v>294</v>
      </c>
      <c r="Z303" s="10">
        <v>59</v>
      </c>
      <c r="AA303" s="7">
        <v>998</v>
      </c>
      <c r="AB303" s="7">
        <v>294</v>
      </c>
      <c r="AC303" s="109">
        <v>0</v>
      </c>
      <c r="AD303" s="109">
        <v>0</v>
      </c>
      <c r="AE303" s="125"/>
      <c r="AF303" s="10"/>
      <c r="AI303" s="109"/>
      <c r="AJ303" s="109"/>
      <c r="AL303" s="10"/>
      <c r="AO303" s="109"/>
      <c r="AP303" s="109"/>
      <c r="AR303" s="10"/>
      <c r="AU303" s="109"/>
      <c r="AV303" s="109"/>
      <c r="AX303" s="10"/>
      <c r="BA303" s="109"/>
      <c r="BB303" s="109"/>
      <c r="BD303" s="10"/>
      <c r="BG303" s="109"/>
      <c r="BH303" s="109"/>
      <c r="BJ303" s="10"/>
      <c r="BM303" s="109"/>
      <c r="BN303" s="109"/>
      <c r="BP303" s="10"/>
      <c r="BS303" s="109"/>
      <c r="BT303" s="109"/>
      <c r="BV303" s="10"/>
      <c r="BY303" s="109"/>
      <c r="BZ303" s="109"/>
      <c r="CB303" s="10"/>
      <c r="CE303" s="109"/>
      <c r="CF303" s="109"/>
      <c r="CH303" s="10"/>
      <c r="CK303" s="109"/>
      <c r="CL303" s="109"/>
    </row>
    <row r="304" spans="1:90">
      <c r="A304" s="7" t="str">
        <f t="shared" si="41"/>
        <v>00590999</v>
      </c>
      <c r="B304" s="7" t="s">
        <v>2398</v>
      </c>
      <c r="C304" s="7" t="s">
        <v>2782</v>
      </c>
      <c r="D304" s="7">
        <v>295</v>
      </c>
      <c r="E304" s="11">
        <v>59</v>
      </c>
      <c r="F304" s="11" t="s">
        <v>1765</v>
      </c>
      <c r="G304" s="11">
        <v>999</v>
      </c>
      <c r="H304" s="11" t="s">
        <v>1132</v>
      </c>
      <c r="I304" s="105">
        <v>1779094.2</v>
      </c>
      <c r="J304" s="126">
        <v>1</v>
      </c>
      <c r="K304" s="127">
        <f>SUM(K300:K303)</f>
        <v>1671081.4371120448</v>
      </c>
      <c r="L304" s="126">
        <f>SUM(L300:L303)</f>
        <v>1</v>
      </c>
      <c r="M304" s="105">
        <f>VLOOKUP(E304,town351,22)</f>
        <v>866968</v>
      </c>
      <c r="N304" s="105">
        <f>SUM(N300:N303)</f>
        <v>866968</v>
      </c>
      <c r="O304" s="128">
        <v>900800</v>
      </c>
      <c r="P304" s="105">
        <f>SUM(P300:P303)</f>
        <v>-33832</v>
      </c>
      <c r="Q304" s="45">
        <f t="shared" si="49"/>
        <v>-3.7557726465364123</v>
      </c>
      <c r="R304" s="105">
        <v>171</v>
      </c>
      <c r="S304" s="7">
        <f t="shared" si="42"/>
        <v>0</v>
      </c>
      <c r="T304" s="124">
        <f t="shared" si="43"/>
        <v>59</v>
      </c>
      <c r="U304" s="124">
        <f t="shared" si="44"/>
        <v>999</v>
      </c>
      <c r="V304" s="124">
        <f t="shared" si="45"/>
        <v>295</v>
      </c>
      <c r="W304" s="124">
        <f t="shared" si="46"/>
        <v>158.08138238160001</v>
      </c>
      <c r="X304" s="124">
        <f t="shared" si="47"/>
        <v>1671081.4371120448</v>
      </c>
      <c r="Y304" s="264">
        <f t="shared" si="48"/>
        <v>295</v>
      </c>
      <c r="Z304" s="10">
        <v>59</v>
      </c>
      <c r="AA304" s="7">
        <v>999</v>
      </c>
      <c r="AB304" s="7">
        <v>295</v>
      </c>
      <c r="AC304" s="109">
        <v>158.08138238160001</v>
      </c>
      <c r="AD304" s="109">
        <v>1671081.4371120448</v>
      </c>
      <c r="AE304" s="125"/>
      <c r="AF304" s="10"/>
      <c r="AI304" s="109"/>
      <c r="AJ304" s="109"/>
      <c r="AL304" s="10"/>
      <c r="AO304" s="109"/>
      <c r="AP304" s="109"/>
      <c r="AR304" s="10"/>
      <c r="AU304" s="109"/>
      <c r="AV304" s="109"/>
      <c r="AX304" s="10"/>
      <c r="BA304" s="109"/>
      <c r="BB304" s="109"/>
      <c r="BD304" s="10"/>
      <c r="BG304" s="109"/>
      <c r="BH304" s="109"/>
      <c r="BJ304" s="10"/>
      <c r="BM304" s="109"/>
      <c r="BN304" s="109"/>
      <c r="BP304" s="10"/>
      <c r="BS304" s="109"/>
      <c r="BT304" s="109"/>
      <c r="BV304" s="10"/>
      <c r="BY304" s="109"/>
      <c r="BZ304" s="109"/>
      <c r="CB304" s="10"/>
      <c r="CE304" s="109"/>
      <c r="CF304" s="109"/>
      <c r="CH304" s="10"/>
      <c r="CK304" s="109"/>
      <c r="CL304" s="109"/>
    </row>
    <row r="305" spans="1:90">
      <c r="A305" s="7" t="str">
        <f t="shared" si="41"/>
        <v>00600060</v>
      </c>
      <c r="B305" s="7" t="s">
        <v>2399</v>
      </c>
      <c r="C305" s="7" t="s">
        <v>2399</v>
      </c>
      <c r="D305" s="7">
        <v>296</v>
      </c>
      <c r="E305" s="7">
        <v>60</v>
      </c>
      <c r="F305" s="7" t="s">
        <v>1766</v>
      </c>
      <c r="G305" s="7">
        <v>60</v>
      </c>
      <c r="H305" s="7" t="s">
        <v>1326</v>
      </c>
      <c r="I305" s="37">
        <v>262353.24</v>
      </c>
      <c r="J305" s="122">
        <v>0.16702011978393727</v>
      </c>
      <c r="K305" s="123">
        <f>X305</f>
        <v>267134.68272901117</v>
      </c>
      <c r="L305" s="122">
        <f>IF(K309&gt;0, K305/K309, 0)</f>
        <v>0.17642636980684503</v>
      </c>
      <c r="M305" s="71"/>
      <c r="N305" s="10">
        <f>ROUND(M309*L305,0)</f>
        <v>162099</v>
      </c>
      <c r="O305" s="70">
        <v>155148</v>
      </c>
      <c r="P305" s="10">
        <f>N305-O305</f>
        <v>6951</v>
      </c>
      <c r="Q305" s="46">
        <f t="shared" si="49"/>
        <v>4.480238224147266</v>
      </c>
      <c r="R305" s="10">
        <v>18</v>
      </c>
      <c r="S305" s="7">
        <f t="shared" si="42"/>
        <v>0</v>
      </c>
      <c r="T305" s="124">
        <f t="shared" si="43"/>
        <v>60</v>
      </c>
      <c r="U305" s="124">
        <f t="shared" si="44"/>
        <v>60</v>
      </c>
      <c r="V305" s="124">
        <f t="shared" si="45"/>
        <v>296</v>
      </c>
      <c r="W305" s="124">
        <f t="shared" si="46"/>
        <v>18</v>
      </c>
      <c r="X305" s="124">
        <f t="shared" si="47"/>
        <v>267134.68272901117</v>
      </c>
      <c r="Y305" s="264">
        <f t="shared" si="48"/>
        <v>296</v>
      </c>
      <c r="Z305" s="10">
        <v>60</v>
      </c>
      <c r="AA305" s="7">
        <v>60</v>
      </c>
      <c r="AB305" s="7">
        <v>296</v>
      </c>
      <c r="AC305" s="109">
        <v>18</v>
      </c>
      <c r="AD305" s="109">
        <v>267134.68272901117</v>
      </c>
      <c r="AE305" s="125"/>
      <c r="AF305" s="10"/>
      <c r="AI305" s="109"/>
      <c r="AJ305" s="109"/>
      <c r="AL305" s="10"/>
      <c r="AO305" s="109"/>
      <c r="AP305" s="109"/>
      <c r="AR305" s="10"/>
      <c r="AU305" s="109"/>
      <c r="AV305" s="109"/>
      <c r="AX305" s="10"/>
      <c r="BA305" s="109"/>
      <c r="BB305" s="109"/>
      <c r="BD305" s="10"/>
      <c r="BG305" s="109"/>
      <c r="BH305" s="109"/>
      <c r="BJ305" s="10"/>
      <c r="BM305" s="109"/>
      <c r="BN305" s="109"/>
      <c r="BP305" s="10"/>
      <c r="BS305" s="109"/>
      <c r="BT305" s="109"/>
      <c r="BV305" s="10"/>
      <c r="BY305" s="109"/>
      <c r="BZ305" s="109"/>
      <c r="CB305" s="10"/>
      <c r="CE305" s="109"/>
      <c r="CF305" s="109"/>
      <c r="CH305" s="10"/>
      <c r="CK305" s="109"/>
      <c r="CL305" s="109"/>
    </row>
    <row r="306" spans="1:90">
      <c r="A306" s="7" t="str">
        <f t="shared" si="41"/>
        <v>00600632</v>
      </c>
      <c r="B306" s="7" t="s">
        <v>2399</v>
      </c>
      <c r="C306" s="7" t="s">
        <v>2704</v>
      </c>
      <c r="D306" s="7">
        <v>297</v>
      </c>
      <c r="E306" s="7">
        <v>60</v>
      </c>
      <c r="F306" s="7" t="s">
        <v>1766</v>
      </c>
      <c r="G306" s="7">
        <v>632</v>
      </c>
      <c r="H306" s="7" t="s">
        <v>1631</v>
      </c>
      <c r="I306" s="37">
        <v>629673</v>
      </c>
      <c r="J306" s="122">
        <v>0.40086434566125856</v>
      </c>
      <c r="K306" s="123">
        <f t="shared" si="50"/>
        <v>616846.35495207075</v>
      </c>
      <c r="L306" s="122">
        <f>IF(K309&gt;0, K306/K309, 0)</f>
        <v>0.40738986799095844</v>
      </c>
      <c r="M306" s="71"/>
      <c r="N306" s="10">
        <f>ROUND(M309*L306,0)</f>
        <v>374305</v>
      </c>
      <c r="O306" s="70">
        <v>372369</v>
      </c>
      <c r="P306" s="10">
        <f>N306-O306</f>
        <v>1936</v>
      </c>
      <c r="Q306" s="46">
        <f t="shared" si="49"/>
        <v>0.51991438599883444</v>
      </c>
      <c r="R306" s="10">
        <v>63</v>
      </c>
      <c r="S306" s="7">
        <f t="shared" si="42"/>
        <v>0</v>
      </c>
      <c r="T306" s="124">
        <f t="shared" si="43"/>
        <v>60</v>
      </c>
      <c r="U306" s="124">
        <f t="shared" si="44"/>
        <v>632</v>
      </c>
      <c r="V306" s="124">
        <f t="shared" si="45"/>
        <v>297</v>
      </c>
      <c r="W306" s="124">
        <f t="shared" si="46"/>
        <v>62.967741935719992</v>
      </c>
      <c r="X306" s="124">
        <f t="shared" si="47"/>
        <v>616846.35495207075</v>
      </c>
      <c r="Y306" s="264">
        <f t="shared" si="48"/>
        <v>297</v>
      </c>
      <c r="Z306" s="10">
        <v>60</v>
      </c>
      <c r="AA306" s="7">
        <v>632</v>
      </c>
      <c r="AB306" s="7">
        <v>297</v>
      </c>
      <c r="AC306" s="109">
        <v>62.967741935719992</v>
      </c>
      <c r="AD306" s="109">
        <v>616846.35495207075</v>
      </c>
      <c r="AE306" s="125"/>
      <c r="AF306" s="10"/>
      <c r="AI306" s="109"/>
      <c r="AJ306" s="109"/>
      <c r="AL306" s="10"/>
      <c r="AO306" s="109"/>
      <c r="AP306" s="109"/>
      <c r="AR306" s="10"/>
      <c r="AU306" s="109"/>
      <c r="AV306" s="109"/>
      <c r="AX306" s="10"/>
      <c r="BA306" s="109"/>
      <c r="BB306" s="109"/>
      <c r="BD306" s="10"/>
      <c r="BG306" s="109"/>
      <c r="BH306" s="109"/>
      <c r="BJ306" s="10"/>
      <c r="BM306" s="109"/>
      <c r="BN306" s="109"/>
      <c r="BP306" s="10"/>
      <c r="BS306" s="109"/>
      <c r="BT306" s="109"/>
      <c r="BV306" s="10"/>
      <c r="BY306" s="109"/>
      <c r="BZ306" s="109"/>
      <c r="CB306" s="10"/>
      <c r="CE306" s="109"/>
      <c r="CF306" s="109"/>
      <c r="CH306" s="10"/>
      <c r="CK306" s="109"/>
      <c r="CL306" s="109"/>
    </row>
    <row r="307" spans="1:90">
      <c r="A307" s="7" t="str">
        <f t="shared" si="41"/>
        <v>00600683</v>
      </c>
      <c r="B307" s="7" t="s">
        <v>2399</v>
      </c>
      <c r="C307" s="7" t="s">
        <v>2720</v>
      </c>
      <c r="D307" s="7">
        <v>298</v>
      </c>
      <c r="E307" s="7">
        <v>60</v>
      </c>
      <c r="F307" s="7" t="s">
        <v>1766</v>
      </c>
      <c r="G307" s="7">
        <v>683</v>
      </c>
      <c r="H307" s="7" t="s">
        <v>1647</v>
      </c>
      <c r="I307" s="37">
        <v>678762</v>
      </c>
      <c r="J307" s="122">
        <v>0.43211553455480417</v>
      </c>
      <c r="K307" s="123">
        <f t="shared" si="50"/>
        <v>630161.56481918681</v>
      </c>
      <c r="L307" s="122">
        <f>IF(K309&gt;0, K307/K309, 0)</f>
        <v>0.41618376220219649</v>
      </c>
      <c r="M307" s="71"/>
      <c r="N307" s="10">
        <f>ROUND(M309*L307,0)</f>
        <v>382385</v>
      </c>
      <c r="O307" s="70">
        <v>401399</v>
      </c>
      <c r="P307" s="10">
        <f>N307-O307</f>
        <v>-19014</v>
      </c>
      <c r="Q307" s="46">
        <f t="shared" si="49"/>
        <v>-4.7369325783073704</v>
      </c>
      <c r="R307" s="10">
        <v>68</v>
      </c>
      <c r="S307" s="7">
        <f t="shared" si="42"/>
        <v>0</v>
      </c>
      <c r="T307" s="124">
        <f t="shared" si="43"/>
        <v>60</v>
      </c>
      <c r="U307" s="124">
        <f t="shared" si="44"/>
        <v>683</v>
      </c>
      <c r="V307" s="124">
        <f t="shared" si="45"/>
        <v>298</v>
      </c>
      <c r="W307" s="124">
        <f t="shared" si="46"/>
        <v>62.176638177280005</v>
      </c>
      <c r="X307" s="124">
        <f t="shared" si="47"/>
        <v>630161.56481918681</v>
      </c>
      <c r="Y307" s="264">
        <f t="shared" si="48"/>
        <v>298</v>
      </c>
      <c r="Z307" s="10">
        <v>60</v>
      </c>
      <c r="AA307" s="7">
        <v>683</v>
      </c>
      <c r="AB307" s="7">
        <v>298</v>
      </c>
      <c r="AC307" s="109">
        <v>62.176638177280005</v>
      </c>
      <c r="AD307" s="109">
        <v>630161.56481918681</v>
      </c>
      <c r="AE307" s="125"/>
      <c r="AF307" s="10"/>
      <c r="AI307" s="109"/>
      <c r="AJ307" s="109"/>
      <c r="AL307" s="10"/>
      <c r="AO307" s="109"/>
      <c r="AP307" s="109"/>
      <c r="AR307" s="10"/>
      <c r="AU307" s="109"/>
      <c r="AV307" s="109"/>
      <c r="AX307" s="10"/>
      <c r="BA307" s="109"/>
      <c r="BB307" s="109"/>
      <c r="BD307" s="10"/>
      <c r="BG307" s="109"/>
      <c r="BH307" s="109"/>
      <c r="BJ307" s="10"/>
      <c r="BM307" s="109"/>
      <c r="BN307" s="109"/>
      <c r="BP307" s="10"/>
      <c r="BS307" s="109"/>
      <c r="BT307" s="109"/>
      <c r="BV307" s="10"/>
      <c r="BY307" s="109"/>
      <c r="BZ307" s="109"/>
      <c r="CB307" s="10"/>
      <c r="CE307" s="109"/>
      <c r="CF307" s="109"/>
      <c r="CH307" s="10"/>
      <c r="CK307" s="109"/>
      <c r="CL307" s="109"/>
    </row>
    <row r="308" spans="1:90">
      <c r="A308" s="7" t="str">
        <f t="shared" si="41"/>
        <v>00600998</v>
      </c>
      <c r="B308" s="7" t="s">
        <v>2399</v>
      </c>
      <c r="C308" s="7" t="s">
        <v>2781</v>
      </c>
      <c r="D308" s="7">
        <v>299</v>
      </c>
      <c r="E308" s="7">
        <v>60</v>
      </c>
      <c r="F308" s="7" t="s">
        <v>2135</v>
      </c>
      <c r="G308" s="7">
        <v>998</v>
      </c>
      <c r="H308" s="7" t="s">
        <v>2135</v>
      </c>
      <c r="I308" s="37">
        <v>0</v>
      </c>
      <c r="J308" s="122">
        <v>0</v>
      </c>
      <c r="K308" s="123">
        <f t="shared" si="50"/>
        <v>0</v>
      </c>
      <c r="L308" s="122">
        <f>IF(K309&gt;0, K308/K309, 0)</f>
        <v>0</v>
      </c>
      <c r="M308" s="71"/>
      <c r="N308" s="10">
        <f>ROUND(M309*L308,0)</f>
        <v>0</v>
      </c>
      <c r="O308" s="70">
        <v>0</v>
      </c>
      <c r="P308" s="10">
        <f>N308-O308</f>
        <v>0</v>
      </c>
      <c r="Q308" s="46">
        <f t="shared" si="49"/>
        <v>0</v>
      </c>
      <c r="R308" s="10">
        <v>0</v>
      </c>
      <c r="S308" s="7">
        <f t="shared" si="42"/>
        <v>0</v>
      </c>
      <c r="T308" s="124">
        <f t="shared" si="43"/>
        <v>60</v>
      </c>
      <c r="U308" s="124">
        <f t="shared" si="44"/>
        <v>998</v>
      </c>
      <c r="V308" s="124">
        <f t="shared" si="45"/>
        <v>299</v>
      </c>
      <c r="W308" s="124">
        <f t="shared" si="46"/>
        <v>0</v>
      </c>
      <c r="X308" s="124">
        <f t="shared" si="47"/>
        <v>0</v>
      </c>
      <c r="Y308" s="264">
        <f t="shared" si="48"/>
        <v>299</v>
      </c>
      <c r="Z308" s="10">
        <v>60</v>
      </c>
      <c r="AA308" s="7">
        <v>998</v>
      </c>
      <c r="AB308" s="7">
        <v>299</v>
      </c>
      <c r="AC308" s="109">
        <v>0</v>
      </c>
      <c r="AD308" s="109">
        <v>0</v>
      </c>
      <c r="AE308" s="125"/>
      <c r="AF308" s="10"/>
      <c r="AI308" s="109"/>
      <c r="AJ308" s="109"/>
      <c r="AL308" s="10"/>
      <c r="AO308" s="109"/>
      <c r="AP308" s="109"/>
      <c r="AR308" s="10"/>
      <c r="AU308" s="109"/>
      <c r="AV308" s="109"/>
      <c r="AX308" s="10"/>
      <c r="BA308" s="109"/>
      <c r="BB308" s="109"/>
      <c r="BD308" s="10"/>
      <c r="BG308" s="109"/>
      <c r="BH308" s="109"/>
      <c r="BJ308" s="10"/>
      <c r="BM308" s="109"/>
      <c r="BN308" s="109"/>
      <c r="BP308" s="10"/>
      <c r="BS308" s="109"/>
      <c r="BT308" s="109"/>
      <c r="BV308" s="10"/>
      <c r="BY308" s="109"/>
      <c r="BZ308" s="109"/>
      <c r="CB308" s="10"/>
      <c r="CE308" s="109"/>
      <c r="CF308" s="109"/>
      <c r="CH308" s="10"/>
      <c r="CK308" s="109"/>
      <c r="CL308" s="109"/>
    </row>
    <row r="309" spans="1:90">
      <c r="A309" s="7" t="str">
        <f t="shared" si="41"/>
        <v>00600999</v>
      </c>
      <c r="B309" s="7" t="s">
        <v>2399</v>
      </c>
      <c r="C309" s="7" t="s">
        <v>2782</v>
      </c>
      <c r="D309" s="7">
        <v>300</v>
      </c>
      <c r="E309" s="11">
        <v>60</v>
      </c>
      <c r="F309" s="11" t="s">
        <v>1766</v>
      </c>
      <c r="G309" s="11">
        <v>999</v>
      </c>
      <c r="H309" s="11" t="s">
        <v>1132</v>
      </c>
      <c r="I309" s="105">
        <v>1570788.24</v>
      </c>
      <c r="J309" s="126">
        <v>1</v>
      </c>
      <c r="K309" s="127">
        <f>SUM(K305:K308)</f>
        <v>1514142.6025002687</v>
      </c>
      <c r="L309" s="126">
        <f>SUM(L305:L308)</f>
        <v>1</v>
      </c>
      <c r="M309" s="105">
        <f>VLOOKUP(E309,town351,22)</f>
        <v>918789</v>
      </c>
      <c r="N309" s="105">
        <f>SUM(N305:N308)</f>
        <v>918789</v>
      </c>
      <c r="O309" s="128">
        <v>928916</v>
      </c>
      <c r="P309" s="105">
        <f>SUM(P305:P308)</f>
        <v>-10127</v>
      </c>
      <c r="Q309" s="45">
        <f t="shared" si="49"/>
        <v>-1.0901954536255163</v>
      </c>
      <c r="R309" s="105">
        <v>149</v>
      </c>
      <c r="S309" s="7">
        <f t="shared" si="42"/>
        <v>0</v>
      </c>
      <c r="T309" s="124">
        <f t="shared" si="43"/>
        <v>60</v>
      </c>
      <c r="U309" s="124">
        <f t="shared" si="44"/>
        <v>999</v>
      </c>
      <c r="V309" s="124">
        <f t="shared" si="45"/>
        <v>300</v>
      </c>
      <c r="W309" s="124">
        <f t="shared" si="46"/>
        <v>143.14438011300001</v>
      </c>
      <c r="X309" s="124">
        <f t="shared" si="47"/>
        <v>1514142.6025002687</v>
      </c>
      <c r="Y309" s="264">
        <f t="shared" si="48"/>
        <v>300</v>
      </c>
      <c r="Z309" s="10">
        <v>60</v>
      </c>
      <c r="AA309" s="7">
        <v>999</v>
      </c>
      <c r="AB309" s="7">
        <v>300</v>
      </c>
      <c r="AC309" s="109">
        <v>143.14438011300001</v>
      </c>
      <c r="AD309" s="109">
        <v>1514142.6025002687</v>
      </c>
      <c r="AE309" s="125"/>
      <c r="AF309" s="10"/>
      <c r="AI309" s="109"/>
      <c r="AJ309" s="109"/>
      <c r="AL309" s="10"/>
      <c r="AO309" s="109"/>
      <c r="AP309" s="109"/>
      <c r="AR309" s="10"/>
      <c r="AU309" s="109"/>
      <c r="AV309" s="109"/>
      <c r="AX309" s="10"/>
      <c r="BA309" s="109"/>
      <c r="BB309" s="109"/>
      <c r="BD309" s="10"/>
      <c r="BG309" s="109"/>
      <c r="BH309" s="109"/>
      <c r="BJ309" s="10"/>
      <c r="BM309" s="109"/>
      <c r="BN309" s="109"/>
      <c r="BP309" s="10"/>
      <c r="BS309" s="109"/>
      <c r="BT309" s="109"/>
      <c r="BV309" s="10"/>
      <c r="BY309" s="109"/>
      <c r="BZ309" s="109"/>
      <c r="CB309" s="10"/>
      <c r="CE309" s="109"/>
      <c r="CF309" s="109"/>
      <c r="CH309" s="10"/>
      <c r="CK309" s="109"/>
      <c r="CL309" s="109"/>
    </row>
    <row r="310" spans="1:90">
      <c r="A310" s="7" t="str">
        <f t="shared" si="41"/>
        <v>00610061</v>
      </c>
      <c r="B310" s="7" t="s">
        <v>2400</v>
      </c>
      <c r="C310" s="7" t="s">
        <v>2400</v>
      </c>
      <c r="D310" s="7">
        <v>301</v>
      </c>
      <c r="E310" s="7">
        <v>61</v>
      </c>
      <c r="F310" s="7" t="s">
        <v>1767</v>
      </c>
      <c r="G310" s="7">
        <v>61</v>
      </c>
      <c r="H310" s="7" t="s">
        <v>1327</v>
      </c>
      <c r="I310" s="37">
        <v>89575524.349999979</v>
      </c>
      <c r="J310" s="122">
        <v>1</v>
      </c>
      <c r="K310" s="123">
        <f>X310</f>
        <v>91782958.022283211</v>
      </c>
      <c r="L310" s="122">
        <f>IF(K314&gt;0, K310/K314, 0)</f>
        <v>1</v>
      </c>
      <c r="M310" s="71"/>
      <c r="N310" s="10">
        <f>ROUND(M314*L310,0)</f>
        <v>29420367</v>
      </c>
      <c r="O310" s="70">
        <v>30016446</v>
      </c>
      <c r="P310" s="10">
        <f>N310-O310</f>
        <v>-596079</v>
      </c>
      <c r="Q310" s="46">
        <f t="shared" si="49"/>
        <v>-1.9858413617654802</v>
      </c>
      <c r="R310" s="10">
        <v>7724</v>
      </c>
      <c r="S310" s="7">
        <f t="shared" si="42"/>
        <v>0</v>
      </c>
      <c r="T310" s="124">
        <f t="shared" si="43"/>
        <v>61</v>
      </c>
      <c r="U310" s="124">
        <f t="shared" si="44"/>
        <v>61</v>
      </c>
      <c r="V310" s="124">
        <f t="shared" si="45"/>
        <v>301</v>
      </c>
      <c r="W310" s="124">
        <f t="shared" si="46"/>
        <v>7758</v>
      </c>
      <c r="X310" s="124">
        <f t="shared" si="47"/>
        <v>91782958.022283211</v>
      </c>
      <c r="Y310" s="264">
        <f t="shared" si="48"/>
        <v>301</v>
      </c>
      <c r="Z310" s="10">
        <v>61</v>
      </c>
      <c r="AA310" s="7">
        <v>61</v>
      </c>
      <c r="AB310" s="7">
        <v>301</v>
      </c>
      <c r="AC310" s="109">
        <v>7758</v>
      </c>
      <c r="AD310" s="109">
        <v>91782958.022283211</v>
      </c>
      <c r="AE310" s="125"/>
      <c r="AF310" s="10"/>
      <c r="AI310" s="109"/>
      <c r="AJ310" s="109"/>
      <c r="AL310" s="10"/>
      <c r="AO310" s="109"/>
      <c r="AP310" s="109"/>
      <c r="AR310" s="10"/>
      <c r="AU310" s="109"/>
      <c r="AV310" s="109"/>
      <c r="AX310" s="10"/>
      <c r="BA310" s="109"/>
      <c r="BB310" s="109"/>
      <c r="BD310" s="10"/>
      <c r="BG310" s="109"/>
      <c r="BH310" s="109"/>
      <c r="BJ310" s="10"/>
      <c r="BM310" s="109"/>
      <c r="BN310" s="109"/>
      <c r="BP310" s="10"/>
      <c r="BS310" s="109"/>
      <c r="BT310" s="109"/>
      <c r="BV310" s="10"/>
      <c r="BY310" s="109"/>
      <c r="BZ310" s="109"/>
      <c r="CB310" s="10"/>
      <c r="CE310" s="109"/>
      <c r="CF310" s="109"/>
      <c r="CH310" s="10"/>
      <c r="CK310" s="109"/>
      <c r="CL310" s="109"/>
    </row>
    <row r="311" spans="1:90">
      <c r="A311" s="7" t="str">
        <f t="shared" si="41"/>
        <v>00610998</v>
      </c>
      <c r="B311" s="7" t="s">
        <v>2400</v>
      </c>
      <c r="C311" s="7" t="s">
        <v>2781</v>
      </c>
      <c r="D311" s="7">
        <v>302</v>
      </c>
      <c r="E311" s="7">
        <v>61</v>
      </c>
      <c r="F311" s="7" t="s">
        <v>2135</v>
      </c>
      <c r="G311" s="7">
        <v>998</v>
      </c>
      <c r="H311" s="7" t="s">
        <v>2135</v>
      </c>
      <c r="I311" s="37">
        <v>0</v>
      </c>
      <c r="J311" s="122">
        <v>0</v>
      </c>
      <c r="K311" s="123">
        <f t="shared" si="50"/>
        <v>0</v>
      </c>
      <c r="L311" s="122">
        <f>IF(K314&gt;0, K311/K314, 0)</f>
        <v>0</v>
      </c>
      <c r="M311" s="71"/>
      <c r="N311" s="10">
        <f>ROUND(M314*L311,0)</f>
        <v>0</v>
      </c>
      <c r="O311" s="70">
        <v>0</v>
      </c>
      <c r="P311" s="10">
        <f>N311-O311</f>
        <v>0</v>
      </c>
      <c r="Q311" s="46">
        <f t="shared" si="49"/>
        <v>0</v>
      </c>
      <c r="R311" s="10">
        <v>0</v>
      </c>
      <c r="S311" s="7">
        <f t="shared" si="42"/>
        <v>0</v>
      </c>
      <c r="T311" s="124">
        <f t="shared" si="43"/>
        <v>61</v>
      </c>
      <c r="U311" s="124">
        <f t="shared" si="44"/>
        <v>998</v>
      </c>
      <c r="V311" s="124">
        <f t="shared" si="45"/>
        <v>302</v>
      </c>
      <c r="W311" s="124">
        <f t="shared" si="46"/>
        <v>0</v>
      </c>
      <c r="X311" s="124">
        <f t="shared" si="47"/>
        <v>0</v>
      </c>
      <c r="Y311" s="264">
        <f t="shared" si="48"/>
        <v>302</v>
      </c>
      <c r="Z311" s="10">
        <v>61</v>
      </c>
      <c r="AA311" s="7">
        <v>998</v>
      </c>
      <c r="AB311" s="7">
        <v>302</v>
      </c>
      <c r="AC311" s="109">
        <v>0</v>
      </c>
      <c r="AD311" s="109">
        <v>0</v>
      </c>
      <c r="AE311" s="125"/>
      <c r="AF311" s="10"/>
      <c r="AI311" s="109"/>
      <c r="AJ311" s="109"/>
      <c r="AL311" s="10"/>
      <c r="AO311" s="109"/>
      <c r="AP311" s="109"/>
      <c r="AR311" s="10"/>
      <c r="AU311" s="109"/>
      <c r="AV311" s="109"/>
      <c r="AX311" s="10"/>
      <c r="BA311" s="109"/>
      <c r="BB311" s="109"/>
      <c r="BD311" s="10"/>
      <c r="BG311" s="109"/>
      <c r="BH311" s="109"/>
      <c r="BJ311" s="10"/>
      <c r="BM311" s="109"/>
      <c r="BN311" s="109"/>
      <c r="BP311" s="10"/>
      <c r="BS311" s="109"/>
      <c r="BT311" s="109"/>
      <c r="BV311" s="10"/>
      <c r="BY311" s="109"/>
      <c r="BZ311" s="109"/>
      <c r="CB311" s="10"/>
      <c r="CE311" s="109"/>
      <c r="CF311" s="109"/>
      <c r="CH311" s="10"/>
      <c r="CK311" s="109"/>
      <c r="CL311" s="109"/>
    </row>
    <row r="312" spans="1:90">
      <c r="A312" s="7" t="str">
        <f t="shared" si="41"/>
        <v>00610998</v>
      </c>
      <c r="B312" s="7" t="s">
        <v>2400</v>
      </c>
      <c r="C312" s="7" t="s">
        <v>2781</v>
      </c>
      <c r="D312" s="7">
        <v>303</v>
      </c>
      <c r="E312" s="7">
        <v>61</v>
      </c>
      <c r="F312" s="7" t="s">
        <v>2135</v>
      </c>
      <c r="G312" s="7">
        <v>998</v>
      </c>
      <c r="H312" s="7" t="s">
        <v>2135</v>
      </c>
      <c r="I312" s="37">
        <v>0</v>
      </c>
      <c r="J312" s="122">
        <v>0</v>
      </c>
      <c r="K312" s="123">
        <f t="shared" si="50"/>
        <v>0</v>
      </c>
      <c r="L312" s="122">
        <f>IF(K314&gt;0, K312/K314, 0)</f>
        <v>0</v>
      </c>
      <c r="M312" s="71"/>
      <c r="N312" s="10">
        <f>ROUND(M314*L312,0)</f>
        <v>0</v>
      </c>
      <c r="O312" s="70">
        <v>0</v>
      </c>
      <c r="P312" s="10">
        <f>N312-O312</f>
        <v>0</v>
      </c>
      <c r="Q312" s="46">
        <f t="shared" si="49"/>
        <v>0</v>
      </c>
      <c r="R312" s="10">
        <v>0</v>
      </c>
      <c r="S312" s="7">
        <f t="shared" si="42"/>
        <v>0</v>
      </c>
      <c r="T312" s="124">
        <f t="shared" si="43"/>
        <v>61</v>
      </c>
      <c r="U312" s="124">
        <f t="shared" si="44"/>
        <v>998</v>
      </c>
      <c r="V312" s="124">
        <f t="shared" si="45"/>
        <v>303</v>
      </c>
      <c r="W312" s="124">
        <f t="shared" si="46"/>
        <v>0</v>
      </c>
      <c r="X312" s="124">
        <f t="shared" si="47"/>
        <v>0</v>
      </c>
      <c r="Y312" s="264">
        <f t="shared" si="48"/>
        <v>303</v>
      </c>
      <c r="Z312" s="10">
        <v>61</v>
      </c>
      <c r="AA312" s="7">
        <v>998</v>
      </c>
      <c r="AB312" s="7">
        <v>303</v>
      </c>
      <c r="AC312" s="109">
        <v>0</v>
      </c>
      <c r="AD312" s="109">
        <v>0</v>
      </c>
      <c r="AE312" s="125"/>
      <c r="AF312" s="10"/>
      <c r="AI312" s="109"/>
      <c r="AJ312" s="109"/>
      <c r="AL312" s="10"/>
      <c r="AO312" s="109"/>
      <c r="AP312" s="109"/>
      <c r="AR312" s="10"/>
      <c r="AU312" s="109"/>
      <c r="AV312" s="109"/>
      <c r="AX312" s="10"/>
      <c r="BA312" s="109"/>
      <c r="BB312" s="109"/>
      <c r="BD312" s="10"/>
      <c r="BG312" s="109"/>
      <c r="BH312" s="109"/>
      <c r="BJ312" s="10"/>
      <c r="BM312" s="109"/>
      <c r="BN312" s="109"/>
      <c r="BP312" s="10"/>
      <c r="BS312" s="109"/>
      <c r="BT312" s="109"/>
      <c r="BV312" s="10"/>
      <c r="BY312" s="109"/>
      <c r="BZ312" s="109"/>
      <c r="CB312" s="10"/>
      <c r="CE312" s="109"/>
      <c r="CF312" s="109"/>
      <c r="CH312" s="10"/>
      <c r="CK312" s="109"/>
      <c r="CL312" s="109"/>
    </row>
    <row r="313" spans="1:90">
      <c r="A313" s="7" t="str">
        <f t="shared" si="41"/>
        <v>00610998</v>
      </c>
      <c r="B313" s="7" t="s">
        <v>2400</v>
      </c>
      <c r="C313" s="7" t="s">
        <v>2781</v>
      </c>
      <c r="D313" s="7">
        <v>304</v>
      </c>
      <c r="E313" s="7">
        <v>61</v>
      </c>
      <c r="F313" s="7" t="s">
        <v>2135</v>
      </c>
      <c r="G313" s="7">
        <v>998</v>
      </c>
      <c r="H313" s="7" t="s">
        <v>2135</v>
      </c>
      <c r="I313" s="37">
        <v>0</v>
      </c>
      <c r="J313" s="122">
        <v>0</v>
      </c>
      <c r="K313" s="123">
        <f t="shared" si="50"/>
        <v>0</v>
      </c>
      <c r="L313" s="122">
        <f>IF(K314&gt;0, K313/K314, 0)</f>
        <v>0</v>
      </c>
      <c r="M313" s="71"/>
      <c r="N313" s="10">
        <f>ROUND(M314*L313,0)</f>
        <v>0</v>
      </c>
      <c r="O313" s="70">
        <v>0</v>
      </c>
      <c r="P313" s="10">
        <f>N313-O313</f>
        <v>0</v>
      </c>
      <c r="Q313" s="46">
        <f t="shared" si="49"/>
        <v>0</v>
      </c>
      <c r="R313" s="10">
        <v>0</v>
      </c>
      <c r="S313" s="7">
        <f t="shared" si="42"/>
        <v>0</v>
      </c>
      <c r="T313" s="124">
        <f t="shared" si="43"/>
        <v>61</v>
      </c>
      <c r="U313" s="124">
        <f t="shared" si="44"/>
        <v>998</v>
      </c>
      <c r="V313" s="124">
        <f t="shared" si="45"/>
        <v>304</v>
      </c>
      <c r="W313" s="124">
        <f t="shared" si="46"/>
        <v>0</v>
      </c>
      <c r="X313" s="124">
        <f t="shared" si="47"/>
        <v>0</v>
      </c>
      <c r="Y313" s="264">
        <f t="shared" si="48"/>
        <v>304</v>
      </c>
      <c r="Z313" s="10">
        <v>61</v>
      </c>
      <c r="AA313" s="7">
        <v>998</v>
      </c>
      <c r="AB313" s="7">
        <v>304</v>
      </c>
      <c r="AC313" s="109">
        <v>0</v>
      </c>
      <c r="AD313" s="109">
        <v>0</v>
      </c>
      <c r="AE313" s="125"/>
      <c r="AF313" s="10"/>
      <c r="AI313" s="109"/>
      <c r="AJ313" s="109"/>
      <c r="AL313" s="10"/>
      <c r="AO313" s="109"/>
      <c r="AP313" s="109"/>
      <c r="AR313" s="10"/>
      <c r="AU313" s="109"/>
      <c r="AV313" s="109"/>
      <c r="AX313" s="10"/>
      <c r="BA313" s="109"/>
      <c r="BB313" s="109"/>
      <c r="BD313" s="10"/>
      <c r="BG313" s="109"/>
      <c r="BH313" s="109"/>
      <c r="BJ313" s="10"/>
      <c r="BM313" s="109"/>
      <c r="BN313" s="109"/>
      <c r="BP313" s="10"/>
      <c r="BS313" s="109"/>
      <c r="BT313" s="109"/>
      <c r="BV313" s="10"/>
      <c r="BY313" s="109"/>
      <c r="BZ313" s="109"/>
      <c r="CB313" s="10"/>
      <c r="CE313" s="109"/>
      <c r="CF313" s="109"/>
      <c r="CH313" s="10"/>
      <c r="CK313" s="109"/>
      <c r="CL313" s="109"/>
    </row>
    <row r="314" spans="1:90">
      <c r="A314" s="7" t="str">
        <f t="shared" si="41"/>
        <v>00610999</v>
      </c>
      <c r="B314" s="7" t="s">
        <v>2400</v>
      </c>
      <c r="C314" s="7" t="s">
        <v>2782</v>
      </c>
      <c r="D314" s="7">
        <v>305</v>
      </c>
      <c r="E314" s="11">
        <v>61</v>
      </c>
      <c r="F314" s="11" t="s">
        <v>1767</v>
      </c>
      <c r="G314" s="11">
        <v>999</v>
      </c>
      <c r="H314" s="11" t="s">
        <v>1132</v>
      </c>
      <c r="I314" s="105">
        <v>89575524.349999979</v>
      </c>
      <c r="J314" s="126">
        <v>1</v>
      </c>
      <c r="K314" s="127">
        <f>SUM(K310:K313)</f>
        <v>91782958.022283211</v>
      </c>
      <c r="L314" s="126">
        <f>SUM(L310:L313)</f>
        <v>1</v>
      </c>
      <c r="M314" s="105">
        <f>VLOOKUP(E314,town351,22)</f>
        <v>29420367</v>
      </c>
      <c r="N314" s="105">
        <f>SUM(N310:N313)</f>
        <v>29420367</v>
      </c>
      <c r="O314" s="128">
        <v>30016446</v>
      </c>
      <c r="P314" s="105">
        <f>SUM(P310:P313)</f>
        <v>-596079</v>
      </c>
      <c r="Q314" s="45">
        <f t="shared" si="49"/>
        <v>-1.9858413617654802</v>
      </c>
      <c r="R314" s="105">
        <v>7724</v>
      </c>
      <c r="S314" s="7">
        <f t="shared" si="42"/>
        <v>0</v>
      </c>
      <c r="T314" s="124">
        <f t="shared" si="43"/>
        <v>61</v>
      </c>
      <c r="U314" s="124">
        <f t="shared" si="44"/>
        <v>999</v>
      </c>
      <c r="V314" s="124">
        <f t="shared" si="45"/>
        <v>305</v>
      </c>
      <c r="W314" s="124">
        <f t="shared" si="46"/>
        <v>7758</v>
      </c>
      <c r="X314" s="124">
        <f t="shared" si="47"/>
        <v>91782958.022283211</v>
      </c>
      <c r="Y314" s="264">
        <f t="shared" si="48"/>
        <v>305</v>
      </c>
      <c r="Z314" s="10">
        <v>61</v>
      </c>
      <c r="AA314" s="7">
        <v>999</v>
      </c>
      <c r="AB314" s="7">
        <v>305</v>
      </c>
      <c r="AC314" s="109">
        <v>7758</v>
      </c>
      <c r="AD314" s="109">
        <v>91782958.022283211</v>
      </c>
      <c r="AE314" s="125"/>
      <c r="AF314" s="10"/>
      <c r="AI314" s="109"/>
      <c r="AJ314" s="109"/>
      <c r="AL314" s="10"/>
      <c r="AO314" s="109"/>
      <c r="AP314" s="109"/>
      <c r="AR314" s="10"/>
      <c r="AU314" s="109"/>
      <c r="AV314" s="109"/>
      <c r="AX314" s="10"/>
      <c r="BA314" s="109"/>
      <c r="BB314" s="109"/>
      <c r="BD314" s="10"/>
      <c r="BG314" s="109"/>
      <c r="BH314" s="109"/>
      <c r="BJ314" s="10"/>
      <c r="BM314" s="109"/>
      <c r="BN314" s="109"/>
      <c r="BP314" s="10"/>
      <c r="BS314" s="109"/>
      <c r="BT314" s="109"/>
      <c r="BV314" s="10"/>
      <c r="BY314" s="109"/>
      <c r="BZ314" s="109"/>
      <c r="CB314" s="10"/>
      <c r="CE314" s="109"/>
      <c r="CF314" s="109"/>
      <c r="CH314" s="10"/>
      <c r="CK314" s="109"/>
      <c r="CL314" s="109"/>
    </row>
    <row r="315" spans="1:90">
      <c r="A315" s="7" t="str">
        <f t="shared" si="41"/>
        <v>00620062</v>
      </c>
      <c r="B315" s="7" t="s">
        <v>2401</v>
      </c>
      <c r="C315" s="7" t="s">
        <v>2401</v>
      </c>
      <c r="D315" s="7">
        <v>306</v>
      </c>
      <c r="E315" s="7">
        <v>62</v>
      </c>
      <c r="F315" s="7" t="s">
        <v>1768</v>
      </c>
      <c r="G315" s="7">
        <v>62</v>
      </c>
      <c r="H315" s="7" t="s">
        <v>1328</v>
      </c>
      <c r="I315" s="37">
        <v>0</v>
      </c>
      <c r="J315" s="122">
        <v>0</v>
      </c>
      <c r="K315" s="123">
        <f>X315</f>
        <v>0</v>
      </c>
      <c r="L315" s="122">
        <f>IF(K319&gt;0, K315/K319, 0)</f>
        <v>0</v>
      </c>
      <c r="M315" s="71"/>
      <c r="N315" s="10">
        <f>ROUND(M319*L315,0)</f>
        <v>0</v>
      </c>
      <c r="O315" s="70">
        <v>0</v>
      </c>
      <c r="P315" s="10">
        <f>N315-O315</f>
        <v>0</v>
      </c>
      <c r="Q315" s="46">
        <f t="shared" si="49"/>
        <v>0</v>
      </c>
      <c r="R315" s="10">
        <v>0</v>
      </c>
      <c r="S315" s="7">
        <f t="shared" si="42"/>
        <v>0</v>
      </c>
      <c r="T315" s="124">
        <f t="shared" si="43"/>
        <v>62</v>
      </c>
      <c r="U315" s="124">
        <f t="shared" si="44"/>
        <v>62</v>
      </c>
      <c r="V315" s="124">
        <f t="shared" si="45"/>
        <v>306</v>
      </c>
      <c r="W315" s="124">
        <f t="shared" si="46"/>
        <v>0</v>
      </c>
      <c r="X315" s="124">
        <f t="shared" si="47"/>
        <v>0</v>
      </c>
      <c r="Y315" s="264">
        <f t="shared" si="48"/>
        <v>306</v>
      </c>
      <c r="Z315" s="10">
        <v>62</v>
      </c>
      <c r="AA315" s="7">
        <v>62</v>
      </c>
      <c r="AB315" s="7">
        <v>306</v>
      </c>
      <c r="AC315" s="109">
        <v>0</v>
      </c>
      <c r="AD315" s="109">
        <v>0</v>
      </c>
      <c r="AE315" s="125"/>
      <c r="AF315" s="10"/>
      <c r="AI315" s="109"/>
      <c r="AJ315" s="109"/>
      <c r="AL315" s="10"/>
      <c r="AO315" s="109"/>
      <c r="AP315" s="109"/>
      <c r="AR315" s="10"/>
      <c r="AU315" s="109"/>
      <c r="AV315" s="109"/>
      <c r="AX315" s="10"/>
      <c r="BA315" s="109"/>
      <c r="BB315" s="109"/>
      <c r="BD315" s="10"/>
      <c r="BG315" s="109"/>
      <c r="BH315" s="109"/>
      <c r="BJ315" s="10"/>
      <c r="BM315" s="109"/>
      <c r="BN315" s="109"/>
      <c r="BP315" s="10"/>
      <c r="BS315" s="109"/>
      <c r="BT315" s="109"/>
      <c r="BV315" s="10"/>
      <c r="BY315" s="109"/>
      <c r="BZ315" s="109"/>
      <c r="CB315" s="10"/>
      <c r="CE315" s="109"/>
      <c r="CF315" s="109"/>
      <c r="CH315" s="10"/>
      <c r="CK315" s="109"/>
      <c r="CL315" s="109"/>
    </row>
    <row r="316" spans="1:90">
      <c r="A316" s="7" t="str">
        <f t="shared" si="41"/>
        <v>00620700</v>
      </c>
      <c r="B316" s="7" t="s">
        <v>2401</v>
      </c>
      <c r="C316" s="7" t="s">
        <v>2725</v>
      </c>
      <c r="D316" s="7">
        <v>307</v>
      </c>
      <c r="E316" s="7">
        <v>62</v>
      </c>
      <c r="F316" s="7" t="s">
        <v>1768</v>
      </c>
      <c r="G316" s="7">
        <v>700</v>
      </c>
      <c r="H316" s="7" t="s">
        <v>1652</v>
      </c>
      <c r="I316" s="37">
        <v>320413</v>
      </c>
      <c r="J316" s="122">
        <v>0.30299588740433653</v>
      </c>
      <c r="K316" s="123">
        <f t="shared" si="50"/>
        <v>423815.09450928593</v>
      </c>
      <c r="L316" s="122">
        <f>IF(K319&gt;0, K316/K319, 0)</f>
        <v>0.3537251352030405</v>
      </c>
      <c r="M316" s="71"/>
      <c r="N316" s="10">
        <f>ROUND(M319*L316,0)</f>
        <v>330907</v>
      </c>
      <c r="O316" s="70">
        <v>269184</v>
      </c>
      <c r="P316" s="10">
        <f>N316-O316</f>
        <v>61723</v>
      </c>
      <c r="Q316" s="46">
        <f t="shared" si="49"/>
        <v>22.929668925344746</v>
      </c>
      <c r="R316" s="10">
        <v>27</v>
      </c>
      <c r="S316" s="7">
        <f t="shared" si="42"/>
        <v>0</v>
      </c>
      <c r="T316" s="124">
        <f t="shared" si="43"/>
        <v>62</v>
      </c>
      <c r="U316" s="124">
        <f t="shared" si="44"/>
        <v>700</v>
      </c>
      <c r="V316" s="124">
        <f t="shared" si="45"/>
        <v>307</v>
      </c>
      <c r="W316" s="124">
        <f t="shared" si="46"/>
        <v>34.0000000032</v>
      </c>
      <c r="X316" s="124">
        <f t="shared" si="47"/>
        <v>423815.09450928593</v>
      </c>
      <c r="Y316" s="264">
        <f t="shared" si="48"/>
        <v>307</v>
      </c>
      <c r="Z316" s="10">
        <v>62</v>
      </c>
      <c r="AA316" s="7">
        <v>700</v>
      </c>
      <c r="AB316" s="7">
        <v>307</v>
      </c>
      <c r="AC316" s="109">
        <v>34.0000000032</v>
      </c>
      <c r="AD316" s="109">
        <v>423815.09450928593</v>
      </c>
      <c r="AE316" s="125"/>
      <c r="AF316" s="10"/>
      <c r="AI316" s="109"/>
      <c r="AJ316" s="109"/>
      <c r="AL316" s="10"/>
      <c r="AO316" s="109"/>
      <c r="AP316" s="109"/>
      <c r="AR316" s="10"/>
      <c r="AU316" s="109"/>
      <c r="AV316" s="109"/>
      <c r="AX316" s="10"/>
      <c r="BA316" s="109"/>
      <c r="BB316" s="109"/>
      <c r="BD316" s="10"/>
      <c r="BG316" s="109"/>
      <c r="BH316" s="109"/>
      <c r="BJ316" s="10"/>
      <c r="BM316" s="109"/>
      <c r="BN316" s="109"/>
      <c r="BP316" s="10"/>
      <c r="BS316" s="109"/>
      <c r="BT316" s="109"/>
      <c r="BV316" s="10"/>
      <c r="BY316" s="109"/>
      <c r="BZ316" s="109"/>
      <c r="CB316" s="10"/>
      <c r="CE316" s="109"/>
      <c r="CF316" s="109"/>
      <c r="CH316" s="10"/>
      <c r="CK316" s="109"/>
      <c r="CL316" s="109"/>
    </row>
    <row r="317" spans="1:90">
      <c r="A317" s="7" t="str">
        <f t="shared" si="41"/>
        <v>00620774</v>
      </c>
      <c r="B317" s="7" t="s">
        <v>2401</v>
      </c>
      <c r="C317" s="7" t="s">
        <v>2748</v>
      </c>
      <c r="D317" s="7">
        <v>308</v>
      </c>
      <c r="E317" s="7">
        <v>62</v>
      </c>
      <c r="F317" s="7" t="s">
        <v>1768</v>
      </c>
      <c r="G317" s="7">
        <v>774</v>
      </c>
      <c r="H317" s="7" t="s">
        <v>1675</v>
      </c>
      <c r="I317" s="37">
        <v>737070</v>
      </c>
      <c r="J317" s="122">
        <v>0.69700411259566353</v>
      </c>
      <c r="K317" s="123">
        <f t="shared" si="50"/>
        <v>774332.9937401209</v>
      </c>
      <c r="L317" s="122">
        <f>IF(K319&gt;0, K317/K319, 0)</f>
        <v>0.6462748647969595</v>
      </c>
      <c r="M317" s="71"/>
      <c r="N317" s="10">
        <f>ROUND(M319*L317,0)</f>
        <v>604586</v>
      </c>
      <c r="O317" s="70">
        <v>619223</v>
      </c>
      <c r="P317" s="10">
        <f>N317-O317</f>
        <v>-14637</v>
      </c>
      <c r="Q317" s="46">
        <f t="shared" si="49"/>
        <v>-2.3637687876580813</v>
      </c>
      <c r="R317" s="10">
        <v>77</v>
      </c>
      <c r="S317" s="7">
        <f t="shared" si="42"/>
        <v>0</v>
      </c>
      <c r="T317" s="124">
        <f t="shared" si="43"/>
        <v>62</v>
      </c>
      <c r="U317" s="124">
        <f t="shared" si="44"/>
        <v>774</v>
      </c>
      <c r="V317" s="124">
        <f t="shared" si="45"/>
        <v>308</v>
      </c>
      <c r="W317" s="124">
        <f t="shared" si="46"/>
        <v>78.99244332392</v>
      </c>
      <c r="X317" s="124">
        <f t="shared" si="47"/>
        <v>774332.9937401209</v>
      </c>
      <c r="Y317" s="264">
        <f t="shared" si="48"/>
        <v>308</v>
      </c>
      <c r="Z317" s="10">
        <v>62</v>
      </c>
      <c r="AA317" s="7">
        <v>774</v>
      </c>
      <c r="AB317" s="7">
        <v>308</v>
      </c>
      <c r="AC317" s="109">
        <v>78.99244332392</v>
      </c>
      <c r="AD317" s="109">
        <v>774332.9937401209</v>
      </c>
      <c r="AE317" s="125"/>
      <c r="AF317" s="10"/>
      <c r="AI317" s="109"/>
      <c r="AJ317" s="109"/>
      <c r="AL317" s="10"/>
      <c r="AO317" s="109"/>
      <c r="AP317" s="109"/>
      <c r="AR317" s="10"/>
      <c r="AU317" s="109"/>
      <c r="AV317" s="109"/>
      <c r="AX317" s="10"/>
      <c r="BA317" s="109"/>
      <c r="BB317" s="109"/>
      <c r="BD317" s="10"/>
      <c r="BG317" s="109"/>
      <c r="BH317" s="109"/>
      <c r="BJ317" s="10"/>
      <c r="BM317" s="109"/>
      <c r="BN317" s="109"/>
      <c r="BP317" s="10"/>
      <c r="BS317" s="109"/>
      <c r="BT317" s="109"/>
      <c r="BV317" s="10"/>
      <c r="BY317" s="109"/>
      <c r="BZ317" s="109"/>
      <c r="CB317" s="10"/>
      <c r="CE317" s="109"/>
      <c r="CF317" s="109"/>
      <c r="CH317" s="10"/>
      <c r="CK317" s="109"/>
      <c r="CL317" s="109"/>
    </row>
    <row r="318" spans="1:90">
      <c r="A318" s="7" t="str">
        <f t="shared" si="41"/>
        <v>00620998</v>
      </c>
      <c r="B318" s="7" t="s">
        <v>2401</v>
      </c>
      <c r="C318" s="7" t="s">
        <v>2781</v>
      </c>
      <c r="D318" s="7">
        <v>309</v>
      </c>
      <c r="E318" s="7">
        <v>62</v>
      </c>
      <c r="F318" s="7" t="s">
        <v>2135</v>
      </c>
      <c r="G318" s="7">
        <v>998</v>
      </c>
      <c r="H318" s="7" t="s">
        <v>2135</v>
      </c>
      <c r="I318" s="37">
        <v>0</v>
      </c>
      <c r="J318" s="122">
        <v>0</v>
      </c>
      <c r="K318" s="123">
        <f t="shared" si="50"/>
        <v>0</v>
      </c>
      <c r="L318" s="122">
        <f>IF(K319&gt;0, K318/K319, 0)</f>
        <v>0</v>
      </c>
      <c r="M318" s="71"/>
      <c r="N318" s="10">
        <f>ROUND(M319*L318,0)</f>
        <v>0</v>
      </c>
      <c r="O318" s="70">
        <v>0</v>
      </c>
      <c r="P318" s="10">
        <f>N318-O318</f>
        <v>0</v>
      </c>
      <c r="Q318" s="46">
        <f t="shared" si="49"/>
        <v>0</v>
      </c>
      <c r="R318" s="10">
        <v>0</v>
      </c>
      <c r="S318" s="7">
        <f t="shared" si="42"/>
        <v>0</v>
      </c>
      <c r="T318" s="124">
        <f t="shared" si="43"/>
        <v>62</v>
      </c>
      <c r="U318" s="124">
        <f t="shared" si="44"/>
        <v>998</v>
      </c>
      <c r="V318" s="124">
        <f t="shared" si="45"/>
        <v>309</v>
      </c>
      <c r="W318" s="124">
        <f t="shared" si="46"/>
        <v>0</v>
      </c>
      <c r="X318" s="124">
        <f t="shared" si="47"/>
        <v>0</v>
      </c>
      <c r="Y318" s="264">
        <f t="shared" si="48"/>
        <v>309</v>
      </c>
      <c r="Z318" s="10">
        <v>62</v>
      </c>
      <c r="AA318" s="7">
        <v>998</v>
      </c>
      <c r="AB318" s="7">
        <v>309</v>
      </c>
      <c r="AC318" s="109">
        <v>0</v>
      </c>
      <c r="AD318" s="109">
        <v>0</v>
      </c>
      <c r="AE318" s="125"/>
      <c r="AF318" s="10"/>
      <c r="AI318" s="109"/>
      <c r="AJ318" s="109"/>
      <c r="AL318" s="10"/>
      <c r="AO318" s="109"/>
      <c r="AP318" s="109"/>
      <c r="AR318" s="10"/>
      <c r="AU318" s="109"/>
      <c r="AV318" s="109"/>
      <c r="AX318" s="10"/>
      <c r="BA318" s="109"/>
      <c r="BB318" s="109"/>
      <c r="BD318" s="10"/>
      <c r="BG318" s="109"/>
      <c r="BH318" s="109"/>
      <c r="BJ318" s="10"/>
      <c r="BM318" s="109"/>
      <c r="BN318" s="109"/>
      <c r="BP318" s="10"/>
      <c r="BS318" s="109"/>
      <c r="BT318" s="109"/>
      <c r="BV318" s="10"/>
      <c r="BY318" s="109"/>
      <c r="BZ318" s="109"/>
      <c r="CB318" s="10"/>
      <c r="CE318" s="109"/>
      <c r="CF318" s="109"/>
      <c r="CH318" s="10"/>
      <c r="CK318" s="109"/>
      <c r="CL318" s="109"/>
    </row>
    <row r="319" spans="1:90">
      <c r="A319" s="7" t="str">
        <f t="shared" si="41"/>
        <v>00620999</v>
      </c>
      <c r="B319" s="7" t="s">
        <v>2401</v>
      </c>
      <c r="C319" s="7" t="s">
        <v>2782</v>
      </c>
      <c r="D319" s="7">
        <v>310</v>
      </c>
      <c r="E319" s="11">
        <v>62</v>
      </c>
      <c r="F319" s="11" t="s">
        <v>1768</v>
      </c>
      <c r="G319" s="11">
        <v>999</v>
      </c>
      <c r="H319" s="11" t="s">
        <v>1132</v>
      </c>
      <c r="I319" s="105">
        <v>1057483</v>
      </c>
      <c r="J319" s="126">
        <v>1</v>
      </c>
      <c r="K319" s="127">
        <f>SUM(K315:K318)</f>
        <v>1198148.0882494068</v>
      </c>
      <c r="L319" s="126">
        <f>SUM(L315:L318)</f>
        <v>1</v>
      </c>
      <c r="M319" s="105">
        <f>VLOOKUP(E319,town351,22)</f>
        <v>935493</v>
      </c>
      <c r="N319" s="105">
        <f>SUM(N315:N318)</f>
        <v>935493</v>
      </c>
      <c r="O319" s="128">
        <v>888407</v>
      </c>
      <c r="P319" s="105">
        <f>SUM(P315:P318)</f>
        <v>47086</v>
      </c>
      <c r="Q319" s="45">
        <f t="shared" si="49"/>
        <v>5.3000482886785001</v>
      </c>
      <c r="R319" s="105">
        <v>104</v>
      </c>
      <c r="S319" s="7">
        <f t="shared" si="42"/>
        <v>0</v>
      </c>
      <c r="T319" s="124">
        <f t="shared" si="43"/>
        <v>62</v>
      </c>
      <c r="U319" s="124">
        <f t="shared" si="44"/>
        <v>999</v>
      </c>
      <c r="V319" s="124">
        <f t="shared" si="45"/>
        <v>310</v>
      </c>
      <c r="W319" s="124">
        <f t="shared" si="46"/>
        <v>112.99244332712</v>
      </c>
      <c r="X319" s="124">
        <f t="shared" si="47"/>
        <v>1198148.0882494068</v>
      </c>
      <c r="Y319" s="264">
        <f t="shared" si="48"/>
        <v>310</v>
      </c>
      <c r="Z319" s="10">
        <v>62</v>
      </c>
      <c r="AA319" s="7">
        <v>999</v>
      </c>
      <c r="AB319" s="7">
        <v>310</v>
      </c>
      <c r="AC319" s="109">
        <v>112.99244332712</v>
      </c>
      <c r="AD319" s="109">
        <v>1198148.0882494068</v>
      </c>
      <c r="AE319" s="125"/>
      <c r="AF319" s="10"/>
      <c r="AI319" s="109"/>
      <c r="AJ319" s="109"/>
      <c r="AL319" s="10"/>
      <c r="AO319" s="109"/>
      <c r="AP319" s="109"/>
      <c r="AR319" s="10"/>
      <c r="AU319" s="109"/>
      <c r="AV319" s="109"/>
      <c r="AX319" s="10"/>
      <c r="BA319" s="109"/>
      <c r="BB319" s="109"/>
      <c r="BD319" s="10"/>
      <c r="BG319" s="109"/>
      <c r="BH319" s="109"/>
      <c r="BJ319" s="10"/>
      <c r="BM319" s="109"/>
      <c r="BN319" s="109"/>
      <c r="BP319" s="10"/>
      <c r="BS319" s="109"/>
      <c r="BT319" s="109"/>
      <c r="BV319" s="10"/>
      <c r="BY319" s="109"/>
      <c r="BZ319" s="109"/>
      <c r="CB319" s="10"/>
      <c r="CE319" s="109"/>
      <c r="CF319" s="109"/>
      <c r="CH319" s="10"/>
      <c r="CK319" s="109"/>
      <c r="CL319" s="109"/>
    </row>
    <row r="320" spans="1:90">
      <c r="A320" s="7" t="str">
        <f t="shared" si="41"/>
        <v>00630063</v>
      </c>
      <c r="B320" s="7" t="s">
        <v>2402</v>
      </c>
      <c r="C320" s="7" t="s">
        <v>2402</v>
      </c>
      <c r="D320" s="7">
        <v>311</v>
      </c>
      <c r="E320" s="7">
        <v>63</v>
      </c>
      <c r="F320" s="7" t="s">
        <v>1769</v>
      </c>
      <c r="G320" s="7">
        <v>63</v>
      </c>
      <c r="H320" s="7" t="s">
        <v>1329</v>
      </c>
      <c r="I320" s="37">
        <v>1783981.5799999998</v>
      </c>
      <c r="J320" s="122">
        <v>0.70121049440889294</v>
      </c>
      <c r="K320" s="123">
        <f>X320</f>
        <v>1862062.3235625066</v>
      </c>
      <c r="L320" s="122">
        <f>IF(K324&gt;0, K320/K324, 0)</f>
        <v>0.71565951192701593</v>
      </c>
      <c r="M320" s="71"/>
      <c r="N320" s="10">
        <f>ROUND(M324*L320,0)</f>
        <v>641854</v>
      </c>
      <c r="O320" s="70">
        <v>612660</v>
      </c>
      <c r="P320" s="10">
        <f>N320-O320</f>
        <v>29194</v>
      </c>
      <c r="Q320" s="46">
        <f t="shared" si="49"/>
        <v>4.7651225802239416</v>
      </c>
      <c r="R320" s="10">
        <v>175</v>
      </c>
      <c r="S320" s="7">
        <f t="shared" si="42"/>
        <v>0</v>
      </c>
      <c r="T320" s="124">
        <f t="shared" si="43"/>
        <v>63</v>
      </c>
      <c r="U320" s="124">
        <f t="shared" si="44"/>
        <v>63</v>
      </c>
      <c r="V320" s="124">
        <f t="shared" si="45"/>
        <v>311</v>
      </c>
      <c r="W320" s="124">
        <f t="shared" si="46"/>
        <v>180</v>
      </c>
      <c r="X320" s="124">
        <f t="shared" si="47"/>
        <v>1862062.3235625066</v>
      </c>
      <c r="Y320" s="264">
        <f t="shared" si="48"/>
        <v>311</v>
      </c>
      <c r="Z320" s="10">
        <v>63</v>
      </c>
      <c r="AA320" s="7">
        <v>63</v>
      </c>
      <c r="AB320" s="7">
        <v>311</v>
      </c>
      <c r="AC320" s="109">
        <v>180</v>
      </c>
      <c r="AD320" s="109">
        <v>1862062.3235625066</v>
      </c>
      <c r="AE320" s="125"/>
      <c r="AF320" s="10"/>
      <c r="AI320" s="109"/>
      <c r="AJ320" s="109"/>
      <c r="AL320" s="10"/>
      <c r="AO320" s="109"/>
      <c r="AP320" s="109"/>
      <c r="AR320" s="10"/>
      <c r="AU320" s="109"/>
      <c r="AV320" s="109"/>
      <c r="AX320" s="10"/>
      <c r="BA320" s="109"/>
      <c r="BB320" s="109"/>
      <c r="BD320" s="10"/>
      <c r="BG320" s="109"/>
      <c r="BH320" s="109"/>
      <c r="BJ320" s="10"/>
      <c r="BM320" s="109"/>
      <c r="BN320" s="109"/>
      <c r="BP320" s="10"/>
      <c r="BS320" s="109"/>
      <c r="BT320" s="109"/>
      <c r="BV320" s="10"/>
      <c r="BY320" s="109"/>
      <c r="BZ320" s="109"/>
      <c r="CB320" s="10"/>
      <c r="CE320" s="109"/>
      <c r="CF320" s="109"/>
      <c r="CH320" s="10"/>
      <c r="CK320" s="109"/>
      <c r="CL320" s="109"/>
    </row>
    <row r="321" spans="1:90">
      <c r="A321" s="7" t="str">
        <f t="shared" si="41"/>
        <v>00630851</v>
      </c>
      <c r="B321" s="7" t="s">
        <v>2402</v>
      </c>
      <c r="C321" s="7" t="s">
        <v>2766</v>
      </c>
      <c r="D321" s="7">
        <v>312</v>
      </c>
      <c r="E321" s="7">
        <v>63</v>
      </c>
      <c r="F321" s="7" t="s">
        <v>1769</v>
      </c>
      <c r="G321" s="7">
        <v>851</v>
      </c>
      <c r="H321" s="7" t="s">
        <v>1693</v>
      </c>
      <c r="I321" s="37">
        <v>760164</v>
      </c>
      <c r="J321" s="122">
        <v>0.29878950559110695</v>
      </c>
      <c r="K321" s="123">
        <f t="shared" si="50"/>
        <v>739820.68439002743</v>
      </c>
      <c r="L321" s="122">
        <f>IF(K324&gt;0, K321/K324, 0)</f>
        <v>0.28434048807298407</v>
      </c>
      <c r="M321" s="71"/>
      <c r="N321" s="10">
        <f>ROUND(M324*L321,0)</f>
        <v>255017</v>
      </c>
      <c r="O321" s="70">
        <v>261057</v>
      </c>
      <c r="P321" s="10">
        <f>N321-O321</f>
        <v>-6040</v>
      </c>
      <c r="Q321" s="46">
        <f t="shared" si="49"/>
        <v>-2.3136709607480359</v>
      </c>
      <c r="R321" s="10">
        <v>48</v>
      </c>
      <c r="S321" s="7">
        <f t="shared" si="42"/>
        <v>0</v>
      </c>
      <c r="T321" s="124">
        <f t="shared" si="43"/>
        <v>63</v>
      </c>
      <c r="U321" s="124">
        <f t="shared" si="44"/>
        <v>851</v>
      </c>
      <c r="V321" s="124">
        <f t="shared" si="45"/>
        <v>312</v>
      </c>
      <c r="W321" s="124">
        <f t="shared" si="46"/>
        <v>45.99999999888</v>
      </c>
      <c r="X321" s="124">
        <f t="shared" si="47"/>
        <v>739820.68439002743</v>
      </c>
      <c r="Y321" s="264">
        <f t="shared" si="48"/>
        <v>312</v>
      </c>
      <c r="Z321" s="10">
        <v>63</v>
      </c>
      <c r="AA321" s="7">
        <v>851</v>
      </c>
      <c r="AB321" s="7">
        <v>312</v>
      </c>
      <c r="AC321" s="109">
        <v>45.99999999888</v>
      </c>
      <c r="AD321" s="109">
        <v>739820.68439002743</v>
      </c>
      <c r="AE321" s="125"/>
      <c r="AF321" s="10"/>
      <c r="AI321" s="109"/>
      <c r="AJ321" s="109"/>
      <c r="AL321" s="10"/>
      <c r="AO321" s="109"/>
      <c r="AP321" s="109"/>
      <c r="AR321" s="10"/>
      <c r="AU321" s="109"/>
      <c r="AV321" s="109"/>
      <c r="AX321" s="10"/>
      <c r="BA321" s="109"/>
      <c r="BB321" s="109"/>
      <c r="BD321" s="10"/>
      <c r="BG321" s="109"/>
      <c r="BH321" s="109"/>
      <c r="BJ321" s="10"/>
      <c r="BM321" s="109"/>
      <c r="BN321" s="109"/>
      <c r="BP321" s="10"/>
      <c r="BS321" s="109"/>
      <c r="BT321" s="109"/>
      <c r="BV321" s="10"/>
      <c r="BY321" s="109"/>
      <c r="BZ321" s="109"/>
      <c r="CB321" s="10"/>
      <c r="CE321" s="109"/>
      <c r="CF321" s="109"/>
      <c r="CH321" s="10"/>
      <c r="CK321" s="109"/>
      <c r="CL321" s="109"/>
    </row>
    <row r="322" spans="1:90">
      <c r="A322" s="7" t="str">
        <f t="shared" si="41"/>
        <v>00630998</v>
      </c>
      <c r="B322" s="7" t="s">
        <v>2402</v>
      </c>
      <c r="C322" s="7" t="s">
        <v>2781</v>
      </c>
      <c r="D322" s="7">
        <v>313</v>
      </c>
      <c r="E322" s="7">
        <v>63</v>
      </c>
      <c r="F322" s="7" t="s">
        <v>2135</v>
      </c>
      <c r="G322" s="7">
        <v>998</v>
      </c>
      <c r="H322" s="7" t="s">
        <v>2135</v>
      </c>
      <c r="I322" s="37">
        <v>0</v>
      </c>
      <c r="J322" s="122">
        <v>0</v>
      </c>
      <c r="K322" s="123">
        <f t="shared" si="50"/>
        <v>0</v>
      </c>
      <c r="L322" s="122">
        <f>IF(K324&gt;0, K322/K324, 0)</f>
        <v>0</v>
      </c>
      <c r="M322" s="71"/>
      <c r="N322" s="10">
        <f>ROUND(M324*L322,0)</f>
        <v>0</v>
      </c>
      <c r="O322" s="70">
        <v>0</v>
      </c>
      <c r="P322" s="10">
        <f>N322-O322</f>
        <v>0</v>
      </c>
      <c r="Q322" s="46">
        <f t="shared" si="49"/>
        <v>0</v>
      </c>
      <c r="R322" s="10">
        <v>0</v>
      </c>
      <c r="S322" s="7">
        <f t="shared" si="42"/>
        <v>0</v>
      </c>
      <c r="T322" s="124">
        <f t="shared" si="43"/>
        <v>63</v>
      </c>
      <c r="U322" s="124">
        <f t="shared" si="44"/>
        <v>998</v>
      </c>
      <c r="V322" s="124">
        <f t="shared" si="45"/>
        <v>313</v>
      </c>
      <c r="W322" s="124">
        <f t="shared" si="46"/>
        <v>0</v>
      </c>
      <c r="X322" s="124">
        <f t="shared" si="47"/>
        <v>0</v>
      </c>
      <c r="Y322" s="264">
        <f t="shared" si="48"/>
        <v>313</v>
      </c>
      <c r="Z322" s="10">
        <v>63</v>
      </c>
      <c r="AA322" s="7">
        <v>998</v>
      </c>
      <c r="AB322" s="7">
        <v>313</v>
      </c>
      <c r="AC322" s="109">
        <v>0</v>
      </c>
      <c r="AD322" s="109">
        <v>0</v>
      </c>
      <c r="AE322" s="125"/>
      <c r="AF322" s="10"/>
      <c r="AI322" s="109"/>
      <c r="AJ322" s="109"/>
      <c r="AL322" s="10"/>
      <c r="AO322" s="109"/>
      <c r="AP322" s="109"/>
      <c r="AR322" s="10"/>
      <c r="AU322" s="109"/>
      <c r="AV322" s="109"/>
      <c r="AX322" s="10"/>
      <c r="BA322" s="109"/>
      <c r="BB322" s="109"/>
      <c r="BD322" s="10"/>
      <c r="BG322" s="109"/>
      <c r="BH322" s="109"/>
      <c r="BJ322" s="10"/>
      <c r="BM322" s="109"/>
      <c r="BN322" s="109"/>
      <c r="BP322" s="10"/>
      <c r="BS322" s="109"/>
      <c r="BT322" s="109"/>
      <c r="BV322" s="10"/>
      <c r="BY322" s="109"/>
      <c r="BZ322" s="109"/>
      <c r="CB322" s="10"/>
      <c r="CE322" s="109"/>
      <c r="CF322" s="109"/>
      <c r="CH322" s="10"/>
      <c r="CK322" s="109"/>
      <c r="CL322" s="109"/>
    </row>
    <row r="323" spans="1:90">
      <c r="A323" s="7" t="str">
        <f t="shared" si="41"/>
        <v>00630998</v>
      </c>
      <c r="B323" s="7" t="s">
        <v>2402</v>
      </c>
      <c r="C323" s="7" t="s">
        <v>2781</v>
      </c>
      <c r="D323" s="7">
        <v>314</v>
      </c>
      <c r="E323" s="7">
        <v>63</v>
      </c>
      <c r="F323" s="7" t="s">
        <v>2135</v>
      </c>
      <c r="G323" s="7">
        <v>998</v>
      </c>
      <c r="H323" s="7" t="s">
        <v>2135</v>
      </c>
      <c r="I323" s="37">
        <v>0</v>
      </c>
      <c r="J323" s="122">
        <v>0</v>
      </c>
      <c r="K323" s="123">
        <f t="shared" si="50"/>
        <v>0</v>
      </c>
      <c r="L323" s="122">
        <f>IF(K324&gt;0, K323/K324, 0)</f>
        <v>0</v>
      </c>
      <c r="M323" s="71"/>
      <c r="N323" s="10">
        <f>ROUND(M324*L323,0)</f>
        <v>0</v>
      </c>
      <c r="O323" s="70">
        <v>0</v>
      </c>
      <c r="P323" s="10">
        <f>N323-O323</f>
        <v>0</v>
      </c>
      <c r="Q323" s="46">
        <f t="shared" si="49"/>
        <v>0</v>
      </c>
      <c r="R323" s="10">
        <v>0</v>
      </c>
      <c r="S323" s="7">
        <f t="shared" si="42"/>
        <v>0</v>
      </c>
      <c r="T323" s="124">
        <f t="shared" si="43"/>
        <v>63</v>
      </c>
      <c r="U323" s="124">
        <f t="shared" si="44"/>
        <v>998</v>
      </c>
      <c r="V323" s="124">
        <f t="shared" si="45"/>
        <v>314</v>
      </c>
      <c r="W323" s="124">
        <f t="shared" si="46"/>
        <v>0</v>
      </c>
      <c r="X323" s="124">
        <f t="shared" si="47"/>
        <v>0</v>
      </c>
      <c r="Y323" s="264">
        <f t="shared" si="48"/>
        <v>314</v>
      </c>
      <c r="Z323" s="10">
        <v>63</v>
      </c>
      <c r="AA323" s="7">
        <v>998</v>
      </c>
      <c r="AB323" s="7">
        <v>314</v>
      </c>
      <c r="AC323" s="109">
        <v>0</v>
      </c>
      <c r="AD323" s="109">
        <v>0</v>
      </c>
      <c r="AE323" s="125"/>
      <c r="AF323" s="10"/>
      <c r="AI323" s="109"/>
      <c r="AJ323" s="109"/>
      <c r="AL323" s="10"/>
      <c r="AO323" s="109"/>
      <c r="AP323" s="109"/>
      <c r="AR323" s="10"/>
      <c r="AU323" s="109"/>
      <c r="AV323" s="109"/>
      <c r="AX323" s="10"/>
      <c r="BA323" s="109"/>
      <c r="BB323" s="109"/>
      <c r="BD323" s="10"/>
      <c r="BG323" s="109"/>
      <c r="BH323" s="109"/>
      <c r="BJ323" s="10"/>
      <c r="BM323" s="109"/>
      <c r="BN323" s="109"/>
      <c r="BP323" s="10"/>
      <c r="BS323" s="109"/>
      <c r="BT323" s="109"/>
      <c r="BV323" s="10"/>
      <c r="BY323" s="109"/>
      <c r="BZ323" s="109"/>
      <c r="CB323" s="10"/>
      <c r="CE323" s="109"/>
      <c r="CF323" s="109"/>
      <c r="CH323" s="10"/>
      <c r="CK323" s="109"/>
      <c r="CL323" s="109"/>
    </row>
    <row r="324" spans="1:90">
      <c r="A324" s="7" t="str">
        <f t="shared" si="41"/>
        <v>00630999</v>
      </c>
      <c r="B324" s="7" t="s">
        <v>2402</v>
      </c>
      <c r="C324" s="7" t="s">
        <v>2782</v>
      </c>
      <c r="D324" s="7">
        <v>315</v>
      </c>
      <c r="E324" s="11">
        <v>63</v>
      </c>
      <c r="F324" s="11" t="s">
        <v>1769</v>
      </c>
      <c r="G324" s="11">
        <v>999</v>
      </c>
      <c r="H324" s="11" t="s">
        <v>1132</v>
      </c>
      <c r="I324" s="105">
        <v>2544145.58</v>
      </c>
      <c r="J324" s="126">
        <v>0.99999999999999989</v>
      </c>
      <c r="K324" s="127">
        <f>SUM(K320:K323)</f>
        <v>2601883.0079525341</v>
      </c>
      <c r="L324" s="126">
        <f>SUM(L320:L323)</f>
        <v>1</v>
      </c>
      <c r="M324" s="105">
        <f>VLOOKUP(E324,town351,22)</f>
        <v>896871</v>
      </c>
      <c r="N324" s="105">
        <f>SUM(N320:N323)</f>
        <v>896871</v>
      </c>
      <c r="O324" s="128">
        <v>873717</v>
      </c>
      <c r="P324" s="105">
        <f>SUM(P320:P323)</f>
        <v>23154</v>
      </c>
      <c r="Q324" s="45">
        <f t="shared" si="49"/>
        <v>2.6500571695411672</v>
      </c>
      <c r="R324" s="105">
        <v>223</v>
      </c>
      <c r="S324" s="7">
        <f t="shared" si="42"/>
        <v>0</v>
      </c>
      <c r="T324" s="124">
        <f t="shared" si="43"/>
        <v>63</v>
      </c>
      <c r="U324" s="124">
        <f t="shared" si="44"/>
        <v>999</v>
      </c>
      <c r="V324" s="124">
        <f t="shared" si="45"/>
        <v>315</v>
      </c>
      <c r="W324" s="124">
        <f t="shared" si="46"/>
        <v>225.99999999888001</v>
      </c>
      <c r="X324" s="124">
        <f t="shared" si="47"/>
        <v>2601883.0079525341</v>
      </c>
      <c r="Y324" s="264">
        <f t="shared" si="48"/>
        <v>315</v>
      </c>
      <c r="Z324" s="10">
        <v>63</v>
      </c>
      <c r="AA324" s="7">
        <v>999</v>
      </c>
      <c r="AB324" s="7">
        <v>315</v>
      </c>
      <c r="AC324" s="109">
        <v>225.99999999888001</v>
      </c>
      <c r="AD324" s="109">
        <v>2601883.0079525341</v>
      </c>
      <c r="AE324" s="125"/>
      <c r="AF324" s="10"/>
      <c r="AI324" s="109"/>
      <c r="AJ324" s="109"/>
      <c r="AL324" s="10"/>
      <c r="AO324" s="109"/>
      <c r="AP324" s="109"/>
      <c r="AR324" s="10"/>
      <c r="AU324" s="109"/>
      <c r="AV324" s="109"/>
      <c r="AX324" s="10"/>
      <c r="BA324" s="109"/>
      <c r="BB324" s="109"/>
      <c r="BD324" s="10"/>
      <c r="BG324" s="109"/>
      <c r="BH324" s="109"/>
      <c r="BJ324" s="10"/>
      <c r="BM324" s="109"/>
      <c r="BN324" s="109"/>
      <c r="BP324" s="10"/>
      <c r="BS324" s="109"/>
      <c r="BT324" s="109"/>
      <c r="BV324" s="10"/>
      <c r="BY324" s="109"/>
      <c r="BZ324" s="109"/>
      <c r="CB324" s="10"/>
      <c r="CE324" s="109"/>
      <c r="CF324" s="109"/>
      <c r="CH324" s="10"/>
      <c r="CK324" s="109"/>
      <c r="CL324" s="109"/>
    </row>
    <row r="325" spans="1:90">
      <c r="A325" s="7" t="str">
        <f t="shared" si="41"/>
        <v>00640064</v>
      </c>
      <c r="B325" s="7" t="s">
        <v>2403</v>
      </c>
      <c r="C325" s="7" t="s">
        <v>2403</v>
      </c>
      <c r="D325" s="7">
        <v>316</v>
      </c>
      <c r="E325" s="7">
        <v>64</v>
      </c>
      <c r="F325" s="7" t="s">
        <v>1770</v>
      </c>
      <c r="G325" s="7">
        <v>64</v>
      </c>
      <c r="H325" s="7" t="s">
        <v>1330</v>
      </c>
      <c r="I325" s="37">
        <v>21580495.630000003</v>
      </c>
      <c r="J325" s="122">
        <v>1</v>
      </c>
      <c r="K325" s="123">
        <f>X325</f>
        <v>21918110.246938307</v>
      </c>
      <c r="L325" s="122">
        <f>IF(K329&gt;0, K325/K329, 0)</f>
        <v>1</v>
      </c>
      <c r="M325" s="71"/>
      <c r="N325" s="10">
        <f>ROUND(M329*L325,0)</f>
        <v>9770470</v>
      </c>
      <c r="O325" s="70">
        <v>9661218</v>
      </c>
      <c r="P325" s="10">
        <f>N325-O325</f>
        <v>109252</v>
      </c>
      <c r="Q325" s="46">
        <f t="shared" si="49"/>
        <v>1.1308305019098006</v>
      </c>
      <c r="R325" s="10">
        <v>2029</v>
      </c>
      <c r="S325" s="7">
        <f t="shared" si="42"/>
        <v>0</v>
      </c>
      <c r="T325" s="124">
        <f t="shared" si="43"/>
        <v>64</v>
      </c>
      <c r="U325" s="124">
        <f t="shared" si="44"/>
        <v>64</v>
      </c>
      <c r="V325" s="124">
        <f t="shared" si="45"/>
        <v>316</v>
      </c>
      <c r="W325" s="124">
        <f t="shared" si="46"/>
        <v>2026</v>
      </c>
      <c r="X325" s="124">
        <f t="shared" si="47"/>
        <v>21918110.246938307</v>
      </c>
      <c r="Y325" s="264">
        <f t="shared" si="48"/>
        <v>316</v>
      </c>
      <c r="Z325" s="10">
        <v>64</v>
      </c>
      <c r="AA325" s="7">
        <v>64</v>
      </c>
      <c r="AB325" s="7">
        <v>316</v>
      </c>
      <c r="AC325" s="109">
        <v>2026</v>
      </c>
      <c r="AD325" s="109">
        <v>21918110.246938307</v>
      </c>
      <c r="AE325" s="125"/>
      <c r="AF325" s="10"/>
      <c r="AI325" s="109"/>
      <c r="AJ325" s="109"/>
      <c r="AL325" s="10"/>
      <c r="AO325" s="109"/>
      <c r="AP325" s="109"/>
      <c r="AR325" s="10"/>
      <c r="AU325" s="109"/>
      <c r="AV325" s="109"/>
      <c r="AX325" s="10"/>
      <c r="BA325" s="109"/>
      <c r="BB325" s="109"/>
      <c r="BD325" s="10"/>
      <c r="BG325" s="109"/>
      <c r="BH325" s="109"/>
      <c r="BJ325" s="10"/>
      <c r="BM325" s="109"/>
      <c r="BN325" s="109"/>
      <c r="BP325" s="10"/>
      <c r="BS325" s="109"/>
      <c r="BT325" s="109"/>
      <c r="BV325" s="10"/>
      <c r="BY325" s="109"/>
      <c r="BZ325" s="109"/>
      <c r="CB325" s="10"/>
      <c r="CE325" s="109"/>
      <c r="CF325" s="109"/>
      <c r="CH325" s="10"/>
      <c r="CK325" s="109"/>
      <c r="CL325" s="109"/>
    </row>
    <row r="326" spans="1:90">
      <c r="A326" s="7" t="str">
        <f t="shared" si="41"/>
        <v>00640998</v>
      </c>
      <c r="B326" s="7" t="s">
        <v>2403</v>
      </c>
      <c r="C326" s="7" t="s">
        <v>2781</v>
      </c>
      <c r="D326" s="7">
        <v>317</v>
      </c>
      <c r="E326" s="7">
        <v>64</v>
      </c>
      <c r="F326" s="7" t="s">
        <v>2135</v>
      </c>
      <c r="G326" s="7">
        <v>998</v>
      </c>
      <c r="H326" s="7" t="s">
        <v>2135</v>
      </c>
      <c r="I326" s="37">
        <v>0</v>
      </c>
      <c r="J326" s="122">
        <v>0</v>
      </c>
      <c r="K326" s="123">
        <f t="shared" si="50"/>
        <v>0</v>
      </c>
      <c r="L326" s="122">
        <f>IF(K329&gt;0, K326/K329, 0)</f>
        <v>0</v>
      </c>
      <c r="M326" s="71"/>
      <c r="N326" s="10">
        <f>ROUND(M329*L326,0)</f>
        <v>0</v>
      </c>
      <c r="O326" s="70">
        <v>0</v>
      </c>
      <c r="P326" s="10">
        <f>N326-O326</f>
        <v>0</v>
      </c>
      <c r="Q326" s="46">
        <f t="shared" si="49"/>
        <v>0</v>
      </c>
      <c r="R326" s="10">
        <v>0</v>
      </c>
      <c r="S326" s="7">
        <f t="shared" si="42"/>
        <v>0</v>
      </c>
      <c r="T326" s="124">
        <f t="shared" si="43"/>
        <v>64</v>
      </c>
      <c r="U326" s="124">
        <f t="shared" si="44"/>
        <v>998</v>
      </c>
      <c r="V326" s="124">
        <f t="shared" si="45"/>
        <v>317</v>
      </c>
      <c r="W326" s="124">
        <f t="shared" si="46"/>
        <v>0</v>
      </c>
      <c r="X326" s="124">
        <f t="shared" si="47"/>
        <v>0</v>
      </c>
      <c r="Y326" s="264">
        <f t="shared" si="48"/>
        <v>317</v>
      </c>
      <c r="Z326" s="10">
        <v>64</v>
      </c>
      <c r="AA326" s="7">
        <v>998</v>
      </c>
      <c r="AB326" s="7">
        <v>317</v>
      </c>
      <c r="AC326" s="109">
        <v>0</v>
      </c>
      <c r="AD326" s="109">
        <v>0</v>
      </c>
      <c r="AE326" s="125"/>
      <c r="AF326" s="10"/>
      <c r="AI326" s="109"/>
      <c r="AJ326" s="109"/>
      <c r="AL326" s="10"/>
      <c r="AO326" s="109"/>
      <c r="AP326" s="109"/>
      <c r="AR326" s="10"/>
      <c r="AU326" s="109"/>
      <c r="AV326" s="109"/>
      <c r="AX326" s="10"/>
      <c r="BA326" s="109"/>
      <c r="BB326" s="109"/>
      <c r="BD326" s="10"/>
      <c r="BG326" s="109"/>
      <c r="BH326" s="109"/>
      <c r="BJ326" s="10"/>
      <c r="BM326" s="109"/>
      <c r="BN326" s="109"/>
      <c r="BP326" s="10"/>
      <c r="BS326" s="109"/>
      <c r="BT326" s="109"/>
      <c r="BV326" s="10"/>
      <c r="BY326" s="109"/>
      <c r="BZ326" s="109"/>
      <c r="CB326" s="10"/>
      <c r="CE326" s="109"/>
      <c r="CF326" s="109"/>
      <c r="CH326" s="10"/>
      <c r="CK326" s="109"/>
      <c r="CL326" s="109"/>
    </row>
    <row r="327" spans="1:90">
      <c r="A327" s="7" t="str">
        <f t="shared" si="41"/>
        <v>00640998</v>
      </c>
      <c r="B327" s="7" t="s">
        <v>2403</v>
      </c>
      <c r="C327" s="7" t="s">
        <v>2781</v>
      </c>
      <c r="D327" s="7">
        <v>318</v>
      </c>
      <c r="E327" s="7">
        <v>64</v>
      </c>
      <c r="F327" s="7" t="s">
        <v>2135</v>
      </c>
      <c r="G327" s="7">
        <v>998</v>
      </c>
      <c r="H327" s="7" t="s">
        <v>2135</v>
      </c>
      <c r="I327" s="37">
        <v>0</v>
      </c>
      <c r="J327" s="122">
        <v>0</v>
      </c>
      <c r="K327" s="123">
        <f t="shared" si="50"/>
        <v>0</v>
      </c>
      <c r="L327" s="122">
        <f>IF(K329&gt;0, K327/K329, 0)</f>
        <v>0</v>
      </c>
      <c r="M327" s="71"/>
      <c r="N327" s="10">
        <f>ROUND(M329*L327,0)</f>
        <v>0</v>
      </c>
      <c r="O327" s="70">
        <v>0</v>
      </c>
      <c r="P327" s="10">
        <f>N327-O327</f>
        <v>0</v>
      </c>
      <c r="Q327" s="46">
        <f t="shared" si="49"/>
        <v>0</v>
      </c>
      <c r="R327" s="10">
        <v>0</v>
      </c>
      <c r="S327" s="7">
        <f t="shared" si="42"/>
        <v>0</v>
      </c>
      <c r="T327" s="124">
        <f t="shared" si="43"/>
        <v>64</v>
      </c>
      <c r="U327" s="124">
        <f t="shared" si="44"/>
        <v>998</v>
      </c>
      <c r="V327" s="124">
        <f t="shared" si="45"/>
        <v>318</v>
      </c>
      <c r="W327" s="124">
        <f t="shared" si="46"/>
        <v>0</v>
      </c>
      <c r="X327" s="124">
        <f t="shared" si="47"/>
        <v>0</v>
      </c>
      <c r="Y327" s="264">
        <f t="shared" si="48"/>
        <v>318</v>
      </c>
      <c r="Z327" s="10">
        <v>64</v>
      </c>
      <c r="AA327" s="7">
        <v>998</v>
      </c>
      <c r="AB327" s="7">
        <v>318</v>
      </c>
      <c r="AC327" s="109">
        <v>0</v>
      </c>
      <c r="AD327" s="109">
        <v>0</v>
      </c>
      <c r="AE327" s="125"/>
      <c r="AF327" s="10"/>
      <c r="AI327" s="109"/>
      <c r="AJ327" s="109"/>
      <c r="AL327" s="10"/>
      <c r="AO327" s="109"/>
      <c r="AP327" s="109"/>
      <c r="AR327" s="10"/>
      <c r="AU327" s="109"/>
      <c r="AV327" s="109"/>
      <c r="AX327" s="10"/>
      <c r="BA327" s="109"/>
      <c r="BB327" s="109"/>
      <c r="BD327" s="10"/>
      <c r="BG327" s="109"/>
      <c r="BH327" s="109"/>
      <c r="BJ327" s="10"/>
      <c r="BM327" s="109"/>
      <c r="BN327" s="109"/>
      <c r="BP327" s="10"/>
      <c r="BS327" s="109"/>
      <c r="BT327" s="109"/>
      <c r="BV327" s="10"/>
      <c r="BY327" s="109"/>
      <c r="BZ327" s="109"/>
      <c r="CB327" s="10"/>
      <c r="CE327" s="109"/>
      <c r="CF327" s="109"/>
      <c r="CH327" s="10"/>
      <c r="CK327" s="109"/>
      <c r="CL327" s="109"/>
    </row>
    <row r="328" spans="1:90">
      <c r="A328" s="7" t="str">
        <f t="shared" si="41"/>
        <v>00640998</v>
      </c>
      <c r="B328" s="7" t="s">
        <v>2403</v>
      </c>
      <c r="C328" s="7" t="s">
        <v>2781</v>
      </c>
      <c r="D328" s="7">
        <v>319</v>
      </c>
      <c r="E328" s="7">
        <v>64</v>
      </c>
      <c r="F328" s="7" t="s">
        <v>2135</v>
      </c>
      <c r="G328" s="7">
        <v>998</v>
      </c>
      <c r="H328" s="7" t="s">
        <v>2135</v>
      </c>
      <c r="I328" s="37">
        <v>0</v>
      </c>
      <c r="J328" s="122">
        <v>0</v>
      </c>
      <c r="K328" s="123">
        <f t="shared" si="50"/>
        <v>0</v>
      </c>
      <c r="L328" s="122">
        <f>IF(K329&gt;0, K328/K329, 0)</f>
        <v>0</v>
      </c>
      <c r="M328" s="71"/>
      <c r="N328" s="10">
        <f>ROUND(M329*L328,0)</f>
        <v>0</v>
      </c>
      <c r="O328" s="70">
        <v>0</v>
      </c>
      <c r="P328" s="10">
        <f>N328-O328</f>
        <v>0</v>
      </c>
      <c r="Q328" s="46">
        <f t="shared" si="49"/>
        <v>0</v>
      </c>
      <c r="R328" s="10">
        <v>0</v>
      </c>
      <c r="S328" s="7">
        <f t="shared" si="42"/>
        <v>0</v>
      </c>
      <c r="T328" s="124">
        <f t="shared" si="43"/>
        <v>64</v>
      </c>
      <c r="U328" s="124">
        <f t="shared" si="44"/>
        <v>998</v>
      </c>
      <c r="V328" s="124">
        <f t="shared" si="45"/>
        <v>319</v>
      </c>
      <c r="W328" s="124">
        <f t="shared" si="46"/>
        <v>0</v>
      </c>
      <c r="X328" s="124">
        <f t="shared" si="47"/>
        <v>0</v>
      </c>
      <c r="Y328" s="264">
        <f t="shared" si="48"/>
        <v>319</v>
      </c>
      <c r="Z328" s="10">
        <v>64</v>
      </c>
      <c r="AA328" s="7">
        <v>998</v>
      </c>
      <c r="AB328" s="7">
        <v>319</v>
      </c>
      <c r="AC328" s="109">
        <v>0</v>
      </c>
      <c r="AD328" s="109">
        <v>0</v>
      </c>
      <c r="AE328" s="125"/>
      <c r="AF328" s="10"/>
      <c r="AI328" s="109"/>
      <c r="AJ328" s="109"/>
      <c r="AL328" s="10"/>
      <c r="AO328" s="109"/>
      <c r="AP328" s="109"/>
      <c r="AR328" s="10"/>
      <c r="AU328" s="109"/>
      <c r="AV328" s="109"/>
      <c r="AX328" s="10"/>
      <c r="BA328" s="109"/>
      <c r="BB328" s="109"/>
      <c r="BD328" s="10"/>
      <c r="BG328" s="109"/>
      <c r="BH328" s="109"/>
      <c r="BJ328" s="10"/>
      <c r="BM328" s="109"/>
      <c r="BN328" s="109"/>
      <c r="BP328" s="10"/>
      <c r="BS328" s="109"/>
      <c r="BT328" s="109"/>
      <c r="BV328" s="10"/>
      <c r="BY328" s="109"/>
      <c r="BZ328" s="109"/>
      <c r="CB328" s="10"/>
      <c r="CE328" s="109"/>
      <c r="CF328" s="109"/>
      <c r="CH328" s="10"/>
      <c r="CK328" s="109"/>
      <c r="CL328" s="109"/>
    </row>
    <row r="329" spans="1:90">
      <c r="A329" s="7" t="str">
        <f t="shared" si="41"/>
        <v>00640999</v>
      </c>
      <c r="B329" s="7" t="s">
        <v>2403</v>
      </c>
      <c r="C329" s="7" t="s">
        <v>2782</v>
      </c>
      <c r="D329" s="7">
        <v>320</v>
      </c>
      <c r="E329" s="11">
        <v>64</v>
      </c>
      <c r="F329" s="11" t="s">
        <v>1770</v>
      </c>
      <c r="G329" s="11">
        <v>999</v>
      </c>
      <c r="H329" s="11" t="s">
        <v>1132</v>
      </c>
      <c r="I329" s="105">
        <v>21580495.630000003</v>
      </c>
      <c r="J329" s="126">
        <v>1</v>
      </c>
      <c r="K329" s="127">
        <f>SUM(K325:K328)</f>
        <v>21918110.246938307</v>
      </c>
      <c r="L329" s="126">
        <f>SUM(L325:L328)</f>
        <v>1</v>
      </c>
      <c r="M329" s="105">
        <f>VLOOKUP(E329,town351,22)</f>
        <v>9770470</v>
      </c>
      <c r="N329" s="105">
        <f>SUM(N325:N328)</f>
        <v>9770470</v>
      </c>
      <c r="O329" s="128">
        <v>9661218</v>
      </c>
      <c r="P329" s="105">
        <f>SUM(P325:P328)</f>
        <v>109252</v>
      </c>
      <c r="Q329" s="45">
        <f t="shared" si="49"/>
        <v>1.1308305019098006</v>
      </c>
      <c r="R329" s="105">
        <v>2029</v>
      </c>
      <c r="S329" s="7">
        <f t="shared" si="42"/>
        <v>0</v>
      </c>
      <c r="T329" s="124">
        <f t="shared" si="43"/>
        <v>64</v>
      </c>
      <c r="U329" s="124">
        <f t="shared" si="44"/>
        <v>999</v>
      </c>
      <c r="V329" s="124">
        <f t="shared" si="45"/>
        <v>320</v>
      </c>
      <c r="W329" s="124">
        <f t="shared" si="46"/>
        <v>2026</v>
      </c>
      <c r="X329" s="124">
        <f t="shared" si="47"/>
        <v>21918110.246938307</v>
      </c>
      <c r="Y329" s="264">
        <f t="shared" si="48"/>
        <v>320</v>
      </c>
      <c r="Z329" s="10">
        <v>64</v>
      </c>
      <c r="AA329" s="7">
        <v>999</v>
      </c>
      <c r="AB329" s="7">
        <v>320</v>
      </c>
      <c r="AC329" s="109">
        <v>2026</v>
      </c>
      <c r="AD329" s="109">
        <v>21918110.246938307</v>
      </c>
      <c r="AE329" s="125"/>
      <c r="AF329" s="10"/>
      <c r="AI329" s="109"/>
      <c r="AJ329" s="109"/>
      <c r="AL329" s="10"/>
      <c r="AO329" s="109"/>
      <c r="AP329" s="109"/>
      <c r="AR329" s="10"/>
      <c r="AU329" s="109"/>
      <c r="AV329" s="109"/>
      <c r="AX329" s="10"/>
      <c r="BA329" s="109"/>
      <c r="BB329" s="109"/>
      <c r="BD329" s="10"/>
      <c r="BG329" s="109"/>
      <c r="BH329" s="109"/>
      <c r="BJ329" s="10"/>
      <c r="BM329" s="109"/>
      <c r="BN329" s="109"/>
      <c r="BP329" s="10"/>
      <c r="BS329" s="109"/>
      <c r="BT329" s="109"/>
      <c r="BV329" s="10"/>
      <c r="BY329" s="109"/>
      <c r="BZ329" s="109"/>
      <c r="CB329" s="10"/>
      <c r="CE329" s="109"/>
      <c r="CF329" s="109"/>
      <c r="CH329" s="10"/>
      <c r="CK329" s="109"/>
      <c r="CL329" s="109"/>
    </row>
    <row r="330" spans="1:90">
      <c r="A330" s="7" t="str">
        <f t="shared" ref="A330:A393" si="51">B330&amp;C330</f>
        <v>00650065</v>
      </c>
      <c r="B330" s="7" t="s">
        <v>2404</v>
      </c>
      <c r="C330" s="7" t="s">
        <v>2404</v>
      </c>
      <c r="D330" s="7">
        <v>321</v>
      </c>
      <c r="E330" s="7">
        <v>65</v>
      </c>
      <c r="F330" s="7" t="s">
        <v>1771</v>
      </c>
      <c r="G330" s="7">
        <v>65</v>
      </c>
      <c r="H330" s="7" t="s">
        <v>1331</v>
      </c>
      <c r="I330" s="37">
        <v>14622821.151839999</v>
      </c>
      <c r="J330" s="122">
        <v>0.99246489823524164</v>
      </c>
      <c r="K330" s="123">
        <f>X330</f>
        <v>14375663.798876762</v>
      </c>
      <c r="L330" s="122">
        <f>IF(K334&gt;0, K330/K334, 0)</f>
        <v>0.99436008427236688</v>
      </c>
      <c r="M330" s="71"/>
      <c r="N330" s="10">
        <f>ROUND(M334*L330,0)</f>
        <v>11992671</v>
      </c>
      <c r="O330" s="70">
        <v>12122957</v>
      </c>
      <c r="P330" s="10">
        <f>N330-O330</f>
        <v>-130286</v>
      </c>
      <c r="Q330" s="46">
        <f t="shared" si="49"/>
        <v>-1.0747047935582053</v>
      </c>
      <c r="R330" s="10">
        <v>1586</v>
      </c>
      <c r="S330" s="7">
        <f t="shared" ref="S330:S393" si="52">ABS(T330-E330)+ABS(U330-G330)</f>
        <v>0</v>
      </c>
      <c r="T330" s="124">
        <f t="shared" ref="T330:T393" si="53">VLOOKUP($D330, foundoptions, VLOOKUP($T$6, foundoptcell, 2, FALSE), FALSE)</f>
        <v>65</v>
      </c>
      <c r="U330" s="124">
        <f t="shared" ref="U330:U393" si="54">VLOOKUP($D330, foundoptions, VLOOKUP($T$6, foundoptcell, 2, FALSE)+1, FALSE)</f>
        <v>65</v>
      </c>
      <c r="V330" s="124">
        <f t="shared" ref="V330:V393" si="55">VLOOKUP($D330, foundoptions, VLOOKUP($T$6, foundoptcell, 2, FALSE)+2, FALSE)</f>
        <v>321</v>
      </c>
      <c r="W330" s="124">
        <f t="shared" ref="W330:W393" si="56">VLOOKUP($D330, foundoptions, VLOOKUP($T$6, foundoptcell, 2, FALSE)+3, FALSE)</f>
        <v>1525</v>
      </c>
      <c r="X330" s="124">
        <f t="shared" ref="X330:X393" si="57">VLOOKUP($D330, foundoptions, VLOOKUP($T$6, foundoptcell, 2, FALSE)+4, FALSE)</f>
        <v>14375663.798876762</v>
      </c>
      <c r="Y330" s="264">
        <f t="shared" si="48"/>
        <v>321</v>
      </c>
      <c r="Z330" s="10">
        <v>65</v>
      </c>
      <c r="AA330" s="7">
        <v>65</v>
      </c>
      <c r="AB330" s="7">
        <v>321</v>
      </c>
      <c r="AC330" s="109">
        <v>1525</v>
      </c>
      <c r="AD330" s="109">
        <v>14375663.798876762</v>
      </c>
      <c r="AE330" s="125"/>
      <c r="AF330" s="10"/>
      <c r="AI330" s="109"/>
      <c r="AJ330" s="109"/>
      <c r="AL330" s="10"/>
      <c r="AO330" s="109"/>
      <c r="AP330" s="109"/>
      <c r="AR330" s="10"/>
      <c r="AU330" s="109"/>
      <c r="AV330" s="109"/>
      <c r="AX330" s="10"/>
      <c r="BA330" s="109"/>
      <c r="BB330" s="109"/>
      <c r="BD330" s="10"/>
      <c r="BG330" s="109"/>
      <c r="BH330" s="109"/>
      <c r="BJ330" s="10"/>
      <c r="BM330" s="109"/>
      <c r="BN330" s="109"/>
      <c r="BP330" s="10"/>
      <c r="BS330" s="109"/>
      <c r="BT330" s="109"/>
      <c r="BV330" s="10"/>
      <c r="BY330" s="109"/>
      <c r="BZ330" s="109"/>
      <c r="CB330" s="10"/>
      <c r="CE330" s="109"/>
      <c r="CF330" s="109"/>
      <c r="CH330" s="10"/>
      <c r="CK330" s="109"/>
      <c r="CL330" s="109"/>
    </row>
    <row r="331" spans="1:90">
      <c r="A331" s="7" t="str">
        <f t="shared" si="51"/>
        <v>00650873</v>
      </c>
      <c r="B331" s="7" t="s">
        <v>2404</v>
      </c>
      <c r="C331" s="7" t="s">
        <v>2773</v>
      </c>
      <c r="D331" s="7">
        <v>322</v>
      </c>
      <c r="E331" s="7">
        <v>65</v>
      </c>
      <c r="F331" s="7" t="s">
        <v>1771</v>
      </c>
      <c r="G331" s="7">
        <v>873</v>
      </c>
      <c r="H331" s="7" t="s">
        <v>1700</v>
      </c>
      <c r="I331" s="37">
        <v>94884</v>
      </c>
      <c r="J331" s="122">
        <v>6.4398680956515237E-3</v>
      </c>
      <c r="K331" s="123">
        <f t="shared" si="50"/>
        <v>65065.099051422927</v>
      </c>
      <c r="L331" s="122">
        <f>IF(K334&gt;0, K331/K334, 0)</f>
        <v>4.5005321688879486E-3</v>
      </c>
      <c r="M331" s="71"/>
      <c r="N331" s="10">
        <f>ROUND(M334*L331,0)</f>
        <v>54280</v>
      </c>
      <c r="O331" s="70">
        <v>78663</v>
      </c>
      <c r="P331" s="10">
        <f>N331-O331</f>
        <v>-24383</v>
      </c>
      <c r="Q331" s="46">
        <f t="shared" si="49"/>
        <v>-30.996783748395053</v>
      </c>
      <c r="R331" s="10">
        <v>6</v>
      </c>
      <c r="S331" s="7">
        <f t="shared" si="52"/>
        <v>0</v>
      </c>
      <c r="T331" s="124">
        <f t="shared" si="53"/>
        <v>65</v>
      </c>
      <c r="U331" s="124">
        <f t="shared" si="54"/>
        <v>873</v>
      </c>
      <c r="V331" s="124">
        <f t="shared" si="55"/>
        <v>322</v>
      </c>
      <c r="W331" s="124">
        <f t="shared" si="56"/>
        <v>3.9999999979999998</v>
      </c>
      <c r="X331" s="124">
        <f t="shared" si="57"/>
        <v>65065.099051422927</v>
      </c>
      <c r="Y331" s="264">
        <f t="shared" ref="Y331:Y394" si="58">D331</f>
        <v>322</v>
      </c>
      <c r="Z331" s="10">
        <v>65</v>
      </c>
      <c r="AA331" s="7">
        <v>873</v>
      </c>
      <c r="AB331" s="7">
        <v>322</v>
      </c>
      <c r="AC331" s="109">
        <v>3.9999999979999998</v>
      </c>
      <c r="AD331" s="109">
        <v>65065.099051422927</v>
      </c>
      <c r="AE331" s="125"/>
      <c r="AF331" s="10"/>
      <c r="AI331" s="109"/>
      <c r="AJ331" s="109"/>
      <c r="AL331" s="10"/>
      <c r="AO331" s="109"/>
      <c r="AP331" s="109"/>
      <c r="AR331" s="10"/>
      <c r="AU331" s="109"/>
      <c r="AV331" s="109"/>
      <c r="AX331" s="10"/>
      <c r="BA331" s="109"/>
      <c r="BB331" s="109"/>
      <c r="BD331" s="10"/>
      <c r="BG331" s="109"/>
      <c r="BH331" s="109"/>
      <c r="BJ331" s="10"/>
      <c r="BM331" s="109"/>
      <c r="BN331" s="109"/>
      <c r="BP331" s="10"/>
      <c r="BS331" s="109"/>
      <c r="BT331" s="109"/>
      <c r="BV331" s="10"/>
      <c r="BY331" s="109"/>
      <c r="BZ331" s="109"/>
      <c r="CB331" s="10"/>
      <c r="CE331" s="109"/>
      <c r="CF331" s="109"/>
      <c r="CH331" s="10"/>
      <c r="CK331" s="109"/>
      <c r="CL331" s="109"/>
    </row>
    <row r="332" spans="1:90">
      <c r="A332" s="7" t="str">
        <f t="shared" si="51"/>
        <v>00650915</v>
      </c>
      <c r="B332" s="7" t="s">
        <v>2404</v>
      </c>
      <c r="C332" s="7" t="s">
        <v>2779</v>
      </c>
      <c r="D332" s="7">
        <v>323</v>
      </c>
      <c r="E332" s="7">
        <v>65</v>
      </c>
      <c r="F332" s="7" t="s">
        <v>1771</v>
      </c>
      <c r="G332" s="7">
        <v>915</v>
      </c>
      <c r="H332" s="7" t="s">
        <v>1706</v>
      </c>
      <c r="I332" s="37">
        <v>16137</v>
      </c>
      <c r="J332" s="122">
        <v>1.0952336691067896E-3</v>
      </c>
      <c r="K332" s="123">
        <f t="shared" si="50"/>
        <v>16472.297347367301</v>
      </c>
      <c r="L332" s="122">
        <f>IF(K334&gt;0, K332/K334, 0)</f>
        <v>1.1393835587451228E-3</v>
      </c>
      <c r="M332" s="71"/>
      <c r="N332" s="10">
        <f>ROUND(M334*L332,0)</f>
        <v>13742</v>
      </c>
      <c r="O332" s="70">
        <v>13378</v>
      </c>
      <c r="P332" s="10">
        <f>N332-O332</f>
        <v>364</v>
      </c>
      <c r="Q332" s="46">
        <f t="shared" si="49"/>
        <v>2.7208850351323068</v>
      </c>
      <c r="R332" s="10">
        <v>1</v>
      </c>
      <c r="S332" s="7">
        <f t="shared" si="52"/>
        <v>0</v>
      </c>
      <c r="T332" s="124">
        <f t="shared" si="53"/>
        <v>65</v>
      </c>
      <c r="U332" s="124">
        <f t="shared" si="54"/>
        <v>915</v>
      </c>
      <c r="V332" s="124">
        <f t="shared" si="55"/>
        <v>323</v>
      </c>
      <c r="W332" s="124">
        <f t="shared" si="56"/>
        <v>0.9999999998100001</v>
      </c>
      <c r="X332" s="124">
        <f t="shared" si="57"/>
        <v>16472.297347367301</v>
      </c>
      <c r="Y332" s="264">
        <f t="shared" si="58"/>
        <v>323</v>
      </c>
      <c r="Z332" s="10">
        <v>65</v>
      </c>
      <c r="AA332" s="7">
        <v>915</v>
      </c>
      <c r="AB332" s="7">
        <v>323</v>
      </c>
      <c r="AC332" s="109">
        <v>0.9999999998100001</v>
      </c>
      <c r="AD332" s="109">
        <v>16472.297347367301</v>
      </c>
      <c r="AE332" s="125"/>
      <c r="AF332" s="10"/>
      <c r="AI332" s="109"/>
      <c r="AJ332" s="109"/>
      <c r="AL332" s="10"/>
      <c r="AO332" s="109"/>
      <c r="AP332" s="109"/>
      <c r="AR332" s="10"/>
      <c r="AU332" s="109"/>
      <c r="AV332" s="109"/>
      <c r="AX332" s="10"/>
      <c r="BA332" s="109"/>
      <c r="BB332" s="109"/>
      <c r="BD332" s="10"/>
      <c r="BG332" s="109"/>
      <c r="BH332" s="109"/>
      <c r="BJ332" s="10"/>
      <c r="BM332" s="109"/>
      <c r="BN332" s="109"/>
      <c r="BP332" s="10"/>
      <c r="BS332" s="109"/>
      <c r="BT332" s="109"/>
      <c r="BV332" s="10"/>
      <c r="BY332" s="109"/>
      <c r="BZ332" s="109"/>
      <c r="CB332" s="10"/>
      <c r="CE332" s="109"/>
      <c r="CF332" s="109"/>
      <c r="CH332" s="10"/>
      <c r="CK332" s="109"/>
      <c r="CL332" s="109"/>
    </row>
    <row r="333" spans="1:90">
      <c r="A333" s="7" t="str">
        <f t="shared" si="51"/>
        <v>00650998</v>
      </c>
      <c r="B333" s="7" t="s">
        <v>2404</v>
      </c>
      <c r="C333" s="7" t="s">
        <v>2781</v>
      </c>
      <c r="D333" s="7">
        <v>324</v>
      </c>
      <c r="E333" s="7">
        <v>65</v>
      </c>
      <c r="F333" s="7" t="s">
        <v>2135</v>
      </c>
      <c r="G333" s="7">
        <v>998</v>
      </c>
      <c r="H333" s="7" t="s">
        <v>2135</v>
      </c>
      <c r="I333" s="37">
        <v>0</v>
      </c>
      <c r="J333" s="122">
        <v>0</v>
      </c>
      <c r="K333" s="123">
        <f t="shared" si="50"/>
        <v>0</v>
      </c>
      <c r="L333" s="122">
        <f>IF(K334&gt;0, K333/K334, 0)</f>
        <v>0</v>
      </c>
      <c r="M333" s="71"/>
      <c r="N333" s="10">
        <f>ROUND(M334*L333,0)</f>
        <v>0</v>
      </c>
      <c r="O333" s="70">
        <v>0</v>
      </c>
      <c r="P333" s="10">
        <f>N333-O333</f>
        <v>0</v>
      </c>
      <c r="Q333" s="46">
        <f t="shared" si="49"/>
        <v>0</v>
      </c>
      <c r="R333" s="10">
        <v>0</v>
      </c>
      <c r="S333" s="7">
        <f t="shared" si="52"/>
        <v>0</v>
      </c>
      <c r="T333" s="124">
        <f t="shared" si="53"/>
        <v>65</v>
      </c>
      <c r="U333" s="124">
        <f t="shared" si="54"/>
        <v>998</v>
      </c>
      <c r="V333" s="124">
        <f t="shared" si="55"/>
        <v>324</v>
      </c>
      <c r="W333" s="124">
        <f t="shared" si="56"/>
        <v>0</v>
      </c>
      <c r="X333" s="124">
        <f t="shared" si="57"/>
        <v>0</v>
      </c>
      <c r="Y333" s="264">
        <f t="shared" si="58"/>
        <v>324</v>
      </c>
      <c r="Z333" s="10">
        <v>65</v>
      </c>
      <c r="AA333" s="7">
        <v>998</v>
      </c>
      <c r="AB333" s="7">
        <v>324</v>
      </c>
      <c r="AC333" s="109">
        <v>0</v>
      </c>
      <c r="AD333" s="109">
        <v>0</v>
      </c>
      <c r="AE333" s="125"/>
      <c r="AF333" s="10"/>
      <c r="AI333" s="109"/>
      <c r="AJ333" s="109"/>
      <c r="AL333" s="10"/>
      <c r="AO333" s="109"/>
      <c r="AP333" s="109"/>
      <c r="AR333" s="10"/>
      <c r="AU333" s="109"/>
      <c r="AV333" s="109"/>
      <c r="AX333" s="10"/>
      <c r="BA333" s="109"/>
      <c r="BB333" s="109"/>
      <c r="BD333" s="10"/>
      <c r="BG333" s="109"/>
      <c r="BH333" s="109"/>
      <c r="BJ333" s="10"/>
      <c r="BM333" s="109"/>
      <c r="BN333" s="109"/>
      <c r="BP333" s="10"/>
      <c r="BS333" s="109"/>
      <c r="BT333" s="109"/>
      <c r="BV333" s="10"/>
      <c r="BY333" s="109"/>
      <c r="BZ333" s="109"/>
      <c r="CB333" s="10"/>
      <c r="CE333" s="109"/>
      <c r="CF333" s="109"/>
      <c r="CH333" s="10"/>
      <c r="CK333" s="109"/>
      <c r="CL333" s="109"/>
    </row>
    <row r="334" spans="1:90">
      <c r="A334" s="7" t="str">
        <f t="shared" si="51"/>
        <v>00650999</v>
      </c>
      <c r="B334" s="7" t="s">
        <v>2404</v>
      </c>
      <c r="C334" s="7" t="s">
        <v>2782</v>
      </c>
      <c r="D334" s="7">
        <v>325</v>
      </c>
      <c r="E334" s="11">
        <v>65</v>
      </c>
      <c r="F334" s="11" t="s">
        <v>1771</v>
      </c>
      <c r="G334" s="11">
        <v>999</v>
      </c>
      <c r="H334" s="11" t="s">
        <v>1132</v>
      </c>
      <c r="I334" s="105">
        <v>14733842.151839999</v>
      </c>
      <c r="J334" s="126">
        <v>1</v>
      </c>
      <c r="K334" s="127">
        <f>SUM(K330:K333)</f>
        <v>14457201.195275553</v>
      </c>
      <c r="L334" s="126">
        <f>SUM(L330:L333)</f>
        <v>0.99999999999999989</v>
      </c>
      <c r="M334" s="105">
        <f>VLOOKUP(E334,town351,22)</f>
        <v>12060692</v>
      </c>
      <c r="N334" s="105">
        <f>SUM(N330:N333)</f>
        <v>12060693</v>
      </c>
      <c r="O334" s="128">
        <v>12214998</v>
      </c>
      <c r="P334" s="105">
        <f>SUM(P330:P333)</f>
        <v>-154305</v>
      </c>
      <c r="Q334" s="45">
        <f t="shared" si="49"/>
        <v>-1.2632421225120134</v>
      </c>
      <c r="R334" s="105">
        <v>1593</v>
      </c>
      <c r="S334" s="7">
        <f t="shared" si="52"/>
        <v>0</v>
      </c>
      <c r="T334" s="124">
        <f t="shared" si="53"/>
        <v>65</v>
      </c>
      <c r="U334" s="124">
        <f t="shared" si="54"/>
        <v>999</v>
      </c>
      <c r="V334" s="124">
        <f t="shared" si="55"/>
        <v>325</v>
      </c>
      <c r="W334" s="124">
        <f t="shared" si="56"/>
        <v>1529.9999999978099</v>
      </c>
      <c r="X334" s="124">
        <f t="shared" si="57"/>
        <v>14457201.195275553</v>
      </c>
      <c r="Y334" s="264">
        <f t="shared" si="58"/>
        <v>325</v>
      </c>
      <c r="Z334" s="10">
        <v>65</v>
      </c>
      <c r="AA334" s="7">
        <v>999</v>
      </c>
      <c r="AB334" s="7">
        <v>325</v>
      </c>
      <c r="AC334" s="109">
        <v>1529.9999999978099</v>
      </c>
      <c r="AD334" s="109">
        <v>14457201.195275553</v>
      </c>
      <c r="AE334" s="125"/>
      <c r="AF334" s="10"/>
      <c r="AI334" s="109"/>
      <c r="AJ334" s="109"/>
      <c r="AL334" s="10"/>
      <c r="AO334" s="109"/>
      <c r="AP334" s="109"/>
      <c r="AR334" s="10"/>
      <c r="AU334" s="109"/>
      <c r="AV334" s="109"/>
      <c r="AX334" s="10"/>
      <c r="BA334" s="109"/>
      <c r="BB334" s="109"/>
      <c r="BD334" s="10"/>
      <c r="BG334" s="109"/>
      <c r="BH334" s="109"/>
      <c r="BJ334" s="10"/>
      <c r="BM334" s="109"/>
      <c r="BN334" s="109"/>
      <c r="BP334" s="10"/>
      <c r="BS334" s="109"/>
      <c r="BT334" s="109"/>
      <c r="BV334" s="10"/>
      <c r="BY334" s="109"/>
      <c r="BZ334" s="109"/>
      <c r="CB334" s="10"/>
      <c r="CE334" s="109"/>
      <c r="CF334" s="109"/>
      <c r="CH334" s="10"/>
      <c r="CK334" s="109"/>
      <c r="CL334" s="109"/>
    </row>
    <row r="335" spans="1:90">
      <c r="A335" s="7" t="str">
        <f t="shared" si="51"/>
        <v>00660066</v>
      </c>
      <c r="B335" s="7" t="s">
        <v>2405</v>
      </c>
      <c r="C335" s="7" t="s">
        <v>2405</v>
      </c>
      <c r="D335" s="7">
        <v>326</v>
      </c>
      <c r="E335" s="7">
        <v>66</v>
      </c>
      <c r="F335" s="7" t="s">
        <v>1772</v>
      </c>
      <c r="G335" s="7">
        <v>66</v>
      </c>
      <c r="H335" s="7" t="s">
        <v>1332</v>
      </c>
      <c r="I335" s="37">
        <v>13170.920000000002</v>
      </c>
      <c r="J335" s="122">
        <v>6.0787255258621057E-3</v>
      </c>
      <c r="K335" s="123">
        <f>X335</f>
        <v>13416.833343589547</v>
      </c>
      <c r="L335" s="122">
        <f>IF(K339&gt;0, K335/K339, 0)</f>
        <v>6.0484025302051797E-3</v>
      </c>
      <c r="M335" s="71"/>
      <c r="N335" s="10">
        <f>ROUND(M339*L335,0)</f>
        <v>7440</v>
      </c>
      <c r="O335" s="70">
        <v>7776</v>
      </c>
      <c r="P335" s="10">
        <f>N335-O335</f>
        <v>-336</v>
      </c>
      <c r="Q335" s="46">
        <f t="shared" si="49"/>
        <v>-4.3209876543209873</v>
      </c>
      <c r="R335" s="10">
        <v>1</v>
      </c>
      <c r="S335" s="7">
        <f t="shared" si="52"/>
        <v>0</v>
      </c>
      <c r="T335" s="124">
        <f t="shared" si="53"/>
        <v>66</v>
      </c>
      <c r="U335" s="124">
        <f t="shared" si="54"/>
        <v>66</v>
      </c>
      <c r="V335" s="124">
        <f t="shared" si="55"/>
        <v>326</v>
      </c>
      <c r="W335" s="124">
        <f t="shared" si="56"/>
        <v>1</v>
      </c>
      <c r="X335" s="124">
        <f t="shared" si="57"/>
        <v>13416.833343589547</v>
      </c>
      <c r="Y335" s="264">
        <f t="shared" si="58"/>
        <v>326</v>
      </c>
      <c r="Z335" s="10">
        <v>66</v>
      </c>
      <c r="AA335" s="7">
        <v>66</v>
      </c>
      <c r="AB335" s="7">
        <v>326</v>
      </c>
      <c r="AC335" s="109">
        <v>1</v>
      </c>
      <c r="AD335" s="109">
        <v>13416.833343589547</v>
      </c>
      <c r="AE335" s="125"/>
      <c r="AF335" s="10"/>
      <c r="AI335" s="109"/>
      <c r="AJ335" s="109"/>
      <c r="AL335" s="10"/>
      <c r="AO335" s="109"/>
      <c r="AP335" s="109"/>
      <c r="AR335" s="10"/>
      <c r="AU335" s="109"/>
      <c r="AV335" s="109"/>
      <c r="AX335" s="10"/>
      <c r="BA335" s="109"/>
      <c r="BB335" s="109"/>
      <c r="BD335" s="10"/>
      <c r="BG335" s="109"/>
      <c r="BH335" s="109"/>
      <c r="BJ335" s="10"/>
      <c r="BM335" s="109"/>
      <c r="BN335" s="109"/>
      <c r="BP335" s="10"/>
      <c r="BS335" s="109"/>
      <c r="BT335" s="109"/>
      <c r="BV335" s="10"/>
      <c r="BY335" s="109"/>
      <c r="BZ335" s="109"/>
      <c r="CB335" s="10"/>
      <c r="CE335" s="109"/>
      <c r="CF335" s="109"/>
      <c r="CH335" s="10"/>
      <c r="CK335" s="109"/>
      <c r="CL335" s="109"/>
    </row>
    <row r="336" spans="1:90">
      <c r="A336" s="7" t="str">
        <f t="shared" si="51"/>
        <v>00660717</v>
      </c>
      <c r="B336" s="7" t="s">
        <v>2405</v>
      </c>
      <c r="C336" s="7" t="s">
        <v>2730</v>
      </c>
      <c r="D336" s="7">
        <v>327</v>
      </c>
      <c r="E336" s="7">
        <v>66</v>
      </c>
      <c r="F336" s="7" t="s">
        <v>1772</v>
      </c>
      <c r="G336" s="7">
        <v>717</v>
      </c>
      <c r="H336" s="7" t="s">
        <v>1657</v>
      </c>
      <c r="I336" s="37">
        <v>1764262</v>
      </c>
      <c r="J336" s="122">
        <v>0.81425325290173567</v>
      </c>
      <c r="K336" s="123">
        <f t="shared" si="50"/>
        <v>1856816.7826032965</v>
      </c>
      <c r="L336" s="122">
        <f>IF(K339&gt;0, K336/K339, 0)</f>
        <v>0.83706602283997156</v>
      </c>
      <c r="M336" s="71"/>
      <c r="N336" s="10">
        <f>ROUND(M339*L336,0)</f>
        <v>1029698</v>
      </c>
      <c r="O336" s="70">
        <v>1041565</v>
      </c>
      <c r="P336" s="10">
        <f>N336-O336</f>
        <v>-11867</v>
      </c>
      <c r="Q336" s="46">
        <f>IF(O336&gt;0,P336*100/O336,IF(P336&gt;0,100,0))</f>
        <v>-1.1393431998963099</v>
      </c>
      <c r="R336" s="10">
        <v>169</v>
      </c>
      <c r="S336" s="7">
        <f t="shared" si="52"/>
        <v>0</v>
      </c>
      <c r="T336" s="124">
        <f t="shared" si="53"/>
        <v>66</v>
      </c>
      <c r="U336" s="124">
        <f t="shared" si="54"/>
        <v>717</v>
      </c>
      <c r="V336" s="124">
        <f t="shared" si="55"/>
        <v>327</v>
      </c>
      <c r="W336" s="124">
        <f t="shared" si="56"/>
        <v>176.28154327401998</v>
      </c>
      <c r="X336" s="124">
        <f t="shared" si="57"/>
        <v>1856816.7826032965</v>
      </c>
      <c r="Y336" s="264">
        <f t="shared" si="58"/>
        <v>327</v>
      </c>
      <c r="Z336" s="10">
        <v>66</v>
      </c>
      <c r="AA336" s="7">
        <v>717</v>
      </c>
      <c r="AB336" s="7">
        <v>327</v>
      </c>
      <c r="AC336" s="109">
        <v>176.28154327401998</v>
      </c>
      <c r="AD336" s="109">
        <v>1856816.7826032965</v>
      </c>
      <c r="AE336" s="125"/>
      <c r="AF336" s="10"/>
      <c r="AI336" s="109"/>
      <c r="AJ336" s="109"/>
      <c r="AL336" s="10"/>
      <c r="AO336" s="109"/>
      <c r="AP336" s="109"/>
      <c r="AR336" s="10"/>
      <c r="AU336" s="109"/>
      <c r="AV336" s="109"/>
      <c r="AX336" s="10"/>
      <c r="BA336" s="109"/>
      <c r="BB336" s="109"/>
      <c r="BD336" s="10"/>
      <c r="BG336" s="109"/>
      <c r="BH336" s="109"/>
      <c r="BJ336" s="10"/>
      <c r="BM336" s="109"/>
      <c r="BN336" s="109"/>
      <c r="BP336" s="10"/>
      <c r="BS336" s="109"/>
      <c r="BT336" s="109"/>
      <c r="BV336" s="10"/>
      <c r="BY336" s="109"/>
      <c r="BZ336" s="109"/>
      <c r="CB336" s="10"/>
      <c r="CE336" s="109"/>
      <c r="CF336" s="109"/>
      <c r="CH336" s="10"/>
      <c r="CK336" s="109"/>
      <c r="CL336" s="109"/>
    </row>
    <row r="337" spans="1:90">
      <c r="A337" s="7" t="str">
        <f t="shared" si="51"/>
        <v>00660818</v>
      </c>
      <c r="B337" s="7" t="s">
        <v>2405</v>
      </c>
      <c r="C337" s="7" t="s">
        <v>2758</v>
      </c>
      <c r="D337" s="7">
        <v>328</v>
      </c>
      <c r="E337" s="7">
        <v>66</v>
      </c>
      <c r="F337" s="7" t="s">
        <v>1772</v>
      </c>
      <c r="G337" s="7">
        <v>818</v>
      </c>
      <c r="H337" s="7" t="s">
        <v>1685</v>
      </c>
      <c r="I337" s="37">
        <v>389291</v>
      </c>
      <c r="J337" s="122">
        <v>0.17966802157240228</v>
      </c>
      <c r="K337" s="123">
        <f t="shared" si="50"/>
        <v>348010.50332048844</v>
      </c>
      <c r="L337" s="122">
        <f>IF(K339&gt;0, K337/K339, 0)</f>
        <v>0.15688557462982336</v>
      </c>
      <c r="M337" s="71"/>
      <c r="N337" s="10">
        <f>ROUND(M339*L337,0)</f>
        <v>192989</v>
      </c>
      <c r="O337" s="70">
        <v>229825</v>
      </c>
      <c r="P337" s="10">
        <f>N337-O337</f>
        <v>-36836</v>
      </c>
      <c r="Q337" s="46">
        <f>IF(O337&gt;0,P337*100/O337,IF(P337&gt;0,100,0))</f>
        <v>-16.027847275100619</v>
      </c>
      <c r="R337" s="10">
        <v>24</v>
      </c>
      <c r="S337" s="7">
        <f t="shared" si="52"/>
        <v>0</v>
      </c>
      <c r="T337" s="124">
        <f t="shared" si="53"/>
        <v>66</v>
      </c>
      <c r="U337" s="124">
        <f t="shared" si="54"/>
        <v>818</v>
      </c>
      <c r="V337" s="124">
        <f t="shared" si="55"/>
        <v>328</v>
      </c>
      <c r="W337" s="124">
        <f t="shared" si="56"/>
        <v>21.000000000669999</v>
      </c>
      <c r="X337" s="124">
        <f t="shared" si="57"/>
        <v>348010.50332048844</v>
      </c>
      <c r="Y337" s="264">
        <f t="shared" si="58"/>
        <v>328</v>
      </c>
      <c r="Z337" s="10">
        <v>66</v>
      </c>
      <c r="AA337" s="7">
        <v>818</v>
      </c>
      <c r="AB337" s="7">
        <v>328</v>
      </c>
      <c r="AC337" s="109">
        <v>21.000000000669999</v>
      </c>
      <c r="AD337" s="109">
        <v>348010.50332048844</v>
      </c>
      <c r="AE337" s="125"/>
      <c r="AF337" s="10"/>
      <c r="AI337" s="109"/>
      <c r="AJ337" s="109"/>
      <c r="AL337" s="10"/>
      <c r="AO337" s="109"/>
      <c r="AP337" s="109"/>
      <c r="AR337" s="10"/>
      <c r="AU337" s="109"/>
      <c r="AV337" s="109"/>
      <c r="AX337" s="10"/>
      <c r="BA337" s="109"/>
      <c r="BB337" s="109"/>
      <c r="BD337" s="10"/>
      <c r="BG337" s="109"/>
      <c r="BH337" s="109"/>
      <c r="BJ337" s="10"/>
      <c r="BM337" s="109"/>
      <c r="BN337" s="109"/>
      <c r="BP337" s="10"/>
      <c r="BS337" s="109"/>
      <c r="BT337" s="109"/>
      <c r="BV337" s="10"/>
      <c r="BY337" s="109"/>
      <c r="BZ337" s="109"/>
      <c r="CB337" s="10"/>
      <c r="CE337" s="109"/>
      <c r="CF337" s="109"/>
      <c r="CH337" s="10"/>
      <c r="CK337" s="109"/>
      <c r="CL337" s="109"/>
    </row>
    <row r="338" spans="1:90">
      <c r="A338" s="7" t="str">
        <f t="shared" si="51"/>
        <v>00660998</v>
      </c>
      <c r="B338" s="7" t="s">
        <v>2405</v>
      </c>
      <c r="C338" s="7" t="s">
        <v>2781</v>
      </c>
      <c r="D338" s="7">
        <v>329</v>
      </c>
      <c r="E338" s="7">
        <v>66</v>
      </c>
      <c r="F338" s="7" t="s">
        <v>2135</v>
      </c>
      <c r="G338" s="7">
        <v>998</v>
      </c>
      <c r="H338" s="7" t="s">
        <v>2135</v>
      </c>
      <c r="I338" s="37">
        <v>0</v>
      </c>
      <c r="J338" s="122">
        <v>0</v>
      </c>
      <c r="K338" s="123">
        <f t="shared" si="50"/>
        <v>0</v>
      </c>
      <c r="L338" s="122">
        <f>IF(K339&gt;0, K338/K339, 0)</f>
        <v>0</v>
      </c>
      <c r="M338" s="71"/>
      <c r="N338" s="10">
        <f>ROUND(M339*L338,0)</f>
        <v>0</v>
      </c>
      <c r="O338" s="70">
        <v>0</v>
      </c>
      <c r="P338" s="10">
        <f>N338-O338</f>
        <v>0</v>
      </c>
      <c r="Q338" s="46">
        <f>IF(O338&gt;0,P338*100/O338,IF(P338&gt;0,100,0))</f>
        <v>0</v>
      </c>
      <c r="R338" s="10">
        <v>0</v>
      </c>
      <c r="S338" s="7">
        <f t="shared" si="52"/>
        <v>0</v>
      </c>
      <c r="T338" s="124">
        <f t="shared" si="53"/>
        <v>66</v>
      </c>
      <c r="U338" s="124">
        <f t="shared" si="54"/>
        <v>998</v>
      </c>
      <c r="V338" s="124">
        <f t="shared" si="55"/>
        <v>329</v>
      </c>
      <c r="W338" s="124">
        <f t="shared" si="56"/>
        <v>0</v>
      </c>
      <c r="X338" s="124">
        <f t="shared" si="57"/>
        <v>0</v>
      </c>
      <c r="Y338" s="264">
        <f t="shared" si="58"/>
        <v>329</v>
      </c>
      <c r="Z338" s="10">
        <v>66</v>
      </c>
      <c r="AA338" s="7">
        <v>998</v>
      </c>
      <c r="AB338" s="7">
        <v>329</v>
      </c>
      <c r="AC338" s="109">
        <v>0</v>
      </c>
      <c r="AD338" s="109">
        <v>0</v>
      </c>
      <c r="AE338" s="125"/>
      <c r="AF338" s="10"/>
      <c r="AI338" s="109"/>
      <c r="AJ338" s="109"/>
      <c r="AL338" s="10"/>
      <c r="AO338" s="109"/>
      <c r="AP338" s="109"/>
      <c r="AR338" s="10"/>
      <c r="AU338" s="109"/>
      <c r="AV338" s="109"/>
      <c r="AX338" s="10"/>
      <c r="BA338" s="109"/>
      <c r="BB338" s="109"/>
      <c r="BD338" s="10"/>
      <c r="BG338" s="109"/>
      <c r="BH338" s="109"/>
      <c r="BJ338" s="10"/>
      <c r="BM338" s="109"/>
      <c r="BN338" s="109"/>
      <c r="BP338" s="10"/>
      <c r="BS338" s="109"/>
      <c r="BT338" s="109"/>
      <c r="BV338" s="10"/>
      <c r="BY338" s="109"/>
      <c r="BZ338" s="109"/>
      <c r="CB338" s="10"/>
      <c r="CE338" s="109"/>
      <c r="CF338" s="109"/>
      <c r="CH338" s="10"/>
      <c r="CK338" s="109"/>
      <c r="CL338" s="109"/>
    </row>
    <row r="339" spans="1:90">
      <c r="A339" s="7" t="str">
        <f t="shared" si="51"/>
        <v>00660999</v>
      </c>
      <c r="B339" s="7" t="s">
        <v>2405</v>
      </c>
      <c r="C339" s="7" t="s">
        <v>2782</v>
      </c>
      <c r="D339" s="7">
        <v>330</v>
      </c>
      <c r="E339" s="11">
        <v>66</v>
      </c>
      <c r="F339" s="11" t="s">
        <v>1772</v>
      </c>
      <c r="G339" s="11">
        <v>999</v>
      </c>
      <c r="H339" s="11" t="s">
        <v>1132</v>
      </c>
      <c r="I339" s="105">
        <v>2166723.92</v>
      </c>
      <c r="J339" s="126">
        <v>1</v>
      </c>
      <c r="K339" s="127">
        <f>SUM(K335:K338)</f>
        <v>2218244.1192673743</v>
      </c>
      <c r="L339" s="126">
        <f>SUM(L335:L338)</f>
        <v>1.0000000000000002</v>
      </c>
      <c r="M339" s="105">
        <f>VLOOKUP(E339,town351,22)</f>
        <v>1230128</v>
      </c>
      <c r="N339" s="105">
        <f>SUM(N335:N338)</f>
        <v>1230127</v>
      </c>
      <c r="O339" s="128">
        <v>1279166</v>
      </c>
      <c r="P339" s="105">
        <f>SUM(P335:P338)</f>
        <v>-49039</v>
      </c>
      <c r="Q339" s="45">
        <f t="shared" ref="Q339:Q399" si="59">IF(O339&gt;0,P339*100/O339,IF(P339&gt;0,100,0))</f>
        <v>-3.8336697504467754</v>
      </c>
      <c r="R339" s="105">
        <v>194</v>
      </c>
      <c r="S339" s="7">
        <f t="shared" si="52"/>
        <v>0</v>
      </c>
      <c r="T339" s="124">
        <f t="shared" si="53"/>
        <v>66</v>
      </c>
      <c r="U339" s="124">
        <f t="shared" si="54"/>
        <v>999</v>
      </c>
      <c r="V339" s="124">
        <f t="shared" si="55"/>
        <v>330</v>
      </c>
      <c r="W339" s="124">
        <f t="shared" si="56"/>
        <v>198.28154327468997</v>
      </c>
      <c r="X339" s="124">
        <f t="shared" si="57"/>
        <v>2218244.1192673743</v>
      </c>
      <c r="Y339" s="264">
        <f t="shared" si="58"/>
        <v>330</v>
      </c>
      <c r="Z339" s="10">
        <v>66</v>
      </c>
      <c r="AA339" s="7">
        <v>999</v>
      </c>
      <c r="AB339" s="7">
        <v>330</v>
      </c>
      <c r="AC339" s="109">
        <v>198.28154327468997</v>
      </c>
      <c r="AD339" s="109">
        <v>2218244.1192673743</v>
      </c>
      <c r="AE339" s="125"/>
      <c r="AF339" s="10"/>
      <c r="AI339" s="109"/>
      <c r="AJ339" s="109"/>
      <c r="AL339" s="10"/>
      <c r="AO339" s="109"/>
      <c r="AP339" s="109"/>
      <c r="AR339" s="10"/>
      <c r="AU339" s="109"/>
      <c r="AV339" s="109"/>
      <c r="AX339" s="10"/>
      <c r="BA339" s="109"/>
      <c r="BB339" s="109"/>
      <c r="BD339" s="10"/>
      <c r="BG339" s="109"/>
      <c r="BH339" s="109"/>
      <c r="BJ339" s="10"/>
      <c r="BM339" s="109"/>
      <c r="BN339" s="109"/>
      <c r="BP339" s="10"/>
      <c r="BS339" s="109"/>
      <c r="BT339" s="109"/>
      <c r="BV339" s="10"/>
      <c r="BY339" s="109"/>
      <c r="BZ339" s="109"/>
      <c r="CB339" s="10"/>
      <c r="CE339" s="109"/>
      <c r="CF339" s="109"/>
      <c r="CH339" s="10"/>
      <c r="CK339" s="109"/>
      <c r="CL339" s="109"/>
    </row>
    <row r="340" spans="1:90">
      <c r="A340" s="7" t="str">
        <f t="shared" si="51"/>
        <v>00670067</v>
      </c>
      <c r="B340" s="7" t="s">
        <v>2406</v>
      </c>
      <c r="C340" s="7" t="s">
        <v>2406</v>
      </c>
      <c r="D340" s="7">
        <v>331</v>
      </c>
      <c r="E340" s="7">
        <v>67</v>
      </c>
      <c r="F340" s="7" t="s">
        <v>1773</v>
      </c>
      <c r="G340" s="7">
        <v>67</v>
      </c>
      <c r="H340" s="7" t="s">
        <v>1333</v>
      </c>
      <c r="I340" s="37">
        <v>18255708.435599998</v>
      </c>
      <c r="J340" s="122">
        <v>0.63054906244507136</v>
      </c>
      <c r="K340" s="123">
        <f t="shared" ref="K340:K403" si="60">X340</f>
        <v>18805576.707899675</v>
      </c>
      <c r="L340" s="122">
        <f>IF(K344&gt;0, K340/K344, 0)</f>
        <v>0.63384852545443204</v>
      </c>
      <c r="M340" s="71"/>
      <c r="N340" s="10">
        <f>ROUND(M344*L340,0)</f>
        <v>15575689</v>
      </c>
      <c r="O340" s="70">
        <v>15225394</v>
      </c>
      <c r="P340" s="10">
        <f>N340-O340</f>
        <v>350295</v>
      </c>
      <c r="Q340" s="46">
        <f t="shared" si="59"/>
        <v>2.3007286379584002</v>
      </c>
      <c r="R340" s="10">
        <v>2011</v>
      </c>
      <c r="S340" s="7">
        <f t="shared" si="52"/>
        <v>0</v>
      </c>
      <c r="T340" s="124">
        <f t="shared" si="53"/>
        <v>67</v>
      </c>
      <c r="U340" s="124">
        <f t="shared" si="54"/>
        <v>67</v>
      </c>
      <c r="V340" s="124">
        <f t="shared" si="55"/>
        <v>331</v>
      </c>
      <c r="W340" s="124">
        <f t="shared" si="56"/>
        <v>2029</v>
      </c>
      <c r="X340" s="124">
        <f t="shared" si="57"/>
        <v>18805576.707899675</v>
      </c>
      <c r="Y340" s="264">
        <f t="shared" si="58"/>
        <v>331</v>
      </c>
      <c r="Z340" s="10">
        <v>67</v>
      </c>
      <c r="AA340" s="7">
        <v>67</v>
      </c>
      <c r="AB340" s="7">
        <v>331</v>
      </c>
      <c r="AC340" s="109">
        <v>2029</v>
      </c>
      <c r="AD340" s="109">
        <v>18805576.707899675</v>
      </c>
      <c r="AE340" s="125"/>
      <c r="AF340" s="10"/>
      <c r="AI340" s="109"/>
      <c r="AJ340" s="109"/>
      <c r="AL340" s="10"/>
      <c r="AO340" s="109"/>
      <c r="AP340" s="109"/>
      <c r="AR340" s="10"/>
      <c r="AU340" s="109"/>
      <c r="AV340" s="109"/>
      <c r="AX340" s="10"/>
      <c r="BA340" s="109"/>
      <c r="BB340" s="109"/>
      <c r="BD340" s="10"/>
      <c r="BG340" s="109"/>
      <c r="BH340" s="109"/>
      <c r="BJ340" s="10"/>
      <c r="BM340" s="109"/>
      <c r="BN340" s="109"/>
      <c r="BP340" s="10"/>
      <c r="BS340" s="109"/>
      <c r="BT340" s="109"/>
      <c r="BV340" s="10"/>
      <c r="BY340" s="109"/>
      <c r="BZ340" s="109"/>
      <c r="CB340" s="10"/>
      <c r="CE340" s="109"/>
      <c r="CF340" s="109"/>
      <c r="CH340" s="10"/>
      <c r="CK340" s="109"/>
      <c r="CL340" s="109"/>
    </row>
    <row r="341" spans="1:90">
      <c r="A341" s="7" t="str">
        <f t="shared" si="51"/>
        <v>00670640</v>
      </c>
      <c r="B341" s="7" t="s">
        <v>2406</v>
      </c>
      <c r="C341" s="7" t="s">
        <v>2706</v>
      </c>
      <c r="D341" s="7">
        <v>332</v>
      </c>
      <c r="E341" s="7">
        <v>67</v>
      </c>
      <c r="F341" s="7" t="s">
        <v>1773</v>
      </c>
      <c r="G341" s="7">
        <v>640</v>
      </c>
      <c r="H341" s="7" t="s">
        <v>1633</v>
      </c>
      <c r="I341" s="37">
        <v>10399316</v>
      </c>
      <c r="J341" s="122">
        <v>0.35919060479092912</v>
      </c>
      <c r="K341" s="123">
        <f t="shared" si="60"/>
        <v>10477879.945895102</v>
      </c>
      <c r="L341" s="122">
        <f>IF(K344&gt;0, K341/K344, 0)</f>
        <v>0.3531606000045891</v>
      </c>
      <c r="M341" s="71"/>
      <c r="N341" s="10">
        <f>ROUND(M344*L341,0)</f>
        <v>8678287</v>
      </c>
      <c r="O341" s="70">
        <v>8673105</v>
      </c>
      <c r="P341" s="10">
        <f>N341-O341</f>
        <v>5182</v>
      </c>
      <c r="Q341" s="46">
        <f t="shared" si="59"/>
        <v>5.9747921880341587E-2</v>
      </c>
      <c r="R341" s="10">
        <v>988</v>
      </c>
      <c r="S341" s="7">
        <f t="shared" si="52"/>
        <v>0</v>
      </c>
      <c r="T341" s="124">
        <f t="shared" si="53"/>
        <v>67</v>
      </c>
      <c r="U341" s="124">
        <f t="shared" si="54"/>
        <v>640</v>
      </c>
      <c r="V341" s="124">
        <f t="shared" si="55"/>
        <v>332</v>
      </c>
      <c r="W341" s="124">
        <f t="shared" si="56"/>
        <v>972.31499202910004</v>
      </c>
      <c r="X341" s="124">
        <f t="shared" si="57"/>
        <v>10477879.945895102</v>
      </c>
      <c r="Y341" s="264">
        <f t="shared" si="58"/>
        <v>332</v>
      </c>
      <c r="Z341" s="10">
        <v>67</v>
      </c>
      <c r="AA341" s="7">
        <v>640</v>
      </c>
      <c r="AB341" s="7">
        <v>332</v>
      </c>
      <c r="AC341" s="109">
        <v>972.31499202910004</v>
      </c>
      <c r="AD341" s="109">
        <v>10477879.945895102</v>
      </c>
      <c r="AE341" s="125"/>
      <c r="AF341" s="10"/>
      <c r="AI341" s="109"/>
      <c r="AJ341" s="109"/>
      <c r="AL341" s="10"/>
      <c r="AO341" s="109"/>
      <c r="AP341" s="109"/>
      <c r="AR341" s="10"/>
      <c r="AU341" s="109"/>
      <c r="AV341" s="109"/>
      <c r="AX341" s="10"/>
      <c r="BA341" s="109"/>
      <c r="BB341" s="109"/>
      <c r="BD341" s="10"/>
      <c r="BG341" s="109"/>
      <c r="BH341" s="109"/>
      <c r="BJ341" s="10"/>
      <c r="BM341" s="109"/>
      <c r="BN341" s="109"/>
      <c r="BP341" s="10"/>
      <c r="BS341" s="109"/>
      <c r="BT341" s="109"/>
      <c r="BV341" s="10"/>
      <c r="BY341" s="109"/>
      <c r="BZ341" s="109"/>
      <c r="CB341" s="10"/>
      <c r="CE341" s="109"/>
      <c r="CF341" s="109"/>
      <c r="CH341" s="10"/>
      <c r="CK341" s="109"/>
      <c r="CL341" s="109"/>
    </row>
    <row r="342" spans="1:90">
      <c r="A342" s="7" t="str">
        <f t="shared" si="51"/>
        <v>00670830</v>
      </c>
      <c r="B342" s="7" t="s">
        <v>2406</v>
      </c>
      <c r="C342" s="7" t="s">
        <v>2764</v>
      </c>
      <c r="D342" s="7">
        <v>333</v>
      </c>
      <c r="E342" s="7">
        <v>67</v>
      </c>
      <c r="F342" s="7" t="s">
        <v>1773</v>
      </c>
      <c r="G342" s="7">
        <v>830</v>
      </c>
      <c r="H342" s="7" t="s">
        <v>1691</v>
      </c>
      <c r="I342" s="37">
        <v>297058</v>
      </c>
      <c r="J342" s="122">
        <v>1.0260332763999461E-2</v>
      </c>
      <c r="K342" s="123">
        <f t="shared" si="60"/>
        <v>385424.71564153221</v>
      </c>
      <c r="L342" s="122">
        <f>IF(K344&gt;0, K342/K344, 0)</f>
        <v>1.2990874540978862E-2</v>
      </c>
      <c r="M342" s="71"/>
      <c r="N342" s="10">
        <f>ROUND(M344*L342,0)</f>
        <v>319227</v>
      </c>
      <c r="O342" s="70">
        <v>247749</v>
      </c>
      <c r="P342" s="10">
        <f>N342-O342</f>
        <v>71478</v>
      </c>
      <c r="Q342" s="46">
        <f t="shared" si="59"/>
        <v>28.850974171439642</v>
      </c>
      <c r="R342" s="10">
        <v>17</v>
      </c>
      <c r="S342" s="7">
        <f t="shared" si="52"/>
        <v>0</v>
      </c>
      <c r="T342" s="124">
        <f t="shared" si="53"/>
        <v>67</v>
      </c>
      <c r="U342" s="124">
        <f t="shared" si="54"/>
        <v>830</v>
      </c>
      <c r="V342" s="124">
        <f t="shared" si="55"/>
        <v>333</v>
      </c>
      <c r="W342" s="124">
        <f t="shared" si="56"/>
        <v>21.060869566120001</v>
      </c>
      <c r="X342" s="124">
        <f t="shared" si="57"/>
        <v>385424.71564153221</v>
      </c>
      <c r="Y342" s="264">
        <f t="shared" si="58"/>
        <v>333</v>
      </c>
      <c r="Z342" s="10">
        <v>67</v>
      </c>
      <c r="AA342" s="7">
        <v>830</v>
      </c>
      <c r="AB342" s="7">
        <v>333</v>
      </c>
      <c r="AC342" s="109">
        <v>21.060869566120001</v>
      </c>
      <c r="AD342" s="109">
        <v>385424.71564153221</v>
      </c>
      <c r="AE342" s="125"/>
      <c r="AF342" s="10"/>
      <c r="AI342" s="109"/>
      <c r="AJ342" s="109"/>
      <c r="AL342" s="10"/>
      <c r="AO342" s="109"/>
      <c r="AP342" s="109"/>
      <c r="AR342" s="10"/>
      <c r="AU342" s="109"/>
      <c r="AV342" s="109"/>
      <c r="AX342" s="10"/>
      <c r="BA342" s="109"/>
      <c r="BB342" s="109"/>
      <c r="BD342" s="10"/>
      <c r="BG342" s="109"/>
      <c r="BH342" s="109"/>
      <c r="BJ342" s="10"/>
      <c r="BM342" s="109"/>
      <c r="BN342" s="109"/>
      <c r="BP342" s="10"/>
      <c r="BS342" s="109"/>
      <c r="BT342" s="109"/>
      <c r="BV342" s="10"/>
      <c r="BY342" s="109"/>
      <c r="BZ342" s="109"/>
      <c r="CB342" s="10"/>
      <c r="CE342" s="109"/>
      <c r="CF342" s="109"/>
      <c r="CH342" s="10"/>
      <c r="CK342" s="109"/>
      <c r="CL342" s="109"/>
    </row>
    <row r="343" spans="1:90">
      <c r="A343" s="7" t="str">
        <f t="shared" si="51"/>
        <v>00670998</v>
      </c>
      <c r="B343" s="7" t="s">
        <v>2406</v>
      </c>
      <c r="C343" s="7" t="s">
        <v>2781</v>
      </c>
      <c r="D343" s="7">
        <v>334</v>
      </c>
      <c r="E343" s="7">
        <v>67</v>
      </c>
      <c r="F343" s="7" t="s">
        <v>2135</v>
      </c>
      <c r="G343" s="7">
        <v>998</v>
      </c>
      <c r="H343" s="7" t="s">
        <v>2135</v>
      </c>
      <c r="I343" s="37">
        <v>0</v>
      </c>
      <c r="J343" s="122">
        <v>0</v>
      </c>
      <c r="K343" s="123">
        <f t="shared" si="60"/>
        <v>0</v>
      </c>
      <c r="L343" s="122">
        <f>IF(K344&gt;0, K343/K344, 0)</f>
        <v>0</v>
      </c>
      <c r="M343" s="71"/>
      <c r="N343" s="10">
        <f>ROUND(M344*L343,0)</f>
        <v>0</v>
      </c>
      <c r="O343" s="70">
        <v>0</v>
      </c>
      <c r="P343" s="10">
        <f>N343-O343</f>
        <v>0</v>
      </c>
      <c r="Q343" s="46">
        <f t="shared" si="59"/>
        <v>0</v>
      </c>
      <c r="R343" s="10">
        <v>0</v>
      </c>
      <c r="S343" s="7">
        <f t="shared" si="52"/>
        <v>0</v>
      </c>
      <c r="T343" s="124">
        <f t="shared" si="53"/>
        <v>67</v>
      </c>
      <c r="U343" s="124">
        <f t="shared" si="54"/>
        <v>998</v>
      </c>
      <c r="V343" s="124">
        <f t="shared" si="55"/>
        <v>334</v>
      </c>
      <c r="W343" s="124">
        <f t="shared" si="56"/>
        <v>0</v>
      </c>
      <c r="X343" s="124">
        <f t="shared" si="57"/>
        <v>0</v>
      </c>
      <c r="Y343" s="264">
        <f t="shared" si="58"/>
        <v>334</v>
      </c>
      <c r="Z343" s="10">
        <v>67</v>
      </c>
      <c r="AA343" s="7">
        <v>998</v>
      </c>
      <c r="AB343" s="7">
        <v>334</v>
      </c>
      <c r="AC343" s="109">
        <v>0</v>
      </c>
      <c r="AD343" s="109">
        <v>0</v>
      </c>
      <c r="AE343" s="125"/>
      <c r="AF343" s="10"/>
      <c r="AI343" s="109"/>
      <c r="AJ343" s="109"/>
      <c r="AL343" s="10"/>
      <c r="AO343" s="109"/>
      <c r="AP343" s="109"/>
      <c r="AR343" s="10"/>
      <c r="AU343" s="109"/>
      <c r="AV343" s="109"/>
      <c r="AX343" s="10"/>
      <c r="BA343" s="109"/>
      <c r="BB343" s="109"/>
      <c r="BD343" s="10"/>
      <c r="BG343" s="109"/>
      <c r="BH343" s="109"/>
      <c r="BJ343" s="10"/>
      <c r="BM343" s="109"/>
      <c r="BN343" s="109"/>
      <c r="BP343" s="10"/>
      <c r="BS343" s="109"/>
      <c r="BT343" s="109"/>
      <c r="BV343" s="10"/>
      <c r="BY343" s="109"/>
      <c r="BZ343" s="109"/>
      <c r="CB343" s="10"/>
      <c r="CE343" s="109"/>
      <c r="CF343" s="109"/>
      <c r="CH343" s="10"/>
      <c r="CK343" s="109"/>
      <c r="CL343" s="109"/>
    </row>
    <row r="344" spans="1:90">
      <c r="A344" s="7" t="str">
        <f t="shared" si="51"/>
        <v>00670999</v>
      </c>
      <c r="B344" s="7" t="s">
        <v>2406</v>
      </c>
      <c r="C344" s="7" t="s">
        <v>2782</v>
      </c>
      <c r="D344" s="7">
        <v>335</v>
      </c>
      <c r="E344" s="11">
        <v>67</v>
      </c>
      <c r="F344" s="11" t="s">
        <v>1773</v>
      </c>
      <c r="G344" s="11">
        <v>999</v>
      </c>
      <c r="H344" s="11" t="s">
        <v>1132</v>
      </c>
      <c r="I344" s="105">
        <v>28952082.435599998</v>
      </c>
      <c r="J344" s="126">
        <v>1</v>
      </c>
      <c r="K344" s="127">
        <f>SUM(K340:K343)</f>
        <v>29668881.369436309</v>
      </c>
      <c r="L344" s="126">
        <f>SUM(L340:L343)</f>
        <v>1</v>
      </c>
      <c r="M344" s="105">
        <f>VLOOKUP(E344,town351,22)</f>
        <v>24573204</v>
      </c>
      <c r="N344" s="105">
        <f>SUM(N340:N343)</f>
        <v>24573203</v>
      </c>
      <c r="O344" s="128">
        <v>24146248</v>
      </c>
      <c r="P344" s="105">
        <f>SUM(P340:P343)</f>
        <v>426955</v>
      </c>
      <c r="Q344" s="45">
        <f t="shared" si="59"/>
        <v>1.7682043189484347</v>
      </c>
      <c r="R344" s="105">
        <v>3016</v>
      </c>
      <c r="S344" s="7">
        <f t="shared" si="52"/>
        <v>0</v>
      </c>
      <c r="T344" s="124">
        <f t="shared" si="53"/>
        <v>67</v>
      </c>
      <c r="U344" s="124">
        <f t="shared" si="54"/>
        <v>999</v>
      </c>
      <c r="V344" s="124">
        <f t="shared" si="55"/>
        <v>335</v>
      </c>
      <c r="W344" s="124">
        <f t="shared" si="56"/>
        <v>3022.3758615952197</v>
      </c>
      <c r="X344" s="124">
        <f t="shared" si="57"/>
        <v>29668881.369436309</v>
      </c>
      <c r="Y344" s="264">
        <f t="shared" si="58"/>
        <v>335</v>
      </c>
      <c r="Z344" s="10">
        <v>67</v>
      </c>
      <c r="AA344" s="7">
        <v>999</v>
      </c>
      <c r="AB344" s="7">
        <v>335</v>
      </c>
      <c r="AC344" s="109">
        <v>3022.3758615952197</v>
      </c>
      <c r="AD344" s="109">
        <v>29668881.369436309</v>
      </c>
      <c r="AE344" s="125"/>
      <c r="AF344" s="10"/>
      <c r="AI344" s="109"/>
      <c r="AJ344" s="109"/>
      <c r="AL344" s="10"/>
      <c r="AO344" s="109"/>
      <c r="AP344" s="109"/>
      <c r="AR344" s="10"/>
      <c r="AU344" s="109"/>
      <c r="AV344" s="109"/>
      <c r="AX344" s="10"/>
      <c r="BA344" s="109"/>
      <c r="BB344" s="109"/>
      <c r="BD344" s="10"/>
      <c r="BG344" s="109"/>
      <c r="BH344" s="109"/>
      <c r="BJ344" s="10"/>
      <c r="BM344" s="109"/>
      <c r="BN344" s="109"/>
      <c r="BP344" s="10"/>
      <c r="BS344" s="109"/>
      <c r="BT344" s="109"/>
      <c r="BV344" s="10"/>
      <c r="BY344" s="109"/>
      <c r="BZ344" s="109"/>
      <c r="CB344" s="10"/>
      <c r="CE344" s="109"/>
      <c r="CF344" s="109"/>
      <c r="CH344" s="10"/>
      <c r="CK344" s="109"/>
      <c r="CL344" s="109"/>
    </row>
    <row r="345" spans="1:90">
      <c r="A345" s="7" t="str">
        <f t="shared" si="51"/>
        <v>00680068</v>
      </c>
      <c r="B345" s="7" t="s">
        <v>2407</v>
      </c>
      <c r="C345" s="7" t="s">
        <v>2407</v>
      </c>
      <c r="D345" s="7">
        <v>336</v>
      </c>
      <c r="E345" s="7">
        <v>68</v>
      </c>
      <c r="F345" s="7" t="s">
        <v>1774</v>
      </c>
      <c r="G345" s="7">
        <v>68</v>
      </c>
      <c r="H345" s="7" t="s">
        <v>1334</v>
      </c>
      <c r="I345" s="37">
        <v>1259226.5200000005</v>
      </c>
      <c r="J345" s="122">
        <v>0.5320486926522362</v>
      </c>
      <c r="K345" s="123">
        <f>X345</f>
        <v>1137791.5559876624</v>
      </c>
      <c r="L345" s="122">
        <f>IF(K349&gt;0, K345/K349, 0)</f>
        <v>0.5023914704912843</v>
      </c>
      <c r="M345" s="71"/>
      <c r="N345" s="10">
        <f>ROUND(M349*L345,0)</f>
        <v>909237</v>
      </c>
      <c r="O345" s="70">
        <v>1022166</v>
      </c>
      <c r="P345" s="10">
        <f>N345-O345</f>
        <v>-112929</v>
      </c>
      <c r="Q345" s="46">
        <f t="shared" si="59"/>
        <v>-11.048009814452838</v>
      </c>
      <c r="R345" s="10">
        <v>134</v>
      </c>
      <c r="S345" s="7">
        <f t="shared" si="52"/>
        <v>0</v>
      </c>
      <c r="T345" s="124">
        <f t="shared" si="53"/>
        <v>68</v>
      </c>
      <c r="U345" s="124">
        <f t="shared" si="54"/>
        <v>68</v>
      </c>
      <c r="V345" s="124">
        <f t="shared" si="55"/>
        <v>336</v>
      </c>
      <c r="W345" s="124">
        <f t="shared" si="56"/>
        <v>117</v>
      </c>
      <c r="X345" s="124">
        <f t="shared" si="57"/>
        <v>1137791.5559876624</v>
      </c>
      <c r="Y345" s="264">
        <f t="shared" si="58"/>
        <v>336</v>
      </c>
      <c r="Z345" s="10">
        <v>68</v>
      </c>
      <c r="AA345" s="7">
        <v>68</v>
      </c>
      <c r="AB345" s="7">
        <v>336</v>
      </c>
      <c r="AC345" s="109">
        <v>117</v>
      </c>
      <c r="AD345" s="109">
        <v>1137791.5559876624</v>
      </c>
      <c r="AE345" s="125"/>
      <c r="AF345" s="10"/>
      <c r="AI345" s="109"/>
      <c r="AJ345" s="109"/>
      <c r="AL345" s="10"/>
      <c r="AO345" s="109"/>
      <c r="AP345" s="109"/>
      <c r="AR345" s="10"/>
      <c r="AU345" s="109"/>
      <c r="AV345" s="109"/>
      <c r="AX345" s="10"/>
      <c r="BA345" s="109"/>
      <c r="BB345" s="109"/>
      <c r="BD345" s="10"/>
      <c r="BG345" s="109"/>
      <c r="BH345" s="109"/>
      <c r="BJ345" s="10"/>
      <c r="BM345" s="109"/>
      <c r="BN345" s="109"/>
      <c r="BP345" s="10"/>
      <c r="BS345" s="109"/>
      <c r="BT345" s="109"/>
      <c r="BV345" s="10"/>
      <c r="BY345" s="109"/>
      <c r="BZ345" s="109"/>
      <c r="CB345" s="10"/>
      <c r="CE345" s="109"/>
      <c r="CF345" s="109"/>
      <c r="CH345" s="10"/>
      <c r="CK345" s="109"/>
      <c r="CL345" s="109"/>
    </row>
    <row r="346" spans="1:90">
      <c r="A346" s="7" t="str">
        <f t="shared" si="51"/>
        <v>00680670</v>
      </c>
      <c r="B346" s="7" t="s">
        <v>2407</v>
      </c>
      <c r="C346" s="7" t="s">
        <v>2714</v>
      </c>
      <c r="D346" s="7">
        <v>337</v>
      </c>
      <c r="E346" s="7">
        <v>68</v>
      </c>
      <c r="F346" s="7" t="s">
        <v>1774</v>
      </c>
      <c r="G346" s="7">
        <v>670</v>
      </c>
      <c r="H346" s="7" t="s">
        <v>1641</v>
      </c>
      <c r="I346" s="37">
        <v>977760</v>
      </c>
      <c r="J346" s="122">
        <v>0.41312339079997318</v>
      </c>
      <c r="K346" s="123">
        <f t="shared" si="60"/>
        <v>1010955.8847614642</v>
      </c>
      <c r="L346" s="122">
        <f>IF(K349&gt;0, K346/K349, 0)</f>
        <v>0.44638722345434306</v>
      </c>
      <c r="M346" s="71"/>
      <c r="N346" s="10">
        <f>ROUND(M349*L346,0)</f>
        <v>807880</v>
      </c>
      <c r="O346" s="70">
        <v>793688</v>
      </c>
      <c r="P346" s="10">
        <f>N346-O346</f>
        <v>14192</v>
      </c>
      <c r="Q346" s="46">
        <f t="shared" si="59"/>
        <v>1.7881081734888269</v>
      </c>
      <c r="R346" s="10">
        <v>97</v>
      </c>
      <c r="S346" s="7">
        <f t="shared" si="52"/>
        <v>0</v>
      </c>
      <c r="T346" s="124">
        <f t="shared" si="53"/>
        <v>68</v>
      </c>
      <c r="U346" s="124">
        <f t="shared" si="54"/>
        <v>670</v>
      </c>
      <c r="V346" s="124">
        <f t="shared" si="55"/>
        <v>337</v>
      </c>
      <c r="W346" s="124">
        <f t="shared" si="56"/>
        <v>97.176363634360001</v>
      </c>
      <c r="X346" s="124">
        <f t="shared" si="57"/>
        <v>1010955.8847614642</v>
      </c>
      <c r="Y346" s="264">
        <f t="shared" si="58"/>
        <v>337</v>
      </c>
      <c r="Z346" s="10">
        <v>68</v>
      </c>
      <c r="AA346" s="7">
        <v>670</v>
      </c>
      <c r="AB346" s="7">
        <v>337</v>
      </c>
      <c r="AC346" s="109">
        <v>97.176363634360001</v>
      </c>
      <c r="AD346" s="109">
        <v>1010955.8847614642</v>
      </c>
      <c r="AE346" s="125"/>
      <c r="AF346" s="10"/>
      <c r="AI346" s="109"/>
      <c r="AJ346" s="109"/>
      <c r="AL346" s="10"/>
      <c r="AO346" s="109"/>
      <c r="AP346" s="109"/>
      <c r="AR346" s="10"/>
      <c r="AU346" s="109"/>
      <c r="AV346" s="109"/>
      <c r="AX346" s="10"/>
      <c r="BA346" s="109"/>
      <c r="BB346" s="109"/>
      <c r="BD346" s="10"/>
      <c r="BG346" s="109"/>
      <c r="BH346" s="109"/>
      <c r="BJ346" s="10"/>
      <c r="BM346" s="109"/>
      <c r="BN346" s="109"/>
      <c r="BP346" s="10"/>
      <c r="BS346" s="109"/>
      <c r="BT346" s="109"/>
      <c r="BV346" s="10"/>
      <c r="BY346" s="109"/>
      <c r="BZ346" s="109"/>
      <c r="CB346" s="10"/>
      <c r="CE346" s="109"/>
      <c r="CF346" s="109"/>
      <c r="CH346" s="10"/>
      <c r="CK346" s="109"/>
      <c r="CL346" s="109"/>
    </row>
    <row r="347" spans="1:90">
      <c r="A347" s="7" t="str">
        <f t="shared" si="51"/>
        <v>00680818</v>
      </c>
      <c r="B347" s="7" t="s">
        <v>2407</v>
      </c>
      <c r="C347" s="7" t="s">
        <v>2758</v>
      </c>
      <c r="D347" s="7">
        <v>338</v>
      </c>
      <c r="E347" s="7">
        <v>68</v>
      </c>
      <c r="F347" s="7" t="s">
        <v>1774</v>
      </c>
      <c r="G347" s="7">
        <v>818</v>
      </c>
      <c r="H347" s="7" t="s">
        <v>1685</v>
      </c>
      <c r="I347" s="37">
        <v>129764</v>
      </c>
      <c r="J347" s="122">
        <v>5.4827916547790588E-2</v>
      </c>
      <c r="K347" s="123">
        <f t="shared" si="60"/>
        <v>116003.50113096926</v>
      </c>
      <c r="L347" s="122">
        <f>IF(K349&gt;0, K347/K349, 0)</f>
        <v>5.1221306054372716E-2</v>
      </c>
      <c r="M347" s="71"/>
      <c r="N347" s="10">
        <f>ROUND(M349*L347,0)</f>
        <v>92701</v>
      </c>
      <c r="O347" s="70">
        <v>105335</v>
      </c>
      <c r="P347" s="10">
        <f>N347-O347</f>
        <v>-12634</v>
      </c>
      <c r="Q347" s="46">
        <f t="shared" si="59"/>
        <v>-11.994114017183273</v>
      </c>
      <c r="R347" s="10">
        <v>8</v>
      </c>
      <c r="S347" s="7">
        <f t="shared" si="52"/>
        <v>0</v>
      </c>
      <c r="T347" s="124">
        <f t="shared" si="53"/>
        <v>68</v>
      </c>
      <c r="U347" s="124">
        <f t="shared" si="54"/>
        <v>818</v>
      </c>
      <c r="V347" s="124">
        <f t="shared" si="55"/>
        <v>338</v>
      </c>
      <c r="W347" s="124">
        <f t="shared" si="56"/>
        <v>7.0000000016800001</v>
      </c>
      <c r="X347" s="124">
        <f t="shared" si="57"/>
        <v>116003.50113096926</v>
      </c>
      <c r="Y347" s="264">
        <f t="shared" si="58"/>
        <v>338</v>
      </c>
      <c r="Z347" s="10">
        <v>68</v>
      </c>
      <c r="AA347" s="7">
        <v>818</v>
      </c>
      <c r="AB347" s="7">
        <v>338</v>
      </c>
      <c r="AC347" s="109">
        <v>7.0000000016800001</v>
      </c>
      <c r="AD347" s="109">
        <v>116003.50113096926</v>
      </c>
      <c r="AE347" s="125"/>
      <c r="AF347" s="10"/>
      <c r="AI347" s="109"/>
      <c r="AJ347" s="109"/>
      <c r="AL347" s="10"/>
      <c r="AO347" s="109"/>
      <c r="AP347" s="109"/>
      <c r="AR347" s="10"/>
      <c r="AU347" s="109"/>
      <c r="AV347" s="109"/>
      <c r="AX347" s="10"/>
      <c r="BA347" s="109"/>
      <c r="BB347" s="109"/>
      <c r="BD347" s="10"/>
      <c r="BG347" s="109"/>
      <c r="BH347" s="109"/>
      <c r="BJ347" s="10"/>
      <c r="BM347" s="109"/>
      <c r="BN347" s="109"/>
      <c r="BP347" s="10"/>
      <c r="BS347" s="109"/>
      <c r="BT347" s="109"/>
      <c r="BV347" s="10"/>
      <c r="BY347" s="109"/>
      <c r="BZ347" s="109"/>
      <c r="CB347" s="10"/>
      <c r="CE347" s="109"/>
      <c r="CF347" s="109"/>
      <c r="CH347" s="10"/>
      <c r="CK347" s="109"/>
      <c r="CL347" s="109"/>
    </row>
    <row r="348" spans="1:90">
      <c r="A348" s="7" t="str">
        <f t="shared" si="51"/>
        <v>00680998</v>
      </c>
      <c r="B348" s="7" t="s">
        <v>2407</v>
      </c>
      <c r="C348" s="7" t="s">
        <v>2781</v>
      </c>
      <c r="D348" s="7">
        <v>339</v>
      </c>
      <c r="E348" s="7">
        <v>68</v>
      </c>
      <c r="F348" s="7" t="s">
        <v>2135</v>
      </c>
      <c r="G348" s="7">
        <v>998</v>
      </c>
      <c r="H348" s="7" t="s">
        <v>2135</v>
      </c>
      <c r="I348" s="37">
        <v>0</v>
      </c>
      <c r="J348" s="122">
        <v>0</v>
      </c>
      <c r="K348" s="123">
        <f t="shared" si="60"/>
        <v>0</v>
      </c>
      <c r="L348" s="122">
        <f>IF(K349&gt;0, K348/K349, 0)</f>
        <v>0</v>
      </c>
      <c r="M348" s="71"/>
      <c r="N348" s="10">
        <f>ROUND(M349*L348,0)</f>
        <v>0</v>
      </c>
      <c r="O348" s="70">
        <v>0</v>
      </c>
      <c r="P348" s="10">
        <f>N348-O348</f>
        <v>0</v>
      </c>
      <c r="Q348" s="46">
        <f t="shared" si="59"/>
        <v>0</v>
      </c>
      <c r="R348" s="10">
        <v>0</v>
      </c>
      <c r="S348" s="7">
        <f t="shared" si="52"/>
        <v>0</v>
      </c>
      <c r="T348" s="124">
        <f t="shared" si="53"/>
        <v>68</v>
      </c>
      <c r="U348" s="124">
        <f t="shared" si="54"/>
        <v>998</v>
      </c>
      <c r="V348" s="124">
        <f t="shared" si="55"/>
        <v>339</v>
      </c>
      <c r="W348" s="124">
        <f t="shared" si="56"/>
        <v>0</v>
      </c>
      <c r="X348" s="124">
        <f t="shared" si="57"/>
        <v>0</v>
      </c>
      <c r="Y348" s="264">
        <f t="shared" si="58"/>
        <v>339</v>
      </c>
      <c r="Z348" s="10">
        <v>68</v>
      </c>
      <c r="AA348" s="7">
        <v>998</v>
      </c>
      <c r="AB348" s="7">
        <v>339</v>
      </c>
      <c r="AC348" s="109">
        <v>0</v>
      </c>
      <c r="AD348" s="109">
        <v>0</v>
      </c>
      <c r="AE348" s="125"/>
      <c r="AF348" s="10"/>
      <c r="AI348" s="109"/>
      <c r="AJ348" s="109"/>
      <c r="AL348" s="10"/>
      <c r="AO348" s="109"/>
      <c r="AP348" s="109"/>
      <c r="AR348" s="10"/>
      <c r="AU348" s="109"/>
      <c r="AV348" s="109"/>
      <c r="AX348" s="10"/>
      <c r="BA348" s="109"/>
      <c r="BB348" s="109"/>
      <c r="BD348" s="10"/>
      <c r="BG348" s="109"/>
      <c r="BH348" s="109"/>
      <c r="BJ348" s="10"/>
      <c r="BM348" s="109"/>
      <c r="BN348" s="109"/>
      <c r="BP348" s="10"/>
      <c r="BS348" s="109"/>
      <c r="BT348" s="109"/>
      <c r="BV348" s="10"/>
      <c r="BY348" s="109"/>
      <c r="BZ348" s="109"/>
      <c r="CB348" s="10"/>
      <c r="CE348" s="109"/>
      <c r="CF348" s="109"/>
      <c r="CH348" s="10"/>
      <c r="CK348" s="109"/>
      <c r="CL348" s="109"/>
    </row>
    <row r="349" spans="1:90">
      <c r="A349" s="7" t="str">
        <f t="shared" si="51"/>
        <v>00680999</v>
      </c>
      <c r="B349" s="7" t="s">
        <v>2407</v>
      </c>
      <c r="C349" s="7" t="s">
        <v>2782</v>
      </c>
      <c r="D349" s="7">
        <v>340</v>
      </c>
      <c r="E349" s="11">
        <v>68</v>
      </c>
      <c r="F349" s="11" t="s">
        <v>1774</v>
      </c>
      <c r="G349" s="11">
        <v>999</v>
      </c>
      <c r="H349" s="11" t="s">
        <v>1132</v>
      </c>
      <c r="I349" s="105">
        <v>2366750.5200000005</v>
      </c>
      <c r="J349" s="126">
        <v>1</v>
      </c>
      <c r="K349" s="127">
        <f>SUM(K345:K348)</f>
        <v>2264750.9418800958</v>
      </c>
      <c r="L349" s="126">
        <f>SUM(L345:L348)</f>
        <v>1</v>
      </c>
      <c r="M349" s="105">
        <f>VLOOKUP(E349,town351,22)</f>
        <v>1809818</v>
      </c>
      <c r="N349" s="105">
        <f>SUM(N345:N348)</f>
        <v>1809818</v>
      </c>
      <c r="O349" s="128">
        <v>1921189</v>
      </c>
      <c r="P349" s="105">
        <f>SUM(P345:P348)</f>
        <v>-111371</v>
      </c>
      <c r="Q349" s="45">
        <f t="shared" si="59"/>
        <v>-5.7969830141646659</v>
      </c>
      <c r="R349" s="105">
        <v>239</v>
      </c>
      <c r="S349" s="7">
        <f t="shared" si="52"/>
        <v>0</v>
      </c>
      <c r="T349" s="124">
        <f t="shared" si="53"/>
        <v>68</v>
      </c>
      <c r="U349" s="124">
        <f t="shared" si="54"/>
        <v>999</v>
      </c>
      <c r="V349" s="124">
        <f t="shared" si="55"/>
        <v>340</v>
      </c>
      <c r="W349" s="124">
        <f t="shared" si="56"/>
        <v>221.17636363604001</v>
      </c>
      <c r="X349" s="124">
        <f t="shared" si="57"/>
        <v>2264750.9418800958</v>
      </c>
      <c r="Y349" s="264">
        <f t="shared" si="58"/>
        <v>340</v>
      </c>
      <c r="Z349" s="10">
        <v>68</v>
      </c>
      <c r="AA349" s="7">
        <v>999</v>
      </c>
      <c r="AB349" s="7">
        <v>340</v>
      </c>
      <c r="AC349" s="109">
        <v>221.17636363604001</v>
      </c>
      <c r="AD349" s="109">
        <v>2264750.9418800958</v>
      </c>
      <c r="AE349" s="125"/>
      <c r="AF349" s="10"/>
      <c r="AI349" s="109"/>
      <c r="AJ349" s="109"/>
      <c r="AL349" s="10"/>
      <c r="AO349" s="109"/>
      <c r="AP349" s="109"/>
      <c r="AR349" s="10"/>
      <c r="AU349" s="109"/>
      <c r="AV349" s="109"/>
      <c r="AX349" s="10"/>
      <c r="BA349" s="109"/>
      <c r="BB349" s="109"/>
      <c r="BD349" s="10"/>
      <c r="BG349" s="109"/>
      <c r="BH349" s="109"/>
      <c r="BJ349" s="10"/>
      <c r="BM349" s="109"/>
      <c r="BN349" s="109"/>
      <c r="BP349" s="10"/>
      <c r="BS349" s="109"/>
      <c r="BT349" s="109"/>
      <c r="BV349" s="10"/>
      <c r="BY349" s="109"/>
      <c r="BZ349" s="109"/>
      <c r="CB349" s="10"/>
      <c r="CE349" s="109"/>
      <c r="CF349" s="109"/>
      <c r="CH349" s="10"/>
      <c r="CK349" s="109"/>
      <c r="CL349" s="109"/>
    </row>
    <row r="350" spans="1:90">
      <c r="A350" s="7" t="str">
        <f t="shared" si="51"/>
        <v>00690069</v>
      </c>
      <c r="B350" s="7" t="s">
        <v>2408</v>
      </c>
      <c r="C350" s="7" t="s">
        <v>2408</v>
      </c>
      <c r="D350" s="7">
        <v>341</v>
      </c>
      <c r="E350" s="7">
        <v>69</v>
      </c>
      <c r="F350" s="7" t="s">
        <v>1775</v>
      </c>
      <c r="G350" s="7">
        <v>69</v>
      </c>
      <c r="H350" s="7" t="s">
        <v>1335</v>
      </c>
      <c r="I350" s="37">
        <v>118538.28</v>
      </c>
      <c r="J350" s="122">
        <v>0.14270041742223305</v>
      </c>
      <c r="K350" s="123">
        <f>X350</f>
        <v>120751.50009230593</v>
      </c>
      <c r="L350" s="122">
        <f>IF(K354&gt;0, K350/K354, 0)</f>
        <v>0.1320410238608517</v>
      </c>
      <c r="M350" s="71"/>
      <c r="N350" s="10">
        <f>ROUND(M354*L350,0)</f>
        <v>96880</v>
      </c>
      <c r="O350" s="70">
        <v>100240</v>
      </c>
      <c r="P350" s="10">
        <f>N350-O350</f>
        <v>-3360</v>
      </c>
      <c r="Q350" s="46">
        <f t="shared" si="59"/>
        <v>-3.3519553072625698</v>
      </c>
      <c r="R350" s="10">
        <v>9</v>
      </c>
      <c r="S350" s="7">
        <f t="shared" si="52"/>
        <v>0</v>
      </c>
      <c r="T350" s="124">
        <f t="shared" si="53"/>
        <v>69</v>
      </c>
      <c r="U350" s="124">
        <f t="shared" si="54"/>
        <v>69</v>
      </c>
      <c r="V350" s="124">
        <f t="shared" si="55"/>
        <v>341</v>
      </c>
      <c r="W350" s="124">
        <f t="shared" si="56"/>
        <v>9</v>
      </c>
      <c r="X350" s="124">
        <f t="shared" si="57"/>
        <v>120751.50009230593</v>
      </c>
      <c r="Y350" s="264">
        <f t="shared" si="58"/>
        <v>341</v>
      </c>
      <c r="Z350" s="10">
        <v>69</v>
      </c>
      <c r="AA350" s="7">
        <v>69</v>
      </c>
      <c r="AB350" s="7">
        <v>341</v>
      </c>
      <c r="AC350" s="109">
        <v>9</v>
      </c>
      <c r="AD350" s="109">
        <v>120751.50009230593</v>
      </c>
      <c r="AE350" s="125"/>
      <c r="AF350" s="10"/>
      <c r="AI350" s="109"/>
      <c r="AJ350" s="109"/>
      <c r="AL350" s="10"/>
      <c r="AO350" s="109"/>
      <c r="AP350" s="109"/>
      <c r="AR350" s="10"/>
      <c r="AU350" s="109"/>
      <c r="AV350" s="109"/>
      <c r="AX350" s="10"/>
      <c r="BA350" s="109"/>
      <c r="BB350" s="109"/>
      <c r="BD350" s="10"/>
      <c r="BG350" s="109"/>
      <c r="BH350" s="109"/>
      <c r="BJ350" s="10"/>
      <c r="BM350" s="109"/>
      <c r="BN350" s="109"/>
      <c r="BP350" s="10"/>
      <c r="BS350" s="109"/>
      <c r="BT350" s="109"/>
      <c r="BV350" s="10"/>
      <c r="BY350" s="109"/>
      <c r="BZ350" s="109"/>
      <c r="CB350" s="10"/>
      <c r="CE350" s="109"/>
      <c r="CF350" s="109"/>
      <c r="CH350" s="10"/>
      <c r="CK350" s="109"/>
      <c r="CL350" s="109"/>
    </row>
    <row r="351" spans="1:90">
      <c r="A351" s="7" t="str">
        <f t="shared" si="51"/>
        <v>00690635</v>
      </c>
      <c r="B351" s="7" t="s">
        <v>2408</v>
      </c>
      <c r="C351" s="7" t="s">
        <v>2705</v>
      </c>
      <c r="D351" s="7">
        <v>342</v>
      </c>
      <c r="E351" s="7">
        <v>69</v>
      </c>
      <c r="F351" s="7" t="s">
        <v>1775</v>
      </c>
      <c r="G351" s="7">
        <v>635</v>
      </c>
      <c r="H351" s="7" t="s">
        <v>1632</v>
      </c>
      <c r="I351" s="37">
        <v>712141</v>
      </c>
      <c r="J351" s="122">
        <v>0.85729958257776695</v>
      </c>
      <c r="K351" s="123">
        <f t="shared" si="60"/>
        <v>793748.37700314145</v>
      </c>
      <c r="L351" s="122">
        <f>IF(K354&gt;0, K351/K354, 0)</f>
        <v>0.8679589761391483</v>
      </c>
      <c r="M351" s="71"/>
      <c r="N351" s="10">
        <f>ROUND(M354*L351,0)</f>
        <v>636831</v>
      </c>
      <c r="O351" s="70">
        <v>602211</v>
      </c>
      <c r="P351" s="10">
        <f>N351-O351</f>
        <v>34620</v>
      </c>
      <c r="Q351" s="46">
        <f t="shared" si="59"/>
        <v>5.7488156144607121</v>
      </c>
      <c r="R351" s="10">
        <v>70</v>
      </c>
      <c r="S351" s="7">
        <f t="shared" si="52"/>
        <v>0</v>
      </c>
      <c r="T351" s="124">
        <f t="shared" si="53"/>
        <v>69</v>
      </c>
      <c r="U351" s="124">
        <f t="shared" si="54"/>
        <v>635</v>
      </c>
      <c r="V351" s="124">
        <f t="shared" si="55"/>
        <v>342</v>
      </c>
      <c r="W351" s="124">
        <f t="shared" si="56"/>
        <v>76.816747577070004</v>
      </c>
      <c r="X351" s="124">
        <f t="shared" si="57"/>
        <v>793748.37700314145</v>
      </c>
      <c r="Y351" s="264">
        <f t="shared" si="58"/>
        <v>342</v>
      </c>
      <c r="Z351" s="10">
        <v>69</v>
      </c>
      <c r="AA351" s="7">
        <v>635</v>
      </c>
      <c r="AB351" s="7">
        <v>342</v>
      </c>
      <c r="AC351" s="109">
        <v>76.816747577070004</v>
      </c>
      <c r="AD351" s="109">
        <v>793748.37700314145</v>
      </c>
      <c r="AE351" s="125"/>
      <c r="AF351" s="10"/>
      <c r="AI351" s="109"/>
      <c r="AJ351" s="109"/>
      <c r="AL351" s="10"/>
      <c r="AO351" s="109"/>
      <c r="AP351" s="109"/>
      <c r="AR351" s="10"/>
      <c r="AU351" s="109"/>
      <c r="AV351" s="109"/>
      <c r="AX351" s="10"/>
      <c r="BA351" s="109"/>
      <c r="BB351" s="109"/>
      <c r="BD351" s="10"/>
      <c r="BG351" s="109"/>
      <c r="BH351" s="109"/>
      <c r="BJ351" s="10"/>
      <c r="BM351" s="109"/>
      <c r="BN351" s="109"/>
      <c r="BP351" s="10"/>
      <c r="BS351" s="109"/>
      <c r="BT351" s="109"/>
      <c r="BV351" s="10"/>
      <c r="BY351" s="109"/>
      <c r="BZ351" s="109"/>
      <c r="CB351" s="10"/>
      <c r="CE351" s="109"/>
      <c r="CF351" s="109"/>
      <c r="CH351" s="10"/>
      <c r="CK351" s="109"/>
      <c r="CL351" s="109"/>
    </row>
    <row r="352" spans="1:90">
      <c r="A352" s="7" t="str">
        <f t="shared" si="51"/>
        <v>00690998</v>
      </c>
      <c r="B352" s="7" t="s">
        <v>2408</v>
      </c>
      <c r="C352" s="7" t="s">
        <v>2781</v>
      </c>
      <c r="D352" s="7">
        <v>343</v>
      </c>
      <c r="E352" s="7">
        <v>69</v>
      </c>
      <c r="F352" s="7" t="s">
        <v>2135</v>
      </c>
      <c r="G352" s="7">
        <v>998</v>
      </c>
      <c r="H352" s="7" t="s">
        <v>2135</v>
      </c>
      <c r="I352" s="37">
        <v>0</v>
      </c>
      <c r="J352" s="122">
        <v>0</v>
      </c>
      <c r="K352" s="123">
        <f t="shared" si="60"/>
        <v>0</v>
      </c>
      <c r="L352" s="122">
        <f>IF(K354&gt;0, K352/K354, 0)</f>
        <v>0</v>
      </c>
      <c r="M352" s="71"/>
      <c r="N352" s="10">
        <f>ROUND(M354*L352,0)</f>
        <v>0</v>
      </c>
      <c r="O352" s="70">
        <v>0</v>
      </c>
      <c r="P352" s="10">
        <f>N352-O352</f>
        <v>0</v>
      </c>
      <c r="Q352" s="46">
        <f t="shared" si="59"/>
        <v>0</v>
      </c>
      <c r="R352" s="10">
        <v>0</v>
      </c>
      <c r="S352" s="7">
        <f t="shared" si="52"/>
        <v>0</v>
      </c>
      <c r="T352" s="124">
        <f t="shared" si="53"/>
        <v>69</v>
      </c>
      <c r="U352" s="124">
        <f t="shared" si="54"/>
        <v>998</v>
      </c>
      <c r="V352" s="124">
        <f t="shared" si="55"/>
        <v>343</v>
      </c>
      <c r="W352" s="124">
        <f t="shared" si="56"/>
        <v>0</v>
      </c>
      <c r="X352" s="124">
        <f t="shared" si="57"/>
        <v>0</v>
      </c>
      <c r="Y352" s="264">
        <f t="shared" si="58"/>
        <v>343</v>
      </c>
      <c r="Z352" s="10">
        <v>69</v>
      </c>
      <c r="AA352" s="7">
        <v>998</v>
      </c>
      <c r="AB352" s="7">
        <v>343</v>
      </c>
      <c r="AC352" s="109">
        <v>0</v>
      </c>
      <c r="AD352" s="109">
        <v>0</v>
      </c>
      <c r="AE352" s="125"/>
      <c r="AF352" s="10"/>
      <c r="AI352" s="109"/>
      <c r="AJ352" s="109"/>
      <c r="AL352" s="10"/>
      <c r="AO352" s="109"/>
      <c r="AP352" s="109"/>
      <c r="AR352" s="10"/>
      <c r="AU352" s="109"/>
      <c r="AV352" s="109"/>
      <c r="AX352" s="10"/>
      <c r="BA352" s="109"/>
      <c r="BB352" s="109"/>
      <c r="BD352" s="10"/>
      <c r="BG352" s="109"/>
      <c r="BH352" s="109"/>
      <c r="BJ352" s="10"/>
      <c r="BM352" s="109"/>
      <c r="BN352" s="109"/>
      <c r="BP352" s="10"/>
      <c r="BS352" s="109"/>
      <c r="BT352" s="109"/>
      <c r="BV352" s="10"/>
      <c r="BY352" s="109"/>
      <c r="BZ352" s="109"/>
      <c r="CB352" s="10"/>
      <c r="CE352" s="109"/>
      <c r="CF352" s="109"/>
      <c r="CH352" s="10"/>
      <c r="CK352" s="109"/>
      <c r="CL352" s="109"/>
    </row>
    <row r="353" spans="1:90">
      <c r="A353" s="7" t="str">
        <f t="shared" si="51"/>
        <v>00690998</v>
      </c>
      <c r="B353" s="7" t="s">
        <v>2408</v>
      </c>
      <c r="C353" s="7" t="s">
        <v>2781</v>
      </c>
      <c r="D353" s="7">
        <v>344</v>
      </c>
      <c r="E353" s="7">
        <v>69</v>
      </c>
      <c r="F353" s="7" t="s">
        <v>2135</v>
      </c>
      <c r="G353" s="7">
        <v>998</v>
      </c>
      <c r="H353" s="7" t="s">
        <v>2135</v>
      </c>
      <c r="I353" s="37">
        <v>0</v>
      </c>
      <c r="J353" s="122">
        <v>0</v>
      </c>
      <c r="K353" s="123">
        <f t="shared" si="60"/>
        <v>0</v>
      </c>
      <c r="L353" s="122">
        <f>IF(K354&gt;0, K353/K354, 0)</f>
        <v>0</v>
      </c>
      <c r="M353" s="71"/>
      <c r="N353" s="10">
        <f>ROUND(M354*L353,0)</f>
        <v>0</v>
      </c>
      <c r="O353" s="70">
        <v>0</v>
      </c>
      <c r="P353" s="10">
        <f>N353-O353</f>
        <v>0</v>
      </c>
      <c r="Q353" s="46">
        <f t="shared" si="59"/>
        <v>0</v>
      </c>
      <c r="R353" s="10">
        <v>0</v>
      </c>
      <c r="S353" s="7">
        <f t="shared" si="52"/>
        <v>0</v>
      </c>
      <c r="T353" s="124">
        <f t="shared" si="53"/>
        <v>69</v>
      </c>
      <c r="U353" s="124">
        <f t="shared" si="54"/>
        <v>998</v>
      </c>
      <c r="V353" s="124">
        <f t="shared" si="55"/>
        <v>344</v>
      </c>
      <c r="W353" s="124">
        <f t="shared" si="56"/>
        <v>0</v>
      </c>
      <c r="X353" s="124">
        <f t="shared" si="57"/>
        <v>0</v>
      </c>
      <c r="Y353" s="264">
        <f t="shared" si="58"/>
        <v>344</v>
      </c>
      <c r="Z353" s="10">
        <v>69</v>
      </c>
      <c r="AA353" s="7">
        <v>998</v>
      </c>
      <c r="AB353" s="7">
        <v>344</v>
      </c>
      <c r="AC353" s="109">
        <v>0</v>
      </c>
      <c r="AD353" s="109">
        <v>0</v>
      </c>
      <c r="AE353" s="125"/>
      <c r="AF353" s="10"/>
      <c r="AI353" s="109"/>
      <c r="AJ353" s="109"/>
      <c r="AL353" s="10"/>
      <c r="AO353" s="109"/>
      <c r="AP353" s="109"/>
      <c r="AR353" s="10"/>
      <c r="AU353" s="109"/>
      <c r="AV353" s="109"/>
      <c r="AX353" s="10"/>
      <c r="BA353" s="109"/>
      <c r="BB353" s="109"/>
      <c r="BD353" s="10"/>
      <c r="BG353" s="109"/>
      <c r="BH353" s="109"/>
      <c r="BJ353" s="10"/>
      <c r="BM353" s="109"/>
      <c r="BN353" s="109"/>
      <c r="BP353" s="10"/>
      <c r="BS353" s="109"/>
      <c r="BT353" s="109"/>
      <c r="BV353" s="10"/>
      <c r="BY353" s="109"/>
      <c r="BZ353" s="109"/>
      <c r="CB353" s="10"/>
      <c r="CE353" s="109"/>
      <c r="CF353" s="109"/>
      <c r="CH353" s="10"/>
      <c r="CK353" s="109"/>
      <c r="CL353" s="109"/>
    </row>
    <row r="354" spans="1:90">
      <c r="A354" s="7" t="str">
        <f t="shared" si="51"/>
        <v>00690999</v>
      </c>
      <c r="B354" s="7" t="s">
        <v>2408</v>
      </c>
      <c r="C354" s="7" t="s">
        <v>2782</v>
      </c>
      <c r="D354" s="7">
        <v>345</v>
      </c>
      <c r="E354" s="11">
        <v>69</v>
      </c>
      <c r="F354" s="11" t="s">
        <v>1775</v>
      </c>
      <c r="G354" s="11">
        <v>999</v>
      </c>
      <c r="H354" s="11" t="s">
        <v>1132</v>
      </c>
      <c r="I354" s="105">
        <v>830679.28</v>
      </c>
      <c r="J354" s="126">
        <v>1</v>
      </c>
      <c r="K354" s="127">
        <f>SUM(K350:K353)</f>
        <v>914499.87709544739</v>
      </c>
      <c r="L354" s="126">
        <f>SUM(L350:L353)</f>
        <v>1</v>
      </c>
      <c r="M354" s="105">
        <f>VLOOKUP(E354,town351,22)</f>
        <v>733711</v>
      </c>
      <c r="N354" s="105">
        <f>SUM(N350:N353)</f>
        <v>733711</v>
      </c>
      <c r="O354" s="128">
        <v>702451</v>
      </c>
      <c r="P354" s="105">
        <f>SUM(P350:P353)</f>
        <v>31260</v>
      </c>
      <c r="Q354" s="45">
        <f t="shared" si="59"/>
        <v>4.4501324647555487</v>
      </c>
      <c r="R354" s="105">
        <v>79</v>
      </c>
      <c r="S354" s="7">
        <f t="shared" si="52"/>
        <v>0</v>
      </c>
      <c r="T354" s="124">
        <f t="shared" si="53"/>
        <v>69</v>
      </c>
      <c r="U354" s="124">
        <f t="shared" si="54"/>
        <v>999</v>
      </c>
      <c r="V354" s="124">
        <f t="shared" si="55"/>
        <v>345</v>
      </c>
      <c r="W354" s="124">
        <f t="shared" si="56"/>
        <v>85.816747577070004</v>
      </c>
      <c r="X354" s="124">
        <f t="shared" si="57"/>
        <v>914499.87709544739</v>
      </c>
      <c r="Y354" s="264">
        <f t="shared" si="58"/>
        <v>345</v>
      </c>
      <c r="Z354" s="10">
        <v>69</v>
      </c>
      <c r="AA354" s="7">
        <v>999</v>
      </c>
      <c r="AB354" s="7">
        <v>345</v>
      </c>
      <c r="AC354" s="109">
        <v>85.816747577070004</v>
      </c>
      <c r="AD354" s="109">
        <v>914499.87709544739</v>
      </c>
      <c r="AE354" s="125"/>
      <c r="AF354" s="10"/>
      <c r="AI354" s="109"/>
      <c r="AJ354" s="109"/>
      <c r="AL354" s="10"/>
      <c r="AO354" s="109"/>
      <c r="AP354" s="109"/>
      <c r="AR354" s="10"/>
      <c r="AU354" s="109"/>
      <c r="AV354" s="109"/>
      <c r="AX354" s="10"/>
      <c r="BA354" s="109"/>
      <c r="BB354" s="109"/>
      <c r="BD354" s="10"/>
      <c r="BG354" s="109"/>
      <c r="BH354" s="109"/>
      <c r="BJ354" s="10"/>
      <c r="BM354" s="109"/>
      <c r="BN354" s="109"/>
      <c r="BP354" s="10"/>
      <c r="BS354" s="109"/>
      <c r="BT354" s="109"/>
      <c r="BV354" s="10"/>
      <c r="BY354" s="109"/>
      <c r="BZ354" s="109"/>
      <c r="CB354" s="10"/>
      <c r="CE354" s="109"/>
      <c r="CF354" s="109"/>
      <c r="CH354" s="10"/>
      <c r="CK354" s="109"/>
      <c r="CL354" s="109"/>
    </row>
    <row r="355" spans="1:90">
      <c r="A355" s="7" t="str">
        <f t="shared" si="51"/>
        <v>00700070</v>
      </c>
      <c r="B355" s="7" t="s">
        <v>2409</v>
      </c>
      <c r="C355" s="7" t="s">
        <v>2409</v>
      </c>
      <c r="D355" s="7">
        <v>346</v>
      </c>
      <c r="E355" s="7">
        <v>70</v>
      </c>
      <c r="F355" s="7" t="s">
        <v>1776</v>
      </c>
      <c r="G355" s="7">
        <v>70</v>
      </c>
      <c r="H355" s="7" t="s">
        <v>1336</v>
      </c>
      <c r="I355" s="37">
        <v>236011.40000000002</v>
      </c>
      <c r="J355" s="122">
        <v>2.4859426208536876E-2</v>
      </c>
      <c r="K355" s="123">
        <f>X355</f>
        <v>240301.01604183207</v>
      </c>
      <c r="L355" s="122">
        <f>IF(K359&gt;0, K355/K359, 0)</f>
        <v>2.5320103966649229E-2</v>
      </c>
      <c r="M355" s="71"/>
      <c r="N355" s="10">
        <f>ROUND(M359*L355,0)</f>
        <v>128163</v>
      </c>
      <c r="O355" s="70">
        <v>127014</v>
      </c>
      <c r="P355" s="10">
        <f>N355-O355</f>
        <v>1149</v>
      </c>
      <c r="Q355" s="46">
        <f t="shared" si="59"/>
        <v>0.90462468704237331</v>
      </c>
      <c r="R355" s="10">
        <v>16</v>
      </c>
      <c r="S355" s="7">
        <f t="shared" si="52"/>
        <v>0</v>
      </c>
      <c r="T355" s="124">
        <f t="shared" si="53"/>
        <v>70</v>
      </c>
      <c r="U355" s="124">
        <f t="shared" si="54"/>
        <v>70</v>
      </c>
      <c r="V355" s="124">
        <f t="shared" si="55"/>
        <v>346</v>
      </c>
      <c r="W355" s="124">
        <f t="shared" si="56"/>
        <v>16</v>
      </c>
      <c r="X355" s="124">
        <f t="shared" si="57"/>
        <v>240301.01604183207</v>
      </c>
      <c r="Y355" s="264">
        <f t="shared" si="58"/>
        <v>346</v>
      </c>
      <c r="Z355" s="10">
        <v>70</v>
      </c>
      <c r="AA355" s="7">
        <v>70</v>
      </c>
      <c r="AB355" s="7">
        <v>346</v>
      </c>
      <c r="AC355" s="109">
        <v>16</v>
      </c>
      <c r="AD355" s="109">
        <v>240301.01604183207</v>
      </c>
      <c r="AE355" s="125"/>
      <c r="AF355" s="10"/>
      <c r="AI355" s="109"/>
      <c r="AJ355" s="109"/>
      <c r="AL355" s="10"/>
      <c r="AO355" s="109"/>
      <c r="AP355" s="109"/>
      <c r="AR355" s="10"/>
      <c r="AU355" s="109"/>
      <c r="AV355" s="109"/>
      <c r="AX355" s="10"/>
      <c r="BA355" s="109"/>
      <c r="BB355" s="109"/>
      <c r="BD355" s="10"/>
      <c r="BG355" s="109"/>
      <c r="BH355" s="109"/>
      <c r="BJ355" s="10"/>
      <c r="BM355" s="109"/>
      <c r="BN355" s="109"/>
      <c r="BP355" s="10"/>
      <c r="BS355" s="109"/>
      <c r="BT355" s="109"/>
      <c r="BV355" s="10"/>
      <c r="BY355" s="109"/>
      <c r="BZ355" s="109"/>
      <c r="CB355" s="10"/>
      <c r="CE355" s="109"/>
      <c r="CF355" s="109"/>
      <c r="CH355" s="10"/>
      <c r="CK355" s="109"/>
      <c r="CL355" s="109"/>
    </row>
    <row r="356" spans="1:90">
      <c r="A356" s="7" t="str">
        <f t="shared" si="51"/>
        <v>00700635</v>
      </c>
      <c r="B356" s="7" t="s">
        <v>2409</v>
      </c>
      <c r="C356" s="7" t="s">
        <v>2705</v>
      </c>
      <c r="D356" s="7">
        <v>347</v>
      </c>
      <c r="E356" s="7">
        <v>70</v>
      </c>
      <c r="F356" s="7" t="s">
        <v>1776</v>
      </c>
      <c r="G356" s="7">
        <v>635</v>
      </c>
      <c r="H356" s="7" t="s">
        <v>1632</v>
      </c>
      <c r="I356" s="37">
        <v>9257828</v>
      </c>
      <c r="J356" s="122">
        <v>0.97514057379146313</v>
      </c>
      <c r="K356" s="123">
        <f t="shared" si="60"/>
        <v>9250221.4698985219</v>
      </c>
      <c r="L356" s="122">
        <f>IF(K359&gt;0, K356/K359, 0)</f>
        <v>0.97467989603335081</v>
      </c>
      <c r="M356" s="71"/>
      <c r="N356" s="10">
        <f>ROUND(M359*L356,0)</f>
        <v>4933535</v>
      </c>
      <c r="O356" s="70">
        <v>4982256</v>
      </c>
      <c r="P356" s="10">
        <f>N356-O356</f>
        <v>-48721</v>
      </c>
      <c r="Q356" s="46">
        <f t="shared" si="59"/>
        <v>-0.9778903372287574</v>
      </c>
      <c r="R356" s="10">
        <v>911</v>
      </c>
      <c r="S356" s="7">
        <f t="shared" si="52"/>
        <v>0</v>
      </c>
      <c r="T356" s="124">
        <f t="shared" si="53"/>
        <v>70</v>
      </c>
      <c r="U356" s="124">
        <f t="shared" si="54"/>
        <v>635</v>
      </c>
      <c r="V356" s="124">
        <f t="shared" si="55"/>
        <v>347</v>
      </c>
      <c r="W356" s="124">
        <f t="shared" si="56"/>
        <v>895.21055824769996</v>
      </c>
      <c r="X356" s="124">
        <f t="shared" si="57"/>
        <v>9250221.4698985219</v>
      </c>
      <c r="Y356" s="264">
        <f t="shared" si="58"/>
        <v>347</v>
      </c>
      <c r="Z356" s="10">
        <v>70</v>
      </c>
      <c r="AA356" s="7">
        <v>635</v>
      </c>
      <c r="AB356" s="7">
        <v>347</v>
      </c>
      <c r="AC356" s="109">
        <v>895.21055824769996</v>
      </c>
      <c r="AD356" s="109">
        <v>9250221.4698985219</v>
      </c>
      <c r="AE356" s="125"/>
      <c r="AF356" s="10"/>
      <c r="AI356" s="109"/>
      <c r="AJ356" s="109"/>
      <c r="AL356" s="10"/>
      <c r="AO356" s="109"/>
      <c r="AP356" s="109"/>
      <c r="AR356" s="10"/>
      <c r="AU356" s="109"/>
      <c r="AV356" s="109"/>
      <c r="AX356" s="10"/>
      <c r="BA356" s="109"/>
      <c r="BB356" s="109"/>
      <c r="BD356" s="10"/>
      <c r="BG356" s="109"/>
      <c r="BH356" s="109"/>
      <c r="BJ356" s="10"/>
      <c r="BM356" s="109"/>
      <c r="BN356" s="109"/>
      <c r="BP356" s="10"/>
      <c r="BS356" s="109"/>
      <c r="BT356" s="109"/>
      <c r="BV356" s="10"/>
      <c r="BY356" s="109"/>
      <c r="BZ356" s="109"/>
      <c r="CB356" s="10"/>
      <c r="CE356" s="109"/>
      <c r="CF356" s="109"/>
      <c r="CH356" s="10"/>
      <c r="CK356" s="109"/>
      <c r="CL356" s="109"/>
    </row>
    <row r="357" spans="1:90">
      <c r="A357" s="7" t="str">
        <f t="shared" si="51"/>
        <v>00700998</v>
      </c>
      <c r="B357" s="7" t="s">
        <v>2409</v>
      </c>
      <c r="C357" s="7" t="s">
        <v>2781</v>
      </c>
      <c r="D357" s="7">
        <v>348</v>
      </c>
      <c r="E357" s="7">
        <v>70</v>
      </c>
      <c r="F357" s="7" t="s">
        <v>2135</v>
      </c>
      <c r="G357" s="7">
        <v>998</v>
      </c>
      <c r="H357" s="7" t="s">
        <v>2135</v>
      </c>
      <c r="I357" s="37">
        <v>0</v>
      </c>
      <c r="J357" s="122">
        <v>0</v>
      </c>
      <c r="K357" s="123">
        <f t="shared" si="60"/>
        <v>0</v>
      </c>
      <c r="L357" s="122">
        <f>IF(K359&gt;0, K357/K359, 0)</f>
        <v>0</v>
      </c>
      <c r="M357" s="71"/>
      <c r="N357" s="10">
        <f>ROUND(M359*L357,0)</f>
        <v>0</v>
      </c>
      <c r="O357" s="70">
        <v>0</v>
      </c>
      <c r="P357" s="10">
        <f>N357-O357</f>
        <v>0</v>
      </c>
      <c r="Q357" s="46">
        <f t="shared" si="59"/>
        <v>0</v>
      </c>
      <c r="R357" s="10">
        <v>0</v>
      </c>
      <c r="S357" s="7">
        <f t="shared" si="52"/>
        <v>0</v>
      </c>
      <c r="T357" s="124">
        <f t="shared" si="53"/>
        <v>70</v>
      </c>
      <c r="U357" s="124">
        <f t="shared" si="54"/>
        <v>998</v>
      </c>
      <c r="V357" s="124">
        <f t="shared" si="55"/>
        <v>348</v>
      </c>
      <c r="W357" s="124">
        <f t="shared" si="56"/>
        <v>0</v>
      </c>
      <c r="X357" s="124">
        <f t="shared" si="57"/>
        <v>0</v>
      </c>
      <c r="Y357" s="264">
        <f t="shared" si="58"/>
        <v>348</v>
      </c>
      <c r="Z357" s="10">
        <v>70</v>
      </c>
      <c r="AA357" s="7">
        <v>998</v>
      </c>
      <c r="AB357" s="7">
        <v>348</v>
      </c>
      <c r="AC357" s="109">
        <v>0</v>
      </c>
      <c r="AD357" s="109">
        <v>0</v>
      </c>
      <c r="AE357" s="125"/>
      <c r="AF357" s="10"/>
      <c r="AI357" s="109"/>
      <c r="AJ357" s="109"/>
      <c r="AL357" s="10"/>
      <c r="AO357" s="109"/>
      <c r="AP357" s="109"/>
      <c r="AR357" s="10"/>
      <c r="AU357" s="109"/>
      <c r="AV357" s="109"/>
      <c r="AX357" s="10"/>
      <c r="BA357" s="109"/>
      <c r="BB357" s="109"/>
      <c r="BD357" s="10"/>
      <c r="BG357" s="109"/>
      <c r="BH357" s="109"/>
      <c r="BJ357" s="10"/>
      <c r="BM357" s="109"/>
      <c r="BN357" s="109"/>
      <c r="BP357" s="10"/>
      <c r="BS357" s="109"/>
      <c r="BT357" s="109"/>
      <c r="BV357" s="10"/>
      <c r="BY357" s="109"/>
      <c r="BZ357" s="109"/>
      <c r="CB357" s="10"/>
      <c r="CE357" s="109"/>
      <c r="CF357" s="109"/>
      <c r="CH357" s="10"/>
      <c r="CK357" s="109"/>
      <c r="CL357" s="109"/>
    </row>
    <row r="358" spans="1:90">
      <c r="A358" s="7" t="str">
        <f t="shared" si="51"/>
        <v>00700998</v>
      </c>
      <c r="B358" s="7" t="s">
        <v>2409</v>
      </c>
      <c r="C358" s="7" t="s">
        <v>2781</v>
      </c>
      <c r="D358" s="7">
        <v>349</v>
      </c>
      <c r="E358" s="7">
        <v>70</v>
      </c>
      <c r="F358" s="7" t="s">
        <v>2135</v>
      </c>
      <c r="G358" s="7">
        <v>998</v>
      </c>
      <c r="H358" s="7" t="s">
        <v>2135</v>
      </c>
      <c r="I358" s="37">
        <v>0</v>
      </c>
      <c r="J358" s="122">
        <v>0</v>
      </c>
      <c r="K358" s="123">
        <f t="shared" si="60"/>
        <v>0</v>
      </c>
      <c r="L358" s="122">
        <f>IF(K359&gt;0, K358/K359, 0)</f>
        <v>0</v>
      </c>
      <c r="M358" s="71"/>
      <c r="N358" s="10">
        <f>ROUND(M359*L358,0)</f>
        <v>0</v>
      </c>
      <c r="O358" s="70">
        <v>0</v>
      </c>
      <c r="P358" s="10">
        <f>N358-O358</f>
        <v>0</v>
      </c>
      <c r="Q358" s="46">
        <f t="shared" si="59"/>
        <v>0</v>
      </c>
      <c r="R358" s="10">
        <v>0</v>
      </c>
      <c r="S358" s="7">
        <f t="shared" si="52"/>
        <v>0</v>
      </c>
      <c r="T358" s="124">
        <f t="shared" si="53"/>
        <v>70</v>
      </c>
      <c r="U358" s="124">
        <f t="shared" si="54"/>
        <v>998</v>
      </c>
      <c r="V358" s="124">
        <f t="shared" si="55"/>
        <v>349</v>
      </c>
      <c r="W358" s="124">
        <f t="shared" si="56"/>
        <v>0</v>
      </c>
      <c r="X358" s="124">
        <f t="shared" si="57"/>
        <v>0</v>
      </c>
      <c r="Y358" s="264">
        <f t="shared" si="58"/>
        <v>349</v>
      </c>
      <c r="Z358" s="10">
        <v>70</v>
      </c>
      <c r="AA358" s="7">
        <v>998</v>
      </c>
      <c r="AB358" s="7">
        <v>349</v>
      </c>
      <c r="AC358" s="109">
        <v>0</v>
      </c>
      <c r="AD358" s="109">
        <v>0</v>
      </c>
      <c r="AE358" s="125"/>
      <c r="AF358" s="10"/>
      <c r="AI358" s="109"/>
      <c r="AJ358" s="109"/>
      <c r="AL358" s="10"/>
      <c r="AO358" s="109"/>
      <c r="AP358" s="109"/>
      <c r="AR358" s="10"/>
      <c r="AU358" s="109"/>
      <c r="AV358" s="109"/>
      <c r="AX358" s="10"/>
      <c r="BA358" s="109"/>
      <c r="BB358" s="109"/>
      <c r="BD358" s="10"/>
      <c r="BG358" s="109"/>
      <c r="BH358" s="109"/>
      <c r="BJ358" s="10"/>
      <c r="BM358" s="109"/>
      <c r="BN358" s="109"/>
      <c r="BP358" s="10"/>
      <c r="BS358" s="109"/>
      <c r="BT358" s="109"/>
      <c r="BV358" s="10"/>
      <c r="BY358" s="109"/>
      <c r="BZ358" s="109"/>
      <c r="CB358" s="10"/>
      <c r="CE358" s="109"/>
      <c r="CF358" s="109"/>
      <c r="CH358" s="10"/>
      <c r="CK358" s="109"/>
      <c r="CL358" s="109"/>
    </row>
    <row r="359" spans="1:90">
      <c r="A359" s="7" t="str">
        <f t="shared" si="51"/>
        <v>00700999</v>
      </c>
      <c r="B359" s="7" t="s">
        <v>2409</v>
      </c>
      <c r="C359" s="7" t="s">
        <v>2782</v>
      </c>
      <c r="D359" s="7">
        <v>350</v>
      </c>
      <c r="E359" s="11">
        <v>70</v>
      </c>
      <c r="F359" s="11" t="s">
        <v>1776</v>
      </c>
      <c r="G359" s="11">
        <v>999</v>
      </c>
      <c r="H359" s="11" t="s">
        <v>1132</v>
      </c>
      <c r="I359" s="105">
        <v>9493839.4000000004</v>
      </c>
      <c r="J359" s="126">
        <v>1</v>
      </c>
      <c r="K359" s="127">
        <f>SUM(K355:K358)</f>
        <v>9490522.4859403539</v>
      </c>
      <c r="L359" s="126">
        <f>SUM(L355:L358)</f>
        <v>1</v>
      </c>
      <c r="M359" s="105">
        <f>VLOOKUP(E359,town351,22)</f>
        <v>5061698</v>
      </c>
      <c r="N359" s="105">
        <f>SUM(N355:N358)</f>
        <v>5061698</v>
      </c>
      <c r="O359" s="128">
        <v>5109270</v>
      </c>
      <c r="P359" s="105">
        <f>SUM(P355:P358)</f>
        <v>-47572</v>
      </c>
      <c r="Q359" s="45">
        <f t="shared" si="59"/>
        <v>-0.93109191724062346</v>
      </c>
      <c r="R359" s="105">
        <v>927</v>
      </c>
      <c r="S359" s="7">
        <f t="shared" si="52"/>
        <v>0</v>
      </c>
      <c r="T359" s="124">
        <f t="shared" si="53"/>
        <v>70</v>
      </c>
      <c r="U359" s="124">
        <f t="shared" si="54"/>
        <v>999</v>
      </c>
      <c r="V359" s="124">
        <f t="shared" si="55"/>
        <v>350</v>
      </c>
      <c r="W359" s="124">
        <f t="shared" si="56"/>
        <v>911.21055824769996</v>
      </c>
      <c r="X359" s="124">
        <f t="shared" si="57"/>
        <v>9490522.4859403539</v>
      </c>
      <c r="Y359" s="264">
        <f t="shared" si="58"/>
        <v>350</v>
      </c>
      <c r="Z359" s="10">
        <v>70</v>
      </c>
      <c r="AA359" s="7">
        <v>999</v>
      </c>
      <c r="AB359" s="7">
        <v>350</v>
      </c>
      <c r="AC359" s="109">
        <v>911.21055824769996</v>
      </c>
      <c r="AD359" s="109">
        <v>9490522.4859403539</v>
      </c>
      <c r="AE359" s="125"/>
      <c r="AF359" s="10"/>
      <c r="AI359" s="109"/>
      <c r="AJ359" s="109"/>
      <c r="AL359" s="10"/>
      <c r="AO359" s="109"/>
      <c r="AP359" s="109"/>
      <c r="AR359" s="10"/>
      <c r="AU359" s="109"/>
      <c r="AV359" s="109"/>
      <c r="AX359" s="10"/>
      <c r="BA359" s="109"/>
      <c r="BB359" s="109"/>
      <c r="BD359" s="10"/>
      <c r="BG359" s="109"/>
      <c r="BH359" s="109"/>
      <c r="BJ359" s="10"/>
      <c r="BM359" s="109"/>
      <c r="BN359" s="109"/>
      <c r="BP359" s="10"/>
      <c r="BS359" s="109"/>
      <c r="BT359" s="109"/>
      <c r="BV359" s="10"/>
      <c r="BY359" s="109"/>
      <c r="BZ359" s="109"/>
      <c r="CB359" s="10"/>
      <c r="CE359" s="109"/>
      <c r="CF359" s="109"/>
      <c r="CH359" s="10"/>
      <c r="CK359" s="109"/>
      <c r="CL359" s="109"/>
    </row>
    <row r="360" spans="1:90">
      <c r="A360" s="7" t="str">
        <f t="shared" si="51"/>
        <v>00710071</v>
      </c>
      <c r="B360" s="7" t="s">
        <v>2410</v>
      </c>
      <c r="C360" s="7" t="s">
        <v>2410</v>
      </c>
      <c r="D360" s="7">
        <v>351</v>
      </c>
      <c r="E360" s="7">
        <v>71</v>
      </c>
      <c r="F360" s="7" t="s">
        <v>1777</v>
      </c>
      <c r="G360" s="7">
        <v>71</v>
      </c>
      <c r="H360" s="7" t="s">
        <v>1337</v>
      </c>
      <c r="I360" s="37">
        <v>35588532.009999998</v>
      </c>
      <c r="J360" s="122">
        <v>0.9527236814010055</v>
      </c>
      <c r="K360" s="123">
        <f>X360</f>
        <v>33833411.73052796</v>
      </c>
      <c r="L360" s="122">
        <f>IF(K364&gt;0, K360/K364, 0)</f>
        <v>0.94198181381552826</v>
      </c>
      <c r="M360" s="71"/>
      <c r="N360" s="10">
        <f>ROUND(M364*L360,0)</f>
        <v>28261906</v>
      </c>
      <c r="O360" s="70">
        <v>29520671</v>
      </c>
      <c r="P360" s="10">
        <f>N360-O360</f>
        <v>-1258765</v>
      </c>
      <c r="Q360" s="46">
        <f t="shared" si="59"/>
        <v>-4.2640121560922513</v>
      </c>
      <c r="R360" s="10">
        <v>3689</v>
      </c>
      <c r="S360" s="7">
        <f t="shared" si="52"/>
        <v>0</v>
      </c>
      <c r="T360" s="124">
        <f t="shared" si="53"/>
        <v>71</v>
      </c>
      <c r="U360" s="124">
        <f t="shared" si="54"/>
        <v>71</v>
      </c>
      <c r="V360" s="124">
        <f t="shared" si="55"/>
        <v>351</v>
      </c>
      <c r="W360" s="124">
        <f t="shared" si="56"/>
        <v>3460</v>
      </c>
      <c r="X360" s="124">
        <f t="shared" si="57"/>
        <v>33833411.73052796</v>
      </c>
      <c r="Y360" s="264">
        <f t="shared" si="58"/>
        <v>351</v>
      </c>
      <c r="Z360" s="10">
        <v>71</v>
      </c>
      <c r="AA360" s="7">
        <v>71</v>
      </c>
      <c r="AB360" s="7">
        <v>351</v>
      </c>
      <c r="AC360" s="109">
        <v>3460</v>
      </c>
      <c r="AD360" s="109">
        <v>33833411.73052796</v>
      </c>
      <c r="AE360" s="125"/>
      <c r="AF360" s="10"/>
      <c r="AI360" s="109"/>
      <c r="AJ360" s="109"/>
      <c r="AL360" s="10"/>
      <c r="AO360" s="109"/>
      <c r="AP360" s="109"/>
      <c r="AR360" s="10"/>
      <c r="AU360" s="109"/>
      <c r="AV360" s="109"/>
      <c r="AX360" s="10"/>
      <c r="BA360" s="109"/>
      <c r="BB360" s="109"/>
      <c r="BD360" s="10"/>
      <c r="BG360" s="109"/>
      <c r="BH360" s="109"/>
      <c r="BJ360" s="10"/>
      <c r="BM360" s="109"/>
      <c r="BN360" s="109"/>
      <c r="BP360" s="10"/>
      <c r="BS360" s="109"/>
      <c r="BT360" s="109"/>
      <c r="BV360" s="10"/>
      <c r="BY360" s="109"/>
      <c r="BZ360" s="109"/>
      <c r="CB360" s="10"/>
      <c r="CE360" s="109"/>
      <c r="CF360" s="109"/>
      <c r="CH360" s="10"/>
      <c r="CK360" s="109"/>
      <c r="CL360" s="109"/>
    </row>
    <row r="361" spans="1:90">
      <c r="A361" s="7" t="str">
        <f t="shared" si="51"/>
        <v>00710817</v>
      </c>
      <c r="B361" s="7" t="s">
        <v>2410</v>
      </c>
      <c r="C361" s="7" t="s">
        <v>2757</v>
      </c>
      <c r="D361" s="7">
        <v>352</v>
      </c>
      <c r="E361" s="7">
        <v>71</v>
      </c>
      <c r="F361" s="7" t="s">
        <v>1777</v>
      </c>
      <c r="G361" s="7">
        <v>817</v>
      </c>
      <c r="H361" s="7" t="s">
        <v>1684</v>
      </c>
      <c r="I361" s="37">
        <v>1765984</v>
      </c>
      <c r="J361" s="122">
        <v>4.7276318598994484E-2</v>
      </c>
      <c r="K361" s="123">
        <f t="shared" si="60"/>
        <v>2083854.6479858847</v>
      </c>
      <c r="L361" s="122">
        <f>IF(K364&gt;0, K361/K364, 0)</f>
        <v>5.8018186184471784E-2</v>
      </c>
      <c r="M361" s="71"/>
      <c r="N361" s="10">
        <f>ROUND(M364*L361,0)</f>
        <v>1740697</v>
      </c>
      <c r="O361" s="70">
        <v>1464883</v>
      </c>
      <c r="P361" s="10">
        <f>N361-O361</f>
        <v>275814</v>
      </c>
      <c r="Q361" s="46">
        <f t="shared" si="59"/>
        <v>18.828397899354421</v>
      </c>
      <c r="R361" s="10">
        <v>112</v>
      </c>
      <c r="S361" s="7">
        <f t="shared" si="52"/>
        <v>0</v>
      </c>
      <c r="T361" s="124">
        <f t="shared" si="53"/>
        <v>71</v>
      </c>
      <c r="U361" s="124">
        <f t="shared" si="54"/>
        <v>817</v>
      </c>
      <c r="V361" s="124">
        <f t="shared" si="55"/>
        <v>352</v>
      </c>
      <c r="W361" s="124">
        <f t="shared" si="56"/>
        <v>131.00000000100002</v>
      </c>
      <c r="X361" s="124">
        <f t="shared" si="57"/>
        <v>2083854.6479858847</v>
      </c>
      <c r="Y361" s="264">
        <f t="shared" si="58"/>
        <v>352</v>
      </c>
      <c r="Z361" s="10">
        <v>71</v>
      </c>
      <c r="AA361" s="7">
        <v>817</v>
      </c>
      <c r="AB361" s="7">
        <v>352</v>
      </c>
      <c r="AC361" s="109">
        <v>131.00000000100002</v>
      </c>
      <c r="AD361" s="109">
        <v>2083854.6479858847</v>
      </c>
      <c r="AE361" s="125"/>
      <c r="AF361" s="10"/>
      <c r="AI361" s="109"/>
      <c r="AJ361" s="109"/>
      <c r="AL361" s="10"/>
      <c r="AO361" s="109"/>
      <c r="AP361" s="109"/>
      <c r="AR361" s="10"/>
      <c r="AU361" s="109"/>
      <c r="AV361" s="109"/>
      <c r="AX361" s="10"/>
      <c r="BA361" s="109"/>
      <c r="BB361" s="109"/>
      <c r="BD361" s="10"/>
      <c r="BG361" s="109"/>
      <c r="BH361" s="109"/>
      <c r="BJ361" s="10"/>
      <c r="BM361" s="109"/>
      <c r="BN361" s="109"/>
      <c r="BP361" s="10"/>
      <c r="BS361" s="109"/>
      <c r="BT361" s="109"/>
      <c r="BV361" s="10"/>
      <c r="BY361" s="109"/>
      <c r="BZ361" s="109"/>
      <c r="CB361" s="10"/>
      <c r="CE361" s="109"/>
      <c r="CF361" s="109"/>
      <c r="CH361" s="10"/>
      <c r="CK361" s="109"/>
      <c r="CL361" s="109"/>
    </row>
    <row r="362" spans="1:90">
      <c r="A362" s="7" t="str">
        <f t="shared" si="51"/>
        <v>00710998</v>
      </c>
      <c r="B362" s="7" t="s">
        <v>2410</v>
      </c>
      <c r="C362" s="7" t="s">
        <v>2781</v>
      </c>
      <c r="D362" s="7">
        <v>353</v>
      </c>
      <c r="E362" s="7">
        <v>71</v>
      </c>
      <c r="F362" s="7" t="s">
        <v>2135</v>
      </c>
      <c r="G362" s="7">
        <v>998</v>
      </c>
      <c r="I362" s="129">
        <v>0</v>
      </c>
      <c r="J362" s="130">
        <v>0</v>
      </c>
      <c r="K362" s="123">
        <f t="shared" si="60"/>
        <v>0</v>
      </c>
      <c r="L362" s="122">
        <f>IF(K364&gt;0, K362/K364, 0)</f>
        <v>0</v>
      </c>
      <c r="M362" s="71"/>
      <c r="N362" s="10">
        <f>ROUND(M364*L362,0)</f>
        <v>0</v>
      </c>
      <c r="O362" s="70">
        <v>0</v>
      </c>
      <c r="P362" s="10">
        <f>N362-O362</f>
        <v>0</v>
      </c>
      <c r="Q362" s="46">
        <f t="shared" si="59"/>
        <v>0</v>
      </c>
      <c r="R362" s="10">
        <v>0</v>
      </c>
      <c r="S362" s="7">
        <f t="shared" si="52"/>
        <v>0</v>
      </c>
      <c r="T362" s="124">
        <f t="shared" si="53"/>
        <v>71</v>
      </c>
      <c r="U362" s="124">
        <f t="shared" si="54"/>
        <v>998</v>
      </c>
      <c r="V362" s="124">
        <f t="shared" si="55"/>
        <v>353</v>
      </c>
      <c r="W362" s="124">
        <f t="shared" si="56"/>
        <v>0</v>
      </c>
      <c r="X362" s="124">
        <f t="shared" si="57"/>
        <v>0</v>
      </c>
      <c r="Y362" s="264">
        <f t="shared" si="58"/>
        <v>353</v>
      </c>
      <c r="Z362" s="10">
        <v>71</v>
      </c>
      <c r="AA362" s="7">
        <v>998</v>
      </c>
      <c r="AB362" s="7">
        <v>353</v>
      </c>
      <c r="AC362" s="109">
        <v>0</v>
      </c>
      <c r="AD362" s="109">
        <v>0</v>
      </c>
      <c r="AE362" s="125"/>
      <c r="AF362" s="10"/>
      <c r="AI362" s="109"/>
      <c r="AJ362" s="109"/>
      <c r="AL362" s="10"/>
      <c r="AO362" s="109"/>
      <c r="AP362" s="109"/>
      <c r="AR362" s="10"/>
      <c r="AU362" s="109"/>
      <c r="AV362" s="109"/>
      <c r="AX362" s="10"/>
      <c r="BA362" s="109"/>
      <c r="BB362" s="109"/>
      <c r="BD362" s="10"/>
      <c r="BG362" s="109"/>
      <c r="BH362" s="109"/>
      <c r="BJ362" s="10"/>
      <c r="BM362" s="109"/>
      <c r="BN362" s="109"/>
      <c r="BP362" s="10"/>
      <c r="BS362" s="109"/>
      <c r="BT362" s="109"/>
      <c r="BV362" s="10"/>
      <c r="BY362" s="109"/>
      <c r="BZ362" s="109"/>
      <c r="CB362" s="10"/>
      <c r="CE362" s="109"/>
      <c r="CF362" s="109"/>
      <c r="CH362" s="10"/>
      <c r="CK362" s="109"/>
      <c r="CL362" s="109"/>
    </row>
    <row r="363" spans="1:90">
      <c r="A363" s="7" t="str">
        <f t="shared" si="51"/>
        <v>00710998</v>
      </c>
      <c r="B363" s="7" t="s">
        <v>2410</v>
      </c>
      <c r="C363" s="7" t="s">
        <v>2781</v>
      </c>
      <c r="D363" s="7">
        <v>354</v>
      </c>
      <c r="E363" s="7">
        <v>71</v>
      </c>
      <c r="F363" s="7" t="s">
        <v>2135</v>
      </c>
      <c r="G363" s="7">
        <v>998</v>
      </c>
      <c r="H363" s="7" t="s">
        <v>2135</v>
      </c>
      <c r="I363" s="37">
        <v>0</v>
      </c>
      <c r="J363" s="122">
        <v>0</v>
      </c>
      <c r="K363" s="123">
        <f t="shared" si="60"/>
        <v>0</v>
      </c>
      <c r="L363" s="122">
        <f>IF(K364&gt;0, K363/K364, 0)</f>
        <v>0</v>
      </c>
      <c r="M363" s="71"/>
      <c r="N363" s="10">
        <f>ROUND(M364*L363,0)</f>
        <v>0</v>
      </c>
      <c r="O363" s="70">
        <v>0</v>
      </c>
      <c r="P363" s="10">
        <f>N363-O363</f>
        <v>0</v>
      </c>
      <c r="Q363" s="46">
        <f t="shared" si="59"/>
        <v>0</v>
      </c>
      <c r="R363" s="10">
        <v>0</v>
      </c>
      <c r="S363" s="7">
        <f t="shared" si="52"/>
        <v>0</v>
      </c>
      <c r="T363" s="124">
        <f t="shared" si="53"/>
        <v>71</v>
      </c>
      <c r="U363" s="124">
        <f t="shared" si="54"/>
        <v>998</v>
      </c>
      <c r="V363" s="124">
        <f t="shared" si="55"/>
        <v>354</v>
      </c>
      <c r="W363" s="124">
        <f t="shared" si="56"/>
        <v>0</v>
      </c>
      <c r="X363" s="124">
        <f t="shared" si="57"/>
        <v>0</v>
      </c>
      <c r="Y363" s="264">
        <f t="shared" si="58"/>
        <v>354</v>
      </c>
      <c r="Z363" s="10">
        <v>71</v>
      </c>
      <c r="AA363" s="7">
        <v>998</v>
      </c>
      <c r="AB363" s="7">
        <v>354</v>
      </c>
      <c r="AC363" s="109">
        <v>0</v>
      </c>
      <c r="AD363" s="109">
        <v>0</v>
      </c>
      <c r="AE363" s="125"/>
      <c r="AF363" s="10"/>
      <c r="AI363" s="109"/>
      <c r="AJ363" s="109"/>
      <c r="AL363" s="10"/>
      <c r="AO363" s="109"/>
      <c r="AP363" s="109"/>
      <c r="AR363" s="10"/>
      <c r="AU363" s="109"/>
      <c r="AV363" s="109"/>
      <c r="AX363" s="10"/>
      <c r="BA363" s="109"/>
      <c r="BB363" s="109"/>
      <c r="BD363" s="10"/>
      <c r="BG363" s="109"/>
      <c r="BH363" s="109"/>
      <c r="BJ363" s="10"/>
      <c r="BM363" s="109"/>
      <c r="BN363" s="109"/>
      <c r="BP363" s="10"/>
      <c r="BS363" s="109"/>
      <c r="BT363" s="109"/>
      <c r="BV363" s="10"/>
      <c r="BY363" s="109"/>
      <c r="BZ363" s="109"/>
      <c r="CB363" s="10"/>
      <c r="CE363" s="109"/>
      <c r="CF363" s="109"/>
      <c r="CH363" s="10"/>
      <c r="CK363" s="109"/>
      <c r="CL363" s="109"/>
    </row>
    <row r="364" spans="1:90">
      <c r="A364" s="7" t="str">
        <f t="shared" si="51"/>
        <v>00710999</v>
      </c>
      <c r="B364" s="7" t="s">
        <v>2410</v>
      </c>
      <c r="C364" s="7" t="s">
        <v>2782</v>
      </c>
      <c r="D364" s="7">
        <v>355</v>
      </c>
      <c r="E364" s="11">
        <v>71</v>
      </c>
      <c r="F364" s="11" t="s">
        <v>1777</v>
      </c>
      <c r="G364" s="11">
        <v>999</v>
      </c>
      <c r="H364" s="11" t="s">
        <v>1132</v>
      </c>
      <c r="I364" s="105">
        <v>37354516.009999998</v>
      </c>
      <c r="J364" s="126">
        <v>1</v>
      </c>
      <c r="K364" s="127">
        <f>SUM(K360:K363)</f>
        <v>35917266.378513843</v>
      </c>
      <c r="L364" s="126">
        <f>SUM(L360:L363)</f>
        <v>1</v>
      </c>
      <c r="M364" s="105">
        <f>VLOOKUP(E364,town351,22)</f>
        <v>30002603</v>
      </c>
      <c r="N364" s="105">
        <f>SUM(N360:N363)</f>
        <v>30002603</v>
      </c>
      <c r="O364" s="128">
        <v>30985554</v>
      </c>
      <c r="P364" s="105">
        <f>SUM(P360:P363)</f>
        <v>-982951</v>
      </c>
      <c r="Q364" s="45">
        <f t="shared" si="59"/>
        <v>-3.1722879636103971</v>
      </c>
      <c r="R364" s="105">
        <v>3801</v>
      </c>
      <c r="S364" s="7">
        <f t="shared" si="52"/>
        <v>0</v>
      </c>
      <c r="T364" s="124">
        <f t="shared" si="53"/>
        <v>71</v>
      </c>
      <c r="U364" s="124">
        <f t="shared" si="54"/>
        <v>999</v>
      </c>
      <c r="V364" s="124">
        <f t="shared" si="55"/>
        <v>355</v>
      </c>
      <c r="W364" s="124">
        <f t="shared" si="56"/>
        <v>3591.000000001</v>
      </c>
      <c r="X364" s="124">
        <f t="shared" si="57"/>
        <v>35917266.378513843</v>
      </c>
      <c r="Y364" s="264">
        <f t="shared" si="58"/>
        <v>355</v>
      </c>
      <c r="Z364" s="10">
        <v>71</v>
      </c>
      <c r="AA364" s="7">
        <v>999</v>
      </c>
      <c r="AB364" s="7">
        <v>355</v>
      </c>
      <c r="AC364" s="109">
        <v>3591.000000001</v>
      </c>
      <c r="AD364" s="109">
        <v>35917266.378513843</v>
      </c>
      <c r="AE364" s="125"/>
      <c r="AF364" s="10"/>
      <c r="AI364" s="109"/>
      <c r="AJ364" s="109"/>
      <c r="AL364" s="10"/>
      <c r="AO364" s="109"/>
      <c r="AP364" s="109"/>
      <c r="AR364" s="10"/>
      <c r="AU364" s="109"/>
      <c r="AV364" s="109"/>
      <c r="AX364" s="10"/>
      <c r="BA364" s="109"/>
      <c r="BB364" s="109"/>
      <c r="BD364" s="10"/>
      <c r="BG364" s="109"/>
      <c r="BH364" s="109"/>
      <c r="BJ364" s="10"/>
      <c r="BM364" s="109"/>
      <c r="BN364" s="109"/>
      <c r="BP364" s="10"/>
      <c r="BS364" s="109"/>
      <c r="BT364" s="109"/>
      <c r="BV364" s="10"/>
      <c r="BY364" s="109"/>
      <c r="BZ364" s="109"/>
      <c r="CB364" s="10"/>
      <c r="CE364" s="109"/>
      <c r="CF364" s="109"/>
      <c r="CH364" s="10"/>
      <c r="CK364" s="109"/>
      <c r="CL364" s="109"/>
    </row>
    <row r="365" spans="1:90">
      <c r="A365" s="7" t="str">
        <f t="shared" si="51"/>
        <v>00720072</v>
      </c>
      <c r="B365" s="7" t="s">
        <v>2411</v>
      </c>
      <c r="C365" s="7" t="s">
        <v>2411</v>
      </c>
      <c r="D365" s="7">
        <v>356</v>
      </c>
      <c r="E365" s="7">
        <v>72</v>
      </c>
      <c r="F365" s="7" t="s">
        <v>1778</v>
      </c>
      <c r="G365" s="7">
        <v>72</v>
      </c>
      <c r="H365" s="7" t="s">
        <v>1338</v>
      </c>
      <c r="I365" s="37">
        <v>36117171.75</v>
      </c>
      <c r="J365" s="122">
        <v>0.88333533161209266</v>
      </c>
      <c r="K365" s="123">
        <f>X365</f>
        <v>36194408.009417139</v>
      </c>
      <c r="L365" s="122">
        <f>IF(K369&gt;0, K365/K369, 0)</f>
        <v>0.87009297940978969</v>
      </c>
      <c r="M365" s="71"/>
      <c r="N365" s="10">
        <f>ROUND(M369*L365,0)</f>
        <v>30013628</v>
      </c>
      <c r="O365" s="70">
        <v>29976096</v>
      </c>
      <c r="P365" s="10">
        <f>N365-O365</f>
        <v>37532</v>
      </c>
      <c r="Q365" s="46">
        <f t="shared" si="59"/>
        <v>0.1252064311510078</v>
      </c>
      <c r="R365" s="10">
        <v>3707</v>
      </c>
      <c r="S365" s="7">
        <f t="shared" si="52"/>
        <v>0</v>
      </c>
      <c r="T365" s="124">
        <f t="shared" si="53"/>
        <v>72</v>
      </c>
      <c r="U365" s="124">
        <f t="shared" si="54"/>
        <v>72</v>
      </c>
      <c r="V365" s="124">
        <f t="shared" si="55"/>
        <v>356</v>
      </c>
      <c r="W365" s="124">
        <f t="shared" si="56"/>
        <v>3646</v>
      </c>
      <c r="X365" s="124">
        <f t="shared" si="57"/>
        <v>36194408.009417139</v>
      </c>
      <c r="Y365" s="264">
        <f t="shared" si="58"/>
        <v>356</v>
      </c>
      <c r="Z365" s="10">
        <v>72</v>
      </c>
      <c r="AA365" s="7">
        <v>72</v>
      </c>
      <c r="AB365" s="7">
        <v>356</v>
      </c>
      <c r="AC365" s="109">
        <v>3646</v>
      </c>
      <c r="AD365" s="109">
        <v>36194408.009417139</v>
      </c>
      <c r="AE365" s="125"/>
      <c r="AF365" s="10"/>
      <c r="AI365" s="109"/>
      <c r="AJ365" s="109"/>
      <c r="AL365" s="10"/>
      <c r="AO365" s="109"/>
      <c r="AP365" s="109"/>
      <c r="AR365" s="10"/>
      <c r="AU365" s="109"/>
      <c r="AV365" s="109"/>
      <c r="AX365" s="10"/>
      <c r="BA365" s="109"/>
      <c r="BB365" s="109"/>
      <c r="BD365" s="10"/>
      <c r="BG365" s="109"/>
      <c r="BH365" s="109"/>
      <c r="BJ365" s="10"/>
      <c r="BM365" s="109"/>
      <c r="BN365" s="109"/>
      <c r="BP365" s="10"/>
      <c r="BS365" s="109"/>
      <c r="BT365" s="109"/>
      <c r="BV365" s="10"/>
      <c r="BY365" s="109"/>
      <c r="BZ365" s="109"/>
      <c r="CB365" s="10"/>
      <c r="CE365" s="109"/>
      <c r="CF365" s="109"/>
      <c r="CH365" s="10"/>
      <c r="CK365" s="109"/>
      <c r="CL365" s="109"/>
    </row>
    <row r="366" spans="1:90">
      <c r="A366" s="7" t="str">
        <f t="shared" si="51"/>
        <v>00720825</v>
      </c>
      <c r="B366" s="7" t="s">
        <v>2411</v>
      </c>
      <c r="C366" s="7" t="s">
        <v>2761</v>
      </c>
      <c r="D366" s="7">
        <v>357</v>
      </c>
      <c r="E366" s="7">
        <v>72</v>
      </c>
      <c r="F366" s="7" t="s">
        <v>1778</v>
      </c>
      <c r="G366" s="7">
        <v>825</v>
      </c>
      <c r="H366" s="7" t="s">
        <v>1688</v>
      </c>
      <c r="I366" s="37">
        <v>4494313</v>
      </c>
      <c r="J366" s="122">
        <v>0.10991961086276196</v>
      </c>
      <c r="K366" s="123">
        <f t="shared" si="60"/>
        <v>5029102.9212432951</v>
      </c>
      <c r="L366" s="122">
        <f>IF(K369&gt;0, K366/K369, 0)</f>
        <v>0.12089677342877259</v>
      </c>
      <c r="M366" s="71"/>
      <c r="N366" s="10">
        <f>ROUND(M369*L366,0)</f>
        <v>4170302</v>
      </c>
      <c r="O366" s="70">
        <v>3730136</v>
      </c>
      <c r="P366" s="10">
        <f>N366-O366</f>
        <v>440166</v>
      </c>
      <c r="Q366" s="46">
        <f t="shared" si="59"/>
        <v>11.80026679992365</v>
      </c>
      <c r="R366" s="10">
        <v>280</v>
      </c>
      <c r="S366" s="7">
        <f t="shared" si="52"/>
        <v>0</v>
      </c>
      <c r="T366" s="124">
        <f t="shared" si="53"/>
        <v>72</v>
      </c>
      <c r="U366" s="124">
        <f t="shared" si="54"/>
        <v>825</v>
      </c>
      <c r="V366" s="124">
        <f t="shared" si="55"/>
        <v>357</v>
      </c>
      <c r="W366" s="124">
        <f t="shared" si="56"/>
        <v>306.99999999108002</v>
      </c>
      <c r="X366" s="124">
        <f t="shared" si="57"/>
        <v>5029102.9212432951</v>
      </c>
      <c r="Y366" s="264">
        <f t="shared" si="58"/>
        <v>357</v>
      </c>
      <c r="Z366" s="10">
        <v>72</v>
      </c>
      <c r="AA366" s="7">
        <v>825</v>
      </c>
      <c r="AB366" s="7">
        <v>357</v>
      </c>
      <c r="AC366" s="109">
        <v>306.99999999108002</v>
      </c>
      <c r="AD366" s="109">
        <v>5029102.9212432951</v>
      </c>
      <c r="AE366" s="125"/>
      <c r="AF366" s="10"/>
      <c r="AI366" s="109"/>
      <c r="AJ366" s="109"/>
      <c r="AL366" s="10"/>
      <c r="AO366" s="109"/>
      <c r="AP366" s="109"/>
      <c r="AR366" s="10"/>
      <c r="AU366" s="109"/>
      <c r="AV366" s="109"/>
      <c r="AX366" s="10"/>
      <c r="BA366" s="109"/>
      <c r="BB366" s="109"/>
      <c r="BD366" s="10"/>
      <c r="BG366" s="109"/>
      <c r="BH366" s="109"/>
      <c r="BJ366" s="10"/>
      <c r="BM366" s="109"/>
      <c r="BN366" s="109"/>
      <c r="BP366" s="10"/>
      <c r="BS366" s="109"/>
      <c r="BT366" s="109"/>
      <c r="BV366" s="10"/>
      <c r="BY366" s="109"/>
      <c r="BZ366" s="109"/>
      <c r="CB366" s="10"/>
      <c r="CE366" s="109"/>
      <c r="CF366" s="109"/>
      <c r="CH366" s="10"/>
      <c r="CK366" s="109"/>
      <c r="CL366" s="109"/>
    </row>
    <row r="367" spans="1:90">
      <c r="A367" s="7" t="str">
        <f t="shared" si="51"/>
        <v>00720910</v>
      </c>
      <c r="B367" s="7" t="s">
        <v>2411</v>
      </c>
      <c r="C367" s="7" t="s">
        <v>2778</v>
      </c>
      <c r="D367" s="7">
        <v>358</v>
      </c>
      <c r="E367" s="7">
        <v>72</v>
      </c>
      <c r="F367" s="7" t="s">
        <v>1778</v>
      </c>
      <c r="G367" s="7">
        <v>910</v>
      </c>
      <c r="H367" s="7" t="s">
        <v>1705</v>
      </c>
      <c r="I367" s="37">
        <v>275787</v>
      </c>
      <c r="J367" s="122">
        <v>6.7450575251453409E-3</v>
      </c>
      <c r="K367" s="123">
        <f t="shared" si="60"/>
        <v>374811.16357011185</v>
      </c>
      <c r="L367" s="122">
        <f>IF(K369&gt;0, K367/K369, 0)</f>
        <v>9.0102471614376973E-3</v>
      </c>
      <c r="M367" s="71"/>
      <c r="N367" s="10">
        <f>ROUND(M369*L367,0)</f>
        <v>310806</v>
      </c>
      <c r="O367" s="70">
        <v>228894</v>
      </c>
      <c r="P367" s="10">
        <f>N367-O367</f>
        <v>81912</v>
      </c>
      <c r="Q367" s="46">
        <f t="shared" si="59"/>
        <v>35.785997011717214</v>
      </c>
      <c r="R367" s="10">
        <v>18</v>
      </c>
      <c r="S367" s="7">
        <f t="shared" si="52"/>
        <v>0</v>
      </c>
      <c r="T367" s="124">
        <f t="shared" si="53"/>
        <v>72</v>
      </c>
      <c r="U367" s="124">
        <f t="shared" si="54"/>
        <v>910</v>
      </c>
      <c r="V367" s="124">
        <f t="shared" si="55"/>
        <v>358</v>
      </c>
      <c r="W367" s="124">
        <f t="shared" si="56"/>
        <v>23.99999999816</v>
      </c>
      <c r="X367" s="124">
        <f t="shared" si="57"/>
        <v>374811.16357011185</v>
      </c>
      <c r="Y367" s="264">
        <f t="shared" si="58"/>
        <v>358</v>
      </c>
      <c r="Z367" s="10">
        <v>72</v>
      </c>
      <c r="AA367" s="7">
        <v>910</v>
      </c>
      <c r="AB367" s="7">
        <v>358</v>
      </c>
      <c r="AC367" s="109">
        <v>23.99999999816</v>
      </c>
      <c r="AD367" s="109">
        <v>374811.16357011185</v>
      </c>
      <c r="AE367" s="125"/>
      <c r="AF367" s="10"/>
      <c r="AI367" s="109"/>
      <c r="AJ367" s="109"/>
      <c r="AL367" s="10"/>
      <c r="AO367" s="109"/>
      <c r="AP367" s="109"/>
      <c r="AR367" s="10"/>
      <c r="AU367" s="109"/>
      <c r="AV367" s="109"/>
      <c r="AX367" s="10"/>
      <c r="BA367" s="109"/>
      <c r="BB367" s="109"/>
      <c r="BD367" s="10"/>
      <c r="BG367" s="109"/>
      <c r="BH367" s="109"/>
      <c r="BJ367" s="10"/>
      <c r="BM367" s="109"/>
      <c r="BN367" s="109"/>
      <c r="BP367" s="10"/>
      <c r="BS367" s="109"/>
      <c r="BT367" s="109"/>
      <c r="BV367" s="10"/>
      <c r="BY367" s="109"/>
      <c r="BZ367" s="109"/>
      <c r="CB367" s="10"/>
      <c r="CE367" s="109"/>
      <c r="CF367" s="109"/>
      <c r="CH367" s="10"/>
      <c r="CK367" s="109"/>
      <c r="CL367" s="109"/>
    </row>
    <row r="368" spans="1:90">
      <c r="A368" s="7" t="str">
        <f t="shared" si="51"/>
        <v>00720998</v>
      </c>
      <c r="B368" s="7" t="s">
        <v>2411</v>
      </c>
      <c r="C368" s="7" t="s">
        <v>2781</v>
      </c>
      <c r="D368" s="7">
        <v>359</v>
      </c>
      <c r="E368" s="7">
        <v>72</v>
      </c>
      <c r="F368" s="7" t="s">
        <v>2135</v>
      </c>
      <c r="G368" s="7">
        <v>998</v>
      </c>
      <c r="H368" s="7" t="s">
        <v>2135</v>
      </c>
      <c r="I368" s="37">
        <v>0</v>
      </c>
      <c r="J368" s="122">
        <v>0</v>
      </c>
      <c r="K368" s="123">
        <f t="shared" si="60"/>
        <v>0</v>
      </c>
      <c r="L368" s="122">
        <f>IF(K369&gt;0, K368/K369, 0)</f>
        <v>0</v>
      </c>
      <c r="M368" s="71"/>
      <c r="N368" s="10">
        <f>ROUND(M369*L368,0)</f>
        <v>0</v>
      </c>
      <c r="O368" s="70">
        <v>0</v>
      </c>
      <c r="P368" s="10">
        <f>N368-O368</f>
        <v>0</v>
      </c>
      <c r="Q368" s="46">
        <f t="shared" si="59"/>
        <v>0</v>
      </c>
      <c r="R368" s="10">
        <v>0</v>
      </c>
      <c r="S368" s="7">
        <f t="shared" si="52"/>
        <v>0</v>
      </c>
      <c r="T368" s="124">
        <f t="shared" si="53"/>
        <v>72</v>
      </c>
      <c r="U368" s="124">
        <f t="shared" si="54"/>
        <v>998</v>
      </c>
      <c r="V368" s="124">
        <f t="shared" si="55"/>
        <v>359</v>
      </c>
      <c r="W368" s="124">
        <f t="shared" si="56"/>
        <v>0</v>
      </c>
      <c r="X368" s="124">
        <f t="shared" si="57"/>
        <v>0</v>
      </c>
      <c r="Y368" s="264">
        <f t="shared" si="58"/>
        <v>359</v>
      </c>
      <c r="Z368" s="10">
        <v>72</v>
      </c>
      <c r="AA368" s="7">
        <v>998</v>
      </c>
      <c r="AB368" s="7">
        <v>359</v>
      </c>
      <c r="AC368" s="109">
        <v>0</v>
      </c>
      <c r="AD368" s="109">
        <v>0</v>
      </c>
      <c r="AE368" s="125"/>
      <c r="AF368" s="10"/>
      <c r="AI368" s="109"/>
      <c r="AJ368" s="109"/>
      <c r="AL368" s="10"/>
      <c r="AO368" s="109"/>
      <c r="AP368" s="109"/>
      <c r="AR368" s="10"/>
      <c r="AU368" s="109"/>
      <c r="AV368" s="109"/>
      <c r="AX368" s="10"/>
      <c r="BA368" s="109"/>
      <c r="BB368" s="109"/>
      <c r="BD368" s="10"/>
      <c r="BG368" s="109"/>
      <c r="BH368" s="109"/>
      <c r="BJ368" s="10"/>
      <c r="BM368" s="109"/>
      <c r="BN368" s="109"/>
      <c r="BP368" s="10"/>
      <c r="BS368" s="109"/>
      <c r="BT368" s="109"/>
      <c r="BV368" s="10"/>
      <c r="BY368" s="109"/>
      <c r="BZ368" s="109"/>
      <c r="CB368" s="10"/>
      <c r="CE368" s="109"/>
      <c r="CF368" s="109"/>
      <c r="CH368" s="10"/>
      <c r="CK368" s="109"/>
      <c r="CL368" s="109"/>
    </row>
    <row r="369" spans="1:90">
      <c r="A369" s="7" t="str">
        <f t="shared" si="51"/>
        <v>00720999</v>
      </c>
      <c r="B369" s="7" t="s">
        <v>2411</v>
      </c>
      <c r="C369" s="7" t="s">
        <v>2782</v>
      </c>
      <c r="D369" s="7">
        <v>360</v>
      </c>
      <c r="E369" s="11">
        <v>72</v>
      </c>
      <c r="F369" s="11" t="s">
        <v>1778</v>
      </c>
      <c r="G369" s="11">
        <v>999</v>
      </c>
      <c r="H369" s="11" t="s">
        <v>1132</v>
      </c>
      <c r="I369" s="105">
        <v>40887271.75</v>
      </c>
      <c r="J369" s="126">
        <v>0.99999999999999989</v>
      </c>
      <c r="K369" s="127">
        <f>SUM(K365:K368)</f>
        <v>41598322.094230548</v>
      </c>
      <c r="L369" s="126">
        <f>SUM(L365:L368)</f>
        <v>1</v>
      </c>
      <c r="M369" s="105">
        <f>VLOOKUP(E369,town351,22)</f>
        <v>34494736</v>
      </c>
      <c r="N369" s="105">
        <f>SUM(N365:N368)</f>
        <v>34494736</v>
      </c>
      <c r="O369" s="128">
        <v>33935126</v>
      </c>
      <c r="P369" s="105">
        <f>SUM(P365:P368)</f>
        <v>559610</v>
      </c>
      <c r="Q369" s="45">
        <f t="shared" si="59"/>
        <v>1.6490582648786982</v>
      </c>
      <c r="R369" s="105">
        <v>4005</v>
      </c>
      <c r="S369" s="7">
        <f t="shared" si="52"/>
        <v>0</v>
      </c>
      <c r="T369" s="124">
        <f t="shared" si="53"/>
        <v>72</v>
      </c>
      <c r="U369" s="124">
        <f t="shared" si="54"/>
        <v>999</v>
      </c>
      <c r="V369" s="124">
        <f t="shared" si="55"/>
        <v>360</v>
      </c>
      <c r="W369" s="124">
        <f t="shared" si="56"/>
        <v>3976.9999999892402</v>
      </c>
      <c r="X369" s="124">
        <f t="shared" si="57"/>
        <v>41598322.094230548</v>
      </c>
      <c r="Y369" s="264">
        <f t="shared" si="58"/>
        <v>360</v>
      </c>
      <c r="Z369" s="10">
        <v>72</v>
      </c>
      <c r="AA369" s="7">
        <v>999</v>
      </c>
      <c r="AB369" s="7">
        <v>360</v>
      </c>
      <c r="AC369" s="109">
        <v>3976.9999999892402</v>
      </c>
      <c r="AD369" s="109">
        <v>41598322.094230548</v>
      </c>
      <c r="AE369" s="125"/>
      <c r="AF369" s="10"/>
      <c r="AI369" s="109"/>
      <c r="AJ369" s="109"/>
      <c r="AL369" s="10"/>
      <c r="AO369" s="109"/>
      <c r="AP369" s="109"/>
      <c r="AR369" s="10"/>
      <c r="AU369" s="109"/>
      <c r="AV369" s="109"/>
      <c r="AX369" s="10"/>
      <c r="BA369" s="109"/>
      <c r="BB369" s="109"/>
      <c r="BD369" s="10"/>
      <c r="BG369" s="109"/>
      <c r="BH369" s="109"/>
      <c r="BJ369" s="10"/>
      <c r="BM369" s="109"/>
      <c r="BN369" s="109"/>
      <c r="BP369" s="10"/>
      <c r="BS369" s="109"/>
      <c r="BT369" s="109"/>
      <c r="BV369" s="10"/>
      <c r="BY369" s="109"/>
      <c r="BZ369" s="109"/>
      <c r="CB369" s="10"/>
      <c r="CE369" s="109"/>
      <c r="CF369" s="109"/>
      <c r="CH369" s="10"/>
      <c r="CK369" s="109"/>
      <c r="CL369" s="109"/>
    </row>
    <row r="370" spans="1:90">
      <c r="A370" s="7" t="str">
        <f t="shared" si="51"/>
        <v>00730073</v>
      </c>
      <c r="B370" s="7" t="s">
        <v>2412</v>
      </c>
      <c r="C370" s="7" t="s">
        <v>2412</v>
      </c>
      <c r="D370" s="7">
        <v>361</v>
      </c>
      <c r="E370" s="7">
        <v>73</v>
      </c>
      <c r="F370" s="7" t="s">
        <v>1779</v>
      </c>
      <c r="G370" s="7">
        <v>73</v>
      </c>
      <c r="H370" s="7" t="s">
        <v>1339</v>
      </c>
      <c r="I370" s="37">
        <v>26660498.619539998</v>
      </c>
      <c r="J370" s="122">
        <v>0.9369174984728682</v>
      </c>
      <c r="K370" s="123">
        <f>X370</f>
        <v>27026023.747824714</v>
      </c>
      <c r="L370" s="122">
        <f>IF(K374&gt;0, K370/K374, 0)</f>
        <v>0.94039016483634308</v>
      </c>
      <c r="M370" s="71"/>
      <c r="N370" s="10">
        <f>ROUND(M374*L370,0)</f>
        <v>22421830</v>
      </c>
      <c r="O370" s="70">
        <v>22460566</v>
      </c>
      <c r="P370" s="10">
        <f>N370-O370</f>
        <v>-38736</v>
      </c>
      <c r="Q370" s="46">
        <f t="shared" si="59"/>
        <v>-0.17246226119145885</v>
      </c>
      <c r="R370" s="10">
        <v>2651</v>
      </c>
      <c r="S370" s="7">
        <f t="shared" si="52"/>
        <v>0</v>
      </c>
      <c r="T370" s="124">
        <f t="shared" si="53"/>
        <v>73</v>
      </c>
      <c r="U370" s="124">
        <f t="shared" si="54"/>
        <v>73</v>
      </c>
      <c r="V370" s="124">
        <f t="shared" si="55"/>
        <v>361</v>
      </c>
      <c r="W370" s="124">
        <f t="shared" si="56"/>
        <v>2612</v>
      </c>
      <c r="X370" s="124">
        <f t="shared" si="57"/>
        <v>27026023.747824714</v>
      </c>
      <c r="Y370" s="264">
        <f t="shared" si="58"/>
        <v>361</v>
      </c>
      <c r="Z370" s="10">
        <v>73</v>
      </c>
      <c r="AA370" s="7">
        <v>73</v>
      </c>
      <c r="AB370" s="7">
        <v>361</v>
      </c>
      <c r="AC370" s="109">
        <v>2612</v>
      </c>
      <c r="AD370" s="109">
        <v>27026023.747824714</v>
      </c>
      <c r="AE370" s="125"/>
      <c r="AF370" s="10"/>
      <c r="AI370" s="109"/>
      <c r="AJ370" s="109"/>
      <c r="AL370" s="10"/>
      <c r="AO370" s="109"/>
      <c r="AP370" s="109"/>
      <c r="AR370" s="10"/>
      <c r="AU370" s="109"/>
      <c r="AV370" s="109"/>
      <c r="AX370" s="10"/>
      <c r="BA370" s="109"/>
      <c r="BB370" s="109"/>
      <c r="BD370" s="10"/>
      <c r="BG370" s="109"/>
      <c r="BH370" s="109"/>
      <c r="BJ370" s="10"/>
      <c r="BM370" s="109"/>
      <c r="BN370" s="109"/>
      <c r="BP370" s="10"/>
      <c r="BS370" s="109"/>
      <c r="BT370" s="109"/>
      <c r="BV370" s="10"/>
      <c r="BY370" s="109"/>
      <c r="BZ370" s="109"/>
      <c r="CB370" s="10"/>
      <c r="CE370" s="109"/>
      <c r="CF370" s="109"/>
      <c r="CH370" s="10"/>
      <c r="CK370" s="109"/>
      <c r="CL370" s="109"/>
    </row>
    <row r="371" spans="1:90">
      <c r="A371" s="7" t="str">
        <f t="shared" si="51"/>
        <v>00730806</v>
      </c>
      <c r="B371" s="7" t="s">
        <v>2412</v>
      </c>
      <c r="C371" s="7" t="s">
        <v>2754</v>
      </c>
      <c r="D371" s="7">
        <v>362</v>
      </c>
      <c r="E371" s="7">
        <v>73</v>
      </c>
      <c r="F371" s="7" t="s">
        <v>1779</v>
      </c>
      <c r="G371" s="7">
        <v>806</v>
      </c>
      <c r="H371" s="7" t="s">
        <v>1681</v>
      </c>
      <c r="I371" s="37">
        <v>1294790</v>
      </c>
      <c r="J371" s="122">
        <v>4.5502202534148106E-2</v>
      </c>
      <c r="K371" s="123">
        <f t="shared" si="60"/>
        <v>1268384.5833069752</v>
      </c>
      <c r="L371" s="122">
        <f>IF(K374&gt;0, K371/K374, 0)</f>
        <v>4.4134364659097425E-2</v>
      </c>
      <c r="M371" s="71"/>
      <c r="N371" s="10">
        <f>ROUND(M374*L371,0)</f>
        <v>1052301</v>
      </c>
      <c r="O371" s="70">
        <v>1090817</v>
      </c>
      <c r="P371" s="10">
        <f>N371-O371</f>
        <v>-38516</v>
      </c>
      <c r="Q371" s="46">
        <f t="shared" si="59"/>
        <v>-3.5309314027925858</v>
      </c>
      <c r="R371" s="10">
        <v>80</v>
      </c>
      <c r="S371" s="7">
        <f t="shared" si="52"/>
        <v>0</v>
      </c>
      <c r="T371" s="124">
        <f t="shared" si="53"/>
        <v>73</v>
      </c>
      <c r="U371" s="124">
        <f t="shared" si="54"/>
        <v>806</v>
      </c>
      <c r="V371" s="124">
        <f t="shared" si="55"/>
        <v>362</v>
      </c>
      <c r="W371" s="124">
        <f t="shared" si="56"/>
        <v>76.999999996239993</v>
      </c>
      <c r="X371" s="124">
        <f t="shared" si="57"/>
        <v>1268384.5833069752</v>
      </c>
      <c r="Y371" s="264">
        <f t="shared" si="58"/>
        <v>362</v>
      </c>
      <c r="Z371" s="10">
        <v>73</v>
      </c>
      <c r="AA371" s="7">
        <v>806</v>
      </c>
      <c r="AB371" s="7">
        <v>362</v>
      </c>
      <c r="AC371" s="109">
        <v>76.999999996239993</v>
      </c>
      <c r="AD371" s="109">
        <v>1268384.5833069752</v>
      </c>
      <c r="AE371" s="125"/>
      <c r="AF371" s="10"/>
      <c r="AI371" s="109"/>
      <c r="AJ371" s="109"/>
      <c r="AL371" s="10"/>
      <c r="AO371" s="109"/>
      <c r="AP371" s="109"/>
      <c r="AR371" s="10"/>
      <c r="AU371" s="109"/>
      <c r="AV371" s="109"/>
      <c r="AX371" s="10"/>
      <c r="BA371" s="109"/>
      <c r="BB371" s="109"/>
      <c r="BD371" s="10"/>
      <c r="BG371" s="109"/>
      <c r="BH371" s="109"/>
      <c r="BJ371" s="10"/>
      <c r="BM371" s="109"/>
      <c r="BN371" s="109"/>
      <c r="BP371" s="10"/>
      <c r="BS371" s="109"/>
      <c r="BT371" s="109"/>
      <c r="BV371" s="10"/>
      <c r="BY371" s="109"/>
      <c r="BZ371" s="109"/>
      <c r="CB371" s="10"/>
      <c r="CE371" s="109"/>
      <c r="CF371" s="109"/>
      <c r="CH371" s="10"/>
      <c r="CK371" s="109"/>
      <c r="CL371" s="109"/>
    </row>
    <row r="372" spans="1:90">
      <c r="A372" s="7" t="str">
        <f t="shared" si="51"/>
        <v>00730915</v>
      </c>
      <c r="B372" s="7" t="s">
        <v>2412</v>
      </c>
      <c r="C372" s="7" t="s">
        <v>2779</v>
      </c>
      <c r="D372" s="7">
        <v>363</v>
      </c>
      <c r="E372" s="7">
        <v>73</v>
      </c>
      <c r="F372" s="7" t="s">
        <v>1779</v>
      </c>
      <c r="G372" s="7">
        <v>915</v>
      </c>
      <c r="H372" s="7" t="s">
        <v>1706</v>
      </c>
      <c r="I372" s="37">
        <v>500257</v>
      </c>
      <c r="J372" s="122">
        <v>1.7580298992983672E-2</v>
      </c>
      <c r="K372" s="123">
        <f t="shared" si="60"/>
        <v>444752.02847083256</v>
      </c>
      <c r="L372" s="122">
        <f>IF(K374&gt;0, K372/K374, 0)</f>
        <v>1.5475470504559436E-2</v>
      </c>
      <c r="M372" s="71"/>
      <c r="N372" s="10">
        <f>ROUND(M374*L372,0)</f>
        <v>368983</v>
      </c>
      <c r="O372" s="70">
        <v>421450</v>
      </c>
      <c r="P372" s="10">
        <f>N372-O372</f>
        <v>-52467</v>
      </c>
      <c r="Q372" s="46">
        <f t="shared" si="59"/>
        <v>-12.449163601850753</v>
      </c>
      <c r="R372" s="10">
        <v>31</v>
      </c>
      <c r="S372" s="7">
        <f t="shared" si="52"/>
        <v>0</v>
      </c>
      <c r="T372" s="124">
        <f t="shared" si="53"/>
        <v>73</v>
      </c>
      <c r="U372" s="124">
        <f t="shared" si="54"/>
        <v>915</v>
      </c>
      <c r="V372" s="124">
        <f t="shared" si="55"/>
        <v>363</v>
      </c>
      <c r="W372" s="124">
        <f t="shared" si="56"/>
        <v>27.000000000450001</v>
      </c>
      <c r="X372" s="124">
        <f t="shared" si="57"/>
        <v>444752.02847083256</v>
      </c>
      <c r="Y372" s="264">
        <f t="shared" si="58"/>
        <v>363</v>
      </c>
      <c r="Z372" s="10">
        <v>73</v>
      </c>
      <c r="AA372" s="7">
        <v>915</v>
      </c>
      <c r="AB372" s="7">
        <v>363</v>
      </c>
      <c r="AC372" s="109">
        <v>27.000000000450001</v>
      </c>
      <c r="AD372" s="109">
        <v>444752.02847083256</v>
      </c>
      <c r="AE372" s="125"/>
      <c r="AF372" s="10"/>
      <c r="AI372" s="109"/>
      <c r="AJ372" s="109"/>
      <c r="AL372" s="10"/>
      <c r="AO372" s="109"/>
      <c r="AP372" s="109"/>
      <c r="AR372" s="10"/>
      <c r="AU372" s="109"/>
      <c r="AV372" s="109"/>
      <c r="AX372" s="10"/>
      <c r="BA372" s="109"/>
      <c r="BB372" s="109"/>
      <c r="BD372" s="10"/>
      <c r="BG372" s="109"/>
      <c r="BH372" s="109"/>
      <c r="BJ372" s="10"/>
      <c r="BM372" s="109"/>
      <c r="BN372" s="109"/>
      <c r="BP372" s="10"/>
      <c r="BS372" s="109"/>
      <c r="BT372" s="109"/>
      <c r="BV372" s="10"/>
      <c r="BY372" s="109"/>
      <c r="BZ372" s="109"/>
      <c r="CB372" s="10"/>
      <c r="CE372" s="109"/>
      <c r="CF372" s="109"/>
      <c r="CH372" s="10"/>
      <c r="CK372" s="109"/>
      <c r="CL372" s="109"/>
    </row>
    <row r="373" spans="1:90">
      <c r="A373" s="7" t="str">
        <f t="shared" si="51"/>
        <v>00730998</v>
      </c>
      <c r="B373" s="7" t="s">
        <v>2412</v>
      </c>
      <c r="C373" s="7" t="s">
        <v>2781</v>
      </c>
      <c r="D373" s="7">
        <v>364</v>
      </c>
      <c r="E373" s="7">
        <v>73</v>
      </c>
      <c r="F373" s="7" t="s">
        <v>2135</v>
      </c>
      <c r="G373" s="7">
        <v>998</v>
      </c>
      <c r="H373" s="7" t="s">
        <v>2135</v>
      </c>
      <c r="I373" s="37">
        <v>0</v>
      </c>
      <c r="J373" s="122">
        <v>0</v>
      </c>
      <c r="K373" s="123">
        <f t="shared" si="60"/>
        <v>0</v>
      </c>
      <c r="L373" s="122">
        <f>IF(K374&gt;0, K373/K374, 0)</f>
        <v>0</v>
      </c>
      <c r="M373" s="71"/>
      <c r="N373" s="10">
        <f>ROUND(M374*L373,0)</f>
        <v>0</v>
      </c>
      <c r="O373" s="70">
        <v>0</v>
      </c>
      <c r="P373" s="10">
        <f>N373-O373</f>
        <v>0</v>
      </c>
      <c r="Q373" s="46">
        <f t="shared" si="59"/>
        <v>0</v>
      </c>
      <c r="R373" s="10">
        <v>0</v>
      </c>
      <c r="S373" s="7">
        <f t="shared" si="52"/>
        <v>0</v>
      </c>
      <c r="T373" s="124">
        <f t="shared" si="53"/>
        <v>73</v>
      </c>
      <c r="U373" s="124">
        <f t="shared" si="54"/>
        <v>998</v>
      </c>
      <c r="V373" s="124">
        <f t="shared" si="55"/>
        <v>364</v>
      </c>
      <c r="W373" s="124">
        <f t="shared" si="56"/>
        <v>0</v>
      </c>
      <c r="X373" s="124">
        <f t="shared" si="57"/>
        <v>0</v>
      </c>
      <c r="Y373" s="264">
        <f t="shared" si="58"/>
        <v>364</v>
      </c>
      <c r="Z373" s="10">
        <v>73</v>
      </c>
      <c r="AA373" s="7">
        <v>998</v>
      </c>
      <c r="AB373" s="7">
        <v>364</v>
      </c>
      <c r="AC373" s="109">
        <v>0</v>
      </c>
      <c r="AD373" s="109">
        <v>0</v>
      </c>
      <c r="AE373" s="125"/>
      <c r="AF373" s="10"/>
      <c r="AI373" s="109"/>
      <c r="AJ373" s="109"/>
      <c r="AL373" s="10"/>
      <c r="AO373" s="109"/>
      <c r="AP373" s="109"/>
      <c r="AR373" s="10"/>
      <c r="AU373" s="109"/>
      <c r="AV373" s="109"/>
      <c r="AX373" s="10"/>
      <c r="BA373" s="109"/>
      <c r="BB373" s="109"/>
      <c r="BD373" s="10"/>
      <c r="BG373" s="109"/>
      <c r="BH373" s="109"/>
      <c r="BJ373" s="10"/>
      <c r="BM373" s="109"/>
      <c r="BN373" s="109"/>
      <c r="BP373" s="10"/>
      <c r="BS373" s="109"/>
      <c r="BT373" s="109"/>
      <c r="BV373" s="10"/>
      <c r="BY373" s="109"/>
      <c r="BZ373" s="109"/>
      <c r="CB373" s="10"/>
      <c r="CE373" s="109"/>
      <c r="CF373" s="109"/>
      <c r="CH373" s="10"/>
      <c r="CK373" s="109"/>
      <c r="CL373" s="109"/>
    </row>
    <row r="374" spans="1:90">
      <c r="A374" s="7" t="str">
        <f t="shared" si="51"/>
        <v>00730999</v>
      </c>
      <c r="B374" s="7" t="s">
        <v>2412</v>
      </c>
      <c r="C374" s="7" t="s">
        <v>2782</v>
      </c>
      <c r="D374" s="7">
        <v>365</v>
      </c>
      <c r="E374" s="11">
        <v>73</v>
      </c>
      <c r="F374" s="11" t="s">
        <v>1779</v>
      </c>
      <c r="G374" s="11">
        <v>999</v>
      </c>
      <c r="H374" s="11" t="s">
        <v>1132</v>
      </c>
      <c r="I374" s="105">
        <v>28455545.619539998</v>
      </c>
      <c r="J374" s="126">
        <v>1</v>
      </c>
      <c r="K374" s="127">
        <f>SUM(K370:K373)</f>
        <v>28739160.359602522</v>
      </c>
      <c r="L374" s="126">
        <f>SUM(L370:L373)</f>
        <v>1</v>
      </c>
      <c r="M374" s="105">
        <f>VLOOKUP(E374,town351,22)</f>
        <v>23843114</v>
      </c>
      <c r="N374" s="105">
        <f>SUM(N370:N373)</f>
        <v>23843114</v>
      </c>
      <c r="O374" s="128">
        <v>23972833</v>
      </c>
      <c r="P374" s="105">
        <f>SUM(P370:P373)</f>
        <v>-129719</v>
      </c>
      <c r="Q374" s="45">
        <f t="shared" si="59"/>
        <v>-0.54110834543418374</v>
      </c>
      <c r="R374" s="105">
        <v>2762</v>
      </c>
      <c r="S374" s="7">
        <f t="shared" si="52"/>
        <v>0</v>
      </c>
      <c r="T374" s="124">
        <f t="shared" si="53"/>
        <v>73</v>
      </c>
      <c r="U374" s="124">
        <f t="shared" si="54"/>
        <v>999</v>
      </c>
      <c r="V374" s="124">
        <f t="shared" si="55"/>
        <v>365</v>
      </c>
      <c r="W374" s="124">
        <f t="shared" si="56"/>
        <v>2715.9999999966903</v>
      </c>
      <c r="X374" s="124">
        <f t="shared" si="57"/>
        <v>28739160.359602522</v>
      </c>
      <c r="Y374" s="264">
        <f t="shared" si="58"/>
        <v>365</v>
      </c>
      <c r="Z374" s="10">
        <v>73</v>
      </c>
      <c r="AA374" s="7">
        <v>999</v>
      </c>
      <c r="AB374" s="7">
        <v>365</v>
      </c>
      <c r="AC374" s="109">
        <v>2715.9999999966903</v>
      </c>
      <c r="AD374" s="109">
        <v>28739160.359602522</v>
      </c>
      <c r="AE374" s="125"/>
      <c r="AF374" s="10"/>
      <c r="AI374" s="109"/>
      <c r="AJ374" s="109"/>
      <c r="AL374" s="10"/>
      <c r="AO374" s="109"/>
      <c r="AP374" s="109"/>
      <c r="AR374" s="10"/>
      <c r="AU374" s="109"/>
      <c r="AV374" s="109"/>
      <c r="AX374" s="10"/>
      <c r="BA374" s="109"/>
      <c r="BB374" s="109"/>
      <c r="BD374" s="10"/>
      <c r="BG374" s="109"/>
      <c r="BH374" s="109"/>
      <c r="BJ374" s="10"/>
      <c r="BM374" s="109"/>
      <c r="BN374" s="109"/>
      <c r="BP374" s="10"/>
      <c r="BS374" s="109"/>
      <c r="BT374" s="109"/>
      <c r="BV374" s="10"/>
      <c r="BY374" s="109"/>
      <c r="BZ374" s="109"/>
      <c r="CB374" s="10"/>
      <c r="CE374" s="109"/>
      <c r="CF374" s="109"/>
      <c r="CH374" s="10"/>
      <c r="CK374" s="109"/>
      <c r="CL374" s="109"/>
    </row>
    <row r="375" spans="1:90">
      <c r="A375" s="7" t="str">
        <f t="shared" si="51"/>
        <v>00740074</v>
      </c>
      <c r="B375" s="7" t="s">
        <v>2413</v>
      </c>
      <c r="C375" s="7" t="s">
        <v>2413</v>
      </c>
      <c r="D375" s="7">
        <v>366</v>
      </c>
      <c r="E375" s="7">
        <v>74</v>
      </c>
      <c r="F375" s="7" t="s">
        <v>1780</v>
      </c>
      <c r="G375" s="7">
        <v>74</v>
      </c>
      <c r="H375" s="7" t="s">
        <v>1340</v>
      </c>
      <c r="I375" s="37">
        <v>2985824.2499999995</v>
      </c>
      <c r="J375" s="122">
        <v>0.49721712294421144</v>
      </c>
      <c r="K375" s="123">
        <f>X375</f>
        <v>3148595.0953759653</v>
      </c>
      <c r="L375" s="122">
        <f>IF(K379&gt;0, K375/K379, 0)</f>
        <v>0.51770472667635015</v>
      </c>
      <c r="M375" s="71"/>
      <c r="N375" s="10">
        <f>ROUND(M379*L375,0)</f>
        <v>2614687</v>
      </c>
      <c r="O375" s="70">
        <v>2500490</v>
      </c>
      <c r="P375" s="10">
        <f>N375-O375</f>
        <v>114197</v>
      </c>
      <c r="Q375" s="46">
        <f t="shared" si="59"/>
        <v>4.5669848709652907</v>
      </c>
      <c r="R375" s="10">
        <v>321</v>
      </c>
      <c r="S375" s="7">
        <f t="shared" si="52"/>
        <v>0</v>
      </c>
      <c r="T375" s="124">
        <f t="shared" si="53"/>
        <v>74</v>
      </c>
      <c r="U375" s="124">
        <f t="shared" si="54"/>
        <v>74</v>
      </c>
      <c r="V375" s="124">
        <f t="shared" si="55"/>
        <v>366</v>
      </c>
      <c r="W375" s="124">
        <f t="shared" si="56"/>
        <v>329</v>
      </c>
      <c r="X375" s="124">
        <f t="shared" si="57"/>
        <v>3148595.0953759653</v>
      </c>
      <c r="Y375" s="264">
        <f t="shared" si="58"/>
        <v>366</v>
      </c>
      <c r="Z375" s="10">
        <v>74</v>
      </c>
      <c r="AA375" s="7">
        <v>74</v>
      </c>
      <c r="AB375" s="7">
        <v>366</v>
      </c>
      <c r="AC375" s="109">
        <v>329</v>
      </c>
      <c r="AD375" s="109">
        <v>3148595.0953759653</v>
      </c>
      <c r="AE375" s="125"/>
      <c r="AF375" s="10"/>
      <c r="AI375" s="109"/>
      <c r="AJ375" s="109"/>
      <c r="AL375" s="10"/>
      <c r="AO375" s="109"/>
      <c r="AP375" s="109"/>
      <c r="AR375" s="10"/>
      <c r="AU375" s="109"/>
      <c r="AV375" s="109"/>
      <c r="AX375" s="10"/>
      <c r="BA375" s="109"/>
      <c r="BB375" s="109"/>
      <c r="BD375" s="10"/>
      <c r="BG375" s="109"/>
      <c r="BH375" s="109"/>
      <c r="BJ375" s="10"/>
      <c r="BM375" s="109"/>
      <c r="BN375" s="109"/>
      <c r="BP375" s="10"/>
      <c r="BS375" s="109"/>
      <c r="BT375" s="109"/>
      <c r="BV375" s="10"/>
      <c r="BY375" s="109"/>
      <c r="BZ375" s="109"/>
      <c r="CB375" s="10"/>
      <c r="CE375" s="109"/>
      <c r="CF375" s="109"/>
      <c r="CH375" s="10"/>
      <c r="CK375" s="109"/>
      <c r="CL375" s="109"/>
    </row>
    <row r="376" spans="1:90">
      <c r="A376" s="7" t="str">
        <f t="shared" si="51"/>
        <v>00740670</v>
      </c>
      <c r="B376" s="7" t="s">
        <v>2413</v>
      </c>
      <c r="C376" s="7" t="s">
        <v>2714</v>
      </c>
      <c r="D376" s="7">
        <v>367</v>
      </c>
      <c r="E376" s="7">
        <v>74</v>
      </c>
      <c r="F376" s="7" t="s">
        <v>1780</v>
      </c>
      <c r="G376" s="7">
        <v>670</v>
      </c>
      <c r="H376" s="7" t="s">
        <v>1641</v>
      </c>
      <c r="I376" s="37">
        <v>2792160</v>
      </c>
      <c r="J376" s="122">
        <v>0.4649670060117938</v>
      </c>
      <c r="K376" s="123">
        <f t="shared" si="60"/>
        <v>2668089.7577499342</v>
      </c>
      <c r="L376" s="122">
        <f>IF(K379&gt;0, K376/K379, 0)</f>
        <v>0.43869809770473639</v>
      </c>
      <c r="M376" s="71"/>
      <c r="N376" s="10">
        <f>ROUND(M379*L376,0)</f>
        <v>2215661</v>
      </c>
      <c r="O376" s="70">
        <v>2338306</v>
      </c>
      <c r="P376" s="10">
        <f>N376-O376</f>
        <v>-122645</v>
      </c>
      <c r="Q376" s="46">
        <f t="shared" si="59"/>
        <v>-5.2450363639318383</v>
      </c>
      <c r="R376" s="10">
        <v>277</v>
      </c>
      <c r="S376" s="7">
        <f t="shared" si="52"/>
        <v>0</v>
      </c>
      <c r="T376" s="124">
        <f t="shared" si="53"/>
        <v>74</v>
      </c>
      <c r="U376" s="124">
        <f t="shared" si="54"/>
        <v>670</v>
      </c>
      <c r="V376" s="124">
        <f t="shared" si="55"/>
        <v>367</v>
      </c>
      <c r="W376" s="124">
        <f t="shared" si="56"/>
        <v>256.46545454295</v>
      </c>
      <c r="X376" s="124">
        <f t="shared" si="57"/>
        <v>2668089.7577499342</v>
      </c>
      <c r="Y376" s="264">
        <f t="shared" si="58"/>
        <v>367</v>
      </c>
      <c r="Z376" s="10">
        <v>74</v>
      </c>
      <c r="AA376" s="7">
        <v>670</v>
      </c>
      <c r="AB376" s="7">
        <v>367</v>
      </c>
      <c r="AC376" s="109">
        <v>256.46545454295</v>
      </c>
      <c r="AD376" s="109">
        <v>2668089.7577499342</v>
      </c>
      <c r="AE376" s="125"/>
      <c r="AF376" s="10"/>
      <c r="AI376" s="109"/>
      <c r="AJ376" s="109"/>
      <c r="AL376" s="10"/>
      <c r="AO376" s="109"/>
      <c r="AP376" s="109"/>
      <c r="AR376" s="10"/>
      <c r="AU376" s="109"/>
      <c r="AV376" s="109"/>
      <c r="AX376" s="10"/>
      <c r="BA376" s="109"/>
      <c r="BB376" s="109"/>
      <c r="BD376" s="10"/>
      <c r="BG376" s="109"/>
      <c r="BH376" s="109"/>
      <c r="BJ376" s="10"/>
      <c r="BM376" s="109"/>
      <c r="BN376" s="109"/>
      <c r="BP376" s="10"/>
      <c r="BS376" s="109"/>
      <c r="BT376" s="109"/>
      <c r="BV376" s="10"/>
      <c r="BY376" s="109"/>
      <c r="BZ376" s="109"/>
      <c r="CB376" s="10"/>
      <c r="CE376" s="109"/>
      <c r="CF376" s="109"/>
      <c r="CH376" s="10"/>
      <c r="CK376" s="109"/>
      <c r="CL376" s="109"/>
    </row>
    <row r="377" spans="1:90">
      <c r="A377" s="7" t="str">
        <f t="shared" si="51"/>
        <v>00740818</v>
      </c>
      <c r="B377" s="7" t="s">
        <v>2413</v>
      </c>
      <c r="C377" s="7" t="s">
        <v>2758</v>
      </c>
      <c r="D377" s="7">
        <v>368</v>
      </c>
      <c r="E377" s="7">
        <v>74</v>
      </c>
      <c r="F377" s="7" t="s">
        <v>1780</v>
      </c>
      <c r="G377" s="7">
        <v>818</v>
      </c>
      <c r="H377" s="7" t="s">
        <v>1685</v>
      </c>
      <c r="I377" s="37">
        <v>227087</v>
      </c>
      <c r="J377" s="122">
        <v>3.7815871043994691E-2</v>
      </c>
      <c r="K377" s="123">
        <f t="shared" si="60"/>
        <v>265150.8596555104</v>
      </c>
      <c r="L377" s="122">
        <f>IF(K379&gt;0, K377/K379, 0)</f>
        <v>4.3597175618913381E-2</v>
      </c>
      <c r="M377" s="71"/>
      <c r="N377" s="10">
        <f>ROUND(M379*L377,0)</f>
        <v>220189</v>
      </c>
      <c r="O377" s="70">
        <v>190175</v>
      </c>
      <c r="P377" s="10">
        <f>N377-O377</f>
        <v>30014</v>
      </c>
      <c r="Q377" s="46">
        <f t="shared" si="59"/>
        <v>15.782305771000395</v>
      </c>
      <c r="R377" s="10">
        <v>14</v>
      </c>
      <c r="S377" s="7">
        <f t="shared" si="52"/>
        <v>0</v>
      </c>
      <c r="T377" s="124">
        <f t="shared" si="53"/>
        <v>74</v>
      </c>
      <c r="U377" s="124">
        <f t="shared" si="54"/>
        <v>818</v>
      </c>
      <c r="V377" s="124">
        <f t="shared" si="55"/>
        <v>368</v>
      </c>
      <c r="W377" s="124">
        <f t="shared" si="56"/>
        <v>15.999999999470001</v>
      </c>
      <c r="X377" s="124">
        <f t="shared" si="57"/>
        <v>265150.8596555104</v>
      </c>
      <c r="Y377" s="264">
        <f t="shared" si="58"/>
        <v>368</v>
      </c>
      <c r="Z377" s="10">
        <v>74</v>
      </c>
      <c r="AA377" s="7">
        <v>818</v>
      </c>
      <c r="AB377" s="7">
        <v>368</v>
      </c>
      <c r="AC377" s="109">
        <v>15.999999999470001</v>
      </c>
      <c r="AD377" s="109">
        <v>265150.8596555104</v>
      </c>
      <c r="AE377" s="125"/>
      <c r="AF377" s="10"/>
      <c r="AI377" s="109"/>
      <c r="AJ377" s="109"/>
      <c r="AL377" s="10"/>
      <c r="AO377" s="109"/>
      <c r="AP377" s="109"/>
      <c r="AR377" s="10"/>
      <c r="AU377" s="109"/>
      <c r="AV377" s="109"/>
      <c r="AX377" s="10"/>
      <c r="BA377" s="109"/>
      <c r="BB377" s="109"/>
      <c r="BD377" s="10"/>
      <c r="BG377" s="109"/>
      <c r="BH377" s="109"/>
      <c r="BJ377" s="10"/>
      <c r="BM377" s="109"/>
      <c r="BN377" s="109"/>
      <c r="BP377" s="10"/>
      <c r="BS377" s="109"/>
      <c r="BT377" s="109"/>
      <c r="BV377" s="10"/>
      <c r="BY377" s="109"/>
      <c r="BZ377" s="109"/>
      <c r="CB377" s="10"/>
      <c r="CE377" s="109"/>
      <c r="CF377" s="109"/>
      <c r="CH377" s="10"/>
      <c r="CK377" s="109"/>
      <c r="CL377" s="109"/>
    </row>
    <row r="378" spans="1:90">
      <c r="A378" s="7" t="str">
        <f t="shared" si="51"/>
        <v>00740998</v>
      </c>
      <c r="B378" s="7" t="s">
        <v>2413</v>
      </c>
      <c r="C378" s="7" t="s">
        <v>2781</v>
      </c>
      <c r="D378" s="7">
        <v>369</v>
      </c>
      <c r="E378" s="7">
        <v>74</v>
      </c>
      <c r="F378" s="7" t="s">
        <v>2135</v>
      </c>
      <c r="G378" s="7">
        <v>998</v>
      </c>
      <c r="H378" s="7" t="s">
        <v>2135</v>
      </c>
      <c r="I378" s="37">
        <v>0</v>
      </c>
      <c r="J378" s="122">
        <v>0</v>
      </c>
      <c r="K378" s="123">
        <f t="shared" si="60"/>
        <v>0</v>
      </c>
      <c r="L378" s="122">
        <f>IF(K379&gt;0, K378/K379, 0)</f>
        <v>0</v>
      </c>
      <c r="M378" s="71"/>
      <c r="N378" s="10">
        <f>ROUND(M379*L378,0)</f>
        <v>0</v>
      </c>
      <c r="O378" s="70">
        <v>0</v>
      </c>
      <c r="P378" s="10">
        <f>N378-O378</f>
        <v>0</v>
      </c>
      <c r="Q378" s="46">
        <f t="shared" si="59"/>
        <v>0</v>
      </c>
      <c r="R378" s="10">
        <v>0</v>
      </c>
      <c r="S378" s="7">
        <f t="shared" si="52"/>
        <v>0</v>
      </c>
      <c r="T378" s="124">
        <f t="shared" si="53"/>
        <v>74</v>
      </c>
      <c r="U378" s="124">
        <f t="shared" si="54"/>
        <v>998</v>
      </c>
      <c r="V378" s="124">
        <f t="shared" si="55"/>
        <v>369</v>
      </c>
      <c r="W378" s="124">
        <f t="shared" si="56"/>
        <v>0</v>
      </c>
      <c r="X378" s="124">
        <f t="shared" si="57"/>
        <v>0</v>
      </c>
      <c r="Y378" s="264">
        <f t="shared" si="58"/>
        <v>369</v>
      </c>
      <c r="Z378" s="10">
        <v>74</v>
      </c>
      <c r="AA378" s="7">
        <v>998</v>
      </c>
      <c r="AB378" s="7">
        <v>369</v>
      </c>
      <c r="AC378" s="109">
        <v>0</v>
      </c>
      <c r="AD378" s="109">
        <v>0</v>
      </c>
      <c r="AE378" s="125"/>
      <c r="AF378" s="10"/>
      <c r="AI378" s="109"/>
      <c r="AJ378" s="109"/>
      <c r="AL378" s="10"/>
      <c r="AO378" s="109"/>
      <c r="AP378" s="109"/>
      <c r="AR378" s="10"/>
      <c r="AU378" s="109"/>
      <c r="AV378" s="109"/>
      <c r="AX378" s="10"/>
      <c r="BA378" s="109"/>
      <c r="BB378" s="109"/>
      <c r="BD378" s="10"/>
      <c r="BG378" s="109"/>
      <c r="BH378" s="109"/>
      <c r="BJ378" s="10"/>
      <c r="BM378" s="109"/>
      <c r="BN378" s="109"/>
      <c r="BP378" s="10"/>
      <c r="BS378" s="109"/>
      <c r="BT378" s="109"/>
      <c r="BV378" s="10"/>
      <c r="BY378" s="109"/>
      <c r="BZ378" s="109"/>
      <c r="CB378" s="10"/>
      <c r="CE378" s="109"/>
      <c r="CF378" s="109"/>
      <c r="CH378" s="10"/>
      <c r="CK378" s="109"/>
      <c r="CL378" s="109"/>
    </row>
    <row r="379" spans="1:90">
      <c r="A379" s="7" t="str">
        <f t="shared" si="51"/>
        <v>00740999</v>
      </c>
      <c r="B379" s="7" t="s">
        <v>2413</v>
      </c>
      <c r="C379" s="7" t="s">
        <v>2782</v>
      </c>
      <c r="D379" s="7">
        <v>370</v>
      </c>
      <c r="E379" s="11">
        <v>74</v>
      </c>
      <c r="F379" s="11" t="s">
        <v>1780</v>
      </c>
      <c r="G379" s="11">
        <v>999</v>
      </c>
      <c r="H379" s="11" t="s">
        <v>1132</v>
      </c>
      <c r="I379" s="105">
        <v>6005071.25</v>
      </c>
      <c r="J379" s="126">
        <v>0.99999999999999989</v>
      </c>
      <c r="K379" s="127">
        <f>SUM(K375:K378)</f>
        <v>6081835.7127814107</v>
      </c>
      <c r="L379" s="126">
        <f>SUM(L375:L378)</f>
        <v>0.99999999999999989</v>
      </c>
      <c r="M379" s="105">
        <f>VLOOKUP(E379,town351,22)</f>
        <v>5050538</v>
      </c>
      <c r="N379" s="105">
        <f>SUM(N375:N378)</f>
        <v>5050537</v>
      </c>
      <c r="O379" s="128">
        <v>5028971</v>
      </c>
      <c r="P379" s="105">
        <f>SUM(P375:P378)</f>
        <v>21566</v>
      </c>
      <c r="Q379" s="45">
        <f t="shared" si="59"/>
        <v>0.42883524283595986</v>
      </c>
      <c r="R379" s="105">
        <v>612</v>
      </c>
      <c r="S379" s="7">
        <f t="shared" si="52"/>
        <v>0</v>
      </c>
      <c r="T379" s="124">
        <f t="shared" si="53"/>
        <v>74</v>
      </c>
      <c r="U379" s="124">
        <f t="shared" si="54"/>
        <v>999</v>
      </c>
      <c r="V379" s="124">
        <f t="shared" si="55"/>
        <v>370</v>
      </c>
      <c r="W379" s="124">
        <f t="shared" si="56"/>
        <v>601.46545454242005</v>
      </c>
      <c r="X379" s="124">
        <f t="shared" si="57"/>
        <v>6081835.7127814107</v>
      </c>
      <c r="Y379" s="264">
        <f t="shared" si="58"/>
        <v>370</v>
      </c>
      <c r="Z379" s="10">
        <v>74</v>
      </c>
      <c r="AA379" s="7">
        <v>999</v>
      </c>
      <c r="AB379" s="7">
        <v>370</v>
      </c>
      <c r="AC379" s="109">
        <v>601.46545454242005</v>
      </c>
      <c r="AD379" s="109">
        <v>6081835.7127814107</v>
      </c>
      <c r="AE379" s="125"/>
      <c r="AF379" s="10"/>
      <c r="AI379" s="109"/>
      <c r="AJ379" s="109"/>
      <c r="AL379" s="10"/>
      <c r="AO379" s="109"/>
      <c r="AP379" s="109"/>
      <c r="AR379" s="10"/>
      <c r="AU379" s="109"/>
      <c r="AV379" s="109"/>
      <c r="AX379" s="10"/>
      <c r="BA379" s="109"/>
      <c r="BB379" s="109"/>
      <c r="BD379" s="10"/>
      <c r="BG379" s="109"/>
      <c r="BH379" s="109"/>
      <c r="BJ379" s="10"/>
      <c r="BM379" s="109"/>
      <c r="BN379" s="109"/>
      <c r="BP379" s="10"/>
      <c r="BS379" s="109"/>
      <c r="BT379" s="109"/>
      <c r="BV379" s="10"/>
      <c r="BY379" s="109"/>
      <c r="BZ379" s="109"/>
      <c r="CB379" s="10"/>
      <c r="CE379" s="109"/>
      <c r="CF379" s="109"/>
      <c r="CH379" s="10"/>
      <c r="CK379" s="109"/>
      <c r="CL379" s="109"/>
    </row>
    <row r="380" spans="1:90">
      <c r="A380" s="7" t="str">
        <f t="shared" si="51"/>
        <v>00750075</v>
      </c>
      <c r="B380" s="7" t="s">
        <v>2414</v>
      </c>
      <c r="C380" s="7" t="s">
        <v>2414</v>
      </c>
      <c r="D380" s="7">
        <v>371</v>
      </c>
      <c r="E380" s="7">
        <v>75</v>
      </c>
      <c r="F380" s="7" t="s">
        <v>1781</v>
      </c>
      <c r="G380" s="7">
        <v>75</v>
      </c>
      <c r="H380" s="7" t="s">
        <v>1341</v>
      </c>
      <c r="I380" s="37">
        <v>0</v>
      </c>
      <c r="J380" s="122">
        <v>0</v>
      </c>
      <c r="K380" s="123">
        <f>X380</f>
        <v>0</v>
      </c>
      <c r="L380" s="122">
        <f>IF(K384&gt;0, K380/K384, 0)</f>
        <v>0</v>
      </c>
      <c r="M380" s="71"/>
      <c r="N380" s="10">
        <f>ROUND(M384*L380,0)</f>
        <v>0</v>
      </c>
      <c r="O380" s="70">
        <v>0</v>
      </c>
      <c r="P380" s="10">
        <f>N380-O380</f>
        <v>0</v>
      </c>
      <c r="Q380" s="46">
        <f t="shared" si="59"/>
        <v>0</v>
      </c>
      <c r="R380" s="10">
        <v>0</v>
      </c>
      <c r="S380" s="7">
        <f t="shared" si="52"/>
        <v>0</v>
      </c>
      <c r="T380" s="124">
        <f t="shared" si="53"/>
        <v>75</v>
      </c>
      <c r="U380" s="124">
        <f t="shared" si="54"/>
        <v>75</v>
      </c>
      <c r="V380" s="124">
        <f t="shared" si="55"/>
        <v>371</v>
      </c>
      <c r="W380" s="124">
        <f t="shared" si="56"/>
        <v>0</v>
      </c>
      <c r="X380" s="124">
        <f t="shared" si="57"/>
        <v>0</v>
      </c>
      <c r="Y380" s="264">
        <f t="shared" si="58"/>
        <v>371</v>
      </c>
      <c r="Z380" s="10">
        <v>75</v>
      </c>
      <c r="AA380" s="7">
        <v>75</v>
      </c>
      <c r="AB380" s="7">
        <v>371</v>
      </c>
      <c r="AC380" s="109">
        <v>0</v>
      </c>
      <c r="AD380" s="109">
        <v>0</v>
      </c>
      <c r="AE380" s="125"/>
      <c r="AF380" s="10"/>
      <c r="AI380" s="109"/>
      <c r="AJ380" s="109"/>
      <c r="AL380" s="10"/>
      <c r="AO380" s="109"/>
      <c r="AP380" s="109"/>
      <c r="AR380" s="10"/>
      <c r="AU380" s="109"/>
      <c r="AV380" s="109"/>
      <c r="AX380" s="10"/>
      <c r="BA380" s="109"/>
      <c r="BB380" s="109"/>
      <c r="BD380" s="10"/>
      <c r="BG380" s="109"/>
      <c r="BH380" s="109"/>
      <c r="BJ380" s="10"/>
      <c r="BM380" s="109"/>
      <c r="BN380" s="109"/>
      <c r="BP380" s="10"/>
      <c r="BS380" s="109"/>
      <c r="BT380" s="109"/>
      <c r="BV380" s="10"/>
      <c r="BY380" s="109"/>
      <c r="BZ380" s="109"/>
      <c r="CB380" s="10"/>
      <c r="CE380" s="109"/>
      <c r="CF380" s="109"/>
      <c r="CH380" s="10"/>
      <c r="CK380" s="109"/>
      <c r="CL380" s="109"/>
    </row>
    <row r="381" spans="1:90">
      <c r="A381" s="7" t="str">
        <f t="shared" si="51"/>
        <v>00750645</v>
      </c>
      <c r="B381" s="7" t="s">
        <v>2414</v>
      </c>
      <c r="C381" s="7" t="s">
        <v>2707</v>
      </c>
      <c r="D381" s="7">
        <v>372</v>
      </c>
      <c r="E381" s="7">
        <v>75</v>
      </c>
      <c r="F381" s="7" t="s">
        <v>1781</v>
      </c>
      <c r="G381" s="7">
        <v>645</v>
      </c>
      <c r="H381" s="7" t="s">
        <v>1634</v>
      </c>
      <c r="I381" s="37">
        <v>12839809</v>
      </c>
      <c r="J381" s="122">
        <v>0.91365517102007776</v>
      </c>
      <c r="K381" s="123">
        <f t="shared" si="60"/>
        <v>12471792.568949893</v>
      </c>
      <c r="L381" s="122">
        <f>IF(K384&gt;0, K381/K384, 0)</f>
        <v>0.91903534645719298</v>
      </c>
      <c r="M381" s="71"/>
      <c r="N381" s="10">
        <f>ROUND(M384*L381,0)</f>
        <v>10430077</v>
      </c>
      <c r="O381" s="70">
        <v>10699204</v>
      </c>
      <c r="P381" s="10">
        <f>N381-O381</f>
        <v>-269127</v>
      </c>
      <c r="Q381" s="46">
        <f t="shared" si="59"/>
        <v>-2.515392733889362</v>
      </c>
      <c r="R381" s="10">
        <v>1212</v>
      </c>
      <c r="S381" s="7">
        <f t="shared" si="52"/>
        <v>0</v>
      </c>
      <c r="T381" s="124">
        <f t="shared" si="53"/>
        <v>75</v>
      </c>
      <c r="U381" s="124">
        <f t="shared" si="54"/>
        <v>645</v>
      </c>
      <c r="V381" s="124">
        <f t="shared" si="55"/>
        <v>372</v>
      </c>
      <c r="W381" s="124">
        <f t="shared" si="56"/>
        <v>1149.5507755455499</v>
      </c>
      <c r="X381" s="124">
        <f t="shared" si="57"/>
        <v>12471792.568949893</v>
      </c>
      <c r="Y381" s="264">
        <f t="shared" si="58"/>
        <v>372</v>
      </c>
      <c r="Z381" s="10">
        <v>75</v>
      </c>
      <c r="AA381" s="7">
        <v>645</v>
      </c>
      <c r="AB381" s="7">
        <v>372</v>
      </c>
      <c r="AC381" s="109">
        <v>1149.5507755455499</v>
      </c>
      <c r="AD381" s="109">
        <v>12471792.568949893</v>
      </c>
      <c r="AE381" s="125"/>
      <c r="AF381" s="10"/>
      <c r="AI381" s="109"/>
      <c r="AJ381" s="109"/>
      <c r="AL381" s="10"/>
      <c r="AO381" s="109"/>
      <c r="AP381" s="109"/>
      <c r="AR381" s="10"/>
      <c r="AU381" s="109"/>
      <c r="AV381" s="109"/>
      <c r="AX381" s="10"/>
      <c r="BA381" s="109"/>
      <c r="BB381" s="109"/>
      <c r="BD381" s="10"/>
      <c r="BG381" s="109"/>
      <c r="BH381" s="109"/>
      <c r="BJ381" s="10"/>
      <c r="BM381" s="109"/>
      <c r="BN381" s="109"/>
      <c r="BP381" s="10"/>
      <c r="BS381" s="109"/>
      <c r="BT381" s="109"/>
      <c r="BV381" s="10"/>
      <c r="BY381" s="109"/>
      <c r="BZ381" s="109"/>
      <c r="CB381" s="10"/>
      <c r="CE381" s="109"/>
      <c r="CF381" s="109"/>
      <c r="CH381" s="10"/>
      <c r="CK381" s="109"/>
      <c r="CL381" s="109"/>
    </row>
    <row r="382" spans="1:90">
      <c r="A382" s="7" t="str">
        <f t="shared" si="51"/>
        <v>00750815</v>
      </c>
      <c r="B382" s="7" t="s">
        <v>2414</v>
      </c>
      <c r="C382" s="7" t="s">
        <v>2756</v>
      </c>
      <c r="D382" s="7">
        <v>373</v>
      </c>
      <c r="E382" s="7">
        <v>75</v>
      </c>
      <c r="F382" s="7" t="s">
        <v>1781</v>
      </c>
      <c r="G382" s="7">
        <v>815</v>
      </c>
      <c r="H382" s="7" t="s">
        <v>1683</v>
      </c>
      <c r="I382" s="37">
        <v>1213424</v>
      </c>
      <c r="J382" s="122">
        <v>8.6344828979922267E-2</v>
      </c>
      <c r="K382" s="123">
        <f t="shared" si="60"/>
        <v>1098732.8923695716</v>
      </c>
      <c r="L382" s="122">
        <f>IF(K384&gt;0, K382/K384, 0)</f>
        <v>8.0964653542806991E-2</v>
      </c>
      <c r="M382" s="71"/>
      <c r="N382" s="10">
        <f>ROUND(M384*L382,0)</f>
        <v>918863</v>
      </c>
      <c r="O382" s="70">
        <v>1011127</v>
      </c>
      <c r="P382" s="10">
        <f>N382-O382</f>
        <v>-92264</v>
      </c>
      <c r="Q382" s="46">
        <f t="shared" si="59"/>
        <v>-9.1248675982344452</v>
      </c>
      <c r="R382" s="10">
        <v>76</v>
      </c>
      <c r="S382" s="7">
        <f t="shared" si="52"/>
        <v>0</v>
      </c>
      <c r="T382" s="124">
        <f t="shared" si="53"/>
        <v>75</v>
      </c>
      <c r="U382" s="124">
        <f t="shared" si="54"/>
        <v>815</v>
      </c>
      <c r="V382" s="124">
        <f t="shared" si="55"/>
        <v>373</v>
      </c>
      <c r="W382" s="124">
        <f t="shared" si="56"/>
        <v>66.999999998749999</v>
      </c>
      <c r="X382" s="124">
        <f t="shared" si="57"/>
        <v>1098732.8923695716</v>
      </c>
      <c r="Y382" s="264">
        <f t="shared" si="58"/>
        <v>373</v>
      </c>
      <c r="Z382" s="10">
        <v>75</v>
      </c>
      <c r="AA382" s="7">
        <v>815</v>
      </c>
      <c r="AB382" s="7">
        <v>373</v>
      </c>
      <c r="AC382" s="109">
        <v>66.999999998749999</v>
      </c>
      <c r="AD382" s="109">
        <v>1098732.8923695716</v>
      </c>
      <c r="AE382" s="125"/>
      <c r="AF382" s="10"/>
      <c r="AI382" s="109"/>
      <c r="AJ382" s="109"/>
      <c r="AL382" s="10"/>
      <c r="AO382" s="109"/>
      <c r="AP382" s="109"/>
      <c r="AR382" s="10"/>
      <c r="AU382" s="109"/>
      <c r="AV382" s="109"/>
      <c r="AX382" s="10"/>
      <c r="BA382" s="109"/>
      <c r="BB382" s="109"/>
      <c r="BD382" s="10"/>
      <c r="BG382" s="109"/>
      <c r="BH382" s="109"/>
      <c r="BJ382" s="10"/>
      <c r="BM382" s="109"/>
      <c r="BN382" s="109"/>
      <c r="BP382" s="10"/>
      <c r="BS382" s="109"/>
      <c r="BT382" s="109"/>
      <c r="BV382" s="10"/>
      <c r="BY382" s="109"/>
      <c r="BZ382" s="109"/>
      <c r="CB382" s="10"/>
      <c r="CE382" s="109"/>
      <c r="CF382" s="109"/>
      <c r="CH382" s="10"/>
      <c r="CK382" s="109"/>
      <c r="CL382" s="109"/>
    </row>
    <row r="383" spans="1:90">
      <c r="A383" s="7" t="str">
        <f t="shared" si="51"/>
        <v>00750998</v>
      </c>
      <c r="B383" s="7" t="s">
        <v>2414</v>
      </c>
      <c r="C383" s="7" t="s">
        <v>2781</v>
      </c>
      <c r="D383" s="7">
        <v>374</v>
      </c>
      <c r="E383" s="7">
        <v>75</v>
      </c>
      <c r="F383" s="7" t="s">
        <v>2135</v>
      </c>
      <c r="G383" s="7">
        <v>998</v>
      </c>
      <c r="H383" s="7" t="s">
        <v>2135</v>
      </c>
      <c r="I383" s="37">
        <v>0</v>
      </c>
      <c r="J383" s="122">
        <v>0</v>
      </c>
      <c r="K383" s="123">
        <f t="shared" si="60"/>
        <v>0</v>
      </c>
      <c r="L383" s="122">
        <f>IF(K384&gt;0, K383/K384, 0)</f>
        <v>0</v>
      </c>
      <c r="M383" s="71"/>
      <c r="N383" s="10">
        <f>ROUND(M384*L383,0)</f>
        <v>0</v>
      </c>
      <c r="O383" s="70">
        <v>0</v>
      </c>
      <c r="P383" s="10">
        <f>N383-O383</f>
        <v>0</v>
      </c>
      <c r="Q383" s="46">
        <f t="shared" si="59"/>
        <v>0</v>
      </c>
      <c r="R383" s="10">
        <v>0</v>
      </c>
      <c r="S383" s="7">
        <f t="shared" si="52"/>
        <v>0</v>
      </c>
      <c r="T383" s="124">
        <f t="shared" si="53"/>
        <v>75</v>
      </c>
      <c r="U383" s="124">
        <f t="shared" si="54"/>
        <v>998</v>
      </c>
      <c r="V383" s="124">
        <f t="shared" si="55"/>
        <v>374</v>
      </c>
      <c r="W383" s="124">
        <f t="shared" si="56"/>
        <v>0</v>
      </c>
      <c r="X383" s="124">
        <f t="shared" si="57"/>
        <v>0</v>
      </c>
      <c r="Y383" s="264">
        <f t="shared" si="58"/>
        <v>374</v>
      </c>
      <c r="Z383" s="10">
        <v>75</v>
      </c>
      <c r="AA383" s="7">
        <v>998</v>
      </c>
      <c r="AB383" s="7">
        <v>374</v>
      </c>
      <c r="AC383" s="109">
        <v>0</v>
      </c>
      <c r="AD383" s="109">
        <v>0</v>
      </c>
      <c r="AE383" s="125"/>
      <c r="AF383" s="10"/>
      <c r="AI383" s="109"/>
      <c r="AJ383" s="109"/>
      <c r="AL383" s="10"/>
      <c r="AO383" s="109"/>
      <c r="AP383" s="109"/>
      <c r="AR383" s="10"/>
      <c r="AU383" s="109"/>
      <c r="AV383" s="109"/>
      <c r="AX383" s="10"/>
      <c r="BA383" s="109"/>
      <c r="BB383" s="109"/>
      <c r="BD383" s="10"/>
      <c r="BG383" s="109"/>
      <c r="BH383" s="109"/>
      <c r="BJ383" s="10"/>
      <c r="BM383" s="109"/>
      <c r="BN383" s="109"/>
      <c r="BP383" s="10"/>
      <c r="BS383" s="109"/>
      <c r="BT383" s="109"/>
      <c r="BV383" s="10"/>
      <c r="BY383" s="109"/>
      <c r="BZ383" s="109"/>
      <c r="CB383" s="10"/>
      <c r="CE383" s="109"/>
      <c r="CF383" s="109"/>
      <c r="CH383" s="10"/>
      <c r="CK383" s="109"/>
      <c r="CL383" s="109"/>
    </row>
    <row r="384" spans="1:90">
      <c r="A384" s="7" t="str">
        <f t="shared" si="51"/>
        <v>00750999</v>
      </c>
      <c r="B384" s="7" t="s">
        <v>2414</v>
      </c>
      <c r="C384" s="7" t="s">
        <v>2782</v>
      </c>
      <c r="D384" s="7">
        <v>375</v>
      </c>
      <c r="E384" s="11">
        <v>75</v>
      </c>
      <c r="F384" s="11" t="s">
        <v>1781</v>
      </c>
      <c r="G384" s="11">
        <v>999</v>
      </c>
      <c r="H384" s="11" t="s">
        <v>1132</v>
      </c>
      <c r="I384" s="105">
        <v>14053233</v>
      </c>
      <c r="J384" s="126">
        <v>1</v>
      </c>
      <c r="K384" s="127">
        <f>SUM(K380:K383)</f>
        <v>13570525.461319465</v>
      </c>
      <c r="L384" s="126">
        <f>SUM(L380:L383)</f>
        <v>1</v>
      </c>
      <c r="M384" s="105">
        <f>VLOOKUP(E384,town351,22)</f>
        <v>11348940</v>
      </c>
      <c r="N384" s="105">
        <f>SUM(N380:N383)</f>
        <v>11348940</v>
      </c>
      <c r="O384" s="128">
        <v>11710331</v>
      </c>
      <c r="P384" s="105">
        <f>SUM(P380:P383)</f>
        <v>-361391</v>
      </c>
      <c r="Q384" s="45">
        <f t="shared" si="59"/>
        <v>-3.0860869773877444</v>
      </c>
      <c r="R384" s="105">
        <v>1288</v>
      </c>
      <c r="S384" s="7">
        <f t="shared" si="52"/>
        <v>0</v>
      </c>
      <c r="T384" s="124">
        <f t="shared" si="53"/>
        <v>75</v>
      </c>
      <c r="U384" s="124">
        <f t="shared" si="54"/>
        <v>999</v>
      </c>
      <c r="V384" s="124">
        <f t="shared" si="55"/>
        <v>375</v>
      </c>
      <c r="W384" s="124">
        <f t="shared" si="56"/>
        <v>1216.5507755442998</v>
      </c>
      <c r="X384" s="124">
        <f t="shared" si="57"/>
        <v>13570525.461319465</v>
      </c>
      <c r="Y384" s="264">
        <f t="shared" si="58"/>
        <v>375</v>
      </c>
      <c r="Z384" s="10">
        <v>75</v>
      </c>
      <c r="AA384" s="7">
        <v>999</v>
      </c>
      <c r="AB384" s="7">
        <v>375</v>
      </c>
      <c r="AC384" s="109">
        <v>1216.5507755442998</v>
      </c>
      <c r="AD384" s="109">
        <v>13570525.461319465</v>
      </c>
      <c r="AE384" s="125"/>
      <c r="AF384" s="10"/>
      <c r="AI384" s="109"/>
      <c r="AJ384" s="109"/>
      <c r="AL384" s="10"/>
      <c r="AO384" s="109"/>
      <c r="AP384" s="109"/>
      <c r="AR384" s="10"/>
      <c r="AU384" s="109"/>
      <c r="AV384" s="109"/>
      <c r="AX384" s="10"/>
      <c r="BA384" s="109"/>
      <c r="BB384" s="109"/>
      <c r="BD384" s="10"/>
      <c r="BG384" s="109"/>
      <c r="BH384" s="109"/>
      <c r="BJ384" s="10"/>
      <c r="BM384" s="109"/>
      <c r="BN384" s="109"/>
      <c r="BP384" s="10"/>
      <c r="BS384" s="109"/>
      <c r="BT384" s="109"/>
      <c r="BV384" s="10"/>
      <c r="BY384" s="109"/>
      <c r="BZ384" s="109"/>
      <c r="CB384" s="10"/>
      <c r="CE384" s="109"/>
      <c r="CF384" s="109"/>
      <c r="CH384" s="10"/>
      <c r="CK384" s="109"/>
      <c r="CL384" s="109"/>
    </row>
    <row r="385" spans="1:90">
      <c r="A385" s="7" t="str">
        <f t="shared" si="51"/>
        <v>00760076</v>
      </c>
      <c r="B385" s="7" t="s">
        <v>2415</v>
      </c>
      <c r="C385" s="7" t="s">
        <v>2415</v>
      </c>
      <c r="D385" s="7">
        <v>376</v>
      </c>
      <c r="E385" s="7">
        <v>76</v>
      </c>
      <c r="F385" s="7" t="s">
        <v>1782</v>
      </c>
      <c r="G385" s="7">
        <v>76</v>
      </c>
      <c r="H385" s="7" t="s">
        <v>1342</v>
      </c>
      <c r="I385" s="37">
        <v>0</v>
      </c>
      <c r="J385" s="122">
        <v>0</v>
      </c>
      <c r="K385" s="123">
        <f>X385</f>
        <v>0</v>
      </c>
      <c r="L385" s="122">
        <f>IF(K389&gt;0, K385/K389, 0)</f>
        <v>0</v>
      </c>
      <c r="M385" s="71"/>
      <c r="N385" s="10">
        <f>ROUND(M389*L385,0)</f>
        <v>0</v>
      </c>
      <c r="O385" s="70">
        <v>0</v>
      </c>
      <c r="P385" s="10">
        <f>N385-O385</f>
        <v>0</v>
      </c>
      <c r="Q385" s="46">
        <f t="shared" si="59"/>
        <v>0</v>
      </c>
      <c r="R385" s="10">
        <v>0</v>
      </c>
      <c r="S385" s="7">
        <f t="shared" si="52"/>
        <v>0</v>
      </c>
      <c r="T385" s="124">
        <f t="shared" si="53"/>
        <v>76</v>
      </c>
      <c r="U385" s="124">
        <f t="shared" si="54"/>
        <v>76</v>
      </c>
      <c r="V385" s="124">
        <f t="shared" si="55"/>
        <v>376</v>
      </c>
      <c r="W385" s="124">
        <f t="shared" si="56"/>
        <v>0</v>
      </c>
      <c r="X385" s="124">
        <f t="shared" si="57"/>
        <v>0</v>
      </c>
      <c r="Y385" s="264">
        <f t="shared" si="58"/>
        <v>376</v>
      </c>
      <c r="Z385" s="10">
        <v>76</v>
      </c>
      <c r="AA385" s="7">
        <v>76</v>
      </c>
      <c r="AB385" s="7">
        <v>376</v>
      </c>
      <c r="AC385" s="109">
        <v>0</v>
      </c>
      <c r="AD385" s="109">
        <v>0</v>
      </c>
      <c r="AE385" s="125"/>
      <c r="AF385" s="10"/>
      <c r="AI385" s="109"/>
      <c r="AJ385" s="109"/>
      <c r="AL385" s="10"/>
      <c r="AO385" s="109"/>
      <c r="AP385" s="109"/>
      <c r="AR385" s="10"/>
      <c r="AU385" s="109"/>
      <c r="AV385" s="109"/>
      <c r="AX385" s="10"/>
      <c r="BA385" s="109"/>
      <c r="BB385" s="109"/>
      <c r="BD385" s="10"/>
      <c r="BG385" s="109"/>
      <c r="BH385" s="109"/>
      <c r="BJ385" s="10"/>
      <c r="BM385" s="109"/>
      <c r="BN385" s="109"/>
      <c r="BP385" s="10"/>
      <c r="BS385" s="109"/>
      <c r="BT385" s="109"/>
      <c r="BV385" s="10"/>
      <c r="BY385" s="109"/>
      <c r="BZ385" s="109"/>
      <c r="CB385" s="10"/>
      <c r="CE385" s="109"/>
      <c r="CF385" s="109"/>
      <c r="CH385" s="10"/>
      <c r="CK385" s="109"/>
      <c r="CL385" s="109"/>
    </row>
    <row r="386" spans="1:90">
      <c r="A386" s="7" t="str">
        <f t="shared" si="51"/>
        <v>00760650</v>
      </c>
      <c r="B386" s="7" t="s">
        <v>2415</v>
      </c>
      <c r="C386" s="7" t="s">
        <v>2708</v>
      </c>
      <c r="D386" s="7">
        <v>377</v>
      </c>
      <c r="E386" s="7">
        <v>76</v>
      </c>
      <c r="F386" s="7" t="s">
        <v>1782</v>
      </c>
      <c r="G386" s="7">
        <v>650</v>
      </c>
      <c r="H386" s="7" t="s">
        <v>1635</v>
      </c>
      <c r="I386" s="37">
        <v>11840516</v>
      </c>
      <c r="J386" s="122">
        <v>0.91519000804466433</v>
      </c>
      <c r="K386" s="123">
        <f t="shared" si="60"/>
        <v>12070657.191849373</v>
      </c>
      <c r="L386" s="122">
        <f>IF(K389&gt;0, K386/K389, 0)</f>
        <v>0.89339203398824529</v>
      </c>
      <c r="M386" s="71"/>
      <c r="N386" s="10">
        <f>ROUND(M389*L386,0)</f>
        <v>5843704</v>
      </c>
      <c r="O386" s="70">
        <v>5910831</v>
      </c>
      <c r="P386" s="10">
        <f>N386-O386</f>
        <v>-67127</v>
      </c>
      <c r="Q386" s="46">
        <f t="shared" si="59"/>
        <v>-1.1356609586706168</v>
      </c>
      <c r="R386" s="10">
        <v>1193</v>
      </c>
      <c r="S386" s="7">
        <f t="shared" si="52"/>
        <v>0</v>
      </c>
      <c r="T386" s="124">
        <f t="shared" si="53"/>
        <v>76</v>
      </c>
      <c r="U386" s="124">
        <f t="shared" si="54"/>
        <v>650</v>
      </c>
      <c r="V386" s="124">
        <f t="shared" si="55"/>
        <v>377</v>
      </c>
      <c r="W386" s="124">
        <f t="shared" si="56"/>
        <v>1206.5795806167598</v>
      </c>
      <c r="X386" s="124">
        <f t="shared" si="57"/>
        <v>12070657.191849373</v>
      </c>
      <c r="Y386" s="264">
        <f t="shared" si="58"/>
        <v>377</v>
      </c>
      <c r="Z386" s="10">
        <v>76</v>
      </c>
      <c r="AA386" s="7">
        <v>650</v>
      </c>
      <c r="AB386" s="7">
        <v>377</v>
      </c>
      <c r="AC386" s="109">
        <v>1206.5795806167598</v>
      </c>
      <c r="AD386" s="109">
        <v>12070657.191849373</v>
      </c>
      <c r="AE386" s="125"/>
      <c r="AF386" s="10"/>
      <c r="AI386" s="109"/>
      <c r="AJ386" s="109"/>
      <c r="AL386" s="10"/>
      <c r="AO386" s="109"/>
      <c r="AP386" s="109"/>
      <c r="AR386" s="10"/>
      <c r="AU386" s="109"/>
      <c r="AV386" s="109"/>
      <c r="AX386" s="10"/>
      <c r="BA386" s="109"/>
      <c r="BB386" s="109"/>
      <c r="BD386" s="10"/>
      <c r="BG386" s="109"/>
      <c r="BH386" s="109"/>
      <c r="BJ386" s="10"/>
      <c r="BM386" s="109"/>
      <c r="BN386" s="109"/>
      <c r="BP386" s="10"/>
      <c r="BS386" s="109"/>
      <c r="BT386" s="109"/>
      <c r="BV386" s="10"/>
      <c r="BY386" s="109"/>
      <c r="BZ386" s="109"/>
      <c r="CB386" s="10"/>
      <c r="CE386" s="109"/>
      <c r="CF386" s="109"/>
      <c r="CH386" s="10"/>
      <c r="CK386" s="109"/>
      <c r="CL386" s="109"/>
    </row>
    <row r="387" spans="1:90">
      <c r="A387" s="7" t="str">
        <f t="shared" si="51"/>
        <v>00760810</v>
      </c>
      <c r="B387" s="7" t="s">
        <v>2415</v>
      </c>
      <c r="C387" s="7" t="s">
        <v>2755</v>
      </c>
      <c r="D387" s="7">
        <v>378</v>
      </c>
      <c r="E387" s="7">
        <v>76</v>
      </c>
      <c r="F387" s="7" t="s">
        <v>1782</v>
      </c>
      <c r="G387" s="7">
        <v>810</v>
      </c>
      <c r="H387" s="7" t="s">
        <v>1682</v>
      </c>
      <c r="I387" s="37">
        <v>668250</v>
      </c>
      <c r="J387" s="122">
        <v>5.1651103961672523E-2</v>
      </c>
      <c r="K387" s="123">
        <f t="shared" si="60"/>
        <v>1034339.2669133544</v>
      </c>
      <c r="L387" s="122">
        <f>IF(K389&gt;0, K387/K389, 0)</f>
        <v>7.6555107714069148E-2</v>
      </c>
      <c r="M387" s="71"/>
      <c r="N387" s="10">
        <f>ROUND(M389*L387,0)</f>
        <v>500749</v>
      </c>
      <c r="O387" s="70">
        <v>333593</v>
      </c>
      <c r="P387" s="10">
        <f>N387-O387</f>
        <v>167156</v>
      </c>
      <c r="Q387" s="46">
        <f t="shared" si="59"/>
        <v>50.107766050246859</v>
      </c>
      <c r="R387" s="10">
        <v>43</v>
      </c>
      <c r="S387" s="7">
        <f t="shared" si="52"/>
        <v>0</v>
      </c>
      <c r="T387" s="124">
        <f t="shared" si="53"/>
        <v>76</v>
      </c>
      <c r="U387" s="124">
        <f t="shared" si="54"/>
        <v>810</v>
      </c>
      <c r="V387" s="124">
        <f t="shared" si="55"/>
        <v>378</v>
      </c>
      <c r="W387" s="124">
        <f t="shared" si="56"/>
        <v>65.390097527549997</v>
      </c>
      <c r="X387" s="124">
        <f t="shared" si="57"/>
        <v>1034339.2669133544</v>
      </c>
      <c r="Y387" s="264">
        <f t="shared" si="58"/>
        <v>378</v>
      </c>
      <c r="Z387" s="10">
        <v>76</v>
      </c>
      <c r="AA387" s="7">
        <v>810</v>
      </c>
      <c r="AB387" s="7">
        <v>378</v>
      </c>
      <c r="AC387" s="109">
        <v>65.390097527549997</v>
      </c>
      <c r="AD387" s="109">
        <v>1034339.2669133544</v>
      </c>
      <c r="AE387" s="125"/>
      <c r="AF387" s="10"/>
      <c r="AI387" s="109"/>
      <c r="AJ387" s="109"/>
      <c r="AL387" s="10"/>
      <c r="AO387" s="109"/>
      <c r="AP387" s="109"/>
      <c r="AR387" s="10"/>
      <c r="AU387" s="109"/>
      <c r="AV387" s="109"/>
      <c r="AX387" s="10"/>
      <c r="BA387" s="109"/>
      <c r="BB387" s="109"/>
      <c r="BD387" s="10"/>
      <c r="BG387" s="109"/>
      <c r="BH387" s="109"/>
      <c r="BJ387" s="10"/>
      <c r="BM387" s="109"/>
      <c r="BN387" s="109"/>
      <c r="BP387" s="10"/>
      <c r="BS387" s="109"/>
      <c r="BT387" s="109"/>
      <c r="BV387" s="10"/>
      <c r="BY387" s="109"/>
      <c r="BZ387" s="109"/>
      <c r="CB387" s="10"/>
      <c r="CE387" s="109"/>
      <c r="CF387" s="109"/>
      <c r="CH387" s="10"/>
      <c r="CK387" s="109"/>
      <c r="CL387" s="109"/>
    </row>
    <row r="388" spans="1:90">
      <c r="A388" s="7" t="str">
        <f t="shared" si="51"/>
        <v>00760910</v>
      </c>
      <c r="B388" s="7" t="s">
        <v>2415</v>
      </c>
      <c r="C388" s="7" t="s">
        <v>2778</v>
      </c>
      <c r="D388" s="7">
        <v>379</v>
      </c>
      <c r="E388" s="7">
        <v>76</v>
      </c>
      <c r="F388" s="7" t="s">
        <v>1782</v>
      </c>
      <c r="G388" s="7">
        <v>910</v>
      </c>
      <c r="H388" s="7" t="s">
        <v>1705</v>
      </c>
      <c r="I388" s="37">
        <v>429002</v>
      </c>
      <c r="J388" s="122">
        <v>3.3158887993663205E-2</v>
      </c>
      <c r="K388" s="123">
        <f t="shared" si="60"/>
        <v>406045.42725457338</v>
      </c>
      <c r="L388" s="122">
        <f>IF(K389&gt;0, K388/K389, 0)</f>
        <v>3.0052858297685649E-2</v>
      </c>
      <c r="M388" s="71"/>
      <c r="N388" s="10">
        <f>ROUND(M389*L388,0)</f>
        <v>196577</v>
      </c>
      <c r="O388" s="70">
        <v>214159</v>
      </c>
      <c r="P388" s="10">
        <f>N388-O388</f>
        <v>-17582</v>
      </c>
      <c r="Q388" s="46">
        <f t="shared" si="59"/>
        <v>-8.2097880546696604</v>
      </c>
      <c r="R388" s="10">
        <v>28</v>
      </c>
      <c r="S388" s="7">
        <f t="shared" si="52"/>
        <v>0</v>
      </c>
      <c r="T388" s="124">
        <f t="shared" si="53"/>
        <v>76</v>
      </c>
      <c r="U388" s="124">
        <f t="shared" si="54"/>
        <v>910</v>
      </c>
      <c r="V388" s="124">
        <f t="shared" si="55"/>
        <v>379</v>
      </c>
      <c r="W388" s="124">
        <f t="shared" si="56"/>
        <v>26.00000000144</v>
      </c>
      <c r="X388" s="124">
        <f t="shared" si="57"/>
        <v>406045.42725457338</v>
      </c>
      <c r="Y388" s="264">
        <f t="shared" si="58"/>
        <v>379</v>
      </c>
      <c r="Z388" s="10">
        <v>76</v>
      </c>
      <c r="AA388" s="7">
        <v>910</v>
      </c>
      <c r="AB388" s="7">
        <v>379</v>
      </c>
      <c r="AC388" s="109">
        <v>26.00000000144</v>
      </c>
      <c r="AD388" s="109">
        <v>406045.42725457338</v>
      </c>
      <c r="AE388" s="125"/>
      <c r="AF388" s="10"/>
      <c r="AI388" s="109"/>
      <c r="AJ388" s="109"/>
      <c r="AL388" s="10"/>
      <c r="AO388" s="109"/>
      <c r="AP388" s="109"/>
      <c r="AR388" s="10"/>
      <c r="AU388" s="109"/>
      <c r="AV388" s="109"/>
      <c r="AX388" s="10"/>
      <c r="BA388" s="109"/>
      <c r="BB388" s="109"/>
      <c r="BD388" s="10"/>
      <c r="BG388" s="109"/>
      <c r="BH388" s="109"/>
      <c r="BJ388" s="10"/>
      <c r="BM388" s="109"/>
      <c r="BN388" s="109"/>
      <c r="BP388" s="10"/>
      <c r="BS388" s="109"/>
      <c r="BT388" s="109"/>
      <c r="BV388" s="10"/>
      <c r="BY388" s="109"/>
      <c r="BZ388" s="109"/>
      <c r="CB388" s="10"/>
      <c r="CE388" s="109"/>
      <c r="CF388" s="109"/>
      <c r="CH388" s="10"/>
      <c r="CK388" s="109"/>
      <c r="CL388" s="109"/>
    </row>
    <row r="389" spans="1:90">
      <c r="A389" s="7" t="str">
        <f t="shared" si="51"/>
        <v>00760999</v>
      </c>
      <c r="B389" s="7" t="s">
        <v>2415</v>
      </c>
      <c r="C389" s="7" t="s">
        <v>2782</v>
      </c>
      <c r="D389" s="7">
        <v>380</v>
      </c>
      <c r="E389" s="11">
        <v>76</v>
      </c>
      <c r="F389" s="11" t="s">
        <v>1782</v>
      </c>
      <c r="G389" s="11">
        <v>999</v>
      </c>
      <c r="H389" s="11" t="s">
        <v>1132</v>
      </c>
      <c r="I389" s="105">
        <v>12937768</v>
      </c>
      <c r="J389" s="126">
        <v>1</v>
      </c>
      <c r="K389" s="127">
        <f>SUM(K385:K388)</f>
        <v>13511041.8860173</v>
      </c>
      <c r="L389" s="126">
        <f>SUM(L385:L388)</f>
        <v>1</v>
      </c>
      <c r="M389" s="105">
        <f>VLOOKUP(E389,town351,22)</f>
        <v>6541030</v>
      </c>
      <c r="N389" s="105">
        <f>SUM(N385:N388)</f>
        <v>6541030</v>
      </c>
      <c r="O389" s="128">
        <v>6458583</v>
      </c>
      <c r="P389" s="105">
        <f>SUM(P385:P388)</f>
        <v>82447</v>
      </c>
      <c r="Q389" s="45">
        <f t="shared" si="59"/>
        <v>1.2765493607498735</v>
      </c>
      <c r="R389" s="105">
        <v>1264</v>
      </c>
      <c r="S389" s="7">
        <f t="shared" si="52"/>
        <v>0</v>
      </c>
      <c r="T389" s="124">
        <f t="shared" si="53"/>
        <v>76</v>
      </c>
      <c r="U389" s="124">
        <f t="shared" si="54"/>
        <v>999</v>
      </c>
      <c r="V389" s="124">
        <f t="shared" si="55"/>
        <v>380</v>
      </c>
      <c r="W389" s="124">
        <f t="shared" si="56"/>
        <v>1297.9696781457499</v>
      </c>
      <c r="X389" s="124">
        <f t="shared" si="57"/>
        <v>13511041.8860173</v>
      </c>
      <c r="Y389" s="264">
        <f t="shared" si="58"/>
        <v>380</v>
      </c>
      <c r="Z389" s="10">
        <v>76</v>
      </c>
      <c r="AA389" s="7">
        <v>999</v>
      </c>
      <c r="AB389" s="7">
        <v>380</v>
      </c>
      <c r="AC389" s="109">
        <v>1297.9696781457499</v>
      </c>
      <c r="AD389" s="109">
        <v>13511041.8860173</v>
      </c>
      <c r="AE389" s="125"/>
      <c r="AF389" s="10"/>
      <c r="AI389" s="109"/>
      <c r="AJ389" s="109"/>
      <c r="AL389" s="10"/>
      <c r="AO389" s="109"/>
      <c r="AP389" s="109"/>
      <c r="AR389" s="10"/>
      <c r="AU389" s="109"/>
      <c r="AV389" s="109"/>
      <c r="AX389" s="10"/>
      <c r="BA389" s="109"/>
      <c r="BB389" s="109"/>
      <c r="BD389" s="10"/>
      <c r="BG389" s="109"/>
      <c r="BH389" s="109"/>
      <c r="BJ389" s="10"/>
      <c r="BM389" s="109"/>
      <c r="BN389" s="109"/>
      <c r="BP389" s="10"/>
      <c r="BS389" s="109"/>
      <c r="BT389" s="109"/>
      <c r="BV389" s="10"/>
      <c r="BY389" s="109"/>
      <c r="BZ389" s="109"/>
      <c r="CB389" s="10"/>
      <c r="CE389" s="109"/>
      <c r="CF389" s="109"/>
      <c r="CH389" s="10"/>
      <c r="CK389" s="109"/>
      <c r="CL389" s="109"/>
    </row>
    <row r="390" spans="1:90">
      <c r="A390" s="7" t="str">
        <f t="shared" si="51"/>
        <v>00770077</v>
      </c>
      <c r="B390" s="7" t="s">
        <v>2416</v>
      </c>
      <c r="C390" s="7" t="s">
        <v>2416</v>
      </c>
      <c r="D390" s="7">
        <v>381</v>
      </c>
      <c r="E390" s="7">
        <v>77</v>
      </c>
      <c r="F390" s="7" t="s">
        <v>1783</v>
      </c>
      <c r="G390" s="7">
        <v>77</v>
      </c>
      <c r="H390" s="7" t="s">
        <v>1343</v>
      </c>
      <c r="I390" s="37">
        <v>13394369.66</v>
      </c>
      <c r="J390" s="122">
        <v>0.91752528823832735</v>
      </c>
      <c r="K390" s="123">
        <f>X390</f>
        <v>12935870.449951056</v>
      </c>
      <c r="L390" s="122">
        <f>IF(K394&gt;0, K390/K394, 0)</f>
        <v>0.89923168483769145</v>
      </c>
      <c r="M390" s="71"/>
      <c r="N390" s="10">
        <f>ROUND(M394*L390,0)</f>
        <v>6783425</v>
      </c>
      <c r="O390" s="70">
        <v>6691646</v>
      </c>
      <c r="P390" s="10">
        <f>N390-O390</f>
        <v>91779</v>
      </c>
      <c r="Q390" s="46">
        <f t="shared" si="59"/>
        <v>1.3715459544632218</v>
      </c>
      <c r="R390" s="10">
        <v>1405</v>
      </c>
      <c r="S390" s="7">
        <f t="shared" si="52"/>
        <v>0</v>
      </c>
      <c r="T390" s="124">
        <f t="shared" si="53"/>
        <v>77</v>
      </c>
      <c r="U390" s="124">
        <f t="shared" si="54"/>
        <v>77</v>
      </c>
      <c r="V390" s="124">
        <f t="shared" si="55"/>
        <v>381</v>
      </c>
      <c r="W390" s="124">
        <f t="shared" si="56"/>
        <v>1328</v>
      </c>
      <c r="X390" s="124">
        <f t="shared" si="57"/>
        <v>12935870.449951056</v>
      </c>
      <c r="Y390" s="264">
        <f t="shared" si="58"/>
        <v>381</v>
      </c>
      <c r="Z390" s="10">
        <v>77</v>
      </c>
      <c r="AA390" s="7">
        <v>77</v>
      </c>
      <c r="AB390" s="7">
        <v>381</v>
      </c>
      <c r="AC390" s="109">
        <v>1328</v>
      </c>
      <c r="AD390" s="109">
        <v>12935870.449951056</v>
      </c>
      <c r="AE390" s="125"/>
      <c r="AF390" s="10"/>
      <c r="AI390" s="109"/>
      <c r="AJ390" s="109"/>
      <c r="AL390" s="10"/>
      <c r="AO390" s="109"/>
      <c r="AP390" s="109"/>
      <c r="AR390" s="10"/>
      <c r="AU390" s="109"/>
      <c r="AV390" s="109"/>
      <c r="AX390" s="10"/>
      <c r="BA390" s="109"/>
      <c r="BB390" s="109"/>
      <c r="BD390" s="10"/>
      <c r="BG390" s="109"/>
      <c r="BH390" s="109"/>
      <c r="BJ390" s="10"/>
      <c r="BM390" s="109"/>
      <c r="BN390" s="109"/>
      <c r="BP390" s="10"/>
      <c r="BS390" s="109"/>
      <c r="BT390" s="109"/>
      <c r="BV390" s="10"/>
      <c r="BY390" s="109"/>
      <c r="BZ390" s="109"/>
      <c r="CB390" s="10"/>
      <c r="CE390" s="109"/>
      <c r="CF390" s="109"/>
      <c r="CH390" s="10"/>
      <c r="CK390" s="109"/>
      <c r="CL390" s="109"/>
    </row>
    <row r="391" spans="1:90">
      <c r="A391" s="7" t="str">
        <f t="shared" si="51"/>
        <v>00770805</v>
      </c>
      <c r="B391" s="7" t="s">
        <v>2416</v>
      </c>
      <c r="C391" s="7" t="s">
        <v>2753</v>
      </c>
      <c r="D391" s="7">
        <v>382</v>
      </c>
      <c r="E391" s="7">
        <v>77</v>
      </c>
      <c r="F391" s="7" t="s">
        <v>1783</v>
      </c>
      <c r="G391" s="7">
        <v>805</v>
      </c>
      <c r="H391" s="7" t="s">
        <v>1680</v>
      </c>
      <c r="I391" s="37">
        <v>1203996</v>
      </c>
      <c r="J391" s="122">
        <v>8.2474711761672648E-2</v>
      </c>
      <c r="K391" s="123">
        <f t="shared" si="60"/>
        <v>1449599.5774823544</v>
      </c>
      <c r="L391" s="122">
        <f>IF(K394&gt;0, K391/K394, 0)</f>
        <v>0.10076831516230862</v>
      </c>
      <c r="M391" s="71"/>
      <c r="N391" s="10">
        <f>ROUND(M394*L391,0)</f>
        <v>760154</v>
      </c>
      <c r="O391" s="70">
        <v>601500</v>
      </c>
      <c r="P391" s="10">
        <f>N391-O391</f>
        <v>158654</v>
      </c>
      <c r="Q391" s="46">
        <f t="shared" si="59"/>
        <v>26.376392352452203</v>
      </c>
      <c r="R391" s="10">
        <v>81</v>
      </c>
      <c r="S391" s="7">
        <f t="shared" si="52"/>
        <v>0</v>
      </c>
      <c r="T391" s="124">
        <f t="shared" si="53"/>
        <v>77</v>
      </c>
      <c r="U391" s="124">
        <f t="shared" si="54"/>
        <v>805</v>
      </c>
      <c r="V391" s="124">
        <f t="shared" si="55"/>
        <v>382</v>
      </c>
      <c r="W391" s="124">
        <f t="shared" si="56"/>
        <v>95.9999999976</v>
      </c>
      <c r="X391" s="124">
        <f t="shared" si="57"/>
        <v>1449599.5774823544</v>
      </c>
      <c r="Y391" s="264">
        <f t="shared" si="58"/>
        <v>382</v>
      </c>
      <c r="Z391" s="10">
        <v>77</v>
      </c>
      <c r="AA391" s="7">
        <v>805</v>
      </c>
      <c r="AB391" s="7">
        <v>382</v>
      </c>
      <c r="AC391" s="109">
        <v>95.9999999976</v>
      </c>
      <c r="AD391" s="109">
        <v>1449599.5774823544</v>
      </c>
      <c r="AE391" s="125"/>
      <c r="AF391" s="10"/>
      <c r="AI391" s="109"/>
      <c r="AJ391" s="109"/>
      <c r="AL391" s="10"/>
      <c r="AO391" s="109"/>
      <c r="AP391" s="109"/>
      <c r="AR391" s="10"/>
      <c r="AU391" s="109"/>
      <c r="AV391" s="109"/>
      <c r="AX391" s="10"/>
      <c r="BA391" s="109"/>
      <c r="BB391" s="109"/>
      <c r="BD391" s="10"/>
      <c r="BG391" s="109"/>
      <c r="BH391" s="109"/>
      <c r="BJ391" s="10"/>
      <c r="BM391" s="109"/>
      <c r="BN391" s="109"/>
      <c r="BP391" s="10"/>
      <c r="BS391" s="109"/>
      <c r="BT391" s="109"/>
      <c r="BV391" s="10"/>
      <c r="BY391" s="109"/>
      <c r="BZ391" s="109"/>
      <c r="CB391" s="10"/>
      <c r="CE391" s="109"/>
      <c r="CF391" s="109"/>
      <c r="CH391" s="10"/>
      <c r="CK391" s="109"/>
      <c r="CL391" s="109"/>
    </row>
    <row r="392" spans="1:90">
      <c r="A392" s="7" t="str">
        <f t="shared" si="51"/>
        <v>00770998</v>
      </c>
      <c r="B392" s="7" t="s">
        <v>2416</v>
      </c>
      <c r="C392" s="7" t="s">
        <v>2781</v>
      </c>
      <c r="D392" s="7">
        <v>383</v>
      </c>
      <c r="E392" s="7">
        <v>77</v>
      </c>
      <c r="F392" s="7" t="s">
        <v>2135</v>
      </c>
      <c r="G392" s="7">
        <v>998</v>
      </c>
      <c r="H392" s="7" t="s">
        <v>2135</v>
      </c>
      <c r="I392" s="37">
        <v>0</v>
      </c>
      <c r="J392" s="122">
        <v>0</v>
      </c>
      <c r="K392" s="123">
        <f t="shared" si="60"/>
        <v>0</v>
      </c>
      <c r="L392" s="122">
        <f>IF(K394&gt;0, K392/K394, 0)</f>
        <v>0</v>
      </c>
      <c r="M392" s="71"/>
      <c r="N392" s="10">
        <f>ROUND(M394*L392,0)</f>
        <v>0</v>
      </c>
      <c r="O392" s="70">
        <v>0</v>
      </c>
      <c r="P392" s="10">
        <f>N392-O392</f>
        <v>0</v>
      </c>
      <c r="Q392" s="46">
        <f t="shared" si="59"/>
        <v>0</v>
      </c>
      <c r="R392" s="10">
        <v>0</v>
      </c>
      <c r="S392" s="7">
        <f t="shared" si="52"/>
        <v>0</v>
      </c>
      <c r="T392" s="124">
        <f t="shared" si="53"/>
        <v>77</v>
      </c>
      <c r="U392" s="124">
        <f t="shared" si="54"/>
        <v>998</v>
      </c>
      <c r="V392" s="124">
        <f t="shared" si="55"/>
        <v>383</v>
      </c>
      <c r="W392" s="124">
        <f t="shared" si="56"/>
        <v>0</v>
      </c>
      <c r="X392" s="124">
        <f t="shared" si="57"/>
        <v>0</v>
      </c>
      <c r="Y392" s="264">
        <f t="shared" si="58"/>
        <v>383</v>
      </c>
      <c r="Z392" s="10">
        <v>77</v>
      </c>
      <c r="AA392" s="7">
        <v>998</v>
      </c>
      <c r="AB392" s="7">
        <v>383</v>
      </c>
      <c r="AC392" s="109">
        <v>0</v>
      </c>
      <c r="AD392" s="109">
        <v>0</v>
      </c>
      <c r="AE392" s="125"/>
      <c r="AF392" s="10"/>
      <c r="AI392" s="109"/>
      <c r="AJ392" s="109"/>
      <c r="AL392" s="10"/>
      <c r="AO392" s="109"/>
      <c r="AP392" s="109"/>
      <c r="AR392" s="10"/>
      <c r="AU392" s="109"/>
      <c r="AV392" s="109"/>
      <c r="AX392" s="10"/>
      <c r="BA392" s="109"/>
      <c r="BB392" s="109"/>
      <c r="BD392" s="10"/>
      <c r="BG392" s="109"/>
      <c r="BH392" s="109"/>
      <c r="BJ392" s="10"/>
      <c r="BM392" s="109"/>
      <c r="BN392" s="109"/>
      <c r="BP392" s="10"/>
      <c r="BS392" s="109"/>
      <c r="BT392" s="109"/>
      <c r="BV392" s="10"/>
      <c r="BY392" s="109"/>
      <c r="BZ392" s="109"/>
      <c r="CB392" s="10"/>
      <c r="CE392" s="109"/>
      <c r="CF392" s="109"/>
      <c r="CH392" s="10"/>
      <c r="CK392" s="109"/>
      <c r="CL392" s="109"/>
    </row>
    <row r="393" spans="1:90">
      <c r="A393" s="7" t="str">
        <f t="shared" si="51"/>
        <v>00770998</v>
      </c>
      <c r="B393" s="7" t="s">
        <v>2416</v>
      </c>
      <c r="C393" s="7" t="s">
        <v>2781</v>
      </c>
      <c r="D393" s="7">
        <v>384</v>
      </c>
      <c r="E393" s="7">
        <v>77</v>
      </c>
      <c r="F393" s="7" t="s">
        <v>2135</v>
      </c>
      <c r="G393" s="7">
        <v>998</v>
      </c>
      <c r="H393" s="7" t="s">
        <v>2135</v>
      </c>
      <c r="I393" s="37">
        <v>0</v>
      </c>
      <c r="J393" s="122">
        <v>0</v>
      </c>
      <c r="K393" s="123">
        <f t="shared" si="60"/>
        <v>0</v>
      </c>
      <c r="L393" s="122">
        <f>IF(K394&gt;0, K393/K394, 0)</f>
        <v>0</v>
      </c>
      <c r="M393" s="71"/>
      <c r="N393" s="10">
        <f>ROUND(M394*L393,0)</f>
        <v>0</v>
      </c>
      <c r="O393" s="70">
        <v>0</v>
      </c>
      <c r="P393" s="10">
        <f>N393-O393</f>
        <v>0</v>
      </c>
      <c r="Q393" s="46">
        <f t="shared" si="59"/>
        <v>0</v>
      </c>
      <c r="R393" s="10">
        <v>0</v>
      </c>
      <c r="S393" s="7">
        <f t="shared" si="52"/>
        <v>0</v>
      </c>
      <c r="T393" s="124">
        <f t="shared" si="53"/>
        <v>77</v>
      </c>
      <c r="U393" s="124">
        <f t="shared" si="54"/>
        <v>998</v>
      </c>
      <c r="V393" s="124">
        <f t="shared" si="55"/>
        <v>384</v>
      </c>
      <c r="W393" s="124">
        <f t="shared" si="56"/>
        <v>0</v>
      </c>
      <c r="X393" s="124">
        <f t="shared" si="57"/>
        <v>0</v>
      </c>
      <c r="Y393" s="264">
        <f t="shared" si="58"/>
        <v>384</v>
      </c>
      <c r="Z393" s="10">
        <v>77</v>
      </c>
      <c r="AA393" s="7">
        <v>998</v>
      </c>
      <c r="AB393" s="7">
        <v>384</v>
      </c>
      <c r="AC393" s="109">
        <v>0</v>
      </c>
      <c r="AD393" s="109">
        <v>0</v>
      </c>
      <c r="AE393" s="125"/>
      <c r="AF393" s="10"/>
      <c r="AI393" s="109"/>
      <c r="AJ393" s="109"/>
      <c r="AL393" s="10"/>
      <c r="AO393" s="109"/>
      <c r="AP393" s="109"/>
      <c r="AR393" s="10"/>
      <c r="AU393" s="109"/>
      <c r="AV393" s="109"/>
      <c r="AX393" s="10"/>
      <c r="BA393" s="109"/>
      <c r="BB393" s="109"/>
      <c r="BD393" s="10"/>
      <c r="BG393" s="109"/>
      <c r="BH393" s="109"/>
      <c r="BJ393" s="10"/>
      <c r="BM393" s="109"/>
      <c r="BN393" s="109"/>
      <c r="BP393" s="10"/>
      <c r="BS393" s="109"/>
      <c r="BT393" s="109"/>
      <c r="BV393" s="10"/>
      <c r="BY393" s="109"/>
      <c r="BZ393" s="109"/>
      <c r="CB393" s="10"/>
      <c r="CE393" s="109"/>
      <c r="CF393" s="109"/>
      <c r="CH393" s="10"/>
      <c r="CK393" s="109"/>
      <c r="CL393" s="109"/>
    </row>
    <row r="394" spans="1:90">
      <c r="A394" s="7" t="str">
        <f t="shared" ref="A394:A457" si="61">B394&amp;C394</f>
        <v>00770999</v>
      </c>
      <c r="B394" s="7" t="s">
        <v>2416</v>
      </c>
      <c r="C394" s="7" t="s">
        <v>2782</v>
      </c>
      <c r="D394" s="7">
        <v>385</v>
      </c>
      <c r="E394" s="11">
        <v>77</v>
      </c>
      <c r="F394" s="11" t="s">
        <v>1783</v>
      </c>
      <c r="G394" s="11">
        <v>999</v>
      </c>
      <c r="H394" s="11" t="s">
        <v>1132</v>
      </c>
      <c r="I394" s="105">
        <v>14598365.66</v>
      </c>
      <c r="J394" s="126">
        <v>1</v>
      </c>
      <c r="K394" s="127">
        <f>SUM(K390:K393)</f>
        <v>14385470.02743341</v>
      </c>
      <c r="L394" s="126">
        <f>SUM(L390:L393)</f>
        <v>1</v>
      </c>
      <c r="M394" s="105">
        <f>VLOOKUP(E394,town351,22)</f>
        <v>7543579</v>
      </c>
      <c r="N394" s="105">
        <f>SUM(N390:N393)</f>
        <v>7543579</v>
      </c>
      <c r="O394" s="128">
        <v>7293146</v>
      </c>
      <c r="P394" s="105">
        <f>SUM(P390:P393)</f>
        <v>250433</v>
      </c>
      <c r="Q394" s="45">
        <f t="shared" si="59"/>
        <v>3.4338130622916365</v>
      </c>
      <c r="R394" s="105">
        <v>1486</v>
      </c>
      <c r="S394" s="7">
        <f t="shared" ref="S394:S457" si="62">ABS(T394-E394)+ABS(U394-G394)</f>
        <v>0</v>
      </c>
      <c r="T394" s="124">
        <f t="shared" ref="T394:T457" si="63">VLOOKUP($D394, foundoptions, VLOOKUP($T$6, foundoptcell, 2, FALSE), FALSE)</f>
        <v>77</v>
      </c>
      <c r="U394" s="124">
        <f t="shared" ref="U394:U457" si="64">VLOOKUP($D394, foundoptions, VLOOKUP($T$6, foundoptcell, 2, FALSE)+1, FALSE)</f>
        <v>999</v>
      </c>
      <c r="V394" s="124">
        <f t="shared" ref="V394:V457" si="65">VLOOKUP($D394, foundoptions, VLOOKUP($T$6, foundoptcell, 2, FALSE)+2, FALSE)</f>
        <v>385</v>
      </c>
      <c r="W394" s="124">
        <f t="shared" ref="W394:W457" si="66">VLOOKUP($D394, foundoptions, VLOOKUP($T$6, foundoptcell, 2, FALSE)+3, FALSE)</f>
        <v>1423.9999999976001</v>
      </c>
      <c r="X394" s="124">
        <f t="shared" ref="X394:X457" si="67">VLOOKUP($D394, foundoptions, VLOOKUP($T$6, foundoptcell, 2, FALSE)+4, FALSE)</f>
        <v>14385470.02743341</v>
      </c>
      <c r="Y394" s="264">
        <f t="shared" si="58"/>
        <v>385</v>
      </c>
      <c r="Z394" s="10">
        <v>77</v>
      </c>
      <c r="AA394" s="7">
        <v>999</v>
      </c>
      <c r="AB394" s="7">
        <v>385</v>
      </c>
      <c r="AC394" s="109">
        <v>1423.9999999976001</v>
      </c>
      <c r="AD394" s="109">
        <v>14385470.02743341</v>
      </c>
      <c r="AE394" s="125"/>
      <c r="AF394" s="10"/>
      <c r="AI394" s="109"/>
      <c r="AJ394" s="109"/>
      <c r="AL394" s="10"/>
      <c r="AO394" s="109"/>
      <c r="AP394" s="109"/>
      <c r="AR394" s="10"/>
      <c r="AU394" s="109"/>
      <c r="AV394" s="109"/>
      <c r="AX394" s="10"/>
      <c r="BA394" s="109"/>
      <c r="BB394" s="109"/>
      <c r="BD394" s="10"/>
      <c r="BG394" s="109"/>
      <c r="BH394" s="109"/>
      <c r="BJ394" s="10"/>
      <c r="BM394" s="109"/>
      <c r="BN394" s="109"/>
      <c r="BP394" s="10"/>
      <c r="BS394" s="109"/>
      <c r="BT394" s="109"/>
      <c r="BV394" s="10"/>
      <c r="BY394" s="109"/>
      <c r="BZ394" s="109"/>
      <c r="CB394" s="10"/>
      <c r="CE394" s="109"/>
      <c r="CF394" s="109"/>
      <c r="CH394" s="10"/>
      <c r="CK394" s="109"/>
      <c r="CL394" s="109"/>
    </row>
    <row r="395" spans="1:90">
      <c r="A395" s="7" t="str">
        <f t="shared" si="61"/>
        <v>00780078</v>
      </c>
      <c r="B395" s="7" t="s">
        <v>2417</v>
      </c>
      <c r="C395" s="7" t="s">
        <v>2417</v>
      </c>
      <c r="D395" s="7">
        <v>386</v>
      </c>
      <c r="E395" s="7">
        <v>78</v>
      </c>
      <c r="F395" s="7" t="s">
        <v>1784</v>
      </c>
      <c r="G395" s="7">
        <v>78</v>
      </c>
      <c r="H395" s="7" t="s">
        <v>1344</v>
      </c>
      <c r="I395" s="37">
        <v>4235362.0299200006</v>
      </c>
      <c r="J395" s="122">
        <v>0.39332750851169151</v>
      </c>
      <c r="K395" s="123">
        <f>X395</f>
        <v>4468986.3633566014</v>
      </c>
      <c r="L395" s="122">
        <f>IF(K399&gt;0, K395/K399, 0)</f>
        <v>0.4011407881598027</v>
      </c>
      <c r="M395" s="71"/>
      <c r="N395" s="10">
        <f>ROUND(M399*L395,0)</f>
        <v>3701130</v>
      </c>
      <c r="O395" s="70">
        <v>3546655</v>
      </c>
      <c r="P395" s="10">
        <f>N395-O395</f>
        <v>154475</v>
      </c>
      <c r="Q395" s="46">
        <f t="shared" si="59"/>
        <v>4.3555124476443297</v>
      </c>
      <c r="R395" s="10">
        <v>469</v>
      </c>
      <c r="S395" s="7">
        <f t="shared" si="62"/>
        <v>0</v>
      </c>
      <c r="T395" s="124">
        <f t="shared" si="63"/>
        <v>78</v>
      </c>
      <c r="U395" s="124">
        <f t="shared" si="64"/>
        <v>78</v>
      </c>
      <c r="V395" s="124">
        <f t="shared" si="65"/>
        <v>386</v>
      </c>
      <c r="W395" s="124">
        <f t="shared" si="66"/>
        <v>485</v>
      </c>
      <c r="X395" s="124">
        <f t="shared" si="67"/>
        <v>4468986.3633566014</v>
      </c>
      <c r="Y395" s="264">
        <f t="shared" ref="Y395:Y458" si="68">D395</f>
        <v>386</v>
      </c>
      <c r="Z395" s="10">
        <v>78</v>
      </c>
      <c r="AA395" s="7">
        <v>78</v>
      </c>
      <c r="AB395" s="7">
        <v>386</v>
      </c>
      <c r="AC395" s="109">
        <v>485</v>
      </c>
      <c r="AD395" s="109">
        <v>4468986.3633566014</v>
      </c>
      <c r="AE395" s="125"/>
      <c r="AF395" s="10"/>
      <c r="AI395" s="109"/>
      <c r="AJ395" s="109"/>
      <c r="AL395" s="10"/>
      <c r="AO395" s="109"/>
      <c r="AP395" s="109"/>
      <c r="AR395" s="10"/>
      <c r="AU395" s="109"/>
      <c r="AV395" s="109"/>
      <c r="AX395" s="10"/>
      <c r="BA395" s="109"/>
      <c r="BB395" s="109"/>
      <c r="BD395" s="10"/>
      <c r="BG395" s="109"/>
      <c r="BH395" s="109"/>
      <c r="BJ395" s="10"/>
      <c r="BM395" s="109"/>
      <c r="BN395" s="109"/>
      <c r="BP395" s="10"/>
      <c r="BS395" s="109"/>
      <c r="BT395" s="109"/>
      <c r="BV395" s="10"/>
      <c r="BY395" s="109"/>
      <c r="BZ395" s="109"/>
      <c r="CB395" s="10"/>
      <c r="CE395" s="109"/>
      <c r="CF395" s="109"/>
      <c r="CH395" s="10"/>
      <c r="CK395" s="109"/>
      <c r="CL395" s="109"/>
    </row>
    <row r="396" spans="1:90">
      <c r="A396" s="7" t="str">
        <f t="shared" si="61"/>
        <v>00780655</v>
      </c>
      <c r="B396" s="7" t="s">
        <v>2417</v>
      </c>
      <c r="C396" s="7" t="s">
        <v>2709</v>
      </c>
      <c r="D396" s="7">
        <v>387</v>
      </c>
      <c r="E396" s="7">
        <v>78</v>
      </c>
      <c r="F396" s="7" t="s">
        <v>1784</v>
      </c>
      <c r="G396" s="7">
        <v>655</v>
      </c>
      <c r="H396" s="7" t="s">
        <v>1636</v>
      </c>
      <c r="I396" s="37">
        <v>6465444</v>
      </c>
      <c r="J396" s="122">
        <v>0.60042965913586821</v>
      </c>
      <c r="K396" s="123">
        <f t="shared" si="60"/>
        <v>6620408.4658686053</v>
      </c>
      <c r="L396" s="122">
        <f>IF(K399&gt;0, K396/K399, 0)</f>
        <v>0.59425463718436733</v>
      </c>
      <c r="M396" s="71"/>
      <c r="N396" s="10">
        <f>ROUND(M399*L396,0)</f>
        <v>5482897</v>
      </c>
      <c r="O396" s="70">
        <v>5414107</v>
      </c>
      <c r="P396" s="10">
        <f>N396-O396</f>
        <v>68790</v>
      </c>
      <c r="Q396" s="46">
        <f t="shared" si="59"/>
        <v>1.2705696433409979</v>
      </c>
      <c r="R396" s="10">
        <v>670</v>
      </c>
      <c r="S396" s="7">
        <f t="shared" si="62"/>
        <v>0</v>
      </c>
      <c r="T396" s="124">
        <f t="shared" si="63"/>
        <v>78</v>
      </c>
      <c r="U396" s="124">
        <f t="shared" si="64"/>
        <v>655</v>
      </c>
      <c r="V396" s="124">
        <f t="shared" si="65"/>
        <v>387</v>
      </c>
      <c r="W396" s="124">
        <f t="shared" si="66"/>
        <v>674.40997463552003</v>
      </c>
      <c r="X396" s="124">
        <f t="shared" si="67"/>
        <v>6620408.4658686053</v>
      </c>
      <c r="Y396" s="264">
        <f t="shared" si="68"/>
        <v>387</v>
      </c>
      <c r="Z396" s="10">
        <v>78</v>
      </c>
      <c r="AA396" s="7">
        <v>655</v>
      </c>
      <c r="AB396" s="7">
        <v>387</v>
      </c>
      <c r="AC396" s="109">
        <v>674.40997463552003</v>
      </c>
      <c r="AD396" s="109">
        <v>6620408.4658686053</v>
      </c>
      <c r="AE396" s="125"/>
      <c r="AF396" s="10"/>
      <c r="AI396" s="109"/>
      <c r="AJ396" s="109"/>
      <c r="AL396" s="10"/>
      <c r="AO396" s="109"/>
      <c r="AP396" s="109"/>
      <c r="AR396" s="10"/>
      <c r="AU396" s="109"/>
      <c r="AV396" s="109"/>
      <c r="AX396" s="10"/>
      <c r="BA396" s="109"/>
      <c r="BB396" s="109"/>
      <c r="BD396" s="10"/>
      <c r="BG396" s="109"/>
      <c r="BH396" s="109"/>
      <c r="BJ396" s="10"/>
      <c r="BM396" s="109"/>
      <c r="BN396" s="109"/>
      <c r="BP396" s="10"/>
      <c r="BS396" s="109"/>
      <c r="BT396" s="109"/>
      <c r="BV396" s="10"/>
      <c r="BY396" s="109"/>
      <c r="BZ396" s="109"/>
      <c r="CB396" s="10"/>
      <c r="CE396" s="109"/>
      <c r="CF396" s="109"/>
      <c r="CH396" s="10"/>
      <c r="CK396" s="109"/>
      <c r="CL396" s="109"/>
    </row>
    <row r="397" spans="1:90">
      <c r="A397" s="7" t="str">
        <f t="shared" si="61"/>
        <v>00780830</v>
      </c>
      <c r="B397" s="7" t="s">
        <v>2417</v>
      </c>
      <c r="C397" s="7" t="s">
        <v>2764</v>
      </c>
      <c r="D397" s="7">
        <v>388</v>
      </c>
      <c r="E397" s="7">
        <v>78</v>
      </c>
      <c r="F397" s="7" t="s">
        <v>1784</v>
      </c>
      <c r="G397" s="7">
        <v>830</v>
      </c>
      <c r="H397" s="7" t="s">
        <v>1691</v>
      </c>
      <c r="I397" s="37">
        <v>34948</v>
      </c>
      <c r="J397" s="122">
        <v>3.2455335979215539E-3</v>
      </c>
      <c r="K397" s="123">
        <f t="shared" si="60"/>
        <v>18353.557857539734</v>
      </c>
      <c r="L397" s="122">
        <f>IF(K399&gt;0, K397/K399, 0)</f>
        <v>1.6474341306739295E-3</v>
      </c>
      <c r="M397" s="71"/>
      <c r="N397" s="10">
        <f>ROUND(M399*L397,0)</f>
        <v>15200</v>
      </c>
      <c r="O397" s="70">
        <v>29265</v>
      </c>
      <c r="P397" s="10">
        <f>N397-O397</f>
        <v>-14065</v>
      </c>
      <c r="Q397" s="46">
        <f t="shared" si="59"/>
        <v>-48.060823509311462</v>
      </c>
      <c r="R397" s="10">
        <v>2</v>
      </c>
      <c r="S397" s="7">
        <f t="shared" si="62"/>
        <v>0</v>
      </c>
      <c r="T397" s="124">
        <f t="shared" si="63"/>
        <v>78</v>
      </c>
      <c r="U397" s="124">
        <f t="shared" si="64"/>
        <v>830</v>
      </c>
      <c r="V397" s="124">
        <f t="shared" si="65"/>
        <v>388</v>
      </c>
      <c r="W397" s="124">
        <f t="shared" si="66"/>
        <v>1.00289854912</v>
      </c>
      <c r="X397" s="124">
        <f t="shared" si="67"/>
        <v>18353.557857539734</v>
      </c>
      <c r="Y397" s="264">
        <f t="shared" si="68"/>
        <v>388</v>
      </c>
      <c r="Z397" s="10">
        <v>78</v>
      </c>
      <c r="AA397" s="7">
        <v>830</v>
      </c>
      <c r="AB397" s="7">
        <v>388</v>
      </c>
      <c r="AC397" s="109">
        <v>1.00289854912</v>
      </c>
      <c r="AD397" s="109">
        <v>18353.557857539734</v>
      </c>
      <c r="AE397" s="125"/>
      <c r="AF397" s="10"/>
      <c r="AI397" s="109"/>
      <c r="AJ397" s="109"/>
      <c r="AL397" s="10"/>
      <c r="AO397" s="109"/>
      <c r="AP397" s="109"/>
      <c r="AR397" s="10"/>
      <c r="AU397" s="109"/>
      <c r="AV397" s="109"/>
      <c r="AX397" s="10"/>
      <c r="BA397" s="109"/>
      <c r="BB397" s="109"/>
      <c r="BD397" s="10"/>
      <c r="BG397" s="109"/>
      <c r="BH397" s="109"/>
      <c r="BJ397" s="10"/>
      <c r="BM397" s="109"/>
      <c r="BN397" s="109"/>
      <c r="BP397" s="10"/>
      <c r="BS397" s="109"/>
      <c r="BT397" s="109"/>
      <c r="BV397" s="10"/>
      <c r="BY397" s="109"/>
      <c r="BZ397" s="109"/>
      <c r="CB397" s="10"/>
      <c r="CE397" s="109"/>
      <c r="CF397" s="109"/>
      <c r="CH397" s="10"/>
      <c r="CK397" s="109"/>
      <c r="CL397" s="109"/>
    </row>
    <row r="398" spans="1:90">
      <c r="A398" s="7" t="str">
        <f t="shared" si="61"/>
        <v>00780915</v>
      </c>
      <c r="B398" s="7" t="s">
        <v>2417</v>
      </c>
      <c r="C398" s="7" t="s">
        <v>2779</v>
      </c>
      <c r="D398" s="7">
        <v>389</v>
      </c>
      <c r="E398" s="7">
        <v>78</v>
      </c>
      <c r="F398" s="7" t="s">
        <v>1784</v>
      </c>
      <c r="G398" s="7">
        <v>915</v>
      </c>
      <c r="H398" s="7" t="s">
        <v>1706</v>
      </c>
      <c r="I398" s="37">
        <v>32275</v>
      </c>
      <c r="J398" s="122">
        <v>2.9972987545186609E-3</v>
      </c>
      <c r="K398" s="123">
        <f t="shared" si="60"/>
        <v>32944.594694734602</v>
      </c>
      <c r="L398" s="122">
        <f>IF(K399&gt;0, K398/K399, 0)</f>
        <v>2.9571405251559439E-3</v>
      </c>
      <c r="M398" s="71"/>
      <c r="N398" s="10">
        <f>ROUND(M399*L398,0)</f>
        <v>27284</v>
      </c>
      <c r="O398" s="70">
        <v>27027</v>
      </c>
      <c r="P398" s="10">
        <f>N398-O398</f>
        <v>257</v>
      </c>
      <c r="Q398" s="46">
        <f t="shared" si="59"/>
        <v>0.95090095090095095</v>
      </c>
      <c r="R398" s="10">
        <v>2</v>
      </c>
      <c r="S398" s="7">
        <f t="shared" si="62"/>
        <v>0</v>
      </c>
      <c r="T398" s="124">
        <f t="shared" si="63"/>
        <v>78</v>
      </c>
      <c r="U398" s="124">
        <f t="shared" si="64"/>
        <v>915</v>
      </c>
      <c r="V398" s="124">
        <f t="shared" si="65"/>
        <v>389</v>
      </c>
      <c r="W398" s="124">
        <f t="shared" si="66"/>
        <v>1.9999999996200002</v>
      </c>
      <c r="X398" s="124">
        <f t="shared" si="67"/>
        <v>32944.594694734602</v>
      </c>
      <c r="Y398" s="264">
        <f t="shared" si="68"/>
        <v>389</v>
      </c>
      <c r="Z398" s="10">
        <v>78</v>
      </c>
      <c r="AA398" s="7">
        <v>915</v>
      </c>
      <c r="AB398" s="7">
        <v>389</v>
      </c>
      <c r="AC398" s="109">
        <v>1.9999999996200002</v>
      </c>
      <c r="AD398" s="109">
        <v>32944.594694734602</v>
      </c>
      <c r="AE398" s="125"/>
      <c r="AF398" s="10"/>
      <c r="AI398" s="109"/>
      <c r="AJ398" s="109"/>
      <c r="AL398" s="10"/>
      <c r="AO398" s="109"/>
      <c r="AP398" s="109"/>
      <c r="AR398" s="10"/>
      <c r="AU398" s="109"/>
      <c r="AV398" s="109"/>
      <c r="AX398" s="10"/>
      <c r="BA398" s="109"/>
      <c r="BB398" s="109"/>
      <c r="BD398" s="10"/>
      <c r="BG398" s="109"/>
      <c r="BH398" s="109"/>
      <c r="BJ398" s="10"/>
      <c r="BM398" s="109"/>
      <c r="BN398" s="109"/>
      <c r="BP398" s="10"/>
      <c r="BS398" s="109"/>
      <c r="BT398" s="109"/>
      <c r="BV398" s="10"/>
      <c r="BY398" s="109"/>
      <c r="BZ398" s="109"/>
      <c r="CB398" s="10"/>
      <c r="CE398" s="109"/>
      <c r="CF398" s="109"/>
      <c r="CH398" s="10"/>
      <c r="CK398" s="109"/>
      <c r="CL398" s="109"/>
    </row>
    <row r="399" spans="1:90">
      <c r="A399" s="7" t="str">
        <f t="shared" si="61"/>
        <v>00780999</v>
      </c>
      <c r="B399" s="7" t="s">
        <v>2417</v>
      </c>
      <c r="C399" s="7" t="s">
        <v>2782</v>
      </c>
      <c r="D399" s="7">
        <v>390</v>
      </c>
      <c r="E399" s="11">
        <v>78</v>
      </c>
      <c r="F399" s="11" t="s">
        <v>1784</v>
      </c>
      <c r="G399" s="11">
        <v>999</v>
      </c>
      <c r="H399" s="11" t="s">
        <v>1132</v>
      </c>
      <c r="I399" s="105">
        <v>10768029.029920001</v>
      </c>
      <c r="J399" s="126">
        <v>1</v>
      </c>
      <c r="K399" s="127">
        <f>SUM(K395:K398)</f>
        <v>11140692.981777482</v>
      </c>
      <c r="L399" s="126">
        <f>SUM(L395:L398)</f>
        <v>0.99999999999999989</v>
      </c>
      <c r="M399" s="105">
        <f>VLOOKUP(E399,town351,22)</f>
        <v>9226511</v>
      </c>
      <c r="N399" s="105">
        <f>SUM(N395:N398)</f>
        <v>9226511</v>
      </c>
      <c r="O399" s="128">
        <v>9017054</v>
      </c>
      <c r="P399" s="105">
        <f>SUM(P395:P398)</f>
        <v>209457</v>
      </c>
      <c r="Q399" s="45">
        <f t="shared" si="59"/>
        <v>2.322898365696823</v>
      </c>
      <c r="R399" s="105">
        <v>1143</v>
      </c>
      <c r="S399" s="7">
        <f t="shared" si="62"/>
        <v>0</v>
      </c>
      <c r="T399" s="124">
        <f t="shared" si="63"/>
        <v>78</v>
      </c>
      <c r="U399" s="124">
        <f t="shared" si="64"/>
        <v>999</v>
      </c>
      <c r="V399" s="124">
        <f t="shared" si="65"/>
        <v>390</v>
      </c>
      <c r="W399" s="124">
        <f t="shared" si="66"/>
        <v>1162.41287318426</v>
      </c>
      <c r="X399" s="124">
        <f t="shared" si="67"/>
        <v>11140692.981777482</v>
      </c>
      <c r="Y399" s="264">
        <f t="shared" si="68"/>
        <v>390</v>
      </c>
      <c r="Z399" s="10">
        <v>78</v>
      </c>
      <c r="AA399" s="7">
        <v>999</v>
      </c>
      <c r="AB399" s="7">
        <v>390</v>
      </c>
      <c r="AC399" s="109">
        <v>1162.41287318426</v>
      </c>
      <c r="AD399" s="109">
        <v>11140692.981777482</v>
      </c>
      <c r="AE399" s="125"/>
      <c r="AF399" s="10"/>
      <c r="AI399" s="109"/>
      <c r="AJ399" s="109"/>
      <c r="AL399" s="10"/>
      <c r="AO399" s="109"/>
      <c r="AP399" s="109"/>
      <c r="AR399" s="10"/>
      <c r="AU399" s="109"/>
      <c r="AV399" s="109"/>
      <c r="AX399" s="10"/>
      <c r="BA399" s="109"/>
      <c r="BB399" s="109"/>
      <c r="BD399" s="10"/>
      <c r="BG399" s="109"/>
      <c r="BH399" s="109"/>
      <c r="BJ399" s="10"/>
      <c r="BM399" s="109"/>
      <c r="BN399" s="109"/>
      <c r="BP399" s="10"/>
      <c r="BS399" s="109"/>
      <c r="BT399" s="109"/>
      <c r="BV399" s="10"/>
      <c r="BY399" s="109"/>
      <c r="BZ399" s="109"/>
      <c r="CB399" s="10"/>
      <c r="CE399" s="109"/>
      <c r="CF399" s="109"/>
      <c r="CH399" s="10"/>
      <c r="CK399" s="109"/>
      <c r="CL399" s="109"/>
    </row>
    <row r="400" spans="1:90">
      <c r="A400" s="7" t="str">
        <f t="shared" si="61"/>
        <v>00790079</v>
      </c>
      <c r="B400" s="7" t="s">
        <v>2418</v>
      </c>
      <c r="C400" s="7" t="s">
        <v>2418</v>
      </c>
      <c r="D400" s="7">
        <v>391</v>
      </c>
      <c r="E400" s="7">
        <v>79</v>
      </c>
      <c r="F400" s="7" t="s">
        <v>1785</v>
      </c>
      <c r="G400" s="7">
        <v>79</v>
      </c>
      <c r="H400" s="7" t="s">
        <v>1345</v>
      </c>
      <c r="I400" s="37">
        <v>37207996.850000001</v>
      </c>
      <c r="J400" s="122">
        <v>0.83213211451031199</v>
      </c>
      <c r="K400" s="123">
        <f>X400</f>
        <v>37300000.771409988</v>
      </c>
      <c r="L400" s="122">
        <f>IF(K404&gt;0, K400/K404, 0)</f>
        <v>0.8225844417138698</v>
      </c>
      <c r="M400" s="71"/>
      <c r="N400" s="10">
        <f>ROUND(M404*L400,0)</f>
        <v>20889283</v>
      </c>
      <c r="O400" s="70">
        <v>20566818</v>
      </c>
      <c r="P400" s="10">
        <f>N400-O400</f>
        <v>322465</v>
      </c>
      <c r="Q400" s="46">
        <f>IF(O400&gt;0,P400*100/O400,IF(P400&gt;0,100,0))</f>
        <v>1.5678895977005292</v>
      </c>
      <c r="R400" s="10">
        <v>3827</v>
      </c>
      <c r="S400" s="7">
        <f t="shared" si="62"/>
        <v>0</v>
      </c>
      <c r="T400" s="124">
        <f t="shared" si="63"/>
        <v>79</v>
      </c>
      <c r="U400" s="124">
        <f t="shared" si="64"/>
        <v>79</v>
      </c>
      <c r="V400" s="124">
        <f t="shared" si="65"/>
        <v>391</v>
      </c>
      <c r="W400" s="124">
        <f t="shared" si="66"/>
        <v>3769</v>
      </c>
      <c r="X400" s="124">
        <f t="shared" si="67"/>
        <v>37300000.771409988</v>
      </c>
      <c r="Y400" s="264">
        <f t="shared" si="68"/>
        <v>391</v>
      </c>
      <c r="Z400" s="10">
        <v>79</v>
      </c>
      <c r="AA400" s="7">
        <v>79</v>
      </c>
      <c r="AB400" s="7">
        <v>391</v>
      </c>
      <c r="AC400" s="109">
        <v>3769</v>
      </c>
      <c r="AD400" s="109">
        <v>37300000.771409988</v>
      </c>
      <c r="AE400" s="125"/>
      <c r="AF400" s="10"/>
      <c r="AI400" s="109"/>
      <c r="AJ400" s="109"/>
      <c r="AL400" s="10"/>
      <c r="AO400" s="109"/>
      <c r="AP400" s="109"/>
      <c r="AR400" s="10"/>
      <c r="AU400" s="109"/>
      <c r="AV400" s="109"/>
      <c r="AX400" s="10"/>
      <c r="BA400" s="109"/>
      <c r="BB400" s="109"/>
      <c r="BD400" s="10"/>
      <c r="BG400" s="109"/>
      <c r="BH400" s="109"/>
      <c r="BJ400" s="10"/>
      <c r="BM400" s="109"/>
      <c r="BN400" s="109"/>
      <c r="BP400" s="10"/>
      <c r="BS400" s="109"/>
      <c r="BT400" s="109"/>
      <c r="BV400" s="10"/>
      <c r="BY400" s="109"/>
      <c r="BZ400" s="109"/>
      <c r="CB400" s="10"/>
      <c r="CE400" s="109"/>
      <c r="CF400" s="109"/>
      <c r="CH400" s="10"/>
      <c r="CK400" s="109"/>
      <c r="CL400" s="109"/>
    </row>
    <row r="401" spans="1:90">
      <c r="A401" s="7" t="str">
        <f t="shared" si="61"/>
        <v>00790828</v>
      </c>
      <c r="B401" s="7" t="s">
        <v>2418</v>
      </c>
      <c r="C401" s="7" t="s">
        <v>2762</v>
      </c>
      <c r="D401" s="7">
        <v>392</v>
      </c>
      <c r="E401" s="7">
        <v>79</v>
      </c>
      <c r="F401" s="7" t="s">
        <v>1785</v>
      </c>
      <c r="G401" s="7">
        <v>828</v>
      </c>
      <c r="H401" s="7" t="s">
        <v>1689</v>
      </c>
      <c r="I401" s="37">
        <v>7506053</v>
      </c>
      <c r="J401" s="122">
        <v>0.16786788548968798</v>
      </c>
      <c r="K401" s="123">
        <f t="shared" si="60"/>
        <v>8044888.9200297734</v>
      </c>
      <c r="L401" s="122">
        <f>IF(K404&gt;0, K401/K404, 0)</f>
        <v>0.17741555828613015</v>
      </c>
      <c r="M401" s="71"/>
      <c r="N401" s="10">
        <f>ROUND(M404*L401,0)</f>
        <v>4505415</v>
      </c>
      <c r="O401" s="70">
        <v>4148990</v>
      </c>
      <c r="P401" s="10">
        <f>N401-O401</f>
        <v>356425</v>
      </c>
      <c r="Q401" s="46">
        <f>IF(O401&gt;0,P401*100/O401,IF(P401&gt;0,100,0))</f>
        <v>8.590644952144979</v>
      </c>
      <c r="R401" s="10">
        <v>462</v>
      </c>
      <c r="S401" s="7">
        <f t="shared" si="62"/>
        <v>0</v>
      </c>
      <c r="T401" s="124">
        <f t="shared" si="63"/>
        <v>79</v>
      </c>
      <c r="U401" s="124">
        <f t="shared" si="64"/>
        <v>828</v>
      </c>
      <c r="V401" s="124">
        <f t="shared" si="65"/>
        <v>392</v>
      </c>
      <c r="W401" s="124">
        <f t="shared" si="66"/>
        <v>482.99999999011999</v>
      </c>
      <c r="X401" s="124">
        <f t="shared" si="67"/>
        <v>8044888.9200297734</v>
      </c>
      <c r="Y401" s="264">
        <f t="shared" si="68"/>
        <v>392</v>
      </c>
      <c r="Z401" s="10">
        <v>79</v>
      </c>
      <c r="AA401" s="7">
        <v>828</v>
      </c>
      <c r="AB401" s="7">
        <v>392</v>
      </c>
      <c r="AC401" s="109">
        <v>482.99999999011999</v>
      </c>
      <c r="AD401" s="109">
        <v>8044888.9200297734</v>
      </c>
      <c r="AE401" s="125"/>
      <c r="AF401" s="10"/>
      <c r="AI401" s="109"/>
      <c r="AJ401" s="109"/>
      <c r="AL401" s="10"/>
      <c r="AO401" s="109"/>
      <c r="AP401" s="109"/>
      <c r="AR401" s="10"/>
      <c r="AU401" s="109"/>
      <c r="AV401" s="109"/>
      <c r="AX401" s="10"/>
      <c r="BA401" s="109"/>
      <c r="BB401" s="109"/>
      <c r="BD401" s="10"/>
      <c r="BG401" s="109"/>
      <c r="BH401" s="109"/>
      <c r="BJ401" s="10"/>
      <c r="BM401" s="109"/>
      <c r="BN401" s="109"/>
      <c r="BP401" s="10"/>
      <c r="BS401" s="109"/>
      <c r="BT401" s="109"/>
      <c r="BV401" s="10"/>
      <c r="BY401" s="109"/>
      <c r="BZ401" s="109"/>
      <c r="CB401" s="10"/>
      <c r="CE401" s="109"/>
      <c r="CF401" s="109"/>
      <c r="CH401" s="10"/>
      <c r="CK401" s="109"/>
      <c r="CL401" s="109"/>
    </row>
    <row r="402" spans="1:90">
      <c r="A402" s="7" t="str">
        <f t="shared" si="61"/>
        <v>00790998</v>
      </c>
      <c r="B402" s="7" t="s">
        <v>2418</v>
      </c>
      <c r="C402" s="7" t="s">
        <v>2781</v>
      </c>
      <c r="D402" s="7">
        <v>393</v>
      </c>
      <c r="E402" s="7">
        <v>79</v>
      </c>
      <c r="F402" s="7" t="s">
        <v>2135</v>
      </c>
      <c r="G402" s="7">
        <v>998</v>
      </c>
      <c r="I402" s="129">
        <v>0</v>
      </c>
      <c r="J402" s="130">
        <v>0</v>
      </c>
      <c r="K402" s="123">
        <f t="shared" si="60"/>
        <v>0</v>
      </c>
      <c r="L402" s="122">
        <f>IF(K404&gt;0, K402/K404, 0)</f>
        <v>0</v>
      </c>
      <c r="M402" s="71"/>
      <c r="N402" s="10">
        <f>ROUND(M404*L402,0)</f>
        <v>0</v>
      </c>
      <c r="O402" s="70">
        <v>0</v>
      </c>
      <c r="P402" s="10">
        <f>N402-O402</f>
        <v>0</v>
      </c>
      <c r="Q402" s="46">
        <f>IF(O402&gt;0,P402*100/O402,IF(P402&gt;0,100,0))</f>
        <v>0</v>
      </c>
      <c r="R402" s="10">
        <v>0</v>
      </c>
      <c r="S402" s="7">
        <f t="shared" si="62"/>
        <v>0</v>
      </c>
      <c r="T402" s="124">
        <f t="shared" si="63"/>
        <v>79</v>
      </c>
      <c r="U402" s="124">
        <f t="shared" si="64"/>
        <v>998</v>
      </c>
      <c r="V402" s="124">
        <f t="shared" si="65"/>
        <v>393</v>
      </c>
      <c r="W402" s="124">
        <f t="shared" si="66"/>
        <v>0</v>
      </c>
      <c r="X402" s="124">
        <f t="shared" si="67"/>
        <v>0</v>
      </c>
      <c r="Y402" s="264">
        <f t="shared" si="68"/>
        <v>393</v>
      </c>
      <c r="Z402" s="10">
        <v>79</v>
      </c>
      <c r="AA402" s="7">
        <v>998</v>
      </c>
      <c r="AB402" s="7">
        <v>393</v>
      </c>
      <c r="AC402" s="109">
        <v>0</v>
      </c>
      <c r="AD402" s="109">
        <v>0</v>
      </c>
      <c r="AE402" s="125"/>
      <c r="AF402" s="10"/>
      <c r="AI402" s="109"/>
      <c r="AJ402" s="109"/>
      <c r="AL402" s="10"/>
      <c r="AO402" s="109"/>
      <c r="AP402" s="109"/>
      <c r="AR402" s="10"/>
      <c r="AU402" s="109"/>
      <c r="AV402" s="109"/>
      <c r="AX402" s="10"/>
      <c r="BA402" s="109"/>
      <c r="BB402" s="109"/>
      <c r="BD402" s="10"/>
      <c r="BG402" s="109"/>
      <c r="BH402" s="109"/>
      <c r="BJ402" s="10"/>
      <c r="BM402" s="109"/>
      <c r="BN402" s="109"/>
      <c r="BP402" s="10"/>
      <c r="BS402" s="109"/>
      <c r="BT402" s="109"/>
      <c r="BV402" s="10"/>
      <c r="BY402" s="109"/>
      <c r="BZ402" s="109"/>
      <c r="CB402" s="10"/>
      <c r="CE402" s="109"/>
      <c r="CF402" s="109"/>
      <c r="CH402" s="10"/>
      <c r="CK402" s="109"/>
      <c r="CL402" s="109"/>
    </row>
    <row r="403" spans="1:90">
      <c r="A403" s="7" t="str">
        <f t="shared" si="61"/>
        <v>00790998</v>
      </c>
      <c r="B403" s="7" t="s">
        <v>2418</v>
      </c>
      <c r="C403" s="7" t="s">
        <v>2781</v>
      </c>
      <c r="D403" s="7">
        <v>394</v>
      </c>
      <c r="E403" s="7">
        <v>79</v>
      </c>
      <c r="F403" s="7" t="s">
        <v>2135</v>
      </c>
      <c r="G403" s="7">
        <v>998</v>
      </c>
      <c r="H403" s="7" t="s">
        <v>2135</v>
      </c>
      <c r="I403" s="37">
        <v>0</v>
      </c>
      <c r="J403" s="122">
        <v>0</v>
      </c>
      <c r="K403" s="123">
        <f t="shared" si="60"/>
        <v>0</v>
      </c>
      <c r="L403" s="122">
        <f>IF(K404&gt;0, K403/K404, 0)</f>
        <v>0</v>
      </c>
      <c r="M403" s="71"/>
      <c r="N403" s="10">
        <f>ROUND(M404*L403,0)</f>
        <v>0</v>
      </c>
      <c r="O403" s="70">
        <v>0</v>
      </c>
      <c r="P403" s="10">
        <f>N403-O403</f>
        <v>0</v>
      </c>
      <c r="Q403" s="46">
        <f>IF(O403&gt;0,P403*100/O403,IF(P403&gt;0,100,0))</f>
        <v>0</v>
      </c>
      <c r="R403" s="10">
        <v>0</v>
      </c>
      <c r="S403" s="7">
        <f t="shared" si="62"/>
        <v>0</v>
      </c>
      <c r="T403" s="124">
        <f t="shared" si="63"/>
        <v>79</v>
      </c>
      <c r="U403" s="124">
        <f t="shared" si="64"/>
        <v>998</v>
      </c>
      <c r="V403" s="124">
        <f t="shared" si="65"/>
        <v>394</v>
      </c>
      <c r="W403" s="124">
        <f t="shared" si="66"/>
        <v>0</v>
      </c>
      <c r="X403" s="124">
        <f t="shared" si="67"/>
        <v>0</v>
      </c>
      <c r="Y403" s="264">
        <f t="shared" si="68"/>
        <v>394</v>
      </c>
      <c r="Z403" s="10">
        <v>79</v>
      </c>
      <c r="AA403" s="7">
        <v>998</v>
      </c>
      <c r="AB403" s="7">
        <v>394</v>
      </c>
      <c r="AC403" s="109">
        <v>0</v>
      </c>
      <c r="AD403" s="109">
        <v>0</v>
      </c>
      <c r="AE403" s="125"/>
      <c r="AF403" s="10"/>
      <c r="AI403" s="109"/>
      <c r="AJ403" s="109"/>
      <c r="AL403" s="10"/>
      <c r="AO403" s="109"/>
      <c r="AP403" s="109"/>
      <c r="AR403" s="10"/>
      <c r="AU403" s="109"/>
      <c r="AV403" s="109"/>
      <c r="AX403" s="10"/>
      <c r="BA403" s="109"/>
      <c r="BB403" s="109"/>
      <c r="BD403" s="10"/>
      <c r="BG403" s="109"/>
      <c r="BH403" s="109"/>
      <c r="BJ403" s="10"/>
      <c r="BM403" s="109"/>
      <c r="BN403" s="109"/>
      <c r="BP403" s="10"/>
      <c r="BS403" s="109"/>
      <c r="BT403" s="109"/>
      <c r="BV403" s="10"/>
      <c r="BY403" s="109"/>
      <c r="BZ403" s="109"/>
      <c r="CB403" s="10"/>
      <c r="CE403" s="109"/>
      <c r="CF403" s="109"/>
      <c r="CH403" s="10"/>
      <c r="CK403" s="109"/>
      <c r="CL403" s="109"/>
    </row>
    <row r="404" spans="1:90">
      <c r="A404" s="7" t="str">
        <f t="shared" si="61"/>
        <v>00790999</v>
      </c>
      <c r="B404" s="7" t="s">
        <v>2418</v>
      </c>
      <c r="C404" s="7" t="s">
        <v>2782</v>
      </c>
      <c r="D404" s="7">
        <v>395</v>
      </c>
      <c r="E404" s="11">
        <v>79</v>
      </c>
      <c r="F404" s="11" t="s">
        <v>1785</v>
      </c>
      <c r="G404" s="11">
        <v>999</v>
      </c>
      <c r="H404" s="11" t="s">
        <v>1132</v>
      </c>
      <c r="I404" s="105">
        <v>44714049.850000001</v>
      </c>
      <c r="J404" s="126">
        <v>1</v>
      </c>
      <c r="K404" s="127">
        <f>SUM(K400:K403)</f>
        <v>45344889.691439763</v>
      </c>
      <c r="L404" s="126">
        <f>SUM(L400:L403)</f>
        <v>1</v>
      </c>
      <c r="M404" s="105">
        <f>VLOOKUP(E404,town351,22)</f>
        <v>25394698</v>
      </c>
      <c r="N404" s="105">
        <f>SUM(N400:N403)</f>
        <v>25394698</v>
      </c>
      <c r="O404" s="128">
        <v>24715808</v>
      </c>
      <c r="P404" s="105">
        <f>SUM(P400:P403)</f>
        <v>678890</v>
      </c>
      <c r="Q404" s="45">
        <f t="shared" ref="Q404:Q463" si="69">IF(O404&gt;0,P404*100/O404,IF(P404&gt;0,100,0))</f>
        <v>2.7467845679979388</v>
      </c>
      <c r="R404" s="105">
        <v>4289</v>
      </c>
      <c r="S404" s="7">
        <f t="shared" si="62"/>
        <v>0</v>
      </c>
      <c r="T404" s="124">
        <f t="shared" si="63"/>
        <v>79</v>
      </c>
      <c r="U404" s="124">
        <f t="shared" si="64"/>
        <v>999</v>
      </c>
      <c r="V404" s="124">
        <f t="shared" si="65"/>
        <v>395</v>
      </c>
      <c r="W404" s="124">
        <f t="shared" si="66"/>
        <v>4251.9999999901202</v>
      </c>
      <c r="X404" s="124">
        <f t="shared" si="67"/>
        <v>45344889.691439763</v>
      </c>
      <c r="Y404" s="264">
        <f t="shared" si="68"/>
        <v>395</v>
      </c>
      <c r="Z404" s="10">
        <v>79</v>
      </c>
      <c r="AA404" s="7">
        <v>999</v>
      </c>
      <c r="AB404" s="7">
        <v>395</v>
      </c>
      <c r="AC404" s="109">
        <v>4251.9999999901202</v>
      </c>
      <c r="AD404" s="109">
        <v>45344889.691439763</v>
      </c>
      <c r="AE404" s="125"/>
      <c r="AF404" s="10"/>
      <c r="AI404" s="109"/>
      <c r="AJ404" s="109"/>
      <c r="AL404" s="10"/>
      <c r="AO404" s="109"/>
      <c r="AP404" s="109"/>
      <c r="AR404" s="10"/>
      <c r="AU404" s="109"/>
      <c r="AV404" s="109"/>
      <c r="AX404" s="10"/>
      <c r="BA404" s="109"/>
      <c r="BB404" s="109"/>
      <c r="BD404" s="10"/>
      <c r="BG404" s="109"/>
      <c r="BH404" s="109"/>
      <c r="BJ404" s="10"/>
      <c r="BM404" s="109"/>
      <c r="BN404" s="109"/>
      <c r="BP404" s="10"/>
      <c r="BS404" s="109"/>
      <c r="BT404" s="109"/>
      <c r="BV404" s="10"/>
      <c r="BY404" s="109"/>
      <c r="BZ404" s="109"/>
      <c r="CB404" s="10"/>
      <c r="CE404" s="109"/>
      <c r="CF404" s="109"/>
      <c r="CH404" s="10"/>
      <c r="CK404" s="109"/>
      <c r="CL404" s="109"/>
    </row>
    <row r="405" spans="1:90">
      <c r="A405" s="7" t="str">
        <f t="shared" si="61"/>
        <v>00800080</v>
      </c>
      <c r="B405" s="7" t="s">
        <v>2419</v>
      </c>
      <c r="C405" s="7" t="s">
        <v>2419</v>
      </c>
      <c r="D405" s="7">
        <v>396</v>
      </c>
      <c r="E405" s="7">
        <v>80</v>
      </c>
      <c r="F405" s="7" t="s">
        <v>1786</v>
      </c>
      <c r="G405" s="7">
        <v>80</v>
      </c>
      <c r="H405" s="7" t="s">
        <v>1346</v>
      </c>
      <c r="I405" s="37">
        <v>26341.840000000004</v>
      </c>
      <c r="J405" s="122">
        <v>1.3458983402382227E-3</v>
      </c>
      <c r="K405" s="123">
        <f t="shared" ref="K405:K468" si="70">X405</f>
        <v>26833.666687179095</v>
      </c>
      <c r="L405" s="122">
        <f>IF(K409&gt;0, K405/K409, 0)</f>
        <v>1.3520224480722742E-3</v>
      </c>
      <c r="M405" s="71"/>
      <c r="N405" s="10">
        <f>ROUND(M409*L405,0)</f>
        <v>8759</v>
      </c>
      <c r="O405" s="70">
        <v>8192</v>
      </c>
      <c r="P405" s="10">
        <f>N405-O405</f>
        <v>567</v>
      </c>
      <c r="Q405" s="46">
        <f t="shared" si="69"/>
        <v>6.92138671875</v>
      </c>
      <c r="R405" s="10">
        <v>2</v>
      </c>
      <c r="S405" s="7">
        <f t="shared" si="62"/>
        <v>0</v>
      </c>
      <c r="T405" s="124">
        <f t="shared" si="63"/>
        <v>80</v>
      </c>
      <c r="U405" s="124">
        <f t="shared" si="64"/>
        <v>80</v>
      </c>
      <c r="V405" s="124">
        <f t="shared" si="65"/>
        <v>396</v>
      </c>
      <c r="W405" s="124">
        <f t="shared" si="66"/>
        <v>2</v>
      </c>
      <c r="X405" s="124">
        <f t="shared" si="67"/>
        <v>26833.666687179095</v>
      </c>
      <c r="Y405" s="264">
        <f t="shared" si="68"/>
        <v>396</v>
      </c>
      <c r="Z405" s="10">
        <v>80</v>
      </c>
      <c r="AA405" s="7">
        <v>80</v>
      </c>
      <c r="AB405" s="7">
        <v>396</v>
      </c>
      <c r="AC405" s="109">
        <v>2</v>
      </c>
      <c r="AD405" s="109">
        <v>26833.666687179095</v>
      </c>
      <c r="AE405" s="125"/>
      <c r="AF405" s="10"/>
      <c r="AI405" s="109"/>
      <c r="AJ405" s="109"/>
      <c r="AL405" s="10"/>
      <c r="AO405" s="109"/>
      <c r="AP405" s="109"/>
      <c r="AR405" s="10"/>
      <c r="AU405" s="109"/>
      <c r="AV405" s="109"/>
      <c r="AX405" s="10"/>
      <c r="BA405" s="109"/>
      <c r="BB405" s="109"/>
      <c r="BD405" s="10"/>
      <c r="BG405" s="109"/>
      <c r="BH405" s="109"/>
      <c r="BJ405" s="10"/>
      <c r="BM405" s="109"/>
      <c r="BN405" s="109"/>
      <c r="BP405" s="10"/>
      <c r="BS405" s="109"/>
      <c r="BT405" s="109"/>
      <c r="BV405" s="10"/>
      <c r="BY405" s="109"/>
      <c r="BZ405" s="109"/>
      <c r="CB405" s="10"/>
      <c r="CE405" s="109"/>
      <c r="CF405" s="109"/>
      <c r="CH405" s="10"/>
      <c r="CK405" s="109"/>
      <c r="CL405" s="109"/>
    </row>
    <row r="406" spans="1:90">
      <c r="A406" s="7" t="str">
        <f t="shared" si="61"/>
        <v>00800658</v>
      </c>
      <c r="B406" s="7" t="s">
        <v>2419</v>
      </c>
      <c r="C406" s="7" t="s">
        <v>2710</v>
      </c>
      <c r="D406" s="7">
        <v>397</v>
      </c>
      <c r="E406" s="7">
        <v>80</v>
      </c>
      <c r="F406" s="7" t="s">
        <v>1786</v>
      </c>
      <c r="G406" s="7">
        <v>658</v>
      </c>
      <c r="H406" s="7" t="s">
        <v>1637</v>
      </c>
      <c r="I406" s="37">
        <v>17627806</v>
      </c>
      <c r="J406" s="122">
        <v>0.90066733521429709</v>
      </c>
      <c r="K406" s="123">
        <f t="shared" si="70"/>
        <v>17887961.346121069</v>
      </c>
      <c r="L406" s="122">
        <f>IF(K409&gt;0, K406/K409, 0)</f>
        <v>0.90129036676751229</v>
      </c>
      <c r="M406" s="71"/>
      <c r="N406" s="10">
        <f>ROUND(M409*L406,0)</f>
        <v>5838682</v>
      </c>
      <c r="O406" s="70">
        <v>5482143</v>
      </c>
      <c r="P406" s="10">
        <f>N406-O406</f>
        <v>356539</v>
      </c>
      <c r="Q406" s="46">
        <f t="shared" si="69"/>
        <v>6.5036428272666367</v>
      </c>
      <c r="R406" s="10">
        <v>1815</v>
      </c>
      <c r="S406" s="7">
        <f t="shared" si="62"/>
        <v>0</v>
      </c>
      <c r="T406" s="124">
        <f t="shared" si="63"/>
        <v>80</v>
      </c>
      <c r="U406" s="124">
        <f t="shared" si="64"/>
        <v>658</v>
      </c>
      <c r="V406" s="124">
        <f t="shared" si="65"/>
        <v>397</v>
      </c>
      <c r="W406" s="124">
        <f t="shared" si="66"/>
        <v>1802.98979325402</v>
      </c>
      <c r="X406" s="124">
        <f t="shared" si="67"/>
        <v>17887961.346121069</v>
      </c>
      <c r="Y406" s="264">
        <f t="shared" si="68"/>
        <v>397</v>
      </c>
      <c r="Z406" s="10">
        <v>80</v>
      </c>
      <c r="AA406" s="7">
        <v>658</v>
      </c>
      <c r="AB406" s="7">
        <v>397</v>
      </c>
      <c r="AC406" s="109">
        <v>1802.98979325402</v>
      </c>
      <c r="AD406" s="109">
        <v>17887961.346121069</v>
      </c>
      <c r="AE406" s="125"/>
      <c r="AF406" s="10"/>
      <c r="AI406" s="109"/>
      <c r="AJ406" s="109"/>
      <c r="AL406" s="10"/>
      <c r="AO406" s="109"/>
      <c r="AP406" s="109"/>
      <c r="AR406" s="10"/>
      <c r="AU406" s="109"/>
      <c r="AV406" s="109"/>
      <c r="AX406" s="10"/>
      <c r="BA406" s="109"/>
      <c r="BB406" s="109"/>
      <c r="BD406" s="10"/>
      <c r="BG406" s="109"/>
      <c r="BH406" s="109"/>
      <c r="BJ406" s="10"/>
      <c r="BM406" s="109"/>
      <c r="BN406" s="109"/>
      <c r="BP406" s="10"/>
      <c r="BS406" s="109"/>
      <c r="BT406" s="109"/>
      <c r="BV406" s="10"/>
      <c r="BY406" s="109"/>
      <c r="BZ406" s="109"/>
      <c r="CB406" s="10"/>
      <c r="CE406" s="109"/>
      <c r="CF406" s="109"/>
      <c r="CH406" s="10"/>
      <c r="CK406" s="109"/>
      <c r="CL406" s="109"/>
    </row>
    <row r="407" spans="1:90">
      <c r="A407" s="7" t="str">
        <f t="shared" si="61"/>
        <v>00800876</v>
      </c>
      <c r="B407" s="7" t="s">
        <v>2419</v>
      </c>
      <c r="C407" s="7" t="s">
        <v>2774</v>
      </c>
      <c r="D407" s="7">
        <v>398</v>
      </c>
      <c r="E407" s="7">
        <v>80</v>
      </c>
      <c r="F407" s="7" t="s">
        <v>1786</v>
      </c>
      <c r="G407" s="7">
        <v>876</v>
      </c>
      <c r="H407" s="7" t="s">
        <v>1701</v>
      </c>
      <c r="I407" s="37">
        <v>1917791</v>
      </c>
      <c r="J407" s="122">
        <v>9.7986766445464737E-2</v>
      </c>
      <c r="K407" s="123">
        <f t="shared" si="70"/>
        <v>1932262.0574636089</v>
      </c>
      <c r="L407" s="122">
        <f>IF(K409&gt;0, K407/K409, 0)</f>
        <v>9.7357610784415488E-2</v>
      </c>
      <c r="M407" s="71"/>
      <c r="N407" s="10">
        <f>ROUND(M409*L407,0)</f>
        <v>630696</v>
      </c>
      <c r="O407" s="70">
        <v>596422</v>
      </c>
      <c r="P407" s="10">
        <f>N407-O407</f>
        <v>34274</v>
      </c>
      <c r="Q407" s="46">
        <f t="shared" si="69"/>
        <v>5.7466022380126827</v>
      </c>
      <c r="R407" s="10">
        <v>123</v>
      </c>
      <c r="S407" s="7">
        <f t="shared" si="62"/>
        <v>0</v>
      </c>
      <c r="T407" s="124">
        <f t="shared" si="63"/>
        <v>80</v>
      </c>
      <c r="U407" s="124">
        <f t="shared" si="64"/>
        <v>876</v>
      </c>
      <c r="V407" s="124">
        <f t="shared" si="65"/>
        <v>398</v>
      </c>
      <c r="W407" s="124">
        <f t="shared" si="66"/>
        <v>121.9999999993</v>
      </c>
      <c r="X407" s="124">
        <f t="shared" si="67"/>
        <v>1932262.0574636089</v>
      </c>
      <c r="Y407" s="264">
        <f t="shared" si="68"/>
        <v>398</v>
      </c>
      <c r="Z407" s="10">
        <v>80</v>
      </c>
      <c r="AA407" s="7">
        <v>876</v>
      </c>
      <c r="AB407" s="7">
        <v>398</v>
      </c>
      <c r="AC407" s="109">
        <v>121.9999999993</v>
      </c>
      <c r="AD407" s="109">
        <v>1932262.0574636089</v>
      </c>
      <c r="AE407" s="125"/>
      <c r="AF407" s="10"/>
      <c r="AI407" s="109"/>
      <c r="AJ407" s="109"/>
      <c r="AL407" s="10"/>
      <c r="AO407" s="109"/>
      <c r="AP407" s="109"/>
      <c r="AR407" s="10"/>
      <c r="AU407" s="109"/>
      <c r="AV407" s="109"/>
      <c r="AX407" s="10"/>
      <c r="BA407" s="109"/>
      <c r="BB407" s="109"/>
      <c r="BD407" s="10"/>
      <c r="BG407" s="109"/>
      <c r="BH407" s="109"/>
      <c r="BJ407" s="10"/>
      <c r="BM407" s="109"/>
      <c r="BN407" s="109"/>
      <c r="BP407" s="10"/>
      <c r="BS407" s="109"/>
      <c r="BT407" s="109"/>
      <c r="BV407" s="10"/>
      <c r="BY407" s="109"/>
      <c r="BZ407" s="109"/>
      <c r="CB407" s="10"/>
      <c r="CE407" s="109"/>
      <c r="CF407" s="109"/>
      <c r="CH407" s="10"/>
      <c r="CK407" s="109"/>
      <c r="CL407" s="109"/>
    </row>
    <row r="408" spans="1:90">
      <c r="A408" s="7" t="str">
        <f t="shared" si="61"/>
        <v>00800998</v>
      </c>
      <c r="B408" s="7" t="s">
        <v>2419</v>
      </c>
      <c r="C408" s="7" t="s">
        <v>2781</v>
      </c>
      <c r="D408" s="7">
        <v>399</v>
      </c>
      <c r="E408" s="7">
        <v>80</v>
      </c>
      <c r="F408" s="7" t="s">
        <v>2135</v>
      </c>
      <c r="G408" s="7">
        <v>998</v>
      </c>
      <c r="H408" s="7" t="s">
        <v>2135</v>
      </c>
      <c r="I408" s="37">
        <v>0</v>
      </c>
      <c r="J408" s="122">
        <v>0</v>
      </c>
      <c r="K408" s="123">
        <f t="shared" si="70"/>
        <v>0</v>
      </c>
      <c r="L408" s="122">
        <f>IF(K409&gt;0, K408/K409, 0)</f>
        <v>0</v>
      </c>
      <c r="M408" s="71"/>
      <c r="N408" s="10">
        <f>ROUND(M409*L408,0)</f>
        <v>0</v>
      </c>
      <c r="O408" s="70">
        <v>0</v>
      </c>
      <c r="P408" s="10">
        <f>N408-O408</f>
        <v>0</v>
      </c>
      <c r="Q408" s="46">
        <f t="shared" si="69"/>
        <v>0</v>
      </c>
      <c r="R408" s="10">
        <v>0</v>
      </c>
      <c r="S408" s="7">
        <f t="shared" si="62"/>
        <v>0</v>
      </c>
      <c r="T408" s="124">
        <f t="shared" si="63"/>
        <v>80</v>
      </c>
      <c r="U408" s="124">
        <f t="shared" si="64"/>
        <v>998</v>
      </c>
      <c r="V408" s="124">
        <f t="shared" si="65"/>
        <v>399</v>
      </c>
      <c r="W408" s="124">
        <f t="shared" si="66"/>
        <v>0</v>
      </c>
      <c r="X408" s="124">
        <f t="shared" si="67"/>
        <v>0</v>
      </c>
      <c r="Y408" s="264">
        <f t="shared" si="68"/>
        <v>399</v>
      </c>
      <c r="Z408" s="10">
        <v>80</v>
      </c>
      <c r="AA408" s="7">
        <v>998</v>
      </c>
      <c r="AB408" s="7">
        <v>399</v>
      </c>
      <c r="AC408" s="109">
        <v>0</v>
      </c>
      <c r="AD408" s="109">
        <v>0</v>
      </c>
      <c r="AE408" s="125"/>
      <c r="AF408" s="10"/>
      <c r="AI408" s="109"/>
      <c r="AJ408" s="109"/>
      <c r="AL408" s="10"/>
      <c r="AO408" s="109"/>
      <c r="AP408" s="109"/>
      <c r="AR408" s="10"/>
      <c r="AU408" s="109"/>
      <c r="AV408" s="109"/>
      <c r="AX408" s="10"/>
      <c r="BA408" s="109"/>
      <c r="BB408" s="109"/>
      <c r="BD408" s="10"/>
      <c r="BG408" s="109"/>
      <c r="BH408" s="109"/>
      <c r="BJ408" s="10"/>
      <c r="BM408" s="109"/>
      <c r="BN408" s="109"/>
      <c r="BP408" s="10"/>
      <c r="BS408" s="109"/>
      <c r="BT408" s="109"/>
      <c r="BV408" s="10"/>
      <c r="BY408" s="109"/>
      <c r="BZ408" s="109"/>
      <c r="CB408" s="10"/>
      <c r="CE408" s="109"/>
      <c r="CF408" s="109"/>
      <c r="CH408" s="10"/>
      <c r="CK408" s="109"/>
      <c r="CL408" s="109"/>
    </row>
    <row r="409" spans="1:90">
      <c r="A409" s="7" t="str">
        <f t="shared" si="61"/>
        <v>00800999</v>
      </c>
      <c r="B409" s="7" t="s">
        <v>2419</v>
      </c>
      <c r="C409" s="7" t="s">
        <v>2782</v>
      </c>
      <c r="D409" s="7">
        <v>400</v>
      </c>
      <c r="E409" s="11">
        <v>80</v>
      </c>
      <c r="F409" s="11" t="s">
        <v>1786</v>
      </c>
      <c r="G409" s="11">
        <v>999</v>
      </c>
      <c r="H409" s="11" t="s">
        <v>1132</v>
      </c>
      <c r="I409" s="105">
        <v>19571938.84</v>
      </c>
      <c r="J409" s="126">
        <v>1</v>
      </c>
      <c r="K409" s="127">
        <f>SUM(K405:K408)</f>
        <v>19847057.070271857</v>
      </c>
      <c r="L409" s="126">
        <f>SUM(L405:L408)</f>
        <v>1</v>
      </c>
      <c r="M409" s="105">
        <f>VLOOKUP(E409,town351,22)</f>
        <v>6478136</v>
      </c>
      <c r="N409" s="105">
        <f>SUM(N405:N408)</f>
        <v>6478137</v>
      </c>
      <c r="O409" s="128">
        <v>6086757</v>
      </c>
      <c r="P409" s="105">
        <f>SUM(P405:P408)</f>
        <v>391380</v>
      </c>
      <c r="Q409" s="45">
        <f t="shared" si="69"/>
        <v>6.4300250527497651</v>
      </c>
      <c r="R409" s="105">
        <v>1940</v>
      </c>
      <c r="S409" s="7">
        <f t="shared" si="62"/>
        <v>0</v>
      </c>
      <c r="T409" s="124">
        <f t="shared" si="63"/>
        <v>80</v>
      </c>
      <c r="U409" s="124">
        <f t="shared" si="64"/>
        <v>999</v>
      </c>
      <c r="V409" s="124">
        <f t="shared" si="65"/>
        <v>400</v>
      </c>
      <c r="W409" s="124">
        <f t="shared" si="66"/>
        <v>1926.9897932533199</v>
      </c>
      <c r="X409" s="124">
        <f t="shared" si="67"/>
        <v>19847057.070271857</v>
      </c>
      <c r="Y409" s="264">
        <f t="shared" si="68"/>
        <v>400</v>
      </c>
      <c r="Z409" s="10">
        <v>80</v>
      </c>
      <c r="AA409" s="7">
        <v>999</v>
      </c>
      <c r="AB409" s="7">
        <v>400</v>
      </c>
      <c r="AC409" s="109">
        <v>1926.9897932533199</v>
      </c>
      <c r="AD409" s="109">
        <v>19847057.070271857</v>
      </c>
      <c r="AE409" s="125"/>
      <c r="AF409" s="10"/>
      <c r="AI409" s="109"/>
      <c r="AJ409" s="109"/>
      <c r="AL409" s="10"/>
      <c r="AO409" s="109"/>
      <c r="AP409" s="109"/>
      <c r="AR409" s="10"/>
      <c r="AU409" s="109"/>
      <c r="AV409" s="109"/>
      <c r="AX409" s="10"/>
      <c r="BA409" s="109"/>
      <c r="BB409" s="109"/>
      <c r="BD409" s="10"/>
      <c r="BG409" s="109"/>
      <c r="BH409" s="109"/>
      <c r="BJ409" s="10"/>
      <c r="BM409" s="109"/>
      <c r="BN409" s="109"/>
      <c r="BP409" s="10"/>
      <c r="BS409" s="109"/>
      <c r="BT409" s="109"/>
      <c r="BV409" s="10"/>
      <c r="BY409" s="109"/>
      <c r="BZ409" s="109"/>
      <c r="CB409" s="10"/>
      <c r="CE409" s="109"/>
      <c r="CF409" s="109"/>
      <c r="CH409" s="10"/>
      <c r="CK409" s="109"/>
      <c r="CL409" s="109"/>
    </row>
    <row r="410" spans="1:90">
      <c r="A410" s="7" t="str">
        <f t="shared" si="61"/>
        <v>00810081</v>
      </c>
      <c r="B410" s="7" t="s">
        <v>2420</v>
      </c>
      <c r="C410" s="7" t="s">
        <v>2420</v>
      </c>
      <c r="D410" s="7">
        <v>401</v>
      </c>
      <c r="E410" s="7">
        <v>81</v>
      </c>
      <c r="F410" s="7" t="s">
        <v>1787</v>
      </c>
      <c r="G410" s="7">
        <v>81</v>
      </c>
      <c r="H410" s="7" t="s">
        <v>1347</v>
      </c>
      <c r="I410" s="37">
        <v>13170.920000000002</v>
      </c>
      <c r="J410" s="122">
        <v>2.55739816113043E-3</v>
      </c>
      <c r="K410" s="123">
        <f>X410</f>
        <v>13416.833343589547</v>
      </c>
      <c r="L410" s="122">
        <f>IF(K414&gt;0, K410/K414, 0)</f>
        <v>2.5283609941383822E-3</v>
      </c>
      <c r="M410" s="71"/>
      <c r="N410" s="10">
        <f>ROUND(M414*L410,0)</f>
        <v>11048</v>
      </c>
      <c r="O410" s="70">
        <v>10950</v>
      </c>
      <c r="P410" s="10">
        <f>N410-O410</f>
        <v>98</v>
      </c>
      <c r="Q410" s="46">
        <f t="shared" si="69"/>
        <v>0.89497716894977164</v>
      </c>
      <c r="R410" s="10">
        <v>1</v>
      </c>
      <c r="S410" s="7">
        <f t="shared" si="62"/>
        <v>0</v>
      </c>
      <c r="T410" s="124">
        <f t="shared" si="63"/>
        <v>81</v>
      </c>
      <c r="U410" s="124">
        <f t="shared" si="64"/>
        <v>81</v>
      </c>
      <c r="V410" s="124">
        <f t="shared" si="65"/>
        <v>401</v>
      </c>
      <c r="W410" s="124">
        <f t="shared" si="66"/>
        <v>1</v>
      </c>
      <c r="X410" s="124">
        <f t="shared" si="67"/>
        <v>13416.833343589547</v>
      </c>
      <c r="Y410" s="264">
        <f t="shared" si="68"/>
        <v>401</v>
      </c>
      <c r="Z410" s="10">
        <v>81</v>
      </c>
      <c r="AA410" s="7">
        <v>81</v>
      </c>
      <c r="AB410" s="7">
        <v>401</v>
      </c>
      <c r="AC410" s="109">
        <v>1</v>
      </c>
      <c r="AD410" s="109">
        <v>13416.833343589547</v>
      </c>
      <c r="AE410" s="125"/>
      <c r="AF410" s="10"/>
      <c r="AI410" s="109"/>
      <c r="AJ410" s="109"/>
      <c r="AL410" s="10"/>
      <c r="AO410" s="109"/>
      <c r="AP410" s="109"/>
      <c r="AR410" s="10"/>
      <c r="AU410" s="109"/>
      <c r="AV410" s="109"/>
      <c r="AX410" s="10"/>
      <c r="BA410" s="109"/>
      <c r="BB410" s="109"/>
      <c r="BD410" s="10"/>
      <c r="BG410" s="109"/>
      <c r="BH410" s="109"/>
      <c r="BJ410" s="10"/>
      <c r="BM410" s="109"/>
      <c r="BN410" s="109"/>
      <c r="BP410" s="10"/>
      <c r="BS410" s="109"/>
      <c r="BT410" s="109"/>
      <c r="BV410" s="10"/>
      <c r="BY410" s="109"/>
      <c r="BZ410" s="109"/>
      <c r="CB410" s="10"/>
      <c r="CE410" s="109"/>
      <c r="CF410" s="109"/>
      <c r="CH410" s="10"/>
      <c r="CK410" s="109"/>
      <c r="CL410" s="109"/>
    </row>
    <row r="411" spans="1:90">
      <c r="A411" s="7" t="str">
        <f t="shared" si="61"/>
        <v>00810673</v>
      </c>
      <c r="B411" s="7" t="s">
        <v>2420</v>
      </c>
      <c r="C411" s="7" t="s">
        <v>2716</v>
      </c>
      <c r="D411" s="7">
        <v>402</v>
      </c>
      <c r="E411" s="7">
        <v>81</v>
      </c>
      <c r="F411" s="7" t="s">
        <v>1787</v>
      </c>
      <c r="G411" s="7">
        <v>673</v>
      </c>
      <c r="H411" s="7" t="s">
        <v>1643</v>
      </c>
      <c r="I411" s="37">
        <v>4909498</v>
      </c>
      <c r="J411" s="122">
        <v>0.95327745953004961</v>
      </c>
      <c r="K411" s="123">
        <f t="shared" si="70"/>
        <v>5126556.2259136112</v>
      </c>
      <c r="L411" s="122">
        <f>IF(K414&gt;0, K411/K414, 0)</f>
        <v>0.96608375940290603</v>
      </c>
      <c r="M411" s="71"/>
      <c r="N411" s="10">
        <f>ROUND(M414*L411,0)</f>
        <v>4221457</v>
      </c>
      <c r="O411" s="70">
        <v>4081585</v>
      </c>
      <c r="P411" s="10">
        <f>N411-O411</f>
        <v>139872</v>
      </c>
      <c r="Q411" s="46">
        <f t="shared" si="69"/>
        <v>3.4269040091043061</v>
      </c>
      <c r="R411" s="10">
        <v>533</v>
      </c>
      <c r="S411" s="7">
        <f t="shared" si="62"/>
        <v>0</v>
      </c>
      <c r="T411" s="124">
        <f t="shared" si="63"/>
        <v>81</v>
      </c>
      <c r="U411" s="124">
        <f t="shared" si="64"/>
        <v>673</v>
      </c>
      <c r="V411" s="124">
        <f t="shared" si="65"/>
        <v>402</v>
      </c>
      <c r="W411" s="124">
        <f t="shared" si="66"/>
        <v>546.46228319039994</v>
      </c>
      <c r="X411" s="124">
        <f t="shared" si="67"/>
        <v>5126556.2259136112</v>
      </c>
      <c r="Y411" s="264">
        <f t="shared" si="68"/>
        <v>402</v>
      </c>
      <c r="Z411" s="10">
        <v>81</v>
      </c>
      <c r="AA411" s="7">
        <v>673</v>
      </c>
      <c r="AB411" s="7">
        <v>402</v>
      </c>
      <c r="AC411" s="109">
        <v>546.46228319039994</v>
      </c>
      <c r="AD411" s="109">
        <v>5126556.2259136112</v>
      </c>
      <c r="AE411" s="125"/>
      <c r="AF411" s="10"/>
      <c r="AI411" s="109"/>
      <c r="AJ411" s="109"/>
      <c r="AL411" s="10"/>
      <c r="AO411" s="109"/>
      <c r="AP411" s="109"/>
      <c r="AR411" s="10"/>
      <c r="AU411" s="109"/>
      <c r="AV411" s="109"/>
      <c r="AX411" s="10"/>
      <c r="BA411" s="109"/>
      <c r="BB411" s="109"/>
      <c r="BD411" s="10"/>
      <c r="BG411" s="109"/>
      <c r="BH411" s="109"/>
      <c r="BJ411" s="10"/>
      <c r="BM411" s="109"/>
      <c r="BN411" s="109"/>
      <c r="BP411" s="10"/>
      <c r="BS411" s="109"/>
      <c r="BT411" s="109"/>
      <c r="BV411" s="10"/>
      <c r="BY411" s="109"/>
      <c r="BZ411" s="109"/>
      <c r="CB411" s="10"/>
      <c r="CE411" s="109"/>
      <c r="CF411" s="109"/>
      <c r="CH411" s="10"/>
      <c r="CK411" s="109"/>
      <c r="CL411" s="109"/>
    </row>
    <row r="412" spans="1:90">
      <c r="A412" s="7" t="str">
        <f t="shared" si="61"/>
        <v>00810828</v>
      </c>
      <c r="B412" s="7" t="s">
        <v>2420</v>
      </c>
      <c r="C412" s="7" t="s">
        <v>2762</v>
      </c>
      <c r="D412" s="7">
        <v>403</v>
      </c>
      <c r="E412" s="7">
        <v>81</v>
      </c>
      <c r="F412" s="7" t="s">
        <v>1787</v>
      </c>
      <c r="G412" s="7">
        <v>828</v>
      </c>
      <c r="H412" s="7" t="s">
        <v>1689</v>
      </c>
      <c r="I412" s="37">
        <v>227456</v>
      </c>
      <c r="J412" s="122">
        <v>4.416514230881996E-2</v>
      </c>
      <c r="K412" s="123">
        <f t="shared" si="70"/>
        <v>166560.84737022338</v>
      </c>
      <c r="L412" s="122">
        <f>IF(K414&gt;0, K412/K414, 0)</f>
        <v>3.138787960295563E-2</v>
      </c>
      <c r="M412" s="71"/>
      <c r="N412" s="10">
        <f>ROUND(M414*L412,0)</f>
        <v>137154</v>
      </c>
      <c r="O412" s="70">
        <v>189099</v>
      </c>
      <c r="P412" s="10">
        <f>N412-O412</f>
        <v>-51945</v>
      </c>
      <c r="Q412" s="46">
        <f t="shared" si="69"/>
        <v>-27.469738073707422</v>
      </c>
      <c r="R412" s="10">
        <v>14</v>
      </c>
      <c r="S412" s="7">
        <f t="shared" si="62"/>
        <v>0</v>
      </c>
      <c r="T412" s="124">
        <f t="shared" si="63"/>
        <v>81</v>
      </c>
      <c r="U412" s="124">
        <f t="shared" si="64"/>
        <v>828</v>
      </c>
      <c r="V412" s="124">
        <f t="shared" si="65"/>
        <v>403</v>
      </c>
      <c r="W412" s="124">
        <f t="shared" si="66"/>
        <v>10.000000009680001</v>
      </c>
      <c r="X412" s="124">
        <f t="shared" si="67"/>
        <v>166560.84737022338</v>
      </c>
      <c r="Y412" s="264">
        <f t="shared" si="68"/>
        <v>403</v>
      </c>
      <c r="Z412" s="10">
        <v>81</v>
      </c>
      <c r="AA412" s="7">
        <v>828</v>
      </c>
      <c r="AB412" s="7">
        <v>403</v>
      </c>
      <c r="AC412" s="109">
        <v>10.000000009680001</v>
      </c>
      <c r="AD412" s="109">
        <v>166560.84737022338</v>
      </c>
      <c r="AE412" s="125"/>
      <c r="AF412" s="10"/>
      <c r="AI412" s="109"/>
      <c r="AJ412" s="109"/>
      <c r="AL412" s="10"/>
      <c r="AO412" s="109"/>
      <c r="AP412" s="109"/>
      <c r="AR412" s="10"/>
      <c r="AU412" s="109"/>
      <c r="AV412" s="109"/>
      <c r="AX412" s="10"/>
      <c r="BA412" s="109"/>
      <c r="BB412" s="109"/>
      <c r="BD412" s="10"/>
      <c r="BG412" s="109"/>
      <c r="BH412" s="109"/>
      <c r="BJ412" s="10"/>
      <c r="BM412" s="109"/>
      <c r="BN412" s="109"/>
      <c r="BP412" s="10"/>
      <c r="BS412" s="109"/>
      <c r="BT412" s="109"/>
      <c r="BV412" s="10"/>
      <c r="BY412" s="109"/>
      <c r="BZ412" s="109"/>
      <c r="CB412" s="10"/>
      <c r="CE412" s="109"/>
      <c r="CF412" s="109"/>
      <c r="CH412" s="10"/>
      <c r="CK412" s="109"/>
      <c r="CL412" s="109"/>
    </row>
    <row r="413" spans="1:90">
      <c r="A413" s="7" t="str">
        <f t="shared" si="61"/>
        <v>00810998</v>
      </c>
      <c r="B413" s="7" t="s">
        <v>2420</v>
      </c>
      <c r="C413" s="7" t="s">
        <v>2781</v>
      </c>
      <c r="D413" s="7">
        <v>404</v>
      </c>
      <c r="E413" s="7">
        <v>81</v>
      </c>
      <c r="F413" s="7" t="s">
        <v>2135</v>
      </c>
      <c r="G413" s="7">
        <v>998</v>
      </c>
      <c r="H413" s="7" t="s">
        <v>2135</v>
      </c>
      <c r="I413" s="37">
        <v>0</v>
      </c>
      <c r="J413" s="122">
        <v>0</v>
      </c>
      <c r="K413" s="123">
        <f t="shared" si="70"/>
        <v>0</v>
      </c>
      <c r="L413" s="122">
        <f>IF(K414&gt;0, K413/K414, 0)</f>
        <v>0</v>
      </c>
      <c r="M413" s="71"/>
      <c r="N413" s="10">
        <f>ROUND(M414*L413,0)</f>
        <v>0</v>
      </c>
      <c r="O413" s="70">
        <v>0</v>
      </c>
      <c r="P413" s="10">
        <f>N413-O413</f>
        <v>0</v>
      </c>
      <c r="Q413" s="46">
        <f t="shared" si="69"/>
        <v>0</v>
      </c>
      <c r="R413" s="10">
        <v>0</v>
      </c>
      <c r="S413" s="7">
        <f t="shared" si="62"/>
        <v>0</v>
      </c>
      <c r="T413" s="124">
        <f t="shared" si="63"/>
        <v>81</v>
      </c>
      <c r="U413" s="124">
        <f t="shared" si="64"/>
        <v>998</v>
      </c>
      <c r="V413" s="124">
        <f t="shared" si="65"/>
        <v>404</v>
      </c>
      <c r="W413" s="124">
        <f t="shared" si="66"/>
        <v>0</v>
      </c>
      <c r="X413" s="124">
        <f t="shared" si="67"/>
        <v>0</v>
      </c>
      <c r="Y413" s="264">
        <f t="shared" si="68"/>
        <v>404</v>
      </c>
      <c r="Z413" s="10">
        <v>81</v>
      </c>
      <c r="AA413" s="7">
        <v>998</v>
      </c>
      <c r="AB413" s="7">
        <v>404</v>
      </c>
      <c r="AC413" s="109">
        <v>0</v>
      </c>
      <c r="AD413" s="109">
        <v>0</v>
      </c>
      <c r="AE413" s="125"/>
      <c r="AF413" s="10"/>
      <c r="AI413" s="109"/>
      <c r="AJ413" s="109"/>
      <c r="AL413" s="10"/>
      <c r="AO413" s="109"/>
      <c r="AP413" s="109"/>
      <c r="AR413" s="10"/>
      <c r="AU413" s="109"/>
      <c r="AV413" s="109"/>
      <c r="AX413" s="10"/>
      <c r="BA413" s="109"/>
      <c r="BB413" s="109"/>
      <c r="BD413" s="10"/>
      <c r="BG413" s="109"/>
      <c r="BH413" s="109"/>
      <c r="BJ413" s="10"/>
      <c r="BM413" s="109"/>
      <c r="BN413" s="109"/>
      <c r="BP413" s="10"/>
      <c r="BS413" s="109"/>
      <c r="BT413" s="109"/>
      <c r="BV413" s="10"/>
      <c r="BY413" s="109"/>
      <c r="BZ413" s="109"/>
      <c r="CB413" s="10"/>
      <c r="CE413" s="109"/>
      <c r="CF413" s="109"/>
      <c r="CH413" s="10"/>
      <c r="CK413" s="109"/>
      <c r="CL413" s="109"/>
    </row>
    <row r="414" spans="1:90">
      <c r="A414" s="7" t="str">
        <f t="shared" si="61"/>
        <v>00810999</v>
      </c>
      <c r="B414" s="7" t="s">
        <v>2420</v>
      </c>
      <c r="C414" s="7" t="s">
        <v>2782</v>
      </c>
      <c r="D414" s="7">
        <v>405</v>
      </c>
      <c r="E414" s="11">
        <v>81</v>
      </c>
      <c r="F414" s="11" t="s">
        <v>1787</v>
      </c>
      <c r="G414" s="11">
        <v>999</v>
      </c>
      <c r="H414" s="11" t="s">
        <v>1132</v>
      </c>
      <c r="I414" s="105">
        <v>5150124.92</v>
      </c>
      <c r="J414" s="126">
        <v>1</v>
      </c>
      <c r="K414" s="127">
        <f>SUM(K410:K413)</f>
        <v>5306533.9066274241</v>
      </c>
      <c r="L414" s="126">
        <f>SUM(L410:L413)</f>
        <v>1</v>
      </c>
      <c r="M414" s="105">
        <f>VLOOKUP(E414,town351,22)</f>
        <v>4369659</v>
      </c>
      <c r="N414" s="105">
        <f>SUM(N410:N413)</f>
        <v>4369659</v>
      </c>
      <c r="O414" s="128">
        <v>4281634</v>
      </c>
      <c r="P414" s="105">
        <f>SUM(P410:P413)</f>
        <v>88025</v>
      </c>
      <c r="Q414" s="45">
        <f t="shared" si="69"/>
        <v>2.0558739957689052</v>
      </c>
      <c r="R414" s="105">
        <v>548</v>
      </c>
      <c r="S414" s="7">
        <f t="shared" si="62"/>
        <v>0</v>
      </c>
      <c r="T414" s="124">
        <f t="shared" si="63"/>
        <v>81</v>
      </c>
      <c r="U414" s="124">
        <f t="shared" si="64"/>
        <v>999</v>
      </c>
      <c r="V414" s="124">
        <f t="shared" si="65"/>
        <v>405</v>
      </c>
      <c r="W414" s="124">
        <f t="shared" si="66"/>
        <v>557.46228320007992</v>
      </c>
      <c r="X414" s="124">
        <f t="shared" si="67"/>
        <v>5306533.9066274241</v>
      </c>
      <c r="Y414" s="264">
        <f t="shared" si="68"/>
        <v>405</v>
      </c>
      <c r="Z414" s="10">
        <v>81</v>
      </c>
      <c r="AA414" s="7">
        <v>999</v>
      </c>
      <c r="AB414" s="7">
        <v>405</v>
      </c>
      <c r="AC414" s="109">
        <v>557.46228320007992</v>
      </c>
      <c r="AD414" s="109">
        <v>5306533.9066274241</v>
      </c>
      <c r="AE414" s="125"/>
      <c r="AF414" s="10"/>
      <c r="AI414" s="109"/>
      <c r="AJ414" s="109"/>
      <c r="AL414" s="10"/>
      <c r="AO414" s="109"/>
      <c r="AP414" s="109"/>
      <c r="AR414" s="10"/>
      <c r="AU414" s="109"/>
      <c r="AV414" s="109"/>
      <c r="AX414" s="10"/>
      <c r="BA414" s="109"/>
      <c r="BB414" s="109"/>
      <c r="BD414" s="10"/>
      <c r="BG414" s="109"/>
      <c r="BH414" s="109"/>
      <c r="BJ414" s="10"/>
      <c r="BM414" s="109"/>
      <c r="BN414" s="109"/>
      <c r="BP414" s="10"/>
      <c r="BS414" s="109"/>
      <c r="BT414" s="109"/>
      <c r="BV414" s="10"/>
      <c r="BY414" s="109"/>
      <c r="BZ414" s="109"/>
      <c r="CB414" s="10"/>
      <c r="CE414" s="109"/>
      <c r="CF414" s="109"/>
      <c r="CH414" s="10"/>
      <c r="CK414" s="109"/>
      <c r="CL414" s="109"/>
    </row>
    <row r="415" spans="1:90">
      <c r="A415" s="7" t="str">
        <f t="shared" si="61"/>
        <v>00820082</v>
      </c>
      <c r="B415" s="7" t="s">
        <v>2421</v>
      </c>
      <c r="C415" s="7" t="s">
        <v>2421</v>
      </c>
      <c r="D415" s="7">
        <v>406</v>
      </c>
      <c r="E415" s="7">
        <v>82</v>
      </c>
      <c r="F415" s="7" t="s">
        <v>1788</v>
      </c>
      <c r="G415" s="7">
        <v>82</v>
      </c>
      <c r="H415" s="7" t="s">
        <v>1348</v>
      </c>
      <c r="I415" s="37">
        <v>29421665.884350002</v>
      </c>
      <c r="J415" s="122">
        <v>1</v>
      </c>
      <c r="K415" s="123">
        <f>X415</f>
        <v>29298212.848171137</v>
      </c>
      <c r="L415" s="122">
        <f>IF(K419&gt;0, K415/K419, 0)</f>
        <v>1</v>
      </c>
      <c r="M415" s="71"/>
      <c r="N415" s="10">
        <f>ROUND(M419*L415,0)</f>
        <v>24357911</v>
      </c>
      <c r="O415" s="70">
        <v>24493520</v>
      </c>
      <c r="P415" s="10">
        <f>N415-O415</f>
        <v>-135609</v>
      </c>
      <c r="Q415" s="46">
        <f t="shared" si="69"/>
        <v>-0.55365255790102852</v>
      </c>
      <c r="R415" s="10">
        <v>3111</v>
      </c>
      <c r="S415" s="7">
        <f t="shared" si="62"/>
        <v>0</v>
      </c>
      <c r="T415" s="124">
        <f t="shared" si="63"/>
        <v>82</v>
      </c>
      <c r="U415" s="124">
        <f t="shared" si="64"/>
        <v>82</v>
      </c>
      <c r="V415" s="124">
        <f t="shared" si="65"/>
        <v>406</v>
      </c>
      <c r="W415" s="124">
        <f t="shared" si="66"/>
        <v>3028</v>
      </c>
      <c r="X415" s="124">
        <f t="shared" si="67"/>
        <v>29298212.848171137</v>
      </c>
      <c r="Y415" s="264">
        <f t="shared" si="68"/>
        <v>406</v>
      </c>
      <c r="Z415" s="10">
        <v>82</v>
      </c>
      <c r="AA415" s="7">
        <v>82</v>
      </c>
      <c r="AB415" s="7">
        <v>406</v>
      </c>
      <c r="AC415" s="109">
        <v>3028</v>
      </c>
      <c r="AD415" s="109">
        <v>29298212.848171137</v>
      </c>
      <c r="AE415" s="125"/>
      <c r="AF415" s="10"/>
      <c r="AI415" s="109"/>
      <c r="AJ415" s="109"/>
      <c r="AL415" s="10"/>
      <c r="AO415" s="109"/>
      <c r="AP415" s="109"/>
      <c r="AR415" s="10"/>
      <c r="AU415" s="109"/>
      <c r="AV415" s="109"/>
      <c r="AX415" s="10"/>
      <c r="BA415" s="109"/>
      <c r="BB415" s="109"/>
      <c r="BD415" s="10"/>
      <c r="BG415" s="109"/>
      <c r="BH415" s="109"/>
      <c r="BJ415" s="10"/>
      <c r="BM415" s="109"/>
      <c r="BN415" s="109"/>
      <c r="BP415" s="10"/>
      <c r="BS415" s="109"/>
      <c r="BT415" s="109"/>
      <c r="BV415" s="10"/>
      <c r="BY415" s="109"/>
      <c r="BZ415" s="109"/>
      <c r="CB415" s="10"/>
      <c r="CE415" s="109"/>
      <c r="CF415" s="109"/>
      <c r="CH415" s="10"/>
      <c r="CK415" s="109"/>
      <c r="CL415" s="109"/>
    </row>
    <row r="416" spans="1:90">
      <c r="A416" s="7" t="str">
        <f t="shared" si="61"/>
        <v>00820998</v>
      </c>
      <c r="B416" s="7" t="s">
        <v>2421</v>
      </c>
      <c r="C416" s="7" t="s">
        <v>2781</v>
      </c>
      <c r="D416" s="7">
        <v>407</v>
      </c>
      <c r="E416" s="7">
        <v>82</v>
      </c>
      <c r="F416" s="7" t="s">
        <v>2135</v>
      </c>
      <c r="G416" s="7">
        <v>998</v>
      </c>
      <c r="H416" s="7" t="s">
        <v>2135</v>
      </c>
      <c r="I416" s="37">
        <v>0</v>
      </c>
      <c r="J416" s="122">
        <v>0</v>
      </c>
      <c r="K416" s="123">
        <f t="shared" si="70"/>
        <v>0</v>
      </c>
      <c r="L416" s="122">
        <f>IF(K419&gt;0, K416/K419, 0)</f>
        <v>0</v>
      </c>
      <c r="M416" s="71"/>
      <c r="N416" s="10">
        <f>ROUND(M419*L416,0)</f>
        <v>0</v>
      </c>
      <c r="O416" s="70">
        <v>0</v>
      </c>
      <c r="P416" s="10">
        <f>N416-O416</f>
        <v>0</v>
      </c>
      <c r="Q416" s="46">
        <f t="shared" si="69"/>
        <v>0</v>
      </c>
      <c r="R416" s="10">
        <v>0</v>
      </c>
      <c r="S416" s="7">
        <f t="shared" si="62"/>
        <v>0</v>
      </c>
      <c r="T416" s="124">
        <f t="shared" si="63"/>
        <v>82</v>
      </c>
      <c r="U416" s="124">
        <f t="shared" si="64"/>
        <v>998</v>
      </c>
      <c r="V416" s="124">
        <f t="shared" si="65"/>
        <v>407</v>
      </c>
      <c r="W416" s="124">
        <f t="shared" si="66"/>
        <v>0</v>
      </c>
      <c r="X416" s="124">
        <f t="shared" si="67"/>
        <v>0</v>
      </c>
      <c r="Y416" s="264">
        <f t="shared" si="68"/>
        <v>407</v>
      </c>
      <c r="Z416" s="10">
        <v>82</v>
      </c>
      <c r="AA416" s="7">
        <v>998</v>
      </c>
      <c r="AB416" s="7">
        <v>407</v>
      </c>
      <c r="AC416" s="109">
        <v>0</v>
      </c>
      <c r="AD416" s="109">
        <v>0</v>
      </c>
      <c r="AE416" s="125"/>
      <c r="AF416" s="10"/>
      <c r="AI416" s="109"/>
      <c r="AJ416" s="109"/>
      <c r="AL416" s="10"/>
      <c r="AO416" s="109"/>
      <c r="AP416" s="109"/>
      <c r="AR416" s="10"/>
      <c r="AU416" s="109"/>
      <c r="AV416" s="109"/>
      <c r="AX416" s="10"/>
      <c r="BA416" s="109"/>
      <c r="BB416" s="109"/>
      <c r="BD416" s="10"/>
      <c r="BG416" s="109"/>
      <c r="BH416" s="109"/>
      <c r="BJ416" s="10"/>
      <c r="BM416" s="109"/>
      <c r="BN416" s="109"/>
      <c r="BP416" s="10"/>
      <c r="BS416" s="109"/>
      <c r="BT416" s="109"/>
      <c r="BV416" s="10"/>
      <c r="BY416" s="109"/>
      <c r="BZ416" s="109"/>
      <c r="CB416" s="10"/>
      <c r="CE416" s="109"/>
      <c r="CF416" s="109"/>
      <c r="CH416" s="10"/>
      <c r="CK416" s="109"/>
      <c r="CL416" s="109"/>
    </row>
    <row r="417" spans="1:90">
      <c r="A417" s="7" t="str">
        <f t="shared" si="61"/>
        <v>00820998</v>
      </c>
      <c r="B417" s="7" t="s">
        <v>2421</v>
      </c>
      <c r="C417" s="7" t="s">
        <v>2781</v>
      </c>
      <c r="D417" s="7">
        <v>408</v>
      </c>
      <c r="E417" s="7">
        <v>82</v>
      </c>
      <c r="F417" s="7" t="s">
        <v>2135</v>
      </c>
      <c r="G417" s="7">
        <v>998</v>
      </c>
      <c r="H417" s="7" t="s">
        <v>2135</v>
      </c>
      <c r="I417" s="37">
        <v>0</v>
      </c>
      <c r="J417" s="122">
        <v>0</v>
      </c>
      <c r="K417" s="123">
        <f t="shared" si="70"/>
        <v>0</v>
      </c>
      <c r="L417" s="122">
        <f>IF(K419&gt;0, K417/K419, 0)</f>
        <v>0</v>
      </c>
      <c r="M417" s="71"/>
      <c r="N417" s="10">
        <f>ROUND(M419*L417,0)</f>
        <v>0</v>
      </c>
      <c r="O417" s="70">
        <v>0</v>
      </c>
      <c r="P417" s="10">
        <f>N417-O417</f>
        <v>0</v>
      </c>
      <c r="Q417" s="46">
        <f t="shared" si="69"/>
        <v>0</v>
      </c>
      <c r="R417" s="10">
        <v>0</v>
      </c>
      <c r="S417" s="7">
        <f t="shared" si="62"/>
        <v>0</v>
      </c>
      <c r="T417" s="124">
        <f t="shared" si="63"/>
        <v>82</v>
      </c>
      <c r="U417" s="124">
        <f t="shared" si="64"/>
        <v>998</v>
      </c>
      <c r="V417" s="124">
        <f t="shared" si="65"/>
        <v>408</v>
      </c>
      <c r="W417" s="124">
        <f t="shared" si="66"/>
        <v>0</v>
      </c>
      <c r="X417" s="124">
        <f t="shared" si="67"/>
        <v>0</v>
      </c>
      <c r="Y417" s="264">
        <f t="shared" si="68"/>
        <v>408</v>
      </c>
      <c r="Z417" s="10">
        <v>82</v>
      </c>
      <c r="AA417" s="7">
        <v>998</v>
      </c>
      <c r="AB417" s="7">
        <v>408</v>
      </c>
      <c r="AC417" s="109">
        <v>0</v>
      </c>
      <c r="AD417" s="109">
        <v>0</v>
      </c>
      <c r="AE417" s="125"/>
      <c r="AF417" s="10"/>
      <c r="AI417" s="109"/>
      <c r="AJ417" s="109"/>
      <c r="AL417" s="10"/>
      <c r="AO417" s="109"/>
      <c r="AP417" s="109"/>
      <c r="AR417" s="10"/>
      <c r="AU417" s="109"/>
      <c r="AV417" s="109"/>
      <c r="AX417" s="10"/>
      <c r="BA417" s="109"/>
      <c r="BB417" s="109"/>
      <c r="BD417" s="10"/>
      <c r="BG417" s="109"/>
      <c r="BH417" s="109"/>
      <c r="BJ417" s="10"/>
      <c r="BM417" s="109"/>
      <c r="BN417" s="109"/>
      <c r="BP417" s="10"/>
      <c r="BS417" s="109"/>
      <c r="BT417" s="109"/>
      <c r="BV417" s="10"/>
      <c r="BY417" s="109"/>
      <c r="BZ417" s="109"/>
      <c r="CB417" s="10"/>
      <c r="CE417" s="109"/>
      <c r="CF417" s="109"/>
      <c r="CH417" s="10"/>
      <c r="CK417" s="109"/>
      <c r="CL417" s="109"/>
    </row>
    <row r="418" spans="1:90">
      <c r="A418" s="7" t="str">
        <f t="shared" si="61"/>
        <v>00820998</v>
      </c>
      <c r="B418" s="7" t="s">
        <v>2421</v>
      </c>
      <c r="C418" s="7" t="s">
        <v>2781</v>
      </c>
      <c r="D418" s="7">
        <v>409</v>
      </c>
      <c r="E418" s="7">
        <v>82</v>
      </c>
      <c r="F418" s="7" t="s">
        <v>2135</v>
      </c>
      <c r="G418" s="7">
        <v>998</v>
      </c>
      <c r="H418" s="7" t="s">
        <v>2135</v>
      </c>
      <c r="I418" s="37">
        <v>0</v>
      </c>
      <c r="J418" s="122">
        <v>0</v>
      </c>
      <c r="K418" s="123">
        <f t="shared" si="70"/>
        <v>0</v>
      </c>
      <c r="L418" s="122">
        <f>IF(K419&gt;0, K418/K419, 0)</f>
        <v>0</v>
      </c>
      <c r="M418" s="71"/>
      <c r="N418" s="10">
        <f>ROUND(M419*L418,0)</f>
        <v>0</v>
      </c>
      <c r="O418" s="70">
        <v>0</v>
      </c>
      <c r="P418" s="10">
        <f>N418-O418</f>
        <v>0</v>
      </c>
      <c r="Q418" s="46">
        <f t="shared" si="69"/>
        <v>0</v>
      </c>
      <c r="R418" s="10">
        <v>0</v>
      </c>
      <c r="S418" s="7">
        <f t="shared" si="62"/>
        <v>0</v>
      </c>
      <c r="T418" s="124">
        <f t="shared" si="63"/>
        <v>82</v>
      </c>
      <c r="U418" s="124">
        <f t="shared" si="64"/>
        <v>998</v>
      </c>
      <c r="V418" s="124">
        <f t="shared" si="65"/>
        <v>409</v>
      </c>
      <c r="W418" s="124">
        <f t="shared" si="66"/>
        <v>0</v>
      </c>
      <c r="X418" s="124">
        <f t="shared" si="67"/>
        <v>0</v>
      </c>
      <c r="Y418" s="264">
        <f t="shared" si="68"/>
        <v>409</v>
      </c>
      <c r="Z418" s="10">
        <v>82</v>
      </c>
      <c r="AA418" s="7">
        <v>998</v>
      </c>
      <c r="AB418" s="7">
        <v>409</v>
      </c>
      <c r="AC418" s="109">
        <v>0</v>
      </c>
      <c r="AD418" s="109">
        <v>0</v>
      </c>
      <c r="AE418" s="125"/>
      <c r="AF418" s="10"/>
      <c r="AI418" s="109"/>
      <c r="AJ418" s="109"/>
      <c r="AL418" s="10"/>
      <c r="AO418" s="109"/>
      <c r="AP418" s="109"/>
      <c r="AR418" s="10"/>
      <c r="AU418" s="109"/>
      <c r="AV418" s="109"/>
      <c r="AX418" s="10"/>
      <c r="BA418" s="109"/>
      <c r="BB418" s="109"/>
      <c r="BD418" s="10"/>
      <c r="BG418" s="109"/>
      <c r="BH418" s="109"/>
      <c r="BJ418" s="10"/>
      <c r="BM418" s="109"/>
      <c r="BN418" s="109"/>
      <c r="BP418" s="10"/>
      <c r="BS418" s="109"/>
      <c r="BT418" s="109"/>
      <c r="BV418" s="10"/>
      <c r="BY418" s="109"/>
      <c r="BZ418" s="109"/>
      <c r="CB418" s="10"/>
      <c r="CE418" s="109"/>
      <c r="CF418" s="109"/>
      <c r="CH418" s="10"/>
      <c r="CK418" s="109"/>
      <c r="CL418" s="109"/>
    </row>
    <row r="419" spans="1:90">
      <c r="A419" s="7" t="str">
        <f t="shared" si="61"/>
        <v>00820999</v>
      </c>
      <c r="B419" s="7" t="s">
        <v>2421</v>
      </c>
      <c r="C419" s="7" t="s">
        <v>2782</v>
      </c>
      <c r="D419" s="7">
        <v>410</v>
      </c>
      <c r="E419" s="11">
        <v>82</v>
      </c>
      <c r="F419" s="11" t="s">
        <v>1788</v>
      </c>
      <c r="G419" s="11">
        <v>999</v>
      </c>
      <c r="H419" s="11" t="s">
        <v>1132</v>
      </c>
      <c r="I419" s="105">
        <v>29421665.884350002</v>
      </c>
      <c r="J419" s="126">
        <v>1</v>
      </c>
      <c r="K419" s="127">
        <f>SUM(K415:K418)</f>
        <v>29298212.848171137</v>
      </c>
      <c r="L419" s="126">
        <f>SUM(L415:L418)</f>
        <v>1</v>
      </c>
      <c r="M419" s="105">
        <f>VLOOKUP(E419,town351,22)</f>
        <v>24357911</v>
      </c>
      <c r="N419" s="105">
        <f>SUM(N415:N418)</f>
        <v>24357911</v>
      </c>
      <c r="O419" s="128">
        <v>24493520</v>
      </c>
      <c r="P419" s="105">
        <f>SUM(P415:P418)</f>
        <v>-135609</v>
      </c>
      <c r="Q419" s="45">
        <f t="shared" si="69"/>
        <v>-0.55365255790102852</v>
      </c>
      <c r="R419" s="105">
        <v>3111</v>
      </c>
      <c r="S419" s="7">
        <f t="shared" si="62"/>
        <v>0</v>
      </c>
      <c r="T419" s="124">
        <f t="shared" si="63"/>
        <v>82</v>
      </c>
      <c r="U419" s="124">
        <f t="shared" si="64"/>
        <v>999</v>
      </c>
      <c r="V419" s="124">
        <f t="shared" si="65"/>
        <v>410</v>
      </c>
      <c r="W419" s="124">
        <f t="shared" si="66"/>
        <v>3028</v>
      </c>
      <c r="X419" s="124">
        <f t="shared" si="67"/>
        <v>29298212.848171137</v>
      </c>
      <c r="Y419" s="264">
        <f t="shared" si="68"/>
        <v>410</v>
      </c>
      <c r="Z419" s="10">
        <v>82</v>
      </c>
      <c r="AA419" s="7">
        <v>999</v>
      </c>
      <c r="AB419" s="7">
        <v>410</v>
      </c>
      <c r="AC419" s="109">
        <v>3028</v>
      </c>
      <c r="AD419" s="109">
        <v>29298212.848171137</v>
      </c>
      <c r="AE419" s="125"/>
      <c r="AF419" s="10"/>
      <c r="AI419" s="109"/>
      <c r="AJ419" s="109"/>
      <c r="AL419" s="10"/>
      <c r="AO419" s="109"/>
      <c r="AP419" s="109"/>
      <c r="AR419" s="10"/>
      <c r="AU419" s="109"/>
      <c r="AV419" s="109"/>
      <c r="AX419" s="10"/>
      <c r="BA419" s="109"/>
      <c r="BB419" s="109"/>
      <c r="BD419" s="10"/>
      <c r="BG419" s="109"/>
      <c r="BH419" s="109"/>
      <c r="BJ419" s="10"/>
      <c r="BM419" s="109"/>
      <c r="BN419" s="109"/>
      <c r="BP419" s="10"/>
      <c r="BS419" s="109"/>
      <c r="BT419" s="109"/>
      <c r="BV419" s="10"/>
      <c r="BY419" s="109"/>
      <c r="BZ419" s="109"/>
      <c r="CB419" s="10"/>
      <c r="CE419" s="109"/>
      <c r="CF419" s="109"/>
      <c r="CH419" s="10"/>
      <c r="CK419" s="109"/>
      <c r="CL419" s="109"/>
    </row>
    <row r="420" spans="1:90">
      <c r="A420" s="7" t="str">
        <f t="shared" si="61"/>
        <v>00830083</v>
      </c>
      <c r="B420" s="7" t="s">
        <v>2422</v>
      </c>
      <c r="C420" s="7" t="s">
        <v>2422</v>
      </c>
      <c r="D420" s="7">
        <v>411</v>
      </c>
      <c r="E420" s="7">
        <v>83</v>
      </c>
      <c r="F420" s="7" t="s">
        <v>1789</v>
      </c>
      <c r="G420" s="7">
        <v>83</v>
      </c>
      <c r="H420" s="7" t="s">
        <v>1349</v>
      </c>
      <c r="I420" s="37">
        <v>20397715.370000001</v>
      </c>
      <c r="J420" s="122">
        <v>0.93945838957782579</v>
      </c>
      <c r="K420" s="123">
        <f>X420</f>
        <v>21105299.528073356</v>
      </c>
      <c r="L420" s="122">
        <f>IF(K424&gt;0, K420/K424, 0)</f>
        <v>0.94709724165213038</v>
      </c>
      <c r="M420" s="71"/>
      <c r="N420" s="10">
        <f>ROUND(M424*L420,0)</f>
        <v>11373002</v>
      </c>
      <c r="O420" s="70">
        <v>11201362</v>
      </c>
      <c r="P420" s="10">
        <f>N420-O420</f>
        <v>171640</v>
      </c>
      <c r="Q420" s="46">
        <f t="shared" si="69"/>
        <v>1.5323136597138811</v>
      </c>
      <c r="R420" s="10">
        <v>2145</v>
      </c>
      <c r="S420" s="7">
        <f t="shared" si="62"/>
        <v>0</v>
      </c>
      <c r="T420" s="124">
        <f t="shared" si="63"/>
        <v>83</v>
      </c>
      <c r="U420" s="124">
        <f t="shared" si="64"/>
        <v>83</v>
      </c>
      <c r="V420" s="124">
        <f t="shared" si="65"/>
        <v>411</v>
      </c>
      <c r="W420" s="124">
        <f t="shared" si="66"/>
        <v>2153</v>
      </c>
      <c r="X420" s="124">
        <f t="shared" si="67"/>
        <v>21105299.528073356</v>
      </c>
      <c r="Y420" s="264">
        <f t="shared" si="68"/>
        <v>411</v>
      </c>
      <c r="Z420" s="10">
        <v>83</v>
      </c>
      <c r="AA420" s="7">
        <v>83</v>
      </c>
      <c r="AB420" s="7">
        <v>411</v>
      </c>
      <c r="AC420" s="109">
        <v>2153</v>
      </c>
      <c r="AD420" s="109">
        <v>21105299.528073356</v>
      </c>
      <c r="AE420" s="125"/>
      <c r="AF420" s="10"/>
      <c r="AI420" s="109"/>
      <c r="AJ420" s="109"/>
      <c r="AL420" s="10"/>
      <c r="AO420" s="109"/>
      <c r="AP420" s="109"/>
      <c r="AR420" s="10"/>
      <c r="AU420" s="109"/>
      <c r="AV420" s="109"/>
      <c r="AX420" s="10"/>
      <c r="BA420" s="109"/>
      <c r="BB420" s="109"/>
      <c r="BD420" s="10"/>
      <c r="BG420" s="109"/>
      <c r="BH420" s="109"/>
      <c r="BJ420" s="10"/>
      <c r="BM420" s="109"/>
      <c r="BN420" s="109"/>
      <c r="BP420" s="10"/>
      <c r="BS420" s="109"/>
      <c r="BT420" s="109"/>
      <c r="BV420" s="10"/>
      <c r="BY420" s="109"/>
      <c r="BZ420" s="109"/>
      <c r="CB420" s="10"/>
      <c r="CE420" s="109"/>
      <c r="CF420" s="109"/>
      <c r="CH420" s="10"/>
      <c r="CK420" s="109"/>
      <c r="CL420" s="109"/>
    </row>
    <row r="421" spans="1:90">
      <c r="A421" s="7" t="str">
        <f t="shared" si="61"/>
        <v>00830872</v>
      </c>
      <c r="B421" s="7" t="s">
        <v>2422</v>
      </c>
      <c r="C421" s="7" t="s">
        <v>2772</v>
      </c>
      <c r="D421" s="7">
        <v>412</v>
      </c>
      <c r="E421" s="7">
        <v>83</v>
      </c>
      <c r="F421" s="7" t="s">
        <v>1789</v>
      </c>
      <c r="G421" s="7">
        <v>872</v>
      </c>
      <c r="H421" s="7" t="s">
        <v>1699</v>
      </c>
      <c r="I421" s="37">
        <v>1314492</v>
      </c>
      <c r="J421" s="122">
        <v>6.0541610422174222E-2</v>
      </c>
      <c r="K421" s="123">
        <f t="shared" si="70"/>
        <v>1178895.3780980119</v>
      </c>
      <c r="L421" s="122">
        <f>IF(K424&gt;0, K421/K424, 0)</f>
        <v>5.2902758347869665E-2</v>
      </c>
      <c r="M421" s="71"/>
      <c r="N421" s="10">
        <f>ROUND(M424*L421,0)</f>
        <v>635271</v>
      </c>
      <c r="O421" s="70">
        <v>721851</v>
      </c>
      <c r="P421" s="10">
        <f>N421-O421</f>
        <v>-86580</v>
      </c>
      <c r="Q421" s="46">
        <f t="shared" si="69"/>
        <v>-11.994165000810417</v>
      </c>
      <c r="R421" s="10">
        <v>82</v>
      </c>
      <c r="S421" s="7">
        <f t="shared" si="62"/>
        <v>0</v>
      </c>
      <c r="T421" s="124">
        <f t="shared" si="63"/>
        <v>83</v>
      </c>
      <c r="U421" s="124">
        <f t="shared" si="64"/>
        <v>872</v>
      </c>
      <c r="V421" s="124">
        <f t="shared" si="65"/>
        <v>412</v>
      </c>
      <c r="W421" s="124">
        <f t="shared" si="66"/>
        <v>72.143426294459999</v>
      </c>
      <c r="X421" s="124">
        <f t="shared" si="67"/>
        <v>1178895.3780980119</v>
      </c>
      <c r="Y421" s="264">
        <f t="shared" si="68"/>
        <v>412</v>
      </c>
      <c r="Z421" s="10">
        <v>83</v>
      </c>
      <c r="AA421" s="7">
        <v>872</v>
      </c>
      <c r="AB421" s="7">
        <v>412</v>
      </c>
      <c r="AC421" s="109">
        <v>72.143426294459999</v>
      </c>
      <c r="AD421" s="109">
        <v>1178895.3780980119</v>
      </c>
      <c r="AE421" s="125"/>
      <c r="AF421" s="10"/>
      <c r="AI421" s="109"/>
      <c r="AJ421" s="109"/>
      <c r="AL421" s="10"/>
      <c r="AO421" s="109"/>
      <c r="AP421" s="109"/>
      <c r="AR421" s="10"/>
      <c r="AU421" s="109"/>
      <c r="AV421" s="109"/>
      <c r="AX421" s="10"/>
      <c r="BA421" s="109"/>
      <c r="BB421" s="109"/>
      <c r="BD421" s="10"/>
      <c r="BG421" s="109"/>
      <c r="BH421" s="109"/>
      <c r="BJ421" s="10"/>
      <c r="BM421" s="109"/>
      <c r="BN421" s="109"/>
      <c r="BP421" s="10"/>
      <c r="BS421" s="109"/>
      <c r="BT421" s="109"/>
      <c r="BV421" s="10"/>
      <c r="BY421" s="109"/>
      <c r="BZ421" s="109"/>
      <c r="CB421" s="10"/>
      <c r="CE421" s="109"/>
      <c r="CF421" s="109"/>
      <c r="CH421" s="10"/>
      <c r="CK421" s="109"/>
      <c r="CL421" s="109"/>
    </row>
    <row r="422" spans="1:90">
      <c r="A422" s="7" t="str">
        <f t="shared" si="61"/>
        <v>00830998</v>
      </c>
      <c r="B422" s="7" t="s">
        <v>2422</v>
      </c>
      <c r="C422" s="7" t="s">
        <v>2781</v>
      </c>
      <c r="D422" s="7">
        <v>413</v>
      </c>
      <c r="E422" s="7">
        <v>83</v>
      </c>
      <c r="F422" s="7" t="s">
        <v>2135</v>
      </c>
      <c r="G422" s="7">
        <v>998</v>
      </c>
      <c r="H422" s="7" t="s">
        <v>2135</v>
      </c>
      <c r="I422" s="37">
        <v>0</v>
      </c>
      <c r="J422" s="122">
        <v>0</v>
      </c>
      <c r="K422" s="123">
        <f t="shared" si="70"/>
        <v>0</v>
      </c>
      <c r="L422" s="122">
        <f>IF(K424&gt;0, K422/K424, 0)</f>
        <v>0</v>
      </c>
      <c r="M422" s="71"/>
      <c r="N422" s="10">
        <f>ROUND(M424*L422,0)</f>
        <v>0</v>
      </c>
      <c r="O422" s="70">
        <v>0</v>
      </c>
      <c r="P422" s="10">
        <f>N422-O422</f>
        <v>0</v>
      </c>
      <c r="Q422" s="46">
        <f t="shared" si="69"/>
        <v>0</v>
      </c>
      <c r="R422" s="10">
        <v>0</v>
      </c>
      <c r="S422" s="7">
        <f t="shared" si="62"/>
        <v>0</v>
      </c>
      <c r="T422" s="124">
        <f t="shared" si="63"/>
        <v>83</v>
      </c>
      <c r="U422" s="124">
        <f t="shared" si="64"/>
        <v>998</v>
      </c>
      <c r="V422" s="124">
        <f t="shared" si="65"/>
        <v>413</v>
      </c>
      <c r="W422" s="124">
        <f t="shared" si="66"/>
        <v>0</v>
      </c>
      <c r="X422" s="124">
        <f t="shared" si="67"/>
        <v>0</v>
      </c>
      <c r="Y422" s="264">
        <f t="shared" si="68"/>
        <v>413</v>
      </c>
      <c r="Z422" s="10">
        <v>83</v>
      </c>
      <c r="AA422" s="7">
        <v>998</v>
      </c>
      <c r="AB422" s="7">
        <v>413</v>
      </c>
      <c r="AC422" s="109">
        <v>0</v>
      </c>
      <c r="AD422" s="109">
        <v>0</v>
      </c>
      <c r="AE422" s="125"/>
      <c r="AF422" s="10"/>
      <c r="AI422" s="109"/>
      <c r="AJ422" s="109"/>
      <c r="AL422" s="10"/>
      <c r="AO422" s="109"/>
      <c r="AP422" s="109"/>
      <c r="AR422" s="10"/>
      <c r="AU422" s="109"/>
      <c r="AV422" s="109"/>
      <c r="AX422" s="10"/>
      <c r="BA422" s="109"/>
      <c r="BB422" s="109"/>
      <c r="BD422" s="10"/>
      <c r="BG422" s="109"/>
      <c r="BH422" s="109"/>
      <c r="BJ422" s="10"/>
      <c r="BM422" s="109"/>
      <c r="BN422" s="109"/>
      <c r="BP422" s="10"/>
      <c r="BS422" s="109"/>
      <c r="BT422" s="109"/>
      <c r="BV422" s="10"/>
      <c r="BY422" s="109"/>
      <c r="BZ422" s="109"/>
      <c r="CB422" s="10"/>
      <c r="CE422" s="109"/>
      <c r="CF422" s="109"/>
      <c r="CH422" s="10"/>
      <c r="CK422" s="109"/>
      <c r="CL422" s="109"/>
    </row>
    <row r="423" spans="1:90">
      <c r="A423" s="7" t="str">
        <f t="shared" si="61"/>
        <v>00830998</v>
      </c>
      <c r="B423" s="7" t="s">
        <v>2422</v>
      </c>
      <c r="C423" s="7" t="s">
        <v>2781</v>
      </c>
      <c r="D423" s="7">
        <v>414</v>
      </c>
      <c r="E423" s="7">
        <v>83</v>
      </c>
      <c r="F423" s="7" t="s">
        <v>2135</v>
      </c>
      <c r="G423" s="7">
        <v>998</v>
      </c>
      <c r="H423" s="7" t="s">
        <v>2135</v>
      </c>
      <c r="I423" s="37">
        <v>0</v>
      </c>
      <c r="J423" s="122">
        <v>0</v>
      </c>
      <c r="K423" s="123">
        <f t="shared" si="70"/>
        <v>0</v>
      </c>
      <c r="L423" s="122">
        <f>IF(K424&gt;0, K423/K424, 0)</f>
        <v>0</v>
      </c>
      <c r="M423" s="71"/>
      <c r="N423" s="10">
        <f>ROUND(M424*L423,0)</f>
        <v>0</v>
      </c>
      <c r="O423" s="70">
        <v>0</v>
      </c>
      <c r="P423" s="10">
        <f>N423-O423</f>
        <v>0</v>
      </c>
      <c r="Q423" s="46">
        <f t="shared" si="69"/>
        <v>0</v>
      </c>
      <c r="R423" s="10">
        <v>0</v>
      </c>
      <c r="S423" s="7">
        <f t="shared" si="62"/>
        <v>0</v>
      </c>
      <c r="T423" s="124">
        <f t="shared" si="63"/>
        <v>83</v>
      </c>
      <c r="U423" s="124">
        <f t="shared" si="64"/>
        <v>998</v>
      </c>
      <c r="V423" s="124">
        <f t="shared" si="65"/>
        <v>414</v>
      </c>
      <c r="W423" s="124">
        <f t="shared" si="66"/>
        <v>0</v>
      </c>
      <c r="X423" s="124">
        <f t="shared" si="67"/>
        <v>0</v>
      </c>
      <c r="Y423" s="264">
        <f t="shared" si="68"/>
        <v>414</v>
      </c>
      <c r="Z423" s="10">
        <v>83</v>
      </c>
      <c r="AA423" s="7">
        <v>998</v>
      </c>
      <c r="AB423" s="7">
        <v>414</v>
      </c>
      <c r="AC423" s="109">
        <v>0</v>
      </c>
      <c r="AD423" s="109">
        <v>0</v>
      </c>
      <c r="AE423" s="125"/>
      <c r="AF423" s="10"/>
      <c r="AI423" s="109"/>
      <c r="AJ423" s="109"/>
      <c r="AL423" s="10"/>
      <c r="AO423" s="109"/>
      <c r="AP423" s="109"/>
      <c r="AR423" s="10"/>
      <c r="AU423" s="109"/>
      <c r="AV423" s="109"/>
      <c r="AX423" s="10"/>
      <c r="BA423" s="109"/>
      <c r="BB423" s="109"/>
      <c r="BD423" s="10"/>
      <c r="BG423" s="109"/>
      <c r="BH423" s="109"/>
      <c r="BJ423" s="10"/>
      <c r="BM423" s="109"/>
      <c r="BN423" s="109"/>
      <c r="BP423" s="10"/>
      <c r="BS423" s="109"/>
      <c r="BT423" s="109"/>
      <c r="BV423" s="10"/>
      <c r="BY423" s="109"/>
      <c r="BZ423" s="109"/>
      <c r="CB423" s="10"/>
      <c r="CE423" s="109"/>
      <c r="CF423" s="109"/>
      <c r="CH423" s="10"/>
      <c r="CK423" s="109"/>
      <c r="CL423" s="109"/>
    </row>
    <row r="424" spans="1:90">
      <c r="A424" s="7" t="str">
        <f t="shared" si="61"/>
        <v>00830999</v>
      </c>
      <c r="B424" s="7" t="s">
        <v>2422</v>
      </c>
      <c r="C424" s="7" t="s">
        <v>2782</v>
      </c>
      <c r="D424" s="7">
        <v>415</v>
      </c>
      <c r="E424" s="11">
        <v>83</v>
      </c>
      <c r="F424" s="11" t="s">
        <v>1789</v>
      </c>
      <c r="G424" s="11">
        <v>999</v>
      </c>
      <c r="H424" s="11" t="s">
        <v>1132</v>
      </c>
      <c r="I424" s="105">
        <v>21712207.370000001</v>
      </c>
      <c r="J424" s="126">
        <v>1</v>
      </c>
      <c r="K424" s="127">
        <f>SUM(K420:K423)</f>
        <v>22284194.906171367</v>
      </c>
      <c r="L424" s="126">
        <f>SUM(L420:L423)</f>
        <v>1</v>
      </c>
      <c r="M424" s="105">
        <f>VLOOKUP(E424,town351,22)</f>
        <v>12008273</v>
      </c>
      <c r="N424" s="105">
        <f>SUM(N420:N423)</f>
        <v>12008273</v>
      </c>
      <c r="O424" s="128">
        <v>11923213</v>
      </c>
      <c r="P424" s="105">
        <f>SUM(P420:P423)</f>
        <v>85060</v>
      </c>
      <c r="Q424" s="45">
        <f t="shared" si="69"/>
        <v>0.71339830966703355</v>
      </c>
      <c r="R424" s="105">
        <v>2227</v>
      </c>
      <c r="S424" s="7">
        <f t="shared" si="62"/>
        <v>0</v>
      </c>
      <c r="T424" s="124">
        <f t="shared" si="63"/>
        <v>83</v>
      </c>
      <c r="U424" s="124">
        <f t="shared" si="64"/>
        <v>999</v>
      </c>
      <c r="V424" s="124">
        <f t="shared" si="65"/>
        <v>415</v>
      </c>
      <c r="W424" s="124">
        <f t="shared" si="66"/>
        <v>2225.1434262944599</v>
      </c>
      <c r="X424" s="124">
        <f t="shared" si="67"/>
        <v>22284194.906171367</v>
      </c>
      <c r="Y424" s="264">
        <f t="shared" si="68"/>
        <v>415</v>
      </c>
      <c r="Z424" s="10">
        <v>83</v>
      </c>
      <c r="AA424" s="7">
        <v>999</v>
      </c>
      <c r="AB424" s="7">
        <v>415</v>
      </c>
      <c r="AC424" s="109">
        <v>2225.1434262944599</v>
      </c>
      <c r="AD424" s="109">
        <v>22284194.906171367</v>
      </c>
      <c r="AE424" s="125"/>
      <c r="AF424" s="10"/>
      <c r="AI424" s="109"/>
      <c r="AJ424" s="109"/>
      <c r="AL424" s="10"/>
      <c r="AO424" s="109"/>
      <c r="AP424" s="109"/>
      <c r="AR424" s="10"/>
      <c r="AU424" s="109"/>
      <c r="AV424" s="109"/>
      <c r="AX424" s="10"/>
      <c r="BA424" s="109"/>
      <c r="BB424" s="109"/>
      <c r="BD424" s="10"/>
      <c r="BG424" s="109"/>
      <c r="BH424" s="109"/>
      <c r="BJ424" s="10"/>
      <c r="BM424" s="109"/>
      <c r="BN424" s="109"/>
      <c r="BP424" s="10"/>
      <c r="BS424" s="109"/>
      <c r="BT424" s="109"/>
      <c r="BV424" s="10"/>
      <c r="BY424" s="109"/>
      <c r="BZ424" s="109"/>
      <c r="CB424" s="10"/>
      <c r="CE424" s="109"/>
      <c r="CF424" s="109"/>
      <c r="CH424" s="10"/>
      <c r="CK424" s="109"/>
      <c r="CL424" s="109"/>
    </row>
    <row r="425" spans="1:90">
      <c r="A425" s="7" t="str">
        <f t="shared" si="61"/>
        <v>00840084</v>
      </c>
      <c r="B425" s="7" t="s">
        <v>2423</v>
      </c>
      <c r="C425" s="7" t="s">
        <v>2423</v>
      </c>
      <c r="D425" s="7">
        <v>416</v>
      </c>
      <c r="E425" s="7">
        <v>84</v>
      </c>
      <c r="F425" s="7" t="s">
        <v>1790</v>
      </c>
      <c r="G425" s="7">
        <v>84</v>
      </c>
      <c r="H425" s="7" t="s">
        <v>1350</v>
      </c>
      <c r="I425" s="37">
        <v>275524.15999999997</v>
      </c>
      <c r="J425" s="122">
        <v>7.4603821564216619E-2</v>
      </c>
      <c r="K425" s="123">
        <f>X425</f>
        <v>253717.84938542161</v>
      </c>
      <c r="L425" s="122">
        <f>IF(K429&gt;0, K425/K429, 0)</f>
        <v>7.0774524236136449E-2</v>
      </c>
      <c r="M425" s="71"/>
      <c r="N425" s="10">
        <f>ROUND(M429*L425,0)</f>
        <v>113257</v>
      </c>
      <c r="O425" s="70">
        <v>112798</v>
      </c>
      <c r="P425" s="10">
        <f>N425-O425</f>
        <v>459</v>
      </c>
      <c r="Q425" s="46">
        <f t="shared" si="69"/>
        <v>0.40692210854802391</v>
      </c>
      <c r="R425" s="10">
        <v>19</v>
      </c>
      <c r="S425" s="7">
        <f t="shared" si="62"/>
        <v>0</v>
      </c>
      <c r="T425" s="124">
        <f t="shared" si="63"/>
        <v>84</v>
      </c>
      <c r="U425" s="124">
        <f t="shared" si="64"/>
        <v>84</v>
      </c>
      <c r="V425" s="124">
        <f t="shared" si="65"/>
        <v>416</v>
      </c>
      <c r="W425" s="124">
        <f t="shared" si="66"/>
        <v>17</v>
      </c>
      <c r="X425" s="124">
        <f t="shared" si="67"/>
        <v>253717.84938542161</v>
      </c>
      <c r="Y425" s="264">
        <f t="shared" si="68"/>
        <v>416</v>
      </c>
      <c r="Z425" s="10">
        <v>84</v>
      </c>
      <c r="AA425" s="7">
        <v>84</v>
      </c>
      <c r="AB425" s="7">
        <v>416</v>
      </c>
      <c r="AC425" s="109">
        <v>17</v>
      </c>
      <c r="AD425" s="109">
        <v>253717.84938542161</v>
      </c>
      <c r="AE425" s="125"/>
      <c r="AF425" s="10"/>
      <c r="AI425" s="109"/>
      <c r="AJ425" s="109"/>
      <c r="AL425" s="10"/>
      <c r="AO425" s="109"/>
      <c r="AP425" s="109"/>
      <c r="AR425" s="10"/>
      <c r="AU425" s="109"/>
      <c r="AV425" s="109"/>
      <c r="AX425" s="10"/>
      <c r="BA425" s="109"/>
      <c r="BB425" s="109"/>
      <c r="BD425" s="10"/>
      <c r="BG425" s="109"/>
      <c r="BH425" s="109"/>
      <c r="BJ425" s="10"/>
      <c r="BM425" s="109"/>
      <c r="BN425" s="109"/>
      <c r="BP425" s="10"/>
      <c r="BS425" s="109"/>
      <c r="BT425" s="109"/>
      <c r="BV425" s="10"/>
      <c r="BY425" s="109"/>
      <c r="BZ425" s="109"/>
      <c r="CB425" s="10"/>
      <c r="CE425" s="109"/>
      <c r="CF425" s="109"/>
      <c r="CH425" s="10"/>
      <c r="CK425" s="109"/>
      <c r="CL425" s="109"/>
    </row>
    <row r="426" spans="1:90">
      <c r="A426" s="7" t="str">
        <f t="shared" si="61"/>
        <v>00840767</v>
      </c>
      <c r="B426" s="7" t="s">
        <v>2423</v>
      </c>
      <c r="C426" s="7" t="s">
        <v>2745</v>
      </c>
      <c r="D426" s="7">
        <v>417</v>
      </c>
      <c r="E426" s="7">
        <v>84</v>
      </c>
      <c r="F426" s="7" t="s">
        <v>1790</v>
      </c>
      <c r="G426" s="7">
        <v>767</v>
      </c>
      <c r="H426" s="7" t="s">
        <v>1672</v>
      </c>
      <c r="I426" s="37">
        <v>3417640</v>
      </c>
      <c r="J426" s="122">
        <v>0.92539617843578337</v>
      </c>
      <c r="K426" s="123">
        <f t="shared" si="70"/>
        <v>3331157.5294853975</v>
      </c>
      <c r="L426" s="122">
        <f>IF(K429&gt;0, K426/K429, 0)</f>
        <v>0.9292254757638635</v>
      </c>
      <c r="M426" s="71"/>
      <c r="N426" s="10">
        <f>ROUND(M429*L426,0)</f>
        <v>1487000</v>
      </c>
      <c r="O426" s="70">
        <v>1399160</v>
      </c>
      <c r="P426" s="10">
        <f>N426-O426</f>
        <v>87840</v>
      </c>
      <c r="Q426" s="46">
        <f t="shared" si="69"/>
        <v>6.2780525458132024</v>
      </c>
      <c r="R426" s="10">
        <v>327</v>
      </c>
      <c r="S426" s="7">
        <f t="shared" si="62"/>
        <v>0</v>
      </c>
      <c r="T426" s="124">
        <f t="shared" si="63"/>
        <v>84</v>
      </c>
      <c r="U426" s="124">
        <f t="shared" si="64"/>
        <v>767</v>
      </c>
      <c r="V426" s="124">
        <f t="shared" si="65"/>
        <v>417</v>
      </c>
      <c r="W426" s="124">
        <f t="shared" si="66"/>
        <v>297.08121512423998</v>
      </c>
      <c r="X426" s="124">
        <f t="shared" si="67"/>
        <v>3331157.5294853975</v>
      </c>
      <c r="Y426" s="264">
        <f t="shared" si="68"/>
        <v>417</v>
      </c>
      <c r="Z426" s="10">
        <v>84</v>
      </c>
      <c r="AA426" s="7">
        <v>767</v>
      </c>
      <c r="AB426" s="7">
        <v>417</v>
      </c>
      <c r="AC426" s="109">
        <v>297.08121512423998</v>
      </c>
      <c r="AD426" s="109">
        <v>3331157.5294853975</v>
      </c>
      <c r="AE426" s="125"/>
      <c r="AF426" s="10"/>
      <c r="AI426" s="109"/>
      <c r="AJ426" s="109"/>
      <c r="AL426" s="10"/>
      <c r="AO426" s="109"/>
      <c r="AP426" s="109"/>
      <c r="AR426" s="10"/>
      <c r="AU426" s="109"/>
      <c r="AV426" s="109"/>
      <c r="AX426" s="10"/>
      <c r="BA426" s="109"/>
      <c r="BB426" s="109"/>
      <c r="BD426" s="10"/>
      <c r="BG426" s="109"/>
      <c r="BH426" s="109"/>
      <c r="BJ426" s="10"/>
      <c r="BM426" s="109"/>
      <c r="BN426" s="109"/>
      <c r="BP426" s="10"/>
      <c r="BS426" s="109"/>
      <c r="BT426" s="109"/>
      <c r="BV426" s="10"/>
      <c r="BY426" s="109"/>
      <c r="BZ426" s="109"/>
      <c r="CB426" s="10"/>
      <c r="CE426" s="109"/>
      <c r="CF426" s="109"/>
      <c r="CH426" s="10"/>
      <c r="CK426" s="109"/>
      <c r="CL426" s="109"/>
    </row>
    <row r="427" spans="1:90">
      <c r="A427" s="7" t="str">
        <f t="shared" si="61"/>
        <v>00840998</v>
      </c>
      <c r="B427" s="7" t="s">
        <v>2423</v>
      </c>
      <c r="C427" s="7" t="s">
        <v>2781</v>
      </c>
      <c r="D427" s="7">
        <v>418</v>
      </c>
      <c r="E427" s="7">
        <v>84</v>
      </c>
      <c r="F427" s="7" t="s">
        <v>2135</v>
      </c>
      <c r="G427" s="7">
        <v>998</v>
      </c>
      <c r="H427" s="7" t="s">
        <v>2135</v>
      </c>
      <c r="I427" s="37">
        <v>0</v>
      </c>
      <c r="J427" s="122">
        <v>0</v>
      </c>
      <c r="K427" s="123">
        <f t="shared" si="70"/>
        <v>0</v>
      </c>
      <c r="L427" s="122">
        <f>IF(K429&gt;0, K427/K429, 0)</f>
        <v>0</v>
      </c>
      <c r="M427" s="71"/>
      <c r="N427" s="10">
        <f>ROUND(M429*L427,0)</f>
        <v>0</v>
      </c>
      <c r="O427" s="70">
        <v>0</v>
      </c>
      <c r="P427" s="10">
        <f>N427-O427</f>
        <v>0</v>
      </c>
      <c r="Q427" s="46">
        <f t="shared" si="69"/>
        <v>0</v>
      </c>
      <c r="R427" s="10">
        <v>0</v>
      </c>
      <c r="S427" s="7">
        <f t="shared" si="62"/>
        <v>0</v>
      </c>
      <c r="T427" s="124">
        <f t="shared" si="63"/>
        <v>84</v>
      </c>
      <c r="U427" s="124">
        <f t="shared" si="64"/>
        <v>998</v>
      </c>
      <c r="V427" s="124">
        <f t="shared" si="65"/>
        <v>418</v>
      </c>
      <c r="W427" s="124">
        <f t="shared" si="66"/>
        <v>0</v>
      </c>
      <c r="X427" s="124">
        <f t="shared" si="67"/>
        <v>0</v>
      </c>
      <c r="Y427" s="264">
        <f t="shared" si="68"/>
        <v>418</v>
      </c>
      <c r="Z427" s="10">
        <v>84</v>
      </c>
      <c r="AA427" s="7">
        <v>998</v>
      </c>
      <c r="AB427" s="7">
        <v>418</v>
      </c>
      <c r="AC427" s="109">
        <v>0</v>
      </c>
      <c r="AD427" s="109">
        <v>0</v>
      </c>
      <c r="AE427" s="125"/>
      <c r="AF427" s="10"/>
      <c r="AI427" s="109"/>
      <c r="AJ427" s="109"/>
      <c r="AL427" s="10"/>
      <c r="AO427" s="109"/>
      <c r="AP427" s="109"/>
      <c r="AR427" s="10"/>
      <c r="AU427" s="109"/>
      <c r="AV427" s="109"/>
      <c r="AX427" s="10"/>
      <c r="BA427" s="109"/>
      <c r="BB427" s="109"/>
      <c r="BD427" s="10"/>
      <c r="BG427" s="109"/>
      <c r="BH427" s="109"/>
      <c r="BJ427" s="10"/>
      <c r="BM427" s="109"/>
      <c r="BN427" s="109"/>
      <c r="BP427" s="10"/>
      <c r="BS427" s="109"/>
      <c r="BT427" s="109"/>
      <c r="BV427" s="10"/>
      <c r="BY427" s="109"/>
      <c r="BZ427" s="109"/>
      <c r="CB427" s="10"/>
      <c r="CE427" s="109"/>
      <c r="CF427" s="109"/>
      <c r="CH427" s="10"/>
      <c r="CK427" s="109"/>
      <c r="CL427" s="109"/>
    </row>
    <row r="428" spans="1:90">
      <c r="A428" s="7" t="str">
        <f t="shared" si="61"/>
        <v>00840998</v>
      </c>
      <c r="B428" s="7" t="s">
        <v>2423</v>
      </c>
      <c r="C428" s="7" t="s">
        <v>2781</v>
      </c>
      <c r="D428" s="7">
        <v>419</v>
      </c>
      <c r="E428" s="7">
        <v>84</v>
      </c>
      <c r="F428" s="7" t="s">
        <v>2135</v>
      </c>
      <c r="G428" s="7">
        <v>998</v>
      </c>
      <c r="H428" s="7" t="s">
        <v>2135</v>
      </c>
      <c r="I428" s="37">
        <v>0</v>
      </c>
      <c r="J428" s="122">
        <v>0</v>
      </c>
      <c r="K428" s="123">
        <f t="shared" si="70"/>
        <v>0</v>
      </c>
      <c r="L428" s="122">
        <f>IF(K429&gt;0, K428/K429, 0)</f>
        <v>0</v>
      </c>
      <c r="M428" s="71"/>
      <c r="N428" s="10">
        <f>ROUND(M429*L428,0)</f>
        <v>0</v>
      </c>
      <c r="O428" s="70">
        <v>0</v>
      </c>
      <c r="P428" s="10">
        <f>N428-O428</f>
        <v>0</v>
      </c>
      <c r="Q428" s="46">
        <f t="shared" si="69"/>
        <v>0</v>
      </c>
      <c r="R428" s="10">
        <v>0</v>
      </c>
      <c r="S428" s="7">
        <f t="shared" si="62"/>
        <v>0</v>
      </c>
      <c r="T428" s="124">
        <f t="shared" si="63"/>
        <v>84</v>
      </c>
      <c r="U428" s="124">
        <f t="shared" si="64"/>
        <v>998</v>
      </c>
      <c r="V428" s="124">
        <f t="shared" si="65"/>
        <v>419</v>
      </c>
      <c r="W428" s="124">
        <f t="shared" si="66"/>
        <v>0</v>
      </c>
      <c r="X428" s="124">
        <f t="shared" si="67"/>
        <v>0</v>
      </c>
      <c r="Y428" s="264">
        <f t="shared" si="68"/>
        <v>419</v>
      </c>
      <c r="Z428" s="10">
        <v>84</v>
      </c>
      <c r="AA428" s="7">
        <v>998</v>
      </c>
      <c r="AB428" s="7">
        <v>419</v>
      </c>
      <c r="AC428" s="109">
        <v>0</v>
      </c>
      <c r="AD428" s="109">
        <v>0</v>
      </c>
      <c r="AE428" s="125"/>
      <c r="AF428" s="10"/>
      <c r="AI428" s="109"/>
      <c r="AJ428" s="109"/>
      <c r="AL428" s="10"/>
      <c r="AO428" s="109"/>
      <c r="AP428" s="109"/>
      <c r="AR428" s="10"/>
      <c r="AU428" s="109"/>
      <c r="AV428" s="109"/>
      <c r="AX428" s="10"/>
      <c r="BA428" s="109"/>
      <c r="BB428" s="109"/>
      <c r="BD428" s="10"/>
      <c r="BG428" s="109"/>
      <c r="BH428" s="109"/>
      <c r="BJ428" s="10"/>
      <c r="BM428" s="109"/>
      <c r="BN428" s="109"/>
      <c r="BP428" s="10"/>
      <c r="BS428" s="109"/>
      <c r="BT428" s="109"/>
      <c r="BV428" s="10"/>
      <c r="BY428" s="109"/>
      <c r="BZ428" s="109"/>
      <c r="CB428" s="10"/>
      <c r="CE428" s="109"/>
      <c r="CF428" s="109"/>
      <c r="CH428" s="10"/>
      <c r="CK428" s="109"/>
      <c r="CL428" s="109"/>
    </row>
    <row r="429" spans="1:90">
      <c r="A429" s="7" t="str">
        <f t="shared" si="61"/>
        <v>00840999</v>
      </c>
      <c r="B429" s="7" t="s">
        <v>2423</v>
      </c>
      <c r="C429" s="7" t="s">
        <v>2782</v>
      </c>
      <c r="D429" s="7">
        <v>420</v>
      </c>
      <c r="E429" s="11">
        <v>84</v>
      </c>
      <c r="F429" s="11" t="s">
        <v>1790</v>
      </c>
      <c r="G429" s="11">
        <v>999</v>
      </c>
      <c r="H429" s="11" t="s">
        <v>1132</v>
      </c>
      <c r="I429" s="105">
        <v>3693164.16</v>
      </c>
      <c r="J429" s="126">
        <v>1</v>
      </c>
      <c r="K429" s="127">
        <f>SUM(K425:K428)</f>
        <v>3584875.3788708192</v>
      </c>
      <c r="L429" s="126">
        <f>SUM(L425:L428)</f>
        <v>1</v>
      </c>
      <c r="M429" s="105">
        <f>VLOOKUP(E429,town351,22)</f>
        <v>1600257</v>
      </c>
      <c r="N429" s="105">
        <f>SUM(N425:N428)</f>
        <v>1600257</v>
      </c>
      <c r="O429" s="128">
        <v>1511958</v>
      </c>
      <c r="P429" s="105">
        <f>SUM(P425:P428)</f>
        <v>88299</v>
      </c>
      <c r="Q429" s="45">
        <f t="shared" si="69"/>
        <v>5.8400431758025029</v>
      </c>
      <c r="R429" s="105">
        <v>346</v>
      </c>
      <c r="S429" s="7">
        <f t="shared" si="62"/>
        <v>0</v>
      </c>
      <c r="T429" s="124">
        <f t="shared" si="63"/>
        <v>84</v>
      </c>
      <c r="U429" s="124">
        <f t="shared" si="64"/>
        <v>999</v>
      </c>
      <c r="V429" s="124">
        <f t="shared" si="65"/>
        <v>420</v>
      </c>
      <c r="W429" s="124">
        <f t="shared" si="66"/>
        <v>314.08121512423998</v>
      </c>
      <c r="X429" s="124">
        <f t="shared" si="67"/>
        <v>3584875.3788708192</v>
      </c>
      <c r="Y429" s="264">
        <f t="shared" si="68"/>
        <v>420</v>
      </c>
      <c r="Z429" s="10">
        <v>84</v>
      </c>
      <c r="AA429" s="7">
        <v>999</v>
      </c>
      <c r="AB429" s="7">
        <v>420</v>
      </c>
      <c r="AC429" s="109">
        <v>314.08121512423998</v>
      </c>
      <c r="AD429" s="109">
        <v>3584875.3788708192</v>
      </c>
      <c r="AE429" s="125"/>
      <c r="AF429" s="10"/>
      <c r="AI429" s="109"/>
      <c r="AJ429" s="109"/>
      <c r="AL429" s="10"/>
      <c r="AO429" s="109"/>
      <c r="AP429" s="109"/>
      <c r="AR429" s="10"/>
      <c r="AU429" s="109"/>
      <c r="AV429" s="109"/>
      <c r="AX429" s="10"/>
      <c r="BA429" s="109"/>
      <c r="BB429" s="109"/>
      <c r="BD429" s="10"/>
      <c r="BG429" s="109"/>
      <c r="BH429" s="109"/>
      <c r="BJ429" s="10"/>
      <c r="BM429" s="109"/>
      <c r="BN429" s="109"/>
      <c r="BP429" s="10"/>
      <c r="BS429" s="109"/>
      <c r="BT429" s="109"/>
      <c r="BV429" s="10"/>
      <c r="BY429" s="109"/>
      <c r="BZ429" s="109"/>
      <c r="CB429" s="10"/>
      <c r="CE429" s="109"/>
      <c r="CF429" s="109"/>
      <c r="CH429" s="10"/>
      <c r="CK429" s="109"/>
      <c r="CL429" s="109"/>
    </row>
    <row r="430" spans="1:90">
      <c r="A430" s="7" t="str">
        <f t="shared" si="61"/>
        <v>00850085</v>
      </c>
      <c r="B430" s="7" t="s">
        <v>2424</v>
      </c>
      <c r="C430" s="7" t="s">
        <v>2424</v>
      </c>
      <c r="D430" s="7">
        <v>421</v>
      </c>
      <c r="E430" s="7">
        <v>85</v>
      </c>
      <c r="F430" s="7" t="s">
        <v>1791</v>
      </c>
      <c r="G430" s="7">
        <v>85</v>
      </c>
      <c r="H430" s="7" t="s">
        <v>1351</v>
      </c>
      <c r="I430" s="37">
        <v>1797116.2700000003</v>
      </c>
      <c r="J430" s="122">
        <v>0.36114822286971088</v>
      </c>
      <c r="K430" s="123">
        <f>X430</f>
        <v>1861930.3816340552</v>
      </c>
      <c r="L430" s="122">
        <f>IF(K434&gt;0, K430/K434, 0)</f>
        <v>0.39095267339849632</v>
      </c>
      <c r="M430" s="71"/>
      <c r="N430" s="10">
        <f>ROUND(M434*L430,0)</f>
        <v>1558793</v>
      </c>
      <c r="O430" s="70">
        <v>1503602</v>
      </c>
      <c r="P430" s="10">
        <f>N430-O430</f>
        <v>55191</v>
      </c>
      <c r="Q430" s="46">
        <f t="shared" si="69"/>
        <v>3.6705857002052404</v>
      </c>
      <c r="R430" s="10">
        <v>177</v>
      </c>
      <c r="S430" s="7">
        <f t="shared" si="62"/>
        <v>0</v>
      </c>
      <c r="T430" s="124">
        <f t="shared" si="63"/>
        <v>85</v>
      </c>
      <c r="U430" s="124">
        <f t="shared" si="64"/>
        <v>85</v>
      </c>
      <c r="V430" s="124">
        <f t="shared" si="65"/>
        <v>421</v>
      </c>
      <c r="W430" s="124">
        <f t="shared" si="66"/>
        <v>183</v>
      </c>
      <c r="X430" s="124">
        <f t="shared" si="67"/>
        <v>1861930.3816340552</v>
      </c>
      <c r="Y430" s="264">
        <f t="shared" si="68"/>
        <v>421</v>
      </c>
      <c r="Z430" s="10">
        <v>85</v>
      </c>
      <c r="AA430" s="7">
        <v>85</v>
      </c>
      <c r="AB430" s="7">
        <v>421</v>
      </c>
      <c r="AC430" s="109">
        <v>183</v>
      </c>
      <c r="AD430" s="109">
        <v>1861930.3816340552</v>
      </c>
      <c r="AE430" s="125"/>
      <c r="AF430" s="10"/>
      <c r="AI430" s="109"/>
      <c r="AJ430" s="109"/>
      <c r="AL430" s="10"/>
      <c r="AO430" s="109"/>
      <c r="AP430" s="109"/>
      <c r="AR430" s="10"/>
      <c r="AU430" s="109"/>
      <c r="AV430" s="109"/>
      <c r="AX430" s="10"/>
      <c r="BA430" s="109"/>
      <c r="BB430" s="109"/>
      <c r="BD430" s="10"/>
      <c r="BG430" s="109"/>
      <c r="BH430" s="109"/>
      <c r="BJ430" s="10"/>
      <c r="BM430" s="109"/>
      <c r="BN430" s="109"/>
      <c r="BP430" s="10"/>
      <c r="BS430" s="109"/>
      <c r="BT430" s="109"/>
      <c r="BV430" s="10"/>
      <c r="BY430" s="109"/>
      <c r="BZ430" s="109"/>
      <c r="CB430" s="10"/>
      <c r="CE430" s="109"/>
      <c r="CF430" s="109"/>
      <c r="CH430" s="10"/>
      <c r="CK430" s="109"/>
      <c r="CL430" s="109"/>
    </row>
    <row r="431" spans="1:90">
      <c r="A431" s="7" t="str">
        <f t="shared" si="61"/>
        <v>00850660</v>
      </c>
      <c r="B431" s="7" t="s">
        <v>2424</v>
      </c>
      <c r="C431" s="7" t="s">
        <v>2711</v>
      </c>
      <c r="D431" s="7">
        <v>422</v>
      </c>
      <c r="E431" s="7">
        <v>85</v>
      </c>
      <c r="F431" s="7" t="s">
        <v>1791</v>
      </c>
      <c r="G431" s="7">
        <v>660</v>
      </c>
      <c r="H431" s="7" t="s">
        <v>1638</v>
      </c>
      <c r="I431" s="37">
        <v>2923544</v>
      </c>
      <c r="J431" s="122">
        <v>0.58751497479982517</v>
      </c>
      <c r="K431" s="123">
        <f t="shared" si="70"/>
        <v>2654631.3861451084</v>
      </c>
      <c r="L431" s="122">
        <f>IF(K434&gt;0, K431/K434, 0)</f>
        <v>0.55739744489811049</v>
      </c>
      <c r="M431" s="71"/>
      <c r="N431" s="10">
        <f>ROUND(M434*L431,0)</f>
        <v>2222436</v>
      </c>
      <c r="O431" s="70">
        <v>2446056</v>
      </c>
      <c r="P431" s="10">
        <f>N431-O431</f>
        <v>-223620</v>
      </c>
      <c r="Q431" s="46">
        <f t="shared" si="69"/>
        <v>-9.1420637957593769</v>
      </c>
      <c r="R431" s="10">
        <v>279</v>
      </c>
      <c r="S431" s="7">
        <f t="shared" si="62"/>
        <v>0</v>
      </c>
      <c r="T431" s="124">
        <f t="shared" si="63"/>
        <v>85</v>
      </c>
      <c r="U431" s="124">
        <f t="shared" si="64"/>
        <v>660</v>
      </c>
      <c r="V431" s="124">
        <f t="shared" si="65"/>
        <v>422</v>
      </c>
      <c r="W431" s="124">
        <f t="shared" si="66"/>
        <v>251.42506350324999</v>
      </c>
      <c r="X431" s="124">
        <f t="shared" si="67"/>
        <v>2654631.3861451084</v>
      </c>
      <c r="Y431" s="264">
        <f t="shared" si="68"/>
        <v>422</v>
      </c>
      <c r="Z431" s="10">
        <v>85</v>
      </c>
      <c r="AA431" s="7">
        <v>660</v>
      </c>
      <c r="AB431" s="7">
        <v>422</v>
      </c>
      <c r="AC431" s="109">
        <v>251.42506350324999</v>
      </c>
      <c r="AD431" s="109">
        <v>2654631.3861451084</v>
      </c>
      <c r="AE431" s="125"/>
      <c r="AF431" s="10"/>
      <c r="AI431" s="109"/>
      <c r="AJ431" s="109"/>
      <c r="AL431" s="10"/>
      <c r="AO431" s="109"/>
      <c r="AP431" s="109"/>
      <c r="AR431" s="10"/>
      <c r="AU431" s="109"/>
      <c r="AV431" s="109"/>
      <c r="AX431" s="10"/>
      <c r="BA431" s="109"/>
      <c r="BB431" s="109"/>
      <c r="BD431" s="10"/>
      <c r="BG431" s="109"/>
      <c r="BH431" s="109"/>
      <c r="BJ431" s="10"/>
      <c r="BM431" s="109"/>
      <c r="BN431" s="109"/>
      <c r="BP431" s="10"/>
      <c r="BS431" s="109"/>
      <c r="BT431" s="109"/>
      <c r="BV431" s="10"/>
      <c r="BY431" s="109"/>
      <c r="BZ431" s="109"/>
      <c r="CB431" s="10"/>
      <c r="CE431" s="109"/>
      <c r="CF431" s="109"/>
      <c r="CH431" s="10"/>
      <c r="CK431" s="109"/>
      <c r="CL431" s="109"/>
    </row>
    <row r="432" spans="1:90">
      <c r="A432" s="7" t="str">
        <f t="shared" si="61"/>
        <v>00850815</v>
      </c>
      <c r="B432" s="7" t="s">
        <v>2424</v>
      </c>
      <c r="C432" s="7" t="s">
        <v>2756</v>
      </c>
      <c r="D432" s="7">
        <v>423</v>
      </c>
      <c r="E432" s="7">
        <v>85</v>
      </c>
      <c r="F432" s="7" t="s">
        <v>1791</v>
      </c>
      <c r="G432" s="7">
        <v>815</v>
      </c>
      <c r="H432" s="7" t="s">
        <v>1683</v>
      </c>
      <c r="I432" s="37">
        <v>255458</v>
      </c>
      <c r="J432" s="122">
        <v>5.13368023304639E-2</v>
      </c>
      <c r="K432" s="123">
        <f t="shared" si="70"/>
        <v>245984.97591888407</v>
      </c>
      <c r="L432" s="122">
        <f>IF(K434&gt;0, K432/K434, 0)</f>
        <v>5.1649881703393068E-2</v>
      </c>
      <c r="M432" s="71"/>
      <c r="N432" s="10">
        <f>ROUND(M434*L432,0)</f>
        <v>205937</v>
      </c>
      <c r="O432" s="70">
        <v>213735</v>
      </c>
      <c r="P432" s="10">
        <f>N432-O432</f>
        <v>-7798</v>
      </c>
      <c r="Q432" s="46">
        <f t="shared" si="69"/>
        <v>-3.6484431656022647</v>
      </c>
      <c r="R432" s="10">
        <v>16</v>
      </c>
      <c r="S432" s="7">
        <f t="shared" si="62"/>
        <v>0</v>
      </c>
      <c r="T432" s="124">
        <f t="shared" si="63"/>
        <v>85</v>
      </c>
      <c r="U432" s="124">
        <f t="shared" si="64"/>
        <v>815</v>
      </c>
      <c r="V432" s="124">
        <f t="shared" si="65"/>
        <v>423</v>
      </c>
      <c r="W432" s="124">
        <f t="shared" si="66"/>
        <v>15.000000000650001</v>
      </c>
      <c r="X432" s="124">
        <f t="shared" si="67"/>
        <v>245984.97591888407</v>
      </c>
      <c r="Y432" s="264">
        <f t="shared" si="68"/>
        <v>423</v>
      </c>
      <c r="Z432" s="10">
        <v>85</v>
      </c>
      <c r="AA432" s="7">
        <v>815</v>
      </c>
      <c r="AB432" s="7">
        <v>423</v>
      </c>
      <c r="AC432" s="109">
        <v>15.000000000650001</v>
      </c>
      <c r="AD432" s="109">
        <v>245984.97591888407</v>
      </c>
      <c r="AE432" s="125"/>
      <c r="AF432" s="10"/>
      <c r="AI432" s="109"/>
      <c r="AJ432" s="109"/>
      <c r="AL432" s="10"/>
      <c r="AO432" s="109"/>
      <c r="AP432" s="109"/>
      <c r="AR432" s="10"/>
      <c r="AU432" s="109"/>
      <c r="AV432" s="109"/>
      <c r="AX432" s="10"/>
      <c r="BA432" s="109"/>
      <c r="BB432" s="109"/>
      <c r="BD432" s="10"/>
      <c r="BG432" s="109"/>
      <c r="BH432" s="109"/>
      <c r="BJ432" s="10"/>
      <c r="BM432" s="109"/>
      <c r="BN432" s="109"/>
      <c r="BP432" s="10"/>
      <c r="BS432" s="109"/>
      <c r="BT432" s="109"/>
      <c r="BV432" s="10"/>
      <c r="BY432" s="109"/>
      <c r="BZ432" s="109"/>
      <c r="CB432" s="10"/>
      <c r="CE432" s="109"/>
      <c r="CF432" s="109"/>
      <c r="CH432" s="10"/>
      <c r="CK432" s="109"/>
      <c r="CL432" s="109"/>
    </row>
    <row r="433" spans="1:90">
      <c r="A433" s="7" t="str">
        <f t="shared" si="61"/>
        <v>00850998</v>
      </c>
      <c r="B433" s="7" t="s">
        <v>2424</v>
      </c>
      <c r="C433" s="7" t="s">
        <v>2781</v>
      </c>
      <c r="D433" s="7">
        <v>424</v>
      </c>
      <c r="E433" s="7">
        <v>85</v>
      </c>
      <c r="F433" s="7" t="s">
        <v>2135</v>
      </c>
      <c r="G433" s="7">
        <v>998</v>
      </c>
      <c r="H433" s="7" t="s">
        <v>2135</v>
      </c>
      <c r="I433" s="37">
        <v>0</v>
      </c>
      <c r="J433" s="122">
        <v>0</v>
      </c>
      <c r="K433" s="123">
        <f t="shared" si="70"/>
        <v>0</v>
      </c>
      <c r="L433" s="122">
        <f>IF(K434&gt;0, K433/K434, 0)</f>
        <v>0</v>
      </c>
      <c r="M433" s="71"/>
      <c r="N433" s="10">
        <f>ROUND(M434*L433,0)</f>
        <v>0</v>
      </c>
      <c r="O433" s="70">
        <v>0</v>
      </c>
      <c r="P433" s="10">
        <f>N433-O433</f>
        <v>0</v>
      </c>
      <c r="Q433" s="46">
        <f t="shared" si="69"/>
        <v>0</v>
      </c>
      <c r="R433" s="10">
        <v>0</v>
      </c>
      <c r="S433" s="7">
        <f t="shared" si="62"/>
        <v>0</v>
      </c>
      <c r="T433" s="124">
        <f t="shared" si="63"/>
        <v>85</v>
      </c>
      <c r="U433" s="124">
        <f t="shared" si="64"/>
        <v>998</v>
      </c>
      <c r="V433" s="124">
        <f t="shared" si="65"/>
        <v>424</v>
      </c>
      <c r="W433" s="124">
        <f t="shared" si="66"/>
        <v>0</v>
      </c>
      <c r="X433" s="124">
        <f t="shared" si="67"/>
        <v>0</v>
      </c>
      <c r="Y433" s="264">
        <f t="shared" si="68"/>
        <v>424</v>
      </c>
      <c r="Z433" s="10">
        <v>85</v>
      </c>
      <c r="AA433" s="7">
        <v>998</v>
      </c>
      <c r="AB433" s="7">
        <v>424</v>
      </c>
      <c r="AC433" s="109">
        <v>0</v>
      </c>
      <c r="AD433" s="109">
        <v>0</v>
      </c>
      <c r="AE433" s="125"/>
      <c r="AF433" s="10"/>
      <c r="AI433" s="109"/>
      <c r="AJ433" s="109"/>
      <c r="AL433" s="10"/>
      <c r="AO433" s="109"/>
      <c r="AP433" s="109"/>
      <c r="AR433" s="10"/>
      <c r="AU433" s="109"/>
      <c r="AV433" s="109"/>
      <c r="AX433" s="10"/>
      <c r="BA433" s="109"/>
      <c r="BB433" s="109"/>
      <c r="BD433" s="10"/>
      <c r="BG433" s="109"/>
      <c r="BH433" s="109"/>
      <c r="BJ433" s="10"/>
      <c r="BM433" s="109"/>
      <c r="BN433" s="109"/>
      <c r="BP433" s="10"/>
      <c r="BS433" s="109"/>
      <c r="BT433" s="109"/>
      <c r="BV433" s="10"/>
      <c r="BY433" s="109"/>
      <c r="BZ433" s="109"/>
      <c r="CB433" s="10"/>
      <c r="CE433" s="109"/>
      <c r="CF433" s="109"/>
      <c r="CH433" s="10"/>
      <c r="CK433" s="109"/>
      <c r="CL433" s="109"/>
    </row>
    <row r="434" spans="1:90">
      <c r="A434" s="7" t="str">
        <f t="shared" si="61"/>
        <v>00850999</v>
      </c>
      <c r="B434" s="7" t="s">
        <v>2424</v>
      </c>
      <c r="C434" s="7" t="s">
        <v>2782</v>
      </c>
      <c r="D434" s="7">
        <v>425</v>
      </c>
      <c r="E434" s="11">
        <v>85</v>
      </c>
      <c r="F434" s="11" t="s">
        <v>1791</v>
      </c>
      <c r="G434" s="11">
        <v>999</v>
      </c>
      <c r="H434" s="11" t="s">
        <v>1132</v>
      </c>
      <c r="I434" s="105">
        <v>4976118.2700000005</v>
      </c>
      <c r="J434" s="126">
        <v>1</v>
      </c>
      <c r="K434" s="127">
        <f>SUM(K430:K433)</f>
        <v>4762546.7436980484</v>
      </c>
      <c r="L434" s="126">
        <f>SUM(L430:L433)</f>
        <v>0.99999999999999978</v>
      </c>
      <c r="M434" s="105">
        <f>VLOOKUP(E434,town351,22)</f>
        <v>3987165</v>
      </c>
      <c r="N434" s="105">
        <f>SUM(N430:N433)</f>
        <v>3987166</v>
      </c>
      <c r="O434" s="128">
        <v>4163393</v>
      </c>
      <c r="P434" s="105">
        <f>SUM(P430:P433)</f>
        <v>-176227</v>
      </c>
      <c r="Q434" s="45">
        <f t="shared" si="69"/>
        <v>-4.2327736055664218</v>
      </c>
      <c r="R434" s="105">
        <v>472</v>
      </c>
      <c r="S434" s="7">
        <f t="shared" si="62"/>
        <v>0</v>
      </c>
      <c r="T434" s="124">
        <f t="shared" si="63"/>
        <v>85</v>
      </c>
      <c r="U434" s="124">
        <f t="shared" si="64"/>
        <v>999</v>
      </c>
      <c r="V434" s="124">
        <f t="shared" si="65"/>
        <v>425</v>
      </c>
      <c r="W434" s="124">
        <f t="shared" si="66"/>
        <v>449.42506350389999</v>
      </c>
      <c r="X434" s="124">
        <f t="shared" si="67"/>
        <v>4762546.7436980484</v>
      </c>
      <c r="Y434" s="264">
        <f t="shared" si="68"/>
        <v>425</v>
      </c>
      <c r="Z434" s="10">
        <v>85</v>
      </c>
      <c r="AA434" s="7">
        <v>999</v>
      </c>
      <c r="AB434" s="7">
        <v>425</v>
      </c>
      <c r="AC434" s="109">
        <v>449.42506350389999</v>
      </c>
      <c r="AD434" s="109">
        <v>4762546.7436980484</v>
      </c>
      <c r="AE434" s="125"/>
      <c r="AF434" s="10"/>
      <c r="AI434" s="109"/>
      <c r="AJ434" s="109"/>
      <c r="AL434" s="10"/>
      <c r="AO434" s="109"/>
      <c r="AP434" s="109"/>
      <c r="AR434" s="10"/>
      <c r="AU434" s="109"/>
      <c r="AV434" s="109"/>
      <c r="AX434" s="10"/>
      <c r="BA434" s="109"/>
      <c r="BB434" s="109"/>
      <c r="BD434" s="10"/>
      <c r="BG434" s="109"/>
      <c r="BH434" s="109"/>
      <c r="BJ434" s="10"/>
      <c r="BM434" s="109"/>
      <c r="BN434" s="109"/>
      <c r="BP434" s="10"/>
      <c r="BS434" s="109"/>
      <c r="BT434" s="109"/>
      <c r="BV434" s="10"/>
      <c r="BY434" s="109"/>
      <c r="BZ434" s="109"/>
      <c r="CB434" s="10"/>
      <c r="CE434" s="109"/>
      <c r="CF434" s="109"/>
      <c r="CH434" s="10"/>
      <c r="CK434" s="109"/>
      <c r="CL434" s="109"/>
    </row>
    <row r="435" spans="1:90">
      <c r="A435" s="7" t="str">
        <f t="shared" si="61"/>
        <v>00860086</v>
      </c>
      <c r="B435" s="7" t="s">
        <v>2425</v>
      </c>
      <c r="C435" s="7" t="s">
        <v>2425</v>
      </c>
      <c r="D435" s="7">
        <v>426</v>
      </c>
      <c r="E435" s="7">
        <v>86</v>
      </c>
      <c r="F435" s="7" t="s">
        <v>1792</v>
      </c>
      <c r="G435" s="7">
        <v>86</v>
      </c>
      <c r="H435" s="7" t="s">
        <v>1352</v>
      </c>
      <c r="I435" s="37">
        <v>18091522.210000005</v>
      </c>
      <c r="J435" s="122">
        <v>1</v>
      </c>
      <c r="K435" s="123">
        <f>X435</f>
        <v>18534768.099589158</v>
      </c>
      <c r="L435" s="122">
        <f>IF(K439&gt;0, K435/K439, 0)</f>
        <v>1</v>
      </c>
      <c r="M435" s="71"/>
      <c r="N435" s="10">
        <f>ROUND(M439*L435,0)</f>
        <v>11761853</v>
      </c>
      <c r="O435" s="70">
        <v>11897561</v>
      </c>
      <c r="P435" s="10">
        <f>N435-O435</f>
        <v>-135708</v>
      </c>
      <c r="Q435" s="46">
        <f t="shared" si="69"/>
        <v>-1.1406371440331342</v>
      </c>
      <c r="R435" s="10">
        <v>1765</v>
      </c>
      <c r="S435" s="7">
        <f t="shared" si="62"/>
        <v>0</v>
      </c>
      <c r="T435" s="124">
        <f t="shared" si="63"/>
        <v>86</v>
      </c>
      <c r="U435" s="124">
        <f t="shared" si="64"/>
        <v>86</v>
      </c>
      <c r="V435" s="124">
        <f t="shared" si="65"/>
        <v>426</v>
      </c>
      <c r="W435" s="124">
        <f t="shared" si="66"/>
        <v>1771</v>
      </c>
      <c r="X435" s="124">
        <f t="shared" si="67"/>
        <v>18534768.099589158</v>
      </c>
      <c r="Y435" s="264">
        <f t="shared" si="68"/>
        <v>426</v>
      </c>
      <c r="Z435" s="10">
        <v>86</v>
      </c>
      <c r="AA435" s="7">
        <v>86</v>
      </c>
      <c r="AB435" s="7">
        <v>426</v>
      </c>
      <c r="AC435" s="109">
        <v>1771</v>
      </c>
      <c r="AD435" s="109">
        <v>18534768.099589158</v>
      </c>
      <c r="AE435" s="125"/>
      <c r="AF435" s="10"/>
      <c r="AI435" s="109"/>
      <c r="AJ435" s="109"/>
      <c r="AL435" s="10"/>
      <c r="AO435" s="109"/>
      <c r="AP435" s="109"/>
      <c r="AR435" s="10"/>
      <c r="AU435" s="109"/>
      <c r="AV435" s="109"/>
      <c r="AX435" s="10"/>
      <c r="BA435" s="109"/>
      <c r="BB435" s="109"/>
      <c r="BD435" s="10"/>
      <c r="BG435" s="109"/>
      <c r="BH435" s="109"/>
      <c r="BJ435" s="10"/>
      <c r="BM435" s="109"/>
      <c r="BN435" s="109"/>
      <c r="BP435" s="10"/>
      <c r="BS435" s="109"/>
      <c r="BT435" s="109"/>
      <c r="BV435" s="10"/>
      <c r="BY435" s="109"/>
      <c r="BZ435" s="109"/>
      <c r="CB435" s="10"/>
      <c r="CE435" s="109"/>
      <c r="CF435" s="109"/>
      <c r="CH435" s="10"/>
      <c r="CK435" s="109"/>
      <c r="CL435" s="109"/>
    </row>
    <row r="436" spans="1:90">
      <c r="A436" s="7" t="str">
        <f t="shared" si="61"/>
        <v>00860998</v>
      </c>
      <c r="B436" s="7" t="s">
        <v>2425</v>
      </c>
      <c r="C436" s="7" t="s">
        <v>2781</v>
      </c>
      <c r="D436" s="7">
        <v>427</v>
      </c>
      <c r="E436" s="7">
        <v>86</v>
      </c>
      <c r="F436" s="7" t="s">
        <v>2135</v>
      </c>
      <c r="G436" s="7">
        <v>998</v>
      </c>
      <c r="H436" s="7" t="s">
        <v>2135</v>
      </c>
      <c r="I436" s="37">
        <v>0</v>
      </c>
      <c r="J436" s="122">
        <v>0</v>
      </c>
      <c r="K436" s="123">
        <f t="shared" si="70"/>
        <v>0</v>
      </c>
      <c r="L436" s="122">
        <f>IF(K439&gt;0, K436/K439, 0)</f>
        <v>0</v>
      </c>
      <c r="M436" s="71"/>
      <c r="N436" s="10">
        <f>ROUND(M439*L436,0)</f>
        <v>0</v>
      </c>
      <c r="O436" s="70">
        <v>0</v>
      </c>
      <c r="P436" s="10">
        <f>N436-O436</f>
        <v>0</v>
      </c>
      <c r="Q436" s="46">
        <f t="shared" si="69"/>
        <v>0</v>
      </c>
      <c r="R436" s="10">
        <v>0</v>
      </c>
      <c r="S436" s="7">
        <f t="shared" si="62"/>
        <v>0</v>
      </c>
      <c r="T436" s="124">
        <f t="shared" si="63"/>
        <v>86</v>
      </c>
      <c r="U436" s="124">
        <f t="shared" si="64"/>
        <v>998</v>
      </c>
      <c r="V436" s="124">
        <f t="shared" si="65"/>
        <v>427</v>
      </c>
      <c r="W436" s="124">
        <f t="shared" si="66"/>
        <v>0</v>
      </c>
      <c r="X436" s="124">
        <f t="shared" si="67"/>
        <v>0</v>
      </c>
      <c r="Y436" s="264">
        <f t="shared" si="68"/>
        <v>427</v>
      </c>
      <c r="Z436" s="10">
        <v>86</v>
      </c>
      <c r="AA436" s="7">
        <v>998</v>
      </c>
      <c r="AB436" s="7">
        <v>427</v>
      </c>
      <c r="AC436" s="109">
        <v>0</v>
      </c>
      <c r="AD436" s="109">
        <v>0</v>
      </c>
      <c r="AE436" s="125"/>
      <c r="AF436" s="10"/>
      <c r="AI436" s="109"/>
      <c r="AJ436" s="109"/>
      <c r="AL436" s="10"/>
      <c r="AO436" s="109"/>
      <c r="AP436" s="109"/>
      <c r="AR436" s="10"/>
      <c r="AU436" s="109"/>
      <c r="AV436" s="109"/>
      <c r="AX436" s="10"/>
      <c r="BA436" s="109"/>
      <c r="BB436" s="109"/>
      <c r="BD436" s="10"/>
      <c r="BG436" s="109"/>
      <c r="BH436" s="109"/>
      <c r="BJ436" s="10"/>
      <c r="BM436" s="109"/>
      <c r="BN436" s="109"/>
      <c r="BP436" s="10"/>
      <c r="BS436" s="109"/>
      <c r="BT436" s="109"/>
      <c r="BV436" s="10"/>
      <c r="BY436" s="109"/>
      <c r="BZ436" s="109"/>
      <c r="CB436" s="10"/>
      <c r="CE436" s="109"/>
      <c r="CF436" s="109"/>
      <c r="CH436" s="10"/>
      <c r="CK436" s="109"/>
      <c r="CL436" s="109"/>
    </row>
    <row r="437" spans="1:90">
      <c r="A437" s="7" t="str">
        <f t="shared" si="61"/>
        <v>00860998</v>
      </c>
      <c r="B437" s="7" t="s">
        <v>2425</v>
      </c>
      <c r="C437" s="7" t="s">
        <v>2781</v>
      </c>
      <c r="D437" s="7">
        <v>428</v>
      </c>
      <c r="E437" s="7">
        <v>86</v>
      </c>
      <c r="F437" s="7" t="s">
        <v>2135</v>
      </c>
      <c r="G437" s="7">
        <v>998</v>
      </c>
      <c r="H437" s="7" t="s">
        <v>2135</v>
      </c>
      <c r="I437" s="37">
        <v>0</v>
      </c>
      <c r="J437" s="122">
        <v>0</v>
      </c>
      <c r="K437" s="123">
        <f t="shared" si="70"/>
        <v>0</v>
      </c>
      <c r="L437" s="122">
        <f>IF(K439&gt;0, K437/K439, 0)</f>
        <v>0</v>
      </c>
      <c r="M437" s="71"/>
      <c r="N437" s="10">
        <f>ROUND(M439*L437,0)</f>
        <v>0</v>
      </c>
      <c r="O437" s="70">
        <v>0</v>
      </c>
      <c r="P437" s="10">
        <f>N437-O437</f>
        <v>0</v>
      </c>
      <c r="Q437" s="46">
        <f t="shared" si="69"/>
        <v>0</v>
      </c>
      <c r="R437" s="10">
        <v>0</v>
      </c>
      <c r="S437" s="7">
        <f t="shared" si="62"/>
        <v>0</v>
      </c>
      <c r="T437" s="124">
        <f t="shared" si="63"/>
        <v>86</v>
      </c>
      <c r="U437" s="124">
        <f t="shared" si="64"/>
        <v>998</v>
      </c>
      <c r="V437" s="124">
        <f t="shared" si="65"/>
        <v>428</v>
      </c>
      <c r="W437" s="124">
        <f t="shared" si="66"/>
        <v>0</v>
      </c>
      <c r="X437" s="124">
        <f t="shared" si="67"/>
        <v>0</v>
      </c>
      <c r="Y437" s="264">
        <f t="shared" si="68"/>
        <v>428</v>
      </c>
      <c r="Z437" s="10">
        <v>86</v>
      </c>
      <c r="AA437" s="7">
        <v>998</v>
      </c>
      <c r="AB437" s="7">
        <v>428</v>
      </c>
      <c r="AC437" s="109">
        <v>0</v>
      </c>
      <c r="AD437" s="109">
        <v>0</v>
      </c>
      <c r="AE437" s="125"/>
      <c r="AF437" s="10"/>
      <c r="AI437" s="109"/>
      <c r="AJ437" s="109"/>
      <c r="AL437" s="10"/>
      <c r="AO437" s="109"/>
      <c r="AP437" s="109"/>
      <c r="AR437" s="10"/>
      <c r="AU437" s="109"/>
      <c r="AV437" s="109"/>
      <c r="AX437" s="10"/>
      <c r="BA437" s="109"/>
      <c r="BB437" s="109"/>
      <c r="BD437" s="10"/>
      <c r="BG437" s="109"/>
      <c r="BH437" s="109"/>
      <c r="BJ437" s="10"/>
      <c r="BM437" s="109"/>
      <c r="BN437" s="109"/>
      <c r="BP437" s="10"/>
      <c r="BS437" s="109"/>
      <c r="BT437" s="109"/>
      <c r="BV437" s="10"/>
      <c r="BY437" s="109"/>
      <c r="BZ437" s="109"/>
      <c r="CB437" s="10"/>
      <c r="CE437" s="109"/>
      <c r="CF437" s="109"/>
      <c r="CH437" s="10"/>
      <c r="CK437" s="109"/>
      <c r="CL437" s="109"/>
    </row>
    <row r="438" spans="1:90">
      <c r="A438" s="7" t="str">
        <f t="shared" si="61"/>
        <v>00860998</v>
      </c>
      <c r="B438" s="7" t="s">
        <v>2425</v>
      </c>
      <c r="C438" s="7" t="s">
        <v>2781</v>
      </c>
      <c r="D438" s="7">
        <v>429</v>
      </c>
      <c r="E438" s="7">
        <v>86</v>
      </c>
      <c r="F438" s="7" t="s">
        <v>2135</v>
      </c>
      <c r="G438" s="7">
        <v>998</v>
      </c>
      <c r="H438" s="7" t="s">
        <v>2135</v>
      </c>
      <c r="I438" s="37">
        <v>0</v>
      </c>
      <c r="J438" s="122">
        <v>0</v>
      </c>
      <c r="K438" s="123">
        <f t="shared" si="70"/>
        <v>0</v>
      </c>
      <c r="L438" s="122">
        <f>IF(K439&gt;0, K438/K439, 0)</f>
        <v>0</v>
      </c>
      <c r="M438" s="71"/>
      <c r="N438" s="10">
        <f>ROUND(M439*L438,0)</f>
        <v>0</v>
      </c>
      <c r="O438" s="70">
        <v>0</v>
      </c>
      <c r="P438" s="10">
        <f>N438-O438</f>
        <v>0</v>
      </c>
      <c r="Q438" s="46">
        <f t="shared" si="69"/>
        <v>0</v>
      </c>
      <c r="R438" s="10">
        <v>0</v>
      </c>
      <c r="S438" s="7">
        <f t="shared" si="62"/>
        <v>0</v>
      </c>
      <c r="T438" s="124">
        <f t="shared" si="63"/>
        <v>86</v>
      </c>
      <c r="U438" s="124">
        <f t="shared" si="64"/>
        <v>998</v>
      </c>
      <c r="V438" s="124">
        <f t="shared" si="65"/>
        <v>429</v>
      </c>
      <c r="W438" s="124">
        <f t="shared" si="66"/>
        <v>0</v>
      </c>
      <c r="X438" s="124">
        <f t="shared" si="67"/>
        <v>0</v>
      </c>
      <c r="Y438" s="264">
        <f t="shared" si="68"/>
        <v>429</v>
      </c>
      <c r="Z438" s="10">
        <v>86</v>
      </c>
      <c r="AA438" s="7">
        <v>998</v>
      </c>
      <c r="AB438" s="7">
        <v>429</v>
      </c>
      <c r="AC438" s="109">
        <v>0</v>
      </c>
      <c r="AD438" s="109">
        <v>0</v>
      </c>
      <c r="AE438" s="125"/>
      <c r="AF438" s="10"/>
      <c r="AI438" s="109"/>
      <c r="AJ438" s="109"/>
      <c r="AL438" s="10"/>
      <c r="AO438" s="109"/>
      <c r="AP438" s="109"/>
      <c r="AR438" s="10"/>
      <c r="AU438" s="109"/>
      <c r="AV438" s="109"/>
      <c r="AX438" s="10"/>
      <c r="BA438" s="109"/>
      <c r="BB438" s="109"/>
      <c r="BD438" s="10"/>
      <c r="BG438" s="109"/>
      <c r="BH438" s="109"/>
      <c r="BJ438" s="10"/>
      <c r="BM438" s="109"/>
      <c r="BN438" s="109"/>
      <c r="BP438" s="10"/>
      <c r="BS438" s="109"/>
      <c r="BT438" s="109"/>
      <c r="BV438" s="10"/>
      <c r="BY438" s="109"/>
      <c r="BZ438" s="109"/>
      <c r="CB438" s="10"/>
      <c r="CE438" s="109"/>
      <c r="CF438" s="109"/>
      <c r="CH438" s="10"/>
      <c r="CK438" s="109"/>
      <c r="CL438" s="109"/>
    </row>
    <row r="439" spans="1:90">
      <c r="A439" s="7" t="str">
        <f t="shared" si="61"/>
        <v>00860999</v>
      </c>
      <c r="B439" s="7" t="s">
        <v>2425</v>
      </c>
      <c r="C439" s="7" t="s">
        <v>2782</v>
      </c>
      <c r="D439" s="7">
        <v>430</v>
      </c>
      <c r="E439" s="11">
        <v>86</v>
      </c>
      <c r="F439" s="11" t="s">
        <v>1792</v>
      </c>
      <c r="G439" s="11">
        <v>999</v>
      </c>
      <c r="H439" s="11" t="s">
        <v>1132</v>
      </c>
      <c r="I439" s="105">
        <v>18091522.210000005</v>
      </c>
      <c r="J439" s="126">
        <v>1</v>
      </c>
      <c r="K439" s="127">
        <f>SUM(K435:K438)</f>
        <v>18534768.099589158</v>
      </c>
      <c r="L439" s="126">
        <f>SUM(L435:L438)</f>
        <v>1</v>
      </c>
      <c r="M439" s="105">
        <f>VLOOKUP(E439,town351,22)</f>
        <v>11761853</v>
      </c>
      <c r="N439" s="105">
        <f>SUM(N435:N438)</f>
        <v>11761853</v>
      </c>
      <c r="O439" s="128">
        <v>11897561</v>
      </c>
      <c r="P439" s="105">
        <f>SUM(P435:P438)</f>
        <v>-135708</v>
      </c>
      <c r="Q439" s="45">
        <f t="shared" si="69"/>
        <v>-1.1406371440331342</v>
      </c>
      <c r="R439" s="105">
        <v>1765</v>
      </c>
      <c r="S439" s="7">
        <f t="shared" si="62"/>
        <v>0</v>
      </c>
      <c r="T439" s="124">
        <f t="shared" si="63"/>
        <v>86</v>
      </c>
      <c r="U439" s="124">
        <f t="shared" si="64"/>
        <v>999</v>
      </c>
      <c r="V439" s="124">
        <f t="shared" si="65"/>
        <v>430</v>
      </c>
      <c r="W439" s="124">
        <f t="shared" si="66"/>
        <v>1771</v>
      </c>
      <c r="X439" s="124">
        <f t="shared" si="67"/>
        <v>18534768.099589158</v>
      </c>
      <c r="Y439" s="264">
        <f t="shared" si="68"/>
        <v>430</v>
      </c>
      <c r="Z439" s="10">
        <v>86</v>
      </c>
      <c r="AA439" s="7">
        <v>999</v>
      </c>
      <c r="AB439" s="7">
        <v>430</v>
      </c>
      <c r="AC439" s="109">
        <v>1771</v>
      </c>
      <c r="AD439" s="109">
        <v>18534768.099589158</v>
      </c>
      <c r="AE439" s="125"/>
      <c r="AF439" s="10"/>
      <c r="AI439" s="109"/>
      <c r="AJ439" s="109"/>
      <c r="AL439" s="10"/>
      <c r="AO439" s="109"/>
      <c r="AP439" s="109"/>
      <c r="AR439" s="10"/>
      <c r="AU439" s="109"/>
      <c r="AV439" s="109"/>
      <c r="AX439" s="10"/>
      <c r="BA439" s="109"/>
      <c r="BB439" s="109"/>
      <c r="BD439" s="10"/>
      <c r="BG439" s="109"/>
      <c r="BH439" s="109"/>
      <c r="BJ439" s="10"/>
      <c r="BM439" s="109"/>
      <c r="BN439" s="109"/>
      <c r="BP439" s="10"/>
      <c r="BS439" s="109"/>
      <c r="BT439" s="109"/>
      <c r="BV439" s="10"/>
      <c r="BY439" s="109"/>
      <c r="BZ439" s="109"/>
      <c r="CB439" s="10"/>
      <c r="CE439" s="109"/>
      <c r="CF439" s="109"/>
      <c r="CH439" s="10"/>
      <c r="CK439" s="109"/>
      <c r="CL439" s="109"/>
    </row>
    <row r="440" spans="1:90">
      <c r="A440" s="7" t="str">
        <f t="shared" si="61"/>
        <v>00870087</v>
      </c>
      <c r="B440" s="7" t="s">
        <v>2426</v>
      </c>
      <c r="C440" s="7" t="s">
        <v>2426</v>
      </c>
      <c r="D440" s="7">
        <v>431</v>
      </c>
      <c r="E440" s="7">
        <v>87</v>
      </c>
      <c r="F440" s="7" t="s">
        <v>1793</v>
      </c>
      <c r="G440" s="7">
        <v>87</v>
      </c>
      <c r="H440" s="7" t="s">
        <v>1353</v>
      </c>
      <c r="I440" s="37">
        <v>26003641.129999999</v>
      </c>
      <c r="J440" s="122">
        <v>1</v>
      </c>
      <c r="K440" s="123">
        <f>X440</f>
        <v>26517601.927612852</v>
      </c>
      <c r="L440" s="122">
        <f>IF(K444&gt;0, K440/K444, 0)</f>
        <v>1</v>
      </c>
      <c r="M440" s="71"/>
      <c r="N440" s="10">
        <f>ROUND(M444*L440,0)</f>
        <v>15918988</v>
      </c>
      <c r="O440" s="70">
        <v>15891476</v>
      </c>
      <c r="P440" s="10">
        <f>N440-O440</f>
        <v>27512</v>
      </c>
      <c r="Q440" s="46">
        <f t="shared" si="69"/>
        <v>0.17312425856478025</v>
      </c>
      <c r="R440" s="10">
        <v>2694</v>
      </c>
      <c r="S440" s="7">
        <f t="shared" si="62"/>
        <v>0</v>
      </c>
      <c r="T440" s="124">
        <f t="shared" si="63"/>
        <v>87</v>
      </c>
      <c r="U440" s="124">
        <f t="shared" si="64"/>
        <v>87</v>
      </c>
      <c r="V440" s="124">
        <f t="shared" si="65"/>
        <v>431</v>
      </c>
      <c r="W440" s="124">
        <f t="shared" si="66"/>
        <v>2678</v>
      </c>
      <c r="X440" s="124">
        <f t="shared" si="67"/>
        <v>26517601.927612852</v>
      </c>
      <c r="Y440" s="264">
        <f t="shared" si="68"/>
        <v>431</v>
      </c>
      <c r="Z440" s="10">
        <v>87</v>
      </c>
      <c r="AA440" s="7">
        <v>87</v>
      </c>
      <c r="AB440" s="7">
        <v>431</v>
      </c>
      <c r="AC440" s="109">
        <v>2678</v>
      </c>
      <c r="AD440" s="109">
        <v>26517601.927612852</v>
      </c>
      <c r="AE440" s="125"/>
      <c r="AF440" s="10"/>
      <c r="AI440" s="109"/>
      <c r="AJ440" s="109"/>
      <c r="AL440" s="10"/>
      <c r="AO440" s="109"/>
      <c r="AP440" s="109"/>
      <c r="AR440" s="10"/>
      <c r="AU440" s="109"/>
      <c r="AV440" s="109"/>
      <c r="AX440" s="10"/>
      <c r="BA440" s="109"/>
      <c r="BB440" s="109"/>
      <c r="BD440" s="10"/>
      <c r="BG440" s="109"/>
      <c r="BH440" s="109"/>
      <c r="BJ440" s="10"/>
      <c r="BM440" s="109"/>
      <c r="BN440" s="109"/>
      <c r="BP440" s="10"/>
      <c r="BS440" s="109"/>
      <c r="BT440" s="109"/>
      <c r="BV440" s="10"/>
      <c r="BY440" s="109"/>
      <c r="BZ440" s="109"/>
      <c r="CB440" s="10"/>
      <c r="CE440" s="109"/>
      <c r="CF440" s="109"/>
      <c r="CH440" s="10"/>
      <c r="CK440" s="109"/>
      <c r="CL440" s="109"/>
    </row>
    <row r="441" spans="1:90">
      <c r="A441" s="7" t="str">
        <f t="shared" si="61"/>
        <v>00870998</v>
      </c>
      <c r="B441" s="7" t="s">
        <v>2426</v>
      </c>
      <c r="C441" s="7" t="s">
        <v>2781</v>
      </c>
      <c r="D441" s="7">
        <v>432</v>
      </c>
      <c r="E441" s="7">
        <v>87</v>
      </c>
      <c r="F441" s="7" t="s">
        <v>2135</v>
      </c>
      <c r="G441" s="7">
        <v>998</v>
      </c>
      <c r="H441" s="7" t="s">
        <v>2135</v>
      </c>
      <c r="I441" s="37">
        <v>0</v>
      </c>
      <c r="J441" s="122">
        <v>0</v>
      </c>
      <c r="K441" s="123">
        <f t="shared" si="70"/>
        <v>0</v>
      </c>
      <c r="L441" s="122">
        <f>IF(K444&gt;0, K441/K444, 0)</f>
        <v>0</v>
      </c>
      <c r="M441" s="71"/>
      <c r="N441" s="10">
        <f>ROUND(M444*L441,0)</f>
        <v>0</v>
      </c>
      <c r="O441" s="70">
        <v>0</v>
      </c>
      <c r="P441" s="10">
        <f>N441-O441</f>
        <v>0</v>
      </c>
      <c r="Q441" s="46">
        <f t="shared" si="69"/>
        <v>0</v>
      </c>
      <c r="R441" s="10">
        <v>0</v>
      </c>
      <c r="S441" s="7">
        <f t="shared" si="62"/>
        <v>0</v>
      </c>
      <c r="T441" s="124">
        <f t="shared" si="63"/>
        <v>87</v>
      </c>
      <c r="U441" s="124">
        <f t="shared" si="64"/>
        <v>998</v>
      </c>
      <c r="V441" s="124">
        <f t="shared" si="65"/>
        <v>432</v>
      </c>
      <c r="W441" s="124">
        <f t="shared" si="66"/>
        <v>0</v>
      </c>
      <c r="X441" s="124">
        <f t="shared" si="67"/>
        <v>0</v>
      </c>
      <c r="Y441" s="264">
        <f t="shared" si="68"/>
        <v>432</v>
      </c>
      <c r="Z441" s="10">
        <v>87</v>
      </c>
      <c r="AA441" s="7">
        <v>998</v>
      </c>
      <c r="AB441" s="7">
        <v>432</v>
      </c>
      <c r="AC441" s="109">
        <v>0</v>
      </c>
      <c r="AD441" s="109">
        <v>0</v>
      </c>
      <c r="AE441" s="125"/>
      <c r="AF441" s="10"/>
      <c r="AI441" s="109"/>
      <c r="AJ441" s="109"/>
      <c r="AL441" s="10"/>
      <c r="AO441" s="109"/>
      <c r="AP441" s="109"/>
      <c r="AR441" s="10"/>
      <c r="AU441" s="109"/>
      <c r="AV441" s="109"/>
      <c r="AX441" s="10"/>
      <c r="BA441" s="109"/>
      <c r="BB441" s="109"/>
      <c r="BD441" s="10"/>
      <c r="BG441" s="109"/>
      <c r="BH441" s="109"/>
      <c r="BJ441" s="10"/>
      <c r="BM441" s="109"/>
      <c r="BN441" s="109"/>
      <c r="BP441" s="10"/>
      <c r="BS441" s="109"/>
      <c r="BT441" s="109"/>
      <c r="BV441" s="10"/>
      <c r="BY441" s="109"/>
      <c r="BZ441" s="109"/>
      <c r="CB441" s="10"/>
      <c r="CE441" s="109"/>
      <c r="CF441" s="109"/>
      <c r="CH441" s="10"/>
      <c r="CK441" s="109"/>
      <c r="CL441" s="109"/>
    </row>
    <row r="442" spans="1:90">
      <c r="A442" s="7" t="str">
        <f t="shared" si="61"/>
        <v>00870998</v>
      </c>
      <c r="B442" s="7" t="s">
        <v>2426</v>
      </c>
      <c r="C442" s="7" t="s">
        <v>2781</v>
      </c>
      <c r="D442" s="7">
        <v>433</v>
      </c>
      <c r="E442" s="7">
        <v>87</v>
      </c>
      <c r="F442" s="7" t="s">
        <v>2135</v>
      </c>
      <c r="G442" s="7">
        <v>998</v>
      </c>
      <c r="H442" s="7" t="s">
        <v>2135</v>
      </c>
      <c r="I442" s="37">
        <v>0</v>
      </c>
      <c r="J442" s="122">
        <v>0</v>
      </c>
      <c r="K442" s="123">
        <f t="shared" si="70"/>
        <v>0</v>
      </c>
      <c r="L442" s="122">
        <f>IF(K444&gt;0, K442/K444, 0)</f>
        <v>0</v>
      </c>
      <c r="M442" s="71"/>
      <c r="N442" s="10">
        <f>ROUND(M444*L442,0)</f>
        <v>0</v>
      </c>
      <c r="O442" s="70">
        <v>0</v>
      </c>
      <c r="P442" s="10">
        <f>N442-O442</f>
        <v>0</v>
      </c>
      <c r="Q442" s="46">
        <f t="shared" si="69"/>
        <v>0</v>
      </c>
      <c r="R442" s="10">
        <v>0</v>
      </c>
      <c r="S442" s="7">
        <f t="shared" si="62"/>
        <v>0</v>
      </c>
      <c r="T442" s="124">
        <f t="shared" si="63"/>
        <v>87</v>
      </c>
      <c r="U442" s="124">
        <f t="shared" si="64"/>
        <v>998</v>
      </c>
      <c r="V442" s="124">
        <f t="shared" si="65"/>
        <v>433</v>
      </c>
      <c r="W442" s="124">
        <f t="shared" si="66"/>
        <v>0</v>
      </c>
      <c r="X442" s="124">
        <f t="shared" si="67"/>
        <v>0</v>
      </c>
      <c r="Y442" s="264">
        <f t="shared" si="68"/>
        <v>433</v>
      </c>
      <c r="Z442" s="10">
        <v>87</v>
      </c>
      <c r="AA442" s="7">
        <v>998</v>
      </c>
      <c r="AB442" s="7">
        <v>433</v>
      </c>
      <c r="AC442" s="109">
        <v>0</v>
      </c>
      <c r="AD442" s="109">
        <v>0</v>
      </c>
      <c r="AE442" s="125"/>
      <c r="AF442" s="10"/>
      <c r="AI442" s="109"/>
      <c r="AJ442" s="109"/>
      <c r="AL442" s="10"/>
      <c r="AO442" s="109"/>
      <c r="AP442" s="109"/>
      <c r="AR442" s="10"/>
      <c r="AU442" s="109"/>
      <c r="AV442" s="109"/>
      <c r="AX442" s="10"/>
      <c r="BA442" s="109"/>
      <c r="BB442" s="109"/>
      <c r="BD442" s="10"/>
      <c r="BG442" s="109"/>
      <c r="BH442" s="109"/>
      <c r="BJ442" s="10"/>
      <c r="BM442" s="109"/>
      <c r="BN442" s="109"/>
      <c r="BP442" s="10"/>
      <c r="BS442" s="109"/>
      <c r="BT442" s="109"/>
      <c r="BV442" s="10"/>
      <c r="BY442" s="109"/>
      <c r="BZ442" s="109"/>
      <c r="CB442" s="10"/>
      <c r="CE442" s="109"/>
      <c r="CF442" s="109"/>
      <c r="CH442" s="10"/>
      <c r="CK442" s="109"/>
      <c r="CL442" s="109"/>
    </row>
    <row r="443" spans="1:90">
      <c r="A443" s="7" t="str">
        <f t="shared" si="61"/>
        <v>00870998</v>
      </c>
      <c r="B443" s="7" t="s">
        <v>2426</v>
      </c>
      <c r="C443" s="7" t="s">
        <v>2781</v>
      </c>
      <c r="D443" s="7">
        <v>434</v>
      </c>
      <c r="E443" s="7">
        <v>87</v>
      </c>
      <c r="F443" s="7" t="s">
        <v>2135</v>
      </c>
      <c r="G443" s="7">
        <v>998</v>
      </c>
      <c r="H443" s="7" t="s">
        <v>2135</v>
      </c>
      <c r="I443" s="37">
        <v>0</v>
      </c>
      <c r="J443" s="122">
        <v>0</v>
      </c>
      <c r="K443" s="123">
        <f t="shared" si="70"/>
        <v>0</v>
      </c>
      <c r="L443" s="122">
        <f>IF(K444&gt;0, K443/K444, 0)</f>
        <v>0</v>
      </c>
      <c r="M443" s="71"/>
      <c r="N443" s="10">
        <f>ROUND(M444*L443,0)</f>
        <v>0</v>
      </c>
      <c r="O443" s="70">
        <v>0</v>
      </c>
      <c r="P443" s="10">
        <f>N443-O443</f>
        <v>0</v>
      </c>
      <c r="Q443" s="46">
        <f t="shared" si="69"/>
        <v>0</v>
      </c>
      <c r="R443" s="10">
        <v>0</v>
      </c>
      <c r="S443" s="7">
        <f t="shared" si="62"/>
        <v>0</v>
      </c>
      <c r="T443" s="124">
        <f t="shared" si="63"/>
        <v>87</v>
      </c>
      <c r="U443" s="124">
        <f t="shared" si="64"/>
        <v>998</v>
      </c>
      <c r="V443" s="124">
        <f t="shared" si="65"/>
        <v>434</v>
      </c>
      <c r="W443" s="124">
        <f t="shared" si="66"/>
        <v>0</v>
      </c>
      <c r="X443" s="124">
        <f t="shared" si="67"/>
        <v>0</v>
      </c>
      <c r="Y443" s="264">
        <f t="shared" si="68"/>
        <v>434</v>
      </c>
      <c r="Z443" s="10">
        <v>87</v>
      </c>
      <c r="AA443" s="7">
        <v>998</v>
      </c>
      <c r="AB443" s="7">
        <v>434</v>
      </c>
      <c r="AC443" s="109">
        <v>0</v>
      </c>
      <c r="AD443" s="109">
        <v>0</v>
      </c>
      <c r="AE443" s="125"/>
      <c r="AF443" s="10"/>
      <c r="AI443" s="109"/>
      <c r="AJ443" s="109"/>
      <c r="AL443" s="10"/>
      <c r="AO443" s="109"/>
      <c r="AP443" s="109"/>
      <c r="AR443" s="10"/>
      <c r="AU443" s="109"/>
      <c r="AV443" s="109"/>
      <c r="AX443" s="10"/>
      <c r="BA443" s="109"/>
      <c r="BB443" s="109"/>
      <c r="BD443" s="10"/>
      <c r="BG443" s="109"/>
      <c r="BH443" s="109"/>
      <c r="BJ443" s="10"/>
      <c r="BM443" s="109"/>
      <c r="BN443" s="109"/>
      <c r="BP443" s="10"/>
      <c r="BS443" s="109"/>
      <c r="BT443" s="109"/>
      <c r="BV443" s="10"/>
      <c r="BY443" s="109"/>
      <c r="BZ443" s="109"/>
      <c r="CB443" s="10"/>
      <c r="CE443" s="109"/>
      <c r="CF443" s="109"/>
      <c r="CH443" s="10"/>
      <c r="CK443" s="109"/>
      <c r="CL443" s="109"/>
    </row>
    <row r="444" spans="1:90">
      <c r="A444" s="7" t="str">
        <f t="shared" si="61"/>
        <v>00870999</v>
      </c>
      <c r="B444" s="7" t="s">
        <v>2426</v>
      </c>
      <c r="C444" s="7" t="s">
        <v>2782</v>
      </c>
      <c r="D444" s="7">
        <v>435</v>
      </c>
      <c r="E444" s="11">
        <v>87</v>
      </c>
      <c r="F444" s="11" t="s">
        <v>1793</v>
      </c>
      <c r="G444" s="11">
        <v>999</v>
      </c>
      <c r="H444" s="11" t="s">
        <v>1132</v>
      </c>
      <c r="I444" s="105">
        <v>26003641.129999999</v>
      </c>
      <c r="J444" s="126">
        <v>1</v>
      </c>
      <c r="K444" s="127">
        <f>SUM(K440:K443)</f>
        <v>26517601.927612852</v>
      </c>
      <c r="L444" s="126">
        <f>SUM(L440:L443)</f>
        <v>1</v>
      </c>
      <c r="M444" s="105">
        <f>VLOOKUP(E444,town351,22)</f>
        <v>15918988</v>
      </c>
      <c r="N444" s="105">
        <f>SUM(N440:N443)</f>
        <v>15918988</v>
      </c>
      <c r="O444" s="128">
        <v>15891476</v>
      </c>
      <c r="P444" s="105">
        <f>SUM(P440:P443)</f>
        <v>27512</v>
      </c>
      <c r="Q444" s="45">
        <f t="shared" si="69"/>
        <v>0.17312425856478025</v>
      </c>
      <c r="R444" s="105">
        <v>2694</v>
      </c>
      <c r="S444" s="7">
        <f t="shared" si="62"/>
        <v>0</v>
      </c>
      <c r="T444" s="124">
        <f t="shared" si="63"/>
        <v>87</v>
      </c>
      <c r="U444" s="124">
        <f t="shared" si="64"/>
        <v>999</v>
      </c>
      <c r="V444" s="124">
        <f t="shared" si="65"/>
        <v>435</v>
      </c>
      <c r="W444" s="124">
        <f t="shared" si="66"/>
        <v>2678</v>
      </c>
      <c r="X444" s="124">
        <f t="shared" si="67"/>
        <v>26517601.927612852</v>
      </c>
      <c r="Y444" s="264">
        <f t="shared" si="68"/>
        <v>435</v>
      </c>
      <c r="Z444" s="10">
        <v>87</v>
      </c>
      <c r="AA444" s="7">
        <v>999</v>
      </c>
      <c r="AB444" s="7">
        <v>435</v>
      </c>
      <c r="AC444" s="109">
        <v>2678</v>
      </c>
      <c r="AD444" s="109">
        <v>26517601.927612852</v>
      </c>
      <c r="AE444" s="125"/>
      <c r="AF444" s="10"/>
      <c r="AI444" s="109"/>
      <c r="AJ444" s="109"/>
      <c r="AL444" s="10"/>
      <c r="AO444" s="109"/>
      <c r="AP444" s="109"/>
      <c r="AR444" s="10"/>
      <c r="AU444" s="109"/>
      <c r="AV444" s="109"/>
      <c r="AX444" s="10"/>
      <c r="BA444" s="109"/>
      <c r="BB444" s="109"/>
      <c r="BD444" s="10"/>
      <c r="BG444" s="109"/>
      <c r="BH444" s="109"/>
      <c r="BJ444" s="10"/>
      <c r="BM444" s="109"/>
      <c r="BN444" s="109"/>
      <c r="BP444" s="10"/>
      <c r="BS444" s="109"/>
      <c r="BT444" s="109"/>
      <c r="BV444" s="10"/>
      <c r="BY444" s="109"/>
      <c r="BZ444" s="109"/>
      <c r="CB444" s="10"/>
      <c r="CE444" s="109"/>
      <c r="CF444" s="109"/>
      <c r="CH444" s="10"/>
      <c r="CK444" s="109"/>
      <c r="CL444" s="109"/>
    </row>
    <row r="445" spans="1:90">
      <c r="A445" s="7" t="str">
        <f t="shared" si="61"/>
        <v>00880088</v>
      </c>
      <c r="B445" s="7" t="s">
        <v>2427</v>
      </c>
      <c r="C445" s="7" t="s">
        <v>2427</v>
      </c>
      <c r="D445" s="7">
        <v>436</v>
      </c>
      <c r="E445" s="7">
        <v>88</v>
      </c>
      <c r="F445" s="7" t="s">
        <v>1794</v>
      </c>
      <c r="G445" s="7">
        <v>88</v>
      </c>
      <c r="H445" s="7" t="s">
        <v>1354</v>
      </c>
      <c r="I445" s="37">
        <v>34160203.240000002</v>
      </c>
      <c r="J445" s="122">
        <v>0.96873324297843499</v>
      </c>
      <c r="K445" s="123">
        <f>X445</f>
        <v>34946347.827118024</v>
      </c>
      <c r="L445" s="122">
        <f>IF(K449&gt;0, K445/K449, 0)</f>
        <v>0.9639720433872172</v>
      </c>
      <c r="M445" s="71"/>
      <c r="N445" s="10">
        <f>ROUND(M449*L445,0)</f>
        <v>26650276</v>
      </c>
      <c r="O445" s="70">
        <v>25837978</v>
      </c>
      <c r="P445" s="10">
        <f>N445-O445</f>
        <v>812298</v>
      </c>
      <c r="Q445" s="46">
        <f t="shared" si="69"/>
        <v>3.1438141173430831</v>
      </c>
      <c r="R445" s="10">
        <v>3629</v>
      </c>
      <c r="S445" s="7">
        <f t="shared" si="62"/>
        <v>0</v>
      </c>
      <c r="T445" s="124">
        <f t="shared" si="63"/>
        <v>88</v>
      </c>
      <c r="U445" s="124">
        <f t="shared" si="64"/>
        <v>88</v>
      </c>
      <c r="V445" s="124">
        <f t="shared" si="65"/>
        <v>436</v>
      </c>
      <c r="W445" s="124">
        <f t="shared" si="66"/>
        <v>3648</v>
      </c>
      <c r="X445" s="124">
        <f t="shared" si="67"/>
        <v>34946347.827118024</v>
      </c>
      <c r="Y445" s="264">
        <f t="shared" si="68"/>
        <v>436</v>
      </c>
      <c r="Z445" s="10">
        <v>88</v>
      </c>
      <c r="AA445" s="7">
        <v>88</v>
      </c>
      <c r="AB445" s="7">
        <v>436</v>
      </c>
      <c r="AC445" s="109">
        <v>3648</v>
      </c>
      <c r="AD445" s="109">
        <v>34946347.827118024</v>
      </c>
      <c r="AE445" s="125"/>
      <c r="AF445" s="10"/>
      <c r="AI445" s="109"/>
      <c r="AJ445" s="109"/>
      <c r="AL445" s="10"/>
      <c r="AO445" s="109"/>
      <c r="AP445" s="109"/>
      <c r="AR445" s="10"/>
      <c r="AU445" s="109"/>
      <c r="AV445" s="109"/>
      <c r="AX445" s="10"/>
      <c r="BA445" s="109"/>
      <c r="BB445" s="109"/>
      <c r="BD445" s="10"/>
      <c r="BG445" s="109"/>
      <c r="BH445" s="109"/>
      <c r="BJ445" s="10"/>
      <c r="BM445" s="109"/>
      <c r="BN445" s="109"/>
      <c r="BP445" s="10"/>
      <c r="BS445" s="109"/>
      <c r="BT445" s="109"/>
      <c r="BV445" s="10"/>
      <c r="BY445" s="109"/>
      <c r="BZ445" s="109"/>
      <c r="CB445" s="10"/>
      <c r="CE445" s="109"/>
      <c r="CF445" s="109"/>
      <c r="CH445" s="10"/>
      <c r="CK445" s="109"/>
      <c r="CL445" s="109"/>
    </row>
    <row r="446" spans="1:90">
      <c r="A446" s="7" t="str">
        <f t="shared" si="61"/>
        <v>00880872</v>
      </c>
      <c r="B446" s="7" t="s">
        <v>2427</v>
      </c>
      <c r="C446" s="7" t="s">
        <v>2772</v>
      </c>
      <c r="D446" s="7">
        <v>437</v>
      </c>
      <c r="E446" s="7">
        <v>88</v>
      </c>
      <c r="F446" s="7" t="s">
        <v>1794</v>
      </c>
      <c r="G446" s="7">
        <v>872</v>
      </c>
      <c r="H446" s="7" t="s">
        <v>1699</v>
      </c>
      <c r="I446" s="37">
        <v>1025945</v>
      </c>
      <c r="J446" s="122">
        <v>2.9094294901727592E-2</v>
      </c>
      <c r="K446" s="123">
        <f t="shared" si="70"/>
        <v>1228016.0187904492</v>
      </c>
      <c r="L446" s="122">
        <f>IF(K449&gt;0, K446/K449, 0)</f>
        <v>3.3874015013009982E-2</v>
      </c>
      <c r="M446" s="71"/>
      <c r="N446" s="10">
        <f>ROUND(M449*L446,0)</f>
        <v>936492</v>
      </c>
      <c r="O446" s="70">
        <v>776001</v>
      </c>
      <c r="P446" s="10">
        <f>N446-O446</f>
        <v>160491</v>
      </c>
      <c r="Q446" s="46">
        <f t="shared" si="69"/>
        <v>20.681803245098912</v>
      </c>
      <c r="R446" s="10">
        <v>64</v>
      </c>
      <c r="S446" s="7">
        <f t="shared" si="62"/>
        <v>0</v>
      </c>
      <c r="T446" s="124">
        <f t="shared" si="63"/>
        <v>88</v>
      </c>
      <c r="U446" s="124">
        <f t="shared" si="64"/>
        <v>872</v>
      </c>
      <c r="V446" s="124">
        <f t="shared" si="65"/>
        <v>437</v>
      </c>
      <c r="W446" s="124">
        <f t="shared" si="66"/>
        <v>75.149402386289992</v>
      </c>
      <c r="X446" s="124">
        <f t="shared" si="67"/>
        <v>1228016.0187904492</v>
      </c>
      <c r="Y446" s="264">
        <f t="shared" si="68"/>
        <v>437</v>
      </c>
      <c r="Z446" s="10">
        <v>88</v>
      </c>
      <c r="AA446" s="7">
        <v>872</v>
      </c>
      <c r="AB446" s="7">
        <v>437</v>
      </c>
      <c r="AC446" s="109">
        <v>75.149402386289992</v>
      </c>
      <c r="AD446" s="109">
        <v>1228016.0187904492</v>
      </c>
      <c r="AE446" s="125"/>
      <c r="AF446" s="10"/>
      <c r="AI446" s="109"/>
      <c r="AJ446" s="109"/>
      <c r="AL446" s="10"/>
      <c r="AO446" s="109"/>
      <c r="AP446" s="109"/>
      <c r="AR446" s="10"/>
      <c r="AU446" s="109"/>
      <c r="AV446" s="109"/>
      <c r="AX446" s="10"/>
      <c r="BA446" s="109"/>
      <c r="BB446" s="109"/>
      <c r="BD446" s="10"/>
      <c r="BG446" s="109"/>
      <c r="BH446" s="109"/>
      <c r="BJ446" s="10"/>
      <c r="BM446" s="109"/>
      <c r="BN446" s="109"/>
      <c r="BP446" s="10"/>
      <c r="BS446" s="109"/>
      <c r="BT446" s="109"/>
      <c r="BV446" s="10"/>
      <c r="BY446" s="109"/>
      <c r="BZ446" s="109"/>
      <c r="CB446" s="10"/>
      <c r="CE446" s="109"/>
      <c r="CF446" s="109"/>
      <c r="CH446" s="10"/>
      <c r="CK446" s="109"/>
      <c r="CL446" s="109"/>
    </row>
    <row r="447" spans="1:90">
      <c r="A447" s="7" t="str">
        <f t="shared" si="61"/>
        <v>00880910</v>
      </c>
      <c r="B447" s="7" t="s">
        <v>2427</v>
      </c>
      <c r="C447" s="7" t="s">
        <v>2778</v>
      </c>
      <c r="D447" s="7">
        <v>438</v>
      </c>
      <c r="E447" s="7">
        <v>88</v>
      </c>
      <c r="F447" s="7" t="s">
        <v>1794</v>
      </c>
      <c r="G447" s="7">
        <v>910</v>
      </c>
      <c r="H447" s="7" t="s">
        <v>1705</v>
      </c>
      <c r="I447" s="37">
        <v>76607</v>
      </c>
      <c r="J447" s="122">
        <v>2.1724621198374629E-3</v>
      </c>
      <c r="K447" s="123">
        <f t="shared" si="70"/>
        <v>78085.659082468526</v>
      </c>
      <c r="L447" s="122">
        <f>IF(K449&gt;0, K447/K449, 0)</f>
        <v>2.1539415997729574E-3</v>
      </c>
      <c r="M447" s="71"/>
      <c r="N447" s="10">
        <f>ROUND(M449*L447,0)</f>
        <v>59549</v>
      </c>
      <c r="O447" s="70">
        <v>57944</v>
      </c>
      <c r="P447" s="10">
        <f>N447-O447</f>
        <v>1605</v>
      </c>
      <c r="Q447" s="46">
        <f t="shared" si="69"/>
        <v>2.7699157807538315</v>
      </c>
      <c r="R447" s="10">
        <v>5</v>
      </c>
      <c r="S447" s="7">
        <f t="shared" si="62"/>
        <v>0</v>
      </c>
      <c r="T447" s="124">
        <f t="shared" si="63"/>
        <v>88</v>
      </c>
      <c r="U447" s="124">
        <f t="shared" si="64"/>
        <v>910</v>
      </c>
      <c r="V447" s="124">
        <f t="shared" si="65"/>
        <v>438</v>
      </c>
      <c r="W447" s="124">
        <f t="shared" si="66"/>
        <v>4.99999999996</v>
      </c>
      <c r="X447" s="124">
        <f t="shared" si="67"/>
        <v>78085.659082468526</v>
      </c>
      <c r="Y447" s="264">
        <f t="shared" si="68"/>
        <v>438</v>
      </c>
      <c r="Z447" s="10">
        <v>88</v>
      </c>
      <c r="AA447" s="7">
        <v>910</v>
      </c>
      <c r="AB447" s="7">
        <v>438</v>
      </c>
      <c r="AC447" s="109">
        <v>4.99999999996</v>
      </c>
      <c r="AD447" s="109">
        <v>78085.659082468526</v>
      </c>
      <c r="AE447" s="125"/>
      <c r="AF447" s="10"/>
      <c r="AI447" s="109"/>
      <c r="AJ447" s="109"/>
      <c r="AL447" s="10"/>
      <c r="AO447" s="109"/>
      <c r="AP447" s="109"/>
      <c r="AR447" s="10"/>
      <c r="AU447" s="109"/>
      <c r="AV447" s="109"/>
      <c r="AX447" s="10"/>
      <c r="BA447" s="109"/>
      <c r="BB447" s="109"/>
      <c r="BD447" s="10"/>
      <c r="BG447" s="109"/>
      <c r="BH447" s="109"/>
      <c r="BJ447" s="10"/>
      <c r="BM447" s="109"/>
      <c r="BN447" s="109"/>
      <c r="BP447" s="10"/>
      <c r="BS447" s="109"/>
      <c r="BT447" s="109"/>
      <c r="BV447" s="10"/>
      <c r="BY447" s="109"/>
      <c r="BZ447" s="109"/>
      <c r="CB447" s="10"/>
      <c r="CE447" s="109"/>
      <c r="CF447" s="109"/>
      <c r="CH447" s="10"/>
      <c r="CK447" s="109"/>
      <c r="CL447" s="109"/>
    </row>
    <row r="448" spans="1:90">
      <c r="A448" s="7" t="str">
        <f t="shared" si="61"/>
        <v>00880998</v>
      </c>
      <c r="B448" s="7" t="s">
        <v>2427</v>
      </c>
      <c r="C448" s="7" t="s">
        <v>2781</v>
      </c>
      <c r="D448" s="7">
        <v>439</v>
      </c>
      <c r="E448" s="7">
        <v>88</v>
      </c>
      <c r="F448" s="7" t="s">
        <v>2135</v>
      </c>
      <c r="G448" s="7">
        <v>998</v>
      </c>
      <c r="H448" s="7" t="s">
        <v>2135</v>
      </c>
      <c r="I448" s="37">
        <v>0</v>
      </c>
      <c r="J448" s="122">
        <v>0</v>
      </c>
      <c r="K448" s="123">
        <f t="shared" si="70"/>
        <v>0</v>
      </c>
      <c r="L448" s="122">
        <f>IF(K449&gt;0, K448/K449, 0)</f>
        <v>0</v>
      </c>
      <c r="M448" s="71"/>
      <c r="N448" s="10">
        <f>ROUND(M449*L448,0)</f>
        <v>0</v>
      </c>
      <c r="O448" s="70">
        <v>0</v>
      </c>
      <c r="P448" s="10">
        <f>N448-O448</f>
        <v>0</v>
      </c>
      <c r="Q448" s="46">
        <f t="shared" si="69"/>
        <v>0</v>
      </c>
      <c r="R448" s="10">
        <v>0</v>
      </c>
      <c r="S448" s="7">
        <f t="shared" si="62"/>
        <v>0</v>
      </c>
      <c r="T448" s="124">
        <f t="shared" si="63"/>
        <v>88</v>
      </c>
      <c r="U448" s="124">
        <f t="shared" si="64"/>
        <v>998</v>
      </c>
      <c r="V448" s="124">
        <f t="shared" si="65"/>
        <v>439</v>
      </c>
      <c r="W448" s="124">
        <f t="shared" si="66"/>
        <v>0</v>
      </c>
      <c r="X448" s="124">
        <f t="shared" si="67"/>
        <v>0</v>
      </c>
      <c r="Y448" s="264">
        <f t="shared" si="68"/>
        <v>439</v>
      </c>
      <c r="Z448" s="10">
        <v>88</v>
      </c>
      <c r="AA448" s="7">
        <v>998</v>
      </c>
      <c r="AB448" s="7">
        <v>439</v>
      </c>
      <c r="AC448" s="109">
        <v>0</v>
      </c>
      <c r="AD448" s="109">
        <v>0</v>
      </c>
      <c r="AE448" s="125"/>
      <c r="AF448" s="10"/>
      <c r="AI448" s="109"/>
      <c r="AJ448" s="109"/>
      <c r="AL448" s="10"/>
      <c r="AO448" s="109"/>
      <c r="AP448" s="109"/>
      <c r="AR448" s="10"/>
      <c r="AU448" s="109"/>
      <c r="AV448" s="109"/>
      <c r="AX448" s="10"/>
      <c r="BA448" s="109"/>
      <c r="BB448" s="109"/>
      <c r="BD448" s="10"/>
      <c r="BG448" s="109"/>
      <c r="BH448" s="109"/>
      <c r="BJ448" s="10"/>
      <c r="BM448" s="109"/>
      <c r="BN448" s="109"/>
      <c r="BP448" s="10"/>
      <c r="BS448" s="109"/>
      <c r="BT448" s="109"/>
      <c r="BV448" s="10"/>
      <c r="BY448" s="109"/>
      <c r="BZ448" s="109"/>
      <c r="CB448" s="10"/>
      <c r="CE448" s="109"/>
      <c r="CF448" s="109"/>
      <c r="CH448" s="10"/>
      <c r="CK448" s="109"/>
      <c r="CL448" s="109"/>
    </row>
    <row r="449" spans="1:90">
      <c r="A449" s="7" t="str">
        <f t="shared" si="61"/>
        <v>00880999</v>
      </c>
      <c r="B449" s="7" t="s">
        <v>2427</v>
      </c>
      <c r="C449" s="7" t="s">
        <v>2782</v>
      </c>
      <c r="D449" s="7">
        <v>440</v>
      </c>
      <c r="E449" s="11">
        <v>88</v>
      </c>
      <c r="F449" s="11" t="s">
        <v>1794</v>
      </c>
      <c r="G449" s="11">
        <v>999</v>
      </c>
      <c r="H449" s="11" t="s">
        <v>1132</v>
      </c>
      <c r="I449" s="105">
        <v>35262755.240000002</v>
      </c>
      <c r="J449" s="126">
        <v>1</v>
      </c>
      <c r="K449" s="127">
        <f>SUM(K445:K448)</f>
        <v>36252449.504990935</v>
      </c>
      <c r="L449" s="126">
        <f>SUM(L445:L448)</f>
        <v>1.0000000000000002</v>
      </c>
      <c r="M449" s="105">
        <f>VLOOKUP(E449,town351,22)</f>
        <v>27646316</v>
      </c>
      <c r="N449" s="105">
        <f>SUM(N445:N448)</f>
        <v>27646317</v>
      </c>
      <c r="O449" s="128">
        <v>26671923</v>
      </c>
      <c r="P449" s="105">
        <f>SUM(P445:P448)</f>
        <v>974394</v>
      </c>
      <c r="Q449" s="45">
        <f t="shared" si="69"/>
        <v>3.6532573973012745</v>
      </c>
      <c r="R449" s="105">
        <v>3698</v>
      </c>
      <c r="S449" s="7">
        <f t="shared" si="62"/>
        <v>0</v>
      </c>
      <c r="T449" s="124">
        <f t="shared" si="63"/>
        <v>88</v>
      </c>
      <c r="U449" s="124">
        <f t="shared" si="64"/>
        <v>999</v>
      </c>
      <c r="V449" s="124">
        <f t="shared" si="65"/>
        <v>440</v>
      </c>
      <c r="W449" s="124">
        <f t="shared" si="66"/>
        <v>3728.1494023862501</v>
      </c>
      <c r="X449" s="124">
        <f t="shared" si="67"/>
        <v>36252449.504990935</v>
      </c>
      <c r="Y449" s="264">
        <f t="shared" si="68"/>
        <v>440</v>
      </c>
      <c r="Z449" s="10">
        <v>88</v>
      </c>
      <c r="AA449" s="7">
        <v>999</v>
      </c>
      <c r="AB449" s="7">
        <v>440</v>
      </c>
      <c r="AC449" s="109">
        <v>3728.1494023862501</v>
      </c>
      <c r="AD449" s="109">
        <v>36252449.504990935</v>
      </c>
      <c r="AE449" s="125"/>
      <c r="AF449" s="10"/>
      <c r="AI449" s="109"/>
      <c r="AJ449" s="109"/>
      <c r="AL449" s="10"/>
      <c r="AO449" s="109"/>
      <c r="AP449" s="109"/>
      <c r="AR449" s="10"/>
      <c r="AU449" s="109"/>
      <c r="AV449" s="109"/>
      <c r="AX449" s="10"/>
      <c r="BA449" s="109"/>
      <c r="BB449" s="109"/>
      <c r="BD449" s="10"/>
      <c r="BG449" s="109"/>
      <c r="BH449" s="109"/>
      <c r="BJ449" s="10"/>
      <c r="BM449" s="109"/>
      <c r="BN449" s="109"/>
      <c r="BP449" s="10"/>
      <c r="BS449" s="109"/>
      <c r="BT449" s="109"/>
      <c r="BV449" s="10"/>
      <c r="BY449" s="109"/>
      <c r="BZ449" s="109"/>
      <c r="CB449" s="10"/>
      <c r="CE449" s="109"/>
      <c r="CF449" s="109"/>
      <c r="CH449" s="10"/>
      <c r="CK449" s="109"/>
      <c r="CL449" s="109"/>
    </row>
    <row r="450" spans="1:90">
      <c r="A450" s="7" t="str">
        <f t="shared" si="61"/>
        <v>00890089</v>
      </c>
      <c r="B450" s="7" t="s">
        <v>2428</v>
      </c>
      <c r="C450" s="7" t="s">
        <v>2428</v>
      </c>
      <c r="D450" s="7">
        <v>441</v>
      </c>
      <c r="E450" s="7">
        <v>89</v>
      </c>
      <c r="F450" s="7" t="s">
        <v>1795</v>
      </c>
      <c r="G450" s="7">
        <v>89</v>
      </c>
      <c r="H450" s="7" t="s">
        <v>1355</v>
      </c>
      <c r="I450" s="37">
        <v>4012060.0799999996</v>
      </c>
      <c r="J450" s="122">
        <v>0.64264051922218568</v>
      </c>
      <c r="K450" s="123">
        <f>X450</f>
        <v>4120509.4730720278</v>
      </c>
      <c r="L450" s="122">
        <f>IF(K454&gt;0, K450/K454, 0)</f>
        <v>0.65385081966096126</v>
      </c>
      <c r="M450" s="71"/>
      <c r="N450" s="10">
        <f>ROUND(M454*L450,0)</f>
        <v>3417460</v>
      </c>
      <c r="O450" s="70">
        <v>3327566</v>
      </c>
      <c r="P450" s="10">
        <f>N450-O450</f>
        <v>89894</v>
      </c>
      <c r="Q450" s="46">
        <f t="shared" si="69"/>
        <v>2.7014941251353091</v>
      </c>
      <c r="R450" s="10">
        <v>408</v>
      </c>
      <c r="S450" s="7">
        <f t="shared" si="62"/>
        <v>0</v>
      </c>
      <c r="T450" s="124">
        <f t="shared" si="63"/>
        <v>89</v>
      </c>
      <c r="U450" s="124">
        <f t="shared" si="64"/>
        <v>89</v>
      </c>
      <c r="V450" s="124">
        <f t="shared" si="65"/>
        <v>441</v>
      </c>
      <c r="W450" s="124">
        <f t="shared" si="66"/>
        <v>410</v>
      </c>
      <c r="X450" s="124">
        <f t="shared" si="67"/>
        <v>4120509.4730720278</v>
      </c>
      <c r="Y450" s="264">
        <f t="shared" si="68"/>
        <v>441</v>
      </c>
      <c r="Z450" s="10">
        <v>89</v>
      </c>
      <c r="AA450" s="7">
        <v>89</v>
      </c>
      <c r="AB450" s="7">
        <v>441</v>
      </c>
      <c r="AC450" s="109">
        <v>410</v>
      </c>
      <c r="AD450" s="109">
        <v>4120509.4730720278</v>
      </c>
      <c r="AE450" s="125"/>
      <c r="AF450" s="10"/>
      <c r="AI450" s="109"/>
      <c r="AJ450" s="109"/>
      <c r="AL450" s="10"/>
      <c r="AO450" s="109"/>
      <c r="AP450" s="109"/>
      <c r="AR450" s="10"/>
      <c r="AU450" s="109"/>
      <c r="AV450" s="109"/>
      <c r="AX450" s="10"/>
      <c r="BA450" s="109"/>
      <c r="BB450" s="109"/>
      <c r="BD450" s="10"/>
      <c r="BG450" s="109"/>
      <c r="BH450" s="109"/>
      <c r="BJ450" s="10"/>
      <c r="BM450" s="109"/>
      <c r="BN450" s="109"/>
      <c r="BP450" s="10"/>
      <c r="BS450" s="109"/>
      <c r="BT450" s="109"/>
      <c r="BV450" s="10"/>
      <c r="BY450" s="109"/>
      <c r="BZ450" s="109"/>
      <c r="CB450" s="10"/>
      <c r="CE450" s="109"/>
      <c r="CF450" s="109"/>
      <c r="CH450" s="10"/>
      <c r="CK450" s="109"/>
      <c r="CL450" s="109"/>
    </row>
    <row r="451" spans="1:90">
      <c r="A451" s="7" t="str">
        <f t="shared" si="61"/>
        <v>00890700</v>
      </c>
      <c r="B451" s="7" t="s">
        <v>2428</v>
      </c>
      <c r="C451" s="7" t="s">
        <v>2725</v>
      </c>
      <c r="D451" s="7">
        <v>442</v>
      </c>
      <c r="E451" s="7">
        <v>89</v>
      </c>
      <c r="F451" s="7" t="s">
        <v>1795</v>
      </c>
      <c r="G451" s="7">
        <v>700</v>
      </c>
      <c r="H451" s="7" t="s">
        <v>1652</v>
      </c>
      <c r="I451" s="37">
        <v>2231026</v>
      </c>
      <c r="J451" s="122">
        <v>0.35735948077781426</v>
      </c>
      <c r="K451" s="123">
        <f t="shared" si="70"/>
        <v>2181401.221493775</v>
      </c>
      <c r="L451" s="122">
        <f>IF(K454&gt;0, K451/K454, 0)</f>
        <v>0.34614918033903874</v>
      </c>
      <c r="M451" s="71"/>
      <c r="N451" s="10">
        <f>ROUND(M454*L451,0)</f>
        <v>1809206</v>
      </c>
      <c r="O451" s="70">
        <v>1850393</v>
      </c>
      <c r="P451" s="10">
        <f>N451-O451</f>
        <v>-41187</v>
      </c>
      <c r="Q451" s="46">
        <f t="shared" si="69"/>
        <v>-2.2258514812799226</v>
      </c>
      <c r="R451" s="10">
        <v>188</v>
      </c>
      <c r="S451" s="7">
        <f t="shared" si="62"/>
        <v>0</v>
      </c>
      <c r="T451" s="124">
        <f t="shared" si="63"/>
        <v>89</v>
      </c>
      <c r="U451" s="124">
        <f t="shared" si="64"/>
        <v>700</v>
      </c>
      <c r="V451" s="124">
        <f t="shared" si="65"/>
        <v>442</v>
      </c>
      <c r="W451" s="124">
        <f t="shared" si="66"/>
        <v>174.9999999968</v>
      </c>
      <c r="X451" s="124">
        <f t="shared" si="67"/>
        <v>2181401.221493775</v>
      </c>
      <c r="Y451" s="264">
        <f t="shared" si="68"/>
        <v>442</v>
      </c>
      <c r="Z451" s="10">
        <v>89</v>
      </c>
      <c r="AA451" s="7">
        <v>700</v>
      </c>
      <c r="AB451" s="7">
        <v>442</v>
      </c>
      <c r="AC451" s="109">
        <v>174.9999999968</v>
      </c>
      <c r="AD451" s="109">
        <v>2181401.221493775</v>
      </c>
      <c r="AE451" s="125"/>
      <c r="AF451" s="10"/>
      <c r="AI451" s="109"/>
      <c r="AJ451" s="109"/>
      <c r="AL451" s="10"/>
      <c r="AO451" s="109"/>
      <c r="AP451" s="109"/>
      <c r="AR451" s="10"/>
      <c r="AU451" s="109"/>
      <c r="AV451" s="109"/>
      <c r="AX451" s="10"/>
      <c r="BA451" s="109"/>
      <c r="BB451" s="109"/>
      <c r="BD451" s="10"/>
      <c r="BG451" s="109"/>
      <c r="BH451" s="109"/>
      <c r="BJ451" s="10"/>
      <c r="BM451" s="109"/>
      <c r="BN451" s="109"/>
      <c r="BP451" s="10"/>
      <c r="BS451" s="109"/>
      <c r="BT451" s="109"/>
      <c r="BV451" s="10"/>
      <c r="BY451" s="109"/>
      <c r="BZ451" s="109"/>
      <c r="CB451" s="10"/>
      <c r="CE451" s="109"/>
      <c r="CF451" s="109"/>
      <c r="CH451" s="10"/>
      <c r="CK451" s="109"/>
      <c r="CL451" s="109"/>
    </row>
    <row r="452" spans="1:90">
      <c r="A452" s="7" t="str">
        <f t="shared" si="61"/>
        <v>00890998</v>
      </c>
      <c r="B452" s="7" t="s">
        <v>2428</v>
      </c>
      <c r="C452" s="7" t="s">
        <v>2781</v>
      </c>
      <c r="D452" s="7">
        <v>443</v>
      </c>
      <c r="E452" s="7">
        <v>89</v>
      </c>
      <c r="F452" s="7" t="s">
        <v>2135</v>
      </c>
      <c r="G452" s="7">
        <v>998</v>
      </c>
      <c r="H452" s="7" t="s">
        <v>2135</v>
      </c>
      <c r="I452" s="37">
        <v>0</v>
      </c>
      <c r="J452" s="122">
        <v>0</v>
      </c>
      <c r="K452" s="123">
        <f t="shared" si="70"/>
        <v>0</v>
      </c>
      <c r="L452" s="122">
        <f>IF(K454&gt;0, K452/K454, 0)</f>
        <v>0</v>
      </c>
      <c r="M452" s="71"/>
      <c r="N452" s="10">
        <f>ROUND(M454*L452,0)</f>
        <v>0</v>
      </c>
      <c r="O452" s="70">
        <v>0</v>
      </c>
      <c r="P452" s="10">
        <f>N452-O452</f>
        <v>0</v>
      </c>
      <c r="Q452" s="46">
        <f t="shared" si="69"/>
        <v>0</v>
      </c>
      <c r="R452" s="10">
        <v>0</v>
      </c>
      <c r="S452" s="7">
        <f t="shared" si="62"/>
        <v>0</v>
      </c>
      <c r="T452" s="124">
        <f t="shared" si="63"/>
        <v>89</v>
      </c>
      <c r="U452" s="124">
        <f t="shared" si="64"/>
        <v>998</v>
      </c>
      <c r="V452" s="124">
        <f t="shared" si="65"/>
        <v>443</v>
      </c>
      <c r="W452" s="124">
        <f t="shared" si="66"/>
        <v>0</v>
      </c>
      <c r="X452" s="124">
        <f t="shared" si="67"/>
        <v>0</v>
      </c>
      <c r="Y452" s="264">
        <f t="shared" si="68"/>
        <v>443</v>
      </c>
      <c r="Z452" s="10">
        <v>89</v>
      </c>
      <c r="AA452" s="7">
        <v>998</v>
      </c>
      <c r="AB452" s="7">
        <v>443</v>
      </c>
      <c r="AC452" s="109">
        <v>0</v>
      </c>
      <c r="AD452" s="109">
        <v>0</v>
      </c>
      <c r="AE452" s="125"/>
      <c r="AF452" s="10"/>
      <c r="AI452" s="109"/>
      <c r="AJ452" s="109"/>
      <c r="AL452" s="10"/>
      <c r="AO452" s="109"/>
      <c r="AP452" s="109"/>
      <c r="AR452" s="10"/>
      <c r="AU452" s="109"/>
      <c r="AV452" s="109"/>
      <c r="AX452" s="10"/>
      <c r="BA452" s="109"/>
      <c r="BB452" s="109"/>
      <c r="BD452" s="10"/>
      <c r="BG452" s="109"/>
      <c r="BH452" s="109"/>
      <c r="BJ452" s="10"/>
      <c r="BM452" s="109"/>
      <c r="BN452" s="109"/>
      <c r="BP452" s="10"/>
      <c r="BS452" s="109"/>
      <c r="BT452" s="109"/>
      <c r="BV452" s="10"/>
      <c r="BY452" s="109"/>
      <c r="BZ452" s="109"/>
      <c r="CB452" s="10"/>
      <c r="CE452" s="109"/>
      <c r="CF452" s="109"/>
      <c r="CH452" s="10"/>
      <c r="CK452" s="109"/>
      <c r="CL452" s="109"/>
    </row>
    <row r="453" spans="1:90">
      <c r="A453" s="7" t="str">
        <f t="shared" si="61"/>
        <v>00890998</v>
      </c>
      <c r="B453" s="7" t="s">
        <v>2428</v>
      </c>
      <c r="C453" s="7" t="s">
        <v>2781</v>
      </c>
      <c r="D453" s="7">
        <v>444</v>
      </c>
      <c r="E453" s="7">
        <v>89</v>
      </c>
      <c r="F453" s="7" t="s">
        <v>2135</v>
      </c>
      <c r="G453" s="7">
        <v>998</v>
      </c>
      <c r="H453" s="7" t="s">
        <v>2135</v>
      </c>
      <c r="I453" s="37">
        <v>0</v>
      </c>
      <c r="J453" s="122">
        <v>0</v>
      </c>
      <c r="K453" s="123">
        <f t="shared" si="70"/>
        <v>0</v>
      </c>
      <c r="L453" s="122">
        <f>IF(K454&gt;0, K453/K454, 0)</f>
        <v>0</v>
      </c>
      <c r="M453" s="71"/>
      <c r="N453" s="10">
        <f>ROUND(M454*L453,0)</f>
        <v>0</v>
      </c>
      <c r="O453" s="70">
        <v>0</v>
      </c>
      <c r="P453" s="10">
        <f>N453-O453</f>
        <v>0</v>
      </c>
      <c r="Q453" s="46">
        <f t="shared" si="69"/>
        <v>0</v>
      </c>
      <c r="R453" s="10">
        <v>0</v>
      </c>
      <c r="S453" s="7">
        <f t="shared" si="62"/>
        <v>0</v>
      </c>
      <c r="T453" s="124">
        <f t="shared" si="63"/>
        <v>89</v>
      </c>
      <c r="U453" s="124">
        <f t="shared" si="64"/>
        <v>998</v>
      </c>
      <c r="V453" s="124">
        <f t="shared" si="65"/>
        <v>444</v>
      </c>
      <c r="W453" s="124">
        <f t="shared" si="66"/>
        <v>0</v>
      </c>
      <c r="X453" s="124">
        <f t="shared" si="67"/>
        <v>0</v>
      </c>
      <c r="Y453" s="264">
        <f t="shared" si="68"/>
        <v>444</v>
      </c>
      <c r="Z453" s="10">
        <v>89</v>
      </c>
      <c r="AA453" s="7">
        <v>998</v>
      </c>
      <c r="AB453" s="7">
        <v>444</v>
      </c>
      <c r="AC453" s="109">
        <v>0</v>
      </c>
      <c r="AD453" s="109">
        <v>0</v>
      </c>
      <c r="AE453" s="125"/>
      <c r="AF453" s="10"/>
      <c r="AI453" s="109"/>
      <c r="AJ453" s="109"/>
      <c r="AL453" s="10"/>
      <c r="AO453" s="109"/>
      <c r="AP453" s="109"/>
      <c r="AR453" s="10"/>
      <c r="AU453" s="109"/>
      <c r="AV453" s="109"/>
      <c r="AX453" s="10"/>
      <c r="BA453" s="109"/>
      <c r="BB453" s="109"/>
      <c r="BD453" s="10"/>
      <c r="BG453" s="109"/>
      <c r="BH453" s="109"/>
      <c r="BJ453" s="10"/>
      <c r="BM453" s="109"/>
      <c r="BN453" s="109"/>
      <c r="BP453" s="10"/>
      <c r="BS453" s="109"/>
      <c r="BT453" s="109"/>
      <c r="BV453" s="10"/>
      <c r="BY453" s="109"/>
      <c r="BZ453" s="109"/>
      <c r="CB453" s="10"/>
      <c r="CE453" s="109"/>
      <c r="CF453" s="109"/>
      <c r="CH453" s="10"/>
      <c r="CK453" s="109"/>
      <c r="CL453" s="109"/>
    </row>
    <row r="454" spans="1:90">
      <c r="A454" s="7" t="str">
        <f t="shared" si="61"/>
        <v>00890999</v>
      </c>
      <c r="B454" s="7" t="s">
        <v>2428</v>
      </c>
      <c r="C454" s="7" t="s">
        <v>2782</v>
      </c>
      <c r="D454" s="7">
        <v>445</v>
      </c>
      <c r="E454" s="11">
        <v>89</v>
      </c>
      <c r="F454" s="11" t="s">
        <v>1795</v>
      </c>
      <c r="G454" s="11">
        <v>999</v>
      </c>
      <c r="H454" s="11" t="s">
        <v>1132</v>
      </c>
      <c r="I454" s="105">
        <v>6243086.0800000001</v>
      </c>
      <c r="J454" s="126">
        <v>1</v>
      </c>
      <c r="K454" s="127">
        <f>SUM(K450:K453)</f>
        <v>6301910.6945658028</v>
      </c>
      <c r="L454" s="126">
        <f>SUM(L450:L453)</f>
        <v>1</v>
      </c>
      <c r="M454" s="105">
        <f>VLOOKUP(E454,town351,22)</f>
        <v>5226666</v>
      </c>
      <c r="N454" s="105">
        <f>SUM(N450:N453)</f>
        <v>5226666</v>
      </c>
      <c r="O454" s="128">
        <v>5177959</v>
      </c>
      <c r="P454" s="105">
        <f>SUM(P450:P453)</f>
        <v>48707</v>
      </c>
      <c r="Q454" s="45">
        <f t="shared" si="69"/>
        <v>0.94066020993986244</v>
      </c>
      <c r="R454" s="105">
        <v>596</v>
      </c>
      <c r="S454" s="7">
        <f t="shared" si="62"/>
        <v>0</v>
      </c>
      <c r="T454" s="124">
        <f t="shared" si="63"/>
        <v>89</v>
      </c>
      <c r="U454" s="124">
        <f t="shared" si="64"/>
        <v>999</v>
      </c>
      <c r="V454" s="124">
        <f t="shared" si="65"/>
        <v>445</v>
      </c>
      <c r="W454" s="124">
        <f t="shared" si="66"/>
        <v>584.99999999679994</v>
      </c>
      <c r="X454" s="124">
        <f t="shared" si="67"/>
        <v>6301910.6945658028</v>
      </c>
      <c r="Y454" s="264">
        <f t="shared" si="68"/>
        <v>445</v>
      </c>
      <c r="Z454" s="10">
        <v>89</v>
      </c>
      <c r="AA454" s="7">
        <v>999</v>
      </c>
      <c r="AB454" s="7">
        <v>445</v>
      </c>
      <c r="AC454" s="109">
        <v>584.99999999679994</v>
      </c>
      <c r="AD454" s="109">
        <v>6301910.6945658028</v>
      </c>
      <c r="AE454" s="125"/>
      <c r="AF454" s="10"/>
      <c r="AI454" s="109"/>
      <c r="AJ454" s="109"/>
      <c r="AL454" s="10"/>
      <c r="AO454" s="109"/>
      <c r="AP454" s="109"/>
      <c r="AR454" s="10"/>
      <c r="AU454" s="109"/>
      <c r="AV454" s="109"/>
      <c r="AX454" s="10"/>
      <c r="BA454" s="109"/>
      <c r="BB454" s="109"/>
      <c r="BD454" s="10"/>
      <c r="BG454" s="109"/>
      <c r="BH454" s="109"/>
      <c r="BJ454" s="10"/>
      <c r="BM454" s="109"/>
      <c r="BN454" s="109"/>
      <c r="BP454" s="10"/>
      <c r="BS454" s="109"/>
      <c r="BT454" s="109"/>
      <c r="BV454" s="10"/>
      <c r="BY454" s="109"/>
      <c r="BZ454" s="109"/>
      <c r="CB454" s="10"/>
      <c r="CE454" s="109"/>
      <c r="CF454" s="109"/>
      <c r="CH454" s="10"/>
      <c r="CK454" s="109"/>
      <c r="CL454" s="109"/>
    </row>
    <row r="455" spans="1:90">
      <c r="A455" s="7" t="str">
        <f t="shared" si="61"/>
        <v>00900090</v>
      </c>
      <c r="B455" s="7" t="s">
        <v>2429</v>
      </c>
      <c r="C455" s="7" t="s">
        <v>2429</v>
      </c>
      <c r="D455" s="7">
        <v>446</v>
      </c>
      <c r="E455" s="7">
        <v>90</v>
      </c>
      <c r="F455" s="7" t="s">
        <v>1796</v>
      </c>
      <c r="G455" s="7">
        <v>90</v>
      </c>
      <c r="H455" s="7" t="s">
        <v>1356</v>
      </c>
      <c r="I455" s="37">
        <v>0</v>
      </c>
      <c r="J455" s="122">
        <v>0</v>
      </c>
      <c r="K455" s="123">
        <f>X455</f>
        <v>0</v>
      </c>
      <c r="L455" s="122">
        <f>IF(K459&gt;0, K455/K459, 0)</f>
        <v>0</v>
      </c>
      <c r="M455" s="71"/>
      <c r="N455" s="10">
        <f>ROUND(M459*L455,0)</f>
        <v>0</v>
      </c>
      <c r="O455" s="70">
        <v>0</v>
      </c>
      <c r="P455" s="10">
        <f>N455-O455</f>
        <v>0</v>
      </c>
      <c r="Q455" s="46">
        <f t="shared" si="69"/>
        <v>0</v>
      </c>
      <c r="R455" s="10">
        <v>0</v>
      </c>
      <c r="S455" s="7">
        <f t="shared" si="62"/>
        <v>0</v>
      </c>
      <c r="T455" s="124">
        <f t="shared" si="63"/>
        <v>90</v>
      </c>
      <c r="U455" s="124">
        <f t="shared" si="64"/>
        <v>90</v>
      </c>
      <c r="V455" s="124">
        <f t="shared" si="65"/>
        <v>446</v>
      </c>
      <c r="W455" s="124">
        <f t="shared" si="66"/>
        <v>0</v>
      </c>
      <c r="X455" s="124">
        <f t="shared" si="67"/>
        <v>0</v>
      </c>
      <c r="Y455" s="264">
        <f t="shared" si="68"/>
        <v>446</v>
      </c>
      <c r="Z455" s="10">
        <v>90</v>
      </c>
      <c r="AA455" s="7">
        <v>90</v>
      </c>
      <c r="AB455" s="7">
        <v>446</v>
      </c>
      <c r="AC455" s="109">
        <v>0</v>
      </c>
      <c r="AD455" s="109">
        <v>0</v>
      </c>
      <c r="AE455" s="125"/>
      <c r="AF455" s="10"/>
      <c r="AI455" s="109"/>
      <c r="AJ455" s="109"/>
      <c r="AL455" s="10"/>
      <c r="AO455" s="109"/>
      <c r="AP455" s="109"/>
      <c r="AR455" s="10"/>
      <c r="AU455" s="109"/>
      <c r="AV455" s="109"/>
      <c r="AX455" s="10"/>
      <c r="BA455" s="109"/>
      <c r="BB455" s="109"/>
      <c r="BD455" s="10"/>
      <c r="BG455" s="109"/>
      <c r="BH455" s="109"/>
      <c r="BJ455" s="10"/>
      <c r="BM455" s="109"/>
      <c r="BN455" s="109"/>
      <c r="BP455" s="10"/>
      <c r="BS455" s="109"/>
      <c r="BT455" s="109"/>
      <c r="BV455" s="10"/>
      <c r="BY455" s="109"/>
      <c r="BZ455" s="109"/>
      <c r="CB455" s="10"/>
      <c r="CE455" s="109"/>
      <c r="CF455" s="109"/>
      <c r="CH455" s="10"/>
      <c r="CK455" s="109"/>
      <c r="CL455" s="109"/>
    </row>
    <row r="456" spans="1:90">
      <c r="A456" s="7" t="str">
        <f t="shared" si="61"/>
        <v>00900765</v>
      </c>
      <c r="B456" s="7" t="s">
        <v>2429</v>
      </c>
      <c r="C456" s="7" t="s">
        <v>2743</v>
      </c>
      <c r="D456" s="7">
        <v>447</v>
      </c>
      <c r="E456" s="7">
        <v>90</v>
      </c>
      <c r="F456" s="7" t="s">
        <v>1796</v>
      </c>
      <c r="G456" s="7">
        <v>765</v>
      </c>
      <c r="H456" s="7" t="s">
        <v>1670</v>
      </c>
      <c r="I456" s="37">
        <v>936424</v>
      </c>
      <c r="J456" s="122">
        <v>1</v>
      </c>
      <c r="K456" s="123">
        <f t="shared" si="70"/>
        <v>856769.42753290886</v>
      </c>
      <c r="L456" s="122">
        <f>IF(K459&gt;0, K456/K459, 0)</f>
        <v>1</v>
      </c>
      <c r="M456" s="71"/>
      <c r="N456" s="10">
        <f>ROUND(M459*L456,0)</f>
        <v>721434</v>
      </c>
      <c r="O456" s="70">
        <v>776067</v>
      </c>
      <c r="P456" s="10">
        <f>N456-O456</f>
        <v>-54633</v>
      </c>
      <c r="Q456" s="46">
        <f t="shared" si="69"/>
        <v>-7.0397272400449964</v>
      </c>
      <c r="R456" s="10">
        <v>90</v>
      </c>
      <c r="S456" s="7">
        <f t="shared" si="62"/>
        <v>0</v>
      </c>
      <c r="T456" s="124">
        <f t="shared" si="63"/>
        <v>90</v>
      </c>
      <c r="U456" s="124">
        <f t="shared" si="64"/>
        <v>765</v>
      </c>
      <c r="V456" s="124">
        <f t="shared" si="65"/>
        <v>447</v>
      </c>
      <c r="W456" s="124">
        <f t="shared" si="66"/>
        <v>80.565982407740009</v>
      </c>
      <c r="X456" s="124">
        <f t="shared" si="67"/>
        <v>856769.42753290886</v>
      </c>
      <c r="Y456" s="264">
        <f t="shared" si="68"/>
        <v>447</v>
      </c>
      <c r="Z456" s="10">
        <v>90</v>
      </c>
      <c r="AA456" s="7">
        <v>765</v>
      </c>
      <c r="AB456" s="7">
        <v>447</v>
      </c>
      <c r="AC456" s="109">
        <v>80.565982407740009</v>
      </c>
      <c r="AD456" s="109">
        <v>856769.42753290886</v>
      </c>
      <c r="AE456" s="125"/>
      <c r="AF456" s="10"/>
      <c r="AI456" s="109"/>
      <c r="AJ456" s="109"/>
      <c r="AL456" s="10"/>
      <c r="AO456" s="109"/>
      <c r="AP456" s="109"/>
      <c r="AR456" s="10"/>
      <c r="AU456" s="109"/>
      <c r="AV456" s="109"/>
      <c r="AX456" s="10"/>
      <c r="BA456" s="109"/>
      <c r="BB456" s="109"/>
      <c r="BD456" s="10"/>
      <c r="BG456" s="109"/>
      <c r="BH456" s="109"/>
      <c r="BJ456" s="10"/>
      <c r="BM456" s="109"/>
      <c r="BN456" s="109"/>
      <c r="BP456" s="10"/>
      <c r="BS456" s="109"/>
      <c r="BT456" s="109"/>
      <c r="BV456" s="10"/>
      <c r="BY456" s="109"/>
      <c r="BZ456" s="109"/>
      <c r="CB456" s="10"/>
      <c r="CE456" s="109"/>
      <c r="CF456" s="109"/>
      <c r="CH456" s="10"/>
      <c r="CK456" s="109"/>
      <c r="CL456" s="109"/>
    </row>
    <row r="457" spans="1:90">
      <c r="A457" s="7" t="str">
        <f t="shared" si="61"/>
        <v>00900998</v>
      </c>
      <c r="B457" s="7" t="s">
        <v>2429</v>
      </c>
      <c r="C457" s="7" t="s">
        <v>2781</v>
      </c>
      <c r="D457" s="7">
        <v>448</v>
      </c>
      <c r="E457" s="7">
        <v>90</v>
      </c>
      <c r="F457" s="7" t="s">
        <v>2135</v>
      </c>
      <c r="G457" s="7">
        <v>998</v>
      </c>
      <c r="H457" s="7" t="s">
        <v>2135</v>
      </c>
      <c r="I457" s="37">
        <v>0</v>
      </c>
      <c r="J457" s="122">
        <v>0</v>
      </c>
      <c r="K457" s="123">
        <f t="shared" si="70"/>
        <v>0</v>
      </c>
      <c r="L457" s="122">
        <f>IF(K459&gt;0, K457/K459, 0)</f>
        <v>0</v>
      </c>
      <c r="M457" s="71"/>
      <c r="N457" s="10">
        <f>ROUND(M459*L457,0)</f>
        <v>0</v>
      </c>
      <c r="O457" s="70">
        <v>0</v>
      </c>
      <c r="P457" s="10">
        <f>N457-O457</f>
        <v>0</v>
      </c>
      <c r="Q457" s="46">
        <f t="shared" si="69"/>
        <v>0</v>
      </c>
      <c r="R457" s="10">
        <v>0</v>
      </c>
      <c r="S457" s="7">
        <f t="shared" si="62"/>
        <v>0</v>
      </c>
      <c r="T457" s="124">
        <f t="shared" si="63"/>
        <v>90</v>
      </c>
      <c r="U457" s="124">
        <f t="shared" si="64"/>
        <v>998</v>
      </c>
      <c r="V457" s="124">
        <f t="shared" si="65"/>
        <v>448</v>
      </c>
      <c r="W457" s="124">
        <f t="shared" si="66"/>
        <v>0</v>
      </c>
      <c r="X457" s="124">
        <f t="shared" si="67"/>
        <v>0</v>
      </c>
      <c r="Y457" s="264">
        <f t="shared" si="68"/>
        <v>448</v>
      </c>
      <c r="Z457" s="10">
        <v>90</v>
      </c>
      <c r="AA457" s="7">
        <v>998</v>
      </c>
      <c r="AB457" s="7">
        <v>448</v>
      </c>
      <c r="AC457" s="109">
        <v>0</v>
      </c>
      <c r="AD457" s="109">
        <v>0</v>
      </c>
      <c r="AE457" s="125"/>
      <c r="AF457" s="10"/>
      <c r="AI457" s="109"/>
      <c r="AJ457" s="109"/>
      <c r="AL457" s="10"/>
      <c r="AO457" s="109"/>
      <c r="AP457" s="109"/>
      <c r="AR457" s="10"/>
      <c r="AU457" s="109"/>
      <c r="AV457" s="109"/>
      <c r="AX457" s="10"/>
      <c r="BA457" s="109"/>
      <c r="BB457" s="109"/>
      <c r="BD457" s="10"/>
      <c r="BG457" s="109"/>
      <c r="BH457" s="109"/>
      <c r="BJ457" s="10"/>
      <c r="BM457" s="109"/>
      <c r="BN457" s="109"/>
      <c r="BP457" s="10"/>
      <c r="BS457" s="109"/>
      <c r="BT457" s="109"/>
      <c r="BV457" s="10"/>
      <c r="BY457" s="109"/>
      <c r="BZ457" s="109"/>
      <c r="CB457" s="10"/>
      <c r="CE457" s="109"/>
      <c r="CF457" s="109"/>
      <c r="CH457" s="10"/>
      <c r="CK457" s="109"/>
      <c r="CL457" s="109"/>
    </row>
    <row r="458" spans="1:90">
      <c r="A458" s="7" t="str">
        <f t="shared" ref="A458:A521" si="71">B458&amp;C458</f>
        <v>00900998</v>
      </c>
      <c r="B458" s="7" t="s">
        <v>2429</v>
      </c>
      <c r="C458" s="7" t="s">
        <v>2781</v>
      </c>
      <c r="D458" s="7">
        <v>449</v>
      </c>
      <c r="E458" s="7">
        <v>90</v>
      </c>
      <c r="F458" s="7" t="s">
        <v>2135</v>
      </c>
      <c r="G458" s="7">
        <v>998</v>
      </c>
      <c r="H458" s="7" t="s">
        <v>2135</v>
      </c>
      <c r="I458" s="37">
        <v>0</v>
      </c>
      <c r="J458" s="122">
        <v>0</v>
      </c>
      <c r="K458" s="123">
        <f t="shared" si="70"/>
        <v>0</v>
      </c>
      <c r="L458" s="122">
        <f>IF(K459&gt;0, K458/K459, 0)</f>
        <v>0</v>
      </c>
      <c r="M458" s="71"/>
      <c r="N458" s="10">
        <f>ROUND(M459*L458,0)</f>
        <v>0</v>
      </c>
      <c r="O458" s="70">
        <v>0</v>
      </c>
      <c r="P458" s="10">
        <f>N458-O458</f>
        <v>0</v>
      </c>
      <c r="Q458" s="46">
        <f t="shared" si="69"/>
        <v>0</v>
      </c>
      <c r="R458" s="10">
        <v>0</v>
      </c>
      <c r="S458" s="7">
        <f t="shared" ref="S458:S521" si="72">ABS(T458-E458)+ABS(U458-G458)</f>
        <v>0</v>
      </c>
      <c r="T458" s="124">
        <f t="shared" ref="T458:T521" si="73">VLOOKUP($D458, foundoptions, VLOOKUP($T$6, foundoptcell, 2, FALSE), FALSE)</f>
        <v>90</v>
      </c>
      <c r="U458" s="124">
        <f t="shared" ref="U458:U521" si="74">VLOOKUP($D458, foundoptions, VLOOKUP($T$6, foundoptcell, 2, FALSE)+1, FALSE)</f>
        <v>998</v>
      </c>
      <c r="V458" s="124">
        <f t="shared" ref="V458:V521" si="75">VLOOKUP($D458, foundoptions, VLOOKUP($T$6, foundoptcell, 2, FALSE)+2, FALSE)</f>
        <v>449</v>
      </c>
      <c r="W458" s="124">
        <f t="shared" ref="W458:W521" si="76">VLOOKUP($D458, foundoptions, VLOOKUP($T$6, foundoptcell, 2, FALSE)+3, FALSE)</f>
        <v>0</v>
      </c>
      <c r="X458" s="124">
        <f t="shared" ref="X458:X521" si="77">VLOOKUP($D458, foundoptions, VLOOKUP($T$6, foundoptcell, 2, FALSE)+4, FALSE)</f>
        <v>0</v>
      </c>
      <c r="Y458" s="264">
        <f t="shared" si="68"/>
        <v>449</v>
      </c>
      <c r="Z458" s="10">
        <v>90</v>
      </c>
      <c r="AA458" s="7">
        <v>998</v>
      </c>
      <c r="AB458" s="7">
        <v>449</v>
      </c>
      <c r="AC458" s="109">
        <v>0</v>
      </c>
      <c r="AD458" s="109">
        <v>0</v>
      </c>
      <c r="AE458" s="125"/>
      <c r="AF458" s="10"/>
      <c r="AI458" s="109"/>
      <c r="AJ458" s="109"/>
      <c r="AL458" s="10"/>
      <c r="AO458" s="109"/>
      <c r="AP458" s="109"/>
      <c r="AR458" s="10"/>
      <c r="AU458" s="109"/>
      <c r="AV458" s="109"/>
      <c r="AX458" s="10"/>
      <c r="BA458" s="109"/>
      <c r="BB458" s="109"/>
      <c r="BD458" s="10"/>
      <c r="BG458" s="109"/>
      <c r="BH458" s="109"/>
      <c r="BJ458" s="10"/>
      <c r="BM458" s="109"/>
      <c r="BN458" s="109"/>
      <c r="BP458" s="10"/>
      <c r="BS458" s="109"/>
      <c r="BT458" s="109"/>
      <c r="BV458" s="10"/>
      <c r="BY458" s="109"/>
      <c r="BZ458" s="109"/>
      <c r="CB458" s="10"/>
      <c r="CE458" s="109"/>
      <c r="CF458" s="109"/>
      <c r="CH458" s="10"/>
      <c r="CK458" s="109"/>
      <c r="CL458" s="109"/>
    </row>
    <row r="459" spans="1:90">
      <c r="A459" s="7" t="str">
        <f t="shared" si="71"/>
        <v>00900999</v>
      </c>
      <c r="B459" s="7" t="s">
        <v>2429</v>
      </c>
      <c r="C459" s="7" t="s">
        <v>2782</v>
      </c>
      <c r="D459" s="7">
        <v>450</v>
      </c>
      <c r="E459" s="11">
        <v>90</v>
      </c>
      <c r="F459" s="11" t="s">
        <v>1796</v>
      </c>
      <c r="G459" s="11">
        <v>999</v>
      </c>
      <c r="H459" s="11" t="s">
        <v>1132</v>
      </c>
      <c r="I459" s="105">
        <v>936424</v>
      </c>
      <c r="J459" s="126">
        <v>1</v>
      </c>
      <c r="K459" s="127">
        <f>SUM(K455:K458)</f>
        <v>856769.42753290886</v>
      </c>
      <c r="L459" s="126">
        <f>SUM(L455:L458)</f>
        <v>1</v>
      </c>
      <c r="M459" s="105">
        <f>VLOOKUP(E459,town351,22)</f>
        <v>721434</v>
      </c>
      <c r="N459" s="105">
        <f>SUM(N455:N458)</f>
        <v>721434</v>
      </c>
      <c r="O459" s="128">
        <v>776067</v>
      </c>
      <c r="P459" s="105">
        <f>SUM(P455:P458)</f>
        <v>-54633</v>
      </c>
      <c r="Q459" s="45">
        <f t="shared" si="69"/>
        <v>-7.0397272400449964</v>
      </c>
      <c r="R459" s="105">
        <v>90</v>
      </c>
      <c r="S459" s="7">
        <f t="shared" si="72"/>
        <v>0</v>
      </c>
      <c r="T459" s="124">
        <f t="shared" si="73"/>
        <v>90</v>
      </c>
      <c r="U459" s="124">
        <f t="shared" si="74"/>
        <v>999</v>
      </c>
      <c r="V459" s="124">
        <f t="shared" si="75"/>
        <v>450</v>
      </c>
      <c r="W459" s="124">
        <f t="shared" si="76"/>
        <v>80.565982407740009</v>
      </c>
      <c r="X459" s="124">
        <f t="shared" si="77"/>
        <v>856769.42753290886</v>
      </c>
      <c r="Y459" s="264">
        <f t="shared" ref="Y459:Y522" si="78">D459</f>
        <v>450</v>
      </c>
      <c r="Z459" s="10">
        <v>90</v>
      </c>
      <c r="AA459" s="7">
        <v>999</v>
      </c>
      <c r="AB459" s="7">
        <v>450</v>
      </c>
      <c r="AC459" s="109">
        <v>80.565982407740009</v>
      </c>
      <c r="AD459" s="109">
        <v>856769.42753290886</v>
      </c>
      <c r="AE459" s="125"/>
      <c r="AF459" s="10"/>
      <c r="AI459" s="109"/>
      <c r="AJ459" s="109"/>
      <c r="AL459" s="10"/>
      <c r="AO459" s="109"/>
      <c r="AP459" s="109"/>
      <c r="AR459" s="10"/>
      <c r="AU459" s="109"/>
      <c r="AV459" s="109"/>
      <c r="AX459" s="10"/>
      <c r="BA459" s="109"/>
      <c r="BB459" s="109"/>
      <c r="BD459" s="10"/>
      <c r="BG459" s="109"/>
      <c r="BH459" s="109"/>
      <c r="BJ459" s="10"/>
      <c r="BM459" s="109"/>
      <c r="BN459" s="109"/>
      <c r="BP459" s="10"/>
      <c r="BS459" s="109"/>
      <c r="BT459" s="109"/>
      <c r="BV459" s="10"/>
      <c r="BY459" s="109"/>
      <c r="BZ459" s="109"/>
      <c r="CB459" s="10"/>
      <c r="CE459" s="109"/>
      <c r="CF459" s="109"/>
      <c r="CH459" s="10"/>
      <c r="CK459" s="109"/>
      <c r="CL459" s="109"/>
    </row>
    <row r="460" spans="1:90">
      <c r="A460" s="7" t="str">
        <f t="shared" si="71"/>
        <v>00910091</v>
      </c>
      <c r="B460" s="7" t="s">
        <v>2430</v>
      </c>
      <c r="C460" s="7" t="s">
        <v>2430</v>
      </c>
      <c r="D460" s="7">
        <v>451</v>
      </c>
      <c r="E460" s="7">
        <v>91</v>
      </c>
      <c r="F460" s="7" t="s">
        <v>1797</v>
      </c>
      <c r="G460" s="7">
        <v>91</v>
      </c>
      <c r="H460" s="7" t="s">
        <v>1357</v>
      </c>
      <c r="I460" s="37">
        <v>2249261.63</v>
      </c>
      <c r="J460" s="122">
        <v>0.81250157789934596</v>
      </c>
      <c r="K460" s="123">
        <f>X460</f>
        <v>2174084.4728259463</v>
      </c>
      <c r="L460" s="122">
        <f>IF(K464&gt;0, K460/K464, 0)</f>
        <v>0.79901430902245341</v>
      </c>
      <c r="M460" s="71"/>
      <c r="N460" s="10">
        <f>ROUND(M464*L460,0)</f>
        <v>1812979</v>
      </c>
      <c r="O460" s="70">
        <v>1884292</v>
      </c>
      <c r="P460" s="10">
        <f>N460-O460</f>
        <v>-71313</v>
      </c>
      <c r="Q460" s="46">
        <f t="shared" si="69"/>
        <v>-3.7846045092798781</v>
      </c>
      <c r="R460" s="10">
        <v>235</v>
      </c>
      <c r="S460" s="7">
        <f t="shared" si="72"/>
        <v>0</v>
      </c>
      <c r="T460" s="124">
        <f t="shared" si="73"/>
        <v>91</v>
      </c>
      <c r="U460" s="124">
        <f t="shared" si="74"/>
        <v>91</v>
      </c>
      <c r="V460" s="124">
        <f t="shared" si="75"/>
        <v>451</v>
      </c>
      <c r="W460" s="124">
        <f t="shared" si="76"/>
        <v>226</v>
      </c>
      <c r="X460" s="124">
        <f t="shared" si="77"/>
        <v>2174084.4728259463</v>
      </c>
      <c r="Y460" s="264">
        <f t="shared" si="78"/>
        <v>451</v>
      </c>
      <c r="Z460" s="10">
        <v>91</v>
      </c>
      <c r="AA460" s="7">
        <v>91</v>
      </c>
      <c r="AB460" s="7">
        <v>451</v>
      </c>
      <c r="AC460" s="109">
        <v>226</v>
      </c>
      <c r="AD460" s="109">
        <v>2174084.4728259463</v>
      </c>
      <c r="AE460" s="125"/>
      <c r="AF460" s="10"/>
      <c r="AI460" s="109"/>
      <c r="AJ460" s="109"/>
      <c r="AL460" s="10"/>
      <c r="AO460" s="109"/>
      <c r="AP460" s="109"/>
      <c r="AR460" s="10"/>
      <c r="AU460" s="109"/>
      <c r="AV460" s="109"/>
      <c r="AX460" s="10"/>
      <c r="BA460" s="109"/>
      <c r="BB460" s="109"/>
      <c r="BD460" s="10"/>
      <c r="BG460" s="109"/>
      <c r="BH460" s="109"/>
      <c r="BJ460" s="10"/>
      <c r="BM460" s="109"/>
      <c r="BN460" s="109"/>
      <c r="BP460" s="10"/>
      <c r="BS460" s="109"/>
      <c r="BT460" s="109"/>
      <c r="BV460" s="10"/>
      <c r="BY460" s="109"/>
      <c r="BZ460" s="109"/>
      <c r="CB460" s="10"/>
      <c r="CE460" s="109"/>
      <c r="CF460" s="109"/>
      <c r="CH460" s="10"/>
      <c r="CK460" s="109"/>
      <c r="CL460" s="109"/>
    </row>
    <row r="461" spans="1:90">
      <c r="A461" s="7" t="str">
        <f t="shared" si="71"/>
        <v>00910818</v>
      </c>
      <c r="B461" s="7" t="s">
        <v>2430</v>
      </c>
      <c r="C461" s="7" t="s">
        <v>2758</v>
      </c>
      <c r="D461" s="7">
        <v>452</v>
      </c>
      <c r="E461" s="7">
        <v>91</v>
      </c>
      <c r="F461" s="7" t="s">
        <v>1797</v>
      </c>
      <c r="G461" s="7">
        <v>818</v>
      </c>
      <c r="H461" s="7" t="s">
        <v>1685</v>
      </c>
      <c r="I461" s="37">
        <v>519055</v>
      </c>
      <c r="J461" s="122">
        <v>0.18749842210065401</v>
      </c>
      <c r="K461" s="123">
        <f t="shared" si="70"/>
        <v>546873.64804401633</v>
      </c>
      <c r="L461" s="122">
        <f>IF(K464&gt;0, K461/K464, 0)</f>
        <v>0.20098569097754665</v>
      </c>
      <c r="M461" s="71"/>
      <c r="N461" s="10">
        <f>ROUND(M464*L461,0)</f>
        <v>456041</v>
      </c>
      <c r="O461" s="70">
        <v>434832</v>
      </c>
      <c r="P461" s="10">
        <f>N461-O461</f>
        <v>21209</v>
      </c>
      <c r="Q461" s="46">
        <f t="shared" si="69"/>
        <v>4.8775159141921476</v>
      </c>
      <c r="R461" s="10">
        <v>32</v>
      </c>
      <c r="S461" s="7">
        <f t="shared" si="72"/>
        <v>0</v>
      </c>
      <c r="T461" s="124">
        <f t="shared" si="73"/>
        <v>91</v>
      </c>
      <c r="U461" s="124">
        <f t="shared" si="74"/>
        <v>818</v>
      </c>
      <c r="V461" s="124">
        <f t="shared" si="75"/>
        <v>452</v>
      </c>
      <c r="W461" s="124">
        <f t="shared" si="76"/>
        <v>32.999999999179998</v>
      </c>
      <c r="X461" s="124">
        <f t="shared" si="77"/>
        <v>546873.64804401633</v>
      </c>
      <c r="Y461" s="264">
        <f t="shared" si="78"/>
        <v>452</v>
      </c>
      <c r="Z461" s="10">
        <v>91</v>
      </c>
      <c r="AA461" s="7">
        <v>818</v>
      </c>
      <c r="AB461" s="7">
        <v>452</v>
      </c>
      <c r="AC461" s="109">
        <v>32.999999999179998</v>
      </c>
      <c r="AD461" s="109">
        <v>546873.64804401633</v>
      </c>
      <c r="AE461" s="125"/>
      <c r="AF461" s="10"/>
      <c r="AI461" s="109"/>
      <c r="AJ461" s="109"/>
      <c r="AL461" s="10"/>
      <c r="AO461" s="109"/>
      <c r="AP461" s="109"/>
      <c r="AR461" s="10"/>
      <c r="AU461" s="109"/>
      <c r="AV461" s="109"/>
      <c r="AX461" s="10"/>
      <c r="BA461" s="109"/>
      <c r="BB461" s="109"/>
      <c r="BD461" s="10"/>
      <c r="BG461" s="109"/>
      <c r="BH461" s="109"/>
      <c r="BJ461" s="10"/>
      <c r="BM461" s="109"/>
      <c r="BN461" s="109"/>
      <c r="BP461" s="10"/>
      <c r="BS461" s="109"/>
      <c r="BT461" s="109"/>
      <c r="BV461" s="10"/>
      <c r="BY461" s="109"/>
      <c r="BZ461" s="109"/>
      <c r="CB461" s="10"/>
      <c r="CE461" s="109"/>
      <c r="CF461" s="109"/>
      <c r="CH461" s="10"/>
      <c r="CK461" s="109"/>
      <c r="CL461" s="109"/>
    </row>
    <row r="462" spans="1:90">
      <c r="A462" s="7" t="str">
        <f t="shared" si="71"/>
        <v>00910998</v>
      </c>
      <c r="B462" s="7" t="s">
        <v>2430</v>
      </c>
      <c r="C462" s="7" t="s">
        <v>2781</v>
      </c>
      <c r="D462" s="7">
        <v>453</v>
      </c>
      <c r="E462" s="7">
        <v>91</v>
      </c>
      <c r="F462" s="7" t="s">
        <v>2135</v>
      </c>
      <c r="G462" s="7">
        <v>998</v>
      </c>
      <c r="H462" s="7" t="s">
        <v>2135</v>
      </c>
      <c r="I462" s="37">
        <v>0</v>
      </c>
      <c r="J462" s="122">
        <v>0</v>
      </c>
      <c r="K462" s="123">
        <f t="shared" si="70"/>
        <v>0</v>
      </c>
      <c r="L462" s="122">
        <f>IF(K464&gt;0, K462/K464, 0)</f>
        <v>0</v>
      </c>
      <c r="M462" s="71"/>
      <c r="N462" s="10">
        <f>ROUND(M464*L462,0)</f>
        <v>0</v>
      </c>
      <c r="O462" s="70">
        <v>0</v>
      </c>
      <c r="P462" s="10">
        <f>N462-O462</f>
        <v>0</v>
      </c>
      <c r="Q462" s="46">
        <f t="shared" si="69"/>
        <v>0</v>
      </c>
      <c r="R462" s="10">
        <v>0</v>
      </c>
      <c r="S462" s="7">
        <f t="shared" si="72"/>
        <v>0</v>
      </c>
      <c r="T462" s="124">
        <f t="shared" si="73"/>
        <v>91</v>
      </c>
      <c r="U462" s="124">
        <f t="shared" si="74"/>
        <v>998</v>
      </c>
      <c r="V462" s="124">
        <f t="shared" si="75"/>
        <v>453</v>
      </c>
      <c r="W462" s="124">
        <f t="shared" si="76"/>
        <v>0</v>
      </c>
      <c r="X462" s="124">
        <f t="shared" si="77"/>
        <v>0</v>
      </c>
      <c r="Y462" s="264">
        <f t="shared" si="78"/>
        <v>453</v>
      </c>
      <c r="Z462" s="10">
        <v>91</v>
      </c>
      <c r="AA462" s="7">
        <v>998</v>
      </c>
      <c r="AB462" s="7">
        <v>453</v>
      </c>
      <c r="AC462" s="109">
        <v>0</v>
      </c>
      <c r="AD462" s="109">
        <v>0</v>
      </c>
      <c r="AE462" s="125"/>
      <c r="AF462" s="10"/>
      <c r="AI462" s="109"/>
      <c r="AJ462" s="109"/>
      <c r="AL462" s="10"/>
      <c r="AO462" s="109"/>
      <c r="AP462" s="109"/>
      <c r="AR462" s="10"/>
      <c r="AU462" s="109"/>
      <c r="AV462" s="109"/>
      <c r="AX462" s="10"/>
      <c r="BA462" s="109"/>
      <c r="BB462" s="109"/>
      <c r="BD462" s="10"/>
      <c r="BG462" s="109"/>
      <c r="BH462" s="109"/>
      <c r="BJ462" s="10"/>
      <c r="BM462" s="109"/>
      <c r="BN462" s="109"/>
      <c r="BP462" s="10"/>
      <c r="BS462" s="109"/>
      <c r="BT462" s="109"/>
      <c r="BV462" s="10"/>
      <c r="BY462" s="109"/>
      <c r="BZ462" s="109"/>
      <c r="CB462" s="10"/>
      <c r="CE462" s="109"/>
      <c r="CF462" s="109"/>
      <c r="CH462" s="10"/>
      <c r="CK462" s="109"/>
      <c r="CL462" s="109"/>
    </row>
    <row r="463" spans="1:90">
      <c r="A463" s="7" t="str">
        <f t="shared" si="71"/>
        <v>00910998</v>
      </c>
      <c r="B463" s="7" t="s">
        <v>2430</v>
      </c>
      <c r="C463" s="7" t="s">
        <v>2781</v>
      </c>
      <c r="D463" s="7">
        <v>454</v>
      </c>
      <c r="E463" s="7">
        <v>91</v>
      </c>
      <c r="F463" s="7" t="s">
        <v>2135</v>
      </c>
      <c r="G463" s="7">
        <v>998</v>
      </c>
      <c r="H463" s="7" t="s">
        <v>2135</v>
      </c>
      <c r="I463" s="37">
        <v>0</v>
      </c>
      <c r="J463" s="122">
        <v>0</v>
      </c>
      <c r="K463" s="123">
        <f t="shared" si="70"/>
        <v>0</v>
      </c>
      <c r="L463" s="122">
        <f>IF(K464&gt;0, K463/K464, 0)</f>
        <v>0</v>
      </c>
      <c r="M463" s="71"/>
      <c r="N463" s="10">
        <f>ROUND(M464*L463,0)</f>
        <v>0</v>
      </c>
      <c r="O463" s="70">
        <v>0</v>
      </c>
      <c r="P463" s="10">
        <f>N463-O463</f>
        <v>0</v>
      </c>
      <c r="Q463" s="46">
        <f t="shared" si="69"/>
        <v>0</v>
      </c>
      <c r="R463" s="10">
        <v>0</v>
      </c>
      <c r="S463" s="7">
        <f t="shared" si="72"/>
        <v>0</v>
      </c>
      <c r="T463" s="124">
        <f t="shared" si="73"/>
        <v>91</v>
      </c>
      <c r="U463" s="124">
        <f t="shared" si="74"/>
        <v>998</v>
      </c>
      <c r="V463" s="124">
        <f t="shared" si="75"/>
        <v>454</v>
      </c>
      <c r="W463" s="124">
        <f t="shared" si="76"/>
        <v>0</v>
      </c>
      <c r="X463" s="124">
        <f t="shared" si="77"/>
        <v>0</v>
      </c>
      <c r="Y463" s="264">
        <f t="shared" si="78"/>
        <v>454</v>
      </c>
      <c r="Z463" s="10">
        <v>91</v>
      </c>
      <c r="AA463" s="7">
        <v>998</v>
      </c>
      <c r="AB463" s="7">
        <v>454</v>
      </c>
      <c r="AC463" s="109">
        <v>0</v>
      </c>
      <c r="AD463" s="109">
        <v>0</v>
      </c>
      <c r="AE463" s="125"/>
      <c r="AF463" s="10"/>
      <c r="AI463" s="109"/>
      <c r="AJ463" s="109"/>
      <c r="AL463" s="10"/>
      <c r="AO463" s="109"/>
      <c r="AP463" s="109"/>
      <c r="AR463" s="10"/>
      <c r="AU463" s="109"/>
      <c r="AV463" s="109"/>
      <c r="AX463" s="10"/>
      <c r="BA463" s="109"/>
      <c r="BB463" s="109"/>
      <c r="BD463" s="10"/>
      <c r="BG463" s="109"/>
      <c r="BH463" s="109"/>
      <c r="BJ463" s="10"/>
      <c r="BM463" s="109"/>
      <c r="BN463" s="109"/>
      <c r="BP463" s="10"/>
      <c r="BS463" s="109"/>
      <c r="BT463" s="109"/>
      <c r="BV463" s="10"/>
      <c r="BY463" s="109"/>
      <c r="BZ463" s="109"/>
      <c r="CB463" s="10"/>
      <c r="CE463" s="109"/>
      <c r="CF463" s="109"/>
      <c r="CH463" s="10"/>
      <c r="CK463" s="109"/>
      <c r="CL463" s="109"/>
    </row>
    <row r="464" spans="1:90">
      <c r="A464" s="7" t="str">
        <f t="shared" si="71"/>
        <v>00910999</v>
      </c>
      <c r="B464" s="7" t="s">
        <v>2430</v>
      </c>
      <c r="C464" s="7" t="s">
        <v>2782</v>
      </c>
      <c r="D464" s="7">
        <v>455</v>
      </c>
      <c r="E464" s="11">
        <v>91</v>
      </c>
      <c r="F464" s="11" t="s">
        <v>1797</v>
      </c>
      <c r="G464" s="11">
        <v>999</v>
      </c>
      <c r="H464" s="11" t="s">
        <v>1132</v>
      </c>
      <c r="I464" s="105">
        <v>2768316.63</v>
      </c>
      <c r="J464" s="126">
        <v>1</v>
      </c>
      <c r="K464" s="127">
        <f>SUM(K460:K463)</f>
        <v>2720958.1208699625</v>
      </c>
      <c r="L464" s="126">
        <f>SUM(L460:L463)</f>
        <v>1</v>
      </c>
      <c r="M464" s="105">
        <f>VLOOKUP(E464,town351,22)</f>
        <v>2269020</v>
      </c>
      <c r="N464" s="105">
        <f>SUM(N460:N463)</f>
        <v>2269020</v>
      </c>
      <c r="O464" s="128">
        <v>2319124</v>
      </c>
      <c r="P464" s="105">
        <f>SUM(P460:P463)</f>
        <v>-50104</v>
      </c>
      <c r="Q464" s="45">
        <f t="shared" ref="Q464:Q527" si="79">IF(O464&gt;0,P464*100/O464,IF(P464&gt;0,100,0))</f>
        <v>-2.1604709364397938</v>
      </c>
      <c r="R464" s="105">
        <v>267</v>
      </c>
      <c r="S464" s="7">
        <f t="shared" si="72"/>
        <v>0</v>
      </c>
      <c r="T464" s="124">
        <f t="shared" si="73"/>
        <v>91</v>
      </c>
      <c r="U464" s="124">
        <f t="shared" si="74"/>
        <v>999</v>
      </c>
      <c r="V464" s="124">
        <f t="shared" si="75"/>
        <v>455</v>
      </c>
      <c r="W464" s="124">
        <f t="shared" si="76"/>
        <v>258.99999999917998</v>
      </c>
      <c r="X464" s="124">
        <f t="shared" si="77"/>
        <v>2720958.1208699625</v>
      </c>
      <c r="Y464" s="264">
        <f t="shared" si="78"/>
        <v>455</v>
      </c>
      <c r="Z464" s="10">
        <v>91</v>
      </c>
      <c r="AA464" s="7">
        <v>999</v>
      </c>
      <c r="AB464" s="7">
        <v>455</v>
      </c>
      <c r="AC464" s="109">
        <v>258.99999999917998</v>
      </c>
      <c r="AD464" s="109">
        <v>2720958.1208699625</v>
      </c>
      <c r="AE464" s="125"/>
      <c r="AF464" s="10"/>
      <c r="AI464" s="109"/>
      <c r="AJ464" s="109"/>
      <c r="AL464" s="10"/>
      <c r="AO464" s="109"/>
      <c r="AP464" s="109"/>
      <c r="AR464" s="10"/>
      <c r="AU464" s="109"/>
      <c r="AV464" s="109"/>
      <c r="AX464" s="10"/>
      <c r="BA464" s="109"/>
      <c r="BB464" s="109"/>
      <c r="BD464" s="10"/>
      <c r="BG464" s="109"/>
      <c r="BH464" s="109"/>
      <c r="BJ464" s="10"/>
      <c r="BM464" s="109"/>
      <c r="BN464" s="109"/>
      <c r="BP464" s="10"/>
      <c r="BS464" s="109"/>
      <c r="BT464" s="109"/>
      <c r="BV464" s="10"/>
      <c r="BY464" s="109"/>
      <c r="BZ464" s="109"/>
      <c r="CB464" s="10"/>
      <c r="CE464" s="109"/>
      <c r="CF464" s="109"/>
      <c r="CH464" s="10"/>
      <c r="CK464" s="109"/>
      <c r="CL464" s="109"/>
    </row>
    <row r="465" spans="1:90">
      <c r="A465" s="7" t="str">
        <f t="shared" si="71"/>
        <v>00920092</v>
      </c>
      <c r="B465" s="7" t="s">
        <v>2431</v>
      </c>
      <c r="C465" s="7" t="s">
        <v>2431</v>
      </c>
      <c r="D465" s="7">
        <v>456</v>
      </c>
      <c r="E465" s="7">
        <v>92</v>
      </c>
      <c r="F465" s="7" t="s">
        <v>1798</v>
      </c>
      <c r="G465" s="7">
        <v>92</v>
      </c>
      <c r="H465" s="7" t="s">
        <v>1358</v>
      </c>
      <c r="I465" s="37">
        <v>0</v>
      </c>
      <c r="J465" s="122">
        <v>0</v>
      </c>
      <c r="K465" s="123">
        <f>X465</f>
        <v>0</v>
      </c>
      <c r="L465" s="122">
        <f>IF(K469&gt;0, K465/K469, 0)</f>
        <v>0</v>
      </c>
      <c r="M465" s="71"/>
      <c r="N465" s="10">
        <f>ROUND(M469*L465,0)</f>
        <v>0</v>
      </c>
      <c r="O465" s="70">
        <v>0</v>
      </c>
      <c r="P465" s="10">
        <f>N465-O465</f>
        <v>0</v>
      </c>
      <c r="Q465" s="46">
        <f t="shared" si="79"/>
        <v>0</v>
      </c>
      <c r="R465" s="10">
        <v>0</v>
      </c>
      <c r="S465" s="7">
        <f t="shared" si="72"/>
        <v>0</v>
      </c>
      <c r="T465" s="124">
        <f t="shared" si="73"/>
        <v>92</v>
      </c>
      <c r="U465" s="124">
        <f t="shared" si="74"/>
        <v>92</v>
      </c>
      <c r="V465" s="124">
        <f t="shared" si="75"/>
        <v>456</v>
      </c>
      <c r="W465" s="124">
        <f t="shared" si="76"/>
        <v>0</v>
      </c>
      <c r="X465" s="124">
        <f t="shared" si="77"/>
        <v>0</v>
      </c>
      <c r="Y465" s="264">
        <f t="shared" si="78"/>
        <v>456</v>
      </c>
      <c r="Z465" s="10">
        <v>92</v>
      </c>
      <c r="AA465" s="7">
        <v>92</v>
      </c>
      <c r="AB465" s="7">
        <v>456</v>
      </c>
      <c r="AC465" s="109">
        <v>0</v>
      </c>
      <c r="AD465" s="109">
        <v>0</v>
      </c>
      <c r="AE465" s="125"/>
      <c r="AF465" s="10"/>
      <c r="AI465" s="109"/>
      <c r="AJ465" s="109"/>
      <c r="AL465" s="10"/>
      <c r="AO465" s="109"/>
      <c r="AP465" s="109"/>
      <c r="AR465" s="10"/>
      <c r="AU465" s="109"/>
      <c r="AV465" s="109"/>
      <c r="AX465" s="10"/>
      <c r="BA465" s="109"/>
      <c r="BB465" s="109"/>
      <c r="BD465" s="10"/>
      <c r="BG465" s="109"/>
      <c r="BH465" s="109"/>
      <c r="BJ465" s="10"/>
      <c r="BM465" s="109"/>
      <c r="BN465" s="109"/>
      <c r="BP465" s="10"/>
      <c r="BS465" s="109"/>
      <c r="BT465" s="109"/>
      <c r="BV465" s="10"/>
      <c r="BY465" s="109"/>
      <c r="BZ465" s="109"/>
      <c r="CB465" s="10"/>
      <c r="CE465" s="109"/>
      <c r="CF465" s="109"/>
      <c r="CH465" s="10"/>
      <c r="CK465" s="109"/>
      <c r="CL465" s="109"/>
    </row>
    <row r="466" spans="1:90">
      <c r="A466" s="7" t="str">
        <f t="shared" si="71"/>
        <v>00920698</v>
      </c>
      <c r="B466" s="7" t="s">
        <v>2431</v>
      </c>
      <c r="C466" s="7" t="s">
        <v>2724</v>
      </c>
      <c r="D466" s="7">
        <v>457</v>
      </c>
      <c r="E466" s="7">
        <v>92</v>
      </c>
      <c r="F466" s="7" t="s">
        <v>1798</v>
      </c>
      <c r="G466" s="7">
        <v>698</v>
      </c>
      <c r="H466" s="7" t="s">
        <v>1651</v>
      </c>
      <c r="I466" s="37">
        <v>5036352</v>
      </c>
      <c r="J466" s="122">
        <v>0.94385486790609863</v>
      </c>
      <c r="K466" s="123">
        <f t="shared" si="70"/>
        <v>4867646.3518453659</v>
      </c>
      <c r="L466" s="122">
        <f>IF(K469&gt;0, K466/K469, 0)</f>
        <v>0.93292704021854866</v>
      </c>
      <c r="M466" s="71"/>
      <c r="N466" s="10">
        <f>ROUND(M469*L466,0)</f>
        <v>4062505</v>
      </c>
      <c r="O466" s="70">
        <v>4215509</v>
      </c>
      <c r="P466" s="10">
        <f>N466-O466</f>
        <v>-153004</v>
      </c>
      <c r="Q466" s="46">
        <f t="shared" si="79"/>
        <v>-3.6295498360933403</v>
      </c>
      <c r="R466" s="10">
        <v>531</v>
      </c>
      <c r="S466" s="7">
        <f t="shared" si="72"/>
        <v>0</v>
      </c>
      <c r="T466" s="124">
        <f t="shared" si="73"/>
        <v>92</v>
      </c>
      <c r="U466" s="124">
        <f t="shared" si="74"/>
        <v>698</v>
      </c>
      <c r="V466" s="124">
        <f t="shared" si="75"/>
        <v>457</v>
      </c>
      <c r="W466" s="124">
        <f t="shared" si="76"/>
        <v>504.13421828518</v>
      </c>
      <c r="X466" s="124">
        <f t="shared" si="77"/>
        <v>4867646.3518453659</v>
      </c>
      <c r="Y466" s="264">
        <f t="shared" si="78"/>
        <v>457</v>
      </c>
      <c r="Z466" s="10">
        <v>92</v>
      </c>
      <c r="AA466" s="7">
        <v>698</v>
      </c>
      <c r="AB466" s="7">
        <v>457</v>
      </c>
      <c r="AC466" s="109">
        <v>504.13421828518</v>
      </c>
      <c r="AD466" s="109">
        <v>4867646.3518453659</v>
      </c>
      <c r="AE466" s="125"/>
      <c r="AF466" s="10"/>
      <c r="AI466" s="109"/>
      <c r="AJ466" s="109"/>
      <c r="AL466" s="10"/>
      <c r="AO466" s="109"/>
      <c r="AP466" s="109"/>
      <c r="AR466" s="10"/>
      <c r="AU466" s="109"/>
      <c r="AV466" s="109"/>
      <c r="AX466" s="10"/>
      <c r="BA466" s="109"/>
      <c r="BB466" s="109"/>
      <c r="BD466" s="10"/>
      <c r="BG466" s="109"/>
      <c r="BH466" s="109"/>
      <c r="BJ466" s="10"/>
      <c r="BM466" s="109"/>
      <c r="BN466" s="109"/>
      <c r="BP466" s="10"/>
      <c r="BS466" s="109"/>
      <c r="BT466" s="109"/>
      <c r="BV466" s="10"/>
      <c r="BY466" s="109"/>
      <c r="BZ466" s="109"/>
      <c r="CB466" s="10"/>
      <c r="CE466" s="109"/>
      <c r="CF466" s="109"/>
      <c r="CH466" s="10"/>
      <c r="CK466" s="109"/>
      <c r="CL466" s="109"/>
    </row>
    <row r="467" spans="1:90">
      <c r="A467" s="7" t="str">
        <f t="shared" si="71"/>
        <v>00920817</v>
      </c>
      <c r="B467" s="7" t="s">
        <v>2431</v>
      </c>
      <c r="C467" s="7" t="s">
        <v>2757</v>
      </c>
      <c r="D467" s="7">
        <v>458</v>
      </c>
      <c r="E467" s="7">
        <v>92</v>
      </c>
      <c r="F467" s="7" t="s">
        <v>1798</v>
      </c>
      <c r="G467" s="7">
        <v>817</v>
      </c>
      <c r="H467" s="7" t="s">
        <v>1684</v>
      </c>
      <c r="I467" s="37">
        <v>299587</v>
      </c>
      <c r="J467" s="122">
        <v>5.6145132093901373E-2</v>
      </c>
      <c r="K467" s="123">
        <f t="shared" si="70"/>
        <v>349960.32263269887</v>
      </c>
      <c r="L467" s="122">
        <f>IF(K469&gt;0, K467/K469, 0)</f>
        <v>6.7072959781451252E-2</v>
      </c>
      <c r="M467" s="71"/>
      <c r="N467" s="10">
        <f>ROUND(M469*L467,0)</f>
        <v>292075</v>
      </c>
      <c r="O467" s="70">
        <v>250759</v>
      </c>
      <c r="P467" s="10">
        <f>N467-O467</f>
        <v>41316</v>
      </c>
      <c r="Q467" s="46">
        <f t="shared" si="79"/>
        <v>16.476377717250429</v>
      </c>
      <c r="R467" s="10">
        <v>19</v>
      </c>
      <c r="S467" s="7">
        <f t="shared" si="72"/>
        <v>0</v>
      </c>
      <c r="T467" s="124">
        <f t="shared" si="73"/>
        <v>92</v>
      </c>
      <c r="U467" s="124">
        <f t="shared" si="74"/>
        <v>817</v>
      </c>
      <c r="V467" s="124">
        <f t="shared" si="75"/>
        <v>458</v>
      </c>
      <c r="W467" s="124">
        <f t="shared" si="76"/>
        <v>22.000000004579999</v>
      </c>
      <c r="X467" s="124">
        <f t="shared" si="77"/>
        <v>349960.32263269887</v>
      </c>
      <c r="Y467" s="264">
        <f t="shared" si="78"/>
        <v>458</v>
      </c>
      <c r="Z467" s="10">
        <v>92</v>
      </c>
      <c r="AA467" s="7">
        <v>817</v>
      </c>
      <c r="AB467" s="7">
        <v>458</v>
      </c>
      <c r="AC467" s="109">
        <v>22.000000004579999</v>
      </c>
      <c r="AD467" s="109">
        <v>349960.32263269887</v>
      </c>
      <c r="AE467" s="125"/>
      <c r="AF467" s="10"/>
      <c r="AI467" s="109"/>
      <c r="AJ467" s="109"/>
      <c r="AL467" s="10"/>
      <c r="AO467" s="109"/>
      <c r="AP467" s="109"/>
      <c r="AR467" s="10"/>
      <c r="AU467" s="109"/>
      <c r="AV467" s="109"/>
      <c r="AX467" s="10"/>
      <c r="BA467" s="109"/>
      <c r="BB467" s="109"/>
      <c r="BD467" s="10"/>
      <c r="BG467" s="109"/>
      <c r="BH467" s="109"/>
      <c r="BJ467" s="10"/>
      <c r="BM467" s="109"/>
      <c r="BN467" s="109"/>
      <c r="BP467" s="10"/>
      <c r="BS467" s="109"/>
      <c r="BT467" s="109"/>
      <c r="BV467" s="10"/>
      <c r="BY467" s="109"/>
      <c r="BZ467" s="109"/>
      <c r="CB467" s="10"/>
      <c r="CE467" s="109"/>
      <c r="CF467" s="109"/>
      <c r="CH467" s="10"/>
      <c r="CK467" s="109"/>
      <c r="CL467" s="109"/>
    </row>
    <row r="468" spans="1:90">
      <c r="A468" s="7" t="str">
        <f t="shared" si="71"/>
        <v>00920998</v>
      </c>
      <c r="B468" s="7" t="s">
        <v>2431</v>
      </c>
      <c r="C468" s="7" t="s">
        <v>2781</v>
      </c>
      <c r="D468" s="7">
        <v>459</v>
      </c>
      <c r="E468" s="7">
        <v>92</v>
      </c>
      <c r="F468" s="7" t="s">
        <v>2135</v>
      </c>
      <c r="G468" s="7">
        <v>998</v>
      </c>
      <c r="H468" s="7" t="s">
        <v>2135</v>
      </c>
      <c r="I468" s="37">
        <v>0</v>
      </c>
      <c r="J468" s="122">
        <v>0</v>
      </c>
      <c r="K468" s="123">
        <f t="shared" si="70"/>
        <v>0</v>
      </c>
      <c r="L468" s="122">
        <f>IF(K469&gt;0, K468/K469, 0)</f>
        <v>0</v>
      </c>
      <c r="M468" s="71"/>
      <c r="N468" s="10">
        <f>ROUND(M469*L468,0)</f>
        <v>0</v>
      </c>
      <c r="O468" s="70">
        <v>0</v>
      </c>
      <c r="P468" s="10">
        <f>N468-O468</f>
        <v>0</v>
      </c>
      <c r="Q468" s="46">
        <f t="shared" si="79"/>
        <v>0</v>
      </c>
      <c r="R468" s="10">
        <v>0</v>
      </c>
      <c r="S468" s="7">
        <f t="shared" si="72"/>
        <v>0</v>
      </c>
      <c r="T468" s="124">
        <f t="shared" si="73"/>
        <v>92</v>
      </c>
      <c r="U468" s="124">
        <f t="shared" si="74"/>
        <v>998</v>
      </c>
      <c r="V468" s="124">
        <f t="shared" si="75"/>
        <v>459</v>
      </c>
      <c r="W468" s="124">
        <f t="shared" si="76"/>
        <v>0</v>
      </c>
      <c r="X468" s="124">
        <f t="shared" si="77"/>
        <v>0</v>
      </c>
      <c r="Y468" s="264">
        <f t="shared" si="78"/>
        <v>459</v>
      </c>
      <c r="Z468" s="10">
        <v>92</v>
      </c>
      <c r="AA468" s="7">
        <v>998</v>
      </c>
      <c r="AB468" s="7">
        <v>459</v>
      </c>
      <c r="AC468" s="109">
        <v>0</v>
      </c>
      <c r="AD468" s="109">
        <v>0</v>
      </c>
      <c r="AE468" s="125"/>
      <c r="AF468" s="10"/>
      <c r="AI468" s="109"/>
      <c r="AJ468" s="109"/>
      <c r="AL468" s="10"/>
      <c r="AO468" s="109"/>
      <c r="AP468" s="109"/>
      <c r="AR468" s="10"/>
      <c r="AU468" s="109"/>
      <c r="AV468" s="109"/>
      <c r="AX468" s="10"/>
      <c r="BA468" s="109"/>
      <c r="BB468" s="109"/>
      <c r="BD468" s="10"/>
      <c r="BG468" s="109"/>
      <c r="BH468" s="109"/>
      <c r="BJ468" s="10"/>
      <c r="BM468" s="109"/>
      <c r="BN468" s="109"/>
      <c r="BP468" s="10"/>
      <c r="BS468" s="109"/>
      <c r="BT468" s="109"/>
      <c r="BV468" s="10"/>
      <c r="BY468" s="109"/>
      <c r="BZ468" s="109"/>
      <c r="CB468" s="10"/>
      <c r="CE468" s="109"/>
      <c r="CF468" s="109"/>
      <c r="CH468" s="10"/>
      <c r="CK468" s="109"/>
      <c r="CL468" s="109"/>
    </row>
    <row r="469" spans="1:90">
      <c r="A469" s="7" t="str">
        <f t="shared" si="71"/>
        <v>00920999</v>
      </c>
      <c r="B469" s="7" t="s">
        <v>2431</v>
      </c>
      <c r="C469" s="7" t="s">
        <v>2782</v>
      </c>
      <c r="D469" s="7">
        <v>460</v>
      </c>
      <c r="E469" s="11">
        <v>92</v>
      </c>
      <c r="F469" s="11" t="s">
        <v>1798</v>
      </c>
      <c r="G469" s="11">
        <v>999</v>
      </c>
      <c r="H469" s="11" t="s">
        <v>1132</v>
      </c>
      <c r="I469" s="105">
        <v>5335939</v>
      </c>
      <c r="J469" s="126">
        <v>1</v>
      </c>
      <c r="K469" s="127">
        <f>SUM(K465:K468)</f>
        <v>5217606.6744780652</v>
      </c>
      <c r="L469" s="126">
        <f>SUM(L465:L468)</f>
        <v>0.99999999999999989</v>
      </c>
      <c r="M469" s="105">
        <f>VLOOKUP(E469,town351,22)</f>
        <v>4354580</v>
      </c>
      <c r="N469" s="105">
        <f>SUM(N465:N468)</f>
        <v>4354580</v>
      </c>
      <c r="O469" s="128">
        <v>4466268</v>
      </c>
      <c r="P469" s="105">
        <f>SUM(P465:P468)</f>
        <v>-111688</v>
      </c>
      <c r="Q469" s="45">
        <f t="shared" si="79"/>
        <v>-2.5007008088184586</v>
      </c>
      <c r="R469" s="105">
        <v>550</v>
      </c>
      <c r="S469" s="7">
        <f t="shared" si="72"/>
        <v>0</v>
      </c>
      <c r="T469" s="124">
        <f t="shared" si="73"/>
        <v>92</v>
      </c>
      <c r="U469" s="124">
        <f t="shared" si="74"/>
        <v>999</v>
      </c>
      <c r="V469" s="124">
        <f t="shared" si="75"/>
        <v>460</v>
      </c>
      <c r="W469" s="124">
        <f t="shared" si="76"/>
        <v>526.13421828976004</v>
      </c>
      <c r="X469" s="124">
        <f t="shared" si="77"/>
        <v>5217606.6744780652</v>
      </c>
      <c r="Y469" s="264">
        <f t="shared" si="78"/>
        <v>460</v>
      </c>
      <c r="Z469" s="10">
        <v>92</v>
      </c>
      <c r="AA469" s="7">
        <v>999</v>
      </c>
      <c r="AB469" s="7">
        <v>460</v>
      </c>
      <c r="AC469" s="109">
        <v>526.13421828976004</v>
      </c>
      <c r="AD469" s="109">
        <v>5217606.6744780652</v>
      </c>
      <c r="AE469" s="125"/>
      <c r="AF469" s="10"/>
      <c r="AI469" s="109"/>
      <c r="AJ469" s="109"/>
      <c r="AL469" s="10"/>
      <c r="AO469" s="109"/>
      <c r="AP469" s="109"/>
      <c r="AR469" s="10"/>
      <c r="AU469" s="109"/>
      <c r="AV469" s="109"/>
      <c r="AX469" s="10"/>
      <c r="BA469" s="109"/>
      <c r="BB469" s="109"/>
      <c r="BD469" s="10"/>
      <c r="BG469" s="109"/>
      <c r="BH469" s="109"/>
      <c r="BJ469" s="10"/>
      <c r="BM469" s="109"/>
      <c r="BN469" s="109"/>
      <c r="BP469" s="10"/>
      <c r="BS469" s="109"/>
      <c r="BT469" s="109"/>
      <c r="BV469" s="10"/>
      <c r="BY469" s="109"/>
      <c r="BZ469" s="109"/>
      <c r="CB469" s="10"/>
      <c r="CE469" s="109"/>
      <c r="CF469" s="109"/>
      <c r="CH469" s="10"/>
      <c r="CK469" s="109"/>
      <c r="CL469" s="109"/>
    </row>
    <row r="470" spans="1:90">
      <c r="A470" s="7" t="str">
        <f t="shared" si="71"/>
        <v>00930093</v>
      </c>
      <c r="B470" s="7" t="s">
        <v>2432</v>
      </c>
      <c r="C470" s="7" t="s">
        <v>2432</v>
      </c>
      <c r="D470" s="7">
        <v>461</v>
      </c>
      <c r="E470" s="7">
        <v>93</v>
      </c>
      <c r="F470" s="7" t="s">
        <v>1799</v>
      </c>
      <c r="G470" s="7">
        <v>93</v>
      </c>
      <c r="H470" s="7" t="s">
        <v>1359</v>
      </c>
      <c r="I470" s="37">
        <v>87583038.240480021</v>
      </c>
      <c r="J470" s="122">
        <v>1</v>
      </c>
      <c r="K470" s="123">
        <f t="shared" ref="K470:K533" si="80">X470</f>
        <v>90558887.124926507</v>
      </c>
      <c r="L470" s="122">
        <f>IF(K474&gt;0, K470/K474, 0)</f>
        <v>1</v>
      </c>
      <c r="M470" s="71"/>
      <c r="N470" s="10">
        <f>ROUND(M474*L470,0)</f>
        <v>27455803</v>
      </c>
      <c r="O470" s="70">
        <v>26203286</v>
      </c>
      <c r="P470" s="10">
        <f>N470-O470</f>
        <v>1252517</v>
      </c>
      <c r="Q470" s="46">
        <f t="shared" si="79"/>
        <v>4.7799997298048806</v>
      </c>
      <c r="R470" s="10">
        <v>7549</v>
      </c>
      <c r="S470" s="7">
        <f t="shared" si="72"/>
        <v>0</v>
      </c>
      <c r="T470" s="124">
        <f t="shared" si="73"/>
        <v>93</v>
      </c>
      <c r="U470" s="124">
        <f t="shared" si="74"/>
        <v>93</v>
      </c>
      <c r="V470" s="124">
        <f t="shared" si="75"/>
        <v>461</v>
      </c>
      <c r="W470" s="124">
        <f t="shared" si="76"/>
        <v>7635</v>
      </c>
      <c r="X470" s="124">
        <f t="shared" si="77"/>
        <v>90558887.124926507</v>
      </c>
      <c r="Y470" s="264">
        <f t="shared" si="78"/>
        <v>461</v>
      </c>
      <c r="Z470" s="10">
        <v>93</v>
      </c>
      <c r="AA470" s="7">
        <v>93</v>
      </c>
      <c r="AB470" s="7">
        <v>461</v>
      </c>
      <c r="AC470" s="109">
        <v>7635</v>
      </c>
      <c r="AD470" s="109">
        <v>90558887.124926507</v>
      </c>
      <c r="AE470" s="125"/>
      <c r="AF470" s="10"/>
      <c r="AI470" s="109"/>
      <c r="AJ470" s="109"/>
      <c r="AL470" s="10"/>
      <c r="AO470" s="109"/>
      <c r="AP470" s="109"/>
      <c r="AR470" s="10"/>
      <c r="AU470" s="109"/>
      <c r="AV470" s="109"/>
      <c r="AX470" s="10"/>
      <c r="BA470" s="109"/>
      <c r="BB470" s="109"/>
      <c r="BD470" s="10"/>
      <c r="BG470" s="109"/>
      <c r="BH470" s="109"/>
      <c r="BJ470" s="10"/>
      <c r="BM470" s="109"/>
      <c r="BN470" s="109"/>
      <c r="BP470" s="10"/>
      <c r="BS470" s="109"/>
      <c r="BT470" s="109"/>
      <c r="BV470" s="10"/>
      <c r="BY470" s="109"/>
      <c r="BZ470" s="109"/>
      <c r="CB470" s="10"/>
      <c r="CE470" s="109"/>
      <c r="CF470" s="109"/>
      <c r="CH470" s="10"/>
      <c r="CK470" s="109"/>
      <c r="CL470" s="109"/>
    </row>
    <row r="471" spans="1:90">
      <c r="A471" s="7" t="str">
        <f t="shared" si="71"/>
        <v>00930998</v>
      </c>
      <c r="B471" s="7" t="s">
        <v>2432</v>
      </c>
      <c r="C471" s="7" t="s">
        <v>2781</v>
      </c>
      <c r="D471" s="7">
        <v>462</v>
      </c>
      <c r="E471" s="7">
        <v>93</v>
      </c>
      <c r="F471" s="7" t="s">
        <v>2135</v>
      </c>
      <c r="G471" s="7">
        <v>998</v>
      </c>
      <c r="H471" s="7" t="s">
        <v>2135</v>
      </c>
      <c r="I471" s="37">
        <v>0</v>
      </c>
      <c r="J471" s="122">
        <v>0</v>
      </c>
      <c r="K471" s="123">
        <f t="shared" si="80"/>
        <v>0</v>
      </c>
      <c r="L471" s="122">
        <f>IF(K474&gt;0, K471/K474, 0)</f>
        <v>0</v>
      </c>
      <c r="M471" s="71"/>
      <c r="N471" s="10">
        <f>ROUND(M474*L471,0)</f>
        <v>0</v>
      </c>
      <c r="O471" s="70">
        <v>0</v>
      </c>
      <c r="P471" s="10">
        <f>N471-O471</f>
        <v>0</v>
      </c>
      <c r="Q471" s="46">
        <f t="shared" si="79"/>
        <v>0</v>
      </c>
      <c r="R471" s="10">
        <v>0</v>
      </c>
      <c r="S471" s="7">
        <f t="shared" si="72"/>
        <v>0</v>
      </c>
      <c r="T471" s="124">
        <f t="shared" si="73"/>
        <v>93</v>
      </c>
      <c r="U471" s="124">
        <f t="shared" si="74"/>
        <v>998</v>
      </c>
      <c r="V471" s="124">
        <f t="shared" si="75"/>
        <v>462</v>
      </c>
      <c r="W471" s="124">
        <f t="shared" si="76"/>
        <v>0</v>
      </c>
      <c r="X471" s="124">
        <f t="shared" si="77"/>
        <v>0</v>
      </c>
      <c r="Y471" s="264">
        <f t="shared" si="78"/>
        <v>462</v>
      </c>
      <c r="Z471" s="10">
        <v>93</v>
      </c>
      <c r="AA471" s="7">
        <v>998</v>
      </c>
      <c r="AB471" s="7">
        <v>462</v>
      </c>
      <c r="AC471" s="109">
        <v>0</v>
      </c>
      <c r="AD471" s="109">
        <v>0</v>
      </c>
      <c r="AE471" s="125"/>
      <c r="AF471" s="10"/>
      <c r="AI471" s="109"/>
      <c r="AJ471" s="109"/>
      <c r="AL471" s="10"/>
      <c r="AO471" s="109"/>
      <c r="AP471" s="109"/>
      <c r="AR471" s="10"/>
      <c r="AU471" s="109"/>
      <c r="AV471" s="109"/>
      <c r="AX471" s="10"/>
      <c r="BA471" s="109"/>
      <c r="BB471" s="109"/>
      <c r="BD471" s="10"/>
      <c r="BG471" s="109"/>
      <c r="BH471" s="109"/>
      <c r="BJ471" s="10"/>
      <c r="BM471" s="109"/>
      <c r="BN471" s="109"/>
      <c r="BP471" s="10"/>
      <c r="BS471" s="109"/>
      <c r="BT471" s="109"/>
      <c r="BV471" s="10"/>
      <c r="BY471" s="109"/>
      <c r="BZ471" s="109"/>
      <c r="CB471" s="10"/>
      <c r="CE471" s="109"/>
      <c r="CF471" s="109"/>
      <c r="CH471" s="10"/>
      <c r="CK471" s="109"/>
      <c r="CL471" s="109"/>
    </row>
    <row r="472" spans="1:90">
      <c r="A472" s="7" t="str">
        <f t="shared" si="71"/>
        <v>00930998</v>
      </c>
      <c r="B472" s="7" t="s">
        <v>2432</v>
      </c>
      <c r="C472" s="7" t="s">
        <v>2781</v>
      </c>
      <c r="D472" s="7">
        <v>463</v>
      </c>
      <c r="E472" s="7">
        <v>93</v>
      </c>
      <c r="F472" s="7" t="s">
        <v>2135</v>
      </c>
      <c r="G472" s="7">
        <v>998</v>
      </c>
      <c r="H472" s="7" t="s">
        <v>2135</v>
      </c>
      <c r="I472" s="37">
        <v>0</v>
      </c>
      <c r="J472" s="122">
        <v>0</v>
      </c>
      <c r="K472" s="123">
        <f t="shared" si="80"/>
        <v>0</v>
      </c>
      <c r="L472" s="122">
        <f>IF(K474&gt;0, K472/K474, 0)</f>
        <v>0</v>
      </c>
      <c r="M472" s="71"/>
      <c r="N472" s="10">
        <f>ROUND(M474*L472,0)</f>
        <v>0</v>
      </c>
      <c r="O472" s="70">
        <v>0</v>
      </c>
      <c r="P472" s="10">
        <f>N472-O472</f>
        <v>0</v>
      </c>
      <c r="Q472" s="46">
        <f t="shared" si="79"/>
        <v>0</v>
      </c>
      <c r="R472" s="10">
        <v>0</v>
      </c>
      <c r="S472" s="7">
        <f t="shared" si="72"/>
        <v>0</v>
      </c>
      <c r="T472" s="124">
        <f t="shared" si="73"/>
        <v>93</v>
      </c>
      <c r="U472" s="124">
        <f t="shared" si="74"/>
        <v>998</v>
      </c>
      <c r="V472" s="124">
        <f t="shared" si="75"/>
        <v>463</v>
      </c>
      <c r="W472" s="124">
        <f t="shared" si="76"/>
        <v>0</v>
      </c>
      <c r="X472" s="124">
        <f t="shared" si="77"/>
        <v>0</v>
      </c>
      <c r="Y472" s="264">
        <f t="shared" si="78"/>
        <v>463</v>
      </c>
      <c r="Z472" s="10">
        <v>93</v>
      </c>
      <c r="AA472" s="7">
        <v>998</v>
      </c>
      <c r="AB472" s="7">
        <v>463</v>
      </c>
      <c r="AC472" s="109">
        <v>0</v>
      </c>
      <c r="AD472" s="109">
        <v>0</v>
      </c>
      <c r="AE472" s="125"/>
      <c r="AF472" s="10"/>
      <c r="AI472" s="109"/>
      <c r="AJ472" s="109"/>
      <c r="AL472" s="10"/>
      <c r="AO472" s="109"/>
      <c r="AP472" s="109"/>
      <c r="AR472" s="10"/>
      <c r="AU472" s="109"/>
      <c r="AV472" s="109"/>
      <c r="AX472" s="10"/>
      <c r="BA472" s="109"/>
      <c r="BB472" s="109"/>
      <c r="BD472" s="10"/>
      <c r="BG472" s="109"/>
      <c r="BH472" s="109"/>
      <c r="BJ472" s="10"/>
      <c r="BM472" s="109"/>
      <c r="BN472" s="109"/>
      <c r="BP472" s="10"/>
      <c r="BS472" s="109"/>
      <c r="BT472" s="109"/>
      <c r="BV472" s="10"/>
      <c r="BY472" s="109"/>
      <c r="BZ472" s="109"/>
      <c r="CB472" s="10"/>
      <c r="CE472" s="109"/>
      <c r="CF472" s="109"/>
      <c r="CH472" s="10"/>
      <c r="CK472" s="109"/>
      <c r="CL472" s="109"/>
    </row>
    <row r="473" spans="1:90">
      <c r="A473" s="7" t="str">
        <f t="shared" si="71"/>
        <v>00930998</v>
      </c>
      <c r="B473" s="7" t="s">
        <v>2432</v>
      </c>
      <c r="C473" s="7" t="s">
        <v>2781</v>
      </c>
      <c r="D473" s="7">
        <v>464</v>
      </c>
      <c r="E473" s="7">
        <v>93</v>
      </c>
      <c r="F473" s="7" t="s">
        <v>2135</v>
      </c>
      <c r="G473" s="7">
        <v>998</v>
      </c>
      <c r="H473" s="7" t="s">
        <v>2135</v>
      </c>
      <c r="I473" s="37">
        <v>0</v>
      </c>
      <c r="J473" s="122">
        <v>0</v>
      </c>
      <c r="K473" s="123">
        <f t="shared" si="80"/>
        <v>0</v>
      </c>
      <c r="L473" s="122">
        <f>IF(K474&gt;0, K473/K474, 0)</f>
        <v>0</v>
      </c>
      <c r="M473" s="71"/>
      <c r="N473" s="10">
        <f>ROUND(M474*L473,0)</f>
        <v>0</v>
      </c>
      <c r="O473" s="70">
        <v>0</v>
      </c>
      <c r="P473" s="10">
        <f>N473-O473</f>
        <v>0</v>
      </c>
      <c r="Q473" s="46">
        <f t="shared" si="79"/>
        <v>0</v>
      </c>
      <c r="R473" s="10">
        <v>0</v>
      </c>
      <c r="S473" s="7">
        <f t="shared" si="72"/>
        <v>0</v>
      </c>
      <c r="T473" s="124">
        <f t="shared" si="73"/>
        <v>93</v>
      </c>
      <c r="U473" s="124">
        <f t="shared" si="74"/>
        <v>998</v>
      </c>
      <c r="V473" s="124">
        <f t="shared" si="75"/>
        <v>464</v>
      </c>
      <c r="W473" s="124">
        <f t="shared" si="76"/>
        <v>0</v>
      </c>
      <c r="X473" s="124">
        <f t="shared" si="77"/>
        <v>0</v>
      </c>
      <c r="Y473" s="264">
        <f t="shared" si="78"/>
        <v>464</v>
      </c>
      <c r="Z473" s="10">
        <v>93</v>
      </c>
      <c r="AA473" s="7">
        <v>998</v>
      </c>
      <c r="AB473" s="7">
        <v>464</v>
      </c>
      <c r="AC473" s="109">
        <v>0</v>
      </c>
      <c r="AD473" s="109">
        <v>0</v>
      </c>
      <c r="AE473" s="125"/>
      <c r="AF473" s="10"/>
      <c r="AI473" s="109"/>
      <c r="AJ473" s="109"/>
      <c r="AL473" s="10"/>
      <c r="AO473" s="109"/>
      <c r="AP473" s="109"/>
      <c r="AR473" s="10"/>
      <c r="AU473" s="109"/>
      <c r="AV473" s="109"/>
      <c r="AX473" s="10"/>
      <c r="BA473" s="109"/>
      <c r="BB473" s="109"/>
      <c r="BD473" s="10"/>
      <c r="BG473" s="109"/>
      <c r="BH473" s="109"/>
      <c r="BJ473" s="10"/>
      <c r="BM473" s="109"/>
      <c r="BN473" s="109"/>
      <c r="BP473" s="10"/>
      <c r="BS473" s="109"/>
      <c r="BT473" s="109"/>
      <c r="BV473" s="10"/>
      <c r="BY473" s="109"/>
      <c r="BZ473" s="109"/>
      <c r="CB473" s="10"/>
      <c r="CE473" s="109"/>
      <c r="CF473" s="109"/>
      <c r="CH473" s="10"/>
      <c r="CK473" s="109"/>
      <c r="CL473" s="109"/>
    </row>
    <row r="474" spans="1:90">
      <c r="A474" s="7" t="str">
        <f t="shared" si="71"/>
        <v>00930999</v>
      </c>
      <c r="B474" s="7" t="s">
        <v>2432</v>
      </c>
      <c r="C474" s="7" t="s">
        <v>2782</v>
      </c>
      <c r="D474" s="7">
        <v>465</v>
      </c>
      <c r="E474" s="11">
        <v>93</v>
      </c>
      <c r="F474" s="11" t="s">
        <v>1799</v>
      </c>
      <c r="G474" s="11">
        <v>999</v>
      </c>
      <c r="H474" s="11" t="s">
        <v>1132</v>
      </c>
      <c r="I474" s="105">
        <v>87583038.240480021</v>
      </c>
      <c r="J474" s="126">
        <v>1</v>
      </c>
      <c r="K474" s="127">
        <f>SUM(K470:K473)</f>
        <v>90558887.124926507</v>
      </c>
      <c r="L474" s="126">
        <f>SUM(L470:L473)</f>
        <v>1</v>
      </c>
      <c r="M474" s="105">
        <f>VLOOKUP(E474,town351,22)</f>
        <v>27455803</v>
      </c>
      <c r="N474" s="105">
        <f>SUM(N470:N473)</f>
        <v>27455803</v>
      </c>
      <c r="O474" s="128">
        <v>26203286</v>
      </c>
      <c r="P474" s="105">
        <f>SUM(P470:P473)</f>
        <v>1252517</v>
      </c>
      <c r="Q474" s="45">
        <f t="shared" si="79"/>
        <v>4.7799997298048806</v>
      </c>
      <c r="R474" s="105">
        <v>7549</v>
      </c>
      <c r="S474" s="7">
        <f t="shared" si="72"/>
        <v>0</v>
      </c>
      <c r="T474" s="124">
        <f t="shared" si="73"/>
        <v>93</v>
      </c>
      <c r="U474" s="124">
        <f t="shared" si="74"/>
        <v>999</v>
      </c>
      <c r="V474" s="124">
        <f t="shared" si="75"/>
        <v>465</v>
      </c>
      <c r="W474" s="124">
        <f t="shared" si="76"/>
        <v>7635</v>
      </c>
      <c r="X474" s="124">
        <f t="shared" si="77"/>
        <v>90558887.124926507</v>
      </c>
      <c r="Y474" s="264">
        <f t="shared" si="78"/>
        <v>465</v>
      </c>
      <c r="Z474" s="10">
        <v>93</v>
      </c>
      <c r="AA474" s="7">
        <v>999</v>
      </c>
      <c r="AB474" s="7">
        <v>465</v>
      </c>
      <c r="AC474" s="109">
        <v>7635</v>
      </c>
      <c r="AD474" s="109">
        <v>90558887.124926507</v>
      </c>
      <c r="AE474" s="125"/>
      <c r="AF474" s="10"/>
      <c r="AI474" s="109"/>
      <c r="AJ474" s="109"/>
      <c r="AL474" s="10"/>
      <c r="AO474" s="109"/>
      <c r="AP474" s="109"/>
      <c r="AR474" s="10"/>
      <c r="AU474" s="109"/>
      <c r="AV474" s="109"/>
      <c r="AX474" s="10"/>
      <c r="BA474" s="109"/>
      <c r="BB474" s="109"/>
      <c r="BD474" s="10"/>
      <c r="BG474" s="109"/>
      <c r="BH474" s="109"/>
      <c r="BJ474" s="10"/>
      <c r="BM474" s="109"/>
      <c r="BN474" s="109"/>
      <c r="BP474" s="10"/>
      <c r="BS474" s="109"/>
      <c r="BT474" s="109"/>
      <c r="BV474" s="10"/>
      <c r="BY474" s="109"/>
      <c r="BZ474" s="109"/>
      <c r="CB474" s="10"/>
      <c r="CE474" s="109"/>
      <c r="CF474" s="109"/>
      <c r="CH474" s="10"/>
      <c r="CK474" s="109"/>
      <c r="CL474" s="109"/>
    </row>
    <row r="475" spans="1:90">
      <c r="A475" s="7" t="str">
        <f t="shared" si="71"/>
        <v>00940094</v>
      </c>
      <c r="B475" s="7" t="s">
        <v>2433</v>
      </c>
      <c r="C475" s="7" t="s">
        <v>2433</v>
      </c>
      <c r="D475" s="7">
        <v>466</v>
      </c>
      <c r="E475" s="7">
        <v>94</v>
      </c>
      <c r="F475" s="7" t="s">
        <v>1800</v>
      </c>
      <c r="G475" s="7">
        <v>94</v>
      </c>
      <c r="H475" s="7" t="s">
        <v>1360</v>
      </c>
      <c r="I475" s="37">
        <v>18309668.060000002</v>
      </c>
      <c r="J475" s="122">
        <v>0.84367446980846406</v>
      </c>
      <c r="K475" s="123">
        <f>X475</f>
        <v>18758475.280269191</v>
      </c>
      <c r="L475" s="122">
        <f>IF(K479&gt;0, K475/K479, 0)</f>
        <v>0.84997720682918676</v>
      </c>
      <c r="M475" s="71"/>
      <c r="N475" s="10">
        <f>ROUND(M479*L475,0)</f>
        <v>11557489</v>
      </c>
      <c r="O475" s="70">
        <v>11486709</v>
      </c>
      <c r="P475" s="10">
        <f>N475-O475</f>
        <v>70780</v>
      </c>
      <c r="Q475" s="46">
        <f t="shared" si="79"/>
        <v>0.61619041624541893</v>
      </c>
      <c r="R475" s="10">
        <v>1794</v>
      </c>
      <c r="S475" s="7">
        <f t="shared" si="72"/>
        <v>0</v>
      </c>
      <c r="T475" s="124">
        <f t="shared" si="73"/>
        <v>94</v>
      </c>
      <c r="U475" s="124">
        <f t="shared" si="74"/>
        <v>94</v>
      </c>
      <c r="V475" s="124">
        <f t="shared" si="75"/>
        <v>466</v>
      </c>
      <c r="W475" s="124">
        <f t="shared" si="76"/>
        <v>1801</v>
      </c>
      <c r="X475" s="124">
        <f t="shared" si="77"/>
        <v>18758475.280269191</v>
      </c>
      <c r="Y475" s="264">
        <f t="shared" si="78"/>
        <v>466</v>
      </c>
      <c r="Z475" s="10">
        <v>94</v>
      </c>
      <c r="AA475" s="7">
        <v>94</v>
      </c>
      <c r="AB475" s="7">
        <v>466</v>
      </c>
      <c r="AC475" s="109">
        <v>1801</v>
      </c>
      <c r="AD475" s="109">
        <v>18758475.280269191</v>
      </c>
      <c r="AE475" s="125"/>
      <c r="AF475" s="10"/>
      <c r="AI475" s="109"/>
      <c r="AJ475" s="109"/>
      <c r="AL475" s="10"/>
      <c r="AO475" s="109"/>
      <c r="AP475" s="109"/>
      <c r="AR475" s="10"/>
      <c r="AU475" s="109"/>
      <c r="AV475" s="109"/>
      <c r="AX475" s="10"/>
      <c r="BA475" s="109"/>
      <c r="BB475" s="109"/>
      <c r="BD475" s="10"/>
      <c r="BG475" s="109"/>
      <c r="BH475" s="109"/>
      <c r="BJ475" s="10"/>
      <c r="BM475" s="109"/>
      <c r="BN475" s="109"/>
      <c r="BP475" s="10"/>
      <c r="BS475" s="109"/>
      <c r="BT475" s="109"/>
      <c r="BV475" s="10"/>
      <c r="BY475" s="109"/>
      <c r="BZ475" s="109"/>
      <c r="CB475" s="10"/>
      <c r="CE475" s="109"/>
      <c r="CF475" s="109"/>
      <c r="CH475" s="10"/>
      <c r="CK475" s="109"/>
      <c r="CL475" s="109"/>
    </row>
    <row r="476" spans="1:90">
      <c r="A476" s="7" t="str">
        <f t="shared" si="71"/>
        <v>00940825</v>
      </c>
      <c r="B476" s="7" t="s">
        <v>2433</v>
      </c>
      <c r="C476" s="7" t="s">
        <v>2761</v>
      </c>
      <c r="D476" s="7">
        <v>467</v>
      </c>
      <c r="E476" s="7">
        <v>94</v>
      </c>
      <c r="F476" s="7" t="s">
        <v>1800</v>
      </c>
      <c r="G476" s="7">
        <v>825</v>
      </c>
      <c r="H476" s="7" t="s">
        <v>1688</v>
      </c>
      <c r="I476" s="37">
        <v>3178121</v>
      </c>
      <c r="J476" s="122">
        <v>0.14644173454568599</v>
      </c>
      <c r="K476" s="123">
        <f t="shared" si="80"/>
        <v>3014185.4641369344</v>
      </c>
      <c r="L476" s="122">
        <f>IF(K479&gt;0, K476/K479, 0)</f>
        <v>0.13657767507186661</v>
      </c>
      <c r="M476" s="71"/>
      <c r="N476" s="10">
        <f>ROUND(M479*L476,0)</f>
        <v>1857103</v>
      </c>
      <c r="O476" s="70">
        <v>1993818</v>
      </c>
      <c r="P476" s="10">
        <f>N476-O476</f>
        <v>-136715</v>
      </c>
      <c r="Q476" s="46">
        <f t="shared" si="79"/>
        <v>-6.8569448164275775</v>
      </c>
      <c r="R476" s="10">
        <v>198</v>
      </c>
      <c r="S476" s="7">
        <f t="shared" si="72"/>
        <v>0</v>
      </c>
      <c r="T476" s="124">
        <f t="shared" si="73"/>
        <v>94</v>
      </c>
      <c r="U476" s="124">
        <f t="shared" si="74"/>
        <v>825</v>
      </c>
      <c r="V476" s="124">
        <f t="shared" si="75"/>
        <v>467</v>
      </c>
      <c r="W476" s="124">
        <f t="shared" si="76"/>
        <v>183.99999999093001</v>
      </c>
      <c r="X476" s="124">
        <f t="shared" si="77"/>
        <v>3014185.4641369344</v>
      </c>
      <c r="Y476" s="264">
        <f t="shared" si="78"/>
        <v>467</v>
      </c>
      <c r="Z476" s="10">
        <v>94</v>
      </c>
      <c r="AA476" s="7">
        <v>825</v>
      </c>
      <c r="AB476" s="7">
        <v>467</v>
      </c>
      <c r="AC476" s="109">
        <v>183.99999999093001</v>
      </c>
      <c r="AD476" s="109">
        <v>3014185.4641369344</v>
      </c>
      <c r="AE476" s="125"/>
      <c r="AF476" s="10"/>
      <c r="AI476" s="109"/>
      <c r="AJ476" s="109"/>
      <c r="AL476" s="10"/>
      <c r="AO476" s="109"/>
      <c r="AP476" s="109"/>
      <c r="AR476" s="10"/>
      <c r="AU476" s="109"/>
      <c r="AV476" s="109"/>
      <c r="AX476" s="10"/>
      <c r="BA476" s="109"/>
      <c r="BB476" s="109"/>
      <c r="BD476" s="10"/>
      <c r="BG476" s="109"/>
      <c r="BH476" s="109"/>
      <c r="BJ476" s="10"/>
      <c r="BM476" s="109"/>
      <c r="BN476" s="109"/>
      <c r="BP476" s="10"/>
      <c r="BS476" s="109"/>
      <c r="BT476" s="109"/>
      <c r="BV476" s="10"/>
      <c r="BY476" s="109"/>
      <c r="BZ476" s="109"/>
      <c r="CB476" s="10"/>
      <c r="CE476" s="109"/>
      <c r="CF476" s="109"/>
      <c r="CH476" s="10"/>
      <c r="CK476" s="109"/>
      <c r="CL476" s="109"/>
    </row>
    <row r="477" spans="1:90">
      <c r="A477" s="7" t="str">
        <f t="shared" si="71"/>
        <v>00940910</v>
      </c>
      <c r="B477" s="7" t="s">
        <v>2433</v>
      </c>
      <c r="C477" s="7" t="s">
        <v>2778</v>
      </c>
      <c r="D477" s="7">
        <v>468</v>
      </c>
      <c r="E477" s="7">
        <v>94</v>
      </c>
      <c r="F477" s="7" t="s">
        <v>1800</v>
      </c>
      <c r="G477" s="7">
        <v>910</v>
      </c>
      <c r="H477" s="7" t="s">
        <v>1705</v>
      </c>
      <c r="I477" s="37">
        <v>214501</v>
      </c>
      <c r="J477" s="122">
        <v>9.8837956458499195E-3</v>
      </c>
      <c r="K477" s="123">
        <f t="shared" si="80"/>
        <v>296725.50448764331</v>
      </c>
      <c r="L477" s="122">
        <f>IF(K479&gt;0, K477/K479, 0)</f>
        <v>1.344511809894653E-2</v>
      </c>
      <c r="M477" s="71"/>
      <c r="N477" s="10">
        <f>ROUND(M479*L477,0)</f>
        <v>182819</v>
      </c>
      <c r="O477" s="70">
        <v>134569</v>
      </c>
      <c r="P477" s="10">
        <f>N477-O477</f>
        <v>48250</v>
      </c>
      <c r="Q477" s="46">
        <f t="shared" si="79"/>
        <v>35.855211824417211</v>
      </c>
      <c r="R477" s="10">
        <v>14</v>
      </c>
      <c r="S477" s="7">
        <f t="shared" si="72"/>
        <v>0</v>
      </c>
      <c r="T477" s="124">
        <f t="shared" si="73"/>
        <v>94</v>
      </c>
      <c r="U477" s="124">
        <f t="shared" si="74"/>
        <v>910</v>
      </c>
      <c r="V477" s="124">
        <f t="shared" si="75"/>
        <v>468</v>
      </c>
      <c r="W477" s="124">
        <f t="shared" si="76"/>
        <v>18.9999999982</v>
      </c>
      <c r="X477" s="124">
        <f t="shared" si="77"/>
        <v>296725.50448764331</v>
      </c>
      <c r="Y477" s="264">
        <f t="shared" si="78"/>
        <v>468</v>
      </c>
      <c r="Z477" s="10">
        <v>94</v>
      </c>
      <c r="AA477" s="7">
        <v>910</v>
      </c>
      <c r="AB477" s="7">
        <v>468</v>
      </c>
      <c r="AC477" s="109">
        <v>18.9999999982</v>
      </c>
      <c r="AD477" s="109">
        <v>296725.50448764331</v>
      </c>
      <c r="AE477" s="125"/>
      <c r="AF477" s="10"/>
      <c r="AI477" s="109"/>
      <c r="AJ477" s="109"/>
      <c r="AL477" s="10"/>
      <c r="AO477" s="109"/>
      <c r="AP477" s="109"/>
      <c r="AR477" s="10"/>
      <c r="AU477" s="109"/>
      <c r="AV477" s="109"/>
      <c r="AX477" s="10"/>
      <c r="BA477" s="109"/>
      <c r="BB477" s="109"/>
      <c r="BD477" s="10"/>
      <c r="BG477" s="109"/>
      <c r="BH477" s="109"/>
      <c r="BJ477" s="10"/>
      <c r="BM477" s="109"/>
      <c r="BN477" s="109"/>
      <c r="BP477" s="10"/>
      <c r="BS477" s="109"/>
      <c r="BT477" s="109"/>
      <c r="BV477" s="10"/>
      <c r="BY477" s="109"/>
      <c r="BZ477" s="109"/>
      <c r="CB477" s="10"/>
      <c r="CE477" s="109"/>
      <c r="CF477" s="109"/>
      <c r="CH477" s="10"/>
      <c r="CK477" s="109"/>
      <c r="CL477" s="109"/>
    </row>
    <row r="478" spans="1:90">
      <c r="A478" s="7" t="str">
        <f t="shared" si="71"/>
        <v>00940998</v>
      </c>
      <c r="B478" s="7" t="s">
        <v>2433</v>
      </c>
      <c r="C478" s="7" t="s">
        <v>2781</v>
      </c>
      <c r="D478" s="7">
        <v>469</v>
      </c>
      <c r="E478" s="7">
        <v>94</v>
      </c>
      <c r="F478" s="7" t="s">
        <v>2135</v>
      </c>
      <c r="G478" s="7">
        <v>998</v>
      </c>
      <c r="H478" s="7" t="s">
        <v>2135</v>
      </c>
      <c r="I478" s="37">
        <v>0</v>
      </c>
      <c r="J478" s="122">
        <v>0</v>
      </c>
      <c r="K478" s="123">
        <f t="shared" si="80"/>
        <v>0</v>
      </c>
      <c r="L478" s="122">
        <f>IF(K479&gt;0, K478/K479, 0)</f>
        <v>0</v>
      </c>
      <c r="M478" s="71"/>
      <c r="N478" s="10">
        <f>ROUND(M479*L478,0)</f>
        <v>0</v>
      </c>
      <c r="O478" s="70">
        <v>0</v>
      </c>
      <c r="P478" s="10">
        <f>N478-O478</f>
        <v>0</v>
      </c>
      <c r="Q478" s="46">
        <f t="shared" si="79"/>
        <v>0</v>
      </c>
      <c r="R478" s="10">
        <v>0</v>
      </c>
      <c r="S478" s="7">
        <f t="shared" si="72"/>
        <v>0</v>
      </c>
      <c r="T478" s="124">
        <f t="shared" si="73"/>
        <v>94</v>
      </c>
      <c r="U478" s="124">
        <f t="shared" si="74"/>
        <v>998</v>
      </c>
      <c r="V478" s="124">
        <f t="shared" si="75"/>
        <v>469</v>
      </c>
      <c r="W478" s="124">
        <f t="shared" si="76"/>
        <v>0</v>
      </c>
      <c r="X478" s="124">
        <f t="shared" si="77"/>
        <v>0</v>
      </c>
      <c r="Y478" s="264">
        <f t="shared" si="78"/>
        <v>469</v>
      </c>
      <c r="Z478" s="10">
        <v>94</v>
      </c>
      <c r="AA478" s="7">
        <v>998</v>
      </c>
      <c r="AB478" s="7">
        <v>469</v>
      </c>
      <c r="AC478" s="109">
        <v>0</v>
      </c>
      <c r="AD478" s="109">
        <v>0</v>
      </c>
      <c r="AE478" s="125"/>
      <c r="AF478" s="10"/>
      <c r="AI478" s="109"/>
      <c r="AJ478" s="109"/>
      <c r="AL478" s="10"/>
      <c r="AO478" s="109"/>
      <c r="AP478" s="109"/>
      <c r="AR478" s="10"/>
      <c r="AU478" s="109"/>
      <c r="AV478" s="109"/>
      <c r="AX478" s="10"/>
      <c r="BA478" s="109"/>
      <c r="BB478" s="109"/>
      <c r="BD478" s="10"/>
      <c r="BG478" s="109"/>
      <c r="BH478" s="109"/>
      <c r="BJ478" s="10"/>
      <c r="BM478" s="109"/>
      <c r="BN478" s="109"/>
      <c r="BP478" s="10"/>
      <c r="BS478" s="109"/>
      <c r="BT478" s="109"/>
      <c r="BV478" s="10"/>
      <c r="BY478" s="109"/>
      <c r="BZ478" s="109"/>
      <c r="CB478" s="10"/>
      <c r="CE478" s="109"/>
      <c r="CF478" s="109"/>
      <c r="CH478" s="10"/>
      <c r="CK478" s="109"/>
      <c r="CL478" s="109"/>
    </row>
    <row r="479" spans="1:90">
      <c r="A479" s="7" t="str">
        <f t="shared" si="71"/>
        <v>00940999</v>
      </c>
      <c r="B479" s="7" t="s">
        <v>2433</v>
      </c>
      <c r="C479" s="7" t="s">
        <v>2782</v>
      </c>
      <c r="D479" s="7">
        <v>470</v>
      </c>
      <c r="E479" s="11">
        <v>94</v>
      </c>
      <c r="F479" s="11" t="s">
        <v>1800</v>
      </c>
      <c r="G479" s="11">
        <v>999</v>
      </c>
      <c r="H479" s="11" t="s">
        <v>1132</v>
      </c>
      <c r="I479" s="105">
        <v>21702290.060000002</v>
      </c>
      <c r="J479" s="126">
        <v>1</v>
      </c>
      <c r="K479" s="127">
        <f>SUM(K475:K478)</f>
        <v>22069386.248893771</v>
      </c>
      <c r="L479" s="126">
        <f>SUM(L475:L478)</f>
        <v>0.99999999999999989</v>
      </c>
      <c r="M479" s="105">
        <f>VLOOKUP(E479,town351,22)</f>
        <v>13597411</v>
      </c>
      <c r="N479" s="105">
        <f>SUM(N475:N478)</f>
        <v>13597411</v>
      </c>
      <c r="O479" s="128">
        <v>13615096</v>
      </c>
      <c r="P479" s="105">
        <f>SUM(P475:P478)</f>
        <v>-17685</v>
      </c>
      <c r="Q479" s="45">
        <f t="shared" si="79"/>
        <v>-0.1298925839377115</v>
      </c>
      <c r="R479" s="105">
        <v>2006</v>
      </c>
      <c r="S479" s="7">
        <f t="shared" si="72"/>
        <v>0</v>
      </c>
      <c r="T479" s="124">
        <f t="shared" si="73"/>
        <v>94</v>
      </c>
      <c r="U479" s="124">
        <f t="shared" si="74"/>
        <v>999</v>
      </c>
      <c r="V479" s="124">
        <f t="shared" si="75"/>
        <v>470</v>
      </c>
      <c r="W479" s="124">
        <f t="shared" si="76"/>
        <v>2003.9999999891302</v>
      </c>
      <c r="X479" s="124">
        <f t="shared" si="77"/>
        <v>22069386.248893771</v>
      </c>
      <c r="Y479" s="264">
        <f t="shared" si="78"/>
        <v>470</v>
      </c>
      <c r="Z479" s="10">
        <v>94</v>
      </c>
      <c r="AA479" s="7">
        <v>999</v>
      </c>
      <c r="AB479" s="7">
        <v>470</v>
      </c>
      <c r="AC479" s="109">
        <v>2003.9999999891302</v>
      </c>
      <c r="AD479" s="109">
        <v>22069386.248893771</v>
      </c>
      <c r="AE479" s="125"/>
      <c r="AF479" s="10"/>
      <c r="AI479" s="109"/>
      <c r="AJ479" s="109"/>
      <c r="AL479" s="10"/>
      <c r="AO479" s="109"/>
      <c r="AP479" s="109"/>
      <c r="AR479" s="10"/>
      <c r="AU479" s="109"/>
      <c r="AV479" s="109"/>
      <c r="AX479" s="10"/>
      <c r="BA479" s="109"/>
      <c r="BB479" s="109"/>
      <c r="BD479" s="10"/>
      <c r="BG479" s="109"/>
      <c r="BH479" s="109"/>
      <c r="BJ479" s="10"/>
      <c r="BM479" s="109"/>
      <c r="BN479" s="109"/>
      <c r="BP479" s="10"/>
      <c r="BS479" s="109"/>
      <c r="BT479" s="109"/>
      <c r="BV479" s="10"/>
      <c r="BY479" s="109"/>
      <c r="BZ479" s="109"/>
      <c r="CB479" s="10"/>
      <c r="CE479" s="109"/>
      <c r="CF479" s="109"/>
      <c r="CH479" s="10"/>
      <c r="CK479" s="109"/>
      <c r="CL479" s="109"/>
    </row>
    <row r="480" spans="1:90">
      <c r="A480" s="7" t="str">
        <f t="shared" si="71"/>
        <v>00950095</v>
      </c>
      <c r="B480" s="7" t="s">
        <v>2434</v>
      </c>
      <c r="C480" s="7" t="s">
        <v>2434</v>
      </c>
      <c r="D480" s="7">
        <v>471</v>
      </c>
      <c r="E480" s="7">
        <v>95</v>
      </c>
      <c r="F480" s="7" t="s">
        <v>1801</v>
      </c>
      <c r="G480" s="7">
        <v>95</v>
      </c>
      <c r="H480" s="7" t="s">
        <v>1361</v>
      </c>
      <c r="I480" s="37">
        <v>133322500.97999999</v>
      </c>
      <c r="J480" s="122">
        <v>0.87859526585592951</v>
      </c>
      <c r="K480" s="123">
        <f>X480</f>
        <v>140367627.0677751</v>
      </c>
      <c r="L480" s="122">
        <f>IF(K484&gt;0, K480/K484, 0)</f>
        <v>0.88472296558689423</v>
      </c>
      <c r="M480" s="71"/>
      <c r="N480" s="10">
        <f>ROUND(M484*L480,0)</f>
        <v>27932437</v>
      </c>
      <c r="O480" s="70">
        <v>26181193</v>
      </c>
      <c r="P480" s="10">
        <f>N480-O480</f>
        <v>1751244</v>
      </c>
      <c r="Q480" s="46">
        <f t="shared" si="79"/>
        <v>6.6889388883081073</v>
      </c>
      <c r="R480" s="10">
        <v>11443</v>
      </c>
      <c r="S480" s="7">
        <f t="shared" si="72"/>
        <v>0</v>
      </c>
      <c r="T480" s="124">
        <f t="shared" si="73"/>
        <v>95</v>
      </c>
      <c r="U480" s="124">
        <f t="shared" si="74"/>
        <v>95</v>
      </c>
      <c r="V480" s="124">
        <f t="shared" si="75"/>
        <v>471</v>
      </c>
      <c r="W480" s="124">
        <f t="shared" si="76"/>
        <v>11662</v>
      </c>
      <c r="X480" s="124">
        <f t="shared" si="77"/>
        <v>140367627.0677751</v>
      </c>
      <c r="Y480" s="264">
        <f t="shared" si="78"/>
        <v>471</v>
      </c>
      <c r="Z480" s="10">
        <v>95</v>
      </c>
      <c r="AA480" s="7">
        <v>95</v>
      </c>
      <c r="AB480" s="7">
        <v>471</v>
      </c>
      <c r="AC480" s="109">
        <v>11662</v>
      </c>
      <c r="AD480" s="109">
        <v>140367627.0677751</v>
      </c>
      <c r="AE480" s="125"/>
      <c r="AF480" s="10"/>
      <c r="AI480" s="109"/>
      <c r="AJ480" s="109"/>
      <c r="AL480" s="10"/>
      <c r="AO480" s="109"/>
      <c r="AP480" s="109"/>
      <c r="AR480" s="10"/>
      <c r="AU480" s="109"/>
      <c r="AV480" s="109"/>
      <c r="AX480" s="10"/>
      <c r="BA480" s="109"/>
      <c r="BB480" s="109"/>
      <c r="BD480" s="10"/>
      <c r="BG480" s="109"/>
      <c r="BH480" s="109"/>
      <c r="BJ480" s="10"/>
      <c r="BM480" s="109"/>
      <c r="BN480" s="109"/>
      <c r="BP480" s="10"/>
      <c r="BS480" s="109"/>
      <c r="BT480" s="109"/>
      <c r="BV480" s="10"/>
      <c r="BY480" s="109"/>
      <c r="BZ480" s="109"/>
      <c r="CB480" s="10"/>
      <c r="CE480" s="109"/>
      <c r="CF480" s="109"/>
      <c r="CH480" s="10"/>
      <c r="CK480" s="109"/>
      <c r="CL480" s="109"/>
    </row>
    <row r="481" spans="1:90">
      <c r="A481" s="7" t="str">
        <f t="shared" si="71"/>
        <v>00950821</v>
      </c>
      <c r="B481" s="7" t="s">
        <v>2434</v>
      </c>
      <c r="C481" s="7" t="s">
        <v>2759</v>
      </c>
      <c r="D481" s="7">
        <v>472</v>
      </c>
      <c r="E481" s="7">
        <v>95</v>
      </c>
      <c r="F481" s="7" t="s">
        <v>1801</v>
      </c>
      <c r="G481" s="7">
        <v>821</v>
      </c>
      <c r="H481" s="7" t="s">
        <v>1686</v>
      </c>
      <c r="I481" s="37">
        <v>17625853</v>
      </c>
      <c r="J481" s="122">
        <v>0.11615436920730748</v>
      </c>
      <c r="K481" s="123">
        <f t="shared" si="80"/>
        <v>17414966.7245882</v>
      </c>
      <c r="L481" s="122">
        <f>IF(K484&gt;0, K481/K484, 0)</f>
        <v>0.10976477502704692</v>
      </c>
      <c r="M481" s="71"/>
      <c r="N481" s="10">
        <f>ROUND(M484*L481,0)</f>
        <v>3465489</v>
      </c>
      <c r="O481" s="70">
        <v>3461275</v>
      </c>
      <c r="P481" s="10">
        <f>N481-O481</f>
        <v>4214</v>
      </c>
      <c r="Q481" s="46">
        <f t="shared" si="79"/>
        <v>0.12174704408057724</v>
      </c>
      <c r="R481" s="10">
        <v>1118</v>
      </c>
      <c r="S481" s="7">
        <f t="shared" si="72"/>
        <v>0</v>
      </c>
      <c r="T481" s="124">
        <f t="shared" si="73"/>
        <v>95</v>
      </c>
      <c r="U481" s="124">
        <f t="shared" si="74"/>
        <v>821</v>
      </c>
      <c r="V481" s="124">
        <f t="shared" si="75"/>
        <v>472</v>
      </c>
      <c r="W481" s="124">
        <f t="shared" si="76"/>
        <v>1074.99999999337</v>
      </c>
      <c r="X481" s="124">
        <f t="shared" si="77"/>
        <v>17414966.7245882</v>
      </c>
      <c r="Y481" s="264">
        <f t="shared" si="78"/>
        <v>472</v>
      </c>
      <c r="Z481" s="10">
        <v>95</v>
      </c>
      <c r="AA481" s="7">
        <v>821</v>
      </c>
      <c r="AB481" s="7">
        <v>472</v>
      </c>
      <c r="AC481" s="109">
        <v>1074.99999999337</v>
      </c>
      <c r="AD481" s="109">
        <v>17414966.7245882</v>
      </c>
      <c r="AE481" s="125"/>
      <c r="AF481" s="10"/>
      <c r="AI481" s="109"/>
      <c r="AJ481" s="109"/>
      <c r="AL481" s="10"/>
      <c r="AO481" s="109"/>
      <c r="AP481" s="109"/>
      <c r="AR481" s="10"/>
      <c r="AU481" s="109"/>
      <c r="AV481" s="109"/>
      <c r="AX481" s="10"/>
      <c r="BA481" s="109"/>
      <c r="BB481" s="109"/>
      <c r="BD481" s="10"/>
      <c r="BG481" s="109"/>
      <c r="BH481" s="109"/>
      <c r="BJ481" s="10"/>
      <c r="BM481" s="109"/>
      <c r="BN481" s="109"/>
      <c r="BP481" s="10"/>
      <c r="BS481" s="109"/>
      <c r="BT481" s="109"/>
      <c r="BV481" s="10"/>
      <c r="BY481" s="109"/>
      <c r="BZ481" s="109"/>
      <c r="CB481" s="10"/>
      <c r="CE481" s="109"/>
      <c r="CF481" s="109"/>
      <c r="CH481" s="10"/>
      <c r="CK481" s="109"/>
      <c r="CL481" s="109"/>
    </row>
    <row r="482" spans="1:90">
      <c r="A482" s="7" t="str">
        <f t="shared" si="71"/>
        <v>00950910</v>
      </c>
      <c r="B482" s="7" t="s">
        <v>2434</v>
      </c>
      <c r="C482" s="7" t="s">
        <v>2778</v>
      </c>
      <c r="D482" s="7">
        <v>473</v>
      </c>
      <c r="E482" s="7">
        <v>95</v>
      </c>
      <c r="F482" s="7" t="s">
        <v>1801</v>
      </c>
      <c r="G482" s="7">
        <v>910</v>
      </c>
      <c r="H482" s="7" t="s">
        <v>1705</v>
      </c>
      <c r="I482" s="37">
        <v>796717</v>
      </c>
      <c r="J482" s="122">
        <v>5.2503649367629697E-3</v>
      </c>
      <c r="K482" s="123">
        <f t="shared" si="80"/>
        <v>874559.38174938445</v>
      </c>
      <c r="L482" s="122">
        <f>IF(K484&gt;0, K482/K484, 0)</f>
        <v>5.512259386058883E-3</v>
      </c>
      <c r="M482" s="71"/>
      <c r="N482" s="10">
        <f>ROUND(M484*L482,0)</f>
        <v>174033</v>
      </c>
      <c r="O482" s="70">
        <v>156455</v>
      </c>
      <c r="P482" s="10">
        <f>N482-O482</f>
        <v>17578</v>
      </c>
      <c r="Q482" s="46">
        <f t="shared" si="79"/>
        <v>11.235179444568725</v>
      </c>
      <c r="R482" s="10">
        <v>52</v>
      </c>
      <c r="S482" s="7">
        <f t="shared" si="72"/>
        <v>0</v>
      </c>
      <c r="T482" s="124">
        <f t="shared" si="73"/>
        <v>95</v>
      </c>
      <c r="U482" s="124">
        <f t="shared" si="74"/>
        <v>910</v>
      </c>
      <c r="V482" s="124">
        <f t="shared" si="75"/>
        <v>473</v>
      </c>
      <c r="W482" s="124">
        <f t="shared" si="76"/>
        <v>56.000000001199993</v>
      </c>
      <c r="X482" s="124">
        <f t="shared" si="77"/>
        <v>874559.38174938445</v>
      </c>
      <c r="Y482" s="264">
        <f t="shared" si="78"/>
        <v>473</v>
      </c>
      <c r="Z482" s="10">
        <v>95</v>
      </c>
      <c r="AA482" s="7">
        <v>910</v>
      </c>
      <c r="AB482" s="7">
        <v>473</v>
      </c>
      <c r="AC482" s="109">
        <v>56.000000001199993</v>
      </c>
      <c r="AD482" s="109">
        <v>874559.38174938445</v>
      </c>
      <c r="AE482" s="125"/>
      <c r="AF482" s="10"/>
      <c r="AI482" s="109"/>
      <c r="AJ482" s="109"/>
      <c r="AL482" s="10"/>
      <c r="AO482" s="109"/>
      <c r="AP482" s="109"/>
      <c r="AR482" s="10"/>
      <c r="AU482" s="109"/>
      <c r="AV482" s="109"/>
      <c r="AX482" s="10"/>
      <c r="BA482" s="109"/>
      <c r="BB482" s="109"/>
      <c r="BD482" s="10"/>
      <c r="BG482" s="109"/>
      <c r="BH482" s="109"/>
      <c r="BJ482" s="10"/>
      <c r="BM482" s="109"/>
      <c r="BN482" s="109"/>
      <c r="BP482" s="10"/>
      <c r="BS482" s="109"/>
      <c r="BT482" s="109"/>
      <c r="BV482" s="10"/>
      <c r="BY482" s="109"/>
      <c r="BZ482" s="109"/>
      <c r="CB482" s="10"/>
      <c r="CE482" s="109"/>
      <c r="CF482" s="109"/>
      <c r="CH482" s="10"/>
      <c r="CK482" s="109"/>
      <c r="CL482" s="109"/>
    </row>
    <row r="483" spans="1:90">
      <c r="A483" s="7" t="str">
        <f t="shared" si="71"/>
        <v>00950998</v>
      </c>
      <c r="B483" s="7" t="s">
        <v>2434</v>
      </c>
      <c r="C483" s="7" t="s">
        <v>2781</v>
      </c>
      <c r="D483" s="7">
        <v>474</v>
      </c>
      <c r="E483" s="7">
        <v>95</v>
      </c>
      <c r="F483" s="7" t="s">
        <v>2135</v>
      </c>
      <c r="G483" s="7">
        <v>998</v>
      </c>
      <c r="H483" s="7" t="s">
        <v>2135</v>
      </c>
      <c r="I483" s="37">
        <v>0</v>
      </c>
      <c r="J483" s="122">
        <v>0</v>
      </c>
      <c r="K483" s="123">
        <f t="shared" si="80"/>
        <v>0</v>
      </c>
      <c r="L483" s="122">
        <f>IF(K484&gt;0, K483/K484, 0)</f>
        <v>0</v>
      </c>
      <c r="M483" s="71"/>
      <c r="N483" s="10">
        <f>ROUND(M484*L483,0)</f>
        <v>0</v>
      </c>
      <c r="O483" s="70">
        <v>0</v>
      </c>
      <c r="P483" s="10">
        <f>N483-O483</f>
        <v>0</v>
      </c>
      <c r="Q483" s="46">
        <f t="shared" si="79"/>
        <v>0</v>
      </c>
      <c r="R483" s="10">
        <v>0</v>
      </c>
      <c r="S483" s="7">
        <f t="shared" si="72"/>
        <v>0</v>
      </c>
      <c r="T483" s="124">
        <f t="shared" si="73"/>
        <v>95</v>
      </c>
      <c r="U483" s="124">
        <f t="shared" si="74"/>
        <v>998</v>
      </c>
      <c r="V483" s="124">
        <f t="shared" si="75"/>
        <v>474</v>
      </c>
      <c r="W483" s="124">
        <f t="shared" si="76"/>
        <v>0</v>
      </c>
      <c r="X483" s="124">
        <f t="shared" si="77"/>
        <v>0</v>
      </c>
      <c r="Y483" s="264">
        <f t="shared" si="78"/>
        <v>474</v>
      </c>
      <c r="Z483" s="10">
        <v>95</v>
      </c>
      <c r="AA483" s="7">
        <v>998</v>
      </c>
      <c r="AB483" s="7">
        <v>474</v>
      </c>
      <c r="AC483" s="109">
        <v>0</v>
      </c>
      <c r="AD483" s="109">
        <v>0</v>
      </c>
      <c r="AE483" s="125"/>
      <c r="AF483" s="10"/>
      <c r="AI483" s="109"/>
      <c r="AJ483" s="109"/>
      <c r="AL483" s="10"/>
      <c r="AO483" s="109"/>
      <c r="AP483" s="109"/>
      <c r="AR483" s="10"/>
      <c r="AU483" s="109"/>
      <c r="AV483" s="109"/>
      <c r="AX483" s="10"/>
      <c r="BA483" s="109"/>
      <c r="BB483" s="109"/>
      <c r="BD483" s="10"/>
      <c r="BG483" s="109"/>
      <c r="BH483" s="109"/>
      <c r="BJ483" s="10"/>
      <c r="BM483" s="109"/>
      <c r="BN483" s="109"/>
      <c r="BP483" s="10"/>
      <c r="BS483" s="109"/>
      <c r="BT483" s="109"/>
      <c r="BV483" s="10"/>
      <c r="BY483" s="109"/>
      <c r="BZ483" s="109"/>
      <c r="CB483" s="10"/>
      <c r="CE483" s="109"/>
      <c r="CF483" s="109"/>
      <c r="CH483" s="10"/>
      <c r="CK483" s="109"/>
      <c r="CL483" s="109"/>
    </row>
    <row r="484" spans="1:90">
      <c r="A484" s="7" t="str">
        <f t="shared" si="71"/>
        <v>00950999</v>
      </c>
      <c r="B484" s="7" t="s">
        <v>2434</v>
      </c>
      <c r="C484" s="7" t="s">
        <v>2782</v>
      </c>
      <c r="D484" s="7">
        <v>475</v>
      </c>
      <c r="E484" s="11">
        <v>95</v>
      </c>
      <c r="F484" s="11" t="s">
        <v>1801</v>
      </c>
      <c r="G484" s="11">
        <v>999</v>
      </c>
      <c r="H484" s="11" t="s">
        <v>1132</v>
      </c>
      <c r="I484" s="105">
        <v>151745070.97999999</v>
      </c>
      <c r="J484" s="126">
        <v>1</v>
      </c>
      <c r="K484" s="127">
        <f>SUM(K480:K483)</f>
        <v>158657153.17411268</v>
      </c>
      <c r="L484" s="126">
        <f>SUM(L480:L483)</f>
        <v>1</v>
      </c>
      <c r="M484" s="105">
        <f>VLOOKUP(E484,town351,22)</f>
        <v>31571959</v>
      </c>
      <c r="N484" s="105">
        <f>SUM(N480:N483)</f>
        <v>31571959</v>
      </c>
      <c r="O484" s="128">
        <v>29798923</v>
      </c>
      <c r="P484" s="105">
        <f>SUM(P480:P483)</f>
        <v>1773036</v>
      </c>
      <c r="Q484" s="45">
        <f t="shared" si="79"/>
        <v>5.9500002734998176</v>
      </c>
      <c r="R484" s="105">
        <v>12613</v>
      </c>
      <c r="S484" s="7">
        <f t="shared" si="72"/>
        <v>0</v>
      </c>
      <c r="T484" s="124">
        <f t="shared" si="73"/>
        <v>95</v>
      </c>
      <c r="U484" s="124">
        <f t="shared" si="74"/>
        <v>999</v>
      </c>
      <c r="V484" s="124">
        <f t="shared" si="75"/>
        <v>475</v>
      </c>
      <c r="W484" s="124">
        <f t="shared" si="76"/>
        <v>12792.99999999457</v>
      </c>
      <c r="X484" s="124">
        <f t="shared" si="77"/>
        <v>158657153.17411268</v>
      </c>
      <c r="Y484" s="264">
        <f t="shared" si="78"/>
        <v>475</v>
      </c>
      <c r="Z484" s="10">
        <v>95</v>
      </c>
      <c r="AA484" s="7">
        <v>999</v>
      </c>
      <c r="AB484" s="7">
        <v>475</v>
      </c>
      <c r="AC484" s="109">
        <v>12792.99999999457</v>
      </c>
      <c r="AD484" s="109">
        <v>158657153.17411268</v>
      </c>
      <c r="AE484" s="125"/>
      <c r="AF484" s="10"/>
      <c r="AI484" s="109"/>
      <c r="AJ484" s="109"/>
      <c r="AL484" s="10"/>
      <c r="AO484" s="109"/>
      <c r="AP484" s="109"/>
      <c r="AR484" s="10"/>
      <c r="AU484" s="109"/>
      <c r="AV484" s="109"/>
      <c r="AX484" s="10"/>
      <c r="BA484" s="109"/>
      <c r="BB484" s="109"/>
      <c r="BD484" s="10"/>
      <c r="BG484" s="109"/>
      <c r="BH484" s="109"/>
      <c r="BJ484" s="10"/>
      <c r="BM484" s="109"/>
      <c r="BN484" s="109"/>
      <c r="BP484" s="10"/>
      <c r="BS484" s="109"/>
      <c r="BT484" s="109"/>
      <c r="BV484" s="10"/>
      <c r="BY484" s="109"/>
      <c r="BZ484" s="109"/>
      <c r="CB484" s="10"/>
      <c r="CE484" s="109"/>
      <c r="CF484" s="109"/>
      <c r="CH484" s="10"/>
      <c r="CK484" s="109"/>
      <c r="CL484" s="109"/>
    </row>
    <row r="485" spans="1:90">
      <c r="A485" s="7" t="str">
        <f t="shared" si="71"/>
        <v>00960096</v>
      </c>
      <c r="B485" s="7" t="s">
        <v>2435</v>
      </c>
      <c r="C485" s="7" t="s">
        <v>2435</v>
      </c>
      <c r="D485" s="7">
        <v>476</v>
      </c>
      <c r="E485" s="7">
        <v>96</v>
      </c>
      <c r="F485" s="7" t="s">
        <v>1802</v>
      </c>
      <c r="G485" s="7">
        <v>96</v>
      </c>
      <c r="H485" s="7" t="s">
        <v>1362</v>
      </c>
      <c r="I485" s="37">
        <v>35716152.020000003</v>
      </c>
      <c r="J485" s="122">
        <v>0.94520541857675611</v>
      </c>
      <c r="K485" s="123">
        <f>X485</f>
        <v>35776347.341015682</v>
      </c>
      <c r="L485" s="122">
        <f>IF(K489&gt;0, K485/K489, 0)</f>
        <v>0.93699062867873339</v>
      </c>
      <c r="M485" s="71"/>
      <c r="N485" s="10">
        <f>ROUND(M489*L485,0)</f>
        <v>29665659</v>
      </c>
      <c r="O485" s="70">
        <v>29797870</v>
      </c>
      <c r="P485" s="10">
        <f>N485-O485</f>
        <v>-132211</v>
      </c>
      <c r="Q485" s="46">
        <f t="shared" si="79"/>
        <v>-0.44369278743749135</v>
      </c>
      <c r="R485" s="10">
        <v>3499</v>
      </c>
      <c r="S485" s="7">
        <f t="shared" si="72"/>
        <v>0</v>
      </c>
      <c r="T485" s="124">
        <f t="shared" si="73"/>
        <v>96</v>
      </c>
      <c r="U485" s="124">
        <f t="shared" si="74"/>
        <v>96</v>
      </c>
      <c r="V485" s="124">
        <f t="shared" si="75"/>
        <v>476</v>
      </c>
      <c r="W485" s="124">
        <f t="shared" si="76"/>
        <v>3442</v>
      </c>
      <c r="X485" s="124">
        <f t="shared" si="77"/>
        <v>35776347.341015682</v>
      </c>
      <c r="Y485" s="264">
        <f t="shared" si="78"/>
        <v>476</v>
      </c>
      <c r="Z485" s="10">
        <v>96</v>
      </c>
      <c r="AA485" s="7">
        <v>96</v>
      </c>
      <c r="AB485" s="7">
        <v>476</v>
      </c>
      <c r="AC485" s="109">
        <v>3442</v>
      </c>
      <c r="AD485" s="109">
        <v>35776347.341015682</v>
      </c>
      <c r="AE485" s="125"/>
      <c r="AF485" s="10"/>
      <c r="AI485" s="109"/>
      <c r="AJ485" s="109"/>
      <c r="AL485" s="10"/>
      <c r="AO485" s="109"/>
      <c r="AP485" s="109"/>
      <c r="AR485" s="10"/>
      <c r="AU485" s="109"/>
      <c r="AV485" s="109"/>
      <c r="AX485" s="10"/>
      <c r="BA485" s="109"/>
      <c r="BB485" s="109"/>
      <c r="BD485" s="10"/>
      <c r="BG485" s="109"/>
      <c r="BH485" s="109"/>
      <c r="BJ485" s="10"/>
      <c r="BM485" s="109"/>
      <c r="BN485" s="109"/>
      <c r="BP485" s="10"/>
      <c r="BS485" s="109"/>
      <c r="BT485" s="109"/>
      <c r="BV485" s="10"/>
      <c r="BY485" s="109"/>
      <c r="BZ485" s="109"/>
      <c r="CB485" s="10"/>
      <c r="CE485" s="109"/>
      <c r="CF485" s="109"/>
      <c r="CH485" s="10"/>
      <c r="CK485" s="109"/>
      <c r="CL485" s="109"/>
    </row>
    <row r="486" spans="1:90">
      <c r="A486" s="7" t="str">
        <f t="shared" si="71"/>
        <v>00960879</v>
      </c>
      <c r="B486" s="7" t="s">
        <v>2435</v>
      </c>
      <c r="C486" s="7" t="s">
        <v>2776</v>
      </c>
      <c r="D486" s="7">
        <v>477</v>
      </c>
      <c r="E486" s="7">
        <v>96</v>
      </c>
      <c r="F486" s="7" t="s">
        <v>1802</v>
      </c>
      <c r="G486" s="7">
        <v>879</v>
      </c>
      <c r="H486" s="7" t="s">
        <v>1703</v>
      </c>
      <c r="I486" s="37">
        <v>2070504</v>
      </c>
      <c r="J486" s="122">
        <v>5.4794581423243914E-2</v>
      </c>
      <c r="K486" s="123">
        <f t="shared" si="80"/>
        <v>2405835.3254903029</v>
      </c>
      <c r="L486" s="122">
        <f>IF(K489&gt;0, K486/K489, 0)</f>
        <v>6.300937132126655E-2</v>
      </c>
      <c r="M486" s="71"/>
      <c r="N486" s="10">
        <f>ROUND(M489*L486,0)</f>
        <v>1994913</v>
      </c>
      <c r="O486" s="70">
        <v>1727415</v>
      </c>
      <c r="P486" s="10">
        <f>N486-O486</f>
        <v>267498</v>
      </c>
      <c r="Q486" s="46">
        <f t="shared" si="79"/>
        <v>15.485450803657487</v>
      </c>
      <c r="R486" s="10">
        <v>133</v>
      </c>
      <c r="S486" s="7">
        <f t="shared" si="72"/>
        <v>0</v>
      </c>
      <c r="T486" s="124">
        <f t="shared" si="73"/>
        <v>96</v>
      </c>
      <c r="U486" s="124">
        <f t="shared" si="74"/>
        <v>879</v>
      </c>
      <c r="V486" s="124">
        <f t="shared" si="75"/>
        <v>477</v>
      </c>
      <c r="W486" s="124">
        <f t="shared" si="76"/>
        <v>152.79324324563999</v>
      </c>
      <c r="X486" s="124">
        <f t="shared" si="77"/>
        <v>2405835.3254903029</v>
      </c>
      <c r="Y486" s="264">
        <f t="shared" si="78"/>
        <v>477</v>
      </c>
      <c r="Z486" s="10">
        <v>96</v>
      </c>
      <c r="AA486" s="7">
        <v>879</v>
      </c>
      <c r="AB486" s="7">
        <v>477</v>
      </c>
      <c r="AC486" s="109">
        <v>152.79324324563999</v>
      </c>
      <c r="AD486" s="109">
        <v>2405835.3254903029</v>
      </c>
      <c r="AE486" s="125"/>
      <c r="AF486" s="10"/>
      <c r="AI486" s="109"/>
      <c r="AJ486" s="109"/>
      <c r="AL486" s="10"/>
      <c r="AO486" s="109"/>
      <c r="AP486" s="109"/>
      <c r="AR486" s="10"/>
      <c r="AU486" s="109"/>
      <c r="AV486" s="109"/>
      <c r="AX486" s="10"/>
      <c r="BA486" s="109"/>
      <c r="BB486" s="109"/>
      <c r="BD486" s="10"/>
      <c r="BG486" s="109"/>
      <c r="BH486" s="109"/>
      <c r="BJ486" s="10"/>
      <c r="BM486" s="109"/>
      <c r="BN486" s="109"/>
      <c r="BP486" s="10"/>
      <c r="BS486" s="109"/>
      <c r="BT486" s="109"/>
      <c r="BV486" s="10"/>
      <c r="BY486" s="109"/>
      <c r="BZ486" s="109"/>
      <c r="CB486" s="10"/>
      <c r="CE486" s="109"/>
      <c r="CF486" s="109"/>
      <c r="CH486" s="10"/>
      <c r="CK486" s="109"/>
      <c r="CL486" s="109"/>
    </row>
    <row r="487" spans="1:90">
      <c r="A487" s="7" t="str">
        <f t="shared" si="71"/>
        <v>00960998</v>
      </c>
      <c r="B487" s="7" t="s">
        <v>2435</v>
      </c>
      <c r="C487" s="7" t="s">
        <v>2781</v>
      </c>
      <c r="D487" s="7">
        <v>478</v>
      </c>
      <c r="E487" s="7">
        <v>96</v>
      </c>
      <c r="F487" s="7" t="s">
        <v>2135</v>
      </c>
      <c r="G487" s="7">
        <v>998</v>
      </c>
      <c r="H487" s="7" t="s">
        <v>2135</v>
      </c>
      <c r="I487" s="37">
        <v>0</v>
      </c>
      <c r="J487" s="122">
        <v>0</v>
      </c>
      <c r="K487" s="123">
        <f t="shared" si="80"/>
        <v>0</v>
      </c>
      <c r="L487" s="122">
        <f>IF(K489&gt;0, K487/K489, 0)</f>
        <v>0</v>
      </c>
      <c r="M487" s="71"/>
      <c r="N487" s="10">
        <f>ROUND(M489*L487,0)</f>
        <v>0</v>
      </c>
      <c r="O487" s="70">
        <v>0</v>
      </c>
      <c r="P487" s="10">
        <f>N487-O487</f>
        <v>0</v>
      </c>
      <c r="Q487" s="46">
        <f t="shared" si="79"/>
        <v>0</v>
      </c>
      <c r="R487" s="10">
        <v>0</v>
      </c>
      <c r="S487" s="7">
        <f t="shared" si="72"/>
        <v>0</v>
      </c>
      <c r="T487" s="124">
        <f t="shared" si="73"/>
        <v>96</v>
      </c>
      <c r="U487" s="124">
        <f t="shared" si="74"/>
        <v>998</v>
      </c>
      <c r="V487" s="124">
        <f t="shared" si="75"/>
        <v>478</v>
      </c>
      <c r="W487" s="124">
        <f t="shared" si="76"/>
        <v>0</v>
      </c>
      <c r="X487" s="124">
        <f t="shared" si="77"/>
        <v>0</v>
      </c>
      <c r="Y487" s="264">
        <f t="shared" si="78"/>
        <v>478</v>
      </c>
      <c r="Z487" s="10">
        <v>96</v>
      </c>
      <c r="AA487" s="7">
        <v>998</v>
      </c>
      <c r="AB487" s="7">
        <v>478</v>
      </c>
      <c r="AC487" s="109">
        <v>0</v>
      </c>
      <c r="AD487" s="109">
        <v>0</v>
      </c>
      <c r="AE487" s="125"/>
      <c r="AF487" s="10"/>
      <c r="AI487" s="109"/>
      <c r="AJ487" s="109"/>
      <c r="AL487" s="10"/>
      <c r="AO487" s="109"/>
      <c r="AP487" s="109"/>
      <c r="AR487" s="10"/>
      <c r="AU487" s="109"/>
      <c r="AV487" s="109"/>
      <c r="AX487" s="10"/>
      <c r="BA487" s="109"/>
      <c r="BB487" s="109"/>
      <c r="BD487" s="10"/>
      <c r="BG487" s="109"/>
      <c r="BH487" s="109"/>
      <c r="BJ487" s="10"/>
      <c r="BM487" s="109"/>
      <c r="BN487" s="109"/>
      <c r="BP487" s="10"/>
      <c r="BS487" s="109"/>
      <c r="BT487" s="109"/>
      <c r="BV487" s="10"/>
      <c r="BY487" s="109"/>
      <c r="BZ487" s="109"/>
      <c r="CB487" s="10"/>
      <c r="CE487" s="109"/>
      <c r="CF487" s="109"/>
      <c r="CH487" s="10"/>
      <c r="CK487" s="109"/>
      <c r="CL487" s="109"/>
    </row>
    <row r="488" spans="1:90">
      <c r="A488" s="7" t="str">
        <f t="shared" si="71"/>
        <v>00960998</v>
      </c>
      <c r="B488" s="7" t="s">
        <v>2435</v>
      </c>
      <c r="C488" s="7" t="s">
        <v>2781</v>
      </c>
      <c r="D488" s="7">
        <v>479</v>
      </c>
      <c r="E488" s="7">
        <v>96</v>
      </c>
      <c r="F488" s="7" t="s">
        <v>2135</v>
      </c>
      <c r="G488" s="7">
        <v>998</v>
      </c>
      <c r="H488" s="7" t="s">
        <v>2135</v>
      </c>
      <c r="I488" s="37">
        <v>0</v>
      </c>
      <c r="J488" s="122">
        <v>0</v>
      </c>
      <c r="K488" s="123">
        <f t="shared" si="80"/>
        <v>0</v>
      </c>
      <c r="L488" s="122">
        <f>IF(K489&gt;0, K488/K489, 0)</f>
        <v>0</v>
      </c>
      <c r="M488" s="71"/>
      <c r="N488" s="10">
        <f>ROUND(M489*L488,0)</f>
        <v>0</v>
      </c>
      <c r="O488" s="70">
        <v>0</v>
      </c>
      <c r="P488" s="10">
        <f>N488-O488</f>
        <v>0</v>
      </c>
      <c r="Q488" s="46">
        <f t="shared" si="79"/>
        <v>0</v>
      </c>
      <c r="R488" s="10">
        <v>0</v>
      </c>
      <c r="S488" s="7">
        <f t="shared" si="72"/>
        <v>0</v>
      </c>
      <c r="T488" s="124">
        <f t="shared" si="73"/>
        <v>96</v>
      </c>
      <c r="U488" s="124">
        <f t="shared" si="74"/>
        <v>998</v>
      </c>
      <c r="V488" s="124">
        <f t="shared" si="75"/>
        <v>479</v>
      </c>
      <c r="W488" s="124">
        <f t="shared" si="76"/>
        <v>0</v>
      </c>
      <c r="X488" s="124">
        <f t="shared" si="77"/>
        <v>0</v>
      </c>
      <c r="Y488" s="264">
        <f t="shared" si="78"/>
        <v>479</v>
      </c>
      <c r="Z488" s="10">
        <v>96</v>
      </c>
      <c r="AA488" s="7">
        <v>998</v>
      </c>
      <c r="AB488" s="7">
        <v>479</v>
      </c>
      <c r="AC488" s="109">
        <v>0</v>
      </c>
      <c r="AD488" s="109">
        <v>0</v>
      </c>
      <c r="AE488" s="125"/>
      <c r="AF488" s="10"/>
      <c r="AI488" s="109"/>
      <c r="AJ488" s="109"/>
      <c r="AL488" s="10"/>
      <c r="AO488" s="109"/>
      <c r="AP488" s="109"/>
      <c r="AR488" s="10"/>
      <c r="AU488" s="109"/>
      <c r="AV488" s="109"/>
      <c r="AX488" s="10"/>
      <c r="BA488" s="109"/>
      <c r="BB488" s="109"/>
      <c r="BD488" s="10"/>
      <c r="BG488" s="109"/>
      <c r="BH488" s="109"/>
      <c r="BJ488" s="10"/>
      <c r="BM488" s="109"/>
      <c r="BN488" s="109"/>
      <c r="BP488" s="10"/>
      <c r="BS488" s="109"/>
      <c r="BT488" s="109"/>
      <c r="BV488" s="10"/>
      <c r="BY488" s="109"/>
      <c r="BZ488" s="109"/>
      <c r="CB488" s="10"/>
      <c r="CE488" s="109"/>
      <c r="CF488" s="109"/>
      <c r="CH488" s="10"/>
      <c r="CK488" s="109"/>
      <c r="CL488" s="109"/>
    </row>
    <row r="489" spans="1:90">
      <c r="A489" s="7" t="str">
        <f t="shared" si="71"/>
        <v>00960999</v>
      </c>
      <c r="B489" s="7" t="s">
        <v>2435</v>
      </c>
      <c r="C489" s="7" t="s">
        <v>2782</v>
      </c>
      <c r="D489" s="7">
        <v>480</v>
      </c>
      <c r="E489" s="11">
        <v>96</v>
      </c>
      <c r="F489" s="11" t="s">
        <v>1802</v>
      </c>
      <c r="G489" s="11">
        <v>999</v>
      </c>
      <c r="H489" s="11" t="s">
        <v>1132</v>
      </c>
      <c r="I489" s="105">
        <v>37786656.020000003</v>
      </c>
      <c r="J489" s="126">
        <v>1</v>
      </c>
      <c r="K489" s="127">
        <f>SUM(K485:K488)</f>
        <v>38182182.666505985</v>
      </c>
      <c r="L489" s="126">
        <f>SUM(L485:L488)</f>
        <v>1</v>
      </c>
      <c r="M489" s="105">
        <f>VLOOKUP(E489,town351,22)</f>
        <v>31660572</v>
      </c>
      <c r="N489" s="105">
        <f>SUM(N485:N488)</f>
        <v>31660572</v>
      </c>
      <c r="O489" s="128">
        <v>31525285</v>
      </c>
      <c r="P489" s="105">
        <f>SUM(P485:P488)</f>
        <v>135287</v>
      </c>
      <c r="Q489" s="45">
        <f t="shared" si="79"/>
        <v>0.42913807123393177</v>
      </c>
      <c r="R489" s="105">
        <v>3632</v>
      </c>
      <c r="S489" s="7">
        <f t="shared" si="72"/>
        <v>0</v>
      </c>
      <c r="T489" s="124">
        <f t="shared" si="73"/>
        <v>96</v>
      </c>
      <c r="U489" s="124">
        <f t="shared" si="74"/>
        <v>999</v>
      </c>
      <c r="V489" s="124">
        <f t="shared" si="75"/>
        <v>480</v>
      </c>
      <c r="W489" s="124">
        <f t="shared" si="76"/>
        <v>3594.79324324564</v>
      </c>
      <c r="X489" s="124">
        <f t="shared" si="77"/>
        <v>38182182.666505985</v>
      </c>
      <c r="Y489" s="264">
        <f t="shared" si="78"/>
        <v>480</v>
      </c>
      <c r="Z489" s="10">
        <v>96</v>
      </c>
      <c r="AA489" s="7">
        <v>999</v>
      </c>
      <c r="AB489" s="7">
        <v>480</v>
      </c>
      <c r="AC489" s="109">
        <v>3594.79324324564</v>
      </c>
      <c r="AD489" s="109">
        <v>38182182.666505985</v>
      </c>
      <c r="AE489" s="125"/>
      <c r="AF489" s="10"/>
      <c r="AI489" s="109"/>
      <c r="AJ489" s="109"/>
      <c r="AL489" s="10"/>
      <c r="AO489" s="109"/>
      <c r="AP489" s="109"/>
      <c r="AR489" s="10"/>
      <c r="AU489" s="109"/>
      <c r="AV489" s="109"/>
      <c r="AX489" s="10"/>
      <c r="BA489" s="109"/>
      <c r="BB489" s="109"/>
      <c r="BD489" s="10"/>
      <c r="BG489" s="109"/>
      <c r="BH489" s="109"/>
      <c r="BJ489" s="10"/>
      <c r="BM489" s="109"/>
      <c r="BN489" s="109"/>
      <c r="BP489" s="10"/>
      <c r="BS489" s="109"/>
      <c r="BT489" s="109"/>
      <c r="BV489" s="10"/>
      <c r="BY489" s="109"/>
      <c r="BZ489" s="109"/>
      <c r="CB489" s="10"/>
      <c r="CE489" s="109"/>
      <c r="CF489" s="109"/>
      <c r="CH489" s="10"/>
      <c r="CK489" s="109"/>
      <c r="CL489" s="109"/>
    </row>
    <row r="490" spans="1:90">
      <c r="A490" s="7" t="str">
        <f t="shared" si="71"/>
        <v>00970097</v>
      </c>
      <c r="B490" s="7" t="s">
        <v>2436</v>
      </c>
      <c r="C490" s="7" t="s">
        <v>2436</v>
      </c>
      <c r="D490" s="7">
        <v>481</v>
      </c>
      <c r="E490" s="7">
        <v>97</v>
      </c>
      <c r="F490" s="7" t="s">
        <v>1803</v>
      </c>
      <c r="G490" s="7">
        <v>97</v>
      </c>
      <c r="H490" s="7" t="s">
        <v>1363</v>
      </c>
      <c r="I490" s="37">
        <v>64368039</v>
      </c>
      <c r="J490" s="122">
        <v>0.90950331622754677</v>
      </c>
      <c r="K490" s="123">
        <f>X490</f>
        <v>66887262.052477211</v>
      </c>
      <c r="L490" s="122">
        <f>IF(K494&gt;0, K490/K494, 0)</f>
        <v>0.91500082898167179</v>
      </c>
      <c r="M490" s="71"/>
      <c r="N490" s="10">
        <f>ROUND(M494*L490,0)</f>
        <v>17058113</v>
      </c>
      <c r="O490" s="70">
        <v>16963311</v>
      </c>
      <c r="P490" s="10">
        <f>N490-O490</f>
        <v>94802</v>
      </c>
      <c r="Q490" s="46">
        <f t="shared" si="79"/>
        <v>0.55886495272060976</v>
      </c>
      <c r="R490" s="10">
        <v>5646</v>
      </c>
      <c r="S490" s="7">
        <f t="shared" si="72"/>
        <v>0</v>
      </c>
      <c r="T490" s="124">
        <f t="shared" si="73"/>
        <v>97</v>
      </c>
      <c r="U490" s="124">
        <f t="shared" si="74"/>
        <v>97</v>
      </c>
      <c r="V490" s="124">
        <f t="shared" si="75"/>
        <v>481</v>
      </c>
      <c r="W490" s="124">
        <f t="shared" si="76"/>
        <v>5757</v>
      </c>
      <c r="X490" s="124">
        <f t="shared" si="77"/>
        <v>66887262.052477211</v>
      </c>
      <c r="Y490" s="264">
        <f t="shared" si="78"/>
        <v>481</v>
      </c>
      <c r="Z490" s="10">
        <v>97</v>
      </c>
      <c r="AA490" s="7">
        <v>97</v>
      </c>
      <c r="AB490" s="7">
        <v>481</v>
      </c>
      <c r="AC490" s="109">
        <v>5757</v>
      </c>
      <c r="AD490" s="109">
        <v>66887262.052477211</v>
      </c>
      <c r="AE490" s="125"/>
      <c r="AF490" s="10"/>
      <c r="AI490" s="109"/>
      <c r="AJ490" s="109"/>
      <c r="AL490" s="10"/>
      <c r="AO490" s="109"/>
      <c r="AP490" s="109"/>
      <c r="AR490" s="10"/>
      <c r="AU490" s="109"/>
      <c r="AV490" s="109"/>
      <c r="AX490" s="10"/>
      <c r="BA490" s="109"/>
      <c r="BB490" s="109"/>
      <c r="BD490" s="10"/>
      <c r="BG490" s="109"/>
      <c r="BH490" s="109"/>
      <c r="BJ490" s="10"/>
      <c r="BM490" s="109"/>
      <c r="BN490" s="109"/>
      <c r="BP490" s="10"/>
      <c r="BS490" s="109"/>
      <c r="BT490" s="109"/>
      <c r="BV490" s="10"/>
      <c r="BY490" s="109"/>
      <c r="BZ490" s="109"/>
      <c r="CB490" s="10"/>
      <c r="CE490" s="109"/>
      <c r="CF490" s="109"/>
      <c r="CH490" s="10"/>
      <c r="CK490" s="109"/>
      <c r="CL490" s="109"/>
    </row>
    <row r="491" spans="1:90">
      <c r="A491" s="7" t="str">
        <f t="shared" si="71"/>
        <v>00970832</v>
      </c>
      <c r="B491" s="7" t="s">
        <v>2436</v>
      </c>
      <c r="C491" s="7" t="s">
        <v>2765</v>
      </c>
      <c r="D491" s="7">
        <v>482</v>
      </c>
      <c r="E491" s="7">
        <v>97</v>
      </c>
      <c r="F491" s="7" t="s">
        <v>1803</v>
      </c>
      <c r="G491" s="7">
        <v>832</v>
      </c>
      <c r="H491" s="7" t="s">
        <v>1692</v>
      </c>
      <c r="I491" s="37">
        <v>6404698</v>
      </c>
      <c r="J491" s="122">
        <v>9.0496683772453221E-2</v>
      </c>
      <c r="K491" s="123">
        <f t="shared" si="80"/>
        <v>6213504.5631309738</v>
      </c>
      <c r="L491" s="122">
        <f>IF(K494&gt;0, K491/K494, 0)</f>
        <v>8.4999171018328157E-2</v>
      </c>
      <c r="M491" s="71"/>
      <c r="N491" s="10">
        <f>ROUND(M494*L491,0)</f>
        <v>1584617</v>
      </c>
      <c r="O491" s="70">
        <v>1687870</v>
      </c>
      <c r="P491" s="10">
        <f>N491-O491</f>
        <v>-103253</v>
      </c>
      <c r="Q491" s="46">
        <f t="shared" si="79"/>
        <v>-6.1173550095682723</v>
      </c>
      <c r="R491" s="10">
        <v>418</v>
      </c>
      <c r="S491" s="7">
        <f t="shared" si="72"/>
        <v>0</v>
      </c>
      <c r="T491" s="124">
        <f t="shared" si="73"/>
        <v>97</v>
      </c>
      <c r="U491" s="124">
        <f t="shared" si="74"/>
        <v>832</v>
      </c>
      <c r="V491" s="124">
        <f t="shared" si="75"/>
        <v>482</v>
      </c>
      <c r="W491" s="124">
        <f t="shared" si="76"/>
        <v>398.26622074184002</v>
      </c>
      <c r="X491" s="124">
        <f t="shared" si="77"/>
        <v>6213504.5631309738</v>
      </c>
      <c r="Y491" s="264">
        <f t="shared" si="78"/>
        <v>482</v>
      </c>
      <c r="Z491" s="10">
        <v>97</v>
      </c>
      <c r="AA491" s="7">
        <v>832</v>
      </c>
      <c r="AB491" s="7">
        <v>482</v>
      </c>
      <c r="AC491" s="109">
        <v>398.26622074184002</v>
      </c>
      <c r="AD491" s="109">
        <v>6213504.5631309738</v>
      </c>
      <c r="AE491" s="125"/>
      <c r="AF491" s="10"/>
      <c r="AI491" s="109"/>
      <c r="AJ491" s="109"/>
      <c r="AL491" s="10"/>
      <c r="AO491" s="109"/>
      <c r="AP491" s="109"/>
      <c r="AR491" s="10"/>
      <c r="AU491" s="109"/>
      <c r="AV491" s="109"/>
      <c r="AX491" s="10"/>
      <c r="BA491" s="109"/>
      <c r="BB491" s="109"/>
      <c r="BD491" s="10"/>
      <c r="BG491" s="109"/>
      <c r="BH491" s="109"/>
      <c r="BJ491" s="10"/>
      <c r="BM491" s="109"/>
      <c r="BN491" s="109"/>
      <c r="BP491" s="10"/>
      <c r="BS491" s="109"/>
      <c r="BT491" s="109"/>
      <c r="BV491" s="10"/>
      <c r="BY491" s="109"/>
      <c r="BZ491" s="109"/>
      <c r="CB491" s="10"/>
      <c r="CE491" s="109"/>
      <c r="CF491" s="109"/>
      <c r="CH491" s="10"/>
      <c r="CK491" s="109"/>
      <c r="CL491" s="109"/>
    </row>
    <row r="492" spans="1:90">
      <c r="A492" s="7" t="str">
        <f t="shared" si="71"/>
        <v>00970998</v>
      </c>
      <c r="B492" s="7" t="s">
        <v>2436</v>
      </c>
      <c r="C492" s="7" t="s">
        <v>2781</v>
      </c>
      <c r="D492" s="7">
        <v>483</v>
      </c>
      <c r="E492" s="7">
        <v>97</v>
      </c>
      <c r="F492" s="7" t="s">
        <v>2135</v>
      </c>
      <c r="G492" s="7">
        <v>998</v>
      </c>
      <c r="H492" s="7" t="s">
        <v>2135</v>
      </c>
      <c r="I492" s="37">
        <v>0</v>
      </c>
      <c r="J492" s="122">
        <v>0</v>
      </c>
      <c r="K492" s="123">
        <f t="shared" si="80"/>
        <v>0</v>
      </c>
      <c r="L492" s="122">
        <f>IF(K494&gt;0, K492/K494, 0)</f>
        <v>0</v>
      </c>
      <c r="M492" s="71"/>
      <c r="N492" s="10">
        <f>ROUND(M494*L492,0)</f>
        <v>0</v>
      </c>
      <c r="O492" s="70">
        <v>0</v>
      </c>
      <c r="P492" s="10">
        <f>N492-O492</f>
        <v>0</v>
      </c>
      <c r="Q492" s="46">
        <f t="shared" si="79"/>
        <v>0</v>
      </c>
      <c r="R492" s="10">
        <v>0</v>
      </c>
      <c r="S492" s="7">
        <f t="shared" si="72"/>
        <v>0</v>
      </c>
      <c r="T492" s="124">
        <f t="shared" si="73"/>
        <v>97</v>
      </c>
      <c r="U492" s="124">
        <f t="shared" si="74"/>
        <v>998</v>
      </c>
      <c r="V492" s="124">
        <f t="shared" si="75"/>
        <v>483</v>
      </c>
      <c r="W492" s="124">
        <f t="shared" si="76"/>
        <v>0</v>
      </c>
      <c r="X492" s="124">
        <f t="shared" si="77"/>
        <v>0</v>
      </c>
      <c r="Y492" s="264">
        <f t="shared" si="78"/>
        <v>483</v>
      </c>
      <c r="Z492" s="10">
        <v>97</v>
      </c>
      <c r="AA492" s="7">
        <v>998</v>
      </c>
      <c r="AB492" s="7">
        <v>483</v>
      </c>
      <c r="AC492" s="109">
        <v>0</v>
      </c>
      <c r="AD492" s="109">
        <v>0</v>
      </c>
      <c r="AE492" s="125"/>
      <c r="AF492" s="10"/>
      <c r="AI492" s="109"/>
      <c r="AJ492" s="109"/>
      <c r="AL492" s="10"/>
      <c r="AO492" s="109"/>
      <c r="AP492" s="109"/>
      <c r="AR492" s="10"/>
      <c r="AU492" s="109"/>
      <c r="AV492" s="109"/>
      <c r="AX492" s="10"/>
      <c r="BA492" s="109"/>
      <c r="BB492" s="109"/>
      <c r="BD492" s="10"/>
      <c r="BG492" s="109"/>
      <c r="BH492" s="109"/>
      <c r="BJ492" s="10"/>
      <c r="BM492" s="109"/>
      <c r="BN492" s="109"/>
      <c r="BP492" s="10"/>
      <c r="BS492" s="109"/>
      <c r="BT492" s="109"/>
      <c r="BV492" s="10"/>
      <c r="BY492" s="109"/>
      <c r="BZ492" s="109"/>
      <c r="CB492" s="10"/>
      <c r="CE492" s="109"/>
      <c r="CF492" s="109"/>
      <c r="CH492" s="10"/>
      <c r="CK492" s="109"/>
      <c r="CL492" s="109"/>
    </row>
    <row r="493" spans="1:90">
      <c r="A493" s="7" t="str">
        <f t="shared" si="71"/>
        <v>00970998</v>
      </c>
      <c r="B493" s="7" t="s">
        <v>2436</v>
      </c>
      <c r="C493" s="7" t="s">
        <v>2781</v>
      </c>
      <c r="D493" s="7">
        <v>484</v>
      </c>
      <c r="E493" s="7">
        <v>97</v>
      </c>
      <c r="F493" s="7" t="s">
        <v>2135</v>
      </c>
      <c r="G493" s="7">
        <v>998</v>
      </c>
      <c r="H493" s="7" t="s">
        <v>2135</v>
      </c>
      <c r="I493" s="37">
        <v>0</v>
      </c>
      <c r="J493" s="122">
        <v>0</v>
      </c>
      <c r="K493" s="123">
        <f t="shared" si="80"/>
        <v>0</v>
      </c>
      <c r="L493" s="122">
        <f>IF(K494&gt;0, K493/K494, 0)</f>
        <v>0</v>
      </c>
      <c r="M493" s="71"/>
      <c r="N493" s="10">
        <f>ROUND(M494*L493,0)</f>
        <v>0</v>
      </c>
      <c r="O493" s="70">
        <v>0</v>
      </c>
      <c r="P493" s="10">
        <f>N493-O493</f>
        <v>0</v>
      </c>
      <c r="Q493" s="46">
        <f t="shared" si="79"/>
        <v>0</v>
      </c>
      <c r="R493" s="10">
        <v>0</v>
      </c>
      <c r="S493" s="7">
        <f t="shared" si="72"/>
        <v>0</v>
      </c>
      <c r="T493" s="124">
        <f t="shared" si="73"/>
        <v>97</v>
      </c>
      <c r="U493" s="124">
        <f t="shared" si="74"/>
        <v>998</v>
      </c>
      <c r="V493" s="124">
        <f t="shared" si="75"/>
        <v>484</v>
      </c>
      <c r="W493" s="124">
        <f t="shared" si="76"/>
        <v>0</v>
      </c>
      <c r="X493" s="124">
        <f t="shared" si="77"/>
        <v>0</v>
      </c>
      <c r="Y493" s="264">
        <f t="shared" si="78"/>
        <v>484</v>
      </c>
      <c r="Z493" s="10">
        <v>97</v>
      </c>
      <c r="AA493" s="7">
        <v>998</v>
      </c>
      <c r="AB493" s="7">
        <v>484</v>
      </c>
      <c r="AC493" s="109">
        <v>0</v>
      </c>
      <c r="AD493" s="109">
        <v>0</v>
      </c>
      <c r="AE493" s="125"/>
      <c r="AF493" s="10"/>
      <c r="AI493" s="109"/>
      <c r="AJ493" s="109"/>
      <c r="AL493" s="10"/>
      <c r="AO493" s="109"/>
      <c r="AP493" s="109"/>
      <c r="AR493" s="10"/>
      <c r="AU493" s="109"/>
      <c r="AV493" s="109"/>
      <c r="AX493" s="10"/>
      <c r="BA493" s="109"/>
      <c r="BB493" s="109"/>
      <c r="BD493" s="10"/>
      <c r="BG493" s="109"/>
      <c r="BH493" s="109"/>
      <c r="BJ493" s="10"/>
      <c r="BM493" s="109"/>
      <c r="BN493" s="109"/>
      <c r="BP493" s="10"/>
      <c r="BS493" s="109"/>
      <c r="BT493" s="109"/>
      <c r="BV493" s="10"/>
      <c r="BY493" s="109"/>
      <c r="BZ493" s="109"/>
      <c r="CB493" s="10"/>
      <c r="CE493" s="109"/>
      <c r="CF493" s="109"/>
      <c r="CH493" s="10"/>
      <c r="CK493" s="109"/>
      <c r="CL493" s="109"/>
    </row>
    <row r="494" spans="1:90">
      <c r="A494" s="7" t="str">
        <f t="shared" si="71"/>
        <v>00970999</v>
      </c>
      <c r="B494" s="7" t="s">
        <v>2436</v>
      </c>
      <c r="C494" s="7" t="s">
        <v>2782</v>
      </c>
      <c r="D494" s="7">
        <v>485</v>
      </c>
      <c r="E494" s="11">
        <v>97</v>
      </c>
      <c r="F494" s="11" t="s">
        <v>1803</v>
      </c>
      <c r="G494" s="11">
        <v>999</v>
      </c>
      <c r="H494" s="11" t="s">
        <v>1132</v>
      </c>
      <c r="I494" s="105">
        <v>70772737</v>
      </c>
      <c r="J494" s="126">
        <v>1</v>
      </c>
      <c r="K494" s="127">
        <f>SUM(K490:K493)</f>
        <v>73100766.615608186</v>
      </c>
      <c r="L494" s="126">
        <f>SUM(L490:L493)</f>
        <v>1</v>
      </c>
      <c r="M494" s="105">
        <f>VLOOKUP(E494,town351,22)</f>
        <v>18642730</v>
      </c>
      <c r="N494" s="105">
        <f>SUM(N490:N493)</f>
        <v>18642730</v>
      </c>
      <c r="O494" s="128">
        <v>18651181</v>
      </c>
      <c r="P494" s="105">
        <f>SUM(P490:P493)</f>
        <v>-8451</v>
      </c>
      <c r="Q494" s="45">
        <f t="shared" si="79"/>
        <v>-4.5310803642943577E-2</v>
      </c>
      <c r="R494" s="105">
        <v>6064</v>
      </c>
      <c r="S494" s="7">
        <f t="shared" si="72"/>
        <v>0</v>
      </c>
      <c r="T494" s="124">
        <f t="shared" si="73"/>
        <v>97</v>
      </c>
      <c r="U494" s="124">
        <f t="shared" si="74"/>
        <v>999</v>
      </c>
      <c r="V494" s="124">
        <f t="shared" si="75"/>
        <v>485</v>
      </c>
      <c r="W494" s="124">
        <f t="shared" si="76"/>
        <v>6155.2662207418398</v>
      </c>
      <c r="X494" s="124">
        <f t="shared" si="77"/>
        <v>73100766.615608186</v>
      </c>
      <c r="Y494" s="264">
        <f t="shared" si="78"/>
        <v>485</v>
      </c>
      <c r="Z494" s="10">
        <v>97</v>
      </c>
      <c r="AA494" s="7">
        <v>999</v>
      </c>
      <c r="AB494" s="7">
        <v>485</v>
      </c>
      <c r="AC494" s="109">
        <v>6155.2662207418398</v>
      </c>
      <c r="AD494" s="109">
        <v>73100766.615608186</v>
      </c>
      <c r="AE494" s="125"/>
      <c r="AF494" s="10"/>
      <c r="AI494" s="109"/>
      <c r="AJ494" s="109"/>
      <c r="AL494" s="10"/>
      <c r="AO494" s="109"/>
      <c r="AP494" s="109"/>
      <c r="AR494" s="10"/>
      <c r="AU494" s="109"/>
      <c r="AV494" s="109"/>
      <c r="AX494" s="10"/>
      <c r="BA494" s="109"/>
      <c r="BB494" s="109"/>
      <c r="BD494" s="10"/>
      <c r="BG494" s="109"/>
      <c r="BH494" s="109"/>
      <c r="BJ494" s="10"/>
      <c r="BM494" s="109"/>
      <c r="BN494" s="109"/>
      <c r="BP494" s="10"/>
      <c r="BS494" s="109"/>
      <c r="BT494" s="109"/>
      <c r="BV494" s="10"/>
      <c r="BY494" s="109"/>
      <c r="BZ494" s="109"/>
      <c r="CB494" s="10"/>
      <c r="CE494" s="109"/>
      <c r="CF494" s="109"/>
      <c r="CH494" s="10"/>
      <c r="CK494" s="109"/>
      <c r="CL494" s="109"/>
    </row>
    <row r="495" spans="1:90">
      <c r="A495" s="7" t="str">
        <f t="shared" si="71"/>
        <v>00980098</v>
      </c>
      <c r="B495" s="7" t="s">
        <v>2437</v>
      </c>
      <c r="C495" s="7" t="s">
        <v>2437</v>
      </c>
      <c r="D495" s="7">
        <v>486</v>
      </c>
      <c r="E495" s="7">
        <v>98</v>
      </c>
      <c r="F495" s="7" t="s">
        <v>1804</v>
      </c>
      <c r="G495" s="7">
        <v>98</v>
      </c>
      <c r="H495" s="7" t="s">
        <v>1364</v>
      </c>
      <c r="I495" s="37">
        <v>894111.96999999986</v>
      </c>
      <c r="J495" s="122">
        <v>0.76857522201843209</v>
      </c>
      <c r="K495" s="123">
        <f>X495</f>
        <v>837564.72544684017</v>
      </c>
      <c r="L495" s="122">
        <f>IF(K499&gt;0, K495/K499, 0)</f>
        <v>0.7649735829908606</v>
      </c>
      <c r="M495" s="71"/>
      <c r="N495" s="10">
        <f>ROUND(M499*L495,0)</f>
        <v>470893</v>
      </c>
      <c r="O495" s="70">
        <v>487635</v>
      </c>
      <c r="P495" s="10">
        <f>N495-O495</f>
        <v>-16742</v>
      </c>
      <c r="Q495" s="46">
        <f t="shared" si="79"/>
        <v>-3.4333056486921572</v>
      </c>
      <c r="R495" s="10">
        <v>89</v>
      </c>
      <c r="S495" s="7">
        <f t="shared" si="72"/>
        <v>0</v>
      </c>
      <c r="T495" s="124">
        <f t="shared" si="73"/>
        <v>98</v>
      </c>
      <c r="U495" s="124">
        <f t="shared" si="74"/>
        <v>98</v>
      </c>
      <c r="V495" s="124">
        <f t="shared" si="75"/>
        <v>486</v>
      </c>
      <c r="W495" s="124">
        <f t="shared" si="76"/>
        <v>85</v>
      </c>
      <c r="X495" s="124">
        <f t="shared" si="77"/>
        <v>837564.72544684017</v>
      </c>
      <c r="Y495" s="264">
        <f t="shared" si="78"/>
        <v>486</v>
      </c>
      <c r="Z495" s="10">
        <v>98</v>
      </c>
      <c r="AA495" s="7">
        <v>98</v>
      </c>
      <c r="AB495" s="7">
        <v>486</v>
      </c>
      <c r="AC495" s="109">
        <v>85</v>
      </c>
      <c r="AD495" s="109">
        <v>837564.72544684017</v>
      </c>
      <c r="AE495" s="125"/>
      <c r="AF495" s="10"/>
      <c r="AI495" s="109"/>
      <c r="AJ495" s="109"/>
      <c r="AL495" s="10"/>
      <c r="AO495" s="109"/>
      <c r="AP495" s="109"/>
      <c r="AR495" s="10"/>
      <c r="AU495" s="109"/>
      <c r="AV495" s="109"/>
      <c r="AX495" s="10"/>
      <c r="BA495" s="109"/>
      <c r="BB495" s="109"/>
      <c r="BD495" s="10"/>
      <c r="BG495" s="109"/>
      <c r="BH495" s="109"/>
      <c r="BJ495" s="10"/>
      <c r="BM495" s="109"/>
      <c r="BN495" s="109"/>
      <c r="BP495" s="10"/>
      <c r="BS495" s="109"/>
      <c r="BT495" s="109"/>
      <c r="BV495" s="10"/>
      <c r="BY495" s="109"/>
      <c r="BZ495" s="109"/>
      <c r="CB495" s="10"/>
      <c r="CE495" s="109"/>
      <c r="CF495" s="109"/>
      <c r="CH495" s="10"/>
      <c r="CK495" s="109"/>
      <c r="CL495" s="109"/>
    </row>
    <row r="496" spans="1:90">
      <c r="A496" s="7" t="str">
        <f t="shared" si="71"/>
        <v>00980851</v>
      </c>
      <c r="B496" s="7" t="s">
        <v>2437</v>
      </c>
      <c r="C496" s="7" t="s">
        <v>2766</v>
      </c>
      <c r="D496" s="7">
        <v>487</v>
      </c>
      <c r="E496" s="7">
        <v>98</v>
      </c>
      <c r="F496" s="7" t="s">
        <v>1804</v>
      </c>
      <c r="G496" s="7">
        <v>851</v>
      </c>
      <c r="H496" s="7" t="s">
        <v>1693</v>
      </c>
      <c r="I496" s="37">
        <v>269225</v>
      </c>
      <c r="J496" s="122">
        <v>0.23142477798156802</v>
      </c>
      <c r="K496" s="123">
        <f t="shared" si="80"/>
        <v>257328.93372001094</v>
      </c>
      <c r="L496" s="122">
        <f>IF(K499&gt;0, K496/K499, 0)</f>
        <v>0.23502641700913945</v>
      </c>
      <c r="M496" s="71"/>
      <c r="N496" s="10">
        <f>ROUND(M499*L496,0)</f>
        <v>144675</v>
      </c>
      <c r="O496" s="70">
        <v>146831</v>
      </c>
      <c r="P496" s="10">
        <f>N496-O496</f>
        <v>-2156</v>
      </c>
      <c r="Q496" s="46">
        <f t="shared" si="79"/>
        <v>-1.4683547752177675</v>
      </c>
      <c r="R496" s="10">
        <v>17</v>
      </c>
      <c r="S496" s="7">
        <f t="shared" si="72"/>
        <v>0</v>
      </c>
      <c r="T496" s="124">
        <f t="shared" si="73"/>
        <v>98</v>
      </c>
      <c r="U496" s="124">
        <f t="shared" si="74"/>
        <v>851</v>
      </c>
      <c r="V496" s="124">
        <f t="shared" si="75"/>
        <v>487</v>
      </c>
      <c r="W496" s="124">
        <f t="shared" si="76"/>
        <v>16.0000000008</v>
      </c>
      <c r="X496" s="124">
        <f t="shared" si="77"/>
        <v>257328.93372001094</v>
      </c>
      <c r="Y496" s="264">
        <f t="shared" si="78"/>
        <v>487</v>
      </c>
      <c r="Z496" s="10">
        <v>98</v>
      </c>
      <c r="AA496" s="7">
        <v>851</v>
      </c>
      <c r="AB496" s="7">
        <v>487</v>
      </c>
      <c r="AC496" s="109">
        <v>16.0000000008</v>
      </c>
      <c r="AD496" s="109">
        <v>257328.93372001094</v>
      </c>
      <c r="AE496" s="125"/>
      <c r="AF496" s="10"/>
      <c r="AI496" s="109"/>
      <c r="AJ496" s="109"/>
      <c r="AL496" s="10"/>
      <c r="AO496" s="109"/>
      <c r="AP496" s="109"/>
      <c r="AR496" s="10"/>
      <c r="AU496" s="109"/>
      <c r="AV496" s="109"/>
      <c r="AX496" s="10"/>
      <c r="BA496" s="109"/>
      <c r="BB496" s="109"/>
      <c r="BD496" s="10"/>
      <c r="BG496" s="109"/>
      <c r="BH496" s="109"/>
      <c r="BJ496" s="10"/>
      <c r="BM496" s="109"/>
      <c r="BN496" s="109"/>
      <c r="BP496" s="10"/>
      <c r="BS496" s="109"/>
      <c r="BT496" s="109"/>
      <c r="BV496" s="10"/>
      <c r="BY496" s="109"/>
      <c r="BZ496" s="109"/>
      <c r="CB496" s="10"/>
      <c r="CE496" s="109"/>
      <c r="CF496" s="109"/>
      <c r="CH496" s="10"/>
      <c r="CK496" s="109"/>
      <c r="CL496" s="109"/>
    </row>
    <row r="497" spans="1:90">
      <c r="A497" s="7" t="str">
        <f t="shared" si="71"/>
        <v>00980998</v>
      </c>
      <c r="B497" s="7" t="s">
        <v>2437</v>
      </c>
      <c r="C497" s="7" t="s">
        <v>2781</v>
      </c>
      <c r="D497" s="7">
        <v>488</v>
      </c>
      <c r="E497" s="7">
        <v>98</v>
      </c>
      <c r="F497" s="7" t="s">
        <v>2135</v>
      </c>
      <c r="G497" s="7">
        <v>998</v>
      </c>
      <c r="H497" s="7" t="s">
        <v>2135</v>
      </c>
      <c r="I497" s="37">
        <v>0</v>
      </c>
      <c r="J497" s="122">
        <v>0</v>
      </c>
      <c r="K497" s="123">
        <f t="shared" si="80"/>
        <v>0</v>
      </c>
      <c r="L497" s="122">
        <f>IF(K499&gt;0, K497/K499, 0)</f>
        <v>0</v>
      </c>
      <c r="M497" s="71"/>
      <c r="N497" s="10">
        <f>ROUND(M499*L497,0)</f>
        <v>0</v>
      </c>
      <c r="O497" s="70">
        <v>0</v>
      </c>
      <c r="P497" s="10">
        <f>N497-O497</f>
        <v>0</v>
      </c>
      <c r="Q497" s="46">
        <f t="shared" si="79"/>
        <v>0</v>
      </c>
      <c r="R497" s="10">
        <v>0</v>
      </c>
      <c r="S497" s="7">
        <f t="shared" si="72"/>
        <v>0</v>
      </c>
      <c r="T497" s="124">
        <f t="shared" si="73"/>
        <v>98</v>
      </c>
      <c r="U497" s="124">
        <f t="shared" si="74"/>
        <v>998</v>
      </c>
      <c r="V497" s="124">
        <f t="shared" si="75"/>
        <v>488</v>
      </c>
      <c r="W497" s="124">
        <f t="shared" si="76"/>
        <v>0</v>
      </c>
      <c r="X497" s="124">
        <f t="shared" si="77"/>
        <v>0</v>
      </c>
      <c r="Y497" s="264">
        <f t="shared" si="78"/>
        <v>488</v>
      </c>
      <c r="Z497" s="10">
        <v>98</v>
      </c>
      <c r="AA497" s="7">
        <v>998</v>
      </c>
      <c r="AB497" s="7">
        <v>488</v>
      </c>
      <c r="AC497" s="109">
        <v>0</v>
      </c>
      <c r="AD497" s="109">
        <v>0</v>
      </c>
      <c r="AE497" s="125"/>
      <c r="AF497" s="10"/>
      <c r="AI497" s="109"/>
      <c r="AJ497" s="109"/>
      <c r="AL497" s="10"/>
      <c r="AO497" s="109"/>
      <c r="AP497" s="109"/>
      <c r="AR497" s="10"/>
      <c r="AU497" s="109"/>
      <c r="AV497" s="109"/>
      <c r="AX497" s="10"/>
      <c r="BA497" s="109"/>
      <c r="BB497" s="109"/>
      <c r="BD497" s="10"/>
      <c r="BG497" s="109"/>
      <c r="BH497" s="109"/>
      <c r="BJ497" s="10"/>
      <c r="BM497" s="109"/>
      <c r="BN497" s="109"/>
      <c r="BP497" s="10"/>
      <c r="BS497" s="109"/>
      <c r="BT497" s="109"/>
      <c r="BV497" s="10"/>
      <c r="BY497" s="109"/>
      <c r="BZ497" s="109"/>
      <c r="CB497" s="10"/>
      <c r="CE497" s="109"/>
      <c r="CF497" s="109"/>
      <c r="CH497" s="10"/>
      <c r="CK497" s="109"/>
      <c r="CL497" s="109"/>
    </row>
    <row r="498" spans="1:90">
      <c r="A498" s="7" t="str">
        <f t="shared" si="71"/>
        <v>00980998</v>
      </c>
      <c r="B498" s="7" t="s">
        <v>2437</v>
      </c>
      <c r="C498" s="7" t="s">
        <v>2781</v>
      </c>
      <c r="D498" s="7">
        <v>489</v>
      </c>
      <c r="E498" s="7">
        <v>98</v>
      </c>
      <c r="F498" s="7" t="s">
        <v>2135</v>
      </c>
      <c r="G498" s="7">
        <v>998</v>
      </c>
      <c r="H498" s="7" t="s">
        <v>2135</v>
      </c>
      <c r="I498" s="37">
        <v>0</v>
      </c>
      <c r="J498" s="122">
        <v>0</v>
      </c>
      <c r="K498" s="123">
        <f t="shared" si="80"/>
        <v>0</v>
      </c>
      <c r="L498" s="122">
        <f>IF(K499&gt;0, K498/K499, 0)</f>
        <v>0</v>
      </c>
      <c r="M498" s="71"/>
      <c r="N498" s="10">
        <f>ROUND(M499*L498,0)</f>
        <v>0</v>
      </c>
      <c r="O498" s="70">
        <v>0</v>
      </c>
      <c r="P498" s="10">
        <f>N498-O498</f>
        <v>0</v>
      </c>
      <c r="Q498" s="46">
        <f t="shared" si="79"/>
        <v>0</v>
      </c>
      <c r="R498" s="10">
        <v>0</v>
      </c>
      <c r="S498" s="7">
        <f t="shared" si="72"/>
        <v>0</v>
      </c>
      <c r="T498" s="124">
        <f t="shared" si="73"/>
        <v>98</v>
      </c>
      <c r="U498" s="124">
        <f t="shared" si="74"/>
        <v>998</v>
      </c>
      <c r="V498" s="124">
        <f t="shared" si="75"/>
        <v>489</v>
      </c>
      <c r="W498" s="124">
        <f t="shared" si="76"/>
        <v>0</v>
      </c>
      <c r="X498" s="124">
        <f t="shared" si="77"/>
        <v>0</v>
      </c>
      <c r="Y498" s="264">
        <f t="shared" si="78"/>
        <v>489</v>
      </c>
      <c r="Z498" s="10">
        <v>98</v>
      </c>
      <c r="AA498" s="7">
        <v>998</v>
      </c>
      <c r="AB498" s="7">
        <v>489</v>
      </c>
      <c r="AC498" s="109">
        <v>0</v>
      </c>
      <c r="AD498" s="109">
        <v>0</v>
      </c>
      <c r="AE498" s="125"/>
      <c r="AF498" s="10"/>
      <c r="AI498" s="109"/>
      <c r="AJ498" s="109"/>
      <c r="AL498" s="10"/>
      <c r="AO498" s="109"/>
      <c r="AP498" s="109"/>
      <c r="AR498" s="10"/>
      <c r="AU498" s="109"/>
      <c r="AV498" s="109"/>
      <c r="AX498" s="10"/>
      <c r="BA498" s="109"/>
      <c r="BB498" s="109"/>
      <c r="BD498" s="10"/>
      <c r="BG498" s="109"/>
      <c r="BH498" s="109"/>
      <c r="BJ498" s="10"/>
      <c r="BM498" s="109"/>
      <c r="BN498" s="109"/>
      <c r="BP498" s="10"/>
      <c r="BS498" s="109"/>
      <c r="BT498" s="109"/>
      <c r="BV498" s="10"/>
      <c r="BY498" s="109"/>
      <c r="BZ498" s="109"/>
      <c r="CB498" s="10"/>
      <c r="CE498" s="109"/>
      <c r="CF498" s="109"/>
      <c r="CH498" s="10"/>
      <c r="CK498" s="109"/>
      <c r="CL498" s="109"/>
    </row>
    <row r="499" spans="1:90">
      <c r="A499" s="7" t="str">
        <f t="shared" si="71"/>
        <v>00980999</v>
      </c>
      <c r="B499" s="7" t="s">
        <v>2437</v>
      </c>
      <c r="C499" s="7" t="s">
        <v>2782</v>
      </c>
      <c r="D499" s="7">
        <v>490</v>
      </c>
      <c r="E499" s="11">
        <v>98</v>
      </c>
      <c r="F499" s="11" t="s">
        <v>1804</v>
      </c>
      <c r="G499" s="11">
        <v>999</v>
      </c>
      <c r="H499" s="11" t="s">
        <v>1132</v>
      </c>
      <c r="I499" s="105">
        <v>1163336.9699999997</v>
      </c>
      <c r="J499" s="126">
        <v>1</v>
      </c>
      <c r="K499" s="127">
        <f>SUM(K495:K498)</f>
        <v>1094893.6591668511</v>
      </c>
      <c r="L499" s="126">
        <f>SUM(L495:L498)</f>
        <v>1</v>
      </c>
      <c r="M499" s="105">
        <f>VLOOKUP(E499,town351,22)</f>
        <v>615568</v>
      </c>
      <c r="N499" s="105">
        <f>SUM(N495:N498)</f>
        <v>615568</v>
      </c>
      <c r="O499" s="128">
        <v>634466</v>
      </c>
      <c r="P499" s="105">
        <f>SUM(P495:P498)</f>
        <v>-18898</v>
      </c>
      <c r="Q499" s="45">
        <f t="shared" si="79"/>
        <v>-2.9785678034756788</v>
      </c>
      <c r="R499" s="105">
        <v>106</v>
      </c>
      <c r="S499" s="7">
        <f t="shared" si="72"/>
        <v>0</v>
      </c>
      <c r="T499" s="124">
        <f t="shared" si="73"/>
        <v>98</v>
      </c>
      <c r="U499" s="124">
        <f t="shared" si="74"/>
        <v>999</v>
      </c>
      <c r="V499" s="124">
        <f t="shared" si="75"/>
        <v>490</v>
      </c>
      <c r="W499" s="124">
        <f t="shared" si="76"/>
        <v>101.0000000008</v>
      </c>
      <c r="X499" s="124">
        <f t="shared" si="77"/>
        <v>1094893.6591668511</v>
      </c>
      <c r="Y499" s="264">
        <f t="shared" si="78"/>
        <v>490</v>
      </c>
      <c r="Z499" s="10">
        <v>98</v>
      </c>
      <c r="AA499" s="7">
        <v>999</v>
      </c>
      <c r="AB499" s="7">
        <v>490</v>
      </c>
      <c r="AC499" s="109">
        <v>101.0000000008</v>
      </c>
      <c r="AD499" s="109">
        <v>1094893.6591668511</v>
      </c>
      <c r="AE499" s="125"/>
      <c r="AF499" s="10"/>
      <c r="AI499" s="109"/>
      <c r="AJ499" s="109"/>
      <c r="AL499" s="10"/>
      <c r="AO499" s="109"/>
      <c r="AP499" s="109"/>
      <c r="AR499" s="10"/>
      <c r="AU499" s="109"/>
      <c r="AV499" s="109"/>
      <c r="AX499" s="10"/>
      <c r="BA499" s="109"/>
      <c r="BB499" s="109"/>
      <c r="BD499" s="10"/>
      <c r="BG499" s="109"/>
      <c r="BH499" s="109"/>
      <c r="BJ499" s="10"/>
      <c r="BM499" s="109"/>
      <c r="BN499" s="109"/>
      <c r="BP499" s="10"/>
      <c r="BS499" s="109"/>
      <c r="BT499" s="109"/>
      <c r="BV499" s="10"/>
      <c r="BY499" s="109"/>
      <c r="BZ499" s="109"/>
      <c r="CB499" s="10"/>
      <c r="CE499" s="109"/>
      <c r="CF499" s="109"/>
      <c r="CH499" s="10"/>
      <c r="CK499" s="109"/>
      <c r="CL499" s="109"/>
    </row>
    <row r="500" spans="1:90">
      <c r="A500" s="7" t="str">
        <f t="shared" si="71"/>
        <v>00990099</v>
      </c>
      <c r="B500" s="7" t="s">
        <v>2438</v>
      </c>
      <c r="C500" s="7" t="s">
        <v>2438</v>
      </c>
      <c r="D500" s="7">
        <v>491</v>
      </c>
      <c r="E500" s="7">
        <v>99</v>
      </c>
      <c r="F500" s="7" t="s">
        <v>1805</v>
      </c>
      <c r="G500" s="7">
        <v>99</v>
      </c>
      <c r="H500" s="7" t="s">
        <v>1365</v>
      </c>
      <c r="I500" s="37">
        <v>26222277.008499999</v>
      </c>
      <c r="J500" s="122">
        <v>0.97490883610131873</v>
      </c>
      <c r="K500" s="123">
        <f>X500</f>
        <v>26331117.517189495</v>
      </c>
      <c r="L500" s="122">
        <f>IF(K504&gt;0, K500/K504, 0)</f>
        <v>0.9733111852264098</v>
      </c>
      <c r="M500" s="71"/>
      <c r="N500" s="10">
        <f>ROUND(M504*L500,0)</f>
        <v>21807366</v>
      </c>
      <c r="O500" s="70">
        <v>21252070</v>
      </c>
      <c r="P500" s="10">
        <f>N500-O500</f>
        <v>555296</v>
      </c>
      <c r="Q500" s="46">
        <f t="shared" si="79"/>
        <v>2.6129031195549421</v>
      </c>
      <c r="R500" s="10">
        <v>2648</v>
      </c>
      <c r="S500" s="7">
        <f t="shared" si="72"/>
        <v>0</v>
      </c>
      <c r="T500" s="124">
        <f t="shared" si="73"/>
        <v>99</v>
      </c>
      <c r="U500" s="124">
        <f t="shared" si="74"/>
        <v>99</v>
      </c>
      <c r="V500" s="124">
        <f t="shared" si="75"/>
        <v>491</v>
      </c>
      <c r="W500" s="124">
        <f t="shared" si="76"/>
        <v>2597</v>
      </c>
      <c r="X500" s="124">
        <f t="shared" si="77"/>
        <v>26331117.517189495</v>
      </c>
      <c r="Y500" s="264">
        <f t="shared" si="78"/>
        <v>491</v>
      </c>
      <c r="Z500" s="10">
        <v>99</v>
      </c>
      <c r="AA500" s="7">
        <v>99</v>
      </c>
      <c r="AB500" s="7">
        <v>491</v>
      </c>
      <c r="AC500" s="109">
        <v>2597</v>
      </c>
      <c r="AD500" s="109">
        <v>26331117.517189495</v>
      </c>
      <c r="AE500" s="125"/>
      <c r="AF500" s="10"/>
      <c r="AI500" s="109"/>
      <c r="AJ500" s="109"/>
      <c r="AL500" s="10"/>
      <c r="AO500" s="109"/>
      <c r="AP500" s="109"/>
      <c r="AR500" s="10"/>
      <c r="AU500" s="109"/>
      <c r="AV500" s="109"/>
      <c r="AX500" s="10"/>
      <c r="BA500" s="109"/>
      <c r="BB500" s="109"/>
      <c r="BD500" s="10"/>
      <c r="BG500" s="109"/>
      <c r="BH500" s="109"/>
      <c r="BJ500" s="10"/>
      <c r="BM500" s="109"/>
      <c r="BN500" s="109"/>
      <c r="BP500" s="10"/>
      <c r="BS500" s="109"/>
      <c r="BT500" s="109"/>
      <c r="BV500" s="10"/>
      <c r="BY500" s="109"/>
      <c r="BZ500" s="109"/>
      <c r="CB500" s="10"/>
      <c r="CE500" s="109"/>
      <c r="CF500" s="109"/>
      <c r="CH500" s="10"/>
      <c r="CK500" s="109"/>
      <c r="CL500" s="109"/>
    </row>
    <row r="501" spans="1:90">
      <c r="A501" s="7" t="str">
        <f t="shared" si="71"/>
        <v>00990872</v>
      </c>
      <c r="B501" s="7" t="s">
        <v>2438</v>
      </c>
      <c r="C501" s="7" t="s">
        <v>2772</v>
      </c>
      <c r="D501" s="7">
        <v>492</v>
      </c>
      <c r="E501" s="7">
        <v>99</v>
      </c>
      <c r="F501" s="7" t="s">
        <v>1805</v>
      </c>
      <c r="G501" s="7">
        <v>872</v>
      </c>
      <c r="H501" s="7" t="s">
        <v>1699</v>
      </c>
      <c r="I501" s="37">
        <v>432821</v>
      </c>
      <c r="J501" s="122">
        <v>1.6091700092003051E-2</v>
      </c>
      <c r="K501" s="123">
        <f t="shared" si="80"/>
        <v>458459.31378697761</v>
      </c>
      <c r="L501" s="122">
        <f>IF(K504&gt;0, K501/K504, 0)</f>
        <v>1.6946625139961712E-2</v>
      </c>
      <c r="M501" s="71"/>
      <c r="N501" s="10">
        <f>ROUND(M504*L501,0)</f>
        <v>379695</v>
      </c>
      <c r="O501" s="70">
        <v>350784</v>
      </c>
      <c r="P501" s="10">
        <f>N501-O501</f>
        <v>28911</v>
      </c>
      <c r="Q501" s="46">
        <f t="shared" si="79"/>
        <v>8.2418240284619593</v>
      </c>
      <c r="R501" s="10">
        <v>27</v>
      </c>
      <c r="S501" s="7">
        <f t="shared" si="72"/>
        <v>0</v>
      </c>
      <c r="T501" s="124">
        <f t="shared" si="73"/>
        <v>99</v>
      </c>
      <c r="U501" s="124">
        <f t="shared" si="74"/>
        <v>872</v>
      </c>
      <c r="V501" s="124">
        <f t="shared" si="75"/>
        <v>492</v>
      </c>
      <c r="W501" s="124">
        <f t="shared" si="76"/>
        <v>28.055776897319998</v>
      </c>
      <c r="X501" s="124">
        <f t="shared" si="77"/>
        <v>458459.31378697761</v>
      </c>
      <c r="Y501" s="264">
        <f t="shared" si="78"/>
        <v>492</v>
      </c>
      <c r="Z501" s="10">
        <v>99</v>
      </c>
      <c r="AA501" s="7">
        <v>872</v>
      </c>
      <c r="AB501" s="7">
        <v>492</v>
      </c>
      <c r="AC501" s="109">
        <v>28.055776897319998</v>
      </c>
      <c r="AD501" s="109">
        <v>458459.31378697761</v>
      </c>
      <c r="AE501" s="125"/>
      <c r="AF501" s="10"/>
      <c r="AI501" s="109"/>
      <c r="AJ501" s="109"/>
      <c r="AL501" s="10"/>
      <c r="AO501" s="109"/>
      <c r="AP501" s="109"/>
      <c r="AR501" s="10"/>
      <c r="AU501" s="109"/>
      <c r="AV501" s="109"/>
      <c r="AX501" s="10"/>
      <c r="BA501" s="109"/>
      <c r="BB501" s="109"/>
      <c r="BD501" s="10"/>
      <c r="BG501" s="109"/>
      <c r="BH501" s="109"/>
      <c r="BJ501" s="10"/>
      <c r="BM501" s="109"/>
      <c r="BN501" s="109"/>
      <c r="BP501" s="10"/>
      <c r="BS501" s="109"/>
      <c r="BT501" s="109"/>
      <c r="BV501" s="10"/>
      <c r="BY501" s="109"/>
      <c r="BZ501" s="109"/>
      <c r="CB501" s="10"/>
      <c r="CE501" s="109"/>
      <c r="CF501" s="109"/>
      <c r="CH501" s="10"/>
      <c r="CK501" s="109"/>
      <c r="CL501" s="109"/>
    </row>
    <row r="502" spans="1:90">
      <c r="A502" s="7" t="str">
        <f t="shared" si="71"/>
        <v>00990915</v>
      </c>
      <c r="B502" s="7" t="s">
        <v>2438</v>
      </c>
      <c r="C502" s="7" t="s">
        <v>2779</v>
      </c>
      <c r="D502" s="7">
        <v>493</v>
      </c>
      <c r="E502" s="7">
        <v>99</v>
      </c>
      <c r="F502" s="7" t="s">
        <v>1805</v>
      </c>
      <c r="G502" s="7">
        <v>915</v>
      </c>
      <c r="H502" s="7" t="s">
        <v>1706</v>
      </c>
      <c r="I502" s="37">
        <v>242060</v>
      </c>
      <c r="J502" s="122">
        <v>8.9994638066781835E-3</v>
      </c>
      <c r="K502" s="123">
        <f t="shared" si="80"/>
        <v>263556.75760383456</v>
      </c>
      <c r="L502" s="122">
        <f>IF(K504&gt;0, K502/K504, 0)</f>
        <v>9.7421896336285195E-3</v>
      </c>
      <c r="M502" s="71"/>
      <c r="N502" s="10">
        <f>ROUND(M504*L502,0)</f>
        <v>218277</v>
      </c>
      <c r="O502" s="70">
        <v>196180</v>
      </c>
      <c r="P502" s="10">
        <f>N502-O502</f>
        <v>22097</v>
      </c>
      <c r="Q502" s="46">
        <f t="shared" si="79"/>
        <v>11.263635436843716</v>
      </c>
      <c r="R502" s="10">
        <v>15</v>
      </c>
      <c r="S502" s="7">
        <f t="shared" si="72"/>
        <v>0</v>
      </c>
      <c r="T502" s="124">
        <f t="shared" si="73"/>
        <v>99</v>
      </c>
      <c r="U502" s="124">
        <f t="shared" si="74"/>
        <v>915</v>
      </c>
      <c r="V502" s="124">
        <f t="shared" si="75"/>
        <v>493</v>
      </c>
      <c r="W502" s="124">
        <f t="shared" si="76"/>
        <v>15.999999999750001</v>
      </c>
      <c r="X502" s="124">
        <f t="shared" si="77"/>
        <v>263556.75760383456</v>
      </c>
      <c r="Y502" s="264">
        <f t="shared" si="78"/>
        <v>493</v>
      </c>
      <c r="Z502" s="10">
        <v>99</v>
      </c>
      <c r="AA502" s="7">
        <v>915</v>
      </c>
      <c r="AB502" s="7">
        <v>493</v>
      </c>
      <c r="AC502" s="109">
        <v>15.999999999750001</v>
      </c>
      <c r="AD502" s="109">
        <v>263556.75760383456</v>
      </c>
      <c r="AE502" s="125"/>
      <c r="AF502" s="10"/>
      <c r="AI502" s="109"/>
      <c r="AJ502" s="109"/>
      <c r="AL502" s="10"/>
      <c r="AO502" s="109"/>
      <c r="AP502" s="109"/>
      <c r="AR502" s="10"/>
      <c r="AU502" s="109"/>
      <c r="AV502" s="109"/>
      <c r="AX502" s="10"/>
      <c r="BA502" s="109"/>
      <c r="BB502" s="109"/>
      <c r="BD502" s="10"/>
      <c r="BG502" s="109"/>
      <c r="BH502" s="109"/>
      <c r="BJ502" s="10"/>
      <c r="BM502" s="109"/>
      <c r="BN502" s="109"/>
      <c r="BP502" s="10"/>
      <c r="BS502" s="109"/>
      <c r="BT502" s="109"/>
      <c r="BV502" s="10"/>
      <c r="BY502" s="109"/>
      <c r="BZ502" s="109"/>
      <c r="CB502" s="10"/>
      <c r="CE502" s="109"/>
      <c r="CF502" s="109"/>
      <c r="CH502" s="10"/>
      <c r="CK502" s="109"/>
      <c r="CL502" s="109"/>
    </row>
    <row r="503" spans="1:90">
      <c r="A503" s="7" t="str">
        <f t="shared" si="71"/>
        <v>00990998</v>
      </c>
      <c r="B503" s="7" t="s">
        <v>2438</v>
      </c>
      <c r="C503" s="7" t="s">
        <v>2781</v>
      </c>
      <c r="D503" s="7">
        <v>494</v>
      </c>
      <c r="E503" s="7">
        <v>99</v>
      </c>
      <c r="F503" s="7" t="s">
        <v>2135</v>
      </c>
      <c r="G503" s="7">
        <v>998</v>
      </c>
      <c r="H503" s="7" t="s">
        <v>2135</v>
      </c>
      <c r="I503" s="37">
        <v>0</v>
      </c>
      <c r="J503" s="122">
        <v>0</v>
      </c>
      <c r="K503" s="123">
        <f t="shared" si="80"/>
        <v>0</v>
      </c>
      <c r="L503" s="122">
        <f>IF(K504&gt;0, K503/K504, 0)</f>
        <v>0</v>
      </c>
      <c r="M503" s="71"/>
      <c r="N503" s="10">
        <f>ROUND(M504*L503,0)</f>
        <v>0</v>
      </c>
      <c r="O503" s="70">
        <v>0</v>
      </c>
      <c r="P503" s="10">
        <f>N503-O503</f>
        <v>0</v>
      </c>
      <c r="Q503" s="46">
        <f t="shared" si="79"/>
        <v>0</v>
      </c>
      <c r="R503" s="10">
        <v>0</v>
      </c>
      <c r="S503" s="7">
        <f t="shared" si="72"/>
        <v>0</v>
      </c>
      <c r="T503" s="124">
        <f t="shared" si="73"/>
        <v>99</v>
      </c>
      <c r="U503" s="124">
        <f t="shared" si="74"/>
        <v>998</v>
      </c>
      <c r="V503" s="124">
        <f t="shared" si="75"/>
        <v>494</v>
      </c>
      <c r="W503" s="124">
        <f t="shared" si="76"/>
        <v>0</v>
      </c>
      <c r="X503" s="124">
        <f t="shared" si="77"/>
        <v>0</v>
      </c>
      <c r="Y503" s="264">
        <f t="shared" si="78"/>
        <v>494</v>
      </c>
      <c r="Z503" s="10">
        <v>99</v>
      </c>
      <c r="AA503" s="7">
        <v>998</v>
      </c>
      <c r="AB503" s="7">
        <v>494</v>
      </c>
      <c r="AC503" s="109">
        <v>0</v>
      </c>
      <c r="AD503" s="109">
        <v>0</v>
      </c>
      <c r="AE503" s="125"/>
      <c r="AF503" s="10"/>
      <c r="AI503" s="109"/>
      <c r="AJ503" s="109"/>
      <c r="AL503" s="10"/>
      <c r="AO503" s="109"/>
      <c r="AP503" s="109"/>
      <c r="AR503" s="10"/>
      <c r="AU503" s="109"/>
      <c r="AV503" s="109"/>
      <c r="AX503" s="10"/>
      <c r="BA503" s="109"/>
      <c r="BB503" s="109"/>
      <c r="BD503" s="10"/>
      <c r="BG503" s="109"/>
      <c r="BH503" s="109"/>
      <c r="BJ503" s="10"/>
      <c r="BM503" s="109"/>
      <c r="BN503" s="109"/>
      <c r="BP503" s="10"/>
      <c r="BS503" s="109"/>
      <c r="BT503" s="109"/>
      <c r="BV503" s="10"/>
      <c r="BY503" s="109"/>
      <c r="BZ503" s="109"/>
      <c r="CB503" s="10"/>
      <c r="CE503" s="109"/>
      <c r="CF503" s="109"/>
      <c r="CH503" s="10"/>
      <c r="CK503" s="109"/>
      <c r="CL503" s="109"/>
    </row>
    <row r="504" spans="1:90">
      <c r="A504" s="7" t="str">
        <f t="shared" si="71"/>
        <v>00990999</v>
      </c>
      <c r="B504" s="7" t="s">
        <v>2438</v>
      </c>
      <c r="C504" s="7" t="s">
        <v>2782</v>
      </c>
      <c r="D504" s="7">
        <v>495</v>
      </c>
      <c r="E504" s="11">
        <v>99</v>
      </c>
      <c r="F504" s="11" t="s">
        <v>1805</v>
      </c>
      <c r="G504" s="11">
        <v>999</v>
      </c>
      <c r="H504" s="11" t="s">
        <v>1132</v>
      </c>
      <c r="I504" s="105">
        <v>26897158.008499999</v>
      </c>
      <c r="J504" s="126">
        <v>0.99999999999999989</v>
      </c>
      <c r="K504" s="127">
        <f>SUM(K500:K503)</f>
        <v>27053133.588580307</v>
      </c>
      <c r="L504" s="126">
        <f>SUM(L500:L503)</f>
        <v>1</v>
      </c>
      <c r="M504" s="105">
        <f>VLOOKUP(E504,town351,22)</f>
        <v>22405338</v>
      </c>
      <c r="N504" s="105">
        <f>SUM(N500:N503)</f>
        <v>22405338</v>
      </c>
      <c r="O504" s="128">
        <v>21799034</v>
      </c>
      <c r="P504" s="105">
        <f>SUM(P500:P503)</f>
        <v>606304</v>
      </c>
      <c r="Q504" s="45">
        <f t="shared" si="79"/>
        <v>2.7813342554537051</v>
      </c>
      <c r="R504" s="105">
        <v>2690</v>
      </c>
      <c r="S504" s="7">
        <f t="shared" si="72"/>
        <v>0</v>
      </c>
      <c r="T504" s="124">
        <f t="shared" si="73"/>
        <v>99</v>
      </c>
      <c r="U504" s="124">
        <f t="shared" si="74"/>
        <v>999</v>
      </c>
      <c r="V504" s="124">
        <f t="shared" si="75"/>
        <v>495</v>
      </c>
      <c r="W504" s="124">
        <f t="shared" si="76"/>
        <v>2641.0557768970698</v>
      </c>
      <c r="X504" s="124">
        <f t="shared" si="77"/>
        <v>27053133.588580307</v>
      </c>
      <c r="Y504" s="264">
        <f t="shared" si="78"/>
        <v>495</v>
      </c>
      <c r="Z504" s="10">
        <v>99</v>
      </c>
      <c r="AA504" s="7">
        <v>999</v>
      </c>
      <c r="AB504" s="7">
        <v>495</v>
      </c>
      <c r="AC504" s="109">
        <v>2641.0557768970698</v>
      </c>
      <c r="AD504" s="109">
        <v>27053133.588580307</v>
      </c>
      <c r="AE504" s="125"/>
      <c r="AF504" s="10"/>
      <c r="AI504" s="109"/>
      <c r="AJ504" s="109"/>
      <c r="AL504" s="10"/>
      <c r="AO504" s="109"/>
      <c r="AP504" s="109"/>
      <c r="AR504" s="10"/>
      <c r="AU504" s="109"/>
      <c r="AV504" s="109"/>
      <c r="AX504" s="10"/>
      <c r="BA504" s="109"/>
      <c r="BB504" s="109"/>
      <c r="BD504" s="10"/>
      <c r="BG504" s="109"/>
      <c r="BH504" s="109"/>
      <c r="BJ504" s="10"/>
      <c r="BM504" s="109"/>
      <c r="BN504" s="109"/>
      <c r="BP504" s="10"/>
      <c r="BS504" s="109"/>
      <c r="BT504" s="109"/>
      <c r="BV504" s="10"/>
      <c r="BY504" s="109"/>
      <c r="BZ504" s="109"/>
      <c r="CB504" s="10"/>
      <c r="CE504" s="109"/>
      <c r="CF504" s="109"/>
      <c r="CH504" s="10"/>
      <c r="CK504" s="109"/>
      <c r="CL504" s="109"/>
    </row>
    <row r="505" spans="1:90">
      <c r="A505" s="7" t="str">
        <f t="shared" si="71"/>
        <v>01000100</v>
      </c>
      <c r="B505" s="7" t="s">
        <v>2439</v>
      </c>
      <c r="C505" s="7" t="s">
        <v>2439</v>
      </c>
      <c r="D505" s="7">
        <v>496</v>
      </c>
      <c r="E505" s="7">
        <v>100</v>
      </c>
      <c r="F505" s="7" t="s">
        <v>1806</v>
      </c>
      <c r="G505" s="7">
        <v>100</v>
      </c>
      <c r="H505" s="7" t="s">
        <v>1366</v>
      </c>
      <c r="I505" s="37">
        <v>97409677.469920009</v>
      </c>
      <c r="J505" s="122">
        <v>0.91859992344740937</v>
      </c>
      <c r="K505" s="123">
        <f>X505</f>
        <v>100719920.94220732</v>
      </c>
      <c r="L505" s="122">
        <f>IF(K509&gt;0, K505/K509, 0)</f>
        <v>0.91960776662310451</v>
      </c>
      <c r="M505" s="71"/>
      <c r="N505" s="10">
        <f>ROUND(M509*L505,0)</f>
        <v>59331897</v>
      </c>
      <c r="O505" s="70">
        <v>56417775</v>
      </c>
      <c r="P505" s="10">
        <f>N505-O505</f>
        <v>2914122</v>
      </c>
      <c r="Q505" s="46">
        <f t="shared" si="79"/>
        <v>5.1652550991243453</v>
      </c>
      <c r="R505" s="10">
        <v>8901</v>
      </c>
      <c r="S505" s="7">
        <f t="shared" si="72"/>
        <v>0</v>
      </c>
      <c r="T505" s="124">
        <f t="shared" si="73"/>
        <v>100</v>
      </c>
      <c r="U505" s="124">
        <f t="shared" si="74"/>
        <v>100</v>
      </c>
      <c r="V505" s="124">
        <f t="shared" si="75"/>
        <v>496</v>
      </c>
      <c r="W505" s="124">
        <f t="shared" si="76"/>
        <v>9061</v>
      </c>
      <c r="X505" s="124">
        <f t="shared" si="77"/>
        <v>100719920.94220732</v>
      </c>
      <c r="Y505" s="264">
        <f t="shared" si="78"/>
        <v>496</v>
      </c>
      <c r="Z505" s="10">
        <v>100</v>
      </c>
      <c r="AA505" s="7">
        <v>100</v>
      </c>
      <c r="AB505" s="7">
        <v>496</v>
      </c>
      <c r="AC505" s="109">
        <v>9061</v>
      </c>
      <c r="AD505" s="109">
        <v>100719920.94220732</v>
      </c>
      <c r="AE505" s="125"/>
      <c r="AF505" s="10"/>
      <c r="AI505" s="109"/>
      <c r="AJ505" s="109"/>
      <c r="AL505" s="10"/>
      <c r="AO505" s="109"/>
      <c r="AP505" s="109"/>
      <c r="AR505" s="10"/>
      <c r="AU505" s="109"/>
      <c r="AV505" s="109"/>
      <c r="AX505" s="10"/>
      <c r="BA505" s="109"/>
      <c r="BB505" s="109"/>
      <c r="BD505" s="10"/>
      <c r="BG505" s="109"/>
      <c r="BH505" s="109"/>
      <c r="BJ505" s="10"/>
      <c r="BM505" s="109"/>
      <c r="BN505" s="109"/>
      <c r="BP505" s="10"/>
      <c r="BS505" s="109"/>
      <c r="BT505" s="109"/>
      <c r="BV505" s="10"/>
      <c r="BY505" s="109"/>
      <c r="BZ505" s="109"/>
      <c r="CB505" s="10"/>
      <c r="CE505" s="109"/>
      <c r="CF505" s="109"/>
      <c r="CH505" s="10"/>
      <c r="CK505" s="109"/>
      <c r="CL505" s="109"/>
    </row>
    <row r="506" spans="1:90">
      <c r="A506" s="7" t="str">
        <f t="shared" si="71"/>
        <v>01000829</v>
      </c>
      <c r="B506" s="7" t="s">
        <v>2439</v>
      </c>
      <c r="C506" s="7" t="s">
        <v>2763</v>
      </c>
      <c r="D506" s="7">
        <v>497</v>
      </c>
      <c r="E506" s="7">
        <v>100</v>
      </c>
      <c r="F506" s="7" t="s">
        <v>1806</v>
      </c>
      <c r="G506" s="7">
        <v>829</v>
      </c>
      <c r="H506" s="7" t="s">
        <v>1690</v>
      </c>
      <c r="I506" s="37">
        <v>8631783</v>
      </c>
      <c r="J506" s="122">
        <v>8.1400076552590614E-2</v>
      </c>
      <c r="K506" s="123">
        <f t="shared" si="80"/>
        <v>8804948.8966603559</v>
      </c>
      <c r="L506" s="122">
        <f>IF(K509&gt;0, K506/K509, 0)</f>
        <v>8.0392233376895522E-2</v>
      </c>
      <c r="M506" s="71"/>
      <c r="N506" s="10">
        <f>ROUND(M509*L506,0)</f>
        <v>5186802</v>
      </c>
      <c r="O506" s="70">
        <v>4999359</v>
      </c>
      <c r="P506" s="10">
        <f>N506-O506</f>
        <v>187443</v>
      </c>
      <c r="Q506" s="46">
        <f t="shared" si="79"/>
        <v>3.7493406654733135</v>
      </c>
      <c r="R506" s="10">
        <v>511</v>
      </c>
      <c r="S506" s="7">
        <f t="shared" si="72"/>
        <v>0</v>
      </c>
      <c r="T506" s="124">
        <f t="shared" si="73"/>
        <v>100</v>
      </c>
      <c r="U506" s="124">
        <f t="shared" si="74"/>
        <v>829</v>
      </c>
      <c r="V506" s="124">
        <f t="shared" si="75"/>
        <v>497</v>
      </c>
      <c r="W506" s="124">
        <f t="shared" si="76"/>
        <v>517.99999999939996</v>
      </c>
      <c r="X506" s="124">
        <f t="shared" si="77"/>
        <v>8804948.8966603559</v>
      </c>
      <c r="Y506" s="264">
        <f t="shared" si="78"/>
        <v>497</v>
      </c>
      <c r="Z506" s="10">
        <v>100</v>
      </c>
      <c r="AA506" s="7">
        <v>829</v>
      </c>
      <c r="AB506" s="7">
        <v>497</v>
      </c>
      <c r="AC506" s="109">
        <v>517.99999999939996</v>
      </c>
      <c r="AD506" s="109">
        <v>8804948.8966603559</v>
      </c>
      <c r="AE506" s="125"/>
      <c r="AF506" s="10"/>
      <c r="AI506" s="109"/>
      <c r="AJ506" s="109"/>
      <c r="AL506" s="10"/>
      <c r="AO506" s="109"/>
      <c r="AP506" s="109"/>
      <c r="AR506" s="10"/>
      <c r="AU506" s="109"/>
      <c r="AV506" s="109"/>
      <c r="AX506" s="10"/>
      <c r="BA506" s="109"/>
      <c r="BB506" s="109"/>
      <c r="BD506" s="10"/>
      <c r="BG506" s="109"/>
      <c r="BH506" s="109"/>
      <c r="BJ506" s="10"/>
      <c r="BM506" s="109"/>
      <c r="BN506" s="109"/>
      <c r="BP506" s="10"/>
      <c r="BS506" s="109"/>
      <c r="BT506" s="109"/>
      <c r="BV506" s="10"/>
      <c r="BY506" s="109"/>
      <c r="BZ506" s="109"/>
      <c r="CB506" s="10"/>
      <c r="CE506" s="109"/>
      <c r="CF506" s="109"/>
      <c r="CH506" s="10"/>
      <c r="CK506" s="109"/>
      <c r="CL506" s="109"/>
    </row>
    <row r="507" spans="1:90">
      <c r="A507" s="7" t="str">
        <f t="shared" si="71"/>
        <v>01000998</v>
      </c>
      <c r="B507" s="7" t="s">
        <v>2439</v>
      </c>
      <c r="C507" s="7" t="s">
        <v>2781</v>
      </c>
      <c r="D507" s="7">
        <v>498</v>
      </c>
      <c r="E507" s="7">
        <v>100</v>
      </c>
      <c r="F507" s="7" t="s">
        <v>2135</v>
      </c>
      <c r="G507" s="7">
        <v>998</v>
      </c>
      <c r="H507" s="7" t="s">
        <v>2135</v>
      </c>
      <c r="I507" s="37">
        <v>0</v>
      </c>
      <c r="J507" s="122">
        <v>0</v>
      </c>
      <c r="K507" s="123">
        <f t="shared" si="80"/>
        <v>0</v>
      </c>
      <c r="L507" s="122">
        <f>IF(K509&gt;0, K507/K509, 0)</f>
        <v>0</v>
      </c>
      <c r="M507" s="71"/>
      <c r="N507" s="10">
        <f>ROUND(M509*L507,0)</f>
        <v>0</v>
      </c>
      <c r="O507" s="70">
        <v>0</v>
      </c>
      <c r="P507" s="10">
        <f>N507-O507</f>
        <v>0</v>
      </c>
      <c r="Q507" s="46">
        <f t="shared" si="79"/>
        <v>0</v>
      </c>
      <c r="R507" s="10">
        <v>0</v>
      </c>
      <c r="S507" s="7">
        <f t="shared" si="72"/>
        <v>0</v>
      </c>
      <c r="T507" s="124">
        <f t="shared" si="73"/>
        <v>100</v>
      </c>
      <c r="U507" s="124">
        <f t="shared" si="74"/>
        <v>998</v>
      </c>
      <c r="V507" s="124">
        <f t="shared" si="75"/>
        <v>498</v>
      </c>
      <c r="W507" s="124">
        <f t="shared" si="76"/>
        <v>0</v>
      </c>
      <c r="X507" s="124">
        <f t="shared" si="77"/>
        <v>0</v>
      </c>
      <c r="Y507" s="264">
        <f t="shared" si="78"/>
        <v>498</v>
      </c>
      <c r="Z507" s="10">
        <v>100</v>
      </c>
      <c r="AA507" s="7">
        <v>998</v>
      </c>
      <c r="AB507" s="7">
        <v>498</v>
      </c>
      <c r="AC507" s="109">
        <v>0</v>
      </c>
      <c r="AD507" s="109">
        <v>0</v>
      </c>
      <c r="AE507" s="125"/>
      <c r="AF507" s="10"/>
      <c r="AI507" s="109"/>
      <c r="AJ507" s="109"/>
      <c r="AL507" s="10"/>
      <c r="AO507" s="109"/>
      <c r="AP507" s="109"/>
      <c r="AR507" s="10"/>
      <c r="AU507" s="109"/>
      <c r="AV507" s="109"/>
      <c r="AX507" s="10"/>
      <c r="BA507" s="109"/>
      <c r="BB507" s="109"/>
      <c r="BD507" s="10"/>
      <c r="BG507" s="109"/>
      <c r="BH507" s="109"/>
      <c r="BJ507" s="10"/>
      <c r="BM507" s="109"/>
      <c r="BN507" s="109"/>
      <c r="BP507" s="10"/>
      <c r="BS507" s="109"/>
      <c r="BT507" s="109"/>
      <c r="BV507" s="10"/>
      <c r="BY507" s="109"/>
      <c r="BZ507" s="109"/>
      <c r="CB507" s="10"/>
      <c r="CE507" s="109"/>
      <c r="CF507" s="109"/>
      <c r="CH507" s="10"/>
      <c r="CK507" s="109"/>
      <c r="CL507" s="109"/>
    </row>
    <row r="508" spans="1:90">
      <c r="A508" s="7" t="str">
        <f t="shared" si="71"/>
        <v>01000998</v>
      </c>
      <c r="B508" s="7" t="s">
        <v>2439</v>
      </c>
      <c r="C508" s="7" t="s">
        <v>2781</v>
      </c>
      <c r="D508" s="7">
        <v>499</v>
      </c>
      <c r="E508" s="7">
        <v>100</v>
      </c>
      <c r="F508" s="7" t="s">
        <v>2135</v>
      </c>
      <c r="G508" s="7">
        <v>998</v>
      </c>
      <c r="H508" s="7" t="s">
        <v>2135</v>
      </c>
      <c r="I508" s="37">
        <v>0</v>
      </c>
      <c r="J508" s="122">
        <v>0</v>
      </c>
      <c r="K508" s="123">
        <f t="shared" si="80"/>
        <v>0</v>
      </c>
      <c r="L508" s="122">
        <f>IF(K509&gt;0, K508/K509, 0)</f>
        <v>0</v>
      </c>
      <c r="M508" s="71"/>
      <c r="N508" s="10">
        <f>ROUND(M509*L508,0)</f>
        <v>0</v>
      </c>
      <c r="O508" s="70">
        <v>0</v>
      </c>
      <c r="P508" s="10">
        <f>N508-O508</f>
        <v>0</v>
      </c>
      <c r="Q508" s="46">
        <f t="shared" si="79"/>
        <v>0</v>
      </c>
      <c r="R508" s="10">
        <v>0</v>
      </c>
      <c r="S508" s="7">
        <f t="shared" si="72"/>
        <v>0</v>
      </c>
      <c r="T508" s="124">
        <f t="shared" si="73"/>
        <v>100</v>
      </c>
      <c r="U508" s="124">
        <f t="shared" si="74"/>
        <v>998</v>
      </c>
      <c r="V508" s="124">
        <f t="shared" si="75"/>
        <v>499</v>
      </c>
      <c r="W508" s="124">
        <f t="shared" si="76"/>
        <v>0</v>
      </c>
      <c r="X508" s="124">
        <f t="shared" si="77"/>
        <v>0</v>
      </c>
      <c r="Y508" s="264">
        <f t="shared" si="78"/>
        <v>499</v>
      </c>
      <c r="Z508" s="10">
        <v>100</v>
      </c>
      <c r="AA508" s="7">
        <v>998</v>
      </c>
      <c r="AB508" s="7">
        <v>499</v>
      </c>
      <c r="AC508" s="109">
        <v>0</v>
      </c>
      <c r="AD508" s="109">
        <v>0</v>
      </c>
      <c r="AE508" s="125"/>
      <c r="AF508" s="10"/>
      <c r="AI508" s="109"/>
      <c r="AJ508" s="109"/>
      <c r="AL508" s="10"/>
      <c r="AO508" s="109"/>
      <c r="AP508" s="109"/>
      <c r="AR508" s="10"/>
      <c r="AU508" s="109"/>
      <c r="AV508" s="109"/>
      <c r="AX508" s="10"/>
      <c r="BA508" s="109"/>
      <c r="BB508" s="109"/>
      <c r="BD508" s="10"/>
      <c r="BG508" s="109"/>
      <c r="BH508" s="109"/>
      <c r="BJ508" s="10"/>
      <c r="BM508" s="109"/>
      <c r="BN508" s="109"/>
      <c r="BP508" s="10"/>
      <c r="BS508" s="109"/>
      <c r="BT508" s="109"/>
      <c r="BV508" s="10"/>
      <c r="BY508" s="109"/>
      <c r="BZ508" s="109"/>
      <c r="CB508" s="10"/>
      <c r="CE508" s="109"/>
      <c r="CF508" s="109"/>
      <c r="CH508" s="10"/>
      <c r="CK508" s="109"/>
      <c r="CL508" s="109"/>
    </row>
    <row r="509" spans="1:90">
      <c r="A509" s="7" t="str">
        <f t="shared" si="71"/>
        <v>01000999</v>
      </c>
      <c r="B509" s="7" t="s">
        <v>2439</v>
      </c>
      <c r="C509" s="7" t="s">
        <v>2782</v>
      </c>
      <c r="D509" s="7">
        <v>500</v>
      </c>
      <c r="E509" s="11">
        <v>100</v>
      </c>
      <c r="F509" s="11" t="s">
        <v>1806</v>
      </c>
      <c r="G509" s="11">
        <v>999</v>
      </c>
      <c r="H509" s="11" t="s">
        <v>1132</v>
      </c>
      <c r="I509" s="105">
        <v>106041460.46992001</v>
      </c>
      <c r="J509" s="126">
        <v>1</v>
      </c>
      <c r="K509" s="127">
        <f>SUM(K505:K508)</f>
        <v>109524869.83886768</v>
      </c>
      <c r="L509" s="126">
        <f>SUM(L505:L508)</f>
        <v>1</v>
      </c>
      <c r="M509" s="105">
        <f>VLOOKUP(E509,town351,22)</f>
        <v>64518699</v>
      </c>
      <c r="N509" s="105">
        <f>SUM(N505:N508)</f>
        <v>64518699</v>
      </c>
      <c r="O509" s="128">
        <v>61417134</v>
      </c>
      <c r="P509" s="105">
        <f>SUM(P505:P508)</f>
        <v>3101565</v>
      </c>
      <c r="Q509" s="45">
        <f t="shared" si="79"/>
        <v>5.0499995652678944</v>
      </c>
      <c r="R509" s="105">
        <v>9412</v>
      </c>
      <c r="S509" s="7">
        <f t="shared" si="72"/>
        <v>0</v>
      </c>
      <c r="T509" s="124">
        <f t="shared" si="73"/>
        <v>100</v>
      </c>
      <c r="U509" s="124">
        <f t="shared" si="74"/>
        <v>999</v>
      </c>
      <c r="V509" s="124">
        <f t="shared" si="75"/>
        <v>500</v>
      </c>
      <c r="W509" s="124">
        <f t="shared" si="76"/>
        <v>9578.9999999993997</v>
      </c>
      <c r="X509" s="124">
        <f t="shared" si="77"/>
        <v>109524869.83886768</v>
      </c>
      <c r="Y509" s="264">
        <f t="shared" si="78"/>
        <v>500</v>
      </c>
      <c r="Z509" s="10">
        <v>100</v>
      </c>
      <c r="AA509" s="7">
        <v>999</v>
      </c>
      <c r="AB509" s="7">
        <v>500</v>
      </c>
      <c r="AC509" s="109">
        <v>9578.9999999993997</v>
      </c>
      <c r="AD509" s="109">
        <v>109524869.83886768</v>
      </c>
      <c r="AE509" s="125"/>
      <c r="AF509" s="10"/>
      <c r="AI509" s="109"/>
      <c r="AJ509" s="109"/>
      <c r="AL509" s="10"/>
      <c r="AO509" s="109"/>
      <c r="AP509" s="109"/>
      <c r="AR509" s="10"/>
      <c r="AU509" s="109"/>
      <c r="AV509" s="109"/>
      <c r="AX509" s="10"/>
      <c r="BA509" s="109"/>
      <c r="BB509" s="109"/>
      <c r="BD509" s="10"/>
      <c r="BG509" s="109"/>
      <c r="BH509" s="109"/>
      <c r="BJ509" s="10"/>
      <c r="BM509" s="109"/>
      <c r="BN509" s="109"/>
      <c r="BP509" s="10"/>
      <c r="BS509" s="109"/>
      <c r="BT509" s="109"/>
      <c r="BV509" s="10"/>
      <c r="BY509" s="109"/>
      <c r="BZ509" s="109"/>
      <c r="CB509" s="10"/>
      <c r="CE509" s="109"/>
      <c r="CF509" s="109"/>
      <c r="CH509" s="10"/>
      <c r="CK509" s="109"/>
      <c r="CL509" s="109"/>
    </row>
    <row r="510" spans="1:90">
      <c r="A510" s="7" t="str">
        <f t="shared" si="71"/>
        <v>01010101</v>
      </c>
      <c r="B510" s="7" t="s">
        <v>2440</v>
      </c>
      <c r="C510" s="7" t="s">
        <v>2440</v>
      </c>
      <c r="D510" s="7">
        <v>501</v>
      </c>
      <c r="E510" s="7">
        <v>101</v>
      </c>
      <c r="F510" s="7" t="s">
        <v>1807</v>
      </c>
      <c r="G510" s="7">
        <v>101</v>
      </c>
      <c r="H510" s="7" t="s">
        <v>1367</v>
      </c>
      <c r="I510" s="37">
        <v>56727033.490920007</v>
      </c>
      <c r="J510" s="122">
        <v>0.94184893584261209</v>
      </c>
      <c r="K510" s="123">
        <f>X510</f>
        <v>57148940.326983534</v>
      </c>
      <c r="L510" s="122">
        <f>IF(K514&gt;0, K510/K514, 0)</f>
        <v>0.94130319167615895</v>
      </c>
      <c r="M510" s="71"/>
      <c r="N510" s="10">
        <f>ROUND(M514*L510,0)</f>
        <v>36769474</v>
      </c>
      <c r="O510" s="70">
        <v>35443923</v>
      </c>
      <c r="P510" s="10">
        <f>N510-O510</f>
        <v>1325551</v>
      </c>
      <c r="Q510" s="46">
        <f t="shared" si="79"/>
        <v>3.7398540787937047</v>
      </c>
      <c r="R510" s="10">
        <v>5963</v>
      </c>
      <c r="S510" s="7">
        <f t="shared" si="72"/>
        <v>0</v>
      </c>
      <c r="T510" s="124">
        <f t="shared" si="73"/>
        <v>101</v>
      </c>
      <c r="U510" s="124">
        <f t="shared" si="74"/>
        <v>101</v>
      </c>
      <c r="V510" s="124">
        <f t="shared" si="75"/>
        <v>501</v>
      </c>
      <c r="W510" s="124">
        <f t="shared" si="76"/>
        <v>5818</v>
      </c>
      <c r="X510" s="124">
        <f t="shared" si="77"/>
        <v>57148940.326983534</v>
      </c>
      <c r="Y510" s="264">
        <f t="shared" si="78"/>
        <v>501</v>
      </c>
      <c r="Z510" s="10">
        <v>101</v>
      </c>
      <c r="AA510" s="7">
        <v>101</v>
      </c>
      <c r="AB510" s="7">
        <v>501</v>
      </c>
      <c r="AC510" s="109">
        <v>5818</v>
      </c>
      <c r="AD510" s="109">
        <v>57148940.326983534</v>
      </c>
      <c r="AE510" s="125"/>
      <c r="AF510" s="10"/>
      <c r="AI510" s="109"/>
      <c r="AJ510" s="109"/>
      <c r="AL510" s="10"/>
      <c r="AO510" s="109"/>
      <c r="AP510" s="109"/>
      <c r="AR510" s="10"/>
      <c r="AU510" s="109"/>
      <c r="AV510" s="109"/>
      <c r="AX510" s="10"/>
      <c r="BA510" s="109"/>
      <c r="BB510" s="109"/>
      <c r="BD510" s="10"/>
      <c r="BG510" s="109"/>
      <c r="BH510" s="109"/>
      <c r="BJ510" s="10"/>
      <c r="BM510" s="109"/>
      <c r="BN510" s="109"/>
      <c r="BP510" s="10"/>
      <c r="BS510" s="109"/>
      <c r="BT510" s="109"/>
      <c r="BV510" s="10"/>
      <c r="BY510" s="109"/>
      <c r="BZ510" s="109"/>
      <c r="CB510" s="10"/>
      <c r="CE510" s="109"/>
      <c r="CF510" s="109"/>
      <c r="CH510" s="10"/>
      <c r="CK510" s="109"/>
      <c r="CL510" s="109"/>
    </row>
    <row r="511" spans="1:90">
      <c r="A511" s="7" t="str">
        <f t="shared" si="71"/>
        <v>01010878</v>
      </c>
      <c r="B511" s="7" t="s">
        <v>2440</v>
      </c>
      <c r="C511" s="7" t="s">
        <v>2775</v>
      </c>
      <c r="D511" s="7">
        <v>502</v>
      </c>
      <c r="E511" s="7">
        <v>101</v>
      </c>
      <c r="F511" s="7" t="s">
        <v>1807</v>
      </c>
      <c r="G511" s="7">
        <v>878</v>
      </c>
      <c r="H511" s="7" t="s">
        <v>1702</v>
      </c>
      <c r="I511" s="37">
        <v>3276484</v>
      </c>
      <c r="J511" s="122">
        <v>5.4400041370033868E-2</v>
      </c>
      <c r="K511" s="123">
        <f t="shared" si="80"/>
        <v>3365966.79098754</v>
      </c>
      <c r="L511" s="122">
        <f>IF(K514&gt;0, K511/K514, 0)</f>
        <v>5.544101544672974E-2</v>
      </c>
      <c r="M511" s="71"/>
      <c r="N511" s="10">
        <f>ROUND(M514*L511,0)</f>
        <v>2165654</v>
      </c>
      <c r="O511" s="70">
        <v>2047198</v>
      </c>
      <c r="P511" s="10">
        <f>N511-O511</f>
        <v>118456</v>
      </c>
      <c r="Q511" s="46">
        <f t="shared" si="79"/>
        <v>5.7862502796505275</v>
      </c>
      <c r="R511" s="10">
        <v>206</v>
      </c>
      <c r="S511" s="7">
        <f t="shared" si="72"/>
        <v>0</v>
      </c>
      <c r="T511" s="124">
        <f t="shared" si="73"/>
        <v>101</v>
      </c>
      <c r="U511" s="124">
        <f t="shared" si="74"/>
        <v>878</v>
      </c>
      <c r="V511" s="124">
        <f t="shared" si="75"/>
        <v>502</v>
      </c>
      <c r="W511" s="124">
        <f t="shared" si="76"/>
        <v>205.00000000028999</v>
      </c>
      <c r="X511" s="124">
        <f t="shared" si="77"/>
        <v>3365966.79098754</v>
      </c>
      <c r="Y511" s="264">
        <f t="shared" si="78"/>
        <v>502</v>
      </c>
      <c r="Z511" s="10">
        <v>101</v>
      </c>
      <c r="AA511" s="7">
        <v>878</v>
      </c>
      <c r="AB511" s="7">
        <v>502</v>
      </c>
      <c r="AC511" s="109">
        <v>205.00000000028999</v>
      </c>
      <c r="AD511" s="109">
        <v>3365966.79098754</v>
      </c>
      <c r="AE511" s="125"/>
      <c r="AF511" s="10"/>
      <c r="AI511" s="109"/>
      <c r="AJ511" s="109"/>
      <c r="AL511" s="10"/>
      <c r="AO511" s="109"/>
      <c r="AP511" s="109"/>
      <c r="AR511" s="10"/>
      <c r="AU511" s="109"/>
      <c r="AV511" s="109"/>
      <c r="AX511" s="10"/>
      <c r="BA511" s="109"/>
      <c r="BB511" s="109"/>
      <c r="BD511" s="10"/>
      <c r="BG511" s="109"/>
      <c r="BH511" s="109"/>
      <c r="BJ511" s="10"/>
      <c r="BM511" s="109"/>
      <c r="BN511" s="109"/>
      <c r="BP511" s="10"/>
      <c r="BS511" s="109"/>
      <c r="BT511" s="109"/>
      <c r="BV511" s="10"/>
      <c r="BY511" s="109"/>
      <c r="BZ511" s="109"/>
      <c r="CB511" s="10"/>
      <c r="CE511" s="109"/>
      <c r="CF511" s="109"/>
      <c r="CH511" s="10"/>
      <c r="CK511" s="109"/>
      <c r="CL511" s="109"/>
    </row>
    <row r="512" spans="1:90">
      <c r="A512" s="7" t="str">
        <f t="shared" si="71"/>
        <v>01010915</v>
      </c>
      <c r="B512" s="7" t="s">
        <v>2440</v>
      </c>
      <c r="C512" s="7" t="s">
        <v>2779</v>
      </c>
      <c r="D512" s="7">
        <v>503</v>
      </c>
      <c r="E512" s="7">
        <v>101</v>
      </c>
      <c r="F512" s="7" t="s">
        <v>1807</v>
      </c>
      <c r="G512" s="7">
        <v>915</v>
      </c>
      <c r="H512" s="7" t="s">
        <v>1706</v>
      </c>
      <c r="I512" s="37">
        <v>225922</v>
      </c>
      <c r="J512" s="122">
        <v>3.7510227873540024E-3</v>
      </c>
      <c r="K512" s="123">
        <f t="shared" si="80"/>
        <v>197667.56821436534</v>
      </c>
      <c r="L512" s="122">
        <f>IF(K514&gt;0, K512/K514, 0)</f>
        <v>3.255792877111217E-3</v>
      </c>
      <c r="M512" s="71"/>
      <c r="N512" s="10">
        <f>ROUND(M514*L512,0)</f>
        <v>127179</v>
      </c>
      <c r="O512" s="70">
        <v>141160</v>
      </c>
      <c r="P512" s="10">
        <f>N512-O512</f>
        <v>-13981</v>
      </c>
      <c r="Q512" s="46">
        <f t="shared" si="79"/>
        <v>-9.9043638424482854</v>
      </c>
      <c r="R512" s="10">
        <v>14</v>
      </c>
      <c r="S512" s="7">
        <f t="shared" si="72"/>
        <v>0</v>
      </c>
      <c r="T512" s="124">
        <f t="shared" si="73"/>
        <v>101</v>
      </c>
      <c r="U512" s="124">
        <f t="shared" si="74"/>
        <v>915</v>
      </c>
      <c r="V512" s="124">
        <f t="shared" si="75"/>
        <v>503</v>
      </c>
      <c r="W512" s="124">
        <f t="shared" si="76"/>
        <v>12.000000000510001</v>
      </c>
      <c r="X512" s="124">
        <f t="shared" si="77"/>
        <v>197667.56821436534</v>
      </c>
      <c r="Y512" s="264">
        <f t="shared" si="78"/>
        <v>503</v>
      </c>
      <c r="Z512" s="10">
        <v>101</v>
      </c>
      <c r="AA512" s="7">
        <v>915</v>
      </c>
      <c r="AB512" s="7">
        <v>503</v>
      </c>
      <c r="AC512" s="109">
        <v>12.000000000510001</v>
      </c>
      <c r="AD512" s="109">
        <v>197667.56821436534</v>
      </c>
      <c r="AE512" s="125"/>
      <c r="AF512" s="10"/>
      <c r="AI512" s="109"/>
      <c r="AJ512" s="109"/>
      <c r="AL512" s="10"/>
      <c r="AO512" s="109"/>
      <c r="AP512" s="109"/>
      <c r="AR512" s="10"/>
      <c r="AU512" s="109"/>
      <c r="AV512" s="109"/>
      <c r="AX512" s="10"/>
      <c r="BA512" s="109"/>
      <c r="BB512" s="109"/>
      <c r="BD512" s="10"/>
      <c r="BG512" s="109"/>
      <c r="BH512" s="109"/>
      <c r="BJ512" s="10"/>
      <c r="BM512" s="109"/>
      <c r="BN512" s="109"/>
      <c r="BP512" s="10"/>
      <c r="BS512" s="109"/>
      <c r="BT512" s="109"/>
      <c r="BV512" s="10"/>
      <c r="BY512" s="109"/>
      <c r="BZ512" s="109"/>
      <c r="CB512" s="10"/>
      <c r="CE512" s="109"/>
      <c r="CF512" s="109"/>
      <c r="CH512" s="10"/>
      <c r="CK512" s="109"/>
      <c r="CL512" s="109"/>
    </row>
    <row r="513" spans="1:90">
      <c r="A513" s="7" t="str">
        <f t="shared" si="71"/>
        <v>01010998</v>
      </c>
      <c r="B513" s="7" t="s">
        <v>2440</v>
      </c>
      <c r="C513" s="7" t="s">
        <v>2781</v>
      </c>
      <c r="D513" s="7">
        <v>504</v>
      </c>
      <c r="E513" s="7">
        <v>101</v>
      </c>
      <c r="F513" s="7" t="s">
        <v>2135</v>
      </c>
      <c r="G513" s="7">
        <v>998</v>
      </c>
      <c r="H513" s="7" t="s">
        <v>2135</v>
      </c>
      <c r="I513" s="37">
        <v>0</v>
      </c>
      <c r="J513" s="122">
        <v>0</v>
      </c>
      <c r="K513" s="123">
        <f t="shared" si="80"/>
        <v>0</v>
      </c>
      <c r="L513" s="122">
        <f>IF(K514&gt;0, K513/K514, 0)</f>
        <v>0</v>
      </c>
      <c r="M513" s="71"/>
      <c r="N513" s="10">
        <f>ROUND(M514*L513,0)</f>
        <v>0</v>
      </c>
      <c r="O513" s="70">
        <v>0</v>
      </c>
      <c r="P513" s="10">
        <f>N513-O513</f>
        <v>0</v>
      </c>
      <c r="Q513" s="46">
        <f t="shared" si="79"/>
        <v>0</v>
      </c>
      <c r="R513" s="10">
        <v>0</v>
      </c>
      <c r="S513" s="7">
        <f t="shared" si="72"/>
        <v>0</v>
      </c>
      <c r="T513" s="124">
        <f t="shared" si="73"/>
        <v>101</v>
      </c>
      <c r="U513" s="124">
        <f t="shared" si="74"/>
        <v>998</v>
      </c>
      <c r="V513" s="124">
        <f t="shared" si="75"/>
        <v>504</v>
      </c>
      <c r="W513" s="124">
        <f t="shared" si="76"/>
        <v>0</v>
      </c>
      <c r="X513" s="124">
        <f t="shared" si="77"/>
        <v>0</v>
      </c>
      <c r="Y513" s="264">
        <f t="shared" si="78"/>
        <v>504</v>
      </c>
      <c r="Z513" s="10">
        <v>101</v>
      </c>
      <c r="AA513" s="7">
        <v>998</v>
      </c>
      <c r="AB513" s="7">
        <v>504</v>
      </c>
      <c r="AC513" s="109">
        <v>0</v>
      </c>
      <c r="AD513" s="109">
        <v>0</v>
      </c>
      <c r="AE513" s="125"/>
      <c r="AF513" s="10"/>
      <c r="AI513" s="109"/>
      <c r="AJ513" s="109"/>
      <c r="AL513" s="10"/>
      <c r="AO513" s="109"/>
      <c r="AP513" s="109"/>
      <c r="AR513" s="10"/>
      <c r="AU513" s="109"/>
      <c r="AV513" s="109"/>
      <c r="AX513" s="10"/>
      <c r="BA513" s="109"/>
      <c r="BB513" s="109"/>
      <c r="BD513" s="10"/>
      <c r="BG513" s="109"/>
      <c r="BH513" s="109"/>
      <c r="BJ513" s="10"/>
      <c r="BM513" s="109"/>
      <c r="BN513" s="109"/>
      <c r="BP513" s="10"/>
      <c r="BS513" s="109"/>
      <c r="BT513" s="109"/>
      <c r="BV513" s="10"/>
      <c r="BY513" s="109"/>
      <c r="BZ513" s="109"/>
      <c r="CB513" s="10"/>
      <c r="CE513" s="109"/>
      <c r="CF513" s="109"/>
      <c r="CH513" s="10"/>
      <c r="CK513" s="109"/>
      <c r="CL513" s="109"/>
    </row>
    <row r="514" spans="1:90">
      <c r="A514" s="7" t="str">
        <f t="shared" si="71"/>
        <v>01010999</v>
      </c>
      <c r="B514" s="7" t="s">
        <v>2440</v>
      </c>
      <c r="C514" s="7" t="s">
        <v>2782</v>
      </c>
      <c r="D514" s="7">
        <v>505</v>
      </c>
      <c r="E514" s="11">
        <v>101</v>
      </c>
      <c r="F514" s="11" t="s">
        <v>1807</v>
      </c>
      <c r="G514" s="11">
        <v>999</v>
      </c>
      <c r="H514" s="11" t="s">
        <v>1132</v>
      </c>
      <c r="I514" s="105">
        <v>60229439.490920007</v>
      </c>
      <c r="J514" s="126">
        <v>0.99999999999999989</v>
      </c>
      <c r="K514" s="127">
        <f>SUM(K510:K513)</f>
        <v>60712574.686185442</v>
      </c>
      <c r="L514" s="126">
        <f>SUM(L510:L513)</f>
        <v>0.99999999999999989</v>
      </c>
      <c r="M514" s="105">
        <f>VLOOKUP(E514,town351,22)</f>
        <v>39062307</v>
      </c>
      <c r="N514" s="105">
        <f>SUM(N510:N513)</f>
        <v>39062307</v>
      </c>
      <c r="O514" s="128">
        <v>37632281</v>
      </c>
      <c r="P514" s="105">
        <f>SUM(P510:P513)</f>
        <v>1430026</v>
      </c>
      <c r="Q514" s="45">
        <f t="shared" si="79"/>
        <v>3.7999981983552895</v>
      </c>
      <c r="R514" s="105">
        <v>6183</v>
      </c>
      <c r="S514" s="7">
        <f t="shared" si="72"/>
        <v>0</v>
      </c>
      <c r="T514" s="124">
        <f t="shared" si="73"/>
        <v>101</v>
      </c>
      <c r="U514" s="124">
        <f t="shared" si="74"/>
        <v>999</v>
      </c>
      <c r="V514" s="124">
        <f t="shared" si="75"/>
        <v>505</v>
      </c>
      <c r="W514" s="124">
        <f t="shared" si="76"/>
        <v>6035.0000000008004</v>
      </c>
      <c r="X514" s="124">
        <f t="shared" si="77"/>
        <v>60712574.686185442</v>
      </c>
      <c r="Y514" s="264">
        <f t="shared" si="78"/>
        <v>505</v>
      </c>
      <c r="Z514" s="10">
        <v>101</v>
      </c>
      <c r="AA514" s="7">
        <v>999</v>
      </c>
      <c r="AB514" s="7">
        <v>505</v>
      </c>
      <c r="AC514" s="109">
        <v>6035.0000000008004</v>
      </c>
      <c r="AD514" s="109">
        <v>60712574.686185442</v>
      </c>
      <c r="AE514" s="125"/>
      <c r="AF514" s="10"/>
      <c r="AI514" s="109"/>
      <c r="AJ514" s="109"/>
      <c r="AL514" s="10"/>
      <c r="AO514" s="109"/>
      <c r="AP514" s="109"/>
      <c r="AR514" s="10"/>
      <c r="AU514" s="109"/>
      <c r="AV514" s="109"/>
      <c r="AX514" s="10"/>
      <c r="BA514" s="109"/>
      <c r="BB514" s="109"/>
      <c r="BD514" s="10"/>
      <c r="BG514" s="109"/>
      <c r="BH514" s="109"/>
      <c r="BJ514" s="10"/>
      <c r="BM514" s="109"/>
      <c r="BN514" s="109"/>
      <c r="BP514" s="10"/>
      <c r="BS514" s="109"/>
      <c r="BT514" s="109"/>
      <c r="BV514" s="10"/>
      <c r="BY514" s="109"/>
      <c r="BZ514" s="109"/>
      <c r="CB514" s="10"/>
      <c r="CE514" s="109"/>
      <c r="CF514" s="109"/>
      <c r="CH514" s="10"/>
      <c r="CK514" s="109"/>
      <c r="CL514" s="109"/>
    </row>
    <row r="515" spans="1:90">
      <c r="A515" s="7" t="str">
        <f t="shared" si="71"/>
        <v>01020102</v>
      </c>
      <c r="B515" s="7" t="s">
        <v>2441</v>
      </c>
      <c r="C515" s="7" t="s">
        <v>2441</v>
      </c>
      <c r="D515" s="7">
        <v>506</v>
      </c>
      <c r="E515" s="7">
        <v>102</v>
      </c>
      <c r="F515" s="7" t="s">
        <v>1808</v>
      </c>
      <c r="G515" s="7">
        <v>102</v>
      </c>
      <c r="H515" s="7" t="s">
        <v>1368</v>
      </c>
      <c r="I515" s="70">
        <v>1326002.28</v>
      </c>
      <c r="J515" s="131">
        <v>0.10030478319979891</v>
      </c>
      <c r="K515" s="123">
        <f>X515</f>
        <v>1336875.3977878354</v>
      </c>
      <c r="L515" s="122">
        <f>IF(K519&gt;0, K515/K519, 0)</f>
        <v>0.10171732131451318</v>
      </c>
      <c r="M515" s="71"/>
      <c r="N515" s="10">
        <f>ROUND(M519*L515,0)</f>
        <v>897676</v>
      </c>
      <c r="O515" s="70">
        <v>873318</v>
      </c>
      <c r="P515" s="10">
        <f>N515-O515</f>
        <v>24358</v>
      </c>
      <c r="Q515" s="46">
        <f t="shared" si="79"/>
        <v>2.7891329389752646</v>
      </c>
      <c r="R515" s="62">
        <v>93</v>
      </c>
      <c r="S515" s="7">
        <f t="shared" si="72"/>
        <v>0</v>
      </c>
      <c r="T515" s="124">
        <f t="shared" si="73"/>
        <v>102</v>
      </c>
      <c r="U515" s="124">
        <f t="shared" si="74"/>
        <v>102</v>
      </c>
      <c r="V515" s="124">
        <f t="shared" si="75"/>
        <v>506</v>
      </c>
      <c r="W515" s="124">
        <f t="shared" si="76"/>
        <v>92</v>
      </c>
      <c r="X515" s="124">
        <f t="shared" si="77"/>
        <v>1336875.3977878354</v>
      </c>
      <c r="Y515" s="264">
        <f t="shared" si="78"/>
        <v>506</v>
      </c>
      <c r="Z515" s="10">
        <v>102</v>
      </c>
      <c r="AA515" s="7">
        <v>102</v>
      </c>
      <c r="AB515" s="7">
        <v>506</v>
      </c>
      <c r="AC515" s="109">
        <v>92</v>
      </c>
      <c r="AD515" s="109">
        <v>1336875.3977878354</v>
      </c>
      <c r="AE515" s="125"/>
      <c r="AF515" s="10"/>
      <c r="AI515" s="109"/>
      <c r="AJ515" s="109"/>
      <c r="AL515" s="10"/>
      <c r="AO515" s="109"/>
      <c r="AP515" s="109"/>
      <c r="AR515" s="10"/>
      <c r="AU515" s="109"/>
      <c r="AV515" s="109"/>
      <c r="AX515" s="10"/>
      <c r="BA515" s="109"/>
      <c r="BB515" s="109"/>
      <c r="BD515" s="10"/>
      <c r="BG515" s="109"/>
      <c r="BH515" s="109"/>
      <c r="BJ515" s="10"/>
      <c r="BM515" s="109"/>
      <c r="BN515" s="109"/>
      <c r="BP515" s="10"/>
      <c r="BS515" s="109"/>
      <c r="BT515" s="109"/>
      <c r="BV515" s="10"/>
      <c r="BY515" s="109"/>
      <c r="BZ515" s="109"/>
      <c r="CB515" s="10"/>
      <c r="CE515" s="109"/>
      <c r="CF515" s="109"/>
      <c r="CH515" s="10"/>
      <c r="CK515" s="109"/>
      <c r="CL515" s="109"/>
    </row>
    <row r="516" spans="1:90">
      <c r="A516" s="7" t="str">
        <f t="shared" si="71"/>
        <v>01020665</v>
      </c>
      <c r="B516" s="7" t="s">
        <v>2441</v>
      </c>
      <c r="C516" s="7" t="s">
        <v>2713</v>
      </c>
      <c r="D516" s="7">
        <v>507</v>
      </c>
      <c r="E516" s="7">
        <v>102</v>
      </c>
      <c r="F516" s="7" t="s">
        <v>1808</v>
      </c>
      <c r="G516" s="7">
        <v>665</v>
      </c>
      <c r="H516" s="7" t="s">
        <v>1640</v>
      </c>
      <c r="I516" s="70">
        <v>11633264</v>
      </c>
      <c r="J516" s="131">
        <v>0.87999247137495529</v>
      </c>
      <c r="K516" s="123">
        <f t="shared" si="80"/>
        <v>11649998.937541919</v>
      </c>
      <c r="L516" s="122">
        <f>IF(K519&gt;0, K516/K519, 0)</f>
        <v>0.88640024882240465</v>
      </c>
      <c r="M516" s="71"/>
      <c r="N516" s="10">
        <f>ROUND(M519*L516,0)</f>
        <v>7822664</v>
      </c>
      <c r="O516" s="70">
        <v>7661781</v>
      </c>
      <c r="P516" s="10">
        <f>N516-O516</f>
        <v>160883</v>
      </c>
      <c r="Q516" s="46">
        <f t="shared" si="79"/>
        <v>2.0998120410907073</v>
      </c>
      <c r="R516" s="62">
        <v>1223</v>
      </c>
      <c r="S516" s="7">
        <f t="shared" si="72"/>
        <v>0</v>
      </c>
      <c r="T516" s="124">
        <f t="shared" si="73"/>
        <v>102</v>
      </c>
      <c r="U516" s="124">
        <f t="shared" si="74"/>
        <v>665</v>
      </c>
      <c r="V516" s="124">
        <f t="shared" si="75"/>
        <v>507</v>
      </c>
      <c r="W516" s="124">
        <f t="shared" si="76"/>
        <v>1205.2447302677599</v>
      </c>
      <c r="X516" s="124">
        <f t="shared" si="77"/>
        <v>11649998.937541919</v>
      </c>
      <c r="Y516" s="264">
        <f t="shared" si="78"/>
        <v>507</v>
      </c>
      <c r="Z516" s="10">
        <v>102</v>
      </c>
      <c r="AA516" s="7">
        <v>665</v>
      </c>
      <c r="AB516" s="7">
        <v>507</v>
      </c>
      <c r="AC516" s="109">
        <v>1205.2447302677599</v>
      </c>
      <c r="AD516" s="109">
        <v>11649998.937541919</v>
      </c>
      <c r="AE516" s="125"/>
      <c r="AF516" s="10"/>
      <c r="AI516" s="109"/>
      <c r="AJ516" s="109"/>
      <c r="AL516" s="10"/>
      <c r="AO516" s="109"/>
      <c r="AP516" s="109"/>
      <c r="AR516" s="10"/>
      <c r="AU516" s="109"/>
      <c r="AV516" s="109"/>
      <c r="AX516" s="10"/>
      <c r="BA516" s="109"/>
      <c r="BB516" s="109"/>
      <c r="BD516" s="10"/>
      <c r="BG516" s="109"/>
      <c r="BH516" s="109"/>
      <c r="BJ516" s="10"/>
      <c r="BM516" s="109"/>
      <c r="BN516" s="109"/>
      <c r="BP516" s="10"/>
      <c r="BS516" s="109"/>
      <c r="BT516" s="109"/>
      <c r="BV516" s="10"/>
      <c r="BY516" s="109"/>
      <c r="BZ516" s="109"/>
      <c r="CB516" s="10"/>
      <c r="CE516" s="109"/>
      <c r="CF516" s="109"/>
      <c r="CH516" s="10"/>
      <c r="CK516" s="109"/>
      <c r="CL516" s="109"/>
    </row>
    <row r="517" spans="1:90">
      <c r="A517" s="7" t="str">
        <f t="shared" si="71"/>
        <v>01020910</v>
      </c>
      <c r="B517" s="7" t="s">
        <v>2441</v>
      </c>
      <c r="C517" s="7" t="s">
        <v>2778</v>
      </c>
      <c r="D517" s="7">
        <v>508</v>
      </c>
      <c r="E517" s="7">
        <v>102</v>
      </c>
      <c r="F517" s="7" t="s">
        <v>1808</v>
      </c>
      <c r="G517" s="7">
        <v>910</v>
      </c>
      <c r="H517" s="7" t="s">
        <v>1705</v>
      </c>
      <c r="I517" s="70">
        <v>260465</v>
      </c>
      <c r="J517" s="131">
        <v>1.9702745425245891E-2</v>
      </c>
      <c r="K517" s="123">
        <f t="shared" si="80"/>
        <v>156171.31816493705</v>
      </c>
      <c r="L517" s="122">
        <f>IF(K519&gt;0, K517/K519, 0)</f>
        <v>1.1882429863082125E-2</v>
      </c>
      <c r="M517" s="71"/>
      <c r="N517" s="10">
        <f>ROUND(M519*L517,0)</f>
        <v>104865</v>
      </c>
      <c r="O517" s="70">
        <v>171545</v>
      </c>
      <c r="P517" s="10">
        <f>N517-O517</f>
        <v>-66680</v>
      </c>
      <c r="Q517" s="46">
        <f t="shared" si="79"/>
        <v>-38.870267276807837</v>
      </c>
      <c r="R517" s="62">
        <v>17</v>
      </c>
      <c r="S517" s="7">
        <f t="shared" si="72"/>
        <v>0</v>
      </c>
      <c r="T517" s="124">
        <f t="shared" si="73"/>
        <v>102</v>
      </c>
      <c r="U517" s="124">
        <f t="shared" si="74"/>
        <v>910</v>
      </c>
      <c r="V517" s="124">
        <f t="shared" si="75"/>
        <v>508</v>
      </c>
      <c r="W517" s="124">
        <f t="shared" si="76"/>
        <v>9.99999999992</v>
      </c>
      <c r="X517" s="124">
        <f t="shared" si="77"/>
        <v>156171.31816493705</v>
      </c>
      <c r="Y517" s="264">
        <f t="shared" si="78"/>
        <v>508</v>
      </c>
      <c r="Z517" s="10">
        <v>102</v>
      </c>
      <c r="AA517" s="7">
        <v>910</v>
      </c>
      <c r="AB517" s="7">
        <v>508</v>
      </c>
      <c r="AC517" s="109">
        <v>9.99999999992</v>
      </c>
      <c r="AD517" s="109">
        <v>156171.31816493705</v>
      </c>
      <c r="AE517" s="125"/>
      <c r="AF517" s="10"/>
      <c r="AI517" s="109"/>
      <c r="AJ517" s="109"/>
      <c r="AL517" s="10"/>
      <c r="AO517" s="109"/>
      <c r="AP517" s="109"/>
      <c r="AR517" s="10"/>
      <c r="AU517" s="109"/>
      <c r="AV517" s="109"/>
      <c r="AX517" s="10"/>
      <c r="BA517" s="109"/>
      <c r="BB517" s="109"/>
      <c r="BD517" s="10"/>
      <c r="BG517" s="109"/>
      <c r="BH517" s="109"/>
      <c r="BJ517" s="10"/>
      <c r="BM517" s="109"/>
      <c r="BN517" s="109"/>
      <c r="BP517" s="10"/>
      <c r="BS517" s="109"/>
      <c r="BT517" s="109"/>
      <c r="BV517" s="10"/>
      <c r="BY517" s="109"/>
      <c r="BZ517" s="109"/>
      <c r="CB517" s="10"/>
      <c r="CE517" s="109"/>
      <c r="CF517" s="109"/>
      <c r="CH517" s="10"/>
      <c r="CK517" s="109"/>
      <c r="CL517" s="109"/>
    </row>
    <row r="518" spans="1:90">
      <c r="A518" s="7" t="str">
        <f t="shared" si="71"/>
        <v>01020998</v>
      </c>
      <c r="B518" s="7" t="s">
        <v>2441</v>
      </c>
      <c r="C518" s="7" t="s">
        <v>2781</v>
      </c>
      <c r="D518" s="7">
        <v>509</v>
      </c>
      <c r="E518" s="7">
        <v>102</v>
      </c>
      <c r="F518" s="7" t="s">
        <v>2135</v>
      </c>
      <c r="G518" s="7">
        <v>998</v>
      </c>
      <c r="H518" s="7" t="s">
        <v>2135</v>
      </c>
      <c r="I518" s="70">
        <v>0</v>
      </c>
      <c r="J518" s="131">
        <v>0</v>
      </c>
      <c r="K518" s="123">
        <f t="shared" si="80"/>
        <v>0</v>
      </c>
      <c r="L518" s="122">
        <f>IF(K519&gt;0, K518/K519, 0)</f>
        <v>0</v>
      </c>
      <c r="M518" s="71"/>
      <c r="N518" s="10">
        <f>ROUND(M519*L518,0)</f>
        <v>0</v>
      </c>
      <c r="O518" s="70">
        <v>0</v>
      </c>
      <c r="P518" s="10">
        <f>N518-O518</f>
        <v>0</v>
      </c>
      <c r="Q518" s="46">
        <f t="shared" si="79"/>
        <v>0</v>
      </c>
      <c r="R518" s="62">
        <v>0</v>
      </c>
      <c r="S518" s="7">
        <f t="shared" si="72"/>
        <v>0</v>
      </c>
      <c r="T518" s="124">
        <f t="shared" si="73"/>
        <v>102</v>
      </c>
      <c r="U518" s="124">
        <f t="shared" si="74"/>
        <v>998</v>
      </c>
      <c r="V518" s="124">
        <f t="shared" si="75"/>
        <v>509</v>
      </c>
      <c r="W518" s="124">
        <f t="shared" si="76"/>
        <v>0</v>
      </c>
      <c r="X518" s="124">
        <f t="shared" si="77"/>
        <v>0</v>
      </c>
      <c r="Y518" s="264">
        <f t="shared" si="78"/>
        <v>509</v>
      </c>
      <c r="Z518" s="10">
        <v>102</v>
      </c>
      <c r="AA518" s="7">
        <v>998</v>
      </c>
      <c r="AB518" s="7">
        <v>509</v>
      </c>
      <c r="AC518" s="109">
        <v>0</v>
      </c>
      <c r="AD518" s="109">
        <v>0</v>
      </c>
      <c r="AE518" s="125"/>
      <c r="AF518" s="10"/>
      <c r="AI518" s="109"/>
      <c r="AJ518" s="109"/>
      <c r="AL518" s="10"/>
      <c r="AO518" s="109"/>
      <c r="AP518" s="109"/>
      <c r="AR518" s="10"/>
      <c r="AU518" s="109"/>
      <c r="AV518" s="109"/>
      <c r="AX518" s="10"/>
      <c r="BA518" s="109"/>
      <c r="BB518" s="109"/>
      <c r="BD518" s="10"/>
      <c r="BG518" s="109"/>
      <c r="BH518" s="109"/>
      <c r="BJ518" s="10"/>
      <c r="BM518" s="109"/>
      <c r="BN518" s="109"/>
      <c r="BP518" s="10"/>
      <c r="BS518" s="109"/>
      <c r="BT518" s="109"/>
      <c r="BV518" s="10"/>
      <c r="BY518" s="109"/>
      <c r="BZ518" s="109"/>
      <c r="CB518" s="10"/>
      <c r="CE518" s="109"/>
      <c r="CF518" s="109"/>
      <c r="CH518" s="10"/>
      <c r="CK518" s="109"/>
      <c r="CL518" s="109"/>
    </row>
    <row r="519" spans="1:90">
      <c r="A519" s="7" t="str">
        <f t="shared" si="71"/>
        <v>01020999</v>
      </c>
      <c r="B519" s="7" t="s">
        <v>2441</v>
      </c>
      <c r="C519" s="7" t="s">
        <v>2782</v>
      </c>
      <c r="D519" s="7">
        <v>510</v>
      </c>
      <c r="E519" s="11">
        <v>102</v>
      </c>
      <c r="F519" s="11" t="s">
        <v>1808</v>
      </c>
      <c r="G519" s="11">
        <v>999</v>
      </c>
      <c r="H519" s="11" t="s">
        <v>1132</v>
      </c>
      <c r="I519" s="134">
        <v>13219731.279999999</v>
      </c>
      <c r="J519" s="135">
        <v>1</v>
      </c>
      <c r="K519" s="127">
        <f>SUM(K515:K518)</f>
        <v>13143045.653494691</v>
      </c>
      <c r="L519" s="126">
        <f>SUM(L515:L518)</f>
        <v>0.99999999999999989</v>
      </c>
      <c r="M519" s="105">
        <f>VLOOKUP(E519,town351,22)</f>
        <v>8825205</v>
      </c>
      <c r="N519" s="105">
        <f>SUM(N515:N518)</f>
        <v>8825205</v>
      </c>
      <c r="O519" s="128">
        <v>8706644</v>
      </c>
      <c r="P519" s="134">
        <f>SUM(P515:P518)</f>
        <v>118561</v>
      </c>
      <c r="Q519" s="138">
        <f t="shared" si="79"/>
        <v>1.3617301913343418</v>
      </c>
      <c r="R519" s="134">
        <v>1333</v>
      </c>
      <c r="S519" s="7">
        <f t="shared" si="72"/>
        <v>0</v>
      </c>
      <c r="T519" s="124">
        <f t="shared" si="73"/>
        <v>102</v>
      </c>
      <c r="U519" s="124">
        <f t="shared" si="74"/>
        <v>999</v>
      </c>
      <c r="V519" s="124">
        <f t="shared" si="75"/>
        <v>510</v>
      </c>
      <c r="W519" s="124">
        <f t="shared" si="76"/>
        <v>1307.2447302676799</v>
      </c>
      <c r="X519" s="124">
        <f t="shared" si="77"/>
        <v>13143045.653494691</v>
      </c>
      <c r="Y519" s="264">
        <f t="shared" si="78"/>
        <v>510</v>
      </c>
      <c r="Z519" s="10">
        <v>102</v>
      </c>
      <c r="AA519" s="7">
        <v>999</v>
      </c>
      <c r="AB519" s="7">
        <v>510</v>
      </c>
      <c r="AC519" s="109">
        <v>1307.2447302676799</v>
      </c>
      <c r="AD519" s="109">
        <v>13143045.653494691</v>
      </c>
      <c r="AE519" s="125"/>
      <c r="AF519" s="10"/>
      <c r="AI519" s="109"/>
      <c r="AJ519" s="109"/>
      <c r="AL519" s="10"/>
      <c r="AO519" s="109"/>
      <c r="AP519" s="109"/>
      <c r="AR519" s="10"/>
      <c r="AU519" s="109"/>
      <c r="AV519" s="109"/>
      <c r="AX519" s="10"/>
      <c r="BA519" s="109"/>
      <c r="BB519" s="109"/>
      <c r="BD519" s="10"/>
      <c r="BG519" s="109"/>
      <c r="BH519" s="109"/>
      <c r="BJ519" s="10"/>
      <c r="BM519" s="109"/>
      <c r="BN519" s="109"/>
      <c r="BP519" s="10"/>
      <c r="BS519" s="109"/>
      <c r="BT519" s="109"/>
      <c r="BV519" s="10"/>
      <c r="BY519" s="109"/>
      <c r="BZ519" s="109"/>
      <c r="CB519" s="10"/>
      <c r="CE519" s="109"/>
      <c r="CF519" s="109"/>
      <c r="CH519" s="10"/>
      <c r="CK519" s="109"/>
      <c r="CL519" s="109"/>
    </row>
    <row r="520" spans="1:90">
      <c r="A520" s="7" t="str">
        <f t="shared" si="71"/>
        <v>01030103</v>
      </c>
      <c r="B520" s="7" t="s">
        <v>2442</v>
      </c>
      <c r="C520" s="7" t="s">
        <v>2442</v>
      </c>
      <c r="D520" s="7">
        <v>511</v>
      </c>
      <c r="E520" s="7">
        <v>103</v>
      </c>
      <c r="F520" s="7" t="s">
        <v>1809</v>
      </c>
      <c r="G520" s="7">
        <v>103</v>
      </c>
      <c r="H520" s="7" t="s">
        <v>1369</v>
      </c>
      <c r="I520" s="37">
        <v>27651776.550000001</v>
      </c>
      <c r="J520" s="122">
        <v>0.92184635341787524</v>
      </c>
      <c r="K520" s="123">
        <f>X520</f>
        <v>28300931.482949637</v>
      </c>
      <c r="L520" s="122">
        <f>IF(K524&gt;0, K520/K524, 0)</f>
        <v>0.91750129874341768</v>
      </c>
      <c r="M520" s="71"/>
      <c r="N520" s="10">
        <f>ROUND(M524*L520,0)</f>
        <v>8779067</v>
      </c>
      <c r="O520" s="70">
        <v>8469172</v>
      </c>
      <c r="P520" s="10">
        <f>N520-O520</f>
        <v>309895</v>
      </c>
      <c r="Q520" s="46">
        <f t="shared" si="79"/>
        <v>3.6590944191474679</v>
      </c>
      <c r="R520" s="10">
        <v>2533</v>
      </c>
      <c r="S520" s="7">
        <f t="shared" si="72"/>
        <v>0</v>
      </c>
      <c r="T520" s="124">
        <f t="shared" si="73"/>
        <v>103</v>
      </c>
      <c r="U520" s="124">
        <f t="shared" si="74"/>
        <v>103</v>
      </c>
      <c r="V520" s="124">
        <f t="shared" si="75"/>
        <v>511</v>
      </c>
      <c r="W520" s="124">
        <f t="shared" si="76"/>
        <v>2531</v>
      </c>
      <c r="X520" s="124">
        <f t="shared" si="77"/>
        <v>28300931.482949637</v>
      </c>
      <c r="Y520" s="264">
        <f t="shared" si="78"/>
        <v>511</v>
      </c>
      <c r="Z520" s="10">
        <v>103</v>
      </c>
      <c r="AA520" s="7">
        <v>103</v>
      </c>
      <c r="AB520" s="7">
        <v>511</v>
      </c>
      <c r="AC520" s="109">
        <v>2531</v>
      </c>
      <c r="AD520" s="109">
        <v>28300931.482949637</v>
      </c>
      <c r="AE520" s="125"/>
      <c r="AF520" s="10"/>
      <c r="AI520" s="109"/>
      <c r="AJ520" s="109"/>
      <c r="AL520" s="10"/>
      <c r="AO520" s="109"/>
      <c r="AP520" s="109"/>
      <c r="AR520" s="10"/>
      <c r="AU520" s="109"/>
      <c r="AV520" s="109"/>
      <c r="AX520" s="10"/>
      <c r="BA520" s="109"/>
      <c r="BB520" s="109"/>
      <c r="BD520" s="10"/>
      <c r="BG520" s="109"/>
      <c r="BH520" s="109"/>
      <c r="BJ520" s="10"/>
      <c r="BM520" s="109"/>
      <c r="BN520" s="109"/>
      <c r="BP520" s="10"/>
      <c r="BS520" s="109"/>
      <c r="BT520" s="109"/>
      <c r="BV520" s="10"/>
      <c r="BY520" s="109"/>
      <c r="BZ520" s="109"/>
      <c r="CB520" s="10"/>
      <c r="CE520" s="109"/>
      <c r="CF520" s="109"/>
      <c r="CH520" s="10"/>
      <c r="CK520" s="109"/>
      <c r="CL520" s="109"/>
    </row>
    <row r="521" spans="1:90">
      <c r="A521" s="7" t="str">
        <f t="shared" si="71"/>
        <v>01030832</v>
      </c>
      <c r="B521" s="7" t="s">
        <v>2442</v>
      </c>
      <c r="C521" s="7" t="s">
        <v>2765</v>
      </c>
      <c r="D521" s="7">
        <v>512</v>
      </c>
      <c r="E521" s="7">
        <v>103</v>
      </c>
      <c r="F521" s="7" t="s">
        <v>1809</v>
      </c>
      <c r="G521" s="7">
        <v>832</v>
      </c>
      <c r="H521" s="7" t="s">
        <v>1692</v>
      </c>
      <c r="I521" s="37">
        <v>2344303</v>
      </c>
      <c r="J521" s="122">
        <v>7.8153646582124758E-2</v>
      </c>
      <c r="K521" s="123">
        <f t="shared" si="80"/>
        <v>2544726.7430493301</v>
      </c>
      <c r="L521" s="122">
        <f>IF(K524&gt;0, K521/K524, 0)</f>
        <v>8.2498701256582332E-2</v>
      </c>
      <c r="M521" s="71"/>
      <c r="N521" s="10">
        <f>ROUND(M524*L521,0)</f>
        <v>789385</v>
      </c>
      <c r="O521" s="70">
        <v>718012</v>
      </c>
      <c r="P521" s="10">
        <f>N521-O521</f>
        <v>71373</v>
      </c>
      <c r="Q521" s="46">
        <f t="shared" si="79"/>
        <v>9.9403631137084059</v>
      </c>
      <c r="R521" s="10">
        <v>153</v>
      </c>
      <c r="S521" s="7">
        <f t="shared" si="72"/>
        <v>0</v>
      </c>
      <c r="T521" s="124">
        <f t="shared" si="73"/>
        <v>103</v>
      </c>
      <c r="U521" s="124">
        <f t="shared" si="74"/>
        <v>832</v>
      </c>
      <c r="V521" s="124">
        <f t="shared" si="75"/>
        <v>512</v>
      </c>
      <c r="W521" s="124">
        <f t="shared" si="76"/>
        <v>163.10903009368002</v>
      </c>
      <c r="X521" s="124">
        <f t="shared" si="77"/>
        <v>2544726.7430493301</v>
      </c>
      <c r="Y521" s="264">
        <f t="shared" si="78"/>
        <v>512</v>
      </c>
      <c r="Z521" s="10">
        <v>103</v>
      </c>
      <c r="AA521" s="7">
        <v>832</v>
      </c>
      <c r="AB521" s="7">
        <v>512</v>
      </c>
      <c r="AC521" s="109">
        <v>163.10903009368002</v>
      </c>
      <c r="AD521" s="109">
        <v>2544726.7430493301</v>
      </c>
      <c r="AE521" s="125"/>
      <c r="AF521" s="10"/>
      <c r="AI521" s="109"/>
      <c r="AJ521" s="109"/>
      <c r="AL521" s="10"/>
      <c r="AO521" s="109"/>
      <c r="AP521" s="109"/>
      <c r="AR521" s="10"/>
      <c r="AU521" s="109"/>
      <c r="AV521" s="109"/>
      <c r="AX521" s="10"/>
      <c r="BA521" s="109"/>
      <c r="BB521" s="109"/>
      <c r="BD521" s="10"/>
      <c r="BG521" s="109"/>
      <c r="BH521" s="109"/>
      <c r="BJ521" s="10"/>
      <c r="BM521" s="109"/>
      <c r="BN521" s="109"/>
      <c r="BP521" s="10"/>
      <c r="BS521" s="109"/>
      <c r="BT521" s="109"/>
      <c r="BV521" s="10"/>
      <c r="BY521" s="109"/>
      <c r="BZ521" s="109"/>
      <c r="CB521" s="10"/>
      <c r="CE521" s="109"/>
      <c r="CF521" s="109"/>
      <c r="CH521" s="10"/>
      <c r="CK521" s="109"/>
      <c r="CL521" s="109"/>
    </row>
    <row r="522" spans="1:90">
      <c r="A522" s="7" t="str">
        <f t="shared" ref="A522:A585" si="81">B522&amp;C522</f>
        <v>01030998</v>
      </c>
      <c r="B522" s="7" t="s">
        <v>2442</v>
      </c>
      <c r="C522" s="7" t="s">
        <v>2781</v>
      </c>
      <c r="D522" s="7">
        <v>513</v>
      </c>
      <c r="E522" s="7">
        <v>103</v>
      </c>
      <c r="F522" s="7" t="s">
        <v>2135</v>
      </c>
      <c r="G522" s="7">
        <v>998</v>
      </c>
      <c r="H522" s="7" t="s">
        <v>2135</v>
      </c>
      <c r="I522" s="37">
        <v>0</v>
      </c>
      <c r="J522" s="122">
        <v>0</v>
      </c>
      <c r="K522" s="123">
        <f t="shared" si="80"/>
        <v>0</v>
      </c>
      <c r="L522" s="122">
        <f>IF(K524&gt;0, K522/K524, 0)</f>
        <v>0</v>
      </c>
      <c r="M522" s="71"/>
      <c r="N522" s="10">
        <f>ROUND(M524*L522,0)</f>
        <v>0</v>
      </c>
      <c r="O522" s="70">
        <v>0</v>
      </c>
      <c r="P522" s="10">
        <f>N522-O522</f>
        <v>0</v>
      </c>
      <c r="Q522" s="46">
        <f t="shared" si="79"/>
        <v>0</v>
      </c>
      <c r="R522" s="10">
        <v>0</v>
      </c>
      <c r="S522" s="7">
        <f t="shared" ref="S522:S585" si="82">ABS(T522-E522)+ABS(U522-G522)</f>
        <v>0</v>
      </c>
      <c r="T522" s="124">
        <f t="shared" ref="T522:T585" si="83">VLOOKUP($D522, foundoptions, VLOOKUP($T$6, foundoptcell, 2, FALSE), FALSE)</f>
        <v>103</v>
      </c>
      <c r="U522" s="124">
        <f t="shared" ref="U522:U585" si="84">VLOOKUP($D522, foundoptions, VLOOKUP($T$6, foundoptcell, 2, FALSE)+1, FALSE)</f>
        <v>998</v>
      </c>
      <c r="V522" s="124">
        <f t="shared" ref="V522:V585" si="85">VLOOKUP($D522, foundoptions, VLOOKUP($T$6, foundoptcell, 2, FALSE)+2, FALSE)</f>
        <v>513</v>
      </c>
      <c r="W522" s="124">
        <f t="shared" ref="W522:W585" si="86">VLOOKUP($D522, foundoptions, VLOOKUP($T$6, foundoptcell, 2, FALSE)+3, FALSE)</f>
        <v>0</v>
      </c>
      <c r="X522" s="124">
        <f t="shared" ref="X522:X585" si="87">VLOOKUP($D522, foundoptions, VLOOKUP($T$6, foundoptcell, 2, FALSE)+4, FALSE)</f>
        <v>0</v>
      </c>
      <c r="Y522" s="264">
        <f t="shared" si="78"/>
        <v>513</v>
      </c>
      <c r="Z522" s="10">
        <v>103</v>
      </c>
      <c r="AA522" s="7">
        <v>998</v>
      </c>
      <c r="AB522" s="7">
        <v>513</v>
      </c>
      <c r="AC522" s="109">
        <v>0</v>
      </c>
      <c r="AD522" s="109">
        <v>0</v>
      </c>
      <c r="AE522" s="125"/>
      <c r="AF522" s="10"/>
      <c r="AI522" s="109"/>
      <c r="AJ522" s="109"/>
      <c r="AL522" s="10"/>
      <c r="AO522" s="109"/>
      <c r="AP522" s="109"/>
      <c r="AR522" s="10"/>
      <c r="AU522" s="109"/>
      <c r="AV522" s="109"/>
      <c r="AX522" s="10"/>
      <c r="BA522" s="109"/>
      <c r="BB522" s="109"/>
      <c r="BD522" s="10"/>
      <c r="BG522" s="109"/>
      <c r="BH522" s="109"/>
      <c r="BJ522" s="10"/>
      <c r="BM522" s="109"/>
      <c r="BN522" s="109"/>
      <c r="BP522" s="10"/>
      <c r="BS522" s="109"/>
      <c r="BT522" s="109"/>
      <c r="BV522" s="10"/>
      <c r="BY522" s="109"/>
      <c r="BZ522" s="109"/>
      <c r="CB522" s="10"/>
      <c r="CE522" s="109"/>
      <c r="CF522" s="109"/>
      <c r="CH522" s="10"/>
      <c r="CK522" s="109"/>
      <c r="CL522" s="109"/>
    </row>
    <row r="523" spans="1:90">
      <c r="A523" s="7" t="str">
        <f t="shared" si="81"/>
        <v>01030998</v>
      </c>
      <c r="B523" s="7" t="s">
        <v>2442</v>
      </c>
      <c r="C523" s="7" t="s">
        <v>2781</v>
      </c>
      <c r="D523" s="7">
        <v>514</v>
      </c>
      <c r="E523" s="7">
        <v>103</v>
      </c>
      <c r="F523" s="7" t="s">
        <v>2135</v>
      </c>
      <c r="G523" s="7">
        <v>998</v>
      </c>
      <c r="H523" s="7" t="s">
        <v>2135</v>
      </c>
      <c r="I523" s="37">
        <v>0</v>
      </c>
      <c r="J523" s="122">
        <v>0</v>
      </c>
      <c r="K523" s="123">
        <f t="shared" si="80"/>
        <v>0</v>
      </c>
      <c r="L523" s="122">
        <f>IF(K524&gt;0, K523/K524, 0)</f>
        <v>0</v>
      </c>
      <c r="M523" s="71"/>
      <c r="N523" s="10">
        <f>ROUND(M524*L523,0)</f>
        <v>0</v>
      </c>
      <c r="O523" s="70">
        <v>0</v>
      </c>
      <c r="P523" s="10">
        <f>N523-O523</f>
        <v>0</v>
      </c>
      <c r="Q523" s="46">
        <f t="shared" si="79"/>
        <v>0</v>
      </c>
      <c r="R523" s="10">
        <v>0</v>
      </c>
      <c r="S523" s="7">
        <f t="shared" si="82"/>
        <v>0</v>
      </c>
      <c r="T523" s="124">
        <f t="shared" si="83"/>
        <v>103</v>
      </c>
      <c r="U523" s="124">
        <f t="shared" si="84"/>
        <v>998</v>
      </c>
      <c r="V523" s="124">
        <f t="shared" si="85"/>
        <v>514</v>
      </c>
      <c r="W523" s="124">
        <f t="shared" si="86"/>
        <v>0</v>
      </c>
      <c r="X523" s="124">
        <f t="shared" si="87"/>
        <v>0</v>
      </c>
      <c r="Y523" s="264">
        <f t="shared" ref="Y523:Y586" si="88">D523</f>
        <v>514</v>
      </c>
      <c r="Z523" s="10">
        <v>103</v>
      </c>
      <c r="AA523" s="7">
        <v>998</v>
      </c>
      <c r="AB523" s="7">
        <v>514</v>
      </c>
      <c r="AC523" s="109">
        <v>0</v>
      </c>
      <c r="AD523" s="109">
        <v>0</v>
      </c>
      <c r="AE523" s="125"/>
      <c r="AF523" s="10"/>
      <c r="AI523" s="109"/>
      <c r="AJ523" s="109"/>
      <c r="AL523" s="10"/>
      <c r="AO523" s="109"/>
      <c r="AP523" s="109"/>
      <c r="AR523" s="10"/>
      <c r="AU523" s="109"/>
      <c r="AV523" s="109"/>
      <c r="AX523" s="10"/>
      <c r="BA523" s="109"/>
      <c r="BB523" s="109"/>
      <c r="BD523" s="10"/>
      <c r="BG523" s="109"/>
      <c r="BH523" s="109"/>
      <c r="BJ523" s="10"/>
      <c r="BM523" s="109"/>
      <c r="BN523" s="109"/>
      <c r="BP523" s="10"/>
      <c r="BS523" s="109"/>
      <c r="BT523" s="109"/>
      <c r="BV523" s="10"/>
      <c r="BY523" s="109"/>
      <c r="BZ523" s="109"/>
      <c r="CB523" s="10"/>
      <c r="CE523" s="109"/>
      <c r="CF523" s="109"/>
      <c r="CH523" s="10"/>
      <c r="CK523" s="109"/>
      <c r="CL523" s="109"/>
    </row>
    <row r="524" spans="1:90">
      <c r="A524" s="7" t="str">
        <f t="shared" si="81"/>
        <v>01030999</v>
      </c>
      <c r="B524" s="7" t="s">
        <v>2442</v>
      </c>
      <c r="C524" s="7" t="s">
        <v>2782</v>
      </c>
      <c r="D524" s="7">
        <v>515</v>
      </c>
      <c r="E524" s="11">
        <v>103</v>
      </c>
      <c r="F524" s="11" t="s">
        <v>1809</v>
      </c>
      <c r="G524" s="11">
        <v>999</v>
      </c>
      <c r="H524" s="11" t="s">
        <v>1132</v>
      </c>
      <c r="I524" s="105">
        <v>29996079.550000001</v>
      </c>
      <c r="J524" s="126">
        <v>1</v>
      </c>
      <c r="K524" s="127">
        <f>SUM(K520:K523)</f>
        <v>30845658.225998968</v>
      </c>
      <c r="L524" s="126">
        <f>SUM(L520:L523)</f>
        <v>1</v>
      </c>
      <c r="M524" s="105">
        <f>VLOOKUP(E524,town351,22)</f>
        <v>9568452</v>
      </c>
      <c r="N524" s="105">
        <f>SUM(N520:N523)</f>
        <v>9568452</v>
      </c>
      <c r="O524" s="128">
        <v>9187184</v>
      </c>
      <c r="P524" s="105">
        <f>SUM(P520:P523)</f>
        <v>381268</v>
      </c>
      <c r="Q524" s="45">
        <f t="shared" si="79"/>
        <v>4.1499985196769762</v>
      </c>
      <c r="R524" s="105">
        <v>2686</v>
      </c>
      <c r="S524" s="7">
        <f t="shared" si="82"/>
        <v>0</v>
      </c>
      <c r="T524" s="124">
        <f t="shared" si="83"/>
        <v>103</v>
      </c>
      <c r="U524" s="124">
        <f t="shared" si="84"/>
        <v>999</v>
      </c>
      <c r="V524" s="124">
        <f t="shared" si="85"/>
        <v>515</v>
      </c>
      <c r="W524" s="124">
        <f t="shared" si="86"/>
        <v>2694.1090300936798</v>
      </c>
      <c r="X524" s="124">
        <f t="shared" si="87"/>
        <v>30845658.225998968</v>
      </c>
      <c r="Y524" s="264">
        <f t="shared" si="88"/>
        <v>515</v>
      </c>
      <c r="Z524" s="10">
        <v>103</v>
      </c>
      <c r="AA524" s="7">
        <v>999</v>
      </c>
      <c r="AB524" s="7">
        <v>515</v>
      </c>
      <c r="AC524" s="109">
        <v>2694.1090300936798</v>
      </c>
      <c r="AD524" s="109">
        <v>30845658.225998968</v>
      </c>
      <c r="AE524" s="125"/>
      <c r="AF524" s="10"/>
      <c r="AI524" s="109"/>
      <c r="AJ524" s="109"/>
      <c r="AL524" s="10"/>
      <c r="AO524" s="109"/>
      <c r="AP524" s="109"/>
      <c r="AR524" s="10"/>
      <c r="AU524" s="109"/>
      <c r="AV524" s="109"/>
      <c r="AX524" s="10"/>
      <c r="BA524" s="109"/>
      <c r="BB524" s="109"/>
      <c r="BD524" s="10"/>
      <c r="BG524" s="109"/>
      <c r="BH524" s="109"/>
      <c r="BJ524" s="10"/>
      <c r="BM524" s="109"/>
      <c r="BN524" s="109"/>
      <c r="BP524" s="10"/>
      <c r="BS524" s="109"/>
      <c r="BT524" s="109"/>
      <c r="BV524" s="10"/>
      <c r="BY524" s="109"/>
      <c r="BZ524" s="109"/>
      <c r="CB524" s="10"/>
      <c r="CE524" s="109"/>
      <c r="CF524" s="109"/>
      <c r="CH524" s="10"/>
      <c r="CK524" s="109"/>
      <c r="CL524" s="109"/>
    </row>
    <row r="525" spans="1:90">
      <c r="A525" s="7" t="str">
        <f t="shared" si="81"/>
        <v>01040104</v>
      </c>
      <c r="B525" s="7" t="s">
        <v>2443</v>
      </c>
      <c r="C525" s="7" t="s">
        <v>2443</v>
      </c>
      <c r="D525" s="7">
        <v>516</v>
      </c>
      <c r="E525" s="7">
        <v>104</v>
      </c>
      <c r="F525" s="7" t="s">
        <v>1370</v>
      </c>
      <c r="G525" s="7">
        <v>104</v>
      </c>
      <c r="H525" s="7" t="s">
        <v>1370</v>
      </c>
      <c r="I525" s="37">
        <v>0</v>
      </c>
      <c r="J525" s="122">
        <v>0</v>
      </c>
      <c r="K525" s="123">
        <f>X525</f>
        <v>0</v>
      </c>
      <c r="L525" s="122">
        <f>IF(K529&gt;0, K525/K529, 0)</f>
        <v>0</v>
      </c>
      <c r="M525" s="71"/>
      <c r="N525" s="10">
        <f>ROUND(M529*L525,0)</f>
        <v>0</v>
      </c>
      <c r="O525" s="70">
        <v>0</v>
      </c>
      <c r="P525" s="10">
        <f>N525-O525</f>
        <v>0</v>
      </c>
      <c r="Q525" s="46">
        <f t="shared" si="79"/>
        <v>0</v>
      </c>
      <c r="R525" s="10">
        <v>0</v>
      </c>
      <c r="S525" s="7">
        <f t="shared" si="82"/>
        <v>0</v>
      </c>
      <c r="T525" s="124">
        <f t="shared" si="83"/>
        <v>104</v>
      </c>
      <c r="U525" s="124">
        <f t="shared" si="84"/>
        <v>104</v>
      </c>
      <c r="V525" s="124">
        <f t="shared" si="85"/>
        <v>516</v>
      </c>
      <c r="W525" s="124">
        <f t="shared" si="86"/>
        <v>0</v>
      </c>
      <c r="X525" s="124">
        <f t="shared" si="87"/>
        <v>0</v>
      </c>
      <c r="Y525" s="264">
        <f t="shared" si="88"/>
        <v>516</v>
      </c>
      <c r="Z525" s="10">
        <v>104</v>
      </c>
      <c r="AA525" s="7">
        <v>104</v>
      </c>
      <c r="AB525" s="7">
        <v>516</v>
      </c>
      <c r="AC525" s="109">
        <v>0</v>
      </c>
      <c r="AD525" s="109">
        <v>0</v>
      </c>
      <c r="AE525" s="125"/>
      <c r="AF525" s="10"/>
      <c r="AI525" s="109"/>
      <c r="AJ525" s="109"/>
      <c r="AL525" s="10"/>
      <c r="AO525" s="109"/>
      <c r="AP525" s="109"/>
      <c r="AR525" s="10"/>
      <c r="AU525" s="109"/>
      <c r="AV525" s="109"/>
      <c r="AX525" s="10"/>
      <c r="BA525" s="109"/>
      <c r="BB525" s="109"/>
      <c r="BD525" s="10"/>
      <c r="BG525" s="109"/>
      <c r="BH525" s="109"/>
      <c r="BJ525" s="10"/>
      <c r="BM525" s="109"/>
      <c r="BN525" s="109"/>
      <c r="BP525" s="10"/>
      <c r="BS525" s="109"/>
      <c r="BT525" s="109"/>
      <c r="BV525" s="10"/>
      <c r="BY525" s="109"/>
      <c r="BZ525" s="109"/>
      <c r="CB525" s="10"/>
      <c r="CE525" s="109"/>
      <c r="CF525" s="109"/>
      <c r="CH525" s="10"/>
      <c r="CK525" s="109"/>
      <c r="CL525" s="109"/>
    </row>
    <row r="526" spans="1:90">
      <c r="A526" s="7" t="str">
        <f t="shared" si="81"/>
        <v>01040700</v>
      </c>
      <c r="B526" s="7" t="s">
        <v>2443</v>
      </c>
      <c r="C526" s="7" t="s">
        <v>2725</v>
      </c>
      <c r="D526" s="7">
        <v>517</v>
      </c>
      <c r="E526" s="7">
        <v>104</v>
      </c>
      <c r="F526" s="7" t="s">
        <v>1370</v>
      </c>
      <c r="G526" s="7">
        <v>700</v>
      </c>
      <c r="H526" s="7" t="s">
        <v>1652</v>
      </c>
      <c r="I526" s="37">
        <v>154273</v>
      </c>
      <c r="J526" s="122">
        <v>0.28479048636993798</v>
      </c>
      <c r="K526" s="123">
        <f t="shared" si="80"/>
        <v>162046.94787738015</v>
      </c>
      <c r="L526" s="122">
        <f>IF(K529&gt;0, K526/K529, 0)</f>
        <v>0.28500702381730608</v>
      </c>
      <c r="M526" s="71"/>
      <c r="N526" s="10">
        <f>ROUND(M529*L526,0)</f>
        <v>114434</v>
      </c>
      <c r="O526" s="70">
        <v>108726</v>
      </c>
      <c r="P526" s="10">
        <f>N526-O526</f>
        <v>5708</v>
      </c>
      <c r="Q526" s="46">
        <f t="shared" si="79"/>
        <v>5.2498942295311153</v>
      </c>
      <c r="R526" s="10">
        <v>13</v>
      </c>
      <c r="S526" s="7">
        <f t="shared" si="82"/>
        <v>0</v>
      </c>
      <c r="T526" s="124">
        <f t="shared" si="83"/>
        <v>104</v>
      </c>
      <c r="U526" s="124">
        <f t="shared" si="84"/>
        <v>700</v>
      </c>
      <c r="V526" s="124">
        <f t="shared" si="85"/>
        <v>517</v>
      </c>
      <c r="W526" s="124">
        <f t="shared" si="86"/>
        <v>12.99999999936</v>
      </c>
      <c r="X526" s="124">
        <f t="shared" si="87"/>
        <v>162046.94787738015</v>
      </c>
      <c r="Y526" s="264">
        <f t="shared" si="88"/>
        <v>517</v>
      </c>
      <c r="Z526" s="10">
        <v>104</v>
      </c>
      <c r="AA526" s="7">
        <v>700</v>
      </c>
      <c r="AB526" s="7">
        <v>517</v>
      </c>
      <c r="AC526" s="109">
        <v>12.99999999936</v>
      </c>
      <c r="AD526" s="109">
        <v>162046.94787738015</v>
      </c>
      <c r="AE526" s="125"/>
      <c r="AF526" s="10"/>
      <c r="AI526" s="109"/>
      <c r="AJ526" s="109"/>
      <c r="AL526" s="10"/>
      <c r="AO526" s="109"/>
      <c r="AP526" s="109"/>
      <c r="AR526" s="10"/>
      <c r="AU526" s="109"/>
      <c r="AV526" s="109"/>
      <c r="AX526" s="10"/>
      <c r="BA526" s="109"/>
      <c r="BB526" s="109"/>
      <c r="BD526" s="10"/>
      <c r="BG526" s="109"/>
      <c r="BH526" s="109"/>
      <c r="BJ526" s="10"/>
      <c r="BM526" s="109"/>
      <c r="BN526" s="109"/>
      <c r="BP526" s="10"/>
      <c r="BS526" s="109"/>
      <c r="BT526" s="109"/>
      <c r="BV526" s="10"/>
      <c r="BY526" s="109"/>
      <c r="BZ526" s="109"/>
      <c r="CB526" s="10"/>
      <c r="CE526" s="109"/>
      <c r="CF526" s="109"/>
      <c r="CH526" s="10"/>
      <c r="CK526" s="109"/>
      <c r="CL526" s="109"/>
    </row>
    <row r="527" spans="1:90">
      <c r="A527" s="7" t="str">
        <f t="shared" si="81"/>
        <v>01040774</v>
      </c>
      <c r="B527" s="7" t="s">
        <v>2443</v>
      </c>
      <c r="C527" s="7" t="s">
        <v>2748</v>
      </c>
      <c r="D527" s="7">
        <v>518</v>
      </c>
      <c r="E527" s="7">
        <v>104</v>
      </c>
      <c r="F527" s="7" t="s">
        <v>1370</v>
      </c>
      <c r="G527" s="7">
        <v>774</v>
      </c>
      <c r="H527" s="7" t="s">
        <v>1675</v>
      </c>
      <c r="I527" s="37">
        <v>387434</v>
      </c>
      <c r="J527" s="122">
        <v>0.71520951363006202</v>
      </c>
      <c r="K527" s="123">
        <f t="shared" si="80"/>
        <v>406524.82171260286</v>
      </c>
      <c r="L527" s="122">
        <f>IF(K529&gt;0, K527/K529, 0)</f>
        <v>0.71499297618269386</v>
      </c>
      <c r="M527" s="71"/>
      <c r="N527" s="10">
        <f>ROUND(M529*L527,0)</f>
        <v>287079</v>
      </c>
      <c r="O527" s="70">
        <v>273049</v>
      </c>
      <c r="P527" s="10">
        <f>N527-O527</f>
        <v>14030</v>
      </c>
      <c r="Q527" s="46">
        <f t="shared" si="79"/>
        <v>5.1382718852660147</v>
      </c>
      <c r="R527" s="10">
        <v>41</v>
      </c>
      <c r="S527" s="7">
        <f t="shared" si="82"/>
        <v>0</v>
      </c>
      <c r="T527" s="124">
        <f t="shared" si="83"/>
        <v>104</v>
      </c>
      <c r="U527" s="124">
        <f t="shared" si="84"/>
        <v>774</v>
      </c>
      <c r="V527" s="124">
        <f t="shared" si="85"/>
        <v>518</v>
      </c>
      <c r="W527" s="124">
        <f t="shared" si="86"/>
        <v>41.471032744959999</v>
      </c>
      <c r="X527" s="124">
        <f t="shared" si="87"/>
        <v>406524.82171260286</v>
      </c>
      <c r="Y527" s="264">
        <f t="shared" si="88"/>
        <v>518</v>
      </c>
      <c r="Z527" s="10">
        <v>104</v>
      </c>
      <c r="AA527" s="7">
        <v>774</v>
      </c>
      <c r="AB527" s="7">
        <v>518</v>
      </c>
      <c r="AC527" s="109">
        <v>41.471032744959999</v>
      </c>
      <c r="AD527" s="109">
        <v>406524.82171260286</v>
      </c>
      <c r="AE527" s="125"/>
      <c r="AF527" s="10"/>
      <c r="AI527" s="109"/>
      <c r="AJ527" s="109"/>
      <c r="AL527" s="10"/>
      <c r="AO527" s="109"/>
      <c r="AP527" s="109"/>
      <c r="AR527" s="10"/>
      <c r="AU527" s="109"/>
      <c r="AV527" s="109"/>
      <c r="AX527" s="10"/>
      <c r="BA527" s="109"/>
      <c r="BB527" s="109"/>
      <c r="BD527" s="10"/>
      <c r="BG527" s="109"/>
      <c r="BH527" s="109"/>
      <c r="BJ527" s="10"/>
      <c r="BM527" s="109"/>
      <c r="BN527" s="109"/>
      <c r="BP527" s="10"/>
      <c r="BS527" s="109"/>
      <c r="BT527" s="109"/>
      <c r="BV527" s="10"/>
      <c r="BY527" s="109"/>
      <c r="BZ527" s="109"/>
      <c r="CB527" s="10"/>
      <c r="CE527" s="109"/>
      <c r="CF527" s="109"/>
      <c r="CH527" s="10"/>
      <c r="CK527" s="109"/>
      <c r="CL527" s="109"/>
    </row>
    <row r="528" spans="1:90">
      <c r="A528" s="7" t="str">
        <f t="shared" si="81"/>
        <v>01040998</v>
      </c>
      <c r="B528" s="7" t="s">
        <v>2443</v>
      </c>
      <c r="C528" s="7" t="s">
        <v>2781</v>
      </c>
      <c r="D528" s="7">
        <v>519</v>
      </c>
      <c r="E528" s="7">
        <v>104</v>
      </c>
      <c r="F528" s="7" t="s">
        <v>2135</v>
      </c>
      <c r="G528" s="7">
        <v>998</v>
      </c>
      <c r="H528" s="7" t="s">
        <v>2135</v>
      </c>
      <c r="I528" s="37">
        <v>0</v>
      </c>
      <c r="J528" s="122">
        <v>0</v>
      </c>
      <c r="K528" s="123">
        <f t="shared" si="80"/>
        <v>0</v>
      </c>
      <c r="L528" s="122">
        <f>IF(K529&gt;0, K528/K529, 0)</f>
        <v>0</v>
      </c>
      <c r="M528" s="71"/>
      <c r="N528" s="10">
        <f>ROUND(M529*L528,0)</f>
        <v>0</v>
      </c>
      <c r="O528" s="70">
        <v>0</v>
      </c>
      <c r="P528" s="10">
        <f>N528-O528</f>
        <v>0</v>
      </c>
      <c r="Q528" s="46">
        <f>IF(O528&gt;0,P528*100/O528,IF(P528&gt;0,100,0))</f>
        <v>0</v>
      </c>
      <c r="R528" s="10">
        <v>0</v>
      </c>
      <c r="S528" s="7">
        <f t="shared" si="82"/>
        <v>0</v>
      </c>
      <c r="T528" s="124">
        <f t="shared" si="83"/>
        <v>104</v>
      </c>
      <c r="U528" s="124">
        <f t="shared" si="84"/>
        <v>998</v>
      </c>
      <c r="V528" s="124">
        <f t="shared" si="85"/>
        <v>519</v>
      </c>
      <c r="W528" s="124">
        <f t="shared" si="86"/>
        <v>0</v>
      </c>
      <c r="X528" s="124">
        <f t="shared" si="87"/>
        <v>0</v>
      </c>
      <c r="Y528" s="264">
        <f t="shared" si="88"/>
        <v>519</v>
      </c>
      <c r="Z528" s="10">
        <v>104</v>
      </c>
      <c r="AA528" s="7">
        <v>998</v>
      </c>
      <c r="AB528" s="7">
        <v>519</v>
      </c>
      <c r="AC528" s="109">
        <v>0</v>
      </c>
      <c r="AD528" s="109">
        <v>0</v>
      </c>
      <c r="AE528" s="125"/>
      <c r="AF528" s="10"/>
      <c r="AI528" s="109"/>
      <c r="AJ528" s="109"/>
      <c r="AL528" s="10"/>
      <c r="AO528" s="109"/>
      <c r="AP528" s="109"/>
      <c r="AR528" s="10"/>
      <c r="AU528" s="109"/>
      <c r="AV528" s="109"/>
      <c r="AX528" s="10"/>
      <c r="BA528" s="109"/>
      <c r="BB528" s="109"/>
      <c r="BD528" s="10"/>
      <c r="BG528" s="109"/>
      <c r="BH528" s="109"/>
      <c r="BJ528" s="10"/>
      <c r="BM528" s="109"/>
      <c r="BN528" s="109"/>
      <c r="BP528" s="10"/>
      <c r="BS528" s="109"/>
      <c r="BT528" s="109"/>
      <c r="BV528" s="10"/>
      <c r="BY528" s="109"/>
      <c r="BZ528" s="109"/>
      <c r="CB528" s="10"/>
      <c r="CE528" s="109"/>
      <c r="CF528" s="109"/>
      <c r="CH528" s="10"/>
      <c r="CK528" s="109"/>
      <c r="CL528" s="109"/>
    </row>
    <row r="529" spans="1:90">
      <c r="A529" s="7" t="str">
        <f t="shared" si="81"/>
        <v>01040999</v>
      </c>
      <c r="B529" s="7" t="s">
        <v>2443</v>
      </c>
      <c r="C529" s="7" t="s">
        <v>2782</v>
      </c>
      <c r="D529" s="7">
        <v>520</v>
      </c>
      <c r="E529" s="11">
        <v>104</v>
      </c>
      <c r="F529" s="11" t="s">
        <v>1370</v>
      </c>
      <c r="G529" s="11">
        <v>999</v>
      </c>
      <c r="H529" s="11" t="s">
        <v>1132</v>
      </c>
      <c r="I529" s="105">
        <v>541707</v>
      </c>
      <c r="J529" s="126">
        <v>1</v>
      </c>
      <c r="K529" s="127">
        <f>SUM(K525:K528)</f>
        <v>568571.76958998304</v>
      </c>
      <c r="L529" s="126">
        <f>SUM(L525:L528)</f>
        <v>1</v>
      </c>
      <c r="M529" s="105">
        <f>VLOOKUP(E529,town351,22)</f>
        <v>401513</v>
      </c>
      <c r="N529" s="105">
        <f>SUM(N525:N528)</f>
        <v>401513</v>
      </c>
      <c r="O529" s="128">
        <v>381775</v>
      </c>
      <c r="P529" s="105">
        <f>SUM(P525:P528)</f>
        <v>19738</v>
      </c>
      <c r="Q529" s="45">
        <f t="shared" ref="Q529:Q591" si="89">IF(O529&gt;0,P529*100/O529,IF(P529&gt;0,100,0))</f>
        <v>5.1700608997446142</v>
      </c>
      <c r="R529" s="105">
        <v>54</v>
      </c>
      <c r="S529" s="7">
        <f t="shared" si="82"/>
        <v>0</v>
      </c>
      <c r="T529" s="124">
        <f t="shared" si="83"/>
        <v>104</v>
      </c>
      <c r="U529" s="124">
        <f t="shared" si="84"/>
        <v>999</v>
      </c>
      <c r="V529" s="124">
        <f t="shared" si="85"/>
        <v>520</v>
      </c>
      <c r="W529" s="124">
        <f t="shared" si="86"/>
        <v>54.471032744319999</v>
      </c>
      <c r="X529" s="124">
        <f t="shared" si="87"/>
        <v>568571.76958998304</v>
      </c>
      <c r="Y529" s="264">
        <f t="shared" si="88"/>
        <v>520</v>
      </c>
      <c r="Z529" s="10">
        <v>104</v>
      </c>
      <c r="AA529" s="7">
        <v>999</v>
      </c>
      <c r="AB529" s="7">
        <v>520</v>
      </c>
      <c r="AC529" s="109">
        <v>54.471032744319999</v>
      </c>
      <c r="AD529" s="109">
        <v>568571.76958998304</v>
      </c>
      <c r="AE529" s="125"/>
      <c r="AF529" s="10"/>
      <c r="AI529" s="109"/>
      <c r="AJ529" s="109"/>
      <c r="AL529" s="10"/>
      <c r="AO529" s="109"/>
      <c r="AP529" s="109"/>
      <c r="AR529" s="10"/>
      <c r="AU529" s="109"/>
      <c r="AV529" s="109"/>
      <c r="AX529" s="10"/>
      <c r="BA529" s="109"/>
      <c r="BB529" s="109"/>
      <c r="BD529" s="10"/>
      <c r="BG529" s="109"/>
      <c r="BH529" s="109"/>
      <c r="BJ529" s="10"/>
      <c r="BM529" s="109"/>
      <c r="BN529" s="109"/>
      <c r="BP529" s="10"/>
      <c r="BS529" s="109"/>
      <c r="BT529" s="109"/>
      <c r="BV529" s="10"/>
      <c r="BY529" s="109"/>
      <c r="BZ529" s="109"/>
      <c r="CB529" s="10"/>
      <c r="CE529" s="109"/>
      <c r="CF529" s="109"/>
      <c r="CH529" s="10"/>
      <c r="CK529" s="109"/>
      <c r="CL529" s="109"/>
    </row>
    <row r="530" spans="1:90">
      <c r="A530" s="7" t="str">
        <f t="shared" si="81"/>
        <v>01050105</v>
      </c>
      <c r="B530" s="7" t="s">
        <v>2444</v>
      </c>
      <c r="C530" s="7" t="s">
        <v>2444</v>
      </c>
      <c r="D530" s="7">
        <v>521</v>
      </c>
      <c r="E530" s="7">
        <v>105</v>
      </c>
      <c r="F530" s="7" t="s">
        <v>1810</v>
      </c>
      <c r="G530" s="7">
        <v>105</v>
      </c>
      <c r="H530" s="7" t="s">
        <v>1371</v>
      </c>
      <c r="I530" s="37">
        <v>12709129.820000002</v>
      </c>
      <c r="J530" s="122">
        <v>0.95492598530625783</v>
      </c>
      <c r="K530" s="123">
        <f>X530</f>
        <v>12771696.514767833</v>
      </c>
      <c r="L530" s="122">
        <f>IF(K534&gt;0, K530/K534, 0)</f>
        <v>0.94977614406375954</v>
      </c>
      <c r="M530" s="71"/>
      <c r="N530" s="10">
        <f>ROUND(M534*L530,0)</f>
        <v>9356963</v>
      </c>
      <c r="O530" s="70">
        <v>9404745</v>
      </c>
      <c r="P530" s="10">
        <f>N530-O530</f>
        <v>-47782</v>
      </c>
      <c r="Q530" s="46">
        <f t="shared" si="89"/>
        <v>-0.50806268537849775</v>
      </c>
      <c r="R530" s="10">
        <v>1376</v>
      </c>
      <c r="S530" s="7">
        <f t="shared" si="82"/>
        <v>0</v>
      </c>
      <c r="T530" s="124">
        <f t="shared" si="83"/>
        <v>105</v>
      </c>
      <c r="U530" s="124">
        <f t="shared" si="84"/>
        <v>105</v>
      </c>
      <c r="V530" s="124">
        <f t="shared" si="85"/>
        <v>521</v>
      </c>
      <c r="W530" s="124">
        <f t="shared" si="86"/>
        <v>1347</v>
      </c>
      <c r="X530" s="124">
        <f t="shared" si="87"/>
        <v>12771696.514767833</v>
      </c>
      <c r="Y530" s="264">
        <f t="shared" si="88"/>
        <v>521</v>
      </c>
      <c r="Z530" s="10">
        <v>105</v>
      </c>
      <c r="AA530" s="7">
        <v>105</v>
      </c>
      <c r="AB530" s="7">
        <v>521</v>
      </c>
      <c r="AC530" s="109">
        <v>1347</v>
      </c>
      <c r="AD530" s="109">
        <v>12771696.514767833</v>
      </c>
      <c r="AE530" s="125"/>
      <c r="AF530" s="10"/>
      <c r="AI530" s="109"/>
      <c r="AJ530" s="109"/>
      <c r="AL530" s="10"/>
      <c r="AO530" s="109"/>
      <c r="AP530" s="109"/>
      <c r="AR530" s="10"/>
      <c r="AU530" s="109"/>
      <c r="AV530" s="109"/>
      <c r="AX530" s="10"/>
      <c r="BA530" s="109"/>
      <c r="BB530" s="109"/>
      <c r="BD530" s="10"/>
      <c r="BG530" s="109"/>
      <c r="BH530" s="109"/>
      <c r="BJ530" s="10"/>
      <c r="BM530" s="109"/>
      <c r="BN530" s="109"/>
      <c r="BP530" s="10"/>
      <c r="BS530" s="109"/>
      <c r="BT530" s="109"/>
      <c r="BV530" s="10"/>
      <c r="BY530" s="109"/>
      <c r="BZ530" s="109"/>
      <c r="CB530" s="10"/>
      <c r="CE530" s="109"/>
      <c r="CF530" s="109"/>
      <c r="CH530" s="10"/>
      <c r="CK530" s="109"/>
      <c r="CL530" s="109"/>
    </row>
    <row r="531" spans="1:90">
      <c r="A531" s="7" t="str">
        <f t="shared" si="81"/>
        <v>01050885</v>
      </c>
      <c r="B531" s="7" t="s">
        <v>2444</v>
      </c>
      <c r="C531" s="7" t="s">
        <v>2777</v>
      </c>
      <c r="D531" s="7">
        <v>522</v>
      </c>
      <c r="E531" s="7">
        <v>105</v>
      </c>
      <c r="F531" s="7" t="s">
        <v>1810</v>
      </c>
      <c r="G531" s="7">
        <v>885</v>
      </c>
      <c r="H531" s="7" t="s">
        <v>1704</v>
      </c>
      <c r="I531" s="37">
        <v>599891</v>
      </c>
      <c r="J531" s="122">
        <v>4.5074014693742129E-2</v>
      </c>
      <c r="K531" s="123">
        <f t="shared" si="80"/>
        <v>675363.18934540916</v>
      </c>
      <c r="L531" s="122">
        <f>IF(K534&gt;0, K531/K534, 0)</f>
        <v>5.0223855936240569E-2</v>
      </c>
      <c r="M531" s="71"/>
      <c r="N531" s="10">
        <f>ROUND(M534*L531,0)</f>
        <v>494793</v>
      </c>
      <c r="O531" s="70">
        <v>443919</v>
      </c>
      <c r="P531" s="10">
        <f>N531-O531</f>
        <v>50874</v>
      </c>
      <c r="Q531" s="46">
        <f t="shared" si="89"/>
        <v>11.460198820055011</v>
      </c>
      <c r="R531" s="10">
        <v>38</v>
      </c>
      <c r="S531" s="7">
        <f t="shared" si="82"/>
        <v>0</v>
      </c>
      <c r="T531" s="124">
        <f t="shared" si="83"/>
        <v>105</v>
      </c>
      <c r="U531" s="124">
        <f t="shared" si="84"/>
        <v>885</v>
      </c>
      <c r="V531" s="124">
        <f t="shared" si="85"/>
        <v>522</v>
      </c>
      <c r="W531" s="124">
        <f t="shared" si="86"/>
        <v>41.965825880679994</v>
      </c>
      <c r="X531" s="124">
        <f t="shared" si="87"/>
        <v>675363.18934540916</v>
      </c>
      <c r="Y531" s="264">
        <f t="shared" si="88"/>
        <v>522</v>
      </c>
      <c r="Z531" s="10">
        <v>105</v>
      </c>
      <c r="AA531" s="7">
        <v>885</v>
      </c>
      <c r="AB531" s="7">
        <v>522</v>
      </c>
      <c r="AC531" s="109">
        <v>41.965825880679994</v>
      </c>
      <c r="AD531" s="109">
        <v>675363.18934540916</v>
      </c>
      <c r="AE531" s="125"/>
      <c r="AF531" s="10"/>
      <c r="AI531" s="109"/>
      <c r="AJ531" s="109"/>
      <c r="AL531" s="10"/>
      <c r="AO531" s="109"/>
      <c r="AP531" s="109"/>
      <c r="AR531" s="10"/>
      <c r="AU531" s="109"/>
      <c r="AV531" s="109"/>
      <c r="AX531" s="10"/>
      <c r="BA531" s="109"/>
      <c r="BB531" s="109"/>
      <c r="BD531" s="10"/>
      <c r="BG531" s="109"/>
      <c r="BH531" s="109"/>
      <c r="BJ531" s="10"/>
      <c r="BM531" s="109"/>
      <c r="BN531" s="109"/>
      <c r="BP531" s="10"/>
      <c r="BS531" s="109"/>
      <c r="BT531" s="109"/>
      <c r="BV531" s="10"/>
      <c r="BY531" s="109"/>
      <c r="BZ531" s="109"/>
      <c r="CB531" s="10"/>
      <c r="CE531" s="109"/>
      <c r="CF531" s="109"/>
      <c r="CH531" s="10"/>
      <c r="CK531" s="109"/>
      <c r="CL531" s="109"/>
    </row>
    <row r="532" spans="1:90">
      <c r="A532" s="7" t="str">
        <f t="shared" si="81"/>
        <v>01050998</v>
      </c>
      <c r="B532" s="7" t="s">
        <v>2444</v>
      </c>
      <c r="C532" s="7" t="s">
        <v>2781</v>
      </c>
      <c r="D532" s="7">
        <v>523</v>
      </c>
      <c r="E532" s="7">
        <v>105</v>
      </c>
      <c r="F532" s="7" t="s">
        <v>2135</v>
      </c>
      <c r="G532" s="7">
        <v>998</v>
      </c>
      <c r="I532" s="129">
        <v>0</v>
      </c>
      <c r="J532" s="130">
        <v>0</v>
      </c>
      <c r="K532" s="123">
        <f t="shared" si="80"/>
        <v>0</v>
      </c>
      <c r="L532" s="122">
        <f>IF(K534&gt;0, K532/K534, 0)</f>
        <v>0</v>
      </c>
      <c r="M532" s="71"/>
      <c r="N532" s="10">
        <f>ROUND(M534*L532,0)</f>
        <v>0</v>
      </c>
      <c r="O532" s="70">
        <v>0</v>
      </c>
      <c r="P532" s="10">
        <f>N532-O532</f>
        <v>0</v>
      </c>
      <c r="Q532" s="46">
        <f t="shared" si="89"/>
        <v>0</v>
      </c>
      <c r="R532" s="10">
        <v>0</v>
      </c>
      <c r="S532" s="7">
        <f t="shared" si="82"/>
        <v>0</v>
      </c>
      <c r="T532" s="124">
        <f t="shared" si="83"/>
        <v>105</v>
      </c>
      <c r="U532" s="124">
        <f t="shared" si="84"/>
        <v>998</v>
      </c>
      <c r="V532" s="124">
        <f t="shared" si="85"/>
        <v>523</v>
      </c>
      <c r="W532" s="124">
        <f t="shared" si="86"/>
        <v>0</v>
      </c>
      <c r="X532" s="124">
        <f t="shared" si="87"/>
        <v>0</v>
      </c>
      <c r="Y532" s="264">
        <f t="shared" si="88"/>
        <v>523</v>
      </c>
      <c r="Z532" s="10">
        <v>105</v>
      </c>
      <c r="AA532" s="7">
        <v>998</v>
      </c>
      <c r="AB532" s="7">
        <v>523</v>
      </c>
      <c r="AC532" s="109">
        <v>0</v>
      </c>
      <c r="AD532" s="109">
        <v>0</v>
      </c>
      <c r="AE532" s="125"/>
      <c r="AF532" s="10"/>
      <c r="AI532" s="109"/>
      <c r="AJ532" s="109"/>
      <c r="AL532" s="10"/>
      <c r="AO532" s="109"/>
      <c r="AP532" s="109"/>
      <c r="AR532" s="10"/>
      <c r="AU532" s="109"/>
      <c r="AV532" s="109"/>
      <c r="AX532" s="10"/>
      <c r="BA532" s="109"/>
      <c r="BB532" s="109"/>
      <c r="BD532" s="10"/>
      <c r="BG532" s="109"/>
      <c r="BH532" s="109"/>
      <c r="BJ532" s="10"/>
      <c r="BM532" s="109"/>
      <c r="BN532" s="109"/>
      <c r="BP532" s="10"/>
      <c r="BS532" s="109"/>
      <c r="BT532" s="109"/>
      <c r="BV532" s="10"/>
      <c r="BY532" s="109"/>
      <c r="BZ532" s="109"/>
      <c r="CB532" s="10"/>
      <c r="CE532" s="109"/>
      <c r="CF532" s="109"/>
      <c r="CH532" s="10"/>
      <c r="CK532" s="109"/>
      <c r="CL532" s="109"/>
    </row>
    <row r="533" spans="1:90">
      <c r="A533" s="7" t="str">
        <f t="shared" si="81"/>
        <v>01050998</v>
      </c>
      <c r="B533" s="7" t="s">
        <v>2444</v>
      </c>
      <c r="C533" s="7" t="s">
        <v>2781</v>
      </c>
      <c r="D533" s="7">
        <v>524</v>
      </c>
      <c r="E533" s="7">
        <v>105</v>
      </c>
      <c r="F533" s="7" t="s">
        <v>2135</v>
      </c>
      <c r="G533" s="7">
        <v>998</v>
      </c>
      <c r="H533" s="7" t="s">
        <v>2135</v>
      </c>
      <c r="I533" s="37">
        <v>0</v>
      </c>
      <c r="J533" s="122">
        <v>0</v>
      </c>
      <c r="K533" s="123">
        <f t="shared" si="80"/>
        <v>0</v>
      </c>
      <c r="L533" s="122">
        <f>IF(K534&gt;0, K533/K534, 0)</f>
        <v>0</v>
      </c>
      <c r="M533" s="71"/>
      <c r="N533" s="10">
        <f>ROUND(M534*L533,0)</f>
        <v>0</v>
      </c>
      <c r="O533" s="70">
        <v>0</v>
      </c>
      <c r="P533" s="10">
        <f>N533-O533</f>
        <v>0</v>
      </c>
      <c r="Q533" s="46">
        <f t="shared" si="89"/>
        <v>0</v>
      </c>
      <c r="R533" s="10">
        <v>0</v>
      </c>
      <c r="S533" s="7">
        <f t="shared" si="82"/>
        <v>0</v>
      </c>
      <c r="T533" s="124">
        <f t="shared" si="83"/>
        <v>105</v>
      </c>
      <c r="U533" s="124">
        <f t="shared" si="84"/>
        <v>998</v>
      </c>
      <c r="V533" s="124">
        <f t="shared" si="85"/>
        <v>524</v>
      </c>
      <c r="W533" s="124">
        <f t="shared" si="86"/>
        <v>0</v>
      </c>
      <c r="X533" s="124">
        <f t="shared" si="87"/>
        <v>0</v>
      </c>
      <c r="Y533" s="264">
        <f t="shared" si="88"/>
        <v>524</v>
      </c>
      <c r="Z533" s="10">
        <v>105</v>
      </c>
      <c r="AA533" s="7">
        <v>998</v>
      </c>
      <c r="AB533" s="7">
        <v>524</v>
      </c>
      <c r="AC533" s="109">
        <v>0</v>
      </c>
      <c r="AD533" s="109">
        <v>0</v>
      </c>
      <c r="AE533" s="125"/>
      <c r="AF533" s="10"/>
      <c r="AI533" s="109"/>
      <c r="AJ533" s="109"/>
      <c r="AL533" s="10"/>
      <c r="AO533" s="109"/>
      <c r="AP533" s="109"/>
      <c r="AR533" s="10"/>
      <c r="AU533" s="109"/>
      <c r="AV533" s="109"/>
      <c r="AX533" s="10"/>
      <c r="BA533" s="109"/>
      <c r="BB533" s="109"/>
      <c r="BD533" s="10"/>
      <c r="BG533" s="109"/>
      <c r="BH533" s="109"/>
      <c r="BJ533" s="10"/>
      <c r="BM533" s="109"/>
      <c r="BN533" s="109"/>
      <c r="BP533" s="10"/>
      <c r="BS533" s="109"/>
      <c r="BT533" s="109"/>
      <c r="BV533" s="10"/>
      <c r="BY533" s="109"/>
      <c r="BZ533" s="109"/>
      <c r="CB533" s="10"/>
      <c r="CE533" s="109"/>
      <c r="CF533" s="109"/>
      <c r="CH533" s="10"/>
      <c r="CK533" s="109"/>
      <c r="CL533" s="109"/>
    </row>
    <row r="534" spans="1:90">
      <c r="A534" s="7" t="str">
        <f t="shared" si="81"/>
        <v>01050999</v>
      </c>
      <c r="B534" s="7" t="s">
        <v>2444</v>
      </c>
      <c r="C534" s="7" t="s">
        <v>2782</v>
      </c>
      <c r="D534" s="7">
        <v>525</v>
      </c>
      <c r="E534" s="11">
        <v>105</v>
      </c>
      <c r="F534" s="11" t="s">
        <v>1810</v>
      </c>
      <c r="G534" s="11">
        <v>999</v>
      </c>
      <c r="H534" s="11" t="s">
        <v>1132</v>
      </c>
      <c r="I534" s="105">
        <v>13309020.820000002</v>
      </c>
      <c r="J534" s="126">
        <v>1</v>
      </c>
      <c r="K534" s="127">
        <f>SUM(K530:K533)</f>
        <v>13447059.704113241</v>
      </c>
      <c r="L534" s="126">
        <f>SUM(L530:L533)</f>
        <v>1</v>
      </c>
      <c r="M534" s="105">
        <f>VLOOKUP(E534,town351,22)</f>
        <v>9851756</v>
      </c>
      <c r="N534" s="105">
        <f>SUM(N530:N533)</f>
        <v>9851756</v>
      </c>
      <c r="O534" s="128">
        <v>9848664</v>
      </c>
      <c r="P534" s="105">
        <f>SUM(P530:P533)</f>
        <v>3092</v>
      </c>
      <c r="Q534" s="45">
        <f t="shared" si="89"/>
        <v>3.1395121206287471E-2</v>
      </c>
      <c r="R534" s="105">
        <v>1414</v>
      </c>
      <c r="S534" s="7">
        <f t="shared" si="82"/>
        <v>0</v>
      </c>
      <c r="T534" s="124">
        <f t="shared" si="83"/>
        <v>105</v>
      </c>
      <c r="U534" s="124">
        <f t="shared" si="84"/>
        <v>999</v>
      </c>
      <c r="V534" s="124">
        <f t="shared" si="85"/>
        <v>525</v>
      </c>
      <c r="W534" s="124">
        <f t="shared" si="86"/>
        <v>1388.9658258806801</v>
      </c>
      <c r="X534" s="124">
        <f t="shared" si="87"/>
        <v>13447059.704113241</v>
      </c>
      <c r="Y534" s="264">
        <f t="shared" si="88"/>
        <v>525</v>
      </c>
      <c r="Z534" s="10">
        <v>105</v>
      </c>
      <c r="AA534" s="7">
        <v>999</v>
      </c>
      <c r="AB534" s="7">
        <v>525</v>
      </c>
      <c r="AC534" s="109">
        <v>1388.9658258806801</v>
      </c>
      <c r="AD534" s="109">
        <v>13447059.704113241</v>
      </c>
      <c r="AE534" s="125"/>
      <c r="AF534" s="10"/>
      <c r="AI534" s="109"/>
      <c r="AJ534" s="109"/>
      <c r="AL534" s="10"/>
      <c r="AO534" s="109"/>
      <c r="AP534" s="109"/>
      <c r="AR534" s="10"/>
      <c r="AU534" s="109"/>
      <c r="AV534" s="109"/>
      <c r="AX534" s="10"/>
      <c r="BA534" s="109"/>
      <c r="BB534" s="109"/>
      <c r="BD534" s="10"/>
      <c r="BG534" s="109"/>
      <c r="BH534" s="109"/>
      <c r="BJ534" s="10"/>
      <c r="BM534" s="109"/>
      <c r="BN534" s="109"/>
      <c r="BP534" s="10"/>
      <c r="BS534" s="109"/>
      <c r="BT534" s="109"/>
      <c r="BV534" s="10"/>
      <c r="BY534" s="109"/>
      <c r="BZ534" s="109"/>
      <c r="CB534" s="10"/>
      <c r="CE534" s="109"/>
      <c r="CF534" s="109"/>
      <c r="CH534" s="10"/>
      <c r="CK534" s="109"/>
      <c r="CL534" s="109"/>
    </row>
    <row r="535" spans="1:90">
      <c r="A535" s="7" t="str">
        <f t="shared" si="81"/>
        <v>01060106</v>
      </c>
      <c r="B535" s="7" t="s">
        <v>2445</v>
      </c>
      <c r="C535" s="7" t="s">
        <v>2445</v>
      </c>
      <c r="D535" s="7">
        <v>526</v>
      </c>
      <c r="E535" s="7">
        <v>106</v>
      </c>
      <c r="F535" s="7" t="s">
        <v>1811</v>
      </c>
      <c r="G535" s="7">
        <v>106</v>
      </c>
      <c r="H535" s="7" t="s">
        <v>1372</v>
      </c>
      <c r="I535" s="37">
        <v>0</v>
      </c>
      <c r="J535" s="122">
        <v>0</v>
      </c>
      <c r="K535" s="123">
        <f t="shared" ref="K535:K598" si="90">X535</f>
        <v>0</v>
      </c>
      <c r="L535" s="122">
        <f>IF(K539&gt;0, K535/K539, 0)</f>
        <v>0</v>
      </c>
      <c r="M535" s="71"/>
      <c r="N535" s="10">
        <f>ROUND(M539*L535,0)</f>
        <v>0</v>
      </c>
      <c r="O535" s="70">
        <v>0</v>
      </c>
      <c r="P535" s="10">
        <f>N535-O535</f>
        <v>0</v>
      </c>
      <c r="Q535" s="46">
        <f t="shared" si="89"/>
        <v>0</v>
      </c>
      <c r="R535" s="10">
        <v>0</v>
      </c>
      <c r="S535" s="7">
        <f t="shared" si="82"/>
        <v>0</v>
      </c>
      <c r="T535" s="124">
        <f t="shared" si="83"/>
        <v>106</v>
      </c>
      <c r="U535" s="124">
        <f t="shared" si="84"/>
        <v>106</v>
      </c>
      <c r="V535" s="124">
        <f t="shared" si="85"/>
        <v>526</v>
      </c>
      <c r="W535" s="124">
        <f t="shared" si="86"/>
        <v>0</v>
      </c>
      <c r="X535" s="124">
        <f t="shared" si="87"/>
        <v>0</v>
      </c>
      <c r="Y535" s="264">
        <f t="shared" si="88"/>
        <v>526</v>
      </c>
      <c r="Z535" s="10">
        <v>106</v>
      </c>
      <c r="AA535" s="7">
        <v>106</v>
      </c>
      <c r="AB535" s="7">
        <v>526</v>
      </c>
      <c r="AC535" s="109">
        <v>0</v>
      </c>
      <c r="AD535" s="109">
        <v>0</v>
      </c>
      <c r="AE535" s="125"/>
      <c r="AF535" s="10"/>
      <c r="AI535" s="109"/>
      <c r="AJ535" s="109"/>
      <c r="AL535" s="10"/>
      <c r="AO535" s="109"/>
      <c r="AP535" s="109"/>
      <c r="AR535" s="10"/>
      <c r="AU535" s="109"/>
      <c r="AV535" s="109"/>
      <c r="AX535" s="10"/>
      <c r="BA535" s="109"/>
      <c r="BB535" s="109"/>
      <c r="BD535" s="10"/>
      <c r="BG535" s="109"/>
      <c r="BH535" s="109"/>
      <c r="BJ535" s="10"/>
      <c r="BM535" s="109"/>
      <c r="BN535" s="109"/>
      <c r="BP535" s="10"/>
      <c r="BS535" s="109"/>
      <c r="BT535" s="109"/>
      <c r="BV535" s="10"/>
      <c r="BY535" s="109"/>
      <c r="BZ535" s="109"/>
      <c r="CB535" s="10"/>
      <c r="CE535" s="109"/>
      <c r="CF535" s="109"/>
      <c r="CH535" s="10"/>
      <c r="CK535" s="109"/>
      <c r="CL535" s="109"/>
    </row>
    <row r="536" spans="1:90">
      <c r="A536" s="7" t="str">
        <f t="shared" si="81"/>
        <v>01060674</v>
      </c>
      <c r="B536" s="7" t="s">
        <v>2445</v>
      </c>
      <c r="C536" s="7" t="s">
        <v>2717</v>
      </c>
      <c r="D536" s="7">
        <v>527</v>
      </c>
      <c r="E536" s="7">
        <v>106</v>
      </c>
      <c r="F536" s="7" t="s">
        <v>1811</v>
      </c>
      <c r="G536" s="7">
        <v>674</v>
      </c>
      <c r="H536" s="7" t="s">
        <v>1644</v>
      </c>
      <c r="I536" s="37">
        <v>1693360</v>
      </c>
      <c r="J536" s="122">
        <v>0.91258457666532833</v>
      </c>
      <c r="K536" s="123">
        <f t="shared" si="90"/>
        <v>1642742.9850434961</v>
      </c>
      <c r="L536" s="122">
        <f>IF(K539&gt;0, K536/K539, 0)</f>
        <v>0.90836453168211218</v>
      </c>
      <c r="M536" s="71"/>
      <c r="N536" s="10">
        <f>ROUND(M539*L536,0)</f>
        <v>993215</v>
      </c>
      <c r="O536" s="70">
        <v>972790</v>
      </c>
      <c r="P536" s="10">
        <f>N536-O536</f>
        <v>20425</v>
      </c>
      <c r="Q536" s="46">
        <f t="shared" si="89"/>
        <v>2.0996309583774506</v>
      </c>
      <c r="R536" s="10">
        <v>162</v>
      </c>
      <c r="S536" s="7">
        <f t="shared" si="82"/>
        <v>0</v>
      </c>
      <c r="T536" s="124">
        <f t="shared" si="83"/>
        <v>106</v>
      </c>
      <c r="U536" s="124">
        <f t="shared" si="84"/>
        <v>674</v>
      </c>
      <c r="V536" s="124">
        <f t="shared" si="85"/>
        <v>527</v>
      </c>
      <c r="W536" s="124">
        <f t="shared" si="86"/>
        <v>152.59360731076001</v>
      </c>
      <c r="X536" s="124">
        <f t="shared" si="87"/>
        <v>1642742.9850434961</v>
      </c>
      <c r="Y536" s="264">
        <f t="shared" si="88"/>
        <v>527</v>
      </c>
      <c r="Z536" s="10">
        <v>106</v>
      </c>
      <c r="AA536" s="7">
        <v>674</v>
      </c>
      <c r="AB536" s="7">
        <v>527</v>
      </c>
      <c r="AC536" s="109">
        <v>152.59360731076001</v>
      </c>
      <c r="AD536" s="109">
        <v>1642742.9850434961</v>
      </c>
      <c r="AE536" s="125"/>
      <c r="AF536" s="10"/>
      <c r="AI536" s="109"/>
      <c r="AJ536" s="109"/>
      <c r="AL536" s="10"/>
      <c r="AO536" s="109"/>
      <c r="AP536" s="109"/>
      <c r="AR536" s="10"/>
      <c r="AU536" s="109"/>
      <c r="AV536" s="109"/>
      <c r="AX536" s="10"/>
      <c r="BA536" s="109"/>
      <c r="BB536" s="109"/>
      <c r="BD536" s="10"/>
      <c r="BG536" s="109"/>
      <c r="BH536" s="109"/>
      <c r="BJ536" s="10"/>
      <c r="BM536" s="109"/>
      <c r="BN536" s="109"/>
      <c r="BP536" s="10"/>
      <c r="BS536" s="109"/>
      <c r="BT536" s="109"/>
      <c r="BV536" s="10"/>
      <c r="BY536" s="109"/>
      <c r="BZ536" s="109"/>
      <c r="CB536" s="10"/>
      <c r="CE536" s="109"/>
      <c r="CF536" s="109"/>
      <c r="CH536" s="10"/>
      <c r="CK536" s="109"/>
      <c r="CL536" s="109"/>
    </row>
    <row r="537" spans="1:90">
      <c r="A537" s="7" t="str">
        <f t="shared" si="81"/>
        <v>01060818</v>
      </c>
      <c r="B537" s="7" t="s">
        <v>2445</v>
      </c>
      <c r="C537" s="7" t="s">
        <v>2758</v>
      </c>
      <c r="D537" s="7">
        <v>528</v>
      </c>
      <c r="E537" s="7">
        <v>106</v>
      </c>
      <c r="F537" s="7" t="s">
        <v>1811</v>
      </c>
      <c r="G537" s="7">
        <v>818</v>
      </c>
      <c r="H537" s="7" t="s">
        <v>1685</v>
      </c>
      <c r="I537" s="37">
        <v>162205</v>
      </c>
      <c r="J537" s="122">
        <v>8.7415423334671644E-2</v>
      </c>
      <c r="K537" s="123">
        <f t="shared" si="90"/>
        <v>165719.28725753675</v>
      </c>
      <c r="L537" s="122">
        <f>IF(K539&gt;0, K537/K539, 0)</f>
        <v>9.1635468317887839E-2</v>
      </c>
      <c r="M537" s="71"/>
      <c r="N537" s="10">
        <f>ROUND(M539*L537,0)</f>
        <v>100195</v>
      </c>
      <c r="O537" s="70">
        <v>93182</v>
      </c>
      <c r="P537" s="10">
        <f>N537-O537</f>
        <v>7013</v>
      </c>
      <c r="Q537" s="46">
        <f t="shared" si="89"/>
        <v>7.5261316563284755</v>
      </c>
      <c r="R537" s="10">
        <v>10</v>
      </c>
      <c r="S537" s="7">
        <f t="shared" si="82"/>
        <v>0</v>
      </c>
      <c r="T537" s="124">
        <f t="shared" si="83"/>
        <v>106</v>
      </c>
      <c r="U537" s="124">
        <f t="shared" si="84"/>
        <v>818</v>
      </c>
      <c r="V537" s="124">
        <f t="shared" si="85"/>
        <v>528</v>
      </c>
      <c r="W537" s="124">
        <f t="shared" si="86"/>
        <v>9.9999999980300007</v>
      </c>
      <c r="X537" s="124">
        <f t="shared" si="87"/>
        <v>165719.28725753675</v>
      </c>
      <c r="Y537" s="264">
        <f t="shared" si="88"/>
        <v>528</v>
      </c>
      <c r="Z537" s="10">
        <v>106</v>
      </c>
      <c r="AA537" s="7">
        <v>818</v>
      </c>
      <c r="AB537" s="7">
        <v>528</v>
      </c>
      <c r="AC537" s="109">
        <v>9.9999999980300007</v>
      </c>
      <c r="AD537" s="109">
        <v>165719.28725753675</v>
      </c>
      <c r="AE537" s="125"/>
      <c r="AF537" s="10"/>
      <c r="AI537" s="109"/>
      <c r="AJ537" s="109"/>
      <c r="AL537" s="10"/>
      <c r="AO537" s="109"/>
      <c r="AP537" s="109"/>
      <c r="AR537" s="10"/>
      <c r="AU537" s="109"/>
      <c r="AV537" s="109"/>
      <c r="AX537" s="10"/>
      <c r="BA537" s="109"/>
      <c r="BB537" s="109"/>
      <c r="BD537" s="10"/>
      <c r="BG537" s="109"/>
      <c r="BH537" s="109"/>
      <c r="BJ537" s="10"/>
      <c r="BM537" s="109"/>
      <c r="BN537" s="109"/>
      <c r="BP537" s="10"/>
      <c r="BS537" s="109"/>
      <c r="BT537" s="109"/>
      <c r="BV537" s="10"/>
      <c r="BY537" s="109"/>
      <c r="BZ537" s="109"/>
      <c r="CB537" s="10"/>
      <c r="CE537" s="109"/>
      <c r="CF537" s="109"/>
      <c r="CH537" s="10"/>
      <c r="CK537" s="109"/>
      <c r="CL537" s="109"/>
    </row>
    <row r="538" spans="1:90">
      <c r="A538" s="7" t="str">
        <f t="shared" si="81"/>
        <v>01060998</v>
      </c>
      <c r="B538" s="7" t="s">
        <v>2445</v>
      </c>
      <c r="C538" s="7" t="s">
        <v>2781</v>
      </c>
      <c r="D538" s="7">
        <v>529</v>
      </c>
      <c r="E538" s="7">
        <v>106</v>
      </c>
      <c r="F538" s="7" t="s">
        <v>2135</v>
      </c>
      <c r="G538" s="7">
        <v>998</v>
      </c>
      <c r="H538" s="7" t="s">
        <v>2135</v>
      </c>
      <c r="I538" s="37">
        <v>0</v>
      </c>
      <c r="J538" s="122">
        <v>0</v>
      </c>
      <c r="K538" s="123">
        <f t="shared" si="90"/>
        <v>0</v>
      </c>
      <c r="L538" s="122">
        <f>IF(K539&gt;0, K538/K539, 0)</f>
        <v>0</v>
      </c>
      <c r="M538" s="71"/>
      <c r="N538" s="10">
        <f>ROUND(M539*L538,0)</f>
        <v>0</v>
      </c>
      <c r="O538" s="70">
        <v>0</v>
      </c>
      <c r="P538" s="10">
        <f>N538-O538</f>
        <v>0</v>
      </c>
      <c r="Q538" s="46">
        <f t="shared" si="89"/>
        <v>0</v>
      </c>
      <c r="R538" s="10">
        <v>0</v>
      </c>
      <c r="S538" s="7">
        <f t="shared" si="82"/>
        <v>0</v>
      </c>
      <c r="T538" s="124">
        <f t="shared" si="83"/>
        <v>106</v>
      </c>
      <c r="U538" s="124">
        <f t="shared" si="84"/>
        <v>998</v>
      </c>
      <c r="V538" s="124">
        <f t="shared" si="85"/>
        <v>529</v>
      </c>
      <c r="W538" s="124">
        <f t="shared" si="86"/>
        <v>0</v>
      </c>
      <c r="X538" s="124">
        <f t="shared" si="87"/>
        <v>0</v>
      </c>
      <c r="Y538" s="264">
        <f t="shared" si="88"/>
        <v>529</v>
      </c>
      <c r="Z538" s="10">
        <v>106</v>
      </c>
      <c r="AA538" s="7">
        <v>998</v>
      </c>
      <c r="AB538" s="7">
        <v>529</v>
      </c>
      <c r="AC538" s="109">
        <v>0</v>
      </c>
      <c r="AD538" s="109">
        <v>0</v>
      </c>
      <c r="AE538" s="125"/>
      <c r="AF538" s="10"/>
      <c r="AI538" s="109"/>
      <c r="AJ538" s="109"/>
      <c r="AL538" s="10"/>
      <c r="AO538" s="109"/>
      <c r="AP538" s="109"/>
      <c r="AR538" s="10"/>
      <c r="AU538" s="109"/>
      <c r="AV538" s="109"/>
      <c r="AX538" s="10"/>
      <c r="BA538" s="109"/>
      <c r="BB538" s="109"/>
      <c r="BD538" s="10"/>
      <c r="BG538" s="109"/>
      <c r="BH538" s="109"/>
      <c r="BJ538" s="10"/>
      <c r="BM538" s="109"/>
      <c r="BN538" s="109"/>
      <c r="BP538" s="10"/>
      <c r="BS538" s="109"/>
      <c r="BT538" s="109"/>
      <c r="BV538" s="10"/>
      <c r="BY538" s="109"/>
      <c r="BZ538" s="109"/>
      <c r="CB538" s="10"/>
      <c r="CE538" s="109"/>
      <c r="CF538" s="109"/>
      <c r="CH538" s="10"/>
      <c r="CK538" s="109"/>
      <c r="CL538" s="109"/>
    </row>
    <row r="539" spans="1:90">
      <c r="A539" s="7" t="str">
        <f t="shared" si="81"/>
        <v>01060999</v>
      </c>
      <c r="B539" s="7" t="s">
        <v>2445</v>
      </c>
      <c r="C539" s="7" t="s">
        <v>2782</v>
      </c>
      <c r="D539" s="7">
        <v>530</v>
      </c>
      <c r="E539" s="11">
        <v>106</v>
      </c>
      <c r="F539" s="11" t="s">
        <v>1811</v>
      </c>
      <c r="G539" s="11">
        <v>999</v>
      </c>
      <c r="H539" s="11" t="s">
        <v>1132</v>
      </c>
      <c r="I539" s="105">
        <v>1855565</v>
      </c>
      <c r="J539" s="126">
        <v>1</v>
      </c>
      <c r="K539" s="127">
        <f>SUM(K535:K538)</f>
        <v>1808462.2723010329</v>
      </c>
      <c r="L539" s="126">
        <f>SUM(L535:L538)</f>
        <v>1</v>
      </c>
      <c r="M539" s="105">
        <f>VLOOKUP(E539,town351,22)</f>
        <v>1093410</v>
      </c>
      <c r="N539" s="105">
        <f>SUM(N535:N538)</f>
        <v>1093410</v>
      </c>
      <c r="O539" s="128">
        <v>1065972</v>
      </c>
      <c r="P539" s="105">
        <f>SUM(P535:P538)</f>
        <v>27438</v>
      </c>
      <c r="Q539" s="45">
        <f t="shared" si="89"/>
        <v>2.5739888102126511</v>
      </c>
      <c r="R539" s="105">
        <v>172</v>
      </c>
      <c r="S539" s="7">
        <f t="shared" si="82"/>
        <v>0</v>
      </c>
      <c r="T539" s="124">
        <f t="shared" si="83"/>
        <v>106</v>
      </c>
      <c r="U539" s="124">
        <f t="shared" si="84"/>
        <v>999</v>
      </c>
      <c r="V539" s="124">
        <f t="shared" si="85"/>
        <v>530</v>
      </c>
      <c r="W539" s="124">
        <f t="shared" si="86"/>
        <v>162.59360730879001</v>
      </c>
      <c r="X539" s="124">
        <f t="shared" si="87"/>
        <v>1808462.2723010329</v>
      </c>
      <c r="Y539" s="264">
        <f t="shared" si="88"/>
        <v>530</v>
      </c>
      <c r="Z539" s="10">
        <v>106</v>
      </c>
      <c r="AA539" s="7">
        <v>999</v>
      </c>
      <c r="AB539" s="7">
        <v>530</v>
      </c>
      <c r="AC539" s="109">
        <v>162.59360730879001</v>
      </c>
      <c r="AD539" s="109">
        <v>1808462.2723010329</v>
      </c>
      <c r="AE539" s="125"/>
      <c r="AF539" s="10"/>
      <c r="AI539" s="109"/>
      <c r="AJ539" s="109"/>
      <c r="AL539" s="10"/>
      <c r="AO539" s="109"/>
      <c r="AP539" s="109"/>
      <c r="AR539" s="10"/>
      <c r="AU539" s="109"/>
      <c r="AV539" s="109"/>
      <c r="AX539" s="10"/>
      <c r="BA539" s="109"/>
      <c r="BB539" s="109"/>
      <c r="BD539" s="10"/>
      <c r="BG539" s="109"/>
      <c r="BH539" s="109"/>
      <c r="BJ539" s="10"/>
      <c r="BM539" s="109"/>
      <c r="BN539" s="109"/>
      <c r="BP539" s="10"/>
      <c r="BS539" s="109"/>
      <c r="BT539" s="109"/>
      <c r="BV539" s="10"/>
      <c r="BY539" s="109"/>
      <c r="BZ539" s="109"/>
      <c r="CB539" s="10"/>
      <c r="CE539" s="109"/>
      <c r="CF539" s="109"/>
      <c r="CH539" s="10"/>
      <c r="CK539" s="109"/>
      <c r="CL539" s="109"/>
    </row>
    <row r="540" spans="1:90">
      <c r="A540" s="7" t="str">
        <f t="shared" si="81"/>
        <v>01070107</v>
      </c>
      <c r="B540" s="7" t="s">
        <v>2446</v>
      </c>
      <c r="C540" s="7" t="s">
        <v>2446</v>
      </c>
      <c r="D540" s="7">
        <v>531</v>
      </c>
      <c r="E540" s="7">
        <v>107</v>
      </c>
      <c r="F540" s="7" t="s">
        <v>1812</v>
      </c>
      <c r="G540" s="7">
        <v>107</v>
      </c>
      <c r="H540" s="7" t="s">
        <v>1373</v>
      </c>
      <c r="I540" s="37">
        <v>34761401.33839</v>
      </c>
      <c r="J540" s="122">
        <v>0.96119627871463786</v>
      </c>
      <c r="K540" s="123">
        <f>X540</f>
        <v>35423863.383190274</v>
      </c>
      <c r="L540" s="122">
        <f>IF(K544&gt;0, K540/K544, 0)</f>
        <v>0.95784756398776838</v>
      </c>
      <c r="M540" s="71"/>
      <c r="N540" s="10">
        <f>ROUND(M544*L540,0)</f>
        <v>29347381</v>
      </c>
      <c r="O540" s="70">
        <v>29058004</v>
      </c>
      <c r="P540" s="10">
        <f>N540-O540</f>
        <v>289377</v>
      </c>
      <c r="Q540" s="46">
        <f t="shared" si="89"/>
        <v>0.99585986704386165</v>
      </c>
      <c r="R540" s="10">
        <v>3179</v>
      </c>
      <c r="S540" s="7">
        <f t="shared" si="82"/>
        <v>0</v>
      </c>
      <c r="T540" s="124">
        <f t="shared" si="83"/>
        <v>107</v>
      </c>
      <c r="U540" s="124">
        <f t="shared" si="84"/>
        <v>107</v>
      </c>
      <c r="V540" s="124">
        <f t="shared" si="85"/>
        <v>531</v>
      </c>
      <c r="W540" s="124">
        <f t="shared" si="86"/>
        <v>3189</v>
      </c>
      <c r="X540" s="124">
        <f t="shared" si="87"/>
        <v>35423863.383190274</v>
      </c>
      <c r="Y540" s="264">
        <f t="shared" si="88"/>
        <v>531</v>
      </c>
      <c r="Z540" s="10">
        <v>107</v>
      </c>
      <c r="AA540" s="7">
        <v>107</v>
      </c>
      <c r="AB540" s="7">
        <v>531</v>
      </c>
      <c r="AC540" s="109">
        <v>3189</v>
      </c>
      <c r="AD540" s="109">
        <v>35423863.383190274</v>
      </c>
      <c r="AE540" s="125"/>
      <c r="AF540" s="10"/>
      <c r="AI540" s="109"/>
      <c r="AJ540" s="109"/>
      <c r="AL540" s="10"/>
      <c r="AO540" s="109"/>
      <c r="AP540" s="109"/>
      <c r="AR540" s="10"/>
      <c r="AU540" s="109"/>
      <c r="AV540" s="109"/>
      <c r="AX540" s="10"/>
      <c r="BA540" s="109"/>
      <c r="BB540" s="109"/>
      <c r="BD540" s="10"/>
      <c r="BG540" s="109"/>
      <c r="BH540" s="109"/>
      <c r="BJ540" s="10"/>
      <c r="BM540" s="109"/>
      <c r="BN540" s="109"/>
      <c r="BP540" s="10"/>
      <c r="BS540" s="109"/>
      <c r="BT540" s="109"/>
      <c r="BV540" s="10"/>
      <c r="BY540" s="109"/>
      <c r="BZ540" s="109"/>
      <c r="CB540" s="10"/>
      <c r="CE540" s="109"/>
      <c r="CF540" s="109"/>
      <c r="CH540" s="10"/>
      <c r="CK540" s="109"/>
      <c r="CL540" s="109"/>
    </row>
    <row r="541" spans="1:90">
      <c r="A541" s="7" t="str">
        <f t="shared" si="81"/>
        <v>01070817</v>
      </c>
      <c r="B541" s="7" t="s">
        <v>2446</v>
      </c>
      <c r="C541" s="7" t="s">
        <v>2757</v>
      </c>
      <c r="D541" s="7">
        <v>532</v>
      </c>
      <c r="E541" s="7">
        <v>107</v>
      </c>
      <c r="F541" s="7" t="s">
        <v>1812</v>
      </c>
      <c r="G541" s="7">
        <v>817</v>
      </c>
      <c r="H541" s="7" t="s">
        <v>1684</v>
      </c>
      <c r="I541" s="37">
        <v>1403326</v>
      </c>
      <c r="J541" s="122">
        <v>3.8803721285362081E-2</v>
      </c>
      <c r="K541" s="123">
        <f t="shared" si="90"/>
        <v>1558914.164117486</v>
      </c>
      <c r="L541" s="122">
        <f>IF(K544&gt;0, K541/K544, 0)</f>
        <v>4.2152436012231606E-2</v>
      </c>
      <c r="M541" s="71"/>
      <c r="N541" s="10">
        <f>ROUND(M544*L541,0)</f>
        <v>1291504</v>
      </c>
      <c r="O541" s="70">
        <v>1173079</v>
      </c>
      <c r="P541" s="10">
        <f>N541-O541</f>
        <v>118425</v>
      </c>
      <c r="Q541" s="46">
        <f t="shared" si="89"/>
        <v>10.095228028120868</v>
      </c>
      <c r="R541" s="10">
        <v>89</v>
      </c>
      <c r="S541" s="7">
        <f t="shared" si="82"/>
        <v>0</v>
      </c>
      <c r="T541" s="124">
        <f t="shared" si="83"/>
        <v>107</v>
      </c>
      <c r="U541" s="124">
        <f t="shared" si="84"/>
        <v>817</v>
      </c>
      <c r="V541" s="124">
        <f t="shared" si="85"/>
        <v>532</v>
      </c>
      <c r="W541" s="124">
        <f t="shared" si="86"/>
        <v>97.9999999992</v>
      </c>
      <c r="X541" s="124">
        <f t="shared" si="87"/>
        <v>1558914.164117486</v>
      </c>
      <c r="Y541" s="264">
        <f t="shared" si="88"/>
        <v>532</v>
      </c>
      <c r="Z541" s="10">
        <v>107</v>
      </c>
      <c r="AA541" s="7">
        <v>817</v>
      </c>
      <c r="AB541" s="7">
        <v>532</v>
      </c>
      <c r="AC541" s="109">
        <v>97.9999999992</v>
      </c>
      <c r="AD541" s="109">
        <v>1558914.164117486</v>
      </c>
      <c r="AE541" s="125"/>
      <c r="AF541" s="10"/>
      <c r="AI541" s="109"/>
      <c r="AJ541" s="109"/>
      <c r="AL541" s="10"/>
      <c r="AO541" s="109"/>
      <c r="AP541" s="109"/>
      <c r="AR541" s="10"/>
      <c r="AU541" s="109"/>
      <c r="AV541" s="109"/>
      <c r="AX541" s="10"/>
      <c r="BA541" s="109"/>
      <c r="BB541" s="109"/>
      <c r="BD541" s="10"/>
      <c r="BG541" s="109"/>
      <c r="BH541" s="109"/>
      <c r="BJ541" s="10"/>
      <c r="BM541" s="109"/>
      <c r="BN541" s="109"/>
      <c r="BP541" s="10"/>
      <c r="BS541" s="109"/>
      <c r="BT541" s="109"/>
      <c r="BV541" s="10"/>
      <c r="BY541" s="109"/>
      <c r="BZ541" s="109"/>
      <c r="CB541" s="10"/>
      <c r="CE541" s="109"/>
      <c r="CF541" s="109"/>
      <c r="CH541" s="10"/>
      <c r="CK541" s="109"/>
      <c r="CL541" s="109"/>
    </row>
    <row r="542" spans="1:90">
      <c r="A542" s="7" t="str">
        <f t="shared" si="81"/>
        <v>01070998</v>
      </c>
      <c r="B542" s="7" t="s">
        <v>2446</v>
      </c>
      <c r="C542" s="7" t="s">
        <v>2781</v>
      </c>
      <c r="D542" s="7">
        <v>533</v>
      </c>
      <c r="E542" s="7">
        <v>107</v>
      </c>
      <c r="F542" s="7" t="s">
        <v>2135</v>
      </c>
      <c r="G542" s="7">
        <v>998</v>
      </c>
      <c r="I542" s="129">
        <v>0</v>
      </c>
      <c r="J542" s="130">
        <v>0</v>
      </c>
      <c r="K542" s="123">
        <f t="shared" si="90"/>
        <v>0</v>
      </c>
      <c r="L542" s="122">
        <f>IF(K544&gt;0, K542/K544, 0)</f>
        <v>0</v>
      </c>
      <c r="M542" s="71"/>
      <c r="N542" s="10">
        <f>ROUND(M544*L542,0)</f>
        <v>0</v>
      </c>
      <c r="O542" s="70">
        <v>0</v>
      </c>
      <c r="P542" s="10">
        <f>N542-O542</f>
        <v>0</v>
      </c>
      <c r="Q542" s="46">
        <f t="shared" si="89"/>
        <v>0</v>
      </c>
      <c r="R542" s="10">
        <v>0</v>
      </c>
      <c r="S542" s="7">
        <f t="shared" si="82"/>
        <v>0</v>
      </c>
      <c r="T542" s="124">
        <f t="shared" si="83"/>
        <v>107</v>
      </c>
      <c r="U542" s="124">
        <f t="shared" si="84"/>
        <v>998</v>
      </c>
      <c r="V542" s="124">
        <f t="shared" si="85"/>
        <v>533</v>
      </c>
      <c r="W542" s="124">
        <f t="shared" si="86"/>
        <v>0</v>
      </c>
      <c r="X542" s="124">
        <f t="shared" si="87"/>
        <v>0</v>
      </c>
      <c r="Y542" s="264">
        <f t="shared" si="88"/>
        <v>533</v>
      </c>
      <c r="Z542" s="10">
        <v>107</v>
      </c>
      <c r="AA542" s="7">
        <v>998</v>
      </c>
      <c r="AB542" s="7">
        <v>533</v>
      </c>
      <c r="AC542" s="109">
        <v>0</v>
      </c>
      <c r="AD542" s="109">
        <v>0</v>
      </c>
      <c r="AE542" s="125"/>
      <c r="AF542" s="10"/>
      <c r="AI542" s="109"/>
      <c r="AJ542" s="109"/>
      <c r="AL542" s="10"/>
      <c r="AO542" s="109"/>
      <c r="AP542" s="109"/>
      <c r="AR542" s="10"/>
      <c r="AU542" s="109"/>
      <c r="AV542" s="109"/>
      <c r="AX542" s="10"/>
      <c r="BA542" s="109"/>
      <c r="BB542" s="109"/>
      <c r="BD542" s="10"/>
      <c r="BG542" s="109"/>
      <c r="BH542" s="109"/>
      <c r="BJ542" s="10"/>
      <c r="BM542" s="109"/>
      <c r="BN542" s="109"/>
      <c r="BP542" s="10"/>
      <c r="BS542" s="109"/>
      <c r="BT542" s="109"/>
      <c r="BV542" s="10"/>
      <c r="BY542" s="109"/>
      <c r="BZ542" s="109"/>
      <c r="CB542" s="10"/>
      <c r="CE542" s="109"/>
      <c r="CF542" s="109"/>
      <c r="CH542" s="10"/>
      <c r="CK542" s="109"/>
      <c r="CL542" s="109"/>
    </row>
    <row r="543" spans="1:90">
      <c r="A543" s="7" t="str">
        <f t="shared" si="81"/>
        <v>01070998</v>
      </c>
      <c r="B543" s="7" t="s">
        <v>2446</v>
      </c>
      <c r="C543" s="7" t="s">
        <v>2781</v>
      </c>
      <c r="D543" s="7">
        <v>534</v>
      </c>
      <c r="E543" s="7">
        <v>107</v>
      </c>
      <c r="F543" s="7" t="s">
        <v>2135</v>
      </c>
      <c r="G543" s="7">
        <v>998</v>
      </c>
      <c r="H543" s="7" t="s">
        <v>2135</v>
      </c>
      <c r="I543" s="37">
        <v>0</v>
      </c>
      <c r="J543" s="122">
        <v>0</v>
      </c>
      <c r="K543" s="123">
        <f t="shared" si="90"/>
        <v>0</v>
      </c>
      <c r="L543" s="122">
        <f>IF(K544&gt;0, K543/K544, 0)</f>
        <v>0</v>
      </c>
      <c r="M543" s="71"/>
      <c r="N543" s="10">
        <f>ROUND(M544*L543,0)</f>
        <v>0</v>
      </c>
      <c r="O543" s="70">
        <v>0</v>
      </c>
      <c r="P543" s="10">
        <f>N543-O543</f>
        <v>0</v>
      </c>
      <c r="Q543" s="46">
        <f t="shared" si="89"/>
        <v>0</v>
      </c>
      <c r="R543" s="10">
        <v>0</v>
      </c>
      <c r="S543" s="7">
        <f t="shared" si="82"/>
        <v>0</v>
      </c>
      <c r="T543" s="124">
        <f t="shared" si="83"/>
        <v>107</v>
      </c>
      <c r="U543" s="124">
        <f t="shared" si="84"/>
        <v>998</v>
      </c>
      <c r="V543" s="124">
        <f t="shared" si="85"/>
        <v>534</v>
      </c>
      <c r="W543" s="124">
        <f t="shared" si="86"/>
        <v>0</v>
      </c>
      <c r="X543" s="124">
        <f t="shared" si="87"/>
        <v>0</v>
      </c>
      <c r="Y543" s="264">
        <f t="shared" si="88"/>
        <v>534</v>
      </c>
      <c r="Z543" s="10">
        <v>107</v>
      </c>
      <c r="AA543" s="7">
        <v>998</v>
      </c>
      <c r="AB543" s="7">
        <v>534</v>
      </c>
      <c r="AC543" s="109">
        <v>0</v>
      </c>
      <c r="AD543" s="109">
        <v>0</v>
      </c>
      <c r="AE543" s="125"/>
      <c r="AF543" s="10"/>
      <c r="AI543" s="109"/>
      <c r="AJ543" s="109"/>
      <c r="AL543" s="10"/>
      <c r="AO543" s="109"/>
      <c r="AP543" s="109"/>
      <c r="AR543" s="10"/>
      <c r="AU543" s="109"/>
      <c r="AV543" s="109"/>
      <c r="AX543" s="10"/>
      <c r="BA543" s="109"/>
      <c r="BB543" s="109"/>
      <c r="BD543" s="10"/>
      <c r="BG543" s="109"/>
      <c r="BH543" s="109"/>
      <c r="BJ543" s="10"/>
      <c r="BM543" s="109"/>
      <c r="BN543" s="109"/>
      <c r="BP543" s="10"/>
      <c r="BS543" s="109"/>
      <c r="BT543" s="109"/>
      <c r="BV543" s="10"/>
      <c r="BY543" s="109"/>
      <c r="BZ543" s="109"/>
      <c r="CB543" s="10"/>
      <c r="CE543" s="109"/>
      <c r="CF543" s="109"/>
      <c r="CH543" s="10"/>
      <c r="CK543" s="109"/>
      <c r="CL543" s="109"/>
    </row>
    <row r="544" spans="1:90">
      <c r="A544" s="7" t="str">
        <f t="shared" si="81"/>
        <v>01070999</v>
      </c>
      <c r="B544" s="7" t="s">
        <v>2446</v>
      </c>
      <c r="C544" s="7" t="s">
        <v>2782</v>
      </c>
      <c r="D544" s="7">
        <v>535</v>
      </c>
      <c r="E544" s="11">
        <v>107</v>
      </c>
      <c r="F544" s="11" t="s">
        <v>1812</v>
      </c>
      <c r="G544" s="11">
        <v>999</v>
      </c>
      <c r="H544" s="11" t="s">
        <v>1132</v>
      </c>
      <c r="I544" s="105">
        <v>36164727.33839</v>
      </c>
      <c r="J544" s="126">
        <v>1</v>
      </c>
      <c r="K544" s="127">
        <f>SUM(K540:K543)</f>
        <v>36982777.54730776</v>
      </c>
      <c r="L544" s="126">
        <f>SUM(L540:L543)</f>
        <v>1</v>
      </c>
      <c r="M544" s="105">
        <f>VLOOKUP(E544,town351,22)</f>
        <v>30638885</v>
      </c>
      <c r="N544" s="105">
        <f>SUM(N540:N543)</f>
        <v>30638885</v>
      </c>
      <c r="O544" s="128">
        <v>30231083</v>
      </c>
      <c r="P544" s="105">
        <f>SUM(P540:P543)</f>
        <v>407802</v>
      </c>
      <c r="Q544" s="45">
        <f t="shared" si="89"/>
        <v>1.3489493578513214</v>
      </c>
      <c r="R544" s="105">
        <v>3268</v>
      </c>
      <c r="S544" s="7">
        <f t="shared" si="82"/>
        <v>0</v>
      </c>
      <c r="T544" s="124">
        <f t="shared" si="83"/>
        <v>107</v>
      </c>
      <c r="U544" s="124">
        <f t="shared" si="84"/>
        <v>999</v>
      </c>
      <c r="V544" s="124">
        <f t="shared" si="85"/>
        <v>535</v>
      </c>
      <c r="W544" s="124">
        <f t="shared" si="86"/>
        <v>3286.9999999992001</v>
      </c>
      <c r="X544" s="124">
        <f t="shared" si="87"/>
        <v>36982777.54730776</v>
      </c>
      <c r="Y544" s="264">
        <f t="shared" si="88"/>
        <v>535</v>
      </c>
      <c r="Z544" s="10">
        <v>107</v>
      </c>
      <c r="AA544" s="7">
        <v>999</v>
      </c>
      <c r="AB544" s="7">
        <v>535</v>
      </c>
      <c r="AC544" s="109">
        <v>3286.9999999992001</v>
      </c>
      <c r="AD544" s="109">
        <v>36982777.54730776</v>
      </c>
      <c r="AE544" s="125"/>
      <c r="AF544" s="10"/>
      <c r="AI544" s="109"/>
      <c r="AJ544" s="109"/>
      <c r="AL544" s="10"/>
      <c r="AO544" s="109"/>
      <c r="AP544" s="109"/>
      <c r="AR544" s="10"/>
      <c r="AU544" s="109"/>
      <c r="AV544" s="109"/>
      <c r="AX544" s="10"/>
      <c r="BA544" s="109"/>
      <c r="BB544" s="109"/>
      <c r="BD544" s="10"/>
      <c r="BG544" s="109"/>
      <c r="BH544" s="109"/>
      <c r="BJ544" s="10"/>
      <c r="BM544" s="109"/>
      <c r="BN544" s="109"/>
      <c r="BP544" s="10"/>
      <c r="BS544" s="109"/>
      <c r="BT544" s="109"/>
      <c r="BV544" s="10"/>
      <c r="BY544" s="109"/>
      <c r="BZ544" s="109"/>
      <c r="CB544" s="10"/>
      <c r="CE544" s="109"/>
      <c r="CF544" s="109"/>
      <c r="CH544" s="10"/>
      <c r="CK544" s="109"/>
      <c r="CL544" s="109"/>
    </row>
    <row r="545" spans="1:90">
      <c r="A545" s="7" t="str">
        <f t="shared" si="81"/>
        <v>01080108</v>
      </c>
      <c r="B545" s="7" t="s">
        <v>2447</v>
      </c>
      <c r="C545" s="7" t="s">
        <v>2447</v>
      </c>
      <c r="D545" s="7">
        <v>536</v>
      </c>
      <c r="E545" s="7">
        <v>108</v>
      </c>
      <c r="F545" s="7" t="s">
        <v>1813</v>
      </c>
      <c r="G545" s="7">
        <v>108</v>
      </c>
      <c r="H545" s="7" t="s">
        <v>1374</v>
      </c>
      <c r="I545" s="37">
        <v>105367.36000000002</v>
      </c>
      <c r="J545" s="122">
        <v>9.047947301895827E-2</v>
      </c>
      <c r="K545" s="123">
        <f>X545</f>
        <v>107334.66674871638</v>
      </c>
      <c r="L545" s="122">
        <f>IF(K549&gt;0, K545/K549, 0)</f>
        <v>9.8275262615091313E-2</v>
      </c>
      <c r="M545" s="71"/>
      <c r="N545" s="10">
        <f>ROUND(M549*L545,0)</f>
        <v>72157</v>
      </c>
      <c r="O545" s="70">
        <v>68309</v>
      </c>
      <c r="P545" s="10">
        <f>N545-O545</f>
        <v>3848</v>
      </c>
      <c r="Q545" s="46">
        <f t="shared" si="89"/>
        <v>5.6332254900525554</v>
      </c>
      <c r="R545" s="10">
        <v>8</v>
      </c>
      <c r="S545" s="7">
        <f t="shared" si="82"/>
        <v>0</v>
      </c>
      <c r="T545" s="124">
        <f t="shared" si="83"/>
        <v>108</v>
      </c>
      <c r="U545" s="124">
        <f t="shared" si="84"/>
        <v>108</v>
      </c>
      <c r="V545" s="124">
        <f t="shared" si="85"/>
        <v>536</v>
      </c>
      <c r="W545" s="124">
        <f t="shared" si="86"/>
        <v>8</v>
      </c>
      <c r="X545" s="124">
        <f t="shared" si="87"/>
        <v>107334.66674871638</v>
      </c>
      <c r="Y545" s="264">
        <f t="shared" si="88"/>
        <v>536</v>
      </c>
      <c r="Z545" s="10">
        <v>108</v>
      </c>
      <c r="AA545" s="7">
        <v>108</v>
      </c>
      <c r="AB545" s="7">
        <v>536</v>
      </c>
      <c r="AC545" s="109">
        <v>8</v>
      </c>
      <c r="AD545" s="109">
        <v>107334.66674871638</v>
      </c>
      <c r="AE545" s="125"/>
      <c r="AF545" s="10"/>
      <c r="AI545" s="109"/>
      <c r="AJ545" s="109"/>
      <c r="AL545" s="10"/>
      <c r="AO545" s="109"/>
      <c r="AP545" s="109"/>
      <c r="AR545" s="10"/>
      <c r="AU545" s="109"/>
      <c r="AV545" s="109"/>
      <c r="AX545" s="10"/>
      <c r="BA545" s="109"/>
      <c r="BB545" s="109"/>
      <c r="BD545" s="10"/>
      <c r="BG545" s="109"/>
      <c r="BH545" s="109"/>
      <c r="BJ545" s="10"/>
      <c r="BM545" s="109"/>
      <c r="BN545" s="109"/>
      <c r="BP545" s="10"/>
      <c r="BS545" s="109"/>
      <c r="BT545" s="109"/>
      <c r="BV545" s="10"/>
      <c r="BY545" s="109"/>
      <c r="BZ545" s="109"/>
      <c r="CB545" s="10"/>
      <c r="CE545" s="109"/>
      <c r="CF545" s="109"/>
      <c r="CH545" s="10"/>
      <c r="CK545" s="109"/>
      <c r="CL545" s="109"/>
    </row>
    <row r="546" spans="1:90">
      <c r="A546" s="7" t="str">
        <f t="shared" si="81"/>
        <v>01080632</v>
      </c>
      <c r="B546" s="7" t="s">
        <v>2447</v>
      </c>
      <c r="C546" s="7" t="s">
        <v>2704</v>
      </c>
      <c r="D546" s="7">
        <v>537</v>
      </c>
      <c r="E546" s="7">
        <v>108</v>
      </c>
      <c r="F546" s="7" t="s">
        <v>1813</v>
      </c>
      <c r="G546" s="7">
        <v>632</v>
      </c>
      <c r="H546" s="7" t="s">
        <v>1631</v>
      </c>
      <c r="I546" s="37">
        <v>609996</v>
      </c>
      <c r="J546" s="122">
        <v>0.52380658131391411</v>
      </c>
      <c r="K546" s="123">
        <f t="shared" si="90"/>
        <v>578293.45776308456</v>
      </c>
      <c r="L546" s="122">
        <f>IF(K549&gt;0, K546/K549, 0)</f>
        <v>0.52948355970869032</v>
      </c>
      <c r="M546" s="71"/>
      <c r="N546" s="10">
        <f>ROUND(M549*L546,0)</f>
        <v>388763</v>
      </c>
      <c r="O546" s="70">
        <v>395455</v>
      </c>
      <c r="P546" s="10">
        <f>N546-O546</f>
        <v>-6692</v>
      </c>
      <c r="Q546" s="46">
        <f t="shared" si="89"/>
        <v>-1.692227939967885</v>
      </c>
      <c r="R546" s="10">
        <v>61</v>
      </c>
      <c r="S546" s="7">
        <f t="shared" si="82"/>
        <v>0</v>
      </c>
      <c r="T546" s="124">
        <f t="shared" si="83"/>
        <v>108</v>
      </c>
      <c r="U546" s="124">
        <f t="shared" si="84"/>
        <v>632</v>
      </c>
      <c r="V546" s="124">
        <f t="shared" si="85"/>
        <v>537</v>
      </c>
      <c r="W546" s="124">
        <f t="shared" si="86"/>
        <v>59.032258064280001</v>
      </c>
      <c r="X546" s="124">
        <f t="shared" si="87"/>
        <v>578293.45776308456</v>
      </c>
      <c r="Y546" s="264">
        <f t="shared" si="88"/>
        <v>537</v>
      </c>
      <c r="Z546" s="10">
        <v>108</v>
      </c>
      <c r="AA546" s="7">
        <v>632</v>
      </c>
      <c r="AB546" s="7">
        <v>537</v>
      </c>
      <c r="AC546" s="109">
        <v>59.032258064280001</v>
      </c>
      <c r="AD546" s="109">
        <v>578293.45776308456</v>
      </c>
      <c r="AE546" s="125"/>
      <c r="AF546" s="10"/>
      <c r="AI546" s="109"/>
      <c r="AJ546" s="109"/>
      <c r="AL546" s="10"/>
      <c r="AO546" s="109"/>
      <c r="AP546" s="109"/>
      <c r="AR546" s="10"/>
      <c r="AU546" s="109"/>
      <c r="AV546" s="109"/>
      <c r="AX546" s="10"/>
      <c r="BA546" s="109"/>
      <c r="BB546" s="109"/>
      <c r="BD546" s="10"/>
      <c r="BG546" s="109"/>
      <c r="BH546" s="109"/>
      <c r="BJ546" s="10"/>
      <c r="BM546" s="109"/>
      <c r="BN546" s="109"/>
      <c r="BP546" s="10"/>
      <c r="BS546" s="109"/>
      <c r="BT546" s="109"/>
      <c r="BV546" s="10"/>
      <c r="BY546" s="109"/>
      <c r="BZ546" s="109"/>
      <c r="CB546" s="10"/>
      <c r="CE546" s="109"/>
      <c r="CF546" s="109"/>
      <c r="CH546" s="10"/>
      <c r="CK546" s="109"/>
      <c r="CL546" s="109"/>
    </row>
    <row r="547" spans="1:90">
      <c r="A547" s="7" t="str">
        <f t="shared" si="81"/>
        <v>01080683</v>
      </c>
      <c r="B547" s="7" t="s">
        <v>2447</v>
      </c>
      <c r="C547" s="7" t="s">
        <v>2720</v>
      </c>
      <c r="D547" s="7">
        <v>538</v>
      </c>
      <c r="E547" s="7">
        <v>108</v>
      </c>
      <c r="F547" s="7" t="s">
        <v>1813</v>
      </c>
      <c r="G547" s="7">
        <v>683</v>
      </c>
      <c r="H547" s="7" t="s">
        <v>1647</v>
      </c>
      <c r="I547" s="37">
        <v>449181</v>
      </c>
      <c r="J547" s="122">
        <v>0.38571394566712774</v>
      </c>
      <c r="K547" s="123">
        <f t="shared" si="90"/>
        <v>406555.8482658398</v>
      </c>
      <c r="L547" s="122">
        <f>IF(K549&gt;0, K547/K549, 0)</f>
        <v>0.37224117767621839</v>
      </c>
      <c r="M547" s="71"/>
      <c r="N547" s="10">
        <f>ROUND(M549*L547,0)</f>
        <v>273311</v>
      </c>
      <c r="O547" s="70">
        <v>291200</v>
      </c>
      <c r="P547" s="10">
        <f>N547-O547</f>
        <v>-17889</v>
      </c>
      <c r="Q547" s="46">
        <f t="shared" si="89"/>
        <v>-6.1432005494505493</v>
      </c>
      <c r="R547" s="10">
        <v>45</v>
      </c>
      <c r="S547" s="7">
        <f t="shared" si="82"/>
        <v>0</v>
      </c>
      <c r="T547" s="124">
        <f t="shared" si="83"/>
        <v>108</v>
      </c>
      <c r="U547" s="124">
        <f t="shared" si="84"/>
        <v>683</v>
      </c>
      <c r="V547" s="124">
        <f t="shared" si="85"/>
        <v>538</v>
      </c>
      <c r="W547" s="124">
        <f t="shared" si="86"/>
        <v>40.113960113920001</v>
      </c>
      <c r="X547" s="124">
        <f t="shared" si="87"/>
        <v>406555.8482658398</v>
      </c>
      <c r="Y547" s="264">
        <f t="shared" si="88"/>
        <v>538</v>
      </c>
      <c r="Z547" s="10">
        <v>108</v>
      </c>
      <c r="AA547" s="7">
        <v>683</v>
      </c>
      <c r="AB547" s="7">
        <v>538</v>
      </c>
      <c r="AC547" s="109">
        <v>40.113960113920001</v>
      </c>
      <c r="AD547" s="109">
        <v>406555.8482658398</v>
      </c>
      <c r="AE547" s="125"/>
      <c r="AF547" s="10"/>
      <c r="AI547" s="109"/>
      <c r="AJ547" s="109"/>
      <c r="AL547" s="10"/>
      <c r="AO547" s="109"/>
      <c r="AP547" s="109"/>
      <c r="AR547" s="10"/>
      <c r="AU547" s="109"/>
      <c r="AV547" s="109"/>
      <c r="AX547" s="10"/>
      <c r="BA547" s="109"/>
      <c r="BB547" s="109"/>
      <c r="BD547" s="10"/>
      <c r="BG547" s="109"/>
      <c r="BH547" s="109"/>
      <c r="BJ547" s="10"/>
      <c r="BM547" s="109"/>
      <c r="BN547" s="109"/>
      <c r="BP547" s="10"/>
      <c r="BS547" s="109"/>
      <c r="BT547" s="109"/>
      <c r="BV547" s="10"/>
      <c r="BY547" s="109"/>
      <c r="BZ547" s="109"/>
      <c r="CB547" s="10"/>
      <c r="CE547" s="109"/>
      <c r="CF547" s="109"/>
      <c r="CH547" s="10"/>
      <c r="CK547" s="109"/>
      <c r="CL547" s="109"/>
    </row>
    <row r="548" spans="1:90">
      <c r="A548" s="7" t="str">
        <f t="shared" si="81"/>
        <v>01080998</v>
      </c>
      <c r="B548" s="7" t="s">
        <v>2447</v>
      </c>
      <c r="C548" s="7" t="s">
        <v>2781</v>
      </c>
      <c r="D548" s="7">
        <v>539</v>
      </c>
      <c r="E548" s="7">
        <v>108</v>
      </c>
      <c r="F548" s="7" t="s">
        <v>2135</v>
      </c>
      <c r="G548" s="7">
        <v>998</v>
      </c>
      <c r="H548" s="7" t="s">
        <v>2135</v>
      </c>
      <c r="I548" s="37">
        <v>0</v>
      </c>
      <c r="J548" s="122">
        <v>0</v>
      </c>
      <c r="K548" s="123">
        <f t="shared" si="90"/>
        <v>0</v>
      </c>
      <c r="L548" s="122">
        <f>IF(K549&gt;0, K548/K549, 0)</f>
        <v>0</v>
      </c>
      <c r="M548" s="71"/>
      <c r="N548" s="10">
        <f>ROUND(M549*L548,0)</f>
        <v>0</v>
      </c>
      <c r="O548" s="70">
        <v>0</v>
      </c>
      <c r="P548" s="10">
        <f>N548-O548</f>
        <v>0</v>
      </c>
      <c r="Q548" s="46">
        <f t="shared" si="89"/>
        <v>0</v>
      </c>
      <c r="R548" s="10">
        <v>0</v>
      </c>
      <c r="S548" s="7">
        <f t="shared" si="82"/>
        <v>0</v>
      </c>
      <c r="T548" s="124">
        <f t="shared" si="83"/>
        <v>108</v>
      </c>
      <c r="U548" s="124">
        <f t="shared" si="84"/>
        <v>998</v>
      </c>
      <c r="V548" s="124">
        <f t="shared" si="85"/>
        <v>539</v>
      </c>
      <c r="W548" s="124">
        <f t="shared" si="86"/>
        <v>0</v>
      </c>
      <c r="X548" s="124">
        <f t="shared" si="87"/>
        <v>0</v>
      </c>
      <c r="Y548" s="264">
        <f t="shared" si="88"/>
        <v>539</v>
      </c>
      <c r="Z548" s="10">
        <v>108</v>
      </c>
      <c r="AA548" s="7">
        <v>998</v>
      </c>
      <c r="AB548" s="7">
        <v>539</v>
      </c>
      <c r="AC548" s="109">
        <v>0</v>
      </c>
      <c r="AD548" s="109">
        <v>0</v>
      </c>
      <c r="AE548" s="125"/>
      <c r="AF548" s="10"/>
      <c r="AI548" s="109"/>
      <c r="AJ548" s="109"/>
      <c r="AL548" s="10"/>
      <c r="AO548" s="109"/>
      <c r="AP548" s="109"/>
      <c r="AR548" s="10"/>
      <c r="AU548" s="109"/>
      <c r="AV548" s="109"/>
      <c r="AX548" s="10"/>
      <c r="BA548" s="109"/>
      <c r="BB548" s="109"/>
      <c r="BD548" s="10"/>
      <c r="BG548" s="109"/>
      <c r="BH548" s="109"/>
      <c r="BJ548" s="10"/>
      <c r="BM548" s="109"/>
      <c r="BN548" s="109"/>
      <c r="BP548" s="10"/>
      <c r="BS548" s="109"/>
      <c r="BT548" s="109"/>
      <c r="BV548" s="10"/>
      <c r="BY548" s="109"/>
      <c r="BZ548" s="109"/>
      <c r="CB548" s="10"/>
      <c r="CE548" s="109"/>
      <c r="CF548" s="109"/>
      <c r="CH548" s="10"/>
      <c r="CK548" s="109"/>
      <c r="CL548" s="109"/>
    </row>
    <row r="549" spans="1:90">
      <c r="A549" s="7" t="str">
        <f t="shared" si="81"/>
        <v>01080999</v>
      </c>
      <c r="B549" s="7" t="s">
        <v>2447</v>
      </c>
      <c r="C549" s="7" t="s">
        <v>2782</v>
      </c>
      <c r="D549" s="7">
        <v>540</v>
      </c>
      <c r="E549" s="11">
        <v>108</v>
      </c>
      <c r="F549" s="11" t="s">
        <v>1813</v>
      </c>
      <c r="G549" s="11">
        <v>999</v>
      </c>
      <c r="H549" s="11" t="s">
        <v>1132</v>
      </c>
      <c r="I549" s="105">
        <v>1164544.3599999999</v>
      </c>
      <c r="J549" s="126">
        <v>1.0000000000000002</v>
      </c>
      <c r="K549" s="127">
        <f>SUM(K545:K548)</f>
        <v>1092183.9727776407</v>
      </c>
      <c r="L549" s="126">
        <f>SUM(L545:L548)</f>
        <v>1</v>
      </c>
      <c r="M549" s="105">
        <f>VLOOKUP(E549,town351,22)</f>
        <v>734231</v>
      </c>
      <c r="N549" s="105">
        <f>SUM(N545:N548)</f>
        <v>734231</v>
      </c>
      <c r="O549" s="128">
        <v>754964</v>
      </c>
      <c r="P549" s="105">
        <f>SUM(P545:P548)</f>
        <v>-20733</v>
      </c>
      <c r="Q549" s="45">
        <f t="shared" si="89"/>
        <v>-2.746223660995756</v>
      </c>
      <c r="R549" s="105">
        <v>114</v>
      </c>
      <c r="S549" s="7">
        <f t="shared" si="82"/>
        <v>0</v>
      </c>
      <c r="T549" s="124">
        <f t="shared" si="83"/>
        <v>108</v>
      </c>
      <c r="U549" s="124">
        <f t="shared" si="84"/>
        <v>999</v>
      </c>
      <c r="V549" s="124">
        <f t="shared" si="85"/>
        <v>540</v>
      </c>
      <c r="W549" s="124">
        <f t="shared" si="86"/>
        <v>107.1462181782</v>
      </c>
      <c r="X549" s="124">
        <f t="shared" si="87"/>
        <v>1092183.9727776407</v>
      </c>
      <c r="Y549" s="264">
        <f t="shared" si="88"/>
        <v>540</v>
      </c>
      <c r="Z549" s="10">
        <v>108</v>
      </c>
      <c r="AA549" s="7">
        <v>999</v>
      </c>
      <c r="AB549" s="7">
        <v>540</v>
      </c>
      <c r="AC549" s="109">
        <v>107.1462181782</v>
      </c>
      <c r="AD549" s="109">
        <v>1092183.9727776407</v>
      </c>
      <c r="AE549" s="125"/>
      <c r="AF549" s="10"/>
      <c r="AI549" s="109"/>
      <c r="AJ549" s="109"/>
      <c r="AL549" s="10"/>
      <c r="AO549" s="109"/>
      <c r="AP549" s="109"/>
      <c r="AR549" s="10"/>
      <c r="AU549" s="109"/>
      <c r="AV549" s="109"/>
      <c r="AX549" s="10"/>
      <c r="BA549" s="109"/>
      <c r="BB549" s="109"/>
      <c r="BD549" s="10"/>
      <c r="BG549" s="109"/>
      <c r="BH549" s="109"/>
      <c r="BJ549" s="10"/>
      <c r="BM549" s="109"/>
      <c r="BN549" s="109"/>
      <c r="BP549" s="10"/>
      <c r="BS549" s="109"/>
      <c r="BT549" s="109"/>
      <c r="BV549" s="10"/>
      <c r="BY549" s="109"/>
      <c r="BZ549" s="109"/>
      <c r="CB549" s="10"/>
      <c r="CE549" s="109"/>
      <c r="CF549" s="109"/>
      <c r="CH549" s="10"/>
      <c r="CK549" s="109"/>
      <c r="CL549" s="109"/>
    </row>
    <row r="550" spans="1:90">
      <c r="A550" s="7" t="str">
        <f t="shared" si="81"/>
        <v>01090109</v>
      </c>
      <c r="B550" s="7" t="s">
        <v>2448</v>
      </c>
      <c r="C550" s="7" t="s">
        <v>2448</v>
      </c>
      <c r="D550" s="7">
        <v>541</v>
      </c>
      <c r="E550" s="7">
        <v>109</v>
      </c>
      <c r="F550" s="7" t="s">
        <v>1814</v>
      </c>
      <c r="G550" s="7">
        <v>109</v>
      </c>
      <c r="H550" s="7" t="s">
        <v>1375</v>
      </c>
      <c r="I550" s="37">
        <v>21496.61</v>
      </c>
      <c r="J550" s="122">
        <v>1</v>
      </c>
      <c r="K550" s="123">
        <f>X550</f>
        <v>21755.78608038156</v>
      </c>
      <c r="L550" s="122">
        <f>IF(K554&gt;0, K550/K554, 0)</f>
        <v>1</v>
      </c>
      <c r="M550" s="71"/>
      <c r="N550" s="10">
        <f>ROUND(M554*L550,0)</f>
        <v>18105</v>
      </c>
      <c r="O550" s="70">
        <v>18430</v>
      </c>
      <c r="P550" s="10">
        <f>N550-O550</f>
        <v>-325</v>
      </c>
      <c r="Q550" s="46">
        <f t="shared" si="89"/>
        <v>-1.7634291915355398</v>
      </c>
      <c r="R550" s="10">
        <v>3</v>
      </c>
      <c r="S550" s="7">
        <f t="shared" si="82"/>
        <v>0</v>
      </c>
      <c r="T550" s="124">
        <f t="shared" si="83"/>
        <v>109</v>
      </c>
      <c r="U550" s="124">
        <f t="shared" si="84"/>
        <v>109</v>
      </c>
      <c r="V550" s="124">
        <f t="shared" si="85"/>
        <v>541</v>
      </c>
      <c r="W550" s="124">
        <f t="shared" si="86"/>
        <v>3</v>
      </c>
      <c r="X550" s="124">
        <f t="shared" si="87"/>
        <v>21755.78608038156</v>
      </c>
      <c r="Y550" s="264">
        <f t="shared" si="88"/>
        <v>541</v>
      </c>
      <c r="Z550" s="10">
        <v>109</v>
      </c>
      <c r="AA550" s="7">
        <v>109</v>
      </c>
      <c r="AB550" s="7">
        <v>541</v>
      </c>
      <c r="AC550" s="109">
        <v>3</v>
      </c>
      <c r="AD550" s="109">
        <v>21755.78608038156</v>
      </c>
      <c r="AE550" s="125"/>
      <c r="AF550" s="10"/>
      <c r="AI550" s="109"/>
      <c r="AJ550" s="109"/>
      <c r="AL550" s="10"/>
      <c r="AO550" s="109"/>
      <c r="AP550" s="109"/>
      <c r="AR550" s="10"/>
      <c r="AU550" s="109"/>
      <c r="AV550" s="109"/>
      <c r="AX550" s="10"/>
      <c r="BA550" s="109"/>
      <c r="BB550" s="109"/>
      <c r="BD550" s="10"/>
      <c r="BG550" s="109"/>
      <c r="BH550" s="109"/>
      <c r="BJ550" s="10"/>
      <c r="BM550" s="109"/>
      <c r="BN550" s="109"/>
      <c r="BP550" s="10"/>
      <c r="BS550" s="109"/>
      <c r="BT550" s="109"/>
      <c r="BV550" s="10"/>
      <c r="BY550" s="109"/>
      <c r="BZ550" s="109"/>
      <c r="CB550" s="10"/>
      <c r="CE550" s="109"/>
      <c r="CF550" s="109"/>
      <c r="CH550" s="10"/>
      <c r="CK550" s="109"/>
      <c r="CL550" s="109"/>
    </row>
    <row r="551" spans="1:90">
      <c r="A551" s="7" t="str">
        <f t="shared" si="81"/>
        <v>01090998</v>
      </c>
      <c r="B551" s="7" t="s">
        <v>2448</v>
      </c>
      <c r="C551" s="7" t="s">
        <v>2781</v>
      </c>
      <c r="D551" s="7">
        <v>542</v>
      </c>
      <c r="E551" s="7">
        <v>109</v>
      </c>
      <c r="F551" s="7" t="s">
        <v>2135</v>
      </c>
      <c r="G551" s="7">
        <v>998</v>
      </c>
      <c r="H551" s="7" t="s">
        <v>2135</v>
      </c>
      <c r="I551" s="37">
        <v>0</v>
      </c>
      <c r="J551" s="122">
        <v>0</v>
      </c>
      <c r="K551" s="123">
        <f t="shared" si="90"/>
        <v>0</v>
      </c>
      <c r="L551" s="122">
        <f>IF(K554&gt;0, K551/K554, 0)</f>
        <v>0</v>
      </c>
      <c r="M551" s="71"/>
      <c r="N551" s="10">
        <f>ROUND(M554*L551,0)</f>
        <v>0</v>
      </c>
      <c r="O551" s="70">
        <v>0</v>
      </c>
      <c r="P551" s="10">
        <f>N551-O551</f>
        <v>0</v>
      </c>
      <c r="Q551" s="46">
        <f t="shared" si="89"/>
        <v>0</v>
      </c>
      <c r="R551" s="10">
        <v>0</v>
      </c>
      <c r="S551" s="7">
        <f t="shared" si="82"/>
        <v>0</v>
      </c>
      <c r="T551" s="124">
        <f t="shared" si="83"/>
        <v>109</v>
      </c>
      <c r="U551" s="124">
        <f t="shared" si="84"/>
        <v>998</v>
      </c>
      <c r="V551" s="124">
        <f t="shared" si="85"/>
        <v>542</v>
      </c>
      <c r="W551" s="124">
        <f t="shared" si="86"/>
        <v>0</v>
      </c>
      <c r="X551" s="124">
        <f t="shared" si="87"/>
        <v>0</v>
      </c>
      <c r="Y551" s="264">
        <f t="shared" si="88"/>
        <v>542</v>
      </c>
      <c r="Z551" s="10">
        <v>109</v>
      </c>
      <c r="AA551" s="7">
        <v>998</v>
      </c>
      <c r="AB551" s="7">
        <v>542</v>
      </c>
      <c r="AC551" s="109">
        <v>0</v>
      </c>
      <c r="AD551" s="109">
        <v>0</v>
      </c>
      <c r="AE551" s="125"/>
      <c r="AF551" s="10"/>
      <c r="AI551" s="109"/>
      <c r="AJ551" s="109"/>
      <c r="AL551" s="10"/>
      <c r="AO551" s="109"/>
      <c r="AP551" s="109"/>
      <c r="AR551" s="10"/>
      <c r="AU551" s="109"/>
      <c r="AV551" s="109"/>
      <c r="AX551" s="10"/>
      <c r="BA551" s="109"/>
      <c r="BB551" s="109"/>
      <c r="BD551" s="10"/>
      <c r="BG551" s="109"/>
      <c r="BH551" s="109"/>
      <c r="BJ551" s="10"/>
      <c r="BM551" s="109"/>
      <c r="BN551" s="109"/>
      <c r="BP551" s="10"/>
      <c r="BS551" s="109"/>
      <c r="BT551" s="109"/>
      <c r="BV551" s="10"/>
      <c r="BY551" s="109"/>
      <c r="BZ551" s="109"/>
      <c r="CB551" s="10"/>
      <c r="CE551" s="109"/>
      <c r="CF551" s="109"/>
      <c r="CH551" s="10"/>
      <c r="CK551" s="109"/>
      <c r="CL551" s="109"/>
    </row>
    <row r="552" spans="1:90">
      <c r="A552" s="7" t="str">
        <f t="shared" si="81"/>
        <v>01090998</v>
      </c>
      <c r="B552" s="7" t="s">
        <v>2448</v>
      </c>
      <c r="C552" s="7" t="s">
        <v>2781</v>
      </c>
      <c r="D552" s="7">
        <v>543</v>
      </c>
      <c r="E552" s="7">
        <v>109</v>
      </c>
      <c r="F552" s="7" t="s">
        <v>2135</v>
      </c>
      <c r="G552" s="7">
        <v>998</v>
      </c>
      <c r="H552" s="7" t="s">
        <v>2135</v>
      </c>
      <c r="I552" s="37">
        <v>0</v>
      </c>
      <c r="J552" s="122">
        <v>0</v>
      </c>
      <c r="K552" s="123">
        <f t="shared" si="90"/>
        <v>0</v>
      </c>
      <c r="L552" s="122">
        <f>IF(K554&gt;0, K552/K554, 0)</f>
        <v>0</v>
      </c>
      <c r="M552" s="71"/>
      <c r="N552" s="10">
        <f>ROUND(M554*L552,0)</f>
        <v>0</v>
      </c>
      <c r="O552" s="70">
        <v>0</v>
      </c>
      <c r="P552" s="10">
        <f>N552-O552</f>
        <v>0</v>
      </c>
      <c r="Q552" s="46">
        <f t="shared" si="89"/>
        <v>0</v>
      </c>
      <c r="R552" s="10">
        <v>0</v>
      </c>
      <c r="S552" s="7">
        <f t="shared" si="82"/>
        <v>0</v>
      </c>
      <c r="T552" s="124">
        <f t="shared" si="83"/>
        <v>109</v>
      </c>
      <c r="U552" s="124">
        <f t="shared" si="84"/>
        <v>998</v>
      </c>
      <c r="V552" s="124">
        <f t="shared" si="85"/>
        <v>543</v>
      </c>
      <c r="W552" s="124">
        <f t="shared" si="86"/>
        <v>0</v>
      </c>
      <c r="X552" s="124">
        <f t="shared" si="87"/>
        <v>0</v>
      </c>
      <c r="Y552" s="264">
        <f t="shared" si="88"/>
        <v>543</v>
      </c>
      <c r="Z552" s="10">
        <v>109</v>
      </c>
      <c r="AA552" s="7">
        <v>998</v>
      </c>
      <c r="AB552" s="7">
        <v>543</v>
      </c>
      <c r="AC552" s="109">
        <v>0</v>
      </c>
      <c r="AD552" s="109">
        <v>0</v>
      </c>
      <c r="AE552" s="125"/>
      <c r="AF552" s="10"/>
      <c r="AI552" s="109"/>
      <c r="AJ552" s="109"/>
      <c r="AL552" s="10"/>
      <c r="AO552" s="109"/>
      <c r="AP552" s="109"/>
      <c r="AR552" s="10"/>
      <c r="AU552" s="109"/>
      <c r="AV552" s="109"/>
      <c r="AX552" s="10"/>
      <c r="BA552" s="109"/>
      <c r="BB552" s="109"/>
      <c r="BD552" s="10"/>
      <c r="BG552" s="109"/>
      <c r="BH552" s="109"/>
      <c r="BJ552" s="10"/>
      <c r="BM552" s="109"/>
      <c r="BN552" s="109"/>
      <c r="BP552" s="10"/>
      <c r="BS552" s="109"/>
      <c r="BT552" s="109"/>
      <c r="BV552" s="10"/>
      <c r="BY552" s="109"/>
      <c r="BZ552" s="109"/>
      <c r="CB552" s="10"/>
      <c r="CE552" s="109"/>
      <c r="CF552" s="109"/>
      <c r="CH552" s="10"/>
      <c r="CK552" s="109"/>
      <c r="CL552" s="109"/>
    </row>
    <row r="553" spans="1:90">
      <c r="A553" s="7" t="str">
        <f t="shared" si="81"/>
        <v>01090998</v>
      </c>
      <c r="B553" s="7" t="s">
        <v>2448</v>
      </c>
      <c r="C553" s="7" t="s">
        <v>2781</v>
      </c>
      <c r="D553" s="7">
        <v>544</v>
      </c>
      <c r="E553" s="7">
        <v>109</v>
      </c>
      <c r="F553" s="7" t="s">
        <v>2135</v>
      </c>
      <c r="G553" s="7">
        <v>998</v>
      </c>
      <c r="H553" s="7" t="s">
        <v>2135</v>
      </c>
      <c r="I553" s="37">
        <v>0</v>
      </c>
      <c r="J553" s="122">
        <v>0</v>
      </c>
      <c r="K553" s="123">
        <f t="shared" si="90"/>
        <v>0</v>
      </c>
      <c r="L553" s="122">
        <f>IF(K554&gt;0, K553/K554, 0)</f>
        <v>0</v>
      </c>
      <c r="M553" s="71"/>
      <c r="N553" s="10">
        <f>ROUND(M554*L553,0)</f>
        <v>0</v>
      </c>
      <c r="O553" s="70">
        <v>0</v>
      </c>
      <c r="P553" s="10">
        <f>N553-O553</f>
        <v>0</v>
      </c>
      <c r="Q553" s="46">
        <f t="shared" si="89"/>
        <v>0</v>
      </c>
      <c r="R553" s="10">
        <v>0</v>
      </c>
      <c r="S553" s="7">
        <f t="shared" si="82"/>
        <v>0</v>
      </c>
      <c r="T553" s="124">
        <f t="shared" si="83"/>
        <v>109</v>
      </c>
      <c r="U553" s="124">
        <f t="shared" si="84"/>
        <v>998</v>
      </c>
      <c r="V553" s="124">
        <f t="shared" si="85"/>
        <v>544</v>
      </c>
      <c r="W553" s="124">
        <f t="shared" si="86"/>
        <v>0</v>
      </c>
      <c r="X553" s="124">
        <f t="shared" si="87"/>
        <v>0</v>
      </c>
      <c r="Y553" s="264">
        <f t="shared" si="88"/>
        <v>544</v>
      </c>
      <c r="Z553" s="10">
        <v>109</v>
      </c>
      <c r="AA553" s="7">
        <v>998</v>
      </c>
      <c r="AB553" s="7">
        <v>544</v>
      </c>
      <c r="AC553" s="109">
        <v>0</v>
      </c>
      <c r="AD553" s="109">
        <v>0</v>
      </c>
      <c r="AE553" s="125"/>
      <c r="AF553" s="10"/>
      <c r="AI553" s="109"/>
      <c r="AJ553" s="109"/>
      <c r="AL553" s="10"/>
      <c r="AO553" s="109"/>
      <c r="AP553" s="109"/>
      <c r="AR553" s="10"/>
      <c r="AU553" s="109"/>
      <c r="AV553" s="109"/>
      <c r="AX553" s="10"/>
      <c r="BA553" s="109"/>
      <c r="BB553" s="109"/>
      <c r="BD553" s="10"/>
      <c r="BG553" s="109"/>
      <c r="BH553" s="109"/>
      <c r="BJ553" s="10"/>
      <c r="BM553" s="109"/>
      <c r="BN553" s="109"/>
      <c r="BP553" s="10"/>
      <c r="BS553" s="109"/>
      <c r="BT553" s="109"/>
      <c r="BV553" s="10"/>
      <c r="BY553" s="109"/>
      <c r="BZ553" s="109"/>
      <c r="CB553" s="10"/>
      <c r="CE553" s="109"/>
      <c r="CF553" s="109"/>
      <c r="CH553" s="10"/>
      <c r="CK553" s="109"/>
      <c r="CL553" s="109"/>
    </row>
    <row r="554" spans="1:90">
      <c r="A554" s="7" t="str">
        <f t="shared" si="81"/>
        <v>01090999</v>
      </c>
      <c r="B554" s="7" t="s">
        <v>2448</v>
      </c>
      <c r="C554" s="7" t="s">
        <v>2782</v>
      </c>
      <c r="D554" s="7">
        <v>545</v>
      </c>
      <c r="E554" s="11">
        <v>109</v>
      </c>
      <c r="F554" s="11" t="s">
        <v>1814</v>
      </c>
      <c r="G554" s="11">
        <v>999</v>
      </c>
      <c r="H554" s="11" t="s">
        <v>1132</v>
      </c>
      <c r="I554" s="105">
        <v>21496.61</v>
      </c>
      <c r="J554" s="126">
        <v>1</v>
      </c>
      <c r="K554" s="127">
        <f>SUM(K550:K553)</f>
        <v>21755.78608038156</v>
      </c>
      <c r="L554" s="126">
        <f>SUM(L550:L553)</f>
        <v>1</v>
      </c>
      <c r="M554" s="105">
        <f>VLOOKUP(E554,town351,22)</f>
        <v>18105</v>
      </c>
      <c r="N554" s="105">
        <f>SUM(N550:N553)</f>
        <v>18105</v>
      </c>
      <c r="O554" s="128">
        <v>18430</v>
      </c>
      <c r="P554" s="105">
        <f>SUM(P550:P553)</f>
        <v>-325</v>
      </c>
      <c r="Q554" s="45">
        <f t="shared" si="89"/>
        <v>-1.7634291915355398</v>
      </c>
      <c r="R554" s="105">
        <v>3</v>
      </c>
      <c r="S554" s="7">
        <f t="shared" si="82"/>
        <v>0</v>
      </c>
      <c r="T554" s="124">
        <f t="shared" si="83"/>
        <v>109</v>
      </c>
      <c r="U554" s="124">
        <f t="shared" si="84"/>
        <v>999</v>
      </c>
      <c r="V554" s="124">
        <f t="shared" si="85"/>
        <v>545</v>
      </c>
      <c r="W554" s="124">
        <f t="shared" si="86"/>
        <v>3</v>
      </c>
      <c r="X554" s="124">
        <f t="shared" si="87"/>
        <v>21755.78608038156</v>
      </c>
      <c r="Y554" s="264">
        <f t="shared" si="88"/>
        <v>545</v>
      </c>
      <c r="Z554" s="10">
        <v>109</v>
      </c>
      <c r="AA554" s="7">
        <v>999</v>
      </c>
      <c r="AB554" s="7">
        <v>545</v>
      </c>
      <c r="AC554" s="109">
        <v>3</v>
      </c>
      <c r="AD554" s="109">
        <v>21755.78608038156</v>
      </c>
      <c r="AE554" s="125"/>
      <c r="AF554" s="10"/>
      <c r="AI554" s="109"/>
      <c r="AJ554" s="109"/>
      <c r="AL554" s="10"/>
      <c r="AO554" s="109"/>
      <c r="AP554" s="109"/>
      <c r="AR554" s="10"/>
      <c r="AU554" s="109"/>
      <c r="AV554" s="109"/>
      <c r="AX554" s="10"/>
      <c r="BA554" s="109"/>
      <c r="BB554" s="109"/>
      <c r="BD554" s="10"/>
      <c r="BG554" s="109"/>
      <c r="BH554" s="109"/>
      <c r="BJ554" s="10"/>
      <c r="BM554" s="109"/>
      <c r="BN554" s="109"/>
      <c r="BP554" s="10"/>
      <c r="BS554" s="109"/>
      <c r="BT554" s="109"/>
      <c r="BV554" s="10"/>
      <c r="BY554" s="109"/>
      <c r="BZ554" s="109"/>
      <c r="CB554" s="10"/>
      <c r="CE554" s="109"/>
      <c r="CF554" s="109"/>
      <c r="CH554" s="10"/>
      <c r="CK554" s="109"/>
      <c r="CL554" s="109"/>
    </row>
    <row r="555" spans="1:90">
      <c r="A555" s="7" t="str">
        <f t="shared" si="81"/>
        <v>01100110</v>
      </c>
      <c r="B555" s="7" t="s">
        <v>2449</v>
      </c>
      <c r="C555" s="7" t="s">
        <v>2449</v>
      </c>
      <c r="D555" s="7">
        <v>546</v>
      </c>
      <c r="E555" s="7">
        <v>110</v>
      </c>
      <c r="F555" s="7" t="s">
        <v>1815</v>
      </c>
      <c r="G555" s="7">
        <v>110</v>
      </c>
      <c r="H555" s="7" t="s">
        <v>1376</v>
      </c>
      <c r="I555" s="37">
        <v>29937376.269999996</v>
      </c>
      <c r="J555" s="122">
        <v>0.97013583085801147</v>
      </c>
      <c r="K555" s="123">
        <f>X555</f>
        <v>30005660.380291101</v>
      </c>
      <c r="L555" s="122">
        <f>IF(K559&gt;0, K555/K559, 0)</f>
        <v>0.96597201625819507</v>
      </c>
      <c r="M555" s="71"/>
      <c r="N555" s="10">
        <f>ROUND(M559*L555,0)</f>
        <v>19822623</v>
      </c>
      <c r="O555" s="70">
        <v>19574310</v>
      </c>
      <c r="P555" s="10">
        <f>N555-O555</f>
        <v>248313</v>
      </c>
      <c r="Q555" s="46">
        <f t="shared" si="89"/>
        <v>1.268565788525879</v>
      </c>
      <c r="R555" s="10">
        <v>3217</v>
      </c>
      <c r="S555" s="7">
        <f t="shared" si="82"/>
        <v>0</v>
      </c>
      <c r="T555" s="124">
        <f t="shared" si="83"/>
        <v>110</v>
      </c>
      <c r="U555" s="124">
        <f t="shared" si="84"/>
        <v>110</v>
      </c>
      <c r="V555" s="124">
        <f t="shared" si="85"/>
        <v>546</v>
      </c>
      <c r="W555" s="124">
        <f t="shared" si="86"/>
        <v>3151</v>
      </c>
      <c r="X555" s="124">
        <f t="shared" si="87"/>
        <v>30005660.380291101</v>
      </c>
      <c r="Y555" s="264">
        <f t="shared" si="88"/>
        <v>546</v>
      </c>
      <c r="Z555" s="10">
        <v>110</v>
      </c>
      <c r="AA555" s="7">
        <v>110</v>
      </c>
      <c r="AB555" s="7">
        <v>546</v>
      </c>
      <c r="AC555" s="109">
        <v>3151</v>
      </c>
      <c r="AD555" s="109">
        <v>30005660.380291101</v>
      </c>
      <c r="AE555" s="125"/>
      <c r="AF555" s="10"/>
      <c r="AI555" s="109"/>
      <c r="AJ555" s="109"/>
      <c r="AL555" s="10"/>
      <c r="AO555" s="109"/>
      <c r="AP555" s="109"/>
      <c r="AR555" s="10"/>
      <c r="AU555" s="109"/>
      <c r="AV555" s="109"/>
      <c r="AX555" s="10"/>
      <c r="BA555" s="109"/>
      <c r="BB555" s="109"/>
      <c r="BD555" s="10"/>
      <c r="BG555" s="109"/>
      <c r="BH555" s="109"/>
      <c r="BJ555" s="10"/>
      <c r="BM555" s="109"/>
      <c r="BN555" s="109"/>
      <c r="BP555" s="10"/>
      <c r="BS555" s="109"/>
      <c r="BT555" s="109"/>
      <c r="BV555" s="10"/>
      <c r="BY555" s="109"/>
      <c r="BZ555" s="109"/>
      <c r="CB555" s="10"/>
      <c r="CE555" s="109"/>
      <c r="CF555" s="109"/>
      <c r="CH555" s="10"/>
      <c r="CK555" s="109"/>
      <c r="CL555" s="109"/>
    </row>
    <row r="556" spans="1:90">
      <c r="A556" s="7" t="str">
        <f t="shared" si="81"/>
        <v>01100805</v>
      </c>
      <c r="B556" s="7" t="s">
        <v>2449</v>
      </c>
      <c r="C556" s="7" t="s">
        <v>2753</v>
      </c>
      <c r="D556" s="7">
        <v>547</v>
      </c>
      <c r="E556" s="7">
        <v>110</v>
      </c>
      <c r="F556" s="7" t="s">
        <v>1815</v>
      </c>
      <c r="G556" s="7">
        <v>805</v>
      </c>
      <c r="H556" s="7" t="s">
        <v>1680</v>
      </c>
      <c r="I556" s="37">
        <v>921577</v>
      </c>
      <c r="J556" s="122">
        <v>2.9864169141988531E-2</v>
      </c>
      <c r="K556" s="123">
        <f t="shared" si="90"/>
        <v>1056999.6919142166</v>
      </c>
      <c r="L556" s="122">
        <f>IF(K559&gt;0, K556/K559, 0)</f>
        <v>3.4027983741804962E-2</v>
      </c>
      <c r="M556" s="71"/>
      <c r="N556" s="10">
        <f>ROUND(M559*L556,0)</f>
        <v>698285</v>
      </c>
      <c r="O556" s="70">
        <v>602566</v>
      </c>
      <c r="P556" s="10">
        <f>N556-O556</f>
        <v>95719</v>
      </c>
      <c r="Q556" s="46">
        <f t="shared" si="89"/>
        <v>15.885230829485899</v>
      </c>
      <c r="R556" s="10">
        <v>62</v>
      </c>
      <c r="S556" s="7">
        <f t="shared" si="82"/>
        <v>0</v>
      </c>
      <c r="T556" s="124">
        <f t="shared" si="83"/>
        <v>110</v>
      </c>
      <c r="U556" s="124">
        <f t="shared" si="84"/>
        <v>805</v>
      </c>
      <c r="V556" s="124">
        <f t="shared" si="85"/>
        <v>547</v>
      </c>
      <c r="W556" s="124">
        <f t="shared" si="86"/>
        <v>69.999999998250004</v>
      </c>
      <c r="X556" s="124">
        <f t="shared" si="87"/>
        <v>1056999.6919142166</v>
      </c>
      <c r="Y556" s="264">
        <f t="shared" si="88"/>
        <v>547</v>
      </c>
      <c r="Z556" s="10">
        <v>110</v>
      </c>
      <c r="AA556" s="7">
        <v>805</v>
      </c>
      <c r="AB556" s="7">
        <v>547</v>
      </c>
      <c r="AC556" s="109">
        <v>69.999999998250004</v>
      </c>
      <c r="AD556" s="109">
        <v>1056999.6919142166</v>
      </c>
      <c r="AE556" s="125"/>
      <c r="AF556" s="10"/>
      <c r="AI556" s="109"/>
      <c r="AJ556" s="109"/>
      <c r="AL556" s="10"/>
      <c r="AO556" s="109"/>
      <c r="AP556" s="109"/>
      <c r="AR556" s="10"/>
      <c r="AU556" s="109"/>
      <c r="AV556" s="109"/>
      <c r="AX556" s="10"/>
      <c r="BA556" s="109"/>
      <c r="BB556" s="109"/>
      <c r="BD556" s="10"/>
      <c r="BG556" s="109"/>
      <c r="BH556" s="109"/>
      <c r="BJ556" s="10"/>
      <c r="BM556" s="109"/>
      <c r="BN556" s="109"/>
      <c r="BP556" s="10"/>
      <c r="BS556" s="109"/>
      <c r="BT556" s="109"/>
      <c r="BV556" s="10"/>
      <c r="BY556" s="109"/>
      <c r="BZ556" s="109"/>
      <c r="CB556" s="10"/>
      <c r="CE556" s="109"/>
      <c r="CF556" s="109"/>
      <c r="CH556" s="10"/>
      <c r="CK556" s="109"/>
      <c r="CL556" s="109"/>
    </row>
    <row r="557" spans="1:90">
      <c r="A557" s="7" t="str">
        <f t="shared" si="81"/>
        <v>01100998</v>
      </c>
      <c r="B557" s="7" t="s">
        <v>2449</v>
      </c>
      <c r="C557" s="7" t="s">
        <v>2781</v>
      </c>
      <c r="D557" s="7">
        <v>548</v>
      </c>
      <c r="E557" s="7">
        <v>110</v>
      </c>
      <c r="F557" s="7" t="s">
        <v>2135</v>
      </c>
      <c r="G557" s="7">
        <v>998</v>
      </c>
      <c r="H557" s="7" t="s">
        <v>2135</v>
      </c>
      <c r="I557" s="37">
        <v>0</v>
      </c>
      <c r="J557" s="122">
        <v>0</v>
      </c>
      <c r="K557" s="123">
        <f t="shared" si="90"/>
        <v>0</v>
      </c>
      <c r="L557" s="122">
        <f>IF(K559&gt;0, K557/K559, 0)</f>
        <v>0</v>
      </c>
      <c r="M557" s="71"/>
      <c r="N557" s="10">
        <f>ROUND(M559*L557,0)</f>
        <v>0</v>
      </c>
      <c r="O557" s="70">
        <v>0</v>
      </c>
      <c r="P557" s="10">
        <f>N557-O557</f>
        <v>0</v>
      </c>
      <c r="Q557" s="46">
        <f t="shared" si="89"/>
        <v>0</v>
      </c>
      <c r="R557" s="10">
        <v>0</v>
      </c>
      <c r="S557" s="7">
        <f t="shared" si="82"/>
        <v>0</v>
      </c>
      <c r="T557" s="124">
        <f t="shared" si="83"/>
        <v>110</v>
      </c>
      <c r="U557" s="124">
        <f t="shared" si="84"/>
        <v>998</v>
      </c>
      <c r="V557" s="124">
        <f t="shared" si="85"/>
        <v>548</v>
      </c>
      <c r="W557" s="124">
        <f t="shared" si="86"/>
        <v>0</v>
      </c>
      <c r="X557" s="124">
        <f t="shared" si="87"/>
        <v>0</v>
      </c>
      <c r="Y557" s="264">
        <f t="shared" si="88"/>
        <v>548</v>
      </c>
      <c r="Z557" s="10">
        <v>110</v>
      </c>
      <c r="AA557" s="7">
        <v>998</v>
      </c>
      <c r="AB557" s="7">
        <v>548</v>
      </c>
      <c r="AC557" s="109">
        <v>0</v>
      </c>
      <c r="AD557" s="109">
        <v>0</v>
      </c>
      <c r="AE557" s="125"/>
      <c r="AF557" s="10"/>
      <c r="AI557" s="109"/>
      <c r="AJ557" s="109"/>
      <c r="AL557" s="10"/>
      <c r="AO557" s="109"/>
      <c r="AP557" s="109"/>
      <c r="AR557" s="10"/>
      <c r="AU557" s="109"/>
      <c r="AV557" s="109"/>
      <c r="AX557" s="10"/>
      <c r="BA557" s="109"/>
      <c r="BB557" s="109"/>
      <c r="BD557" s="10"/>
      <c r="BG557" s="109"/>
      <c r="BH557" s="109"/>
      <c r="BJ557" s="10"/>
      <c r="BM557" s="109"/>
      <c r="BN557" s="109"/>
      <c r="BP557" s="10"/>
      <c r="BS557" s="109"/>
      <c r="BT557" s="109"/>
      <c r="BV557" s="10"/>
      <c r="BY557" s="109"/>
      <c r="BZ557" s="109"/>
      <c r="CB557" s="10"/>
      <c r="CE557" s="109"/>
      <c r="CF557" s="109"/>
      <c r="CH557" s="10"/>
      <c r="CK557" s="109"/>
      <c r="CL557" s="109"/>
    </row>
    <row r="558" spans="1:90">
      <c r="A558" s="7" t="str">
        <f t="shared" si="81"/>
        <v>01100998</v>
      </c>
      <c r="B558" s="7" t="s">
        <v>2449</v>
      </c>
      <c r="C558" s="7" t="s">
        <v>2781</v>
      </c>
      <c r="D558" s="7">
        <v>549</v>
      </c>
      <c r="E558" s="7">
        <v>110</v>
      </c>
      <c r="F558" s="7" t="s">
        <v>2135</v>
      </c>
      <c r="G558" s="7">
        <v>998</v>
      </c>
      <c r="H558" s="7" t="s">
        <v>2135</v>
      </c>
      <c r="I558" s="37">
        <v>0</v>
      </c>
      <c r="J558" s="122">
        <v>0</v>
      </c>
      <c r="K558" s="123">
        <f t="shared" si="90"/>
        <v>0</v>
      </c>
      <c r="L558" s="122">
        <f>IF(K559&gt;0, K558/K559, 0)</f>
        <v>0</v>
      </c>
      <c r="M558" s="71"/>
      <c r="N558" s="10">
        <f>ROUND(M559*L558,0)</f>
        <v>0</v>
      </c>
      <c r="O558" s="70">
        <v>0</v>
      </c>
      <c r="P558" s="10">
        <f>N558-O558</f>
        <v>0</v>
      </c>
      <c r="Q558" s="46">
        <f t="shared" si="89"/>
        <v>0</v>
      </c>
      <c r="R558" s="10">
        <v>0</v>
      </c>
      <c r="S558" s="7">
        <f t="shared" si="82"/>
        <v>0</v>
      </c>
      <c r="T558" s="124">
        <f t="shared" si="83"/>
        <v>110</v>
      </c>
      <c r="U558" s="124">
        <f t="shared" si="84"/>
        <v>998</v>
      </c>
      <c r="V558" s="124">
        <f t="shared" si="85"/>
        <v>549</v>
      </c>
      <c r="W558" s="124">
        <f t="shared" si="86"/>
        <v>0</v>
      </c>
      <c r="X558" s="124">
        <f t="shared" si="87"/>
        <v>0</v>
      </c>
      <c r="Y558" s="264">
        <f t="shared" si="88"/>
        <v>549</v>
      </c>
      <c r="Z558" s="10">
        <v>110</v>
      </c>
      <c r="AA558" s="7">
        <v>998</v>
      </c>
      <c r="AB558" s="7">
        <v>549</v>
      </c>
      <c r="AC558" s="109">
        <v>0</v>
      </c>
      <c r="AD558" s="109">
        <v>0</v>
      </c>
      <c r="AE558" s="125"/>
      <c r="AF558" s="10"/>
      <c r="AI558" s="109"/>
      <c r="AJ558" s="109"/>
      <c r="AL558" s="10"/>
      <c r="AO558" s="109"/>
      <c r="AP558" s="109"/>
      <c r="AR558" s="10"/>
      <c r="AU558" s="109"/>
      <c r="AV558" s="109"/>
      <c r="AX558" s="10"/>
      <c r="BA558" s="109"/>
      <c r="BB558" s="109"/>
      <c r="BD558" s="10"/>
      <c r="BG558" s="109"/>
      <c r="BH558" s="109"/>
      <c r="BJ558" s="10"/>
      <c r="BM558" s="109"/>
      <c r="BN558" s="109"/>
      <c r="BP558" s="10"/>
      <c r="BS558" s="109"/>
      <c r="BT558" s="109"/>
      <c r="BV558" s="10"/>
      <c r="BY558" s="109"/>
      <c r="BZ558" s="109"/>
      <c r="CB558" s="10"/>
      <c r="CE558" s="109"/>
      <c r="CF558" s="109"/>
      <c r="CH558" s="10"/>
      <c r="CK558" s="109"/>
      <c r="CL558" s="109"/>
    </row>
    <row r="559" spans="1:90">
      <c r="A559" s="7" t="str">
        <f t="shared" si="81"/>
        <v>01100999</v>
      </c>
      <c r="B559" s="7" t="s">
        <v>2449</v>
      </c>
      <c r="C559" s="7" t="s">
        <v>2782</v>
      </c>
      <c r="D559" s="7">
        <v>550</v>
      </c>
      <c r="E559" s="11">
        <v>110</v>
      </c>
      <c r="F559" s="11" t="s">
        <v>1815</v>
      </c>
      <c r="G559" s="11">
        <v>999</v>
      </c>
      <c r="H559" s="11" t="s">
        <v>1132</v>
      </c>
      <c r="I559" s="105">
        <v>30858953.269999996</v>
      </c>
      <c r="J559" s="126">
        <v>1</v>
      </c>
      <c r="K559" s="127">
        <f>SUM(K555:K558)</f>
        <v>31062660.072205316</v>
      </c>
      <c r="L559" s="126">
        <f>SUM(L555:L558)</f>
        <v>1</v>
      </c>
      <c r="M559" s="105">
        <f>VLOOKUP(E559,town351,22)</f>
        <v>20520908</v>
      </c>
      <c r="N559" s="105">
        <f>SUM(N555:N558)</f>
        <v>20520908</v>
      </c>
      <c r="O559" s="128">
        <v>20176876</v>
      </c>
      <c r="P559" s="105">
        <f>SUM(P555:P558)</f>
        <v>344032</v>
      </c>
      <c r="Q559" s="45">
        <f t="shared" si="89"/>
        <v>1.7050806081179266</v>
      </c>
      <c r="R559" s="105">
        <v>3279</v>
      </c>
      <c r="S559" s="7">
        <f t="shared" si="82"/>
        <v>0</v>
      </c>
      <c r="T559" s="124">
        <f t="shared" si="83"/>
        <v>110</v>
      </c>
      <c r="U559" s="124">
        <f t="shared" si="84"/>
        <v>999</v>
      </c>
      <c r="V559" s="124">
        <f t="shared" si="85"/>
        <v>550</v>
      </c>
      <c r="W559" s="124">
        <f t="shared" si="86"/>
        <v>3220.9999999982501</v>
      </c>
      <c r="X559" s="124">
        <f t="shared" si="87"/>
        <v>31062660.072205316</v>
      </c>
      <c r="Y559" s="264">
        <f t="shared" si="88"/>
        <v>550</v>
      </c>
      <c r="Z559" s="10">
        <v>110</v>
      </c>
      <c r="AA559" s="7">
        <v>999</v>
      </c>
      <c r="AB559" s="7">
        <v>550</v>
      </c>
      <c r="AC559" s="109">
        <v>3220.9999999982501</v>
      </c>
      <c r="AD559" s="109">
        <v>31062660.072205316</v>
      </c>
      <c r="AE559" s="125"/>
      <c r="AF559" s="10"/>
      <c r="AI559" s="109"/>
      <c r="AJ559" s="109"/>
      <c r="AL559" s="10"/>
      <c r="AO559" s="109"/>
      <c r="AP559" s="109"/>
      <c r="AR559" s="10"/>
      <c r="AU559" s="109"/>
      <c r="AV559" s="109"/>
      <c r="AX559" s="10"/>
      <c r="BA559" s="109"/>
      <c r="BB559" s="109"/>
      <c r="BD559" s="10"/>
      <c r="BG559" s="109"/>
      <c r="BH559" s="109"/>
      <c r="BJ559" s="10"/>
      <c r="BM559" s="109"/>
      <c r="BN559" s="109"/>
      <c r="BP559" s="10"/>
      <c r="BS559" s="109"/>
      <c r="BT559" s="109"/>
      <c r="BV559" s="10"/>
      <c r="BY559" s="109"/>
      <c r="BZ559" s="109"/>
      <c r="CB559" s="10"/>
      <c r="CE559" s="109"/>
      <c r="CF559" s="109"/>
      <c r="CH559" s="10"/>
      <c r="CK559" s="109"/>
      <c r="CL559" s="109"/>
    </row>
    <row r="560" spans="1:90">
      <c r="A560" s="7" t="str">
        <f t="shared" si="81"/>
        <v>01110111</v>
      </c>
      <c r="B560" s="7" t="s">
        <v>2450</v>
      </c>
      <c r="C560" s="7" t="s">
        <v>2450</v>
      </c>
      <c r="D560" s="7">
        <v>551</v>
      </c>
      <c r="E560" s="7">
        <v>111</v>
      </c>
      <c r="F560" s="7" t="s">
        <v>1816</v>
      </c>
      <c r="G560" s="7">
        <v>111</v>
      </c>
      <c r="H560" s="7" t="s">
        <v>1377</v>
      </c>
      <c r="I560" s="37">
        <v>7719354.0099999998</v>
      </c>
      <c r="J560" s="122">
        <v>0.95225133156446728</v>
      </c>
      <c r="K560" s="123">
        <f>X560</f>
        <v>7516650.875846277</v>
      </c>
      <c r="L560" s="122">
        <f>IF(K564&gt;0, K560/K564, 0)</f>
        <v>0.95390359563393556</v>
      </c>
      <c r="M560" s="71"/>
      <c r="N560" s="10">
        <f>ROUND(M564*L560,0)</f>
        <v>4649745</v>
      </c>
      <c r="O560" s="70">
        <v>4716269</v>
      </c>
      <c r="P560" s="10">
        <f>N560-O560</f>
        <v>-66524</v>
      </c>
      <c r="Q560" s="46">
        <f t="shared" si="89"/>
        <v>-1.4105217492895337</v>
      </c>
      <c r="R560" s="10">
        <v>777</v>
      </c>
      <c r="S560" s="7">
        <f t="shared" si="82"/>
        <v>0</v>
      </c>
      <c r="T560" s="124">
        <f t="shared" si="83"/>
        <v>111</v>
      </c>
      <c r="U560" s="124">
        <f t="shared" si="84"/>
        <v>111</v>
      </c>
      <c r="V560" s="124">
        <f t="shared" si="85"/>
        <v>551</v>
      </c>
      <c r="W560" s="124">
        <f t="shared" si="86"/>
        <v>742</v>
      </c>
      <c r="X560" s="124">
        <f t="shared" si="87"/>
        <v>7516650.875846277</v>
      </c>
      <c r="Y560" s="264">
        <f t="shared" si="88"/>
        <v>551</v>
      </c>
      <c r="Z560" s="10">
        <v>111</v>
      </c>
      <c r="AA560" s="7">
        <v>111</v>
      </c>
      <c r="AB560" s="7">
        <v>551</v>
      </c>
      <c r="AC560" s="109">
        <v>742</v>
      </c>
      <c r="AD560" s="109">
        <v>7516650.875846277</v>
      </c>
      <c r="AE560" s="125"/>
      <c r="AF560" s="10"/>
      <c r="AI560" s="109"/>
      <c r="AJ560" s="109"/>
      <c r="AL560" s="10"/>
      <c r="AO560" s="109"/>
      <c r="AP560" s="109"/>
      <c r="AR560" s="10"/>
      <c r="AU560" s="109"/>
      <c r="AV560" s="109"/>
      <c r="AX560" s="10"/>
      <c r="BA560" s="109"/>
      <c r="BB560" s="109"/>
      <c r="BD560" s="10"/>
      <c r="BG560" s="109"/>
      <c r="BH560" s="109"/>
      <c r="BJ560" s="10"/>
      <c r="BM560" s="109"/>
      <c r="BN560" s="109"/>
      <c r="BP560" s="10"/>
      <c r="BS560" s="109"/>
      <c r="BT560" s="109"/>
      <c r="BV560" s="10"/>
      <c r="BY560" s="109"/>
      <c r="BZ560" s="109"/>
      <c r="CB560" s="10"/>
      <c r="CE560" s="109"/>
      <c r="CF560" s="109"/>
      <c r="CH560" s="10"/>
      <c r="CK560" s="109"/>
      <c r="CL560" s="109"/>
    </row>
    <row r="561" spans="1:90">
      <c r="A561" s="7" t="str">
        <f t="shared" si="81"/>
        <v>01110860</v>
      </c>
      <c r="B561" s="7" t="s">
        <v>2450</v>
      </c>
      <c r="C561" s="7" t="s">
        <v>2770</v>
      </c>
      <c r="D561" s="7">
        <v>552</v>
      </c>
      <c r="E561" s="7">
        <v>111</v>
      </c>
      <c r="F561" s="7" t="s">
        <v>1816</v>
      </c>
      <c r="G561" s="7">
        <v>860</v>
      </c>
      <c r="H561" s="7" t="s">
        <v>1697</v>
      </c>
      <c r="I561" s="37">
        <v>387071</v>
      </c>
      <c r="J561" s="122">
        <v>4.7748668435532722E-2</v>
      </c>
      <c r="K561" s="123">
        <f t="shared" si="90"/>
        <v>363234.37697210448</v>
      </c>
      <c r="L561" s="122">
        <f>IF(K564&gt;0, K561/K564, 0)</f>
        <v>4.6096404366064499E-2</v>
      </c>
      <c r="M561" s="71"/>
      <c r="N561" s="10">
        <f>ROUND(M564*L561,0)</f>
        <v>224694</v>
      </c>
      <c r="O561" s="70">
        <v>236488</v>
      </c>
      <c r="P561" s="10">
        <f>N561-O561</f>
        <v>-11794</v>
      </c>
      <c r="Q561" s="46">
        <f t="shared" si="89"/>
        <v>-4.9871452251277022</v>
      </c>
      <c r="R561" s="10">
        <v>24</v>
      </c>
      <c r="S561" s="7">
        <f t="shared" si="82"/>
        <v>0</v>
      </c>
      <c r="T561" s="124">
        <f t="shared" si="83"/>
        <v>111</v>
      </c>
      <c r="U561" s="124">
        <f t="shared" si="84"/>
        <v>860</v>
      </c>
      <c r="V561" s="124">
        <f t="shared" si="85"/>
        <v>552</v>
      </c>
      <c r="W561" s="124">
        <f t="shared" si="86"/>
        <v>22.000000001890001</v>
      </c>
      <c r="X561" s="124">
        <f t="shared" si="87"/>
        <v>363234.37697210448</v>
      </c>
      <c r="Y561" s="264">
        <f t="shared" si="88"/>
        <v>552</v>
      </c>
      <c r="Z561" s="10">
        <v>111</v>
      </c>
      <c r="AA561" s="7">
        <v>860</v>
      </c>
      <c r="AB561" s="7">
        <v>552</v>
      </c>
      <c r="AC561" s="109">
        <v>22.000000001890001</v>
      </c>
      <c r="AD561" s="109">
        <v>363234.37697210448</v>
      </c>
      <c r="AE561" s="125"/>
      <c r="AF561" s="10"/>
      <c r="AI561" s="109"/>
      <c r="AJ561" s="109"/>
      <c r="AL561" s="10"/>
      <c r="AO561" s="109"/>
      <c r="AP561" s="109"/>
      <c r="AR561" s="10"/>
      <c r="AU561" s="109"/>
      <c r="AV561" s="109"/>
      <c r="AX561" s="10"/>
      <c r="BA561" s="109"/>
      <c r="BB561" s="109"/>
      <c r="BD561" s="10"/>
      <c r="BG561" s="109"/>
      <c r="BH561" s="109"/>
      <c r="BJ561" s="10"/>
      <c r="BM561" s="109"/>
      <c r="BN561" s="109"/>
      <c r="BP561" s="10"/>
      <c r="BS561" s="109"/>
      <c r="BT561" s="109"/>
      <c r="BV561" s="10"/>
      <c r="BY561" s="109"/>
      <c r="BZ561" s="109"/>
      <c r="CB561" s="10"/>
      <c r="CE561" s="109"/>
      <c r="CF561" s="109"/>
      <c r="CH561" s="10"/>
      <c r="CK561" s="109"/>
      <c r="CL561" s="109"/>
    </row>
    <row r="562" spans="1:90">
      <c r="A562" s="7" t="str">
        <f t="shared" si="81"/>
        <v>01110998</v>
      </c>
      <c r="B562" s="7" t="s">
        <v>2450</v>
      </c>
      <c r="C562" s="7" t="s">
        <v>2781</v>
      </c>
      <c r="D562" s="7">
        <v>553</v>
      </c>
      <c r="E562" s="7">
        <v>111</v>
      </c>
      <c r="F562" s="7" t="s">
        <v>2135</v>
      </c>
      <c r="G562" s="7">
        <v>998</v>
      </c>
      <c r="H562" s="7" t="s">
        <v>2135</v>
      </c>
      <c r="I562" s="37">
        <v>0</v>
      </c>
      <c r="J562" s="122">
        <v>0</v>
      </c>
      <c r="K562" s="123">
        <f t="shared" si="90"/>
        <v>0</v>
      </c>
      <c r="L562" s="122">
        <f>IF(K564&gt;0, K562/K564, 0)</f>
        <v>0</v>
      </c>
      <c r="M562" s="71"/>
      <c r="N562" s="10">
        <f>ROUND(M564*L562,0)</f>
        <v>0</v>
      </c>
      <c r="O562" s="70">
        <v>0</v>
      </c>
      <c r="P562" s="10">
        <f>N562-O562</f>
        <v>0</v>
      </c>
      <c r="Q562" s="46">
        <f t="shared" si="89"/>
        <v>0</v>
      </c>
      <c r="R562" s="10">
        <v>0</v>
      </c>
      <c r="S562" s="7">
        <f t="shared" si="82"/>
        <v>0</v>
      </c>
      <c r="T562" s="124">
        <f t="shared" si="83"/>
        <v>111</v>
      </c>
      <c r="U562" s="124">
        <f t="shared" si="84"/>
        <v>998</v>
      </c>
      <c r="V562" s="124">
        <f t="shared" si="85"/>
        <v>553</v>
      </c>
      <c r="W562" s="124">
        <f t="shared" si="86"/>
        <v>0</v>
      </c>
      <c r="X562" s="124">
        <f t="shared" si="87"/>
        <v>0</v>
      </c>
      <c r="Y562" s="264">
        <f t="shared" si="88"/>
        <v>553</v>
      </c>
      <c r="Z562" s="10">
        <v>111</v>
      </c>
      <c r="AA562" s="7">
        <v>998</v>
      </c>
      <c r="AB562" s="7">
        <v>553</v>
      </c>
      <c r="AC562" s="109">
        <v>0</v>
      </c>
      <c r="AD562" s="109">
        <v>0</v>
      </c>
      <c r="AE562" s="125"/>
      <c r="AF562" s="10"/>
      <c r="AI562" s="109"/>
      <c r="AJ562" s="109"/>
      <c r="AL562" s="10"/>
      <c r="AO562" s="109"/>
      <c r="AP562" s="109"/>
      <c r="AR562" s="10"/>
      <c r="AU562" s="109"/>
      <c r="AV562" s="109"/>
      <c r="AX562" s="10"/>
      <c r="BA562" s="109"/>
      <c r="BB562" s="109"/>
      <c r="BD562" s="10"/>
      <c r="BG562" s="109"/>
      <c r="BH562" s="109"/>
      <c r="BJ562" s="10"/>
      <c r="BM562" s="109"/>
      <c r="BN562" s="109"/>
      <c r="BP562" s="10"/>
      <c r="BS562" s="109"/>
      <c r="BT562" s="109"/>
      <c r="BV562" s="10"/>
      <c r="BY562" s="109"/>
      <c r="BZ562" s="109"/>
      <c r="CB562" s="10"/>
      <c r="CE562" s="109"/>
      <c r="CF562" s="109"/>
      <c r="CH562" s="10"/>
      <c r="CK562" s="109"/>
      <c r="CL562" s="109"/>
    </row>
    <row r="563" spans="1:90">
      <c r="A563" s="7" t="str">
        <f t="shared" si="81"/>
        <v>01110998</v>
      </c>
      <c r="B563" s="7" t="s">
        <v>2450</v>
      </c>
      <c r="C563" s="7" t="s">
        <v>2781</v>
      </c>
      <c r="D563" s="7">
        <v>554</v>
      </c>
      <c r="E563" s="7">
        <v>111</v>
      </c>
      <c r="F563" s="7" t="s">
        <v>2135</v>
      </c>
      <c r="G563" s="7">
        <v>998</v>
      </c>
      <c r="H563" s="7" t="s">
        <v>2135</v>
      </c>
      <c r="I563" s="37">
        <v>0</v>
      </c>
      <c r="J563" s="122">
        <v>0</v>
      </c>
      <c r="K563" s="123">
        <f t="shared" si="90"/>
        <v>0</v>
      </c>
      <c r="L563" s="122">
        <f>IF(K564&gt;0, K563/K564, 0)</f>
        <v>0</v>
      </c>
      <c r="M563" s="71"/>
      <c r="N563" s="10">
        <f>ROUND(M564*L563,0)</f>
        <v>0</v>
      </c>
      <c r="O563" s="70">
        <v>0</v>
      </c>
      <c r="P563" s="10">
        <f>N563-O563</f>
        <v>0</v>
      </c>
      <c r="Q563" s="46">
        <f t="shared" si="89"/>
        <v>0</v>
      </c>
      <c r="R563" s="10">
        <v>0</v>
      </c>
      <c r="S563" s="7">
        <f t="shared" si="82"/>
        <v>0</v>
      </c>
      <c r="T563" s="124">
        <f t="shared" si="83"/>
        <v>111</v>
      </c>
      <c r="U563" s="124">
        <f t="shared" si="84"/>
        <v>998</v>
      </c>
      <c r="V563" s="124">
        <f t="shared" si="85"/>
        <v>554</v>
      </c>
      <c r="W563" s="124">
        <f t="shared" si="86"/>
        <v>0</v>
      </c>
      <c r="X563" s="124">
        <f t="shared" si="87"/>
        <v>0</v>
      </c>
      <c r="Y563" s="264">
        <f t="shared" si="88"/>
        <v>554</v>
      </c>
      <c r="Z563" s="10">
        <v>111</v>
      </c>
      <c r="AA563" s="7">
        <v>998</v>
      </c>
      <c r="AB563" s="7">
        <v>554</v>
      </c>
      <c r="AC563" s="109">
        <v>0</v>
      </c>
      <c r="AD563" s="109">
        <v>0</v>
      </c>
      <c r="AE563" s="125"/>
      <c r="AF563" s="10"/>
      <c r="AI563" s="109"/>
      <c r="AJ563" s="109"/>
      <c r="AL563" s="10"/>
      <c r="AO563" s="109"/>
      <c r="AP563" s="109"/>
      <c r="AR563" s="10"/>
      <c r="AU563" s="109"/>
      <c r="AV563" s="109"/>
      <c r="AX563" s="10"/>
      <c r="BA563" s="109"/>
      <c r="BB563" s="109"/>
      <c r="BD563" s="10"/>
      <c r="BG563" s="109"/>
      <c r="BH563" s="109"/>
      <c r="BJ563" s="10"/>
      <c r="BM563" s="109"/>
      <c r="BN563" s="109"/>
      <c r="BP563" s="10"/>
      <c r="BS563" s="109"/>
      <c r="BT563" s="109"/>
      <c r="BV563" s="10"/>
      <c r="BY563" s="109"/>
      <c r="BZ563" s="109"/>
      <c r="CB563" s="10"/>
      <c r="CE563" s="109"/>
      <c r="CF563" s="109"/>
      <c r="CH563" s="10"/>
      <c r="CK563" s="109"/>
      <c r="CL563" s="109"/>
    </row>
    <row r="564" spans="1:90">
      <c r="A564" s="7" t="str">
        <f t="shared" si="81"/>
        <v>01110999</v>
      </c>
      <c r="B564" s="7" t="s">
        <v>2450</v>
      </c>
      <c r="C564" s="7" t="s">
        <v>2782</v>
      </c>
      <c r="D564" s="7">
        <v>555</v>
      </c>
      <c r="E564" s="11">
        <v>111</v>
      </c>
      <c r="F564" s="11" t="s">
        <v>1816</v>
      </c>
      <c r="G564" s="11">
        <v>999</v>
      </c>
      <c r="H564" s="11" t="s">
        <v>1132</v>
      </c>
      <c r="I564" s="105">
        <v>8106425.0099999998</v>
      </c>
      <c r="J564" s="126">
        <v>1</v>
      </c>
      <c r="K564" s="127">
        <f>SUM(K560:K563)</f>
        <v>7879885.2528183814</v>
      </c>
      <c r="L564" s="126">
        <f>SUM(L560:L563)</f>
        <v>1</v>
      </c>
      <c r="M564" s="105">
        <f>VLOOKUP(E564,town351,22)</f>
        <v>4874439</v>
      </c>
      <c r="N564" s="105">
        <f>SUM(N560:N563)</f>
        <v>4874439</v>
      </c>
      <c r="O564" s="128">
        <v>4952757</v>
      </c>
      <c r="P564" s="105">
        <f>SUM(P560:P563)</f>
        <v>-78318</v>
      </c>
      <c r="Q564" s="45">
        <f t="shared" si="89"/>
        <v>-1.5813010813976942</v>
      </c>
      <c r="R564" s="105">
        <v>801</v>
      </c>
      <c r="S564" s="7">
        <f t="shared" si="82"/>
        <v>0</v>
      </c>
      <c r="T564" s="124">
        <f t="shared" si="83"/>
        <v>111</v>
      </c>
      <c r="U564" s="124">
        <f t="shared" si="84"/>
        <v>999</v>
      </c>
      <c r="V564" s="124">
        <f t="shared" si="85"/>
        <v>555</v>
      </c>
      <c r="W564" s="124">
        <f t="shared" si="86"/>
        <v>764.00000000189004</v>
      </c>
      <c r="X564" s="124">
        <f t="shared" si="87"/>
        <v>7879885.2528183814</v>
      </c>
      <c r="Y564" s="264">
        <f t="shared" si="88"/>
        <v>555</v>
      </c>
      <c r="Z564" s="10">
        <v>111</v>
      </c>
      <c r="AA564" s="7">
        <v>999</v>
      </c>
      <c r="AB564" s="7">
        <v>555</v>
      </c>
      <c r="AC564" s="109">
        <v>764.00000000189004</v>
      </c>
      <c r="AD564" s="109">
        <v>7879885.2528183814</v>
      </c>
      <c r="AE564" s="125"/>
      <c r="AF564" s="10"/>
      <c r="AI564" s="109"/>
      <c r="AJ564" s="109"/>
      <c r="AL564" s="10"/>
      <c r="AO564" s="109"/>
      <c r="AP564" s="109"/>
      <c r="AR564" s="10"/>
      <c r="AU564" s="109"/>
      <c r="AV564" s="109"/>
      <c r="AX564" s="10"/>
      <c r="BA564" s="109"/>
      <c r="BB564" s="109"/>
      <c r="BD564" s="10"/>
      <c r="BG564" s="109"/>
      <c r="BH564" s="109"/>
      <c r="BJ564" s="10"/>
      <c r="BM564" s="109"/>
      <c r="BN564" s="109"/>
      <c r="BP564" s="10"/>
      <c r="BS564" s="109"/>
      <c r="BT564" s="109"/>
      <c r="BV564" s="10"/>
      <c r="BY564" s="109"/>
      <c r="BZ564" s="109"/>
      <c r="CB564" s="10"/>
      <c r="CE564" s="109"/>
      <c r="CF564" s="109"/>
      <c r="CH564" s="10"/>
      <c r="CK564" s="109"/>
      <c r="CL564" s="109"/>
    </row>
    <row r="565" spans="1:90">
      <c r="A565" s="7" t="str">
        <f t="shared" si="81"/>
        <v>01120112</v>
      </c>
      <c r="B565" s="7" t="s">
        <v>2451</v>
      </c>
      <c r="C565" s="7" t="s">
        <v>2451</v>
      </c>
      <c r="D565" s="7">
        <v>556</v>
      </c>
      <c r="E565" s="7">
        <v>112</v>
      </c>
      <c r="F565" s="7" t="s">
        <v>1817</v>
      </c>
      <c r="G565" s="7">
        <v>112</v>
      </c>
      <c r="H565" s="7" t="s">
        <v>1378</v>
      </c>
      <c r="I565" s="37">
        <v>0</v>
      </c>
      <c r="J565" s="122">
        <v>0</v>
      </c>
      <c r="K565" s="123">
        <f>X565</f>
        <v>0</v>
      </c>
      <c r="L565" s="122">
        <f>IF(K569&gt;0, K565/K569, 0)</f>
        <v>0</v>
      </c>
      <c r="M565" s="71"/>
      <c r="N565" s="10">
        <f>ROUND(M569*L565,0)</f>
        <v>0</v>
      </c>
      <c r="O565" s="70">
        <v>0</v>
      </c>
      <c r="P565" s="10">
        <f>N565-O565</f>
        <v>0</v>
      </c>
      <c r="Q565" s="46">
        <f t="shared" si="89"/>
        <v>0</v>
      </c>
      <c r="R565" s="10">
        <v>0</v>
      </c>
      <c r="S565" s="7">
        <f t="shared" si="82"/>
        <v>0</v>
      </c>
      <c r="T565" s="124">
        <f t="shared" si="83"/>
        <v>112</v>
      </c>
      <c r="U565" s="124">
        <f t="shared" si="84"/>
        <v>112</v>
      </c>
      <c r="V565" s="124">
        <f t="shared" si="85"/>
        <v>556</v>
      </c>
      <c r="W565" s="124">
        <f t="shared" si="86"/>
        <v>0</v>
      </c>
      <c r="X565" s="124">
        <f t="shared" si="87"/>
        <v>0</v>
      </c>
      <c r="Y565" s="264">
        <f t="shared" si="88"/>
        <v>556</v>
      </c>
      <c r="Z565" s="10">
        <v>112</v>
      </c>
      <c r="AA565" s="7">
        <v>112</v>
      </c>
      <c r="AB565" s="7">
        <v>556</v>
      </c>
      <c r="AC565" s="109">
        <v>0</v>
      </c>
      <c r="AD565" s="109">
        <v>0</v>
      </c>
      <c r="AE565" s="125"/>
      <c r="AF565" s="10"/>
      <c r="AI565" s="109"/>
      <c r="AJ565" s="109"/>
      <c r="AL565" s="10"/>
      <c r="AO565" s="109"/>
      <c r="AP565" s="109"/>
      <c r="AR565" s="10"/>
      <c r="AU565" s="109"/>
      <c r="AV565" s="109"/>
      <c r="AX565" s="10"/>
      <c r="BA565" s="109"/>
      <c r="BB565" s="109"/>
      <c r="BD565" s="10"/>
      <c r="BG565" s="109"/>
      <c r="BH565" s="109"/>
      <c r="BJ565" s="10"/>
      <c r="BM565" s="109"/>
      <c r="BN565" s="109"/>
      <c r="BP565" s="10"/>
      <c r="BS565" s="109"/>
      <c r="BT565" s="109"/>
      <c r="BV565" s="10"/>
      <c r="BY565" s="109"/>
      <c r="BZ565" s="109"/>
      <c r="CB565" s="10"/>
      <c r="CE565" s="109"/>
      <c r="CF565" s="109"/>
      <c r="CH565" s="10"/>
      <c r="CK565" s="109"/>
      <c r="CL565" s="109"/>
    </row>
    <row r="566" spans="1:90">
      <c r="A566" s="7" t="str">
        <f t="shared" si="81"/>
        <v>01120766</v>
      </c>
      <c r="B566" s="7" t="s">
        <v>2451</v>
      </c>
      <c r="C566" s="7" t="s">
        <v>2744</v>
      </c>
      <c r="D566" s="7">
        <v>557</v>
      </c>
      <c r="E566" s="7">
        <v>112</v>
      </c>
      <c r="F566" s="7" t="s">
        <v>1817</v>
      </c>
      <c r="G566" s="7">
        <v>766</v>
      </c>
      <c r="H566" s="7" t="s">
        <v>1671</v>
      </c>
      <c r="I566" s="37">
        <v>2151913</v>
      </c>
      <c r="J566" s="122">
        <v>1</v>
      </c>
      <c r="K566" s="123">
        <f t="shared" si="90"/>
        <v>1936323.8077146141</v>
      </c>
      <c r="L566" s="122">
        <f>IF(K569&gt;0, K566/K569, 0)</f>
        <v>1</v>
      </c>
      <c r="M566" s="71"/>
      <c r="N566" s="10">
        <f>ROUND(M569*L566,0)</f>
        <v>1448468</v>
      </c>
      <c r="O566" s="70">
        <v>1483733</v>
      </c>
      <c r="P566" s="10">
        <f>N566-O566</f>
        <v>-35265</v>
      </c>
      <c r="Q566" s="46">
        <f t="shared" si="89"/>
        <v>-2.3767753362633304</v>
      </c>
      <c r="R566" s="10">
        <v>210</v>
      </c>
      <c r="S566" s="7">
        <f t="shared" si="82"/>
        <v>0</v>
      </c>
      <c r="T566" s="124">
        <f t="shared" si="83"/>
        <v>112</v>
      </c>
      <c r="U566" s="124">
        <f t="shared" si="84"/>
        <v>766</v>
      </c>
      <c r="V566" s="124">
        <f t="shared" si="85"/>
        <v>557</v>
      </c>
      <c r="W566" s="124">
        <f t="shared" si="86"/>
        <v>183.68391608952001</v>
      </c>
      <c r="X566" s="124">
        <f t="shared" si="87"/>
        <v>1936323.8077146141</v>
      </c>
      <c r="Y566" s="264">
        <f t="shared" si="88"/>
        <v>557</v>
      </c>
      <c r="Z566" s="10">
        <v>112</v>
      </c>
      <c r="AA566" s="7">
        <v>766</v>
      </c>
      <c r="AB566" s="7">
        <v>557</v>
      </c>
      <c r="AC566" s="109">
        <v>183.68391608952001</v>
      </c>
      <c r="AD566" s="109">
        <v>1936323.8077146141</v>
      </c>
      <c r="AE566" s="125"/>
      <c r="AF566" s="10"/>
      <c r="AI566" s="109"/>
      <c r="AJ566" s="109"/>
      <c r="AL566" s="10"/>
      <c r="AO566" s="109"/>
      <c r="AP566" s="109"/>
      <c r="AR566" s="10"/>
      <c r="AU566" s="109"/>
      <c r="AV566" s="109"/>
      <c r="AX566" s="10"/>
      <c r="BA566" s="109"/>
      <c r="BB566" s="109"/>
      <c r="BD566" s="10"/>
      <c r="BG566" s="109"/>
      <c r="BH566" s="109"/>
      <c r="BJ566" s="10"/>
      <c r="BM566" s="109"/>
      <c r="BN566" s="109"/>
      <c r="BP566" s="10"/>
      <c r="BS566" s="109"/>
      <c r="BT566" s="109"/>
      <c r="BV566" s="10"/>
      <c r="BY566" s="109"/>
      <c r="BZ566" s="109"/>
      <c r="CB566" s="10"/>
      <c r="CE566" s="109"/>
      <c r="CF566" s="109"/>
      <c r="CH566" s="10"/>
      <c r="CK566" s="109"/>
      <c r="CL566" s="109"/>
    </row>
    <row r="567" spans="1:90">
      <c r="A567" s="7" t="str">
        <f t="shared" si="81"/>
        <v>01120998</v>
      </c>
      <c r="B567" s="7" t="s">
        <v>2451</v>
      </c>
      <c r="C567" s="7" t="s">
        <v>2781</v>
      </c>
      <c r="D567" s="7">
        <v>558</v>
      </c>
      <c r="E567" s="7">
        <v>112</v>
      </c>
      <c r="F567" s="7" t="s">
        <v>2135</v>
      </c>
      <c r="G567" s="7">
        <v>998</v>
      </c>
      <c r="H567" s="7" t="s">
        <v>2135</v>
      </c>
      <c r="I567" s="37">
        <v>0</v>
      </c>
      <c r="J567" s="122">
        <v>0</v>
      </c>
      <c r="K567" s="123">
        <f t="shared" si="90"/>
        <v>0</v>
      </c>
      <c r="L567" s="122">
        <f>IF(K569&gt;0, K567/K569, 0)</f>
        <v>0</v>
      </c>
      <c r="M567" s="71"/>
      <c r="N567" s="10">
        <f>ROUND(M569*L567,0)</f>
        <v>0</v>
      </c>
      <c r="O567" s="70">
        <v>0</v>
      </c>
      <c r="P567" s="10">
        <f>N567-O567</f>
        <v>0</v>
      </c>
      <c r="Q567" s="46">
        <f t="shared" si="89"/>
        <v>0</v>
      </c>
      <c r="R567" s="10">
        <v>0</v>
      </c>
      <c r="S567" s="7">
        <f t="shared" si="82"/>
        <v>0</v>
      </c>
      <c r="T567" s="124">
        <f t="shared" si="83"/>
        <v>112</v>
      </c>
      <c r="U567" s="124">
        <f t="shared" si="84"/>
        <v>998</v>
      </c>
      <c r="V567" s="124">
        <f t="shared" si="85"/>
        <v>558</v>
      </c>
      <c r="W567" s="124">
        <f t="shared" si="86"/>
        <v>0</v>
      </c>
      <c r="X567" s="124">
        <f t="shared" si="87"/>
        <v>0</v>
      </c>
      <c r="Y567" s="264">
        <f t="shared" si="88"/>
        <v>558</v>
      </c>
      <c r="Z567" s="10">
        <v>112</v>
      </c>
      <c r="AA567" s="7">
        <v>998</v>
      </c>
      <c r="AB567" s="7">
        <v>558</v>
      </c>
      <c r="AC567" s="109">
        <v>0</v>
      </c>
      <c r="AD567" s="109">
        <v>0</v>
      </c>
      <c r="AE567" s="125"/>
      <c r="AF567" s="10"/>
      <c r="AI567" s="109"/>
      <c r="AJ567" s="109"/>
      <c r="AL567" s="10"/>
      <c r="AO567" s="109"/>
      <c r="AP567" s="109"/>
      <c r="AR567" s="10"/>
      <c r="AU567" s="109"/>
      <c r="AV567" s="109"/>
      <c r="AX567" s="10"/>
      <c r="BA567" s="109"/>
      <c r="BB567" s="109"/>
      <c r="BD567" s="10"/>
      <c r="BG567" s="109"/>
      <c r="BH567" s="109"/>
      <c r="BJ567" s="10"/>
      <c r="BM567" s="109"/>
      <c r="BN567" s="109"/>
      <c r="BP567" s="10"/>
      <c r="BS567" s="109"/>
      <c r="BT567" s="109"/>
      <c r="BV567" s="10"/>
      <c r="BY567" s="109"/>
      <c r="BZ567" s="109"/>
      <c r="CB567" s="10"/>
      <c r="CE567" s="109"/>
      <c r="CF567" s="109"/>
      <c r="CH567" s="10"/>
      <c r="CK567" s="109"/>
      <c r="CL567" s="109"/>
    </row>
    <row r="568" spans="1:90">
      <c r="A568" s="7" t="str">
        <f t="shared" si="81"/>
        <v>01120998</v>
      </c>
      <c r="B568" s="7" t="s">
        <v>2451</v>
      </c>
      <c r="C568" s="7" t="s">
        <v>2781</v>
      </c>
      <c r="D568" s="7">
        <v>559</v>
      </c>
      <c r="E568" s="7">
        <v>112</v>
      </c>
      <c r="F568" s="7" t="s">
        <v>2135</v>
      </c>
      <c r="G568" s="7">
        <v>998</v>
      </c>
      <c r="H568" s="7" t="s">
        <v>2135</v>
      </c>
      <c r="I568" s="37">
        <v>0</v>
      </c>
      <c r="J568" s="122">
        <v>0</v>
      </c>
      <c r="K568" s="123">
        <f t="shared" si="90"/>
        <v>0</v>
      </c>
      <c r="L568" s="122">
        <f>IF(K569&gt;0, K568/K569, 0)</f>
        <v>0</v>
      </c>
      <c r="M568" s="71"/>
      <c r="N568" s="10">
        <f>ROUND(M569*L568,0)</f>
        <v>0</v>
      </c>
      <c r="O568" s="70">
        <v>0</v>
      </c>
      <c r="P568" s="10">
        <f>N568-O568</f>
        <v>0</v>
      </c>
      <c r="Q568" s="46">
        <f t="shared" si="89"/>
        <v>0</v>
      </c>
      <c r="R568" s="10">
        <v>0</v>
      </c>
      <c r="S568" s="7">
        <f t="shared" si="82"/>
        <v>0</v>
      </c>
      <c r="T568" s="124">
        <f t="shared" si="83"/>
        <v>112</v>
      </c>
      <c r="U568" s="124">
        <f t="shared" si="84"/>
        <v>998</v>
      </c>
      <c r="V568" s="124">
        <f t="shared" si="85"/>
        <v>559</v>
      </c>
      <c r="W568" s="124">
        <f t="shared" si="86"/>
        <v>0</v>
      </c>
      <c r="X568" s="124">
        <f t="shared" si="87"/>
        <v>0</v>
      </c>
      <c r="Y568" s="264">
        <f t="shared" si="88"/>
        <v>559</v>
      </c>
      <c r="Z568" s="10">
        <v>112</v>
      </c>
      <c r="AA568" s="7">
        <v>998</v>
      </c>
      <c r="AB568" s="7">
        <v>559</v>
      </c>
      <c r="AC568" s="109">
        <v>0</v>
      </c>
      <c r="AD568" s="109">
        <v>0</v>
      </c>
      <c r="AE568" s="125"/>
      <c r="AF568" s="10"/>
      <c r="AI568" s="109"/>
      <c r="AJ568" s="109"/>
      <c r="AL568" s="10"/>
      <c r="AO568" s="109"/>
      <c r="AP568" s="109"/>
      <c r="AR568" s="10"/>
      <c r="AU568" s="109"/>
      <c r="AV568" s="109"/>
      <c r="AX568" s="10"/>
      <c r="BA568" s="109"/>
      <c r="BB568" s="109"/>
      <c r="BD568" s="10"/>
      <c r="BG568" s="109"/>
      <c r="BH568" s="109"/>
      <c r="BJ568" s="10"/>
      <c r="BM568" s="109"/>
      <c r="BN568" s="109"/>
      <c r="BP568" s="10"/>
      <c r="BS568" s="109"/>
      <c r="BT568" s="109"/>
      <c r="BV568" s="10"/>
      <c r="BY568" s="109"/>
      <c r="BZ568" s="109"/>
      <c r="CB568" s="10"/>
      <c r="CE568" s="109"/>
      <c r="CF568" s="109"/>
      <c r="CH568" s="10"/>
      <c r="CK568" s="109"/>
      <c r="CL568" s="109"/>
    </row>
    <row r="569" spans="1:90">
      <c r="A569" s="7" t="str">
        <f t="shared" si="81"/>
        <v>01120999</v>
      </c>
      <c r="B569" s="7" t="s">
        <v>2451</v>
      </c>
      <c r="C569" s="7" t="s">
        <v>2782</v>
      </c>
      <c r="D569" s="7">
        <v>560</v>
      </c>
      <c r="E569" s="11">
        <v>112</v>
      </c>
      <c r="F569" s="11" t="s">
        <v>1817</v>
      </c>
      <c r="G569" s="11">
        <v>999</v>
      </c>
      <c r="H569" s="11" t="s">
        <v>1132</v>
      </c>
      <c r="I569" s="105">
        <v>2151913</v>
      </c>
      <c r="J569" s="126">
        <v>1</v>
      </c>
      <c r="K569" s="127">
        <f>SUM(K565:K568)</f>
        <v>1936323.8077146141</v>
      </c>
      <c r="L569" s="126">
        <f>SUM(L565:L568)</f>
        <v>1</v>
      </c>
      <c r="M569" s="105">
        <f>VLOOKUP(E569,town351,22)</f>
        <v>1448468</v>
      </c>
      <c r="N569" s="105">
        <f>SUM(N565:N568)</f>
        <v>1448468</v>
      </c>
      <c r="O569" s="128">
        <v>1483733</v>
      </c>
      <c r="P569" s="105">
        <f>SUM(P565:P568)</f>
        <v>-35265</v>
      </c>
      <c r="Q569" s="45">
        <f t="shared" si="89"/>
        <v>-2.3767753362633304</v>
      </c>
      <c r="R569" s="105">
        <v>210</v>
      </c>
      <c r="S569" s="7">
        <f t="shared" si="82"/>
        <v>0</v>
      </c>
      <c r="T569" s="124">
        <f t="shared" si="83"/>
        <v>112</v>
      </c>
      <c r="U569" s="124">
        <f t="shared" si="84"/>
        <v>999</v>
      </c>
      <c r="V569" s="124">
        <f t="shared" si="85"/>
        <v>560</v>
      </c>
      <c r="W569" s="124">
        <f t="shared" si="86"/>
        <v>183.68391608952001</v>
      </c>
      <c r="X569" s="124">
        <f t="shared" si="87"/>
        <v>1936323.8077146141</v>
      </c>
      <c r="Y569" s="264">
        <f t="shared" si="88"/>
        <v>560</v>
      </c>
      <c r="Z569" s="10">
        <v>112</v>
      </c>
      <c r="AA569" s="7">
        <v>999</v>
      </c>
      <c r="AB569" s="7">
        <v>560</v>
      </c>
      <c r="AC569" s="109">
        <v>183.68391608952001</v>
      </c>
      <c r="AD569" s="109">
        <v>1936323.8077146141</v>
      </c>
      <c r="AE569" s="125"/>
      <c r="AF569" s="10"/>
      <c r="AI569" s="109"/>
      <c r="AJ569" s="109"/>
      <c r="AL569" s="10"/>
      <c r="AO569" s="109"/>
      <c r="AP569" s="109"/>
      <c r="AR569" s="10"/>
      <c r="AU569" s="109"/>
      <c r="AV569" s="109"/>
      <c r="AX569" s="10"/>
      <c r="BA569" s="109"/>
      <c r="BB569" s="109"/>
      <c r="BD569" s="10"/>
      <c r="BG569" s="109"/>
      <c r="BH569" s="109"/>
      <c r="BJ569" s="10"/>
      <c r="BM569" s="109"/>
      <c r="BN569" s="109"/>
      <c r="BP569" s="10"/>
      <c r="BS569" s="109"/>
      <c r="BT569" s="109"/>
      <c r="BV569" s="10"/>
      <c r="BY569" s="109"/>
      <c r="BZ569" s="109"/>
      <c r="CB569" s="10"/>
      <c r="CE569" s="109"/>
      <c r="CF569" s="109"/>
      <c r="CH569" s="10"/>
      <c r="CK569" s="109"/>
      <c r="CL569" s="109"/>
    </row>
    <row r="570" spans="1:90">
      <c r="A570" s="7" t="str">
        <f t="shared" si="81"/>
        <v>01130113</v>
      </c>
      <c r="B570" s="7" t="s">
        <v>2452</v>
      </c>
      <c r="C570" s="7" t="s">
        <v>2452</v>
      </c>
      <c r="D570" s="7">
        <v>561</v>
      </c>
      <c r="E570" s="7">
        <v>113</v>
      </c>
      <c r="F570" s="7" t="s">
        <v>1818</v>
      </c>
      <c r="G570" s="7">
        <v>113</v>
      </c>
      <c r="H570" s="7" t="s">
        <v>1379</v>
      </c>
      <c r="I570" s="37">
        <v>0</v>
      </c>
      <c r="J570" s="122">
        <v>0</v>
      </c>
      <c r="K570" s="123">
        <f>X570</f>
        <v>0</v>
      </c>
      <c r="L570" s="122">
        <f>IF(K574&gt;0, K570/K574, 0)</f>
        <v>0</v>
      </c>
      <c r="M570" s="71"/>
      <c r="N570" s="10">
        <f>ROUND(M574*L570,0)</f>
        <v>0</v>
      </c>
      <c r="O570" s="70">
        <v>0</v>
      </c>
      <c r="P570" s="10">
        <f>N570-O570</f>
        <v>0</v>
      </c>
      <c r="Q570" s="46">
        <f t="shared" si="89"/>
        <v>0</v>
      </c>
      <c r="R570" s="10">
        <v>0</v>
      </c>
      <c r="S570" s="7">
        <f t="shared" si="82"/>
        <v>0</v>
      </c>
      <c r="T570" s="124">
        <f t="shared" si="83"/>
        <v>113</v>
      </c>
      <c r="U570" s="124">
        <f t="shared" si="84"/>
        <v>113</v>
      </c>
      <c r="V570" s="124">
        <f t="shared" si="85"/>
        <v>561</v>
      </c>
      <c r="W570" s="124">
        <f t="shared" si="86"/>
        <v>0</v>
      </c>
      <c r="X570" s="124">
        <f t="shared" si="87"/>
        <v>0</v>
      </c>
      <c r="Y570" s="264">
        <f t="shared" si="88"/>
        <v>561</v>
      </c>
      <c r="Z570" s="10">
        <v>113</v>
      </c>
      <c r="AA570" s="7">
        <v>113</v>
      </c>
      <c r="AB570" s="7">
        <v>561</v>
      </c>
      <c r="AC570" s="109">
        <v>0</v>
      </c>
      <c r="AD570" s="109">
        <v>0</v>
      </c>
      <c r="AE570" s="125"/>
      <c r="AF570" s="10"/>
      <c r="AI570" s="109"/>
      <c r="AJ570" s="109"/>
      <c r="AL570" s="10"/>
      <c r="AO570" s="109"/>
      <c r="AP570" s="109"/>
      <c r="AR570" s="10"/>
      <c r="AU570" s="109"/>
      <c r="AV570" s="109"/>
      <c r="AX570" s="10"/>
      <c r="BA570" s="109"/>
      <c r="BB570" s="109"/>
      <c r="BD570" s="10"/>
      <c r="BG570" s="109"/>
      <c r="BH570" s="109"/>
      <c r="BJ570" s="10"/>
      <c r="BM570" s="109"/>
      <c r="BN570" s="109"/>
      <c r="BP570" s="10"/>
      <c r="BS570" s="109"/>
      <c r="BT570" s="109"/>
      <c r="BV570" s="10"/>
      <c r="BY570" s="109"/>
      <c r="BZ570" s="109"/>
      <c r="CB570" s="10"/>
      <c r="CE570" s="109"/>
      <c r="CF570" s="109"/>
      <c r="CH570" s="10"/>
      <c r="CK570" s="109"/>
      <c r="CL570" s="109"/>
    </row>
    <row r="571" spans="1:90">
      <c r="A571" s="7" t="str">
        <f t="shared" si="81"/>
        <v>01130618</v>
      </c>
      <c r="B571" s="7" t="s">
        <v>2452</v>
      </c>
      <c r="C571" s="7" t="s">
        <v>2700</v>
      </c>
      <c r="D571" s="7">
        <v>562</v>
      </c>
      <c r="E571" s="7">
        <v>113</v>
      </c>
      <c r="F571" s="7" t="s">
        <v>1818</v>
      </c>
      <c r="G571" s="7">
        <v>618</v>
      </c>
      <c r="H571" s="7" t="s">
        <v>1627</v>
      </c>
      <c r="I571" s="37">
        <v>8147297</v>
      </c>
      <c r="J571" s="122">
        <v>1</v>
      </c>
      <c r="K571" s="123">
        <f t="shared" si="90"/>
        <v>8362503.402399309</v>
      </c>
      <c r="L571" s="122">
        <f>IF(K574&gt;0, K571/K574, 0)</f>
        <v>1</v>
      </c>
      <c r="M571" s="71"/>
      <c r="N571" s="10">
        <f>ROUND(M574*L571,0)</f>
        <v>6915917</v>
      </c>
      <c r="O571" s="70">
        <v>6739149</v>
      </c>
      <c r="P571" s="10">
        <f>N571-O571</f>
        <v>176768</v>
      </c>
      <c r="Q571" s="46">
        <f t="shared" si="89"/>
        <v>2.6230018063111529</v>
      </c>
      <c r="R571" s="10">
        <v>759</v>
      </c>
      <c r="S571" s="7">
        <f t="shared" si="82"/>
        <v>0</v>
      </c>
      <c r="T571" s="124">
        <f t="shared" si="83"/>
        <v>113</v>
      </c>
      <c r="U571" s="124">
        <f t="shared" si="84"/>
        <v>618</v>
      </c>
      <c r="V571" s="124">
        <f t="shared" si="85"/>
        <v>562</v>
      </c>
      <c r="W571" s="124">
        <f t="shared" si="86"/>
        <v>778.39298892758006</v>
      </c>
      <c r="X571" s="124">
        <f t="shared" si="87"/>
        <v>8362503.402399309</v>
      </c>
      <c r="Y571" s="264">
        <f t="shared" si="88"/>
        <v>562</v>
      </c>
      <c r="Z571" s="10">
        <v>113</v>
      </c>
      <c r="AA571" s="7">
        <v>618</v>
      </c>
      <c r="AB571" s="7">
        <v>562</v>
      </c>
      <c r="AC571" s="109">
        <v>778.39298892758006</v>
      </c>
      <c r="AD571" s="109">
        <v>8362503.402399309</v>
      </c>
      <c r="AE571" s="125"/>
      <c r="AF571" s="10"/>
      <c r="AI571" s="109"/>
      <c r="AJ571" s="109"/>
      <c r="AL571" s="10"/>
      <c r="AO571" s="109"/>
      <c r="AP571" s="109"/>
      <c r="AR571" s="10"/>
      <c r="AU571" s="109"/>
      <c r="AV571" s="109"/>
      <c r="AX571" s="10"/>
      <c r="BA571" s="109"/>
      <c r="BB571" s="109"/>
      <c r="BD571" s="10"/>
      <c r="BG571" s="109"/>
      <c r="BH571" s="109"/>
      <c r="BJ571" s="10"/>
      <c r="BM571" s="109"/>
      <c r="BN571" s="109"/>
      <c r="BP571" s="10"/>
      <c r="BS571" s="109"/>
      <c r="BT571" s="109"/>
      <c r="BV571" s="10"/>
      <c r="BY571" s="109"/>
      <c r="BZ571" s="109"/>
      <c r="CB571" s="10"/>
      <c r="CE571" s="109"/>
      <c r="CF571" s="109"/>
      <c r="CH571" s="10"/>
      <c r="CK571" s="109"/>
      <c r="CL571" s="109"/>
    </row>
    <row r="572" spans="1:90">
      <c r="A572" s="7" t="str">
        <f t="shared" si="81"/>
        <v>01130998</v>
      </c>
      <c r="B572" s="7" t="s">
        <v>2452</v>
      </c>
      <c r="C572" s="7" t="s">
        <v>2781</v>
      </c>
      <c r="D572" s="7">
        <v>563</v>
      </c>
      <c r="E572" s="7">
        <v>113</v>
      </c>
      <c r="F572" s="7" t="s">
        <v>2135</v>
      </c>
      <c r="G572" s="7">
        <v>998</v>
      </c>
      <c r="H572" s="7" t="s">
        <v>2135</v>
      </c>
      <c r="I572" s="37">
        <v>0</v>
      </c>
      <c r="J572" s="122">
        <v>0</v>
      </c>
      <c r="K572" s="123">
        <f t="shared" si="90"/>
        <v>0</v>
      </c>
      <c r="L572" s="122">
        <f>IF(K574&gt;0, K572/K574, 0)</f>
        <v>0</v>
      </c>
      <c r="M572" s="71"/>
      <c r="N572" s="10">
        <f>ROUND(M574*L572,0)</f>
        <v>0</v>
      </c>
      <c r="O572" s="70">
        <v>0</v>
      </c>
      <c r="P572" s="10">
        <f>N572-O572</f>
        <v>0</v>
      </c>
      <c r="Q572" s="46">
        <f t="shared" si="89"/>
        <v>0</v>
      </c>
      <c r="R572" s="10">
        <v>0</v>
      </c>
      <c r="S572" s="7">
        <f t="shared" si="82"/>
        <v>0</v>
      </c>
      <c r="T572" s="124">
        <f t="shared" si="83"/>
        <v>113</v>
      </c>
      <c r="U572" s="124">
        <f t="shared" si="84"/>
        <v>998</v>
      </c>
      <c r="V572" s="124">
        <f t="shared" si="85"/>
        <v>563</v>
      </c>
      <c r="W572" s="124">
        <f t="shared" si="86"/>
        <v>0</v>
      </c>
      <c r="X572" s="124">
        <f t="shared" si="87"/>
        <v>0</v>
      </c>
      <c r="Y572" s="264">
        <f t="shared" si="88"/>
        <v>563</v>
      </c>
      <c r="Z572" s="10">
        <v>113</v>
      </c>
      <c r="AA572" s="7">
        <v>998</v>
      </c>
      <c r="AB572" s="7">
        <v>563</v>
      </c>
      <c r="AC572" s="109">
        <v>0</v>
      </c>
      <c r="AD572" s="109">
        <v>0</v>
      </c>
      <c r="AE572" s="125"/>
      <c r="AF572" s="10"/>
      <c r="AI572" s="109"/>
      <c r="AJ572" s="109"/>
      <c r="AL572" s="10"/>
      <c r="AO572" s="109"/>
      <c r="AP572" s="109"/>
      <c r="AR572" s="10"/>
      <c r="AU572" s="109"/>
      <c r="AV572" s="109"/>
      <c r="AX572" s="10"/>
      <c r="BA572" s="109"/>
      <c r="BB572" s="109"/>
      <c r="BD572" s="10"/>
      <c r="BG572" s="109"/>
      <c r="BH572" s="109"/>
      <c r="BJ572" s="10"/>
      <c r="BM572" s="109"/>
      <c r="BN572" s="109"/>
      <c r="BP572" s="10"/>
      <c r="BS572" s="109"/>
      <c r="BT572" s="109"/>
      <c r="BV572" s="10"/>
      <c r="BY572" s="109"/>
      <c r="BZ572" s="109"/>
      <c r="CB572" s="10"/>
      <c r="CE572" s="109"/>
      <c r="CF572" s="109"/>
      <c r="CH572" s="10"/>
      <c r="CK572" s="109"/>
      <c r="CL572" s="109"/>
    </row>
    <row r="573" spans="1:90">
      <c r="A573" s="7" t="str">
        <f t="shared" si="81"/>
        <v>01130998</v>
      </c>
      <c r="B573" s="7" t="s">
        <v>2452</v>
      </c>
      <c r="C573" s="7" t="s">
        <v>2781</v>
      </c>
      <c r="D573" s="7">
        <v>564</v>
      </c>
      <c r="E573" s="7">
        <v>113</v>
      </c>
      <c r="F573" s="7" t="s">
        <v>2135</v>
      </c>
      <c r="G573" s="7">
        <v>998</v>
      </c>
      <c r="H573" s="7" t="s">
        <v>2135</v>
      </c>
      <c r="I573" s="37">
        <v>0</v>
      </c>
      <c r="J573" s="122">
        <v>0</v>
      </c>
      <c r="K573" s="123">
        <f t="shared" si="90"/>
        <v>0</v>
      </c>
      <c r="L573" s="122">
        <f>IF(K574&gt;0, K573/K574, 0)</f>
        <v>0</v>
      </c>
      <c r="M573" s="71"/>
      <c r="N573" s="10">
        <f>ROUND(M574*L573,0)</f>
        <v>0</v>
      </c>
      <c r="O573" s="70">
        <v>0</v>
      </c>
      <c r="P573" s="10">
        <f>N573-O573</f>
        <v>0</v>
      </c>
      <c r="Q573" s="46">
        <f t="shared" si="89"/>
        <v>0</v>
      </c>
      <c r="R573" s="10">
        <v>0</v>
      </c>
      <c r="S573" s="7">
        <f t="shared" si="82"/>
        <v>0</v>
      </c>
      <c r="T573" s="124">
        <f t="shared" si="83"/>
        <v>113</v>
      </c>
      <c r="U573" s="124">
        <f t="shared" si="84"/>
        <v>998</v>
      </c>
      <c r="V573" s="124">
        <f t="shared" si="85"/>
        <v>564</v>
      </c>
      <c r="W573" s="124">
        <f t="shared" si="86"/>
        <v>0</v>
      </c>
      <c r="X573" s="124">
        <f t="shared" si="87"/>
        <v>0</v>
      </c>
      <c r="Y573" s="264">
        <f t="shared" si="88"/>
        <v>564</v>
      </c>
      <c r="Z573" s="10">
        <v>113</v>
      </c>
      <c r="AA573" s="7">
        <v>998</v>
      </c>
      <c r="AB573" s="7">
        <v>564</v>
      </c>
      <c r="AC573" s="109">
        <v>0</v>
      </c>
      <c r="AD573" s="109">
        <v>0</v>
      </c>
      <c r="AE573" s="125"/>
      <c r="AF573" s="10"/>
      <c r="AI573" s="109"/>
      <c r="AJ573" s="109"/>
      <c r="AL573" s="10"/>
      <c r="AO573" s="109"/>
      <c r="AP573" s="109"/>
      <c r="AR573" s="10"/>
      <c r="AU573" s="109"/>
      <c r="AV573" s="109"/>
      <c r="AX573" s="10"/>
      <c r="BA573" s="109"/>
      <c r="BB573" s="109"/>
      <c r="BD573" s="10"/>
      <c r="BG573" s="109"/>
      <c r="BH573" s="109"/>
      <c r="BJ573" s="10"/>
      <c r="BM573" s="109"/>
      <c r="BN573" s="109"/>
      <c r="BP573" s="10"/>
      <c r="BS573" s="109"/>
      <c r="BT573" s="109"/>
      <c r="BV573" s="10"/>
      <c r="BY573" s="109"/>
      <c r="BZ573" s="109"/>
      <c r="CB573" s="10"/>
      <c r="CE573" s="109"/>
      <c r="CF573" s="109"/>
      <c r="CH573" s="10"/>
      <c r="CK573" s="109"/>
      <c r="CL573" s="109"/>
    </row>
    <row r="574" spans="1:90">
      <c r="A574" s="7" t="str">
        <f t="shared" si="81"/>
        <v>01130999</v>
      </c>
      <c r="B574" s="7" t="s">
        <v>2452</v>
      </c>
      <c r="C574" s="7" t="s">
        <v>2782</v>
      </c>
      <c r="D574" s="7">
        <v>565</v>
      </c>
      <c r="E574" s="11">
        <v>113</v>
      </c>
      <c r="F574" s="11" t="s">
        <v>1818</v>
      </c>
      <c r="G574" s="11">
        <v>999</v>
      </c>
      <c r="H574" s="11" t="s">
        <v>1132</v>
      </c>
      <c r="I574" s="105">
        <v>8147297</v>
      </c>
      <c r="J574" s="126">
        <v>1</v>
      </c>
      <c r="K574" s="127">
        <f>SUM(K570:K573)</f>
        <v>8362503.402399309</v>
      </c>
      <c r="L574" s="126">
        <f>SUM(L570:L573)</f>
        <v>1</v>
      </c>
      <c r="M574" s="105">
        <f>VLOOKUP(E574,town351,22)</f>
        <v>6915917</v>
      </c>
      <c r="N574" s="105">
        <f>SUM(N570:N573)</f>
        <v>6915917</v>
      </c>
      <c r="O574" s="128">
        <v>6739149</v>
      </c>
      <c r="P574" s="105">
        <f>SUM(P570:P573)</f>
        <v>176768</v>
      </c>
      <c r="Q574" s="45">
        <f t="shared" si="89"/>
        <v>2.6230018063111529</v>
      </c>
      <c r="R574" s="105">
        <v>759</v>
      </c>
      <c r="S574" s="7">
        <f t="shared" si="82"/>
        <v>0</v>
      </c>
      <c r="T574" s="124">
        <f t="shared" si="83"/>
        <v>113</v>
      </c>
      <c r="U574" s="124">
        <f t="shared" si="84"/>
        <v>999</v>
      </c>
      <c r="V574" s="124">
        <f t="shared" si="85"/>
        <v>565</v>
      </c>
      <c r="W574" s="124">
        <f t="shared" si="86"/>
        <v>778.39298892758006</v>
      </c>
      <c r="X574" s="124">
        <f t="shared" si="87"/>
        <v>8362503.402399309</v>
      </c>
      <c r="Y574" s="264">
        <f t="shared" si="88"/>
        <v>565</v>
      </c>
      <c r="Z574" s="10">
        <v>113</v>
      </c>
      <c r="AA574" s="7">
        <v>999</v>
      </c>
      <c r="AB574" s="7">
        <v>565</v>
      </c>
      <c r="AC574" s="109">
        <v>778.39298892758006</v>
      </c>
      <c r="AD574" s="109">
        <v>8362503.402399309</v>
      </c>
      <c r="AE574" s="125"/>
      <c r="AF574" s="10"/>
      <c r="AI574" s="109"/>
      <c r="AJ574" s="109"/>
      <c r="AL574" s="10"/>
      <c r="AO574" s="109"/>
      <c r="AP574" s="109"/>
      <c r="AR574" s="10"/>
      <c r="AU574" s="109"/>
      <c r="AV574" s="109"/>
      <c r="AX574" s="10"/>
      <c r="BA574" s="109"/>
      <c r="BB574" s="109"/>
      <c r="BD574" s="10"/>
      <c r="BG574" s="109"/>
      <c r="BH574" s="109"/>
      <c r="BJ574" s="10"/>
      <c r="BM574" s="109"/>
      <c r="BN574" s="109"/>
      <c r="BP574" s="10"/>
      <c r="BS574" s="109"/>
      <c r="BT574" s="109"/>
      <c r="BV574" s="10"/>
      <c r="BY574" s="109"/>
      <c r="BZ574" s="109"/>
      <c r="CB574" s="10"/>
      <c r="CE574" s="109"/>
      <c r="CF574" s="109"/>
      <c r="CH574" s="10"/>
      <c r="CK574" s="109"/>
      <c r="CL574" s="109"/>
    </row>
    <row r="575" spans="1:90">
      <c r="A575" s="7" t="str">
        <f t="shared" si="81"/>
        <v>01140114</v>
      </c>
      <c r="B575" s="7" t="s">
        <v>2453</v>
      </c>
      <c r="C575" s="7" t="s">
        <v>2453</v>
      </c>
      <c r="D575" s="7">
        <v>566</v>
      </c>
      <c r="E575" s="7">
        <v>114</v>
      </c>
      <c r="F575" s="7" t="s">
        <v>1819</v>
      </c>
      <c r="G575" s="7">
        <v>114</v>
      </c>
      <c r="H575" s="7" t="s">
        <v>1380</v>
      </c>
      <c r="I575" s="37">
        <v>20360058.930000003</v>
      </c>
      <c r="J575" s="122">
        <v>0.91607112066376351</v>
      </c>
      <c r="K575" s="123">
        <f>X575</f>
        <v>20807903.147397026</v>
      </c>
      <c r="L575" s="122">
        <f>IF(K579&gt;0, K575/K579, 0)</f>
        <v>0.92012378211376877</v>
      </c>
      <c r="M575" s="71"/>
      <c r="N575" s="10">
        <f>ROUND(M579*L575,0)</f>
        <v>9604767</v>
      </c>
      <c r="O575" s="70">
        <v>9575385</v>
      </c>
      <c r="P575" s="10">
        <f>N575-O575</f>
        <v>29382</v>
      </c>
      <c r="Q575" s="46">
        <f t="shared" si="89"/>
        <v>0.30684928073388174</v>
      </c>
      <c r="R575" s="10">
        <v>1909</v>
      </c>
      <c r="S575" s="7">
        <f t="shared" si="82"/>
        <v>0</v>
      </c>
      <c r="T575" s="124">
        <f t="shared" si="83"/>
        <v>114</v>
      </c>
      <c r="U575" s="124">
        <f t="shared" si="84"/>
        <v>114</v>
      </c>
      <c r="V575" s="124">
        <f t="shared" si="85"/>
        <v>566</v>
      </c>
      <c r="W575" s="124">
        <f t="shared" si="86"/>
        <v>1913</v>
      </c>
      <c r="X575" s="124">
        <f t="shared" si="87"/>
        <v>20807903.147397026</v>
      </c>
      <c r="Y575" s="264">
        <f t="shared" si="88"/>
        <v>566</v>
      </c>
      <c r="Z575" s="10">
        <v>114</v>
      </c>
      <c r="AA575" s="7">
        <v>114</v>
      </c>
      <c r="AB575" s="7">
        <v>566</v>
      </c>
      <c r="AC575" s="109">
        <v>1913</v>
      </c>
      <c r="AD575" s="109">
        <v>20807903.147397026</v>
      </c>
      <c r="AE575" s="125"/>
      <c r="AF575" s="10"/>
      <c r="AI575" s="109"/>
      <c r="AJ575" s="109"/>
      <c r="AL575" s="10"/>
      <c r="AO575" s="109"/>
      <c r="AP575" s="109"/>
      <c r="AR575" s="10"/>
      <c r="AU575" s="109"/>
      <c r="AV575" s="109"/>
      <c r="AX575" s="10"/>
      <c r="BA575" s="109"/>
      <c r="BB575" s="109"/>
      <c r="BD575" s="10"/>
      <c r="BG575" s="109"/>
      <c r="BH575" s="109"/>
      <c r="BJ575" s="10"/>
      <c r="BM575" s="109"/>
      <c r="BN575" s="109"/>
      <c r="BP575" s="10"/>
      <c r="BS575" s="109"/>
      <c r="BT575" s="109"/>
      <c r="BV575" s="10"/>
      <c r="BY575" s="109"/>
      <c r="BZ575" s="109"/>
      <c r="CB575" s="10"/>
      <c r="CE575" s="109"/>
      <c r="CF575" s="109"/>
      <c r="CH575" s="10"/>
      <c r="CK575" s="109"/>
      <c r="CL575" s="109"/>
    </row>
    <row r="576" spans="1:90">
      <c r="A576" s="7" t="str">
        <f t="shared" si="81"/>
        <v>01140818</v>
      </c>
      <c r="B576" s="7" t="s">
        <v>2453</v>
      </c>
      <c r="C576" s="7" t="s">
        <v>2758</v>
      </c>
      <c r="D576" s="7">
        <v>567</v>
      </c>
      <c r="E576" s="7">
        <v>114</v>
      </c>
      <c r="F576" s="7" t="s">
        <v>1819</v>
      </c>
      <c r="G576" s="7">
        <v>818</v>
      </c>
      <c r="H576" s="7" t="s">
        <v>1685</v>
      </c>
      <c r="I576" s="37">
        <v>1865354</v>
      </c>
      <c r="J576" s="122">
        <v>8.3928879336236467E-2</v>
      </c>
      <c r="K576" s="123">
        <f t="shared" si="90"/>
        <v>1806340.2314620053</v>
      </c>
      <c r="L576" s="122">
        <f>IF(K579&gt;0, K576/K579, 0)</f>
        <v>7.9876217886231199E-2</v>
      </c>
      <c r="M576" s="71"/>
      <c r="N576" s="10">
        <f>ROUND(M579*L576,0)</f>
        <v>833793</v>
      </c>
      <c r="O576" s="70">
        <v>877280</v>
      </c>
      <c r="P576" s="10">
        <f>N576-O576</f>
        <v>-43487</v>
      </c>
      <c r="Q576" s="46">
        <f t="shared" si="89"/>
        <v>-4.9570262629947113</v>
      </c>
      <c r="R576" s="10">
        <v>115</v>
      </c>
      <c r="S576" s="7">
        <f t="shared" si="82"/>
        <v>0</v>
      </c>
      <c r="T576" s="124">
        <f t="shared" si="83"/>
        <v>114</v>
      </c>
      <c r="U576" s="124">
        <f t="shared" si="84"/>
        <v>818</v>
      </c>
      <c r="V576" s="124">
        <f t="shared" si="85"/>
        <v>567</v>
      </c>
      <c r="W576" s="124">
        <f t="shared" si="86"/>
        <v>108.99999999994</v>
      </c>
      <c r="X576" s="124">
        <f t="shared" si="87"/>
        <v>1806340.2314620053</v>
      </c>
      <c r="Y576" s="264">
        <f t="shared" si="88"/>
        <v>567</v>
      </c>
      <c r="Z576" s="10">
        <v>114</v>
      </c>
      <c r="AA576" s="7">
        <v>818</v>
      </c>
      <c r="AB576" s="7">
        <v>567</v>
      </c>
      <c r="AC576" s="109">
        <v>108.99999999994</v>
      </c>
      <c r="AD576" s="109">
        <v>1806340.2314620053</v>
      </c>
      <c r="AE576" s="125"/>
      <c r="AF576" s="10"/>
      <c r="AI576" s="109"/>
      <c r="AJ576" s="109"/>
      <c r="AL576" s="10"/>
      <c r="AO576" s="109"/>
      <c r="AP576" s="109"/>
      <c r="AR576" s="10"/>
      <c r="AU576" s="109"/>
      <c r="AV576" s="109"/>
      <c r="AX576" s="10"/>
      <c r="BA576" s="109"/>
      <c r="BB576" s="109"/>
      <c r="BD576" s="10"/>
      <c r="BG576" s="109"/>
      <c r="BH576" s="109"/>
      <c r="BJ576" s="10"/>
      <c r="BM576" s="109"/>
      <c r="BN576" s="109"/>
      <c r="BP576" s="10"/>
      <c r="BS576" s="109"/>
      <c r="BT576" s="109"/>
      <c r="BV576" s="10"/>
      <c r="BY576" s="109"/>
      <c r="BZ576" s="109"/>
      <c r="CB576" s="10"/>
      <c r="CE576" s="109"/>
      <c r="CF576" s="109"/>
      <c r="CH576" s="10"/>
      <c r="CK576" s="109"/>
      <c r="CL576" s="109"/>
    </row>
    <row r="577" spans="1:90">
      <c r="A577" s="7" t="str">
        <f t="shared" si="81"/>
        <v>01140998</v>
      </c>
      <c r="B577" s="7" t="s">
        <v>2453</v>
      </c>
      <c r="C577" s="7" t="s">
        <v>2781</v>
      </c>
      <c r="D577" s="7">
        <v>568</v>
      </c>
      <c r="E577" s="7">
        <v>114</v>
      </c>
      <c r="F577" s="7" t="s">
        <v>2135</v>
      </c>
      <c r="G577" s="7">
        <v>998</v>
      </c>
      <c r="H577" s="7" t="s">
        <v>2135</v>
      </c>
      <c r="I577" s="37">
        <v>0</v>
      </c>
      <c r="J577" s="122">
        <v>0</v>
      </c>
      <c r="K577" s="123">
        <f t="shared" si="90"/>
        <v>0</v>
      </c>
      <c r="L577" s="122">
        <f>IF(K579&gt;0, K577/K579, 0)</f>
        <v>0</v>
      </c>
      <c r="M577" s="71"/>
      <c r="N577" s="10">
        <f>ROUND(M579*L577,0)</f>
        <v>0</v>
      </c>
      <c r="O577" s="70">
        <v>0</v>
      </c>
      <c r="P577" s="10">
        <f>N577-O577</f>
        <v>0</v>
      </c>
      <c r="Q577" s="46">
        <f t="shared" si="89"/>
        <v>0</v>
      </c>
      <c r="R577" s="10">
        <v>0</v>
      </c>
      <c r="S577" s="7">
        <f t="shared" si="82"/>
        <v>0</v>
      </c>
      <c r="T577" s="124">
        <f t="shared" si="83"/>
        <v>114</v>
      </c>
      <c r="U577" s="124">
        <f t="shared" si="84"/>
        <v>998</v>
      </c>
      <c r="V577" s="124">
        <f t="shared" si="85"/>
        <v>568</v>
      </c>
      <c r="W577" s="124">
        <f t="shared" si="86"/>
        <v>0</v>
      </c>
      <c r="X577" s="124">
        <f t="shared" si="87"/>
        <v>0</v>
      </c>
      <c r="Y577" s="264">
        <f t="shared" si="88"/>
        <v>568</v>
      </c>
      <c r="Z577" s="10">
        <v>114</v>
      </c>
      <c r="AA577" s="7">
        <v>998</v>
      </c>
      <c r="AB577" s="7">
        <v>568</v>
      </c>
      <c r="AC577" s="109">
        <v>0</v>
      </c>
      <c r="AD577" s="109">
        <v>0</v>
      </c>
      <c r="AE577" s="125"/>
      <c r="AF577" s="10"/>
      <c r="AI577" s="109"/>
      <c r="AJ577" s="109"/>
      <c r="AL577" s="10"/>
      <c r="AO577" s="109"/>
      <c r="AP577" s="109"/>
      <c r="AR577" s="10"/>
      <c r="AU577" s="109"/>
      <c r="AV577" s="109"/>
      <c r="AX577" s="10"/>
      <c r="BA577" s="109"/>
      <c r="BB577" s="109"/>
      <c r="BD577" s="10"/>
      <c r="BG577" s="109"/>
      <c r="BH577" s="109"/>
      <c r="BJ577" s="10"/>
      <c r="BM577" s="109"/>
      <c r="BN577" s="109"/>
      <c r="BP577" s="10"/>
      <c r="BS577" s="109"/>
      <c r="BT577" s="109"/>
      <c r="BV577" s="10"/>
      <c r="BY577" s="109"/>
      <c r="BZ577" s="109"/>
      <c r="CB577" s="10"/>
      <c r="CE577" s="109"/>
      <c r="CF577" s="109"/>
      <c r="CH577" s="10"/>
      <c r="CK577" s="109"/>
      <c r="CL577" s="109"/>
    </row>
    <row r="578" spans="1:90">
      <c r="A578" s="7" t="str">
        <f t="shared" si="81"/>
        <v>01140998</v>
      </c>
      <c r="B578" s="7" t="s">
        <v>2453</v>
      </c>
      <c r="C578" s="7" t="s">
        <v>2781</v>
      </c>
      <c r="D578" s="7">
        <v>569</v>
      </c>
      <c r="E578" s="7">
        <v>114</v>
      </c>
      <c r="F578" s="7" t="s">
        <v>2135</v>
      </c>
      <c r="G578" s="7">
        <v>998</v>
      </c>
      <c r="H578" s="7" t="s">
        <v>2135</v>
      </c>
      <c r="I578" s="37">
        <v>0</v>
      </c>
      <c r="J578" s="122">
        <v>0</v>
      </c>
      <c r="K578" s="123">
        <f t="shared" si="90"/>
        <v>0</v>
      </c>
      <c r="L578" s="122">
        <f>IF(K579&gt;0, K578/K579, 0)</f>
        <v>0</v>
      </c>
      <c r="M578" s="71"/>
      <c r="N578" s="10">
        <f>ROUND(M579*L578,0)</f>
        <v>0</v>
      </c>
      <c r="O578" s="70">
        <v>0</v>
      </c>
      <c r="P578" s="10">
        <f>N578-O578</f>
        <v>0</v>
      </c>
      <c r="Q578" s="46">
        <f t="shared" si="89"/>
        <v>0</v>
      </c>
      <c r="R578" s="10">
        <v>0</v>
      </c>
      <c r="S578" s="7">
        <f t="shared" si="82"/>
        <v>0</v>
      </c>
      <c r="T578" s="124">
        <f t="shared" si="83"/>
        <v>114</v>
      </c>
      <c r="U578" s="124">
        <f t="shared" si="84"/>
        <v>998</v>
      </c>
      <c r="V578" s="124">
        <f t="shared" si="85"/>
        <v>569</v>
      </c>
      <c r="W578" s="124">
        <f t="shared" si="86"/>
        <v>0</v>
      </c>
      <c r="X578" s="124">
        <f t="shared" si="87"/>
        <v>0</v>
      </c>
      <c r="Y578" s="264">
        <f t="shared" si="88"/>
        <v>569</v>
      </c>
      <c r="Z578" s="10">
        <v>114</v>
      </c>
      <c r="AA578" s="7">
        <v>998</v>
      </c>
      <c r="AB578" s="7">
        <v>569</v>
      </c>
      <c r="AC578" s="109">
        <v>0</v>
      </c>
      <c r="AD578" s="109">
        <v>0</v>
      </c>
      <c r="AE578" s="125"/>
      <c r="AF578" s="10"/>
      <c r="AI578" s="109"/>
      <c r="AJ578" s="109"/>
      <c r="AL578" s="10"/>
      <c r="AO578" s="109"/>
      <c r="AP578" s="109"/>
      <c r="AR578" s="10"/>
      <c r="AU578" s="109"/>
      <c r="AV578" s="109"/>
      <c r="AX578" s="10"/>
      <c r="BA578" s="109"/>
      <c r="BB578" s="109"/>
      <c r="BD578" s="10"/>
      <c r="BG578" s="109"/>
      <c r="BH578" s="109"/>
      <c r="BJ578" s="10"/>
      <c r="BM578" s="109"/>
      <c r="BN578" s="109"/>
      <c r="BP578" s="10"/>
      <c r="BS578" s="109"/>
      <c r="BT578" s="109"/>
      <c r="BV578" s="10"/>
      <c r="BY578" s="109"/>
      <c r="BZ578" s="109"/>
      <c r="CB578" s="10"/>
      <c r="CE578" s="109"/>
      <c r="CF578" s="109"/>
      <c r="CH578" s="10"/>
      <c r="CK578" s="109"/>
      <c r="CL578" s="109"/>
    </row>
    <row r="579" spans="1:90">
      <c r="A579" s="7" t="str">
        <f t="shared" si="81"/>
        <v>01140999</v>
      </c>
      <c r="B579" s="7" t="s">
        <v>2453</v>
      </c>
      <c r="C579" s="7" t="s">
        <v>2782</v>
      </c>
      <c r="D579" s="7">
        <v>570</v>
      </c>
      <c r="E579" s="11">
        <v>114</v>
      </c>
      <c r="F579" s="11" t="s">
        <v>1819</v>
      </c>
      <c r="G579" s="11">
        <v>999</v>
      </c>
      <c r="H579" s="11" t="s">
        <v>1132</v>
      </c>
      <c r="I579" s="105">
        <v>22225412.930000003</v>
      </c>
      <c r="J579" s="126">
        <v>1</v>
      </c>
      <c r="K579" s="127">
        <f>SUM(K575:K578)</f>
        <v>22614243.378859032</v>
      </c>
      <c r="L579" s="126">
        <f>SUM(L575:L578)</f>
        <v>1</v>
      </c>
      <c r="M579" s="105">
        <f>VLOOKUP(E579,town351,22)</f>
        <v>10438560</v>
      </c>
      <c r="N579" s="105">
        <f>SUM(N575:N578)</f>
        <v>10438560</v>
      </c>
      <c r="O579" s="128">
        <v>10452665</v>
      </c>
      <c r="P579" s="105">
        <f>SUM(P575:P578)</f>
        <v>-14105</v>
      </c>
      <c r="Q579" s="45">
        <f t="shared" si="89"/>
        <v>-0.13494166320263778</v>
      </c>
      <c r="R579" s="105">
        <v>2024</v>
      </c>
      <c r="S579" s="7">
        <f t="shared" si="82"/>
        <v>0</v>
      </c>
      <c r="T579" s="124">
        <f t="shared" si="83"/>
        <v>114</v>
      </c>
      <c r="U579" s="124">
        <f t="shared" si="84"/>
        <v>999</v>
      </c>
      <c r="V579" s="124">
        <f t="shared" si="85"/>
        <v>570</v>
      </c>
      <c r="W579" s="124">
        <f t="shared" si="86"/>
        <v>2021.99999999994</v>
      </c>
      <c r="X579" s="124">
        <f t="shared" si="87"/>
        <v>22614243.378859032</v>
      </c>
      <c r="Y579" s="264">
        <f t="shared" si="88"/>
        <v>570</v>
      </c>
      <c r="Z579" s="10">
        <v>114</v>
      </c>
      <c r="AA579" s="7">
        <v>999</v>
      </c>
      <c r="AB579" s="7">
        <v>570</v>
      </c>
      <c r="AC579" s="109">
        <v>2021.99999999994</v>
      </c>
      <c r="AD579" s="109">
        <v>22614243.378859032</v>
      </c>
      <c r="AE579" s="125"/>
      <c r="AF579" s="10"/>
      <c r="AI579" s="109"/>
      <c r="AJ579" s="109"/>
      <c r="AL579" s="10"/>
      <c r="AO579" s="109"/>
      <c r="AP579" s="109"/>
      <c r="AR579" s="10"/>
      <c r="AU579" s="109"/>
      <c r="AV579" s="109"/>
      <c r="AX579" s="10"/>
      <c r="BA579" s="109"/>
      <c r="BB579" s="109"/>
      <c r="BD579" s="10"/>
      <c r="BG579" s="109"/>
      <c r="BH579" s="109"/>
      <c r="BJ579" s="10"/>
      <c r="BM579" s="109"/>
      <c r="BN579" s="109"/>
      <c r="BP579" s="10"/>
      <c r="BS579" s="109"/>
      <c r="BT579" s="109"/>
      <c r="BV579" s="10"/>
      <c r="BY579" s="109"/>
      <c r="BZ579" s="109"/>
      <c r="CB579" s="10"/>
      <c r="CE579" s="109"/>
      <c r="CF579" s="109"/>
      <c r="CH579" s="10"/>
      <c r="CK579" s="109"/>
      <c r="CL579" s="109"/>
    </row>
    <row r="580" spans="1:90">
      <c r="A580" s="7" t="str">
        <f t="shared" si="81"/>
        <v>01150115</v>
      </c>
      <c r="B580" s="7" t="s">
        <v>2454</v>
      </c>
      <c r="C580" s="7" t="s">
        <v>2454</v>
      </c>
      <c r="D580" s="7">
        <v>571</v>
      </c>
      <c r="E580" s="7">
        <v>115</v>
      </c>
      <c r="F580" s="7" t="s">
        <v>1820</v>
      </c>
      <c r="G580" s="7">
        <v>115</v>
      </c>
      <c r="H580" s="7" t="s">
        <v>1381</v>
      </c>
      <c r="I580" s="37">
        <v>0</v>
      </c>
      <c r="J580" s="122">
        <v>0</v>
      </c>
      <c r="K580" s="123">
        <f>X580</f>
        <v>0</v>
      </c>
      <c r="L580" s="122">
        <f>IF(K584&gt;0, K580/K584, 0)</f>
        <v>0</v>
      </c>
      <c r="M580" s="71"/>
      <c r="N580" s="10">
        <f>ROUND(M584*L580,0)</f>
        <v>0</v>
      </c>
      <c r="O580" s="70">
        <v>0</v>
      </c>
      <c r="P580" s="10">
        <f>N580-O580</f>
        <v>0</v>
      </c>
      <c r="Q580" s="46">
        <f t="shared" si="89"/>
        <v>0</v>
      </c>
      <c r="R580" s="10">
        <v>0</v>
      </c>
      <c r="S580" s="7">
        <f t="shared" si="82"/>
        <v>0</v>
      </c>
      <c r="T580" s="124">
        <f t="shared" si="83"/>
        <v>115</v>
      </c>
      <c r="U580" s="124">
        <f t="shared" si="84"/>
        <v>115</v>
      </c>
      <c r="V580" s="124">
        <f t="shared" si="85"/>
        <v>571</v>
      </c>
      <c r="W580" s="124">
        <f t="shared" si="86"/>
        <v>0</v>
      </c>
      <c r="X580" s="124">
        <f t="shared" si="87"/>
        <v>0</v>
      </c>
      <c r="Y580" s="264">
        <f t="shared" si="88"/>
        <v>571</v>
      </c>
      <c r="Z580" s="10">
        <v>115</v>
      </c>
      <c r="AA580" s="7">
        <v>115</v>
      </c>
      <c r="AB580" s="7">
        <v>571</v>
      </c>
      <c r="AC580" s="109">
        <v>0</v>
      </c>
      <c r="AD580" s="109">
        <v>0</v>
      </c>
      <c r="AE580" s="125"/>
      <c r="AF580" s="10"/>
      <c r="AI580" s="109"/>
      <c r="AJ580" s="109"/>
      <c r="AL580" s="10"/>
      <c r="AO580" s="109"/>
      <c r="AP580" s="109"/>
      <c r="AR580" s="10"/>
      <c r="AU580" s="109"/>
      <c r="AV580" s="109"/>
      <c r="AX580" s="10"/>
      <c r="BA580" s="109"/>
      <c r="BB580" s="109"/>
      <c r="BD580" s="10"/>
      <c r="BG580" s="109"/>
      <c r="BH580" s="109"/>
      <c r="BJ580" s="10"/>
      <c r="BM580" s="109"/>
      <c r="BN580" s="109"/>
      <c r="BP580" s="10"/>
      <c r="BS580" s="109"/>
      <c r="BT580" s="109"/>
      <c r="BV580" s="10"/>
      <c r="BY580" s="109"/>
      <c r="BZ580" s="109"/>
      <c r="CB580" s="10"/>
      <c r="CE580" s="109"/>
      <c r="CF580" s="109"/>
      <c r="CH580" s="10"/>
      <c r="CK580" s="109"/>
      <c r="CL580" s="109"/>
    </row>
    <row r="581" spans="1:90">
      <c r="A581" s="7" t="str">
        <f t="shared" si="81"/>
        <v>01150673</v>
      </c>
      <c r="B581" s="7" t="s">
        <v>2454</v>
      </c>
      <c r="C581" s="7" t="s">
        <v>2716</v>
      </c>
      <c r="D581" s="7">
        <v>572</v>
      </c>
      <c r="E581" s="7">
        <v>115</v>
      </c>
      <c r="F581" s="7" t="s">
        <v>1820</v>
      </c>
      <c r="G581" s="7">
        <v>673</v>
      </c>
      <c r="H581" s="7" t="s">
        <v>1643</v>
      </c>
      <c r="I581" s="37">
        <v>16999249</v>
      </c>
      <c r="J581" s="122">
        <v>0.96797534173174449</v>
      </c>
      <c r="K581" s="123">
        <f t="shared" si="90"/>
        <v>17247973.499029644</v>
      </c>
      <c r="L581" s="122">
        <f>IF(K584&gt;0, K581/K584, 0)</f>
        <v>0.96519333633760529</v>
      </c>
      <c r="M581" s="71"/>
      <c r="N581" s="10">
        <f>ROUND(M584*L581,0)</f>
        <v>14319379</v>
      </c>
      <c r="O581" s="70">
        <v>14293528</v>
      </c>
      <c r="P581" s="10">
        <f>N581-O581</f>
        <v>25851</v>
      </c>
      <c r="Q581" s="46">
        <f t="shared" si="89"/>
        <v>0.18085807786573055</v>
      </c>
      <c r="R581" s="10">
        <v>1847</v>
      </c>
      <c r="S581" s="7">
        <f t="shared" si="82"/>
        <v>0</v>
      </c>
      <c r="T581" s="124">
        <f t="shared" si="83"/>
        <v>115</v>
      </c>
      <c r="U581" s="124">
        <f t="shared" si="84"/>
        <v>673</v>
      </c>
      <c r="V581" s="124">
        <f t="shared" si="85"/>
        <v>572</v>
      </c>
      <c r="W581" s="124">
        <f t="shared" si="86"/>
        <v>1838.5377168095999</v>
      </c>
      <c r="X581" s="124">
        <f t="shared" si="87"/>
        <v>17247973.499029644</v>
      </c>
      <c r="Y581" s="264">
        <f t="shared" si="88"/>
        <v>572</v>
      </c>
      <c r="Z581" s="10">
        <v>115</v>
      </c>
      <c r="AA581" s="7">
        <v>673</v>
      </c>
      <c r="AB581" s="7">
        <v>572</v>
      </c>
      <c r="AC581" s="109">
        <v>1838.5377168095999</v>
      </c>
      <c r="AD581" s="109">
        <v>17247973.499029644</v>
      </c>
      <c r="AE581" s="125"/>
      <c r="AF581" s="10"/>
      <c r="AI581" s="109"/>
      <c r="AJ581" s="109"/>
      <c r="AL581" s="10"/>
      <c r="AO581" s="109"/>
      <c r="AP581" s="109"/>
      <c r="AR581" s="10"/>
      <c r="AU581" s="109"/>
      <c r="AV581" s="109"/>
      <c r="AX581" s="10"/>
      <c r="BA581" s="109"/>
      <c r="BB581" s="109"/>
      <c r="BD581" s="10"/>
      <c r="BG581" s="109"/>
      <c r="BH581" s="109"/>
      <c r="BJ581" s="10"/>
      <c r="BM581" s="109"/>
      <c r="BN581" s="109"/>
      <c r="BP581" s="10"/>
      <c r="BS581" s="109"/>
      <c r="BT581" s="109"/>
      <c r="BV581" s="10"/>
      <c r="BY581" s="109"/>
      <c r="BZ581" s="109"/>
      <c r="CB581" s="10"/>
      <c r="CE581" s="109"/>
      <c r="CF581" s="109"/>
      <c r="CH581" s="10"/>
      <c r="CK581" s="109"/>
      <c r="CL581" s="109"/>
    </row>
    <row r="582" spans="1:90">
      <c r="A582" s="7" t="str">
        <f t="shared" si="81"/>
        <v>01150852</v>
      </c>
      <c r="B582" s="7" t="s">
        <v>2454</v>
      </c>
      <c r="C582" s="7" t="s">
        <v>2767</v>
      </c>
      <c r="D582" s="7">
        <v>573</v>
      </c>
      <c r="E582" s="7">
        <v>115</v>
      </c>
      <c r="F582" s="7" t="s">
        <v>1820</v>
      </c>
      <c r="G582" s="7">
        <v>852</v>
      </c>
      <c r="H582" s="7" t="s">
        <v>1694</v>
      </c>
      <c r="I582" s="37">
        <v>562406</v>
      </c>
      <c r="J582" s="122">
        <v>3.2024658268255471E-2</v>
      </c>
      <c r="K582" s="123">
        <f t="shared" si="90"/>
        <v>621993.94653573784</v>
      </c>
      <c r="L582" s="122">
        <f>IF(K584&gt;0, K582/K584, 0)</f>
        <v>3.4806663662394759E-2</v>
      </c>
      <c r="M582" s="71"/>
      <c r="N582" s="10">
        <f>ROUND(M584*L582,0)</f>
        <v>516383</v>
      </c>
      <c r="O582" s="70">
        <v>472889</v>
      </c>
      <c r="P582" s="10">
        <f>N582-O582</f>
        <v>43494</v>
      </c>
      <c r="Q582" s="46">
        <f t="shared" si="89"/>
        <v>9.1975072374278106</v>
      </c>
      <c r="R582" s="10">
        <v>36</v>
      </c>
      <c r="S582" s="7">
        <f t="shared" si="82"/>
        <v>0</v>
      </c>
      <c r="T582" s="124">
        <f t="shared" si="83"/>
        <v>115</v>
      </c>
      <c r="U582" s="124">
        <f t="shared" si="84"/>
        <v>852</v>
      </c>
      <c r="V582" s="124">
        <f t="shared" si="85"/>
        <v>573</v>
      </c>
      <c r="W582" s="124">
        <f t="shared" si="86"/>
        <v>39.000000001499998</v>
      </c>
      <c r="X582" s="124">
        <f t="shared" si="87"/>
        <v>621993.94653573784</v>
      </c>
      <c r="Y582" s="264">
        <f t="shared" si="88"/>
        <v>573</v>
      </c>
      <c r="Z582" s="10">
        <v>115</v>
      </c>
      <c r="AA582" s="7">
        <v>852</v>
      </c>
      <c r="AB582" s="7">
        <v>573</v>
      </c>
      <c r="AC582" s="109">
        <v>39.000000001499998</v>
      </c>
      <c r="AD582" s="109">
        <v>621993.94653573784</v>
      </c>
      <c r="AE582" s="125"/>
      <c r="AF582" s="10"/>
      <c r="AI582" s="109"/>
      <c r="AJ582" s="109"/>
      <c r="AL582" s="10"/>
      <c r="AO582" s="109"/>
      <c r="AP582" s="109"/>
      <c r="AR582" s="10"/>
      <c r="AU582" s="109"/>
      <c r="AV582" s="109"/>
      <c r="AX582" s="10"/>
      <c r="BA582" s="109"/>
      <c r="BB582" s="109"/>
      <c r="BD582" s="10"/>
      <c r="BG582" s="109"/>
      <c r="BH582" s="109"/>
      <c r="BJ582" s="10"/>
      <c r="BM582" s="109"/>
      <c r="BN582" s="109"/>
      <c r="BP582" s="10"/>
      <c r="BS582" s="109"/>
      <c r="BT582" s="109"/>
      <c r="BV582" s="10"/>
      <c r="BY582" s="109"/>
      <c r="BZ582" s="109"/>
      <c r="CB582" s="10"/>
      <c r="CE582" s="109"/>
      <c r="CF582" s="109"/>
      <c r="CH582" s="10"/>
      <c r="CK582" s="109"/>
      <c r="CL582" s="109"/>
    </row>
    <row r="583" spans="1:90">
      <c r="A583" s="7" t="str">
        <f t="shared" si="81"/>
        <v>01150998</v>
      </c>
      <c r="B583" s="7" t="s">
        <v>2454</v>
      </c>
      <c r="C583" s="7" t="s">
        <v>2781</v>
      </c>
      <c r="D583" s="7">
        <v>574</v>
      </c>
      <c r="E583" s="7">
        <v>115</v>
      </c>
      <c r="F583" s="7" t="s">
        <v>2135</v>
      </c>
      <c r="G583" s="7">
        <v>998</v>
      </c>
      <c r="H583" s="7" t="s">
        <v>2135</v>
      </c>
      <c r="I583" s="37">
        <v>0</v>
      </c>
      <c r="J583" s="122">
        <v>0</v>
      </c>
      <c r="K583" s="123">
        <f t="shared" si="90"/>
        <v>0</v>
      </c>
      <c r="L583" s="122">
        <f>IF(K584&gt;0, K583/K584, 0)</f>
        <v>0</v>
      </c>
      <c r="M583" s="71"/>
      <c r="N583" s="10">
        <f>ROUND(M584*L583,0)</f>
        <v>0</v>
      </c>
      <c r="O583" s="70">
        <v>0</v>
      </c>
      <c r="P583" s="10">
        <f>N583-O583</f>
        <v>0</v>
      </c>
      <c r="Q583" s="46">
        <f t="shared" si="89"/>
        <v>0</v>
      </c>
      <c r="R583" s="10">
        <v>0</v>
      </c>
      <c r="S583" s="7">
        <f t="shared" si="82"/>
        <v>0</v>
      </c>
      <c r="T583" s="124">
        <f t="shared" si="83"/>
        <v>115</v>
      </c>
      <c r="U583" s="124">
        <f t="shared" si="84"/>
        <v>998</v>
      </c>
      <c r="V583" s="124">
        <f t="shared" si="85"/>
        <v>574</v>
      </c>
      <c r="W583" s="124">
        <f t="shared" si="86"/>
        <v>0</v>
      </c>
      <c r="X583" s="124">
        <f t="shared" si="87"/>
        <v>0</v>
      </c>
      <c r="Y583" s="264">
        <f t="shared" si="88"/>
        <v>574</v>
      </c>
      <c r="Z583" s="10">
        <v>115</v>
      </c>
      <c r="AA583" s="7">
        <v>998</v>
      </c>
      <c r="AB583" s="7">
        <v>574</v>
      </c>
      <c r="AC583" s="109">
        <v>0</v>
      </c>
      <c r="AD583" s="109">
        <v>0</v>
      </c>
      <c r="AE583" s="125"/>
      <c r="AF583" s="10"/>
      <c r="AI583" s="109"/>
      <c r="AJ583" s="109"/>
      <c r="AL583" s="10"/>
      <c r="AO583" s="109"/>
      <c r="AP583" s="109"/>
      <c r="AR583" s="10"/>
      <c r="AU583" s="109"/>
      <c r="AV583" s="109"/>
      <c r="AX583" s="10"/>
      <c r="BA583" s="109"/>
      <c r="BB583" s="109"/>
      <c r="BD583" s="10"/>
      <c r="BG583" s="109"/>
      <c r="BH583" s="109"/>
      <c r="BJ583" s="10"/>
      <c r="BM583" s="109"/>
      <c r="BN583" s="109"/>
      <c r="BP583" s="10"/>
      <c r="BS583" s="109"/>
      <c r="BT583" s="109"/>
      <c r="BV583" s="10"/>
      <c r="BY583" s="109"/>
      <c r="BZ583" s="109"/>
      <c r="CB583" s="10"/>
      <c r="CE583" s="109"/>
      <c r="CF583" s="109"/>
      <c r="CH583" s="10"/>
      <c r="CK583" s="109"/>
      <c r="CL583" s="109"/>
    </row>
    <row r="584" spans="1:90">
      <c r="A584" s="7" t="str">
        <f t="shared" si="81"/>
        <v>01150999</v>
      </c>
      <c r="B584" s="7" t="s">
        <v>2454</v>
      </c>
      <c r="C584" s="7" t="s">
        <v>2782</v>
      </c>
      <c r="D584" s="7">
        <v>575</v>
      </c>
      <c r="E584" s="11">
        <v>115</v>
      </c>
      <c r="F584" s="11" t="s">
        <v>1820</v>
      </c>
      <c r="G584" s="11">
        <v>999</v>
      </c>
      <c r="H584" s="11" t="s">
        <v>1132</v>
      </c>
      <c r="I584" s="105">
        <v>17561655</v>
      </c>
      <c r="J584" s="126">
        <v>1</v>
      </c>
      <c r="K584" s="127">
        <f>SUM(K580:K583)</f>
        <v>17869967.44556538</v>
      </c>
      <c r="L584" s="126">
        <f>SUM(L580:L583)</f>
        <v>1</v>
      </c>
      <c r="M584" s="105">
        <f>VLOOKUP(E584,town351,22)</f>
        <v>14835762</v>
      </c>
      <c r="N584" s="105">
        <f>SUM(N580:N583)</f>
        <v>14835762</v>
      </c>
      <c r="O584" s="128">
        <v>14766417</v>
      </c>
      <c r="P584" s="105">
        <f>SUM(P580:P583)</f>
        <v>69345</v>
      </c>
      <c r="Q584" s="45">
        <f t="shared" si="89"/>
        <v>0.46961290609631301</v>
      </c>
      <c r="R584" s="105">
        <v>1883</v>
      </c>
      <c r="S584" s="7">
        <f t="shared" si="82"/>
        <v>0</v>
      </c>
      <c r="T584" s="124">
        <f t="shared" si="83"/>
        <v>115</v>
      </c>
      <c r="U584" s="124">
        <f t="shared" si="84"/>
        <v>999</v>
      </c>
      <c r="V584" s="124">
        <f t="shared" si="85"/>
        <v>575</v>
      </c>
      <c r="W584" s="124">
        <f t="shared" si="86"/>
        <v>1877.5377168110999</v>
      </c>
      <c r="X584" s="124">
        <f t="shared" si="87"/>
        <v>17869967.44556538</v>
      </c>
      <c r="Y584" s="264">
        <f t="shared" si="88"/>
        <v>575</v>
      </c>
      <c r="Z584" s="10">
        <v>115</v>
      </c>
      <c r="AA584" s="7">
        <v>999</v>
      </c>
      <c r="AB584" s="7">
        <v>575</v>
      </c>
      <c r="AC584" s="109">
        <v>1877.5377168110999</v>
      </c>
      <c r="AD584" s="109">
        <v>17869967.44556538</v>
      </c>
      <c r="AE584" s="125"/>
      <c r="AF584" s="10"/>
      <c r="AI584" s="109"/>
      <c r="AJ584" s="109"/>
      <c r="AL584" s="10"/>
      <c r="AO584" s="109"/>
      <c r="AP584" s="109"/>
      <c r="AR584" s="10"/>
      <c r="AU584" s="109"/>
      <c r="AV584" s="109"/>
      <c r="AX584" s="10"/>
      <c r="BA584" s="109"/>
      <c r="BB584" s="109"/>
      <c r="BD584" s="10"/>
      <c r="BG584" s="109"/>
      <c r="BH584" s="109"/>
      <c r="BJ584" s="10"/>
      <c r="BM584" s="109"/>
      <c r="BN584" s="109"/>
      <c r="BP584" s="10"/>
      <c r="BS584" s="109"/>
      <c r="BT584" s="109"/>
      <c r="BV584" s="10"/>
      <c r="BY584" s="109"/>
      <c r="BZ584" s="109"/>
      <c r="CB584" s="10"/>
      <c r="CE584" s="109"/>
      <c r="CF584" s="109"/>
      <c r="CH584" s="10"/>
      <c r="CK584" s="109"/>
      <c r="CL584" s="109"/>
    </row>
    <row r="585" spans="1:90">
      <c r="A585" s="7" t="str">
        <f t="shared" si="81"/>
        <v>01160116</v>
      </c>
      <c r="B585" s="7" t="s">
        <v>2455</v>
      </c>
      <c r="C585" s="7" t="s">
        <v>2455</v>
      </c>
      <c r="D585" s="7">
        <v>576</v>
      </c>
      <c r="E585" s="7">
        <v>116</v>
      </c>
      <c r="F585" s="7" t="s">
        <v>1821</v>
      </c>
      <c r="G585" s="7">
        <v>116</v>
      </c>
      <c r="H585" s="7" t="s">
        <v>1382</v>
      </c>
      <c r="I585" s="37">
        <v>118538.28</v>
      </c>
      <c r="J585" s="122">
        <v>1.1683940836301664E-2</v>
      </c>
      <c r="K585" s="123">
        <f>X585</f>
        <v>134168.3334358955</v>
      </c>
      <c r="L585" s="122">
        <f>IF(K589&gt;0, K585/K589, 0)</f>
        <v>1.3407584508068379E-2</v>
      </c>
      <c r="M585" s="71"/>
      <c r="N585" s="10">
        <f>ROUND(M589*L585,0)</f>
        <v>90748</v>
      </c>
      <c r="O585" s="70">
        <v>77239</v>
      </c>
      <c r="P585" s="10">
        <f>N585-O585</f>
        <v>13509</v>
      </c>
      <c r="Q585" s="46">
        <f t="shared" si="89"/>
        <v>17.489869107575188</v>
      </c>
      <c r="R585" s="10">
        <v>9</v>
      </c>
      <c r="S585" s="7">
        <f t="shared" si="82"/>
        <v>0</v>
      </c>
      <c r="T585" s="124">
        <f t="shared" si="83"/>
        <v>116</v>
      </c>
      <c r="U585" s="124">
        <f t="shared" si="84"/>
        <v>116</v>
      </c>
      <c r="V585" s="124">
        <f t="shared" si="85"/>
        <v>576</v>
      </c>
      <c r="W585" s="124">
        <f t="shared" si="86"/>
        <v>10</v>
      </c>
      <c r="X585" s="124">
        <f t="shared" si="87"/>
        <v>134168.3334358955</v>
      </c>
      <c r="Y585" s="264">
        <f t="shared" si="88"/>
        <v>576</v>
      </c>
      <c r="Z585" s="10">
        <v>116</v>
      </c>
      <c r="AA585" s="7">
        <v>116</v>
      </c>
      <c r="AB585" s="7">
        <v>576</v>
      </c>
      <c r="AC585" s="109">
        <v>10</v>
      </c>
      <c r="AD585" s="109">
        <v>134168.3334358955</v>
      </c>
      <c r="AE585" s="125"/>
      <c r="AF585" s="10"/>
      <c r="AI585" s="109"/>
      <c r="AJ585" s="109"/>
      <c r="AL585" s="10"/>
      <c r="AO585" s="109"/>
      <c r="AP585" s="109"/>
      <c r="AR585" s="10"/>
      <c r="AU585" s="109"/>
      <c r="AV585" s="109"/>
      <c r="AX585" s="10"/>
      <c r="BA585" s="109"/>
      <c r="BB585" s="109"/>
      <c r="BD585" s="10"/>
      <c r="BG585" s="109"/>
      <c r="BH585" s="109"/>
      <c r="BJ585" s="10"/>
      <c r="BM585" s="109"/>
      <c r="BN585" s="109"/>
      <c r="BP585" s="10"/>
      <c r="BS585" s="109"/>
      <c r="BT585" s="109"/>
      <c r="BV585" s="10"/>
      <c r="BY585" s="109"/>
      <c r="BZ585" s="109"/>
      <c r="CB585" s="10"/>
      <c r="CE585" s="109"/>
      <c r="CF585" s="109"/>
      <c r="CH585" s="10"/>
      <c r="CK585" s="109"/>
      <c r="CL585" s="109"/>
    </row>
    <row r="586" spans="1:90">
      <c r="A586" s="7" t="str">
        <f t="shared" ref="A586:A649" si="91">B586&amp;C586</f>
        <v>01160745</v>
      </c>
      <c r="B586" s="7" t="s">
        <v>2455</v>
      </c>
      <c r="C586" s="7" t="s">
        <v>2737</v>
      </c>
      <c r="D586" s="7">
        <v>577</v>
      </c>
      <c r="E586" s="7">
        <v>116</v>
      </c>
      <c r="F586" s="7" t="s">
        <v>1821</v>
      </c>
      <c r="G586" s="7">
        <v>745</v>
      </c>
      <c r="H586" s="7" t="s">
        <v>1664</v>
      </c>
      <c r="I586" s="37">
        <v>8811296</v>
      </c>
      <c r="J586" s="122">
        <v>0.86850139174570029</v>
      </c>
      <c r="K586" s="123">
        <f t="shared" si="90"/>
        <v>8763204.6386694312</v>
      </c>
      <c r="L586" s="122">
        <f>IF(K589&gt;0, K586/K589, 0)</f>
        <v>0.87571637617899289</v>
      </c>
      <c r="M586" s="71"/>
      <c r="N586" s="10">
        <f>ROUND(M589*L586,0)</f>
        <v>5927190</v>
      </c>
      <c r="O586" s="70">
        <v>5741418</v>
      </c>
      <c r="P586" s="10">
        <f>N586-O586</f>
        <v>185772</v>
      </c>
      <c r="Q586" s="46">
        <f t="shared" si="89"/>
        <v>3.2356466642909472</v>
      </c>
      <c r="R586" s="10">
        <v>948</v>
      </c>
      <c r="S586" s="7">
        <f t="shared" ref="S586:S649" si="92">ABS(T586-E586)+ABS(U586-G586)</f>
        <v>0</v>
      </c>
      <c r="T586" s="124">
        <f t="shared" ref="T586:T649" si="93">VLOOKUP($D586, foundoptions, VLOOKUP($T$6, foundoptcell, 2, FALSE), FALSE)</f>
        <v>116</v>
      </c>
      <c r="U586" s="124">
        <f t="shared" ref="U586:U649" si="94">VLOOKUP($D586, foundoptions, VLOOKUP($T$6, foundoptcell, 2, FALSE)+1, FALSE)</f>
        <v>745</v>
      </c>
      <c r="V586" s="124">
        <f t="shared" ref="V586:V649" si="95">VLOOKUP($D586, foundoptions, VLOOKUP($T$6, foundoptcell, 2, FALSE)+2, FALSE)</f>
        <v>577</v>
      </c>
      <c r="W586" s="124">
        <f t="shared" ref="W586:W649" si="96">VLOOKUP($D586, foundoptions, VLOOKUP($T$6, foundoptcell, 2, FALSE)+3, FALSE)</f>
        <v>922.53781513403999</v>
      </c>
      <c r="X586" s="124">
        <f t="shared" ref="X586:X649" si="97">VLOOKUP($D586, foundoptions, VLOOKUP($T$6, foundoptcell, 2, FALSE)+4, FALSE)</f>
        <v>8763204.6386694312</v>
      </c>
      <c r="Y586" s="264">
        <f t="shared" si="88"/>
        <v>577</v>
      </c>
      <c r="Z586" s="10">
        <v>116</v>
      </c>
      <c r="AA586" s="7">
        <v>745</v>
      </c>
      <c r="AB586" s="7">
        <v>577</v>
      </c>
      <c r="AC586" s="109">
        <v>922.53781513403999</v>
      </c>
      <c r="AD586" s="109">
        <v>8763204.6386694312</v>
      </c>
      <c r="AE586" s="125"/>
      <c r="AF586" s="10"/>
      <c r="AI586" s="109"/>
      <c r="AJ586" s="109"/>
      <c r="AL586" s="10"/>
      <c r="AO586" s="109"/>
      <c r="AP586" s="109"/>
      <c r="AR586" s="10"/>
      <c r="AU586" s="109"/>
      <c r="AV586" s="109"/>
      <c r="AX586" s="10"/>
      <c r="BA586" s="109"/>
      <c r="BB586" s="109"/>
      <c r="BD586" s="10"/>
      <c r="BG586" s="109"/>
      <c r="BH586" s="109"/>
      <c r="BJ586" s="10"/>
      <c r="BM586" s="109"/>
      <c r="BN586" s="109"/>
      <c r="BP586" s="10"/>
      <c r="BS586" s="109"/>
      <c r="BT586" s="109"/>
      <c r="BV586" s="10"/>
      <c r="BY586" s="109"/>
      <c r="BZ586" s="109"/>
      <c r="CB586" s="10"/>
      <c r="CE586" s="109"/>
      <c r="CF586" s="109"/>
      <c r="CH586" s="10"/>
      <c r="CK586" s="109"/>
      <c r="CL586" s="109"/>
    </row>
    <row r="587" spans="1:90">
      <c r="A587" s="7" t="str">
        <f t="shared" si="91"/>
        <v>01160885</v>
      </c>
      <c r="B587" s="7" t="s">
        <v>2455</v>
      </c>
      <c r="C587" s="7" t="s">
        <v>2777</v>
      </c>
      <c r="D587" s="7">
        <v>578</v>
      </c>
      <c r="E587" s="7">
        <v>116</v>
      </c>
      <c r="F587" s="7" t="s">
        <v>1821</v>
      </c>
      <c r="G587" s="7">
        <v>885</v>
      </c>
      <c r="H587" s="7" t="s">
        <v>1704</v>
      </c>
      <c r="I587" s="37">
        <v>1215568</v>
      </c>
      <c r="J587" s="122">
        <v>0.11981466741799815</v>
      </c>
      <c r="K587" s="123">
        <f t="shared" si="90"/>
        <v>1109525.2395118426</v>
      </c>
      <c r="L587" s="122">
        <f>IF(K589&gt;0, K587/K589, 0)</f>
        <v>0.11087603931293885</v>
      </c>
      <c r="M587" s="71"/>
      <c r="N587" s="10">
        <f>ROUND(M589*L587,0)</f>
        <v>750452</v>
      </c>
      <c r="O587" s="70">
        <v>792061</v>
      </c>
      <c r="P587" s="10">
        <f>N587-O587</f>
        <v>-41609</v>
      </c>
      <c r="Q587" s="46">
        <f t="shared" si="89"/>
        <v>-5.2532570092455</v>
      </c>
      <c r="R587" s="10">
        <v>77</v>
      </c>
      <c r="S587" s="7">
        <f t="shared" si="92"/>
        <v>0</v>
      </c>
      <c r="T587" s="124">
        <f t="shared" si="93"/>
        <v>116</v>
      </c>
      <c r="U587" s="124">
        <f t="shared" si="94"/>
        <v>885</v>
      </c>
      <c r="V587" s="124">
        <f t="shared" si="95"/>
        <v>578</v>
      </c>
      <c r="W587" s="124">
        <f t="shared" si="96"/>
        <v>68.943856796079999</v>
      </c>
      <c r="X587" s="124">
        <f t="shared" si="97"/>
        <v>1109525.2395118426</v>
      </c>
      <c r="Y587" s="264">
        <f t="shared" ref="Y587:Y650" si="98">D587</f>
        <v>578</v>
      </c>
      <c r="Z587" s="10">
        <v>116</v>
      </c>
      <c r="AA587" s="7">
        <v>885</v>
      </c>
      <c r="AB587" s="7">
        <v>578</v>
      </c>
      <c r="AC587" s="109">
        <v>68.943856796079999</v>
      </c>
      <c r="AD587" s="109">
        <v>1109525.2395118426</v>
      </c>
      <c r="AE587" s="125"/>
      <c r="AF587" s="10"/>
      <c r="AI587" s="109"/>
      <c r="AJ587" s="109"/>
      <c r="AL587" s="10"/>
      <c r="AO587" s="109"/>
      <c r="AP587" s="109"/>
      <c r="AR587" s="10"/>
      <c r="AU587" s="109"/>
      <c r="AV587" s="109"/>
      <c r="AX587" s="10"/>
      <c r="BA587" s="109"/>
      <c r="BB587" s="109"/>
      <c r="BD587" s="10"/>
      <c r="BG587" s="109"/>
      <c r="BH587" s="109"/>
      <c r="BJ587" s="10"/>
      <c r="BM587" s="109"/>
      <c r="BN587" s="109"/>
      <c r="BP587" s="10"/>
      <c r="BS587" s="109"/>
      <c r="BT587" s="109"/>
      <c r="BV587" s="10"/>
      <c r="BY587" s="109"/>
      <c r="BZ587" s="109"/>
      <c r="CB587" s="10"/>
      <c r="CE587" s="109"/>
      <c r="CF587" s="109"/>
      <c r="CH587" s="10"/>
      <c r="CK587" s="109"/>
      <c r="CL587" s="109"/>
    </row>
    <row r="588" spans="1:90">
      <c r="A588" s="7" t="str">
        <f t="shared" si="91"/>
        <v>01160998</v>
      </c>
      <c r="B588" s="7" t="s">
        <v>2455</v>
      </c>
      <c r="C588" s="7" t="s">
        <v>2781</v>
      </c>
      <c r="D588" s="7">
        <v>579</v>
      </c>
      <c r="E588" s="7">
        <v>116</v>
      </c>
      <c r="F588" s="7" t="s">
        <v>2135</v>
      </c>
      <c r="G588" s="7">
        <v>998</v>
      </c>
      <c r="I588" s="129">
        <v>0</v>
      </c>
      <c r="J588" s="130">
        <v>0</v>
      </c>
      <c r="K588" s="123">
        <f t="shared" si="90"/>
        <v>0</v>
      </c>
      <c r="L588" s="122">
        <f>IF(K589&gt;0, K588/K589, 0)</f>
        <v>0</v>
      </c>
      <c r="M588" s="71"/>
      <c r="N588" s="10">
        <f>ROUND(M589*L588,0)</f>
        <v>0</v>
      </c>
      <c r="O588" s="70">
        <v>0</v>
      </c>
      <c r="P588" s="10">
        <f>N588-O588</f>
        <v>0</v>
      </c>
      <c r="Q588" s="46">
        <f t="shared" si="89"/>
        <v>0</v>
      </c>
      <c r="R588" s="10">
        <v>0</v>
      </c>
      <c r="S588" s="7">
        <f t="shared" si="92"/>
        <v>0</v>
      </c>
      <c r="T588" s="124">
        <f t="shared" si="93"/>
        <v>116</v>
      </c>
      <c r="U588" s="124">
        <f t="shared" si="94"/>
        <v>998</v>
      </c>
      <c r="V588" s="124">
        <f t="shared" si="95"/>
        <v>579</v>
      </c>
      <c r="W588" s="124">
        <f t="shared" si="96"/>
        <v>0</v>
      </c>
      <c r="X588" s="124">
        <f t="shared" si="97"/>
        <v>0</v>
      </c>
      <c r="Y588" s="264">
        <f t="shared" si="98"/>
        <v>579</v>
      </c>
      <c r="Z588" s="10">
        <v>116</v>
      </c>
      <c r="AA588" s="7">
        <v>998</v>
      </c>
      <c r="AB588" s="7">
        <v>579</v>
      </c>
      <c r="AC588" s="109">
        <v>0</v>
      </c>
      <c r="AD588" s="109">
        <v>0</v>
      </c>
      <c r="AE588" s="125"/>
      <c r="AF588" s="10"/>
      <c r="AI588" s="109"/>
      <c r="AJ588" s="109"/>
      <c r="AL588" s="10"/>
      <c r="AO588" s="109"/>
      <c r="AP588" s="109"/>
      <c r="AR588" s="10"/>
      <c r="AU588" s="109"/>
      <c r="AV588" s="109"/>
      <c r="AX588" s="10"/>
      <c r="BA588" s="109"/>
      <c r="BB588" s="109"/>
      <c r="BD588" s="10"/>
      <c r="BG588" s="109"/>
      <c r="BH588" s="109"/>
      <c r="BJ588" s="10"/>
      <c r="BM588" s="109"/>
      <c r="BN588" s="109"/>
      <c r="BP588" s="10"/>
      <c r="BS588" s="109"/>
      <c r="BT588" s="109"/>
      <c r="BV588" s="10"/>
      <c r="BY588" s="109"/>
      <c r="BZ588" s="109"/>
      <c r="CB588" s="10"/>
      <c r="CE588" s="109"/>
      <c r="CF588" s="109"/>
      <c r="CH588" s="10"/>
      <c r="CK588" s="109"/>
      <c r="CL588" s="109"/>
    </row>
    <row r="589" spans="1:90">
      <c r="A589" s="7" t="str">
        <f t="shared" si="91"/>
        <v>01160999</v>
      </c>
      <c r="B589" s="7" t="s">
        <v>2455</v>
      </c>
      <c r="C589" s="7" t="s">
        <v>2782</v>
      </c>
      <c r="D589" s="7">
        <v>580</v>
      </c>
      <c r="E589" s="11">
        <v>116</v>
      </c>
      <c r="F589" s="11" t="s">
        <v>1821</v>
      </c>
      <c r="G589" s="11">
        <v>999</v>
      </c>
      <c r="H589" s="11" t="s">
        <v>1132</v>
      </c>
      <c r="I589" s="105">
        <v>10145402.279999999</v>
      </c>
      <c r="J589" s="126">
        <v>1</v>
      </c>
      <c r="K589" s="127">
        <f>SUM(K585:K588)</f>
        <v>10006898.211617168</v>
      </c>
      <c r="L589" s="126">
        <f>SUM(L585:L588)</f>
        <v>1</v>
      </c>
      <c r="M589" s="105">
        <f>VLOOKUP(E589,town351,22)</f>
        <v>6768390</v>
      </c>
      <c r="N589" s="105">
        <f>SUM(N585:N588)</f>
        <v>6768390</v>
      </c>
      <c r="O589" s="128">
        <v>6610718</v>
      </c>
      <c r="P589" s="105">
        <f>SUM(P585:P588)</f>
        <v>157672</v>
      </c>
      <c r="Q589" s="45">
        <f t="shared" si="89"/>
        <v>2.3850964448944878</v>
      </c>
      <c r="R589" s="105">
        <v>1034</v>
      </c>
      <c r="S589" s="7">
        <f t="shared" si="92"/>
        <v>0</v>
      </c>
      <c r="T589" s="124">
        <f t="shared" si="93"/>
        <v>116</v>
      </c>
      <c r="U589" s="124">
        <f t="shared" si="94"/>
        <v>999</v>
      </c>
      <c r="V589" s="124">
        <f t="shared" si="95"/>
        <v>580</v>
      </c>
      <c r="W589" s="124">
        <f t="shared" si="96"/>
        <v>1001.48167193012</v>
      </c>
      <c r="X589" s="124">
        <f t="shared" si="97"/>
        <v>10006898.211617168</v>
      </c>
      <c r="Y589" s="264">
        <f t="shared" si="98"/>
        <v>580</v>
      </c>
      <c r="Z589" s="10">
        <v>116</v>
      </c>
      <c r="AA589" s="7">
        <v>999</v>
      </c>
      <c r="AB589" s="7">
        <v>580</v>
      </c>
      <c r="AC589" s="109">
        <v>1001.48167193012</v>
      </c>
      <c r="AD589" s="109">
        <v>10006898.211617168</v>
      </c>
      <c r="AE589" s="125"/>
      <c r="AF589" s="10"/>
      <c r="AI589" s="109"/>
      <c r="AJ589" s="109"/>
      <c r="AL589" s="10"/>
      <c r="AO589" s="109"/>
      <c r="AP589" s="109"/>
      <c r="AR589" s="10"/>
      <c r="AU589" s="109"/>
      <c r="AV589" s="109"/>
      <c r="AX589" s="10"/>
      <c r="BA589" s="109"/>
      <c r="BB589" s="109"/>
      <c r="BD589" s="10"/>
      <c r="BG589" s="109"/>
      <c r="BH589" s="109"/>
      <c r="BJ589" s="10"/>
      <c r="BM589" s="109"/>
      <c r="BN589" s="109"/>
      <c r="BP589" s="10"/>
      <c r="BS589" s="109"/>
      <c r="BT589" s="109"/>
      <c r="BV589" s="10"/>
      <c r="BY589" s="109"/>
      <c r="BZ589" s="109"/>
      <c r="CB589" s="10"/>
      <c r="CE589" s="109"/>
      <c r="CF589" s="109"/>
      <c r="CH589" s="10"/>
      <c r="CK589" s="109"/>
      <c r="CL589" s="109"/>
    </row>
    <row r="590" spans="1:90">
      <c r="A590" s="7" t="str">
        <f t="shared" si="91"/>
        <v>01170117</v>
      </c>
      <c r="B590" s="7" t="s">
        <v>2456</v>
      </c>
      <c r="C590" s="7" t="s">
        <v>2456</v>
      </c>
      <c r="D590" s="7">
        <v>581</v>
      </c>
      <c r="E590" s="7">
        <v>117</v>
      </c>
      <c r="F590" s="7" t="s">
        <v>1822</v>
      </c>
      <c r="G590" s="7">
        <v>117</v>
      </c>
      <c r="H590" s="7" t="s">
        <v>1383</v>
      </c>
      <c r="I590" s="37">
        <v>5790379.5499999998</v>
      </c>
      <c r="J590" s="122">
        <v>1</v>
      </c>
      <c r="K590" s="123">
        <f>X590</f>
        <v>5654945.3746561082</v>
      </c>
      <c r="L590" s="122">
        <f>IF(K594&gt;0, K590/K594, 0)</f>
        <v>1</v>
      </c>
      <c r="M590" s="71"/>
      <c r="N590" s="10">
        <f>ROUND(M594*L590,0)</f>
        <v>4724445</v>
      </c>
      <c r="O590" s="70">
        <v>4888340</v>
      </c>
      <c r="P590" s="10">
        <f>N590-O590</f>
        <v>-163895</v>
      </c>
      <c r="Q590" s="46">
        <f t="shared" si="89"/>
        <v>-3.3527741523707433</v>
      </c>
      <c r="R590" s="10">
        <v>587</v>
      </c>
      <c r="S590" s="7">
        <f t="shared" si="92"/>
        <v>0</v>
      </c>
      <c r="T590" s="124">
        <f t="shared" si="93"/>
        <v>117</v>
      </c>
      <c r="U590" s="124">
        <f t="shared" si="94"/>
        <v>117</v>
      </c>
      <c r="V590" s="124">
        <f t="shared" si="95"/>
        <v>581</v>
      </c>
      <c r="W590" s="124">
        <f t="shared" si="96"/>
        <v>565</v>
      </c>
      <c r="X590" s="124">
        <f t="shared" si="97"/>
        <v>5654945.3746561082</v>
      </c>
      <c r="Y590" s="264">
        <f t="shared" si="98"/>
        <v>581</v>
      </c>
      <c r="Z590" s="10">
        <v>117</v>
      </c>
      <c r="AA590" s="7">
        <v>117</v>
      </c>
      <c r="AB590" s="7">
        <v>581</v>
      </c>
      <c r="AC590" s="109">
        <v>565</v>
      </c>
      <c r="AD590" s="109">
        <v>5654945.3746561082</v>
      </c>
      <c r="AE590" s="125"/>
      <c r="AF590" s="10"/>
      <c r="AI590" s="109"/>
      <c r="AJ590" s="109"/>
      <c r="AL590" s="10"/>
      <c r="AO590" s="109"/>
      <c r="AP590" s="109"/>
      <c r="AR590" s="10"/>
      <c r="AU590" s="109"/>
      <c r="AV590" s="109"/>
      <c r="AX590" s="10"/>
      <c r="BA590" s="109"/>
      <c r="BB590" s="109"/>
      <c r="BD590" s="10"/>
      <c r="BG590" s="109"/>
      <c r="BH590" s="109"/>
      <c r="BJ590" s="10"/>
      <c r="BM590" s="109"/>
      <c r="BN590" s="109"/>
      <c r="BP590" s="10"/>
      <c r="BS590" s="109"/>
      <c r="BT590" s="109"/>
      <c r="BV590" s="10"/>
      <c r="BY590" s="109"/>
      <c r="BZ590" s="109"/>
      <c r="CB590" s="10"/>
      <c r="CE590" s="109"/>
      <c r="CF590" s="109"/>
      <c r="CH590" s="10"/>
      <c r="CK590" s="109"/>
      <c r="CL590" s="109"/>
    </row>
    <row r="591" spans="1:90">
      <c r="A591" s="7" t="str">
        <f t="shared" si="91"/>
        <v>01170998</v>
      </c>
      <c r="B591" s="7" t="s">
        <v>2456</v>
      </c>
      <c r="C591" s="7" t="s">
        <v>2781</v>
      </c>
      <c r="D591" s="7">
        <v>582</v>
      </c>
      <c r="E591" s="7">
        <v>117</v>
      </c>
      <c r="F591" s="7" t="s">
        <v>2135</v>
      </c>
      <c r="G591" s="7">
        <v>998</v>
      </c>
      <c r="H591" s="7" t="s">
        <v>2135</v>
      </c>
      <c r="I591" s="37">
        <v>0</v>
      </c>
      <c r="J591" s="122">
        <v>0</v>
      </c>
      <c r="K591" s="123">
        <f t="shared" si="90"/>
        <v>0</v>
      </c>
      <c r="L591" s="122">
        <f>IF(K594&gt;0, K591/K594, 0)</f>
        <v>0</v>
      </c>
      <c r="M591" s="71"/>
      <c r="N591" s="10">
        <f>ROUND(M594*L591,0)</f>
        <v>0</v>
      </c>
      <c r="O591" s="70">
        <v>0</v>
      </c>
      <c r="P591" s="10">
        <f>N591-O591</f>
        <v>0</v>
      </c>
      <c r="Q591" s="46">
        <f t="shared" si="89"/>
        <v>0</v>
      </c>
      <c r="R591" s="10">
        <v>0</v>
      </c>
      <c r="S591" s="7">
        <f t="shared" si="92"/>
        <v>0</v>
      </c>
      <c r="T591" s="124">
        <f t="shared" si="93"/>
        <v>117</v>
      </c>
      <c r="U591" s="124">
        <f t="shared" si="94"/>
        <v>998</v>
      </c>
      <c r="V591" s="124">
        <f t="shared" si="95"/>
        <v>582</v>
      </c>
      <c r="W591" s="124">
        <f t="shared" si="96"/>
        <v>0</v>
      </c>
      <c r="X591" s="124">
        <f t="shared" si="97"/>
        <v>0</v>
      </c>
      <c r="Y591" s="264">
        <f t="shared" si="98"/>
        <v>582</v>
      </c>
      <c r="Z591" s="10">
        <v>117</v>
      </c>
      <c r="AA591" s="7">
        <v>998</v>
      </c>
      <c r="AB591" s="7">
        <v>582</v>
      </c>
      <c r="AC591" s="109">
        <v>0</v>
      </c>
      <c r="AD591" s="109">
        <v>0</v>
      </c>
      <c r="AE591" s="125"/>
      <c r="AF591" s="10"/>
      <c r="AI591" s="109"/>
      <c r="AJ591" s="109"/>
      <c r="AL591" s="10"/>
      <c r="AO591" s="109"/>
      <c r="AP591" s="109"/>
      <c r="AR591" s="10"/>
      <c r="AU591" s="109"/>
      <c r="AV591" s="109"/>
      <c r="AX591" s="10"/>
      <c r="BA591" s="109"/>
      <c r="BB591" s="109"/>
      <c r="BD591" s="10"/>
      <c r="BG591" s="109"/>
      <c r="BH591" s="109"/>
      <c r="BJ591" s="10"/>
      <c r="BM591" s="109"/>
      <c r="BN591" s="109"/>
      <c r="BP591" s="10"/>
      <c r="BS591" s="109"/>
      <c r="BT591" s="109"/>
      <c r="BV591" s="10"/>
      <c r="BY591" s="109"/>
      <c r="BZ591" s="109"/>
      <c r="CB591" s="10"/>
      <c r="CE591" s="109"/>
      <c r="CF591" s="109"/>
      <c r="CH591" s="10"/>
      <c r="CK591" s="109"/>
      <c r="CL591" s="109"/>
    </row>
    <row r="592" spans="1:90">
      <c r="A592" s="7" t="str">
        <f t="shared" si="91"/>
        <v>01170998</v>
      </c>
      <c r="B592" s="7" t="s">
        <v>2456</v>
      </c>
      <c r="C592" s="7" t="s">
        <v>2781</v>
      </c>
      <c r="D592" s="7">
        <v>583</v>
      </c>
      <c r="E592" s="7">
        <v>117</v>
      </c>
      <c r="F592" s="7" t="s">
        <v>2135</v>
      </c>
      <c r="G592" s="7">
        <v>998</v>
      </c>
      <c r="H592" s="7" t="s">
        <v>2135</v>
      </c>
      <c r="I592" s="37">
        <v>0</v>
      </c>
      <c r="J592" s="122">
        <v>0</v>
      </c>
      <c r="K592" s="123">
        <f t="shared" si="90"/>
        <v>0</v>
      </c>
      <c r="L592" s="122">
        <f>IF(K594&gt;0, K592/K594, 0)</f>
        <v>0</v>
      </c>
      <c r="M592" s="71"/>
      <c r="N592" s="10">
        <f>ROUND(M594*L592,0)</f>
        <v>0</v>
      </c>
      <c r="O592" s="70">
        <v>0</v>
      </c>
      <c r="P592" s="10">
        <f>N592-O592</f>
        <v>0</v>
      </c>
      <c r="Q592" s="46">
        <f>IF(O592&gt;0,P592*100/O592,IF(P592&gt;0,100,0))</f>
        <v>0</v>
      </c>
      <c r="R592" s="10">
        <v>0</v>
      </c>
      <c r="S592" s="7">
        <f t="shared" si="92"/>
        <v>0</v>
      </c>
      <c r="T592" s="124">
        <f t="shared" si="93"/>
        <v>117</v>
      </c>
      <c r="U592" s="124">
        <f t="shared" si="94"/>
        <v>998</v>
      </c>
      <c r="V592" s="124">
        <f t="shared" si="95"/>
        <v>583</v>
      </c>
      <c r="W592" s="124">
        <f t="shared" si="96"/>
        <v>0</v>
      </c>
      <c r="X592" s="124">
        <f t="shared" si="97"/>
        <v>0</v>
      </c>
      <c r="Y592" s="264">
        <f t="shared" si="98"/>
        <v>583</v>
      </c>
      <c r="Z592" s="10">
        <v>117</v>
      </c>
      <c r="AA592" s="7">
        <v>998</v>
      </c>
      <c r="AB592" s="7">
        <v>583</v>
      </c>
      <c r="AC592" s="109">
        <v>0</v>
      </c>
      <c r="AD592" s="109">
        <v>0</v>
      </c>
      <c r="AE592" s="125"/>
      <c r="AF592" s="10"/>
      <c r="AI592" s="109"/>
      <c r="AJ592" s="109"/>
      <c r="AL592" s="10"/>
      <c r="AO592" s="109"/>
      <c r="AP592" s="109"/>
      <c r="AR592" s="10"/>
      <c r="AU592" s="109"/>
      <c r="AV592" s="109"/>
      <c r="AX592" s="10"/>
      <c r="BA592" s="109"/>
      <c r="BB592" s="109"/>
      <c r="BD592" s="10"/>
      <c r="BG592" s="109"/>
      <c r="BH592" s="109"/>
      <c r="BJ592" s="10"/>
      <c r="BM592" s="109"/>
      <c r="BN592" s="109"/>
      <c r="BP592" s="10"/>
      <c r="BS592" s="109"/>
      <c r="BT592" s="109"/>
      <c r="BV592" s="10"/>
      <c r="BY592" s="109"/>
      <c r="BZ592" s="109"/>
      <c r="CB592" s="10"/>
      <c r="CE592" s="109"/>
      <c r="CF592" s="109"/>
      <c r="CH592" s="10"/>
      <c r="CK592" s="109"/>
      <c r="CL592" s="109"/>
    </row>
    <row r="593" spans="1:90">
      <c r="A593" s="7" t="str">
        <f t="shared" si="91"/>
        <v>01170998</v>
      </c>
      <c r="B593" s="7" t="s">
        <v>2456</v>
      </c>
      <c r="C593" s="7" t="s">
        <v>2781</v>
      </c>
      <c r="D593" s="7">
        <v>584</v>
      </c>
      <c r="E593" s="7">
        <v>117</v>
      </c>
      <c r="F593" s="7" t="s">
        <v>2135</v>
      </c>
      <c r="G593" s="7">
        <v>998</v>
      </c>
      <c r="H593" s="7" t="s">
        <v>2135</v>
      </c>
      <c r="I593" s="37">
        <v>0</v>
      </c>
      <c r="J593" s="122">
        <v>0</v>
      </c>
      <c r="K593" s="123">
        <f t="shared" si="90"/>
        <v>0</v>
      </c>
      <c r="L593" s="122">
        <f>IF(K594&gt;0, K593/K594, 0)</f>
        <v>0</v>
      </c>
      <c r="M593" s="71"/>
      <c r="N593" s="10">
        <f>ROUND(M594*L593,0)</f>
        <v>0</v>
      </c>
      <c r="O593" s="70">
        <v>0</v>
      </c>
      <c r="P593" s="10">
        <f>N593-O593</f>
        <v>0</v>
      </c>
      <c r="Q593" s="46">
        <f>IF(O593&gt;0,P593*100/O593,IF(P593&gt;0,100,0))</f>
        <v>0</v>
      </c>
      <c r="R593" s="10">
        <v>0</v>
      </c>
      <c r="S593" s="7">
        <f t="shared" si="92"/>
        <v>0</v>
      </c>
      <c r="T593" s="124">
        <f t="shared" si="93"/>
        <v>117</v>
      </c>
      <c r="U593" s="124">
        <f t="shared" si="94"/>
        <v>998</v>
      </c>
      <c r="V593" s="124">
        <f t="shared" si="95"/>
        <v>584</v>
      </c>
      <c r="W593" s="124">
        <f t="shared" si="96"/>
        <v>0</v>
      </c>
      <c r="X593" s="124">
        <f t="shared" si="97"/>
        <v>0</v>
      </c>
      <c r="Y593" s="264">
        <f t="shared" si="98"/>
        <v>584</v>
      </c>
      <c r="Z593" s="10">
        <v>117</v>
      </c>
      <c r="AA593" s="7">
        <v>998</v>
      </c>
      <c r="AB593" s="7">
        <v>584</v>
      </c>
      <c r="AC593" s="109">
        <v>0</v>
      </c>
      <c r="AD593" s="109">
        <v>0</v>
      </c>
      <c r="AE593" s="125"/>
      <c r="AF593" s="10"/>
      <c r="AI593" s="109"/>
      <c r="AJ593" s="109"/>
      <c r="AL593" s="10"/>
      <c r="AO593" s="109"/>
      <c r="AP593" s="109"/>
      <c r="AR593" s="10"/>
      <c r="AU593" s="109"/>
      <c r="AV593" s="109"/>
      <c r="AX593" s="10"/>
      <c r="BA593" s="109"/>
      <c r="BB593" s="109"/>
      <c r="BD593" s="10"/>
      <c r="BG593" s="109"/>
      <c r="BH593" s="109"/>
      <c r="BJ593" s="10"/>
      <c r="BM593" s="109"/>
      <c r="BN593" s="109"/>
      <c r="BP593" s="10"/>
      <c r="BS593" s="109"/>
      <c r="BT593" s="109"/>
      <c r="BV593" s="10"/>
      <c r="BY593" s="109"/>
      <c r="BZ593" s="109"/>
      <c r="CB593" s="10"/>
      <c r="CE593" s="109"/>
      <c r="CF593" s="109"/>
      <c r="CH593" s="10"/>
      <c r="CK593" s="109"/>
      <c r="CL593" s="109"/>
    </row>
    <row r="594" spans="1:90">
      <c r="A594" s="7" t="str">
        <f t="shared" si="91"/>
        <v>01170999</v>
      </c>
      <c r="B594" s="7" t="s">
        <v>2456</v>
      </c>
      <c r="C594" s="7" t="s">
        <v>2782</v>
      </c>
      <c r="D594" s="7">
        <v>585</v>
      </c>
      <c r="E594" s="11">
        <v>117</v>
      </c>
      <c r="F594" s="11" t="s">
        <v>1822</v>
      </c>
      <c r="G594" s="11">
        <v>999</v>
      </c>
      <c r="H594" s="11" t="s">
        <v>1132</v>
      </c>
      <c r="I594" s="105">
        <v>5790379.5499999998</v>
      </c>
      <c r="J594" s="126">
        <v>1</v>
      </c>
      <c r="K594" s="127">
        <f>SUM(K590:K593)</f>
        <v>5654945.3746561082</v>
      </c>
      <c r="L594" s="126">
        <f>SUM(L590:L593)</f>
        <v>1</v>
      </c>
      <c r="M594" s="105">
        <f>VLOOKUP(E594,town351,22)</f>
        <v>4724445</v>
      </c>
      <c r="N594" s="105">
        <f>SUM(N590:N593)</f>
        <v>4724445</v>
      </c>
      <c r="O594" s="128">
        <v>4888340</v>
      </c>
      <c r="P594" s="105">
        <f>SUM(P590:P593)</f>
        <v>-163895</v>
      </c>
      <c r="Q594" s="45">
        <f t="shared" ref="Q594:Q655" si="99">IF(O594&gt;0,P594*100/O594,IF(P594&gt;0,100,0))</f>
        <v>-3.3527741523707433</v>
      </c>
      <c r="R594" s="105">
        <v>587</v>
      </c>
      <c r="S594" s="7">
        <f t="shared" si="92"/>
        <v>0</v>
      </c>
      <c r="T594" s="124">
        <f t="shared" si="93"/>
        <v>117</v>
      </c>
      <c r="U594" s="124">
        <f t="shared" si="94"/>
        <v>999</v>
      </c>
      <c r="V594" s="124">
        <f t="shared" si="95"/>
        <v>585</v>
      </c>
      <c r="W594" s="124">
        <f t="shared" si="96"/>
        <v>565</v>
      </c>
      <c r="X594" s="124">
        <f t="shared" si="97"/>
        <v>5654945.3746561082</v>
      </c>
      <c r="Y594" s="264">
        <f t="shared" si="98"/>
        <v>585</v>
      </c>
      <c r="Z594" s="10">
        <v>117</v>
      </c>
      <c r="AA594" s="7">
        <v>999</v>
      </c>
      <c r="AB594" s="7">
        <v>585</v>
      </c>
      <c r="AC594" s="109">
        <v>565</v>
      </c>
      <c r="AD594" s="109">
        <v>5654945.3746561082</v>
      </c>
      <c r="AE594" s="125"/>
      <c r="AF594" s="10"/>
      <c r="AI594" s="109"/>
      <c r="AJ594" s="109"/>
      <c r="AL594" s="10"/>
      <c r="AO594" s="109"/>
      <c r="AP594" s="109"/>
      <c r="AR594" s="10"/>
      <c r="AU594" s="109"/>
      <c r="AV594" s="109"/>
      <c r="AX594" s="10"/>
      <c r="BA594" s="109"/>
      <c r="BB594" s="109"/>
      <c r="BD594" s="10"/>
      <c r="BG594" s="109"/>
      <c r="BH594" s="109"/>
      <c r="BJ594" s="10"/>
      <c r="BM594" s="109"/>
      <c r="BN594" s="109"/>
      <c r="BP594" s="10"/>
      <c r="BS594" s="109"/>
      <c r="BT594" s="109"/>
      <c r="BV594" s="10"/>
      <c r="BY594" s="109"/>
      <c r="BZ594" s="109"/>
      <c r="CB594" s="10"/>
      <c r="CE594" s="109"/>
      <c r="CF594" s="109"/>
      <c r="CH594" s="10"/>
      <c r="CK594" s="109"/>
      <c r="CL594" s="109"/>
    </row>
    <row r="595" spans="1:90">
      <c r="A595" s="7" t="str">
        <f t="shared" si="91"/>
        <v>01180118</v>
      </c>
      <c r="B595" s="7" t="s">
        <v>2457</v>
      </c>
      <c r="C595" s="7" t="s">
        <v>2457</v>
      </c>
      <c r="D595" s="7">
        <v>586</v>
      </c>
      <c r="E595" s="7">
        <v>118</v>
      </c>
      <c r="F595" s="7" t="s">
        <v>1823</v>
      </c>
      <c r="G595" s="7">
        <v>118</v>
      </c>
      <c r="H595" s="7" t="s">
        <v>1384</v>
      </c>
      <c r="I595" s="37">
        <v>5481688.6299299989</v>
      </c>
      <c r="J595" s="122">
        <v>0.44893962058673603</v>
      </c>
      <c r="K595" s="123">
        <f>X595</f>
        <v>6142874.2903718846</v>
      </c>
      <c r="L595" s="122">
        <f>IF(K599&gt;0, K595/K599, 0)</f>
        <v>0.49349575019187164</v>
      </c>
      <c r="M595" s="71"/>
      <c r="N595" s="10">
        <f>ROUND(M599*L595,0)</f>
        <v>3223996</v>
      </c>
      <c r="O595" s="70">
        <v>2891843</v>
      </c>
      <c r="P595" s="10">
        <f>N595-O595</f>
        <v>332153</v>
      </c>
      <c r="Q595" s="46">
        <f t="shared" si="99"/>
        <v>11.485858672133999</v>
      </c>
      <c r="R595" s="10">
        <v>579</v>
      </c>
      <c r="S595" s="7">
        <f t="shared" si="92"/>
        <v>0</v>
      </c>
      <c r="T595" s="124">
        <f t="shared" si="93"/>
        <v>118</v>
      </c>
      <c r="U595" s="124">
        <f t="shared" si="94"/>
        <v>118</v>
      </c>
      <c r="V595" s="124">
        <f t="shared" si="95"/>
        <v>586</v>
      </c>
      <c r="W595" s="124">
        <f t="shared" si="96"/>
        <v>633</v>
      </c>
      <c r="X595" s="124">
        <f t="shared" si="97"/>
        <v>6142874.2903718846</v>
      </c>
      <c r="Y595" s="264">
        <f t="shared" si="98"/>
        <v>586</v>
      </c>
      <c r="Z595" s="10">
        <v>118</v>
      </c>
      <c r="AA595" s="7">
        <v>118</v>
      </c>
      <c r="AB595" s="7">
        <v>586</v>
      </c>
      <c r="AC595" s="109">
        <v>633</v>
      </c>
      <c r="AD595" s="109">
        <v>6142874.2903718846</v>
      </c>
      <c r="AE595" s="125"/>
      <c r="AF595" s="10"/>
      <c r="AI595" s="109"/>
      <c r="AJ595" s="109"/>
      <c r="AL595" s="10"/>
      <c r="AO595" s="109"/>
      <c r="AP595" s="109"/>
      <c r="AR595" s="10"/>
      <c r="AU595" s="109"/>
      <c r="AV595" s="109"/>
      <c r="AX595" s="10"/>
      <c r="BA595" s="109"/>
      <c r="BB595" s="109"/>
      <c r="BD595" s="10"/>
      <c r="BG595" s="109"/>
      <c r="BH595" s="109"/>
      <c r="BJ595" s="10"/>
      <c r="BM595" s="109"/>
      <c r="BN595" s="109"/>
      <c r="BP595" s="10"/>
      <c r="BS595" s="109"/>
      <c r="BT595" s="109"/>
      <c r="BV595" s="10"/>
      <c r="BY595" s="109"/>
      <c r="BZ595" s="109"/>
      <c r="CB595" s="10"/>
      <c r="CE595" s="109"/>
      <c r="CF595" s="109"/>
      <c r="CH595" s="10"/>
      <c r="CK595" s="109"/>
      <c r="CL595" s="109"/>
    </row>
    <row r="596" spans="1:90">
      <c r="A596" s="7" t="str">
        <f t="shared" si="91"/>
        <v>01180760</v>
      </c>
      <c r="B596" s="7" t="s">
        <v>2457</v>
      </c>
      <c r="C596" s="7" t="s">
        <v>2741</v>
      </c>
      <c r="D596" s="7">
        <v>587</v>
      </c>
      <c r="E596" s="7">
        <v>118</v>
      </c>
      <c r="F596" s="7" t="s">
        <v>1823</v>
      </c>
      <c r="G596" s="7">
        <v>760</v>
      </c>
      <c r="H596" s="7" t="s">
        <v>1668</v>
      </c>
      <c r="I596" s="37">
        <v>6728614</v>
      </c>
      <c r="J596" s="122">
        <v>0.55106037941326391</v>
      </c>
      <c r="K596" s="123">
        <f t="shared" si="90"/>
        <v>6304799.8547114907</v>
      </c>
      <c r="L596" s="122">
        <f>IF(K599&gt;0, K596/K599, 0)</f>
        <v>0.50650424980812836</v>
      </c>
      <c r="M596" s="71"/>
      <c r="N596" s="10">
        <f>ROUND(M599*L596,0)</f>
        <v>3308981</v>
      </c>
      <c r="O596" s="70">
        <v>3549653</v>
      </c>
      <c r="P596" s="10">
        <f>N596-O596</f>
        <v>-240672</v>
      </c>
      <c r="Q596" s="46">
        <f t="shared" si="99"/>
        <v>-6.7801556940917891</v>
      </c>
      <c r="R596" s="10">
        <v>626</v>
      </c>
      <c r="S596" s="7">
        <f t="shared" si="92"/>
        <v>0</v>
      </c>
      <c r="T596" s="124">
        <f t="shared" si="93"/>
        <v>118</v>
      </c>
      <c r="U596" s="124">
        <f t="shared" si="94"/>
        <v>760</v>
      </c>
      <c r="V596" s="124">
        <f t="shared" si="95"/>
        <v>587</v>
      </c>
      <c r="W596" s="124">
        <f t="shared" si="96"/>
        <v>573.85120000610993</v>
      </c>
      <c r="X596" s="124">
        <f t="shared" si="97"/>
        <v>6304799.8547114907</v>
      </c>
      <c r="Y596" s="264">
        <f t="shared" si="98"/>
        <v>587</v>
      </c>
      <c r="Z596" s="10">
        <v>118</v>
      </c>
      <c r="AA596" s="7">
        <v>760</v>
      </c>
      <c r="AB596" s="7">
        <v>587</v>
      </c>
      <c r="AC596" s="109">
        <v>573.85120000610993</v>
      </c>
      <c r="AD596" s="109">
        <v>6304799.8547114907</v>
      </c>
      <c r="AE596" s="125"/>
      <c r="AF596" s="10"/>
      <c r="AI596" s="109"/>
      <c r="AJ596" s="109"/>
      <c r="AL596" s="10"/>
      <c r="AO596" s="109"/>
      <c r="AP596" s="109"/>
      <c r="AR596" s="10"/>
      <c r="AU596" s="109"/>
      <c r="AV596" s="109"/>
      <c r="AX596" s="10"/>
      <c r="BA596" s="109"/>
      <c r="BB596" s="109"/>
      <c r="BD596" s="10"/>
      <c r="BG596" s="109"/>
      <c r="BH596" s="109"/>
      <c r="BJ596" s="10"/>
      <c r="BM596" s="109"/>
      <c r="BN596" s="109"/>
      <c r="BP596" s="10"/>
      <c r="BS596" s="109"/>
      <c r="BT596" s="109"/>
      <c r="BV596" s="10"/>
      <c r="BY596" s="109"/>
      <c r="BZ596" s="109"/>
      <c r="CB596" s="10"/>
      <c r="CE596" s="109"/>
      <c r="CF596" s="109"/>
      <c r="CH596" s="10"/>
      <c r="CK596" s="109"/>
      <c r="CL596" s="109"/>
    </row>
    <row r="597" spans="1:90">
      <c r="A597" s="7" t="str">
        <f t="shared" si="91"/>
        <v>01180998</v>
      </c>
      <c r="B597" s="7" t="s">
        <v>2457</v>
      </c>
      <c r="C597" s="7" t="s">
        <v>2781</v>
      </c>
      <c r="D597" s="7">
        <v>588</v>
      </c>
      <c r="E597" s="7">
        <v>118</v>
      </c>
      <c r="F597" s="7" t="s">
        <v>2135</v>
      </c>
      <c r="G597" s="7">
        <v>998</v>
      </c>
      <c r="H597" s="7" t="s">
        <v>2135</v>
      </c>
      <c r="I597" s="37">
        <v>0</v>
      </c>
      <c r="J597" s="122">
        <v>0</v>
      </c>
      <c r="K597" s="123">
        <f t="shared" si="90"/>
        <v>0</v>
      </c>
      <c r="L597" s="122">
        <f>IF(K599&gt;0, K597/K599, 0)</f>
        <v>0</v>
      </c>
      <c r="M597" s="71"/>
      <c r="N597" s="10">
        <f>ROUND(M599*L597,0)</f>
        <v>0</v>
      </c>
      <c r="O597" s="70">
        <v>0</v>
      </c>
      <c r="P597" s="10">
        <f>N597-O597</f>
        <v>0</v>
      </c>
      <c r="Q597" s="46">
        <f t="shared" si="99"/>
        <v>0</v>
      </c>
      <c r="R597" s="10">
        <v>0</v>
      </c>
      <c r="S597" s="7">
        <f t="shared" si="92"/>
        <v>0</v>
      </c>
      <c r="T597" s="124">
        <f t="shared" si="93"/>
        <v>118</v>
      </c>
      <c r="U597" s="124">
        <f t="shared" si="94"/>
        <v>998</v>
      </c>
      <c r="V597" s="124">
        <f t="shared" si="95"/>
        <v>588</v>
      </c>
      <c r="W597" s="124">
        <f t="shared" si="96"/>
        <v>0</v>
      </c>
      <c r="X597" s="124">
        <f t="shared" si="97"/>
        <v>0</v>
      </c>
      <c r="Y597" s="264">
        <f t="shared" si="98"/>
        <v>588</v>
      </c>
      <c r="Z597" s="10">
        <v>118</v>
      </c>
      <c r="AA597" s="7">
        <v>998</v>
      </c>
      <c r="AB597" s="7">
        <v>588</v>
      </c>
      <c r="AC597" s="109">
        <v>0</v>
      </c>
      <c r="AD597" s="109">
        <v>0</v>
      </c>
      <c r="AE597" s="125"/>
      <c r="AF597" s="10"/>
      <c r="AI597" s="109"/>
      <c r="AJ597" s="109"/>
      <c r="AL597" s="10"/>
      <c r="AO597" s="109"/>
      <c r="AP597" s="109"/>
      <c r="AR597" s="10"/>
      <c r="AU597" s="109"/>
      <c r="AV597" s="109"/>
      <c r="AX597" s="10"/>
      <c r="BA597" s="109"/>
      <c r="BB597" s="109"/>
      <c r="BD597" s="10"/>
      <c r="BG597" s="109"/>
      <c r="BH597" s="109"/>
      <c r="BJ597" s="10"/>
      <c r="BM597" s="109"/>
      <c r="BN597" s="109"/>
      <c r="BP597" s="10"/>
      <c r="BS597" s="109"/>
      <c r="BT597" s="109"/>
      <c r="BV597" s="10"/>
      <c r="BY597" s="109"/>
      <c r="BZ597" s="109"/>
      <c r="CB597" s="10"/>
      <c r="CE597" s="109"/>
      <c r="CF597" s="109"/>
      <c r="CH597" s="10"/>
      <c r="CK597" s="109"/>
      <c r="CL597" s="109"/>
    </row>
    <row r="598" spans="1:90">
      <c r="A598" s="7" t="str">
        <f t="shared" si="91"/>
        <v>01180998</v>
      </c>
      <c r="B598" s="7" t="s">
        <v>2457</v>
      </c>
      <c r="C598" s="7" t="s">
        <v>2781</v>
      </c>
      <c r="D598" s="7">
        <v>589</v>
      </c>
      <c r="E598" s="7">
        <v>118</v>
      </c>
      <c r="F598" s="7" t="s">
        <v>2135</v>
      </c>
      <c r="G598" s="7">
        <v>998</v>
      </c>
      <c r="H598" s="7" t="s">
        <v>2135</v>
      </c>
      <c r="I598" s="37">
        <v>0</v>
      </c>
      <c r="J598" s="122">
        <v>0</v>
      </c>
      <c r="K598" s="123">
        <f t="shared" si="90"/>
        <v>0</v>
      </c>
      <c r="L598" s="122">
        <f>IF(K599&gt;0, K598/K599, 0)</f>
        <v>0</v>
      </c>
      <c r="M598" s="71"/>
      <c r="N598" s="10">
        <f>ROUND(M599*L598,0)</f>
        <v>0</v>
      </c>
      <c r="O598" s="70">
        <v>0</v>
      </c>
      <c r="P598" s="10">
        <f>N598-O598</f>
        <v>0</v>
      </c>
      <c r="Q598" s="46">
        <f t="shared" si="99"/>
        <v>0</v>
      </c>
      <c r="R598" s="10">
        <v>0</v>
      </c>
      <c r="S598" s="7">
        <f t="shared" si="92"/>
        <v>0</v>
      </c>
      <c r="T598" s="124">
        <f t="shared" si="93"/>
        <v>118</v>
      </c>
      <c r="U598" s="124">
        <f t="shared" si="94"/>
        <v>998</v>
      </c>
      <c r="V598" s="124">
        <f t="shared" si="95"/>
        <v>589</v>
      </c>
      <c r="W598" s="124">
        <f t="shared" si="96"/>
        <v>0</v>
      </c>
      <c r="X598" s="124">
        <f t="shared" si="97"/>
        <v>0</v>
      </c>
      <c r="Y598" s="264">
        <f t="shared" si="98"/>
        <v>589</v>
      </c>
      <c r="Z598" s="10">
        <v>118</v>
      </c>
      <c r="AA598" s="7">
        <v>998</v>
      </c>
      <c r="AB598" s="7">
        <v>589</v>
      </c>
      <c r="AC598" s="109">
        <v>0</v>
      </c>
      <c r="AD598" s="109">
        <v>0</v>
      </c>
      <c r="AE598" s="125"/>
      <c r="AF598" s="10"/>
      <c r="AI598" s="109"/>
      <c r="AJ598" s="109"/>
      <c r="AL598" s="10"/>
      <c r="AO598" s="109"/>
      <c r="AP598" s="109"/>
      <c r="AR598" s="10"/>
      <c r="AU598" s="109"/>
      <c r="AV598" s="109"/>
      <c r="AX598" s="10"/>
      <c r="BA598" s="109"/>
      <c r="BB598" s="109"/>
      <c r="BD598" s="10"/>
      <c r="BG598" s="109"/>
      <c r="BH598" s="109"/>
      <c r="BJ598" s="10"/>
      <c r="BM598" s="109"/>
      <c r="BN598" s="109"/>
      <c r="BP598" s="10"/>
      <c r="BS598" s="109"/>
      <c r="BT598" s="109"/>
      <c r="BV598" s="10"/>
      <c r="BY598" s="109"/>
      <c r="BZ598" s="109"/>
      <c r="CB598" s="10"/>
      <c r="CE598" s="109"/>
      <c r="CF598" s="109"/>
      <c r="CH598" s="10"/>
      <c r="CK598" s="109"/>
      <c r="CL598" s="109"/>
    </row>
    <row r="599" spans="1:90">
      <c r="A599" s="7" t="str">
        <f t="shared" si="91"/>
        <v>01180999</v>
      </c>
      <c r="B599" s="7" t="s">
        <v>2457</v>
      </c>
      <c r="C599" s="7" t="s">
        <v>2782</v>
      </c>
      <c r="D599" s="7">
        <v>590</v>
      </c>
      <c r="E599" s="11">
        <v>118</v>
      </c>
      <c r="F599" s="11" t="s">
        <v>1823</v>
      </c>
      <c r="G599" s="11">
        <v>999</v>
      </c>
      <c r="H599" s="11" t="s">
        <v>1132</v>
      </c>
      <c r="I599" s="105">
        <v>12210302.629929999</v>
      </c>
      <c r="J599" s="126">
        <v>1</v>
      </c>
      <c r="K599" s="127">
        <f>SUM(K595:K598)</f>
        <v>12447674.145083375</v>
      </c>
      <c r="L599" s="126">
        <f>SUM(L595:L598)</f>
        <v>1</v>
      </c>
      <c r="M599" s="105">
        <f>VLOOKUP(E599,town351,22)</f>
        <v>6532977</v>
      </c>
      <c r="N599" s="105">
        <f>SUM(N595:N598)</f>
        <v>6532977</v>
      </c>
      <c r="O599" s="128">
        <v>6441496</v>
      </c>
      <c r="P599" s="105">
        <f>SUM(P595:P598)</f>
        <v>91481</v>
      </c>
      <c r="Q599" s="45">
        <f t="shared" si="99"/>
        <v>1.4201825166079431</v>
      </c>
      <c r="R599" s="105">
        <v>1205</v>
      </c>
      <c r="S599" s="7">
        <f t="shared" si="92"/>
        <v>0</v>
      </c>
      <c r="T599" s="124">
        <f t="shared" si="93"/>
        <v>118</v>
      </c>
      <c r="U599" s="124">
        <f t="shared" si="94"/>
        <v>999</v>
      </c>
      <c r="V599" s="124">
        <f t="shared" si="95"/>
        <v>590</v>
      </c>
      <c r="W599" s="124">
        <f t="shared" si="96"/>
        <v>1206.85120000611</v>
      </c>
      <c r="X599" s="124">
        <f t="shared" si="97"/>
        <v>12447674.145083375</v>
      </c>
      <c r="Y599" s="264">
        <f t="shared" si="98"/>
        <v>590</v>
      </c>
      <c r="Z599" s="10">
        <v>118</v>
      </c>
      <c r="AA599" s="7">
        <v>999</v>
      </c>
      <c r="AB599" s="7">
        <v>590</v>
      </c>
      <c r="AC599" s="109">
        <v>1206.85120000611</v>
      </c>
      <c r="AD599" s="109">
        <v>12447674.145083375</v>
      </c>
      <c r="AE599" s="125"/>
      <c r="AF599" s="10"/>
      <c r="AI599" s="109"/>
      <c r="AJ599" s="109"/>
      <c r="AL599" s="10"/>
      <c r="AO599" s="109"/>
      <c r="AP599" s="109"/>
      <c r="AR599" s="10"/>
      <c r="AU599" s="109"/>
      <c r="AV599" s="109"/>
      <c r="AX599" s="10"/>
      <c r="BA599" s="109"/>
      <c r="BB599" s="109"/>
      <c r="BD599" s="10"/>
      <c r="BG599" s="109"/>
      <c r="BH599" s="109"/>
      <c r="BJ599" s="10"/>
      <c r="BM599" s="109"/>
      <c r="BN599" s="109"/>
      <c r="BP599" s="10"/>
      <c r="BS599" s="109"/>
      <c r="BT599" s="109"/>
      <c r="BV599" s="10"/>
      <c r="BY599" s="109"/>
      <c r="BZ599" s="109"/>
      <c r="CB599" s="10"/>
      <c r="CE599" s="109"/>
      <c r="CF599" s="109"/>
      <c r="CH599" s="10"/>
      <c r="CK599" s="109"/>
      <c r="CL599" s="109"/>
    </row>
    <row r="600" spans="1:90">
      <c r="A600" s="7" t="str">
        <f t="shared" si="91"/>
        <v>01190119</v>
      </c>
      <c r="B600" s="7" t="s">
        <v>2458</v>
      </c>
      <c r="C600" s="7" t="s">
        <v>2458</v>
      </c>
      <c r="D600" s="7">
        <v>591</v>
      </c>
      <c r="E600" s="7">
        <v>119</v>
      </c>
      <c r="F600" s="7" t="s">
        <v>1824</v>
      </c>
      <c r="G600" s="7">
        <v>119</v>
      </c>
      <c r="H600" s="7" t="s">
        <v>1385</v>
      </c>
      <c r="I600" s="37">
        <v>0</v>
      </c>
      <c r="J600" s="122">
        <v>0</v>
      </c>
      <c r="K600" s="123">
        <f t="shared" ref="K600:K663" si="100">X600</f>
        <v>0</v>
      </c>
      <c r="L600" s="122">
        <f>IF(K604&gt;0, K600/K604, 0)</f>
        <v>0</v>
      </c>
      <c r="M600" s="71"/>
      <c r="N600" s="10">
        <f>ROUND(M604*L600,0)</f>
        <v>0</v>
      </c>
      <c r="O600" s="70">
        <v>0</v>
      </c>
      <c r="P600" s="10">
        <f>N600-O600</f>
        <v>0</v>
      </c>
      <c r="Q600" s="46">
        <f t="shared" si="99"/>
        <v>0</v>
      </c>
      <c r="R600" s="10">
        <v>0</v>
      </c>
      <c r="S600" s="7">
        <f t="shared" si="92"/>
        <v>0</v>
      </c>
      <c r="T600" s="124">
        <f t="shared" si="93"/>
        <v>119</v>
      </c>
      <c r="U600" s="124">
        <f t="shared" si="94"/>
        <v>119</v>
      </c>
      <c r="V600" s="124">
        <f t="shared" si="95"/>
        <v>591</v>
      </c>
      <c r="W600" s="124">
        <f t="shared" si="96"/>
        <v>0</v>
      </c>
      <c r="X600" s="124">
        <f t="shared" si="97"/>
        <v>0</v>
      </c>
      <c r="Y600" s="264">
        <f t="shared" si="98"/>
        <v>591</v>
      </c>
      <c r="Z600" s="10">
        <v>119</v>
      </c>
      <c r="AA600" s="7">
        <v>119</v>
      </c>
      <c r="AB600" s="7">
        <v>591</v>
      </c>
      <c r="AC600" s="109">
        <v>0</v>
      </c>
      <c r="AD600" s="109">
        <v>0</v>
      </c>
      <c r="AE600" s="125"/>
      <c r="AF600" s="10"/>
      <c r="AI600" s="109"/>
      <c r="AJ600" s="109"/>
      <c r="AL600" s="10"/>
      <c r="AO600" s="109"/>
      <c r="AP600" s="109"/>
      <c r="AR600" s="10"/>
      <c r="AU600" s="109"/>
      <c r="AV600" s="109"/>
      <c r="AX600" s="10"/>
      <c r="BA600" s="109"/>
      <c r="BB600" s="109"/>
      <c r="BD600" s="10"/>
      <c r="BG600" s="109"/>
      <c r="BH600" s="109"/>
      <c r="BJ600" s="10"/>
      <c r="BM600" s="109"/>
      <c r="BN600" s="109"/>
      <c r="BP600" s="10"/>
      <c r="BS600" s="109"/>
      <c r="BT600" s="109"/>
      <c r="BV600" s="10"/>
      <c r="BY600" s="109"/>
      <c r="BZ600" s="109"/>
      <c r="CB600" s="10"/>
      <c r="CE600" s="109"/>
      <c r="CF600" s="109"/>
      <c r="CH600" s="10"/>
      <c r="CK600" s="109"/>
      <c r="CL600" s="109"/>
    </row>
    <row r="601" spans="1:90">
      <c r="A601" s="7" t="str">
        <f t="shared" si="91"/>
        <v>01190675</v>
      </c>
      <c r="B601" s="7" t="s">
        <v>2458</v>
      </c>
      <c r="C601" s="7" t="s">
        <v>2718</v>
      </c>
      <c r="D601" s="7">
        <v>592</v>
      </c>
      <c r="E601" s="7">
        <v>119</v>
      </c>
      <c r="F601" s="7" t="s">
        <v>1824</v>
      </c>
      <c r="G601" s="7">
        <v>675</v>
      </c>
      <c r="H601" s="7" t="s">
        <v>1645</v>
      </c>
      <c r="I601" s="37">
        <v>10840150</v>
      </c>
      <c r="J601" s="122">
        <v>0.97864736555205334</v>
      </c>
      <c r="K601" s="123">
        <f t="shared" si="100"/>
        <v>10773113.457402205</v>
      </c>
      <c r="L601" s="122">
        <f>IF(K604&gt;0, K601/K604, 0)</f>
        <v>0.97974665692003227</v>
      </c>
      <c r="M601" s="71"/>
      <c r="N601" s="10">
        <f>ROUND(M604*L601,0)</f>
        <v>8971410</v>
      </c>
      <c r="O601" s="70">
        <v>9066396</v>
      </c>
      <c r="P601" s="10">
        <f>N601-O601</f>
        <v>-94986</v>
      </c>
      <c r="Q601" s="46">
        <f t="shared" si="99"/>
        <v>-1.0476709819425492</v>
      </c>
      <c r="R601" s="10">
        <v>1144</v>
      </c>
      <c r="S601" s="7">
        <f t="shared" si="92"/>
        <v>0</v>
      </c>
      <c r="T601" s="124">
        <f t="shared" si="93"/>
        <v>119</v>
      </c>
      <c r="U601" s="124">
        <f t="shared" si="94"/>
        <v>675</v>
      </c>
      <c r="V601" s="124">
        <f t="shared" si="95"/>
        <v>592</v>
      </c>
      <c r="W601" s="124">
        <f t="shared" si="96"/>
        <v>1119.48335246275</v>
      </c>
      <c r="X601" s="124">
        <f t="shared" si="97"/>
        <v>10773113.457402205</v>
      </c>
      <c r="Y601" s="264">
        <f t="shared" si="98"/>
        <v>592</v>
      </c>
      <c r="Z601" s="10">
        <v>119</v>
      </c>
      <c r="AA601" s="7">
        <v>675</v>
      </c>
      <c r="AB601" s="7">
        <v>592</v>
      </c>
      <c r="AC601" s="109">
        <v>1119.48335246275</v>
      </c>
      <c r="AD601" s="109">
        <v>10773113.457402205</v>
      </c>
      <c r="AE601" s="125"/>
      <c r="AF601" s="10"/>
      <c r="AI601" s="109"/>
      <c r="AJ601" s="109"/>
      <c r="AL601" s="10"/>
      <c r="AO601" s="109"/>
      <c r="AP601" s="109"/>
      <c r="AR601" s="10"/>
      <c r="AU601" s="109"/>
      <c r="AV601" s="109"/>
      <c r="AX601" s="10"/>
      <c r="BA601" s="109"/>
      <c r="BB601" s="109"/>
      <c r="BD601" s="10"/>
      <c r="BG601" s="109"/>
      <c r="BH601" s="109"/>
      <c r="BJ601" s="10"/>
      <c r="BM601" s="109"/>
      <c r="BN601" s="109"/>
      <c r="BP601" s="10"/>
      <c r="BS601" s="109"/>
      <c r="BT601" s="109"/>
      <c r="BV601" s="10"/>
      <c r="BY601" s="109"/>
      <c r="BZ601" s="109"/>
      <c r="CB601" s="10"/>
      <c r="CE601" s="109"/>
      <c r="CF601" s="109"/>
      <c r="CH601" s="10"/>
      <c r="CK601" s="109"/>
      <c r="CL601" s="109"/>
    </row>
    <row r="602" spans="1:90">
      <c r="A602" s="7" t="str">
        <f t="shared" si="91"/>
        <v>01190817</v>
      </c>
      <c r="B602" s="7" t="s">
        <v>2458</v>
      </c>
      <c r="C602" s="7" t="s">
        <v>2757</v>
      </c>
      <c r="D602" s="7">
        <v>593</v>
      </c>
      <c r="E602" s="7">
        <v>119</v>
      </c>
      <c r="F602" s="7" t="s">
        <v>1824</v>
      </c>
      <c r="G602" s="7">
        <v>817</v>
      </c>
      <c r="H602" s="7" t="s">
        <v>1684</v>
      </c>
      <c r="I602" s="37">
        <v>236516</v>
      </c>
      <c r="J602" s="122">
        <v>2.1352634447946703E-2</v>
      </c>
      <c r="K602" s="123">
        <f t="shared" si="100"/>
        <v>222702.02337622663</v>
      </c>
      <c r="L602" s="122">
        <f>IF(K604&gt;0, K602/K604, 0)</f>
        <v>2.0253343079967796E-2</v>
      </c>
      <c r="M602" s="71"/>
      <c r="N602" s="10">
        <f>ROUND(M604*L602,0)</f>
        <v>185457</v>
      </c>
      <c r="O602" s="70">
        <v>197815</v>
      </c>
      <c r="P602" s="10">
        <f>N602-O602</f>
        <v>-12358</v>
      </c>
      <c r="Q602" s="46">
        <f t="shared" si="99"/>
        <v>-6.2472512195738439</v>
      </c>
      <c r="R602" s="10">
        <v>15</v>
      </c>
      <c r="S602" s="7">
        <f t="shared" si="92"/>
        <v>0</v>
      </c>
      <c r="T602" s="124">
        <f t="shared" si="93"/>
        <v>119</v>
      </c>
      <c r="U602" s="124">
        <f t="shared" si="94"/>
        <v>817</v>
      </c>
      <c r="V602" s="124">
        <f t="shared" si="95"/>
        <v>593</v>
      </c>
      <c r="W602" s="124">
        <f t="shared" si="96"/>
        <v>13.999999995540001</v>
      </c>
      <c r="X602" s="124">
        <f t="shared" si="97"/>
        <v>222702.02337622663</v>
      </c>
      <c r="Y602" s="264">
        <f t="shared" si="98"/>
        <v>593</v>
      </c>
      <c r="Z602" s="10">
        <v>119</v>
      </c>
      <c r="AA602" s="7">
        <v>817</v>
      </c>
      <c r="AB602" s="7">
        <v>593</v>
      </c>
      <c r="AC602" s="109">
        <v>13.999999995540001</v>
      </c>
      <c r="AD602" s="109">
        <v>222702.02337622663</v>
      </c>
      <c r="AE602" s="125"/>
      <c r="AF602" s="10"/>
      <c r="AI602" s="109"/>
      <c r="AJ602" s="109"/>
      <c r="AL602" s="10"/>
      <c r="AO602" s="109"/>
      <c r="AP602" s="109"/>
      <c r="AR602" s="10"/>
      <c r="AU602" s="109"/>
      <c r="AV602" s="109"/>
      <c r="AX602" s="10"/>
      <c r="BA602" s="109"/>
      <c r="BB602" s="109"/>
      <c r="BD602" s="10"/>
      <c r="BG602" s="109"/>
      <c r="BH602" s="109"/>
      <c r="BJ602" s="10"/>
      <c r="BM602" s="109"/>
      <c r="BN602" s="109"/>
      <c r="BP602" s="10"/>
      <c r="BS602" s="109"/>
      <c r="BT602" s="109"/>
      <c r="BV602" s="10"/>
      <c r="BY602" s="109"/>
      <c r="BZ602" s="109"/>
      <c r="CB602" s="10"/>
      <c r="CE602" s="109"/>
      <c r="CF602" s="109"/>
      <c r="CH602" s="10"/>
      <c r="CK602" s="109"/>
      <c r="CL602" s="109"/>
    </row>
    <row r="603" spans="1:90">
      <c r="A603" s="7" t="str">
        <f t="shared" si="91"/>
        <v>01190998</v>
      </c>
      <c r="B603" s="7" t="s">
        <v>2458</v>
      </c>
      <c r="C603" s="7" t="s">
        <v>2781</v>
      </c>
      <c r="D603" s="7">
        <v>594</v>
      </c>
      <c r="E603" s="7">
        <v>119</v>
      </c>
      <c r="F603" s="7" t="s">
        <v>2135</v>
      </c>
      <c r="G603" s="7">
        <v>998</v>
      </c>
      <c r="I603" s="129">
        <v>0</v>
      </c>
      <c r="J603" s="130">
        <v>0</v>
      </c>
      <c r="K603" s="123">
        <f t="shared" si="100"/>
        <v>0</v>
      </c>
      <c r="L603" s="122">
        <f>IF(K604&gt;0, K603/K604, 0)</f>
        <v>0</v>
      </c>
      <c r="M603" s="71"/>
      <c r="N603" s="10">
        <f>ROUND(M604*L603,0)</f>
        <v>0</v>
      </c>
      <c r="O603" s="70">
        <v>0</v>
      </c>
      <c r="P603" s="10">
        <f>N603-O603</f>
        <v>0</v>
      </c>
      <c r="Q603" s="46">
        <f t="shared" si="99"/>
        <v>0</v>
      </c>
      <c r="R603" s="10">
        <v>0</v>
      </c>
      <c r="S603" s="7">
        <f t="shared" si="92"/>
        <v>0</v>
      </c>
      <c r="T603" s="124">
        <f t="shared" si="93"/>
        <v>119</v>
      </c>
      <c r="U603" s="124">
        <f t="shared" si="94"/>
        <v>998</v>
      </c>
      <c r="V603" s="124">
        <f t="shared" si="95"/>
        <v>594</v>
      </c>
      <c r="W603" s="124">
        <f t="shared" si="96"/>
        <v>0</v>
      </c>
      <c r="X603" s="124">
        <f t="shared" si="97"/>
        <v>0</v>
      </c>
      <c r="Y603" s="264">
        <f t="shared" si="98"/>
        <v>594</v>
      </c>
      <c r="Z603" s="10">
        <v>119</v>
      </c>
      <c r="AA603" s="7">
        <v>998</v>
      </c>
      <c r="AB603" s="7">
        <v>594</v>
      </c>
      <c r="AC603" s="109">
        <v>0</v>
      </c>
      <c r="AD603" s="109">
        <v>0</v>
      </c>
      <c r="AE603" s="125"/>
      <c r="AF603" s="10"/>
      <c r="AI603" s="109"/>
      <c r="AJ603" s="109"/>
      <c r="AL603" s="10"/>
      <c r="AO603" s="109"/>
      <c r="AP603" s="109"/>
      <c r="AR603" s="10"/>
      <c r="AU603" s="109"/>
      <c r="AV603" s="109"/>
      <c r="AX603" s="10"/>
      <c r="BA603" s="109"/>
      <c r="BB603" s="109"/>
      <c r="BD603" s="10"/>
      <c r="BG603" s="109"/>
      <c r="BH603" s="109"/>
      <c r="BJ603" s="10"/>
      <c r="BM603" s="109"/>
      <c r="BN603" s="109"/>
      <c r="BP603" s="10"/>
      <c r="BS603" s="109"/>
      <c r="BT603" s="109"/>
      <c r="BV603" s="10"/>
      <c r="BY603" s="109"/>
      <c r="BZ603" s="109"/>
      <c r="CB603" s="10"/>
      <c r="CE603" s="109"/>
      <c r="CF603" s="109"/>
      <c r="CH603" s="10"/>
      <c r="CK603" s="109"/>
      <c r="CL603" s="109"/>
    </row>
    <row r="604" spans="1:90">
      <c r="A604" s="7" t="str">
        <f t="shared" si="91"/>
        <v>01190999</v>
      </c>
      <c r="B604" s="7" t="s">
        <v>2458</v>
      </c>
      <c r="C604" s="7" t="s">
        <v>2782</v>
      </c>
      <c r="D604" s="7">
        <v>595</v>
      </c>
      <c r="E604" s="11">
        <v>119</v>
      </c>
      <c r="F604" s="11" t="s">
        <v>1824</v>
      </c>
      <c r="G604" s="11">
        <v>999</v>
      </c>
      <c r="H604" s="11" t="s">
        <v>1132</v>
      </c>
      <c r="I604" s="105">
        <v>11076666</v>
      </c>
      <c r="J604" s="126">
        <v>1</v>
      </c>
      <c r="K604" s="127">
        <f>SUM(K600:K603)</f>
        <v>10995815.480778432</v>
      </c>
      <c r="L604" s="126">
        <f>SUM(L600:L603)</f>
        <v>1</v>
      </c>
      <c r="M604" s="105">
        <f>VLOOKUP(E604,town351,22)</f>
        <v>9156867</v>
      </c>
      <c r="N604" s="105">
        <f>SUM(N600:N603)</f>
        <v>9156867</v>
      </c>
      <c r="O604" s="128">
        <v>9264211</v>
      </c>
      <c r="P604" s="105">
        <f>SUM(P600:P603)</f>
        <v>-107344</v>
      </c>
      <c r="Q604" s="45">
        <f t="shared" si="99"/>
        <v>-1.158695543527668</v>
      </c>
      <c r="R604" s="105">
        <v>1159</v>
      </c>
      <c r="S604" s="7">
        <f t="shared" si="92"/>
        <v>0</v>
      </c>
      <c r="T604" s="124">
        <f t="shared" si="93"/>
        <v>119</v>
      </c>
      <c r="U604" s="124">
        <f t="shared" si="94"/>
        <v>999</v>
      </c>
      <c r="V604" s="124">
        <f t="shared" si="95"/>
        <v>595</v>
      </c>
      <c r="W604" s="124">
        <f t="shared" si="96"/>
        <v>1133.48335245829</v>
      </c>
      <c r="X604" s="124">
        <f t="shared" si="97"/>
        <v>10995815.480778432</v>
      </c>
      <c r="Y604" s="264">
        <f t="shared" si="98"/>
        <v>595</v>
      </c>
      <c r="Z604" s="10">
        <v>119</v>
      </c>
      <c r="AA604" s="7">
        <v>999</v>
      </c>
      <c r="AB604" s="7">
        <v>595</v>
      </c>
      <c r="AC604" s="109">
        <v>1133.48335245829</v>
      </c>
      <c r="AD604" s="109">
        <v>10995815.480778432</v>
      </c>
      <c r="AE604" s="125"/>
      <c r="AF604" s="10"/>
      <c r="AI604" s="109"/>
      <c r="AJ604" s="109"/>
      <c r="AL604" s="10"/>
      <c r="AO604" s="109"/>
      <c r="AP604" s="109"/>
      <c r="AR604" s="10"/>
      <c r="AU604" s="109"/>
      <c r="AV604" s="109"/>
      <c r="AX604" s="10"/>
      <c r="BA604" s="109"/>
      <c r="BB604" s="109"/>
      <c r="BD604" s="10"/>
      <c r="BG604" s="109"/>
      <c r="BH604" s="109"/>
      <c r="BJ604" s="10"/>
      <c r="BM604" s="109"/>
      <c r="BN604" s="109"/>
      <c r="BP604" s="10"/>
      <c r="BS604" s="109"/>
      <c r="BT604" s="109"/>
      <c r="BV604" s="10"/>
      <c r="BY604" s="109"/>
      <c r="BZ604" s="109"/>
      <c r="CB604" s="10"/>
      <c r="CE604" s="109"/>
      <c r="CF604" s="109"/>
      <c r="CH604" s="10"/>
      <c r="CK604" s="109"/>
      <c r="CL604" s="109"/>
    </row>
    <row r="605" spans="1:90">
      <c r="A605" s="7" t="str">
        <f t="shared" si="91"/>
        <v>01200120</v>
      </c>
      <c r="B605" s="7" t="s">
        <v>2459</v>
      </c>
      <c r="C605" s="7" t="s">
        <v>2459</v>
      </c>
      <c r="D605" s="7">
        <v>596</v>
      </c>
      <c r="E605" s="7">
        <v>120</v>
      </c>
      <c r="F605" s="7" t="s">
        <v>1825</v>
      </c>
      <c r="G605" s="7">
        <v>120</v>
      </c>
      <c r="H605" s="7" t="s">
        <v>1386</v>
      </c>
      <c r="I605" s="37">
        <v>0</v>
      </c>
      <c r="J605" s="122">
        <v>0</v>
      </c>
      <c r="K605" s="123">
        <f>X605</f>
        <v>0</v>
      </c>
      <c r="L605" s="122">
        <f>IF(K609&gt;0, K605/K609, 0)</f>
        <v>0</v>
      </c>
      <c r="M605" s="71"/>
      <c r="N605" s="10">
        <f>ROUND(M609*L605,0)</f>
        <v>0</v>
      </c>
      <c r="O605" s="70">
        <v>0</v>
      </c>
      <c r="P605" s="10">
        <f>N605-O605</f>
        <v>0</v>
      </c>
      <c r="Q605" s="46">
        <f t="shared" si="99"/>
        <v>0</v>
      </c>
      <c r="R605" s="10">
        <v>0</v>
      </c>
      <c r="S605" s="7">
        <f t="shared" si="92"/>
        <v>0</v>
      </c>
      <c r="T605" s="124">
        <f t="shared" si="93"/>
        <v>120</v>
      </c>
      <c r="U605" s="124">
        <f t="shared" si="94"/>
        <v>120</v>
      </c>
      <c r="V605" s="124">
        <f t="shared" si="95"/>
        <v>596</v>
      </c>
      <c r="W605" s="124">
        <f t="shared" si="96"/>
        <v>0</v>
      </c>
      <c r="X605" s="124">
        <f t="shared" si="97"/>
        <v>0</v>
      </c>
      <c r="Y605" s="264">
        <f t="shared" si="98"/>
        <v>596</v>
      </c>
      <c r="Z605" s="10">
        <v>120</v>
      </c>
      <c r="AA605" s="7">
        <v>120</v>
      </c>
      <c r="AB605" s="7">
        <v>596</v>
      </c>
      <c r="AC605" s="109">
        <v>0</v>
      </c>
      <c r="AD605" s="109">
        <v>0</v>
      </c>
      <c r="AE605" s="125"/>
      <c r="AF605" s="10"/>
      <c r="AI605" s="109"/>
      <c r="AJ605" s="109"/>
      <c r="AL605" s="10"/>
      <c r="AO605" s="109"/>
      <c r="AP605" s="109"/>
      <c r="AR605" s="10"/>
      <c r="AU605" s="109"/>
      <c r="AV605" s="109"/>
      <c r="AX605" s="10"/>
      <c r="BA605" s="109"/>
      <c r="BB605" s="109"/>
      <c r="BD605" s="10"/>
      <c r="BG605" s="109"/>
      <c r="BH605" s="109"/>
      <c r="BJ605" s="10"/>
      <c r="BM605" s="109"/>
      <c r="BN605" s="109"/>
      <c r="BP605" s="10"/>
      <c r="BS605" s="109"/>
      <c r="BT605" s="109"/>
      <c r="BV605" s="10"/>
      <c r="BY605" s="109"/>
      <c r="BZ605" s="109"/>
      <c r="CB605" s="10"/>
      <c r="CE605" s="109"/>
      <c r="CF605" s="109"/>
      <c r="CH605" s="10"/>
      <c r="CK605" s="109"/>
      <c r="CL605" s="109"/>
    </row>
    <row r="606" spans="1:90">
      <c r="A606" s="7" t="str">
        <f t="shared" si="91"/>
        <v>01200680</v>
      </c>
      <c r="B606" s="7" t="s">
        <v>2459</v>
      </c>
      <c r="C606" s="7" t="s">
        <v>2719</v>
      </c>
      <c r="D606" s="7">
        <v>597</v>
      </c>
      <c r="E606" s="7">
        <v>120</v>
      </c>
      <c r="F606" s="7" t="s">
        <v>1825</v>
      </c>
      <c r="G606" s="7">
        <v>680</v>
      </c>
      <c r="H606" s="7" t="s">
        <v>1646</v>
      </c>
      <c r="I606" s="37">
        <v>7062290</v>
      </c>
      <c r="J606" s="122">
        <v>1</v>
      </c>
      <c r="K606" s="123">
        <f t="shared" si="100"/>
        <v>6987783.7096305136</v>
      </c>
      <c r="L606" s="122">
        <f>IF(K609&gt;0, K606/K609, 0)</f>
        <v>1</v>
      </c>
      <c r="M606" s="71"/>
      <c r="N606" s="10">
        <f>ROUND(M609*L606,0)</f>
        <v>5284329</v>
      </c>
      <c r="O606" s="70">
        <v>5173441</v>
      </c>
      <c r="P606" s="10">
        <f>N606-O606</f>
        <v>110888</v>
      </c>
      <c r="Q606" s="46">
        <f t="shared" si="99"/>
        <v>2.1434089999286741</v>
      </c>
      <c r="R606" s="10">
        <v>734</v>
      </c>
      <c r="S606" s="7">
        <f t="shared" si="92"/>
        <v>0</v>
      </c>
      <c r="T606" s="124">
        <f t="shared" si="93"/>
        <v>120</v>
      </c>
      <c r="U606" s="124">
        <f t="shared" si="94"/>
        <v>680</v>
      </c>
      <c r="V606" s="124">
        <f t="shared" si="95"/>
        <v>597</v>
      </c>
      <c r="W606" s="124">
        <f t="shared" si="96"/>
        <v>709.99999998928001</v>
      </c>
      <c r="X606" s="124">
        <f t="shared" si="97"/>
        <v>6987783.7096305136</v>
      </c>
      <c r="Y606" s="264">
        <f t="shared" si="98"/>
        <v>597</v>
      </c>
      <c r="Z606" s="10">
        <v>120</v>
      </c>
      <c r="AA606" s="7">
        <v>680</v>
      </c>
      <c r="AB606" s="7">
        <v>597</v>
      </c>
      <c r="AC606" s="109">
        <v>709.99999998928001</v>
      </c>
      <c r="AD606" s="109">
        <v>6987783.7096305136</v>
      </c>
      <c r="AE606" s="125"/>
      <c r="AF606" s="10"/>
      <c r="AI606" s="109"/>
      <c r="AJ606" s="109"/>
      <c r="AL606" s="10"/>
      <c r="AO606" s="109"/>
      <c r="AP606" s="109"/>
      <c r="AR606" s="10"/>
      <c r="AU606" s="109"/>
      <c r="AV606" s="109"/>
      <c r="AX606" s="10"/>
      <c r="BA606" s="109"/>
      <c r="BB606" s="109"/>
      <c r="BD606" s="10"/>
      <c r="BG606" s="109"/>
      <c r="BH606" s="109"/>
      <c r="BJ606" s="10"/>
      <c r="BM606" s="109"/>
      <c r="BN606" s="109"/>
      <c r="BP606" s="10"/>
      <c r="BS606" s="109"/>
      <c r="BT606" s="109"/>
      <c r="BV606" s="10"/>
      <c r="BY606" s="109"/>
      <c r="BZ606" s="109"/>
      <c r="CB606" s="10"/>
      <c r="CE606" s="109"/>
      <c r="CF606" s="109"/>
      <c r="CH606" s="10"/>
      <c r="CK606" s="109"/>
      <c r="CL606" s="109"/>
    </row>
    <row r="607" spans="1:90">
      <c r="A607" s="7" t="str">
        <f t="shared" si="91"/>
        <v>01200998</v>
      </c>
      <c r="B607" s="7" t="s">
        <v>2459</v>
      </c>
      <c r="C607" s="7" t="s">
        <v>2781</v>
      </c>
      <c r="D607" s="7">
        <v>598</v>
      </c>
      <c r="E607" s="7">
        <v>120</v>
      </c>
      <c r="F607" s="7" t="s">
        <v>2135</v>
      </c>
      <c r="G607" s="7">
        <v>998</v>
      </c>
      <c r="H607" s="7" t="s">
        <v>2135</v>
      </c>
      <c r="I607" s="37">
        <v>0</v>
      </c>
      <c r="J607" s="122">
        <v>0</v>
      </c>
      <c r="K607" s="123">
        <f t="shared" si="100"/>
        <v>0</v>
      </c>
      <c r="L607" s="122">
        <f>IF(K609&gt;0, K607/K609, 0)</f>
        <v>0</v>
      </c>
      <c r="M607" s="71"/>
      <c r="N607" s="10">
        <f>ROUND(M609*L607,0)</f>
        <v>0</v>
      </c>
      <c r="O607" s="70">
        <v>0</v>
      </c>
      <c r="P607" s="10">
        <f>N607-O607</f>
        <v>0</v>
      </c>
      <c r="Q607" s="46">
        <f t="shared" si="99"/>
        <v>0</v>
      </c>
      <c r="R607" s="10">
        <v>0</v>
      </c>
      <c r="S607" s="7">
        <f t="shared" si="92"/>
        <v>0</v>
      </c>
      <c r="T607" s="124">
        <f t="shared" si="93"/>
        <v>120</v>
      </c>
      <c r="U607" s="124">
        <f t="shared" si="94"/>
        <v>998</v>
      </c>
      <c r="V607" s="124">
        <f t="shared" si="95"/>
        <v>598</v>
      </c>
      <c r="W607" s="124">
        <f t="shared" si="96"/>
        <v>0</v>
      </c>
      <c r="X607" s="124">
        <f t="shared" si="97"/>
        <v>0</v>
      </c>
      <c r="Y607" s="264">
        <f t="shared" si="98"/>
        <v>598</v>
      </c>
      <c r="Z607" s="10">
        <v>120</v>
      </c>
      <c r="AA607" s="7">
        <v>998</v>
      </c>
      <c r="AB607" s="7">
        <v>598</v>
      </c>
      <c r="AC607" s="109">
        <v>0</v>
      </c>
      <c r="AD607" s="109">
        <v>0</v>
      </c>
      <c r="AE607" s="125"/>
      <c r="AF607" s="10"/>
      <c r="AI607" s="109"/>
      <c r="AJ607" s="109"/>
      <c r="AL607" s="10"/>
      <c r="AO607" s="109"/>
      <c r="AP607" s="109"/>
      <c r="AR607" s="10"/>
      <c r="AU607" s="109"/>
      <c r="AV607" s="109"/>
      <c r="AX607" s="10"/>
      <c r="BA607" s="109"/>
      <c r="BB607" s="109"/>
      <c r="BD607" s="10"/>
      <c r="BG607" s="109"/>
      <c r="BH607" s="109"/>
      <c r="BJ607" s="10"/>
      <c r="BM607" s="109"/>
      <c r="BN607" s="109"/>
      <c r="BP607" s="10"/>
      <c r="BS607" s="109"/>
      <c r="BT607" s="109"/>
      <c r="BV607" s="10"/>
      <c r="BY607" s="109"/>
      <c r="BZ607" s="109"/>
      <c r="CB607" s="10"/>
      <c r="CE607" s="109"/>
      <c r="CF607" s="109"/>
      <c r="CH607" s="10"/>
      <c r="CK607" s="109"/>
      <c r="CL607" s="109"/>
    </row>
    <row r="608" spans="1:90">
      <c r="A608" s="7" t="str">
        <f t="shared" si="91"/>
        <v>01200998</v>
      </c>
      <c r="B608" s="7" t="s">
        <v>2459</v>
      </c>
      <c r="C608" s="7" t="s">
        <v>2781</v>
      </c>
      <c r="D608" s="7">
        <v>599</v>
      </c>
      <c r="E608" s="7">
        <v>120</v>
      </c>
      <c r="F608" s="7" t="s">
        <v>2135</v>
      </c>
      <c r="G608" s="7">
        <v>998</v>
      </c>
      <c r="H608" s="7" t="s">
        <v>2135</v>
      </c>
      <c r="I608" s="37">
        <v>0</v>
      </c>
      <c r="J608" s="122">
        <v>0</v>
      </c>
      <c r="K608" s="123">
        <f t="shared" si="100"/>
        <v>0</v>
      </c>
      <c r="L608" s="122">
        <f>IF(K609&gt;0, K608/K609, 0)</f>
        <v>0</v>
      </c>
      <c r="M608" s="71"/>
      <c r="N608" s="10">
        <f>ROUND(M609*L608,0)</f>
        <v>0</v>
      </c>
      <c r="O608" s="70">
        <v>0</v>
      </c>
      <c r="P608" s="10">
        <f>N608-O608</f>
        <v>0</v>
      </c>
      <c r="Q608" s="46">
        <f t="shared" si="99"/>
        <v>0</v>
      </c>
      <c r="R608" s="10">
        <v>0</v>
      </c>
      <c r="S608" s="7">
        <f t="shared" si="92"/>
        <v>0</v>
      </c>
      <c r="T608" s="124">
        <f t="shared" si="93"/>
        <v>120</v>
      </c>
      <c r="U608" s="124">
        <f t="shared" si="94"/>
        <v>998</v>
      </c>
      <c r="V608" s="124">
        <f t="shared" si="95"/>
        <v>599</v>
      </c>
      <c r="W608" s="124">
        <f t="shared" si="96"/>
        <v>0</v>
      </c>
      <c r="X608" s="124">
        <f t="shared" si="97"/>
        <v>0</v>
      </c>
      <c r="Y608" s="264">
        <f t="shared" si="98"/>
        <v>599</v>
      </c>
      <c r="Z608" s="10">
        <v>120</v>
      </c>
      <c r="AA608" s="7">
        <v>998</v>
      </c>
      <c r="AB608" s="7">
        <v>599</v>
      </c>
      <c r="AC608" s="109">
        <v>0</v>
      </c>
      <c r="AD608" s="109">
        <v>0</v>
      </c>
      <c r="AE608" s="125"/>
      <c r="AF608" s="10"/>
      <c r="AI608" s="109"/>
      <c r="AJ608" s="109"/>
      <c r="AL608" s="10"/>
      <c r="AO608" s="109"/>
      <c r="AP608" s="109"/>
      <c r="AR608" s="10"/>
      <c r="AU608" s="109"/>
      <c r="AV608" s="109"/>
      <c r="AX608" s="10"/>
      <c r="BA608" s="109"/>
      <c r="BB608" s="109"/>
      <c r="BD608" s="10"/>
      <c r="BG608" s="109"/>
      <c r="BH608" s="109"/>
      <c r="BJ608" s="10"/>
      <c r="BM608" s="109"/>
      <c r="BN608" s="109"/>
      <c r="BP608" s="10"/>
      <c r="BS608" s="109"/>
      <c r="BT608" s="109"/>
      <c r="BV608" s="10"/>
      <c r="BY608" s="109"/>
      <c r="BZ608" s="109"/>
      <c r="CB608" s="10"/>
      <c r="CE608" s="109"/>
      <c r="CF608" s="109"/>
      <c r="CH608" s="10"/>
      <c r="CK608" s="109"/>
      <c r="CL608" s="109"/>
    </row>
    <row r="609" spans="1:90">
      <c r="A609" s="7" t="str">
        <f t="shared" si="91"/>
        <v>01200999</v>
      </c>
      <c r="B609" s="7" t="s">
        <v>2459</v>
      </c>
      <c r="C609" s="7" t="s">
        <v>2782</v>
      </c>
      <c r="D609" s="7">
        <v>600</v>
      </c>
      <c r="E609" s="11">
        <v>120</v>
      </c>
      <c r="F609" s="11" t="s">
        <v>1825</v>
      </c>
      <c r="G609" s="11">
        <v>999</v>
      </c>
      <c r="H609" s="11" t="s">
        <v>1132</v>
      </c>
      <c r="I609" s="105">
        <v>7062290</v>
      </c>
      <c r="J609" s="126">
        <v>1</v>
      </c>
      <c r="K609" s="127">
        <f>SUM(K605:K608)</f>
        <v>6987783.7096305136</v>
      </c>
      <c r="L609" s="126">
        <f>SUM(L605:L608)</f>
        <v>1</v>
      </c>
      <c r="M609" s="105">
        <f>VLOOKUP(E609,town351,22)</f>
        <v>5284329</v>
      </c>
      <c r="N609" s="105">
        <f>SUM(N605:N608)</f>
        <v>5284329</v>
      </c>
      <c r="O609" s="128">
        <v>5173441</v>
      </c>
      <c r="P609" s="105">
        <f>SUM(P605:P608)</f>
        <v>110888</v>
      </c>
      <c r="Q609" s="45">
        <f t="shared" si="99"/>
        <v>2.1434089999286741</v>
      </c>
      <c r="R609" s="105">
        <v>734</v>
      </c>
      <c r="S609" s="7">
        <f t="shared" si="92"/>
        <v>0</v>
      </c>
      <c r="T609" s="124">
        <f t="shared" si="93"/>
        <v>120</v>
      </c>
      <c r="U609" s="124">
        <f t="shared" si="94"/>
        <v>999</v>
      </c>
      <c r="V609" s="124">
        <f t="shared" si="95"/>
        <v>600</v>
      </c>
      <c r="W609" s="124">
        <f t="shared" si="96"/>
        <v>709.99999998928001</v>
      </c>
      <c r="X609" s="124">
        <f t="shared" si="97"/>
        <v>6987783.7096305136</v>
      </c>
      <c r="Y609" s="264">
        <f t="shared" si="98"/>
        <v>600</v>
      </c>
      <c r="Z609" s="10">
        <v>120</v>
      </c>
      <c r="AA609" s="7">
        <v>999</v>
      </c>
      <c r="AB609" s="7">
        <v>600</v>
      </c>
      <c r="AC609" s="109">
        <v>709.99999998928001</v>
      </c>
      <c r="AD609" s="109">
        <v>6987783.7096305136</v>
      </c>
      <c r="AE609" s="125"/>
      <c r="AF609" s="10"/>
      <c r="AI609" s="109"/>
      <c r="AJ609" s="109"/>
      <c r="AL609" s="10"/>
      <c r="AO609" s="109"/>
      <c r="AP609" s="109"/>
      <c r="AR609" s="10"/>
      <c r="AU609" s="109"/>
      <c r="AV609" s="109"/>
      <c r="AX609" s="10"/>
      <c r="BA609" s="109"/>
      <c r="BB609" s="109"/>
      <c r="BD609" s="10"/>
      <c r="BG609" s="109"/>
      <c r="BH609" s="109"/>
      <c r="BJ609" s="10"/>
      <c r="BM609" s="109"/>
      <c r="BN609" s="109"/>
      <c r="BP609" s="10"/>
      <c r="BS609" s="109"/>
      <c r="BT609" s="109"/>
      <c r="BV609" s="10"/>
      <c r="BY609" s="109"/>
      <c r="BZ609" s="109"/>
      <c r="CB609" s="10"/>
      <c r="CE609" s="109"/>
      <c r="CF609" s="109"/>
      <c r="CH609" s="10"/>
      <c r="CK609" s="109"/>
      <c r="CL609" s="109"/>
    </row>
    <row r="610" spans="1:90">
      <c r="A610" s="7" t="str">
        <f t="shared" si="91"/>
        <v>01210121</v>
      </c>
      <c r="B610" s="7" t="s">
        <v>2460</v>
      </c>
      <c r="C610" s="7" t="s">
        <v>2460</v>
      </c>
      <c r="D610" s="7">
        <v>601</v>
      </c>
      <c r="E610" s="7">
        <v>121</v>
      </c>
      <c r="F610" s="7" t="s">
        <v>1826</v>
      </c>
      <c r="G610" s="7">
        <v>121</v>
      </c>
      <c r="H610" s="7" t="s">
        <v>1387</v>
      </c>
      <c r="I610" s="37">
        <v>719680.2</v>
      </c>
      <c r="J610" s="122">
        <v>1</v>
      </c>
      <c r="K610" s="123">
        <f>X610</f>
        <v>672606.53356161958</v>
      </c>
      <c r="L610" s="122">
        <f>IF(K614&gt;0, K610/K614, 0)</f>
        <v>1</v>
      </c>
      <c r="M610" s="71"/>
      <c r="N610" s="10">
        <f>ROUND(M614*L610,0)</f>
        <v>562854</v>
      </c>
      <c r="O610" s="70">
        <v>604602</v>
      </c>
      <c r="P610" s="10">
        <f>N610-O610</f>
        <v>-41748</v>
      </c>
      <c r="Q610" s="46">
        <f t="shared" si="99"/>
        <v>-6.9050383558109303</v>
      </c>
      <c r="R610" s="10">
        <v>74</v>
      </c>
      <c r="S610" s="7">
        <f t="shared" si="92"/>
        <v>0</v>
      </c>
      <c r="T610" s="124">
        <f t="shared" si="93"/>
        <v>121</v>
      </c>
      <c r="U610" s="124">
        <f t="shared" si="94"/>
        <v>121</v>
      </c>
      <c r="V610" s="124">
        <f t="shared" si="95"/>
        <v>601</v>
      </c>
      <c r="W610" s="124">
        <f t="shared" si="96"/>
        <v>70</v>
      </c>
      <c r="X610" s="124">
        <f t="shared" si="97"/>
        <v>672606.53356161958</v>
      </c>
      <c r="Y610" s="264">
        <f t="shared" si="98"/>
        <v>601</v>
      </c>
      <c r="Z610" s="10">
        <v>121</v>
      </c>
      <c r="AA610" s="7">
        <v>121</v>
      </c>
      <c r="AB610" s="7">
        <v>601</v>
      </c>
      <c r="AC610" s="109">
        <v>70</v>
      </c>
      <c r="AD610" s="109">
        <v>672606.53356161958</v>
      </c>
      <c r="AE610" s="125"/>
      <c r="AF610" s="10"/>
      <c r="AI610" s="109"/>
      <c r="AJ610" s="109"/>
      <c r="AL610" s="10"/>
      <c r="AO610" s="109"/>
      <c r="AP610" s="109"/>
      <c r="AR610" s="10"/>
      <c r="AU610" s="109"/>
      <c r="AV610" s="109"/>
      <c r="AX610" s="10"/>
      <c r="BA610" s="109"/>
      <c r="BB610" s="109"/>
      <c r="BD610" s="10"/>
      <c r="BG610" s="109"/>
      <c r="BH610" s="109"/>
      <c r="BJ610" s="10"/>
      <c r="BM610" s="109"/>
      <c r="BN610" s="109"/>
      <c r="BP610" s="10"/>
      <c r="BS610" s="109"/>
      <c r="BT610" s="109"/>
      <c r="BV610" s="10"/>
      <c r="BY610" s="109"/>
      <c r="BZ610" s="109"/>
      <c r="CB610" s="10"/>
      <c r="CE610" s="109"/>
      <c r="CF610" s="109"/>
      <c r="CH610" s="10"/>
      <c r="CK610" s="109"/>
      <c r="CL610" s="109"/>
    </row>
    <row r="611" spans="1:90">
      <c r="A611" s="7" t="str">
        <f t="shared" si="91"/>
        <v>01210998</v>
      </c>
      <c r="B611" s="7" t="s">
        <v>2460</v>
      </c>
      <c r="C611" s="7" t="s">
        <v>2781</v>
      </c>
      <c r="D611" s="7">
        <v>602</v>
      </c>
      <c r="E611" s="7">
        <v>121</v>
      </c>
      <c r="F611" s="7" t="s">
        <v>2135</v>
      </c>
      <c r="G611" s="7">
        <v>998</v>
      </c>
      <c r="H611" s="7" t="s">
        <v>2135</v>
      </c>
      <c r="I611" s="37">
        <v>0</v>
      </c>
      <c r="J611" s="122">
        <v>0</v>
      </c>
      <c r="K611" s="123">
        <f t="shared" si="100"/>
        <v>0</v>
      </c>
      <c r="L611" s="122">
        <f>IF(K614&gt;0, K611/K614, 0)</f>
        <v>0</v>
      </c>
      <c r="M611" s="71"/>
      <c r="N611" s="10">
        <f>ROUND(M614*L611,0)</f>
        <v>0</v>
      </c>
      <c r="O611" s="70">
        <v>0</v>
      </c>
      <c r="P611" s="10">
        <f>N611-O611</f>
        <v>0</v>
      </c>
      <c r="Q611" s="46">
        <f t="shared" si="99"/>
        <v>0</v>
      </c>
      <c r="R611" s="10">
        <v>0</v>
      </c>
      <c r="S611" s="7">
        <f t="shared" si="92"/>
        <v>0</v>
      </c>
      <c r="T611" s="124">
        <f t="shared" si="93"/>
        <v>121</v>
      </c>
      <c r="U611" s="124">
        <f t="shared" si="94"/>
        <v>998</v>
      </c>
      <c r="V611" s="124">
        <f t="shared" si="95"/>
        <v>602</v>
      </c>
      <c r="W611" s="124">
        <f t="shared" si="96"/>
        <v>0</v>
      </c>
      <c r="X611" s="124">
        <f t="shared" si="97"/>
        <v>0</v>
      </c>
      <c r="Y611" s="264">
        <f t="shared" si="98"/>
        <v>602</v>
      </c>
      <c r="Z611" s="10">
        <v>121</v>
      </c>
      <c r="AA611" s="7">
        <v>998</v>
      </c>
      <c r="AB611" s="7">
        <v>602</v>
      </c>
      <c r="AC611" s="109">
        <v>0</v>
      </c>
      <c r="AD611" s="109">
        <v>0</v>
      </c>
      <c r="AE611" s="125"/>
      <c r="AF611" s="10"/>
      <c r="AI611" s="109"/>
      <c r="AJ611" s="109"/>
      <c r="AL611" s="10"/>
      <c r="AO611" s="109"/>
      <c r="AP611" s="109"/>
      <c r="AR611" s="10"/>
      <c r="AU611" s="109"/>
      <c r="AV611" s="109"/>
      <c r="AX611" s="10"/>
      <c r="BA611" s="109"/>
      <c r="BB611" s="109"/>
      <c r="BD611" s="10"/>
      <c r="BG611" s="109"/>
      <c r="BH611" s="109"/>
      <c r="BJ611" s="10"/>
      <c r="BM611" s="109"/>
      <c r="BN611" s="109"/>
      <c r="BP611" s="10"/>
      <c r="BS611" s="109"/>
      <c r="BT611" s="109"/>
      <c r="BV611" s="10"/>
      <c r="BY611" s="109"/>
      <c r="BZ611" s="109"/>
      <c r="CB611" s="10"/>
      <c r="CE611" s="109"/>
      <c r="CF611" s="109"/>
      <c r="CH611" s="10"/>
      <c r="CK611" s="109"/>
      <c r="CL611" s="109"/>
    </row>
    <row r="612" spans="1:90">
      <c r="A612" s="7" t="str">
        <f t="shared" si="91"/>
        <v>01210998</v>
      </c>
      <c r="B612" s="7" t="s">
        <v>2460</v>
      </c>
      <c r="C612" s="7" t="s">
        <v>2781</v>
      </c>
      <c r="D612" s="7">
        <v>603</v>
      </c>
      <c r="E612" s="7">
        <v>121</v>
      </c>
      <c r="F612" s="7" t="s">
        <v>2135</v>
      </c>
      <c r="G612" s="7">
        <v>998</v>
      </c>
      <c r="H612" s="7" t="s">
        <v>2135</v>
      </c>
      <c r="I612" s="37">
        <v>0</v>
      </c>
      <c r="J612" s="122">
        <v>0</v>
      </c>
      <c r="K612" s="123">
        <f t="shared" si="100"/>
        <v>0</v>
      </c>
      <c r="L612" s="122">
        <f>IF(K614&gt;0, K612/K614, 0)</f>
        <v>0</v>
      </c>
      <c r="M612" s="71"/>
      <c r="N612" s="10">
        <f>ROUND(M614*L612,0)</f>
        <v>0</v>
      </c>
      <c r="O612" s="70">
        <v>0</v>
      </c>
      <c r="P612" s="10">
        <f>N612-O612</f>
        <v>0</v>
      </c>
      <c r="Q612" s="46">
        <f t="shared" si="99"/>
        <v>0</v>
      </c>
      <c r="R612" s="10">
        <v>0</v>
      </c>
      <c r="S612" s="7">
        <f t="shared" si="92"/>
        <v>0</v>
      </c>
      <c r="T612" s="124">
        <f t="shared" si="93"/>
        <v>121</v>
      </c>
      <c r="U612" s="124">
        <f t="shared" si="94"/>
        <v>998</v>
      </c>
      <c r="V612" s="124">
        <f t="shared" si="95"/>
        <v>603</v>
      </c>
      <c r="W612" s="124">
        <f t="shared" si="96"/>
        <v>0</v>
      </c>
      <c r="X612" s="124">
        <f t="shared" si="97"/>
        <v>0</v>
      </c>
      <c r="Y612" s="264">
        <f t="shared" si="98"/>
        <v>603</v>
      </c>
      <c r="Z612" s="10">
        <v>121</v>
      </c>
      <c r="AA612" s="7">
        <v>998</v>
      </c>
      <c r="AB612" s="7">
        <v>603</v>
      </c>
      <c r="AC612" s="109">
        <v>0</v>
      </c>
      <c r="AD612" s="109">
        <v>0</v>
      </c>
      <c r="AE612" s="125"/>
      <c r="AF612" s="10"/>
      <c r="AI612" s="109"/>
      <c r="AJ612" s="109"/>
      <c r="AL612" s="10"/>
      <c r="AO612" s="109"/>
      <c r="AP612" s="109"/>
      <c r="AR612" s="10"/>
      <c r="AU612" s="109"/>
      <c r="AV612" s="109"/>
      <c r="AX612" s="10"/>
      <c r="BA612" s="109"/>
      <c r="BB612" s="109"/>
      <c r="BD612" s="10"/>
      <c r="BG612" s="109"/>
      <c r="BH612" s="109"/>
      <c r="BJ612" s="10"/>
      <c r="BM612" s="109"/>
      <c r="BN612" s="109"/>
      <c r="BP612" s="10"/>
      <c r="BS612" s="109"/>
      <c r="BT612" s="109"/>
      <c r="BV612" s="10"/>
      <c r="BY612" s="109"/>
      <c r="BZ612" s="109"/>
      <c r="CB612" s="10"/>
      <c r="CE612" s="109"/>
      <c r="CF612" s="109"/>
      <c r="CH612" s="10"/>
      <c r="CK612" s="109"/>
      <c r="CL612" s="109"/>
    </row>
    <row r="613" spans="1:90">
      <c r="A613" s="7" t="str">
        <f t="shared" si="91"/>
        <v>01210998</v>
      </c>
      <c r="B613" s="7" t="s">
        <v>2460</v>
      </c>
      <c r="C613" s="7" t="s">
        <v>2781</v>
      </c>
      <c r="D613" s="7">
        <v>604</v>
      </c>
      <c r="E613" s="7">
        <v>121</v>
      </c>
      <c r="F613" s="7" t="s">
        <v>2135</v>
      </c>
      <c r="G613" s="7">
        <v>998</v>
      </c>
      <c r="H613" s="7" t="s">
        <v>2135</v>
      </c>
      <c r="I613" s="37">
        <v>0</v>
      </c>
      <c r="J613" s="122">
        <v>0</v>
      </c>
      <c r="K613" s="123">
        <f t="shared" si="100"/>
        <v>0</v>
      </c>
      <c r="L613" s="122">
        <f>IF(K614&gt;0, K613/K614, 0)</f>
        <v>0</v>
      </c>
      <c r="M613" s="71"/>
      <c r="N613" s="10">
        <f>ROUND(M614*L613,0)</f>
        <v>0</v>
      </c>
      <c r="O613" s="70">
        <v>0</v>
      </c>
      <c r="P613" s="10">
        <f>N613-O613</f>
        <v>0</v>
      </c>
      <c r="Q613" s="46">
        <f t="shared" si="99"/>
        <v>0</v>
      </c>
      <c r="R613" s="10">
        <v>0</v>
      </c>
      <c r="S613" s="7">
        <f t="shared" si="92"/>
        <v>0</v>
      </c>
      <c r="T613" s="124">
        <f t="shared" si="93"/>
        <v>121</v>
      </c>
      <c r="U613" s="124">
        <f t="shared" si="94"/>
        <v>998</v>
      </c>
      <c r="V613" s="124">
        <f t="shared" si="95"/>
        <v>604</v>
      </c>
      <c r="W613" s="124">
        <f t="shared" si="96"/>
        <v>0</v>
      </c>
      <c r="X613" s="124">
        <f t="shared" si="97"/>
        <v>0</v>
      </c>
      <c r="Y613" s="264">
        <f t="shared" si="98"/>
        <v>604</v>
      </c>
      <c r="Z613" s="10">
        <v>121</v>
      </c>
      <c r="AA613" s="7">
        <v>998</v>
      </c>
      <c r="AB613" s="7">
        <v>604</v>
      </c>
      <c r="AC613" s="109">
        <v>0</v>
      </c>
      <c r="AD613" s="109">
        <v>0</v>
      </c>
      <c r="AE613" s="125"/>
      <c r="AF613" s="10"/>
      <c r="AI613" s="109"/>
      <c r="AJ613" s="109"/>
      <c r="AL613" s="10"/>
      <c r="AO613" s="109"/>
      <c r="AP613" s="109"/>
      <c r="AR613" s="10"/>
      <c r="AU613" s="109"/>
      <c r="AV613" s="109"/>
      <c r="AX613" s="10"/>
      <c r="BA613" s="109"/>
      <c r="BB613" s="109"/>
      <c r="BD613" s="10"/>
      <c r="BG613" s="109"/>
      <c r="BH613" s="109"/>
      <c r="BJ613" s="10"/>
      <c r="BM613" s="109"/>
      <c r="BN613" s="109"/>
      <c r="BP613" s="10"/>
      <c r="BS613" s="109"/>
      <c r="BT613" s="109"/>
      <c r="BV613" s="10"/>
      <c r="BY613" s="109"/>
      <c r="BZ613" s="109"/>
      <c r="CB613" s="10"/>
      <c r="CE613" s="109"/>
      <c r="CF613" s="109"/>
      <c r="CH613" s="10"/>
      <c r="CK613" s="109"/>
      <c r="CL613" s="109"/>
    </row>
    <row r="614" spans="1:90">
      <c r="A614" s="7" t="str">
        <f t="shared" si="91"/>
        <v>01210999</v>
      </c>
      <c r="B614" s="7" t="s">
        <v>2460</v>
      </c>
      <c r="C614" s="7" t="s">
        <v>2782</v>
      </c>
      <c r="D614" s="7">
        <v>605</v>
      </c>
      <c r="E614" s="11">
        <v>121</v>
      </c>
      <c r="F614" s="11" t="s">
        <v>1826</v>
      </c>
      <c r="G614" s="11">
        <v>999</v>
      </c>
      <c r="H614" s="11" t="s">
        <v>1132</v>
      </c>
      <c r="I614" s="105">
        <v>719680.2</v>
      </c>
      <c r="J614" s="126">
        <v>1</v>
      </c>
      <c r="K614" s="127">
        <f>SUM(K610:K613)</f>
        <v>672606.53356161958</v>
      </c>
      <c r="L614" s="126">
        <f>SUM(L610:L613)</f>
        <v>1</v>
      </c>
      <c r="M614" s="105">
        <f>VLOOKUP(E614,town351,22)</f>
        <v>562854</v>
      </c>
      <c r="N614" s="105">
        <f>SUM(N610:N613)</f>
        <v>562854</v>
      </c>
      <c r="O614" s="128">
        <v>604602</v>
      </c>
      <c r="P614" s="105">
        <f>SUM(P610:P613)</f>
        <v>-41748</v>
      </c>
      <c r="Q614" s="45">
        <f t="shared" si="99"/>
        <v>-6.9050383558109303</v>
      </c>
      <c r="R614" s="105">
        <v>74</v>
      </c>
      <c r="S614" s="7">
        <f t="shared" si="92"/>
        <v>0</v>
      </c>
      <c r="T614" s="124">
        <f t="shared" si="93"/>
        <v>121</v>
      </c>
      <c r="U614" s="124">
        <f t="shared" si="94"/>
        <v>999</v>
      </c>
      <c r="V614" s="124">
        <f t="shared" si="95"/>
        <v>605</v>
      </c>
      <c r="W614" s="124">
        <f t="shared" si="96"/>
        <v>70</v>
      </c>
      <c r="X614" s="124">
        <f t="shared" si="97"/>
        <v>672606.53356161958</v>
      </c>
      <c r="Y614" s="264">
        <f t="shared" si="98"/>
        <v>605</v>
      </c>
      <c r="Z614" s="10">
        <v>121</v>
      </c>
      <c r="AA614" s="7">
        <v>999</v>
      </c>
      <c r="AB614" s="7">
        <v>605</v>
      </c>
      <c r="AC614" s="109">
        <v>70</v>
      </c>
      <c r="AD614" s="109">
        <v>672606.53356161958</v>
      </c>
      <c r="AE614" s="125"/>
      <c r="AF614" s="10"/>
      <c r="AI614" s="109"/>
      <c r="AJ614" s="109"/>
      <c r="AL614" s="10"/>
      <c r="AO614" s="109"/>
      <c r="AP614" s="109"/>
      <c r="AR614" s="10"/>
      <c r="AU614" s="109"/>
      <c r="AV614" s="109"/>
      <c r="AX614" s="10"/>
      <c r="BA614" s="109"/>
      <c r="BB614" s="109"/>
      <c r="BD614" s="10"/>
      <c r="BG614" s="109"/>
      <c r="BH614" s="109"/>
      <c r="BJ614" s="10"/>
      <c r="BM614" s="109"/>
      <c r="BN614" s="109"/>
      <c r="BP614" s="10"/>
      <c r="BS614" s="109"/>
      <c r="BT614" s="109"/>
      <c r="BV614" s="10"/>
      <c r="BY614" s="109"/>
      <c r="BZ614" s="109"/>
      <c r="CB614" s="10"/>
      <c r="CE614" s="109"/>
      <c r="CF614" s="109"/>
      <c r="CH614" s="10"/>
      <c r="CK614" s="109"/>
      <c r="CL614" s="109"/>
    </row>
    <row r="615" spans="1:90">
      <c r="A615" s="7" t="str">
        <f t="shared" si="91"/>
        <v>01220122</v>
      </c>
      <c r="B615" s="7" t="s">
        <v>2461</v>
      </c>
      <c r="C615" s="7" t="s">
        <v>2461</v>
      </c>
      <c r="D615" s="7">
        <v>606</v>
      </c>
      <c r="E615" s="7">
        <v>122</v>
      </c>
      <c r="F615" s="7" t="s">
        <v>1827</v>
      </c>
      <c r="G615" s="7">
        <v>122</v>
      </c>
      <c r="H615" s="7" t="s">
        <v>1388</v>
      </c>
      <c r="I615" s="37">
        <v>23962139.080309998</v>
      </c>
      <c r="J615" s="122">
        <v>0.97053643931137512</v>
      </c>
      <c r="K615" s="123">
        <f>X615</f>
        <v>24249684.484178498</v>
      </c>
      <c r="L615" s="122">
        <f>IF(K619&gt;0, K615/K619, 0)</f>
        <v>0.96817758638570117</v>
      </c>
      <c r="M615" s="71"/>
      <c r="N615" s="10">
        <f>ROUND(M619*L615,0)</f>
        <v>19005451</v>
      </c>
      <c r="O615" s="70">
        <v>18266304</v>
      </c>
      <c r="P615" s="10">
        <f>N615-O615</f>
        <v>739147</v>
      </c>
      <c r="Q615" s="46">
        <f t="shared" si="99"/>
        <v>4.0465055218614561</v>
      </c>
      <c r="R615" s="10">
        <v>2557</v>
      </c>
      <c r="S615" s="7">
        <f t="shared" si="92"/>
        <v>0</v>
      </c>
      <c r="T615" s="124">
        <f t="shared" si="93"/>
        <v>122</v>
      </c>
      <c r="U615" s="124">
        <f t="shared" si="94"/>
        <v>122</v>
      </c>
      <c r="V615" s="124">
        <f t="shared" si="95"/>
        <v>606</v>
      </c>
      <c r="W615" s="124">
        <f t="shared" si="96"/>
        <v>2530</v>
      </c>
      <c r="X615" s="124">
        <f t="shared" si="97"/>
        <v>24249684.484178498</v>
      </c>
      <c r="Y615" s="264">
        <f t="shared" si="98"/>
        <v>606</v>
      </c>
      <c r="Z615" s="10">
        <v>122</v>
      </c>
      <c r="AA615" s="7">
        <v>122</v>
      </c>
      <c r="AB615" s="7">
        <v>606</v>
      </c>
      <c r="AC615" s="109">
        <v>2530</v>
      </c>
      <c r="AD615" s="109">
        <v>24249684.484178498</v>
      </c>
      <c r="AE615" s="125"/>
      <c r="AF615" s="10"/>
      <c r="AI615" s="109"/>
      <c r="AJ615" s="109"/>
      <c r="AL615" s="10"/>
      <c r="AO615" s="109"/>
      <c r="AP615" s="109"/>
      <c r="AR615" s="10"/>
      <c r="AU615" s="109"/>
      <c r="AV615" s="109"/>
      <c r="AX615" s="10"/>
      <c r="BA615" s="109"/>
      <c r="BB615" s="109"/>
      <c r="BD615" s="10"/>
      <c r="BG615" s="109"/>
      <c r="BH615" s="109"/>
      <c r="BJ615" s="10"/>
      <c r="BM615" s="109"/>
      <c r="BN615" s="109"/>
      <c r="BP615" s="10"/>
      <c r="BS615" s="109"/>
      <c r="BT615" s="109"/>
      <c r="BV615" s="10"/>
      <c r="BY615" s="109"/>
      <c r="BZ615" s="109"/>
      <c r="CB615" s="10"/>
      <c r="CE615" s="109"/>
      <c r="CF615" s="109"/>
      <c r="CH615" s="10"/>
      <c r="CK615" s="109"/>
      <c r="CL615" s="109"/>
    </row>
    <row r="616" spans="1:90">
      <c r="A616" s="7" t="str">
        <f t="shared" si="91"/>
        <v>01220873</v>
      </c>
      <c r="B616" s="7" t="s">
        <v>2461</v>
      </c>
      <c r="C616" s="7" t="s">
        <v>2773</v>
      </c>
      <c r="D616" s="7">
        <v>607</v>
      </c>
      <c r="E616" s="7">
        <v>122</v>
      </c>
      <c r="F616" s="7" t="s">
        <v>1827</v>
      </c>
      <c r="G616" s="7">
        <v>873</v>
      </c>
      <c r="H616" s="7" t="s">
        <v>1700</v>
      </c>
      <c r="I616" s="37">
        <v>727443</v>
      </c>
      <c r="J616" s="122">
        <v>2.9463560688624924E-2</v>
      </c>
      <c r="K616" s="123">
        <f t="shared" si="100"/>
        <v>797047.46373290906</v>
      </c>
      <c r="L616" s="122">
        <f>IF(K619&gt;0, K616/K619, 0)</f>
        <v>3.1822413614298814E-2</v>
      </c>
      <c r="M616" s="71"/>
      <c r="N616" s="10">
        <f>ROUND(M619*L616,0)</f>
        <v>624678</v>
      </c>
      <c r="O616" s="70">
        <v>554529</v>
      </c>
      <c r="P616" s="10">
        <f>N616-O616</f>
        <v>70149</v>
      </c>
      <c r="Q616" s="46">
        <f t="shared" si="99"/>
        <v>12.65019503037713</v>
      </c>
      <c r="R616" s="10">
        <v>46</v>
      </c>
      <c r="S616" s="7">
        <f t="shared" si="92"/>
        <v>0</v>
      </c>
      <c r="T616" s="124">
        <f t="shared" si="93"/>
        <v>122</v>
      </c>
      <c r="U616" s="124">
        <f t="shared" si="94"/>
        <v>873</v>
      </c>
      <c r="V616" s="124">
        <f t="shared" si="95"/>
        <v>607</v>
      </c>
      <c r="W616" s="124">
        <f t="shared" si="96"/>
        <v>48.9999999972</v>
      </c>
      <c r="X616" s="124">
        <f t="shared" si="97"/>
        <v>797047.46373290906</v>
      </c>
      <c r="Y616" s="264">
        <f t="shared" si="98"/>
        <v>607</v>
      </c>
      <c r="Z616" s="10">
        <v>122</v>
      </c>
      <c r="AA616" s="7">
        <v>873</v>
      </c>
      <c r="AB616" s="7">
        <v>607</v>
      </c>
      <c r="AC616" s="109">
        <v>48.9999999972</v>
      </c>
      <c r="AD616" s="109">
        <v>797047.46373290906</v>
      </c>
      <c r="AE616" s="125"/>
      <c r="AF616" s="10"/>
      <c r="AI616" s="109"/>
      <c r="AJ616" s="109"/>
      <c r="AL616" s="10"/>
      <c r="AO616" s="109"/>
      <c r="AP616" s="109"/>
      <c r="AR616" s="10"/>
      <c r="AU616" s="109"/>
      <c r="AV616" s="109"/>
      <c r="AX616" s="10"/>
      <c r="BA616" s="109"/>
      <c r="BB616" s="109"/>
      <c r="BD616" s="10"/>
      <c r="BG616" s="109"/>
      <c r="BH616" s="109"/>
      <c r="BJ616" s="10"/>
      <c r="BM616" s="109"/>
      <c r="BN616" s="109"/>
      <c r="BP616" s="10"/>
      <c r="BS616" s="109"/>
      <c r="BT616" s="109"/>
      <c r="BV616" s="10"/>
      <c r="BY616" s="109"/>
      <c r="BZ616" s="109"/>
      <c r="CB616" s="10"/>
      <c r="CE616" s="109"/>
      <c r="CF616" s="109"/>
      <c r="CH616" s="10"/>
      <c r="CK616" s="109"/>
      <c r="CL616" s="109"/>
    </row>
    <row r="617" spans="1:90">
      <c r="A617" s="7" t="str">
        <f t="shared" si="91"/>
        <v>01220998</v>
      </c>
      <c r="B617" s="7" t="s">
        <v>2461</v>
      </c>
      <c r="C617" s="7" t="s">
        <v>2781</v>
      </c>
      <c r="D617" s="7">
        <v>608</v>
      </c>
      <c r="E617" s="7">
        <v>122</v>
      </c>
      <c r="F617" s="7" t="s">
        <v>2135</v>
      </c>
      <c r="G617" s="7">
        <v>998</v>
      </c>
      <c r="H617" s="7" t="s">
        <v>2135</v>
      </c>
      <c r="I617" s="37">
        <v>0</v>
      </c>
      <c r="J617" s="122">
        <v>0</v>
      </c>
      <c r="K617" s="123">
        <f t="shared" si="100"/>
        <v>0</v>
      </c>
      <c r="L617" s="122">
        <f>IF(K619&gt;0, K617/K619, 0)</f>
        <v>0</v>
      </c>
      <c r="M617" s="71"/>
      <c r="N617" s="10">
        <f>ROUND(M619*L617,0)</f>
        <v>0</v>
      </c>
      <c r="O617" s="70">
        <v>0</v>
      </c>
      <c r="P617" s="10">
        <f>N617-O617</f>
        <v>0</v>
      </c>
      <c r="Q617" s="46">
        <f t="shared" si="99"/>
        <v>0</v>
      </c>
      <c r="R617" s="10">
        <v>0</v>
      </c>
      <c r="S617" s="7">
        <f t="shared" si="92"/>
        <v>0</v>
      </c>
      <c r="T617" s="124">
        <f t="shared" si="93"/>
        <v>122</v>
      </c>
      <c r="U617" s="124">
        <f t="shared" si="94"/>
        <v>998</v>
      </c>
      <c r="V617" s="124">
        <f t="shared" si="95"/>
        <v>608</v>
      </c>
      <c r="W617" s="124">
        <f t="shared" si="96"/>
        <v>0</v>
      </c>
      <c r="X617" s="124">
        <f t="shared" si="97"/>
        <v>0</v>
      </c>
      <c r="Y617" s="264">
        <f t="shared" si="98"/>
        <v>608</v>
      </c>
      <c r="Z617" s="10">
        <v>122</v>
      </c>
      <c r="AA617" s="7">
        <v>998</v>
      </c>
      <c r="AB617" s="7">
        <v>608</v>
      </c>
      <c r="AC617" s="109">
        <v>0</v>
      </c>
      <c r="AD617" s="109">
        <v>0</v>
      </c>
      <c r="AE617" s="125"/>
      <c r="AF617" s="10"/>
      <c r="AI617" s="109"/>
      <c r="AJ617" s="109"/>
      <c r="AL617" s="10"/>
      <c r="AO617" s="109"/>
      <c r="AP617" s="109"/>
      <c r="AR617" s="10"/>
      <c r="AU617" s="109"/>
      <c r="AV617" s="109"/>
      <c r="AX617" s="10"/>
      <c r="BA617" s="109"/>
      <c r="BB617" s="109"/>
      <c r="BD617" s="10"/>
      <c r="BG617" s="109"/>
      <c r="BH617" s="109"/>
      <c r="BJ617" s="10"/>
      <c r="BM617" s="109"/>
      <c r="BN617" s="109"/>
      <c r="BP617" s="10"/>
      <c r="BS617" s="109"/>
      <c r="BT617" s="109"/>
      <c r="BV617" s="10"/>
      <c r="BY617" s="109"/>
      <c r="BZ617" s="109"/>
      <c r="CB617" s="10"/>
      <c r="CE617" s="109"/>
      <c r="CF617" s="109"/>
      <c r="CH617" s="10"/>
      <c r="CK617" s="109"/>
      <c r="CL617" s="109"/>
    </row>
    <row r="618" spans="1:90">
      <c r="A618" s="7" t="str">
        <f t="shared" si="91"/>
        <v>01220998</v>
      </c>
      <c r="B618" s="7" t="s">
        <v>2461</v>
      </c>
      <c r="C618" s="7" t="s">
        <v>2781</v>
      </c>
      <c r="D618" s="7">
        <v>609</v>
      </c>
      <c r="E618" s="7">
        <v>122</v>
      </c>
      <c r="F618" s="7" t="s">
        <v>2135</v>
      </c>
      <c r="G618" s="7">
        <v>998</v>
      </c>
      <c r="H618" s="7" t="s">
        <v>2135</v>
      </c>
      <c r="I618" s="37">
        <v>0</v>
      </c>
      <c r="J618" s="122">
        <v>0</v>
      </c>
      <c r="K618" s="123">
        <f t="shared" si="100"/>
        <v>0</v>
      </c>
      <c r="L618" s="122">
        <f>IF(K619&gt;0, K618/K619, 0)</f>
        <v>0</v>
      </c>
      <c r="M618" s="71"/>
      <c r="N618" s="10">
        <f>ROUND(M619*L618,0)</f>
        <v>0</v>
      </c>
      <c r="O618" s="70">
        <v>0</v>
      </c>
      <c r="P618" s="10">
        <f>N618-O618</f>
        <v>0</v>
      </c>
      <c r="Q618" s="46">
        <f t="shared" si="99"/>
        <v>0</v>
      </c>
      <c r="R618" s="10">
        <v>0</v>
      </c>
      <c r="S618" s="7">
        <f t="shared" si="92"/>
        <v>0</v>
      </c>
      <c r="T618" s="124">
        <f t="shared" si="93"/>
        <v>122</v>
      </c>
      <c r="U618" s="124">
        <f t="shared" si="94"/>
        <v>998</v>
      </c>
      <c r="V618" s="124">
        <f t="shared" si="95"/>
        <v>609</v>
      </c>
      <c r="W618" s="124">
        <f t="shared" si="96"/>
        <v>0</v>
      </c>
      <c r="X618" s="124">
        <f t="shared" si="97"/>
        <v>0</v>
      </c>
      <c r="Y618" s="264">
        <f t="shared" si="98"/>
        <v>609</v>
      </c>
      <c r="Z618" s="10">
        <v>122</v>
      </c>
      <c r="AA618" s="7">
        <v>998</v>
      </c>
      <c r="AB618" s="7">
        <v>609</v>
      </c>
      <c r="AC618" s="109">
        <v>0</v>
      </c>
      <c r="AD618" s="109">
        <v>0</v>
      </c>
      <c r="AE618" s="125"/>
      <c r="AF618" s="10"/>
      <c r="AI618" s="109"/>
      <c r="AJ618" s="109"/>
      <c r="AL618" s="10"/>
      <c r="AO618" s="109"/>
      <c r="AP618" s="109"/>
      <c r="AR618" s="10"/>
      <c r="AU618" s="109"/>
      <c r="AV618" s="109"/>
      <c r="AX618" s="10"/>
      <c r="BA618" s="109"/>
      <c r="BB618" s="109"/>
      <c r="BD618" s="10"/>
      <c r="BG618" s="109"/>
      <c r="BH618" s="109"/>
      <c r="BJ618" s="10"/>
      <c r="BM618" s="109"/>
      <c r="BN618" s="109"/>
      <c r="BP618" s="10"/>
      <c r="BS618" s="109"/>
      <c r="BT618" s="109"/>
      <c r="BV618" s="10"/>
      <c r="BY618" s="109"/>
      <c r="BZ618" s="109"/>
      <c r="CB618" s="10"/>
      <c r="CE618" s="109"/>
      <c r="CF618" s="109"/>
      <c r="CH618" s="10"/>
      <c r="CK618" s="109"/>
      <c r="CL618" s="109"/>
    </row>
    <row r="619" spans="1:90">
      <c r="A619" s="7" t="str">
        <f t="shared" si="91"/>
        <v>01220999</v>
      </c>
      <c r="B619" s="7" t="s">
        <v>2461</v>
      </c>
      <c r="C619" s="7" t="s">
        <v>2782</v>
      </c>
      <c r="D619" s="7">
        <v>610</v>
      </c>
      <c r="E619" s="11">
        <v>122</v>
      </c>
      <c r="F619" s="11" t="s">
        <v>1827</v>
      </c>
      <c r="G619" s="11">
        <v>999</v>
      </c>
      <c r="H619" s="11" t="s">
        <v>1132</v>
      </c>
      <c r="I619" s="105">
        <v>24689582.080309998</v>
      </c>
      <c r="J619" s="126">
        <v>1</v>
      </c>
      <c r="K619" s="127">
        <f>SUM(K615:K618)</f>
        <v>25046731.947911408</v>
      </c>
      <c r="L619" s="126">
        <f>SUM(L615:L618)</f>
        <v>1</v>
      </c>
      <c r="M619" s="105">
        <f>VLOOKUP(E619,town351,22)</f>
        <v>19630129</v>
      </c>
      <c r="N619" s="105">
        <f>SUM(N615:N618)</f>
        <v>19630129</v>
      </c>
      <c r="O619" s="128">
        <v>18820833</v>
      </c>
      <c r="P619" s="105">
        <f>SUM(P615:P618)</f>
        <v>809296</v>
      </c>
      <c r="Q619" s="45">
        <f t="shared" si="99"/>
        <v>4.3000009617002606</v>
      </c>
      <c r="R619" s="105">
        <v>2603</v>
      </c>
      <c r="S619" s="7">
        <f t="shared" si="92"/>
        <v>0</v>
      </c>
      <c r="T619" s="124">
        <f t="shared" si="93"/>
        <v>122</v>
      </c>
      <c r="U619" s="124">
        <f t="shared" si="94"/>
        <v>999</v>
      </c>
      <c r="V619" s="124">
        <f t="shared" si="95"/>
        <v>610</v>
      </c>
      <c r="W619" s="124">
        <f t="shared" si="96"/>
        <v>2578.9999999972001</v>
      </c>
      <c r="X619" s="124">
        <f t="shared" si="97"/>
        <v>25046731.947911408</v>
      </c>
      <c r="Y619" s="264">
        <f t="shared" si="98"/>
        <v>610</v>
      </c>
      <c r="Z619" s="10">
        <v>122</v>
      </c>
      <c r="AA619" s="7">
        <v>999</v>
      </c>
      <c r="AB619" s="7">
        <v>610</v>
      </c>
      <c r="AC619" s="109">
        <v>2578.9999999972001</v>
      </c>
      <c r="AD619" s="109">
        <v>25046731.947911408</v>
      </c>
      <c r="AE619" s="125"/>
      <c r="AF619" s="10"/>
      <c r="AI619" s="109"/>
      <c r="AJ619" s="109"/>
      <c r="AL619" s="10"/>
      <c r="AO619" s="109"/>
      <c r="AP619" s="109"/>
      <c r="AR619" s="10"/>
      <c r="AU619" s="109"/>
      <c r="AV619" s="109"/>
      <c r="AX619" s="10"/>
      <c r="BA619" s="109"/>
      <c r="BB619" s="109"/>
      <c r="BD619" s="10"/>
      <c r="BG619" s="109"/>
      <c r="BH619" s="109"/>
      <c r="BJ619" s="10"/>
      <c r="BM619" s="109"/>
      <c r="BN619" s="109"/>
      <c r="BP619" s="10"/>
      <c r="BS619" s="109"/>
      <c r="BT619" s="109"/>
      <c r="BV619" s="10"/>
      <c r="BY619" s="109"/>
      <c r="BZ619" s="109"/>
      <c r="CB619" s="10"/>
      <c r="CE619" s="109"/>
      <c r="CF619" s="109"/>
      <c r="CH619" s="10"/>
      <c r="CK619" s="109"/>
      <c r="CL619" s="109"/>
    </row>
    <row r="620" spans="1:90">
      <c r="A620" s="7" t="str">
        <f t="shared" si="91"/>
        <v>01230123</v>
      </c>
      <c r="B620" s="7" t="s">
        <v>2462</v>
      </c>
      <c r="C620" s="7" t="s">
        <v>2462</v>
      </c>
      <c r="D620" s="7">
        <v>611</v>
      </c>
      <c r="E620" s="7">
        <v>123</v>
      </c>
      <c r="F620" s="7" t="s">
        <v>1828</v>
      </c>
      <c r="G620" s="7">
        <v>123</v>
      </c>
      <c r="H620" s="7" t="s">
        <v>1389</v>
      </c>
      <c r="I620" s="37">
        <v>105367.36000000002</v>
      </c>
      <c r="J620" s="122">
        <v>6.1287246979408218E-3</v>
      </c>
      <c r="K620" s="123">
        <f>X620</f>
        <v>120751.50009230593</v>
      </c>
      <c r="L620" s="122">
        <f>IF(K624&gt;0, K620/K624, 0)</f>
        <v>7.13505413571298E-3</v>
      </c>
      <c r="M620" s="71"/>
      <c r="N620" s="10">
        <f>ROUND(M624*L620,0)</f>
        <v>61304</v>
      </c>
      <c r="O620" s="70">
        <v>49870</v>
      </c>
      <c r="P620" s="10">
        <f>N620-O620</f>
        <v>11434</v>
      </c>
      <c r="Q620" s="46">
        <f t="shared" si="99"/>
        <v>22.927611790655703</v>
      </c>
      <c r="R620" s="10">
        <v>8</v>
      </c>
      <c r="S620" s="7">
        <f t="shared" si="92"/>
        <v>0</v>
      </c>
      <c r="T620" s="124">
        <f t="shared" si="93"/>
        <v>123</v>
      </c>
      <c r="U620" s="124">
        <f t="shared" si="94"/>
        <v>123</v>
      </c>
      <c r="V620" s="124">
        <f t="shared" si="95"/>
        <v>611</v>
      </c>
      <c r="W620" s="124">
        <f t="shared" si="96"/>
        <v>9</v>
      </c>
      <c r="X620" s="124">
        <f t="shared" si="97"/>
        <v>120751.50009230593</v>
      </c>
      <c r="Y620" s="264">
        <f t="shared" si="98"/>
        <v>611</v>
      </c>
      <c r="Z620" s="10">
        <v>123</v>
      </c>
      <c r="AA620" s="7">
        <v>123</v>
      </c>
      <c r="AB620" s="7">
        <v>611</v>
      </c>
      <c r="AC620" s="109">
        <v>9</v>
      </c>
      <c r="AD620" s="109">
        <v>120751.50009230593</v>
      </c>
      <c r="AE620" s="125"/>
      <c r="AF620" s="10"/>
      <c r="AI620" s="109"/>
      <c r="AJ620" s="109"/>
      <c r="AL620" s="10"/>
      <c r="AO620" s="109"/>
      <c r="AP620" s="109"/>
      <c r="AR620" s="10"/>
      <c r="AU620" s="109"/>
      <c r="AV620" s="109"/>
      <c r="AX620" s="10"/>
      <c r="BA620" s="109"/>
      <c r="BB620" s="109"/>
      <c r="BD620" s="10"/>
      <c r="BG620" s="109"/>
      <c r="BH620" s="109"/>
      <c r="BJ620" s="10"/>
      <c r="BM620" s="109"/>
      <c r="BN620" s="109"/>
      <c r="BP620" s="10"/>
      <c r="BS620" s="109"/>
      <c r="BT620" s="109"/>
      <c r="BV620" s="10"/>
      <c r="BY620" s="109"/>
      <c r="BZ620" s="109"/>
      <c r="CB620" s="10"/>
      <c r="CE620" s="109"/>
      <c r="CF620" s="109"/>
      <c r="CH620" s="10"/>
      <c r="CK620" s="109"/>
      <c r="CL620" s="109"/>
    </row>
    <row r="621" spans="1:90">
      <c r="A621" s="7" t="str">
        <f t="shared" si="91"/>
        <v>01230780</v>
      </c>
      <c r="B621" s="7" t="s">
        <v>2462</v>
      </c>
      <c r="C621" s="7" t="s">
        <v>2751</v>
      </c>
      <c r="D621" s="7">
        <v>612</v>
      </c>
      <c r="E621" s="7">
        <v>123</v>
      </c>
      <c r="F621" s="7" t="s">
        <v>1828</v>
      </c>
      <c r="G621" s="7">
        <v>780</v>
      </c>
      <c r="H621" s="7" t="s">
        <v>1678</v>
      </c>
      <c r="I621" s="37">
        <v>15900964</v>
      </c>
      <c r="J621" s="122">
        <v>0.92488443088891914</v>
      </c>
      <c r="K621" s="123">
        <f t="shared" si="100"/>
        <v>15501644.334091708</v>
      </c>
      <c r="L621" s="122">
        <f>IF(K624&gt;0, K621/K624, 0)</f>
        <v>0.91597264987816318</v>
      </c>
      <c r="M621" s="71"/>
      <c r="N621" s="10">
        <f>ROUND(M624*L621,0)</f>
        <v>7869932</v>
      </c>
      <c r="O621" s="70">
        <v>7525809</v>
      </c>
      <c r="P621" s="10">
        <f>N621-O621</f>
        <v>344123</v>
      </c>
      <c r="Q621" s="46">
        <f t="shared" si="99"/>
        <v>4.5725715335055677</v>
      </c>
      <c r="R621" s="10">
        <v>1634</v>
      </c>
      <c r="S621" s="7">
        <f t="shared" si="92"/>
        <v>0</v>
      </c>
      <c r="T621" s="124">
        <f t="shared" si="93"/>
        <v>123</v>
      </c>
      <c r="U621" s="124">
        <f t="shared" si="94"/>
        <v>780</v>
      </c>
      <c r="V621" s="124">
        <f t="shared" si="95"/>
        <v>612</v>
      </c>
      <c r="W621" s="124">
        <f t="shared" si="96"/>
        <v>1565.019801963</v>
      </c>
      <c r="X621" s="124">
        <f t="shared" si="97"/>
        <v>15501644.334091708</v>
      </c>
      <c r="Y621" s="264">
        <f t="shared" si="98"/>
        <v>612</v>
      </c>
      <c r="Z621" s="10">
        <v>123</v>
      </c>
      <c r="AA621" s="7">
        <v>780</v>
      </c>
      <c r="AB621" s="7">
        <v>612</v>
      </c>
      <c r="AC621" s="109">
        <v>1565.019801963</v>
      </c>
      <c r="AD621" s="109">
        <v>15501644.334091708</v>
      </c>
      <c r="AE621" s="125"/>
      <c r="AF621" s="10"/>
      <c r="AI621" s="109"/>
      <c r="AJ621" s="109"/>
      <c r="AL621" s="10"/>
      <c r="AO621" s="109"/>
      <c r="AP621" s="109"/>
      <c r="AR621" s="10"/>
      <c r="AU621" s="109"/>
      <c r="AV621" s="109"/>
      <c r="AX621" s="10"/>
      <c r="BA621" s="109"/>
      <c r="BB621" s="109"/>
      <c r="BD621" s="10"/>
      <c r="BG621" s="109"/>
      <c r="BH621" s="109"/>
      <c r="BJ621" s="10"/>
      <c r="BM621" s="109"/>
      <c r="BN621" s="109"/>
      <c r="BP621" s="10"/>
      <c r="BS621" s="109"/>
      <c r="BT621" s="109"/>
      <c r="BV621" s="10"/>
      <c r="BY621" s="109"/>
      <c r="BZ621" s="109"/>
      <c r="CB621" s="10"/>
      <c r="CE621" s="109"/>
      <c r="CF621" s="109"/>
      <c r="CH621" s="10"/>
      <c r="CK621" s="109"/>
      <c r="CL621" s="109"/>
    </row>
    <row r="622" spans="1:90">
      <c r="A622" s="7" t="str">
        <f t="shared" si="91"/>
        <v>01230873</v>
      </c>
      <c r="B622" s="7" t="s">
        <v>2462</v>
      </c>
      <c r="C622" s="7" t="s">
        <v>2773</v>
      </c>
      <c r="D622" s="7">
        <v>613</v>
      </c>
      <c r="E622" s="7">
        <v>123</v>
      </c>
      <c r="F622" s="7" t="s">
        <v>1828</v>
      </c>
      <c r="G622" s="7">
        <v>873</v>
      </c>
      <c r="H622" s="7" t="s">
        <v>1700</v>
      </c>
      <c r="I622" s="37">
        <v>1186048</v>
      </c>
      <c r="J622" s="122">
        <v>6.8986844413140028E-2</v>
      </c>
      <c r="K622" s="123">
        <f t="shared" si="100"/>
        <v>1301301.9816335638</v>
      </c>
      <c r="L622" s="122">
        <f>IF(K624&gt;0, K622/K624, 0)</f>
        <v>7.6892295986123904E-2</v>
      </c>
      <c r="M622" s="71"/>
      <c r="N622" s="10">
        <f>ROUND(M624*L622,0)</f>
        <v>660650</v>
      </c>
      <c r="O622" s="70">
        <v>561348</v>
      </c>
      <c r="P622" s="10">
        <f>N622-O622</f>
        <v>99302</v>
      </c>
      <c r="Q622" s="46">
        <f t="shared" si="99"/>
        <v>17.689917840626492</v>
      </c>
      <c r="R622" s="10">
        <v>75</v>
      </c>
      <c r="S622" s="7">
        <f t="shared" si="92"/>
        <v>0</v>
      </c>
      <c r="T622" s="124">
        <f t="shared" si="93"/>
        <v>123</v>
      </c>
      <c r="U622" s="124">
        <f t="shared" si="94"/>
        <v>873</v>
      </c>
      <c r="V622" s="124">
        <f t="shared" si="95"/>
        <v>613</v>
      </c>
      <c r="W622" s="124">
        <f t="shared" si="96"/>
        <v>79.999999997199993</v>
      </c>
      <c r="X622" s="124">
        <f t="shared" si="97"/>
        <v>1301301.9816335638</v>
      </c>
      <c r="Y622" s="264">
        <f t="shared" si="98"/>
        <v>613</v>
      </c>
      <c r="Z622" s="10">
        <v>123</v>
      </c>
      <c r="AA622" s="7">
        <v>873</v>
      </c>
      <c r="AB622" s="7">
        <v>613</v>
      </c>
      <c r="AC622" s="109">
        <v>79.999999997199993</v>
      </c>
      <c r="AD622" s="109">
        <v>1301301.9816335638</v>
      </c>
      <c r="AE622" s="125"/>
      <c r="AF622" s="10"/>
      <c r="AI622" s="109"/>
      <c r="AJ622" s="109"/>
      <c r="AL622" s="10"/>
      <c r="AO622" s="109"/>
      <c r="AP622" s="109"/>
      <c r="AR622" s="10"/>
      <c r="AU622" s="109"/>
      <c r="AV622" s="109"/>
      <c r="AX622" s="10"/>
      <c r="BA622" s="109"/>
      <c r="BB622" s="109"/>
      <c r="BD622" s="10"/>
      <c r="BG622" s="109"/>
      <c r="BH622" s="109"/>
      <c r="BJ622" s="10"/>
      <c r="BM622" s="109"/>
      <c r="BN622" s="109"/>
      <c r="BP622" s="10"/>
      <c r="BS622" s="109"/>
      <c r="BT622" s="109"/>
      <c r="BV622" s="10"/>
      <c r="BY622" s="109"/>
      <c r="BZ622" s="109"/>
      <c r="CB622" s="10"/>
      <c r="CE622" s="109"/>
      <c r="CF622" s="109"/>
      <c r="CH622" s="10"/>
      <c r="CK622" s="109"/>
      <c r="CL622" s="109"/>
    </row>
    <row r="623" spans="1:90">
      <c r="A623" s="7" t="str">
        <f t="shared" si="91"/>
        <v>01230998</v>
      </c>
      <c r="B623" s="7" t="s">
        <v>2462</v>
      </c>
      <c r="C623" s="7" t="s">
        <v>2781</v>
      </c>
      <c r="D623" s="7">
        <v>614</v>
      </c>
      <c r="E623" s="7">
        <v>123</v>
      </c>
      <c r="F623" s="7" t="s">
        <v>2135</v>
      </c>
      <c r="G623" s="7">
        <v>998</v>
      </c>
      <c r="H623" s="7" t="s">
        <v>2135</v>
      </c>
      <c r="I623" s="37">
        <v>0</v>
      </c>
      <c r="J623" s="122">
        <v>0</v>
      </c>
      <c r="K623" s="123">
        <f t="shared" si="100"/>
        <v>0</v>
      </c>
      <c r="L623" s="122">
        <f>IF(K624&gt;0, K623/K624, 0)</f>
        <v>0</v>
      </c>
      <c r="M623" s="71"/>
      <c r="N623" s="10">
        <f>ROUND(M624*L623,0)</f>
        <v>0</v>
      </c>
      <c r="O623" s="70">
        <v>0</v>
      </c>
      <c r="P623" s="10">
        <f>N623-O623</f>
        <v>0</v>
      </c>
      <c r="Q623" s="46">
        <f t="shared" si="99"/>
        <v>0</v>
      </c>
      <c r="R623" s="10">
        <v>0</v>
      </c>
      <c r="S623" s="7">
        <f t="shared" si="92"/>
        <v>0</v>
      </c>
      <c r="T623" s="124">
        <f t="shared" si="93"/>
        <v>123</v>
      </c>
      <c r="U623" s="124">
        <f t="shared" si="94"/>
        <v>998</v>
      </c>
      <c r="V623" s="124">
        <f t="shared" si="95"/>
        <v>614</v>
      </c>
      <c r="W623" s="124">
        <f t="shared" si="96"/>
        <v>0</v>
      </c>
      <c r="X623" s="124">
        <f t="shared" si="97"/>
        <v>0</v>
      </c>
      <c r="Y623" s="264">
        <f t="shared" si="98"/>
        <v>614</v>
      </c>
      <c r="Z623" s="10">
        <v>123</v>
      </c>
      <c r="AA623" s="7">
        <v>998</v>
      </c>
      <c r="AB623" s="7">
        <v>614</v>
      </c>
      <c r="AC623" s="109">
        <v>0</v>
      </c>
      <c r="AD623" s="109">
        <v>0</v>
      </c>
      <c r="AE623" s="125"/>
      <c r="AF623" s="10"/>
      <c r="AI623" s="109"/>
      <c r="AJ623" s="109"/>
      <c r="AL623" s="10"/>
      <c r="AO623" s="109"/>
      <c r="AP623" s="109"/>
      <c r="AR623" s="10"/>
      <c r="AU623" s="109"/>
      <c r="AV623" s="109"/>
      <c r="AX623" s="10"/>
      <c r="BA623" s="109"/>
      <c r="BB623" s="109"/>
      <c r="BD623" s="10"/>
      <c r="BG623" s="109"/>
      <c r="BH623" s="109"/>
      <c r="BJ623" s="10"/>
      <c r="BM623" s="109"/>
      <c r="BN623" s="109"/>
      <c r="BP623" s="10"/>
      <c r="BS623" s="109"/>
      <c r="BT623" s="109"/>
      <c r="BV623" s="10"/>
      <c r="BY623" s="109"/>
      <c r="BZ623" s="109"/>
      <c r="CB623" s="10"/>
      <c r="CE623" s="109"/>
      <c r="CF623" s="109"/>
      <c r="CH623" s="10"/>
      <c r="CK623" s="109"/>
      <c r="CL623" s="109"/>
    </row>
    <row r="624" spans="1:90">
      <c r="A624" s="7" t="str">
        <f t="shared" si="91"/>
        <v>01230999</v>
      </c>
      <c r="B624" s="7" t="s">
        <v>2462</v>
      </c>
      <c r="C624" s="7" t="s">
        <v>2782</v>
      </c>
      <c r="D624" s="7">
        <v>615</v>
      </c>
      <c r="E624" s="11">
        <v>123</v>
      </c>
      <c r="F624" s="11" t="s">
        <v>1828</v>
      </c>
      <c r="G624" s="11">
        <v>999</v>
      </c>
      <c r="H624" s="11" t="s">
        <v>1132</v>
      </c>
      <c r="I624" s="105">
        <v>17192379.359999999</v>
      </c>
      <c r="J624" s="126">
        <v>1</v>
      </c>
      <c r="K624" s="127">
        <f>SUM(K620:K623)</f>
        <v>16923697.815817576</v>
      </c>
      <c r="L624" s="126">
        <f>SUM(L620:L623)</f>
        <v>1</v>
      </c>
      <c r="M624" s="105">
        <f>VLOOKUP(E624,town351,22)</f>
        <v>8591885</v>
      </c>
      <c r="N624" s="105">
        <f>SUM(N620:N623)</f>
        <v>8591886</v>
      </c>
      <c r="O624" s="128">
        <v>8137027</v>
      </c>
      <c r="P624" s="105">
        <f>SUM(P620:P623)</f>
        <v>454859</v>
      </c>
      <c r="Q624" s="45">
        <f t="shared" si="99"/>
        <v>5.5899900541069849</v>
      </c>
      <c r="R624" s="105">
        <v>1717</v>
      </c>
      <c r="S624" s="7">
        <f t="shared" si="92"/>
        <v>0</v>
      </c>
      <c r="T624" s="124">
        <f t="shared" si="93"/>
        <v>123</v>
      </c>
      <c r="U624" s="124">
        <f t="shared" si="94"/>
        <v>999</v>
      </c>
      <c r="V624" s="124">
        <f t="shared" si="95"/>
        <v>615</v>
      </c>
      <c r="W624" s="124">
        <f t="shared" si="96"/>
        <v>1654.0198019601999</v>
      </c>
      <c r="X624" s="124">
        <f t="shared" si="97"/>
        <v>16923697.815817576</v>
      </c>
      <c r="Y624" s="264">
        <f t="shared" si="98"/>
        <v>615</v>
      </c>
      <c r="Z624" s="10">
        <v>123</v>
      </c>
      <c r="AA624" s="7">
        <v>999</v>
      </c>
      <c r="AB624" s="7">
        <v>615</v>
      </c>
      <c r="AC624" s="109">
        <v>1654.0198019601999</v>
      </c>
      <c r="AD624" s="109">
        <v>16923697.815817576</v>
      </c>
      <c r="AE624" s="125"/>
      <c r="AF624" s="10"/>
      <c r="AI624" s="109"/>
      <c r="AJ624" s="109"/>
      <c r="AL624" s="10"/>
      <c r="AO624" s="109"/>
      <c r="AP624" s="109"/>
      <c r="AR624" s="10"/>
      <c r="AU624" s="109"/>
      <c r="AV624" s="109"/>
      <c r="AX624" s="10"/>
      <c r="BA624" s="109"/>
      <c r="BB624" s="109"/>
      <c r="BD624" s="10"/>
      <c r="BG624" s="109"/>
      <c r="BH624" s="109"/>
      <c r="BJ624" s="10"/>
      <c r="BM624" s="109"/>
      <c r="BN624" s="109"/>
      <c r="BP624" s="10"/>
      <c r="BS624" s="109"/>
      <c r="BT624" s="109"/>
      <c r="BV624" s="10"/>
      <c r="BY624" s="109"/>
      <c r="BZ624" s="109"/>
      <c r="CB624" s="10"/>
      <c r="CE624" s="109"/>
      <c r="CF624" s="109"/>
      <c r="CH624" s="10"/>
      <c r="CK624" s="109"/>
      <c r="CL624" s="109"/>
    </row>
    <row r="625" spans="1:90">
      <c r="A625" s="7" t="str">
        <f t="shared" si="91"/>
        <v>01240124</v>
      </c>
      <c r="B625" s="7" t="s">
        <v>2463</v>
      </c>
      <c r="C625" s="7" t="s">
        <v>2463</v>
      </c>
      <c r="D625" s="7">
        <v>616</v>
      </c>
      <c r="E625" s="7">
        <v>124</v>
      </c>
      <c r="F625" s="7" t="s">
        <v>1829</v>
      </c>
      <c r="G625" s="7">
        <v>124</v>
      </c>
      <c r="H625" s="7" t="s">
        <v>1390</v>
      </c>
      <c r="I625" s="37">
        <v>13170.920000000002</v>
      </c>
      <c r="J625" s="122">
        <v>3.0155573666257656E-3</v>
      </c>
      <c r="K625" s="123">
        <f>X625</f>
        <v>0</v>
      </c>
      <c r="L625" s="122">
        <f>IF(K629&gt;0, K625/K629, 0)</f>
        <v>0</v>
      </c>
      <c r="M625" s="71"/>
      <c r="N625" s="10">
        <f>ROUND(M629*L625,0)</f>
        <v>0</v>
      </c>
      <c r="O625" s="70">
        <v>4778</v>
      </c>
      <c r="P625" s="10">
        <f>N625-O625</f>
        <v>-4778</v>
      </c>
      <c r="Q625" s="46">
        <f t="shared" si="99"/>
        <v>-100</v>
      </c>
      <c r="R625" s="10">
        <v>1</v>
      </c>
      <c r="S625" s="7">
        <f t="shared" si="92"/>
        <v>0</v>
      </c>
      <c r="T625" s="124">
        <f t="shared" si="93"/>
        <v>124</v>
      </c>
      <c r="U625" s="124">
        <f t="shared" si="94"/>
        <v>124</v>
      </c>
      <c r="V625" s="124">
        <f t="shared" si="95"/>
        <v>616</v>
      </c>
      <c r="W625" s="124">
        <f t="shared" si="96"/>
        <v>0</v>
      </c>
      <c r="X625" s="124">
        <f t="shared" si="97"/>
        <v>0</v>
      </c>
      <c r="Y625" s="264">
        <f t="shared" si="98"/>
        <v>616</v>
      </c>
      <c r="Z625" s="10">
        <v>124</v>
      </c>
      <c r="AA625" s="7">
        <v>124</v>
      </c>
      <c r="AB625" s="7">
        <v>616</v>
      </c>
      <c r="AC625" s="109">
        <v>0</v>
      </c>
      <c r="AD625" s="109">
        <v>0</v>
      </c>
      <c r="AE625" s="125"/>
      <c r="AF625" s="10"/>
      <c r="AI625" s="109"/>
      <c r="AJ625" s="109"/>
      <c r="AL625" s="10"/>
      <c r="AO625" s="109"/>
      <c r="AP625" s="109"/>
      <c r="AR625" s="10"/>
      <c r="AU625" s="109"/>
      <c r="AV625" s="109"/>
      <c r="AX625" s="10"/>
      <c r="BA625" s="109"/>
      <c r="BB625" s="109"/>
      <c r="BD625" s="10"/>
      <c r="BG625" s="109"/>
      <c r="BH625" s="109"/>
      <c r="BJ625" s="10"/>
      <c r="BM625" s="109"/>
      <c r="BN625" s="109"/>
      <c r="BP625" s="10"/>
      <c r="BS625" s="109"/>
      <c r="BT625" s="109"/>
      <c r="BV625" s="10"/>
      <c r="BY625" s="109"/>
      <c r="BZ625" s="109"/>
      <c r="CB625" s="10"/>
      <c r="CE625" s="109"/>
      <c r="CF625" s="109"/>
      <c r="CH625" s="10"/>
      <c r="CK625" s="109"/>
      <c r="CL625" s="109"/>
    </row>
    <row r="626" spans="1:90">
      <c r="A626" s="7" t="str">
        <f t="shared" si="91"/>
        <v>01240753</v>
      </c>
      <c r="B626" s="7" t="s">
        <v>2463</v>
      </c>
      <c r="C626" s="7" t="s">
        <v>2739</v>
      </c>
      <c r="D626" s="7">
        <v>617</v>
      </c>
      <c r="E626" s="7">
        <v>124</v>
      </c>
      <c r="F626" s="7" t="s">
        <v>1829</v>
      </c>
      <c r="G626" s="7">
        <v>753</v>
      </c>
      <c r="H626" s="7" t="s">
        <v>1666</v>
      </c>
      <c r="I626" s="37">
        <v>3967415</v>
      </c>
      <c r="J626" s="122">
        <v>0.90836232622410285</v>
      </c>
      <c r="K626" s="123">
        <f t="shared" si="100"/>
        <v>3868179.7081483677</v>
      </c>
      <c r="L626" s="122">
        <f>IF(K629&gt;0, K626/K629, 0)</f>
        <v>0.92134774248293361</v>
      </c>
      <c r="M626" s="71"/>
      <c r="N626" s="10">
        <f>ROUND(M629*L626,0)</f>
        <v>1408914</v>
      </c>
      <c r="O626" s="70">
        <v>1439140</v>
      </c>
      <c r="P626" s="10">
        <f>N626-O626</f>
        <v>-30226</v>
      </c>
      <c r="Q626" s="46">
        <f t="shared" si="99"/>
        <v>-2.1002821129285545</v>
      </c>
      <c r="R626" s="10">
        <v>397</v>
      </c>
      <c r="S626" s="7">
        <f t="shared" si="92"/>
        <v>0</v>
      </c>
      <c r="T626" s="124">
        <f t="shared" si="93"/>
        <v>124</v>
      </c>
      <c r="U626" s="124">
        <f t="shared" si="94"/>
        <v>753</v>
      </c>
      <c r="V626" s="124">
        <f t="shared" si="95"/>
        <v>617</v>
      </c>
      <c r="W626" s="124">
        <f t="shared" si="96"/>
        <v>378.34489311090005</v>
      </c>
      <c r="X626" s="124">
        <f t="shared" si="97"/>
        <v>3868179.7081483677</v>
      </c>
      <c r="Y626" s="264">
        <f t="shared" si="98"/>
        <v>617</v>
      </c>
      <c r="Z626" s="10">
        <v>124</v>
      </c>
      <c r="AA626" s="7">
        <v>753</v>
      </c>
      <c r="AB626" s="7">
        <v>617</v>
      </c>
      <c r="AC626" s="109">
        <v>378.34489311090005</v>
      </c>
      <c r="AD626" s="109">
        <v>3868179.7081483677</v>
      </c>
      <c r="AE626" s="125"/>
      <c r="AF626" s="10"/>
      <c r="AI626" s="109"/>
      <c r="AJ626" s="109"/>
      <c r="AL626" s="10"/>
      <c r="AO626" s="109"/>
      <c r="AP626" s="109"/>
      <c r="AR626" s="10"/>
      <c r="AU626" s="109"/>
      <c r="AV626" s="109"/>
      <c r="AX626" s="10"/>
      <c r="BA626" s="109"/>
      <c r="BB626" s="109"/>
      <c r="BD626" s="10"/>
      <c r="BG626" s="109"/>
      <c r="BH626" s="109"/>
      <c r="BJ626" s="10"/>
      <c r="BM626" s="109"/>
      <c r="BN626" s="109"/>
      <c r="BP626" s="10"/>
      <c r="BS626" s="109"/>
      <c r="BT626" s="109"/>
      <c r="BV626" s="10"/>
      <c r="BY626" s="109"/>
      <c r="BZ626" s="109"/>
      <c r="CB626" s="10"/>
      <c r="CE626" s="109"/>
      <c r="CF626" s="109"/>
      <c r="CH626" s="10"/>
      <c r="CK626" s="109"/>
      <c r="CL626" s="109"/>
    </row>
    <row r="627" spans="1:90">
      <c r="A627" s="7" t="str">
        <f t="shared" si="91"/>
        <v>01240860</v>
      </c>
      <c r="B627" s="7" t="s">
        <v>2463</v>
      </c>
      <c r="C627" s="7" t="s">
        <v>2770</v>
      </c>
      <c r="D627" s="7">
        <v>618</v>
      </c>
      <c r="E627" s="7">
        <v>124</v>
      </c>
      <c r="F627" s="7" t="s">
        <v>1829</v>
      </c>
      <c r="G627" s="7">
        <v>860</v>
      </c>
      <c r="H627" s="7" t="s">
        <v>1697</v>
      </c>
      <c r="I627" s="37">
        <v>387071</v>
      </c>
      <c r="J627" s="122">
        <v>8.8622116409271451E-2</v>
      </c>
      <c r="K627" s="123">
        <f t="shared" si="100"/>
        <v>330213.06993999809</v>
      </c>
      <c r="L627" s="122">
        <f>IF(K629&gt;0, K627/K629, 0)</f>
        <v>7.8652257517066435E-2</v>
      </c>
      <c r="M627" s="71"/>
      <c r="N627" s="10">
        <f>ROUND(M629*L627,0)</f>
        <v>120274</v>
      </c>
      <c r="O627" s="70">
        <v>140406</v>
      </c>
      <c r="P627" s="10">
        <f>N627-O627</f>
        <v>-20132</v>
      </c>
      <c r="Q627" s="46">
        <f t="shared" si="99"/>
        <v>-14.338418586100309</v>
      </c>
      <c r="R627" s="10">
        <v>24</v>
      </c>
      <c r="S627" s="7">
        <f t="shared" si="92"/>
        <v>0</v>
      </c>
      <c r="T627" s="124">
        <f t="shared" si="93"/>
        <v>124</v>
      </c>
      <c r="U627" s="124">
        <f t="shared" si="94"/>
        <v>860</v>
      </c>
      <c r="V627" s="124">
        <f t="shared" si="95"/>
        <v>618</v>
      </c>
      <c r="W627" s="124">
        <f t="shared" si="96"/>
        <v>19.999999999620002</v>
      </c>
      <c r="X627" s="124">
        <f t="shared" si="97"/>
        <v>330213.06993999809</v>
      </c>
      <c r="Y627" s="264">
        <f t="shared" si="98"/>
        <v>618</v>
      </c>
      <c r="Z627" s="10">
        <v>124</v>
      </c>
      <c r="AA627" s="7">
        <v>860</v>
      </c>
      <c r="AB627" s="7">
        <v>618</v>
      </c>
      <c r="AC627" s="109">
        <v>19.999999999620002</v>
      </c>
      <c r="AD627" s="109">
        <v>330213.06993999809</v>
      </c>
      <c r="AE627" s="125"/>
      <c r="AF627" s="10"/>
      <c r="AI627" s="109"/>
      <c r="AJ627" s="109"/>
      <c r="AL627" s="10"/>
      <c r="AO627" s="109"/>
      <c r="AP627" s="109"/>
      <c r="AR627" s="10"/>
      <c r="AU627" s="109"/>
      <c r="AV627" s="109"/>
      <c r="AX627" s="10"/>
      <c r="BA627" s="109"/>
      <c r="BB627" s="109"/>
      <c r="BD627" s="10"/>
      <c r="BG627" s="109"/>
      <c r="BH627" s="109"/>
      <c r="BJ627" s="10"/>
      <c r="BM627" s="109"/>
      <c r="BN627" s="109"/>
      <c r="BP627" s="10"/>
      <c r="BS627" s="109"/>
      <c r="BT627" s="109"/>
      <c r="BV627" s="10"/>
      <c r="BY627" s="109"/>
      <c r="BZ627" s="109"/>
      <c r="CB627" s="10"/>
      <c r="CE627" s="109"/>
      <c r="CF627" s="109"/>
      <c r="CH627" s="10"/>
      <c r="CK627" s="109"/>
      <c r="CL627" s="109"/>
    </row>
    <row r="628" spans="1:90">
      <c r="A628" s="7" t="str">
        <f t="shared" si="91"/>
        <v>01240998</v>
      </c>
      <c r="B628" s="7" t="s">
        <v>2463</v>
      </c>
      <c r="C628" s="7" t="s">
        <v>2781</v>
      </c>
      <c r="D628" s="7">
        <v>619</v>
      </c>
      <c r="E628" s="7">
        <v>124</v>
      </c>
      <c r="F628" s="7" t="s">
        <v>2135</v>
      </c>
      <c r="G628" s="7">
        <v>998</v>
      </c>
      <c r="H628" s="7" t="s">
        <v>2135</v>
      </c>
      <c r="I628" s="37">
        <v>0</v>
      </c>
      <c r="J628" s="122">
        <v>0</v>
      </c>
      <c r="K628" s="123">
        <f t="shared" si="100"/>
        <v>0</v>
      </c>
      <c r="L628" s="122">
        <f>IF(K629&gt;0, K628/K629, 0)</f>
        <v>0</v>
      </c>
      <c r="M628" s="71"/>
      <c r="N628" s="10">
        <f>ROUND(M629*L628,0)</f>
        <v>0</v>
      </c>
      <c r="O628" s="70">
        <v>0</v>
      </c>
      <c r="P628" s="10">
        <f>N628-O628</f>
        <v>0</v>
      </c>
      <c r="Q628" s="46">
        <f t="shared" si="99"/>
        <v>0</v>
      </c>
      <c r="R628" s="10">
        <v>0</v>
      </c>
      <c r="S628" s="7">
        <f t="shared" si="92"/>
        <v>0</v>
      </c>
      <c r="T628" s="124">
        <f t="shared" si="93"/>
        <v>124</v>
      </c>
      <c r="U628" s="124">
        <f t="shared" si="94"/>
        <v>998</v>
      </c>
      <c r="V628" s="124">
        <f t="shared" si="95"/>
        <v>619</v>
      </c>
      <c r="W628" s="124">
        <f t="shared" si="96"/>
        <v>0</v>
      </c>
      <c r="X628" s="124">
        <f t="shared" si="97"/>
        <v>0</v>
      </c>
      <c r="Y628" s="264">
        <f t="shared" si="98"/>
        <v>619</v>
      </c>
      <c r="Z628" s="10">
        <v>124</v>
      </c>
      <c r="AA628" s="7">
        <v>998</v>
      </c>
      <c r="AB628" s="7">
        <v>619</v>
      </c>
      <c r="AC628" s="109">
        <v>0</v>
      </c>
      <c r="AD628" s="109">
        <v>0</v>
      </c>
      <c r="AE628" s="125"/>
      <c r="AF628" s="10"/>
      <c r="AI628" s="109"/>
      <c r="AJ628" s="109"/>
      <c r="AL628" s="10"/>
      <c r="AO628" s="109"/>
      <c r="AP628" s="109"/>
      <c r="AR628" s="10"/>
      <c r="AU628" s="109"/>
      <c r="AV628" s="109"/>
      <c r="AX628" s="10"/>
      <c r="BA628" s="109"/>
      <c r="BB628" s="109"/>
      <c r="BD628" s="10"/>
      <c r="BG628" s="109"/>
      <c r="BH628" s="109"/>
      <c r="BJ628" s="10"/>
      <c r="BM628" s="109"/>
      <c r="BN628" s="109"/>
      <c r="BP628" s="10"/>
      <c r="BS628" s="109"/>
      <c r="BT628" s="109"/>
      <c r="BV628" s="10"/>
      <c r="BY628" s="109"/>
      <c r="BZ628" s="109"/>
      <c r="CB628" s="10"/>
      <c r="CE628" s="109"/>
      <c r="CF628" s="109"/>
      <c r="CH628" s="10"/>
      <c r="CK628" s="109"/>
      <c r="CL628" s="109"/>
    </row>
    <row r="629" spans="1:90">
      <c r="A629" s="7" t="str">
        <f t="shared" si="91"/>
        <v>01240999</v>
      </c>
      <c r="B629" s="7" t="s">
        <v>2463</v>
      </c>
      <c r="C629" s="7" t="s">
        <v>2782</v>
      </c>
      <c r="D629" s="7">
        <v>620</v>
      </c>
      <c r="E629" s="11">
        <v>124</v>
      </c>
      <c r="F629" s="11" t="s">
        <v>1829</v>
      </c>
      <c r="G629" s="11">
        <v>999</v>
      </c>
      <c r="H629" s="11" t="s">
        <v>1132</v>
      </c>
      <c r="I629" s="105">
        <v>4367656.92</v>
      </c>
      <c r="J629" s="126">
        <v>1</v>
      </c>
      <c r="K629" s="127">
        <f>SUM(K625:K628)</f>
        <v>4198392.7780883657</v>
      </c>
      <c r="L629" s="126">
        <f>SUM(L625:L628)</f>
        <v>1</v>
      </c>
      <c r="M629" s="105">
        <f>VLOOKUP(E629,town351,22)</f>
        <v>1529188</v>
      </c>
      <c r="N629" s="105">
        <f>SUM(N625:N628)</f>
        <v>1529188</v>
      </c>
      <c r="O629" s="128">
        <v>1584324</v>
      </c>
      <c r="P629" s="105">
        <f>SUM(P625:P628)</f>
        <v>-55136</v>
      </c>
      <c r="Q629" s="45">
        <f t="shared" si="99"/>
        <v>-3.4800962429402067</v>
      </c>
      <c r="R629" s="105">
        <v>422</v>
      </c>
      <c r="S629" s="7">
        <f t="shared" si="92"/>
        <v>0</v>
      </c>
      <c r="T629" s="124">
        <f t="shared" si="93"/>
        <v>124</v>
      </c>
      <c r="U629" s="124">
        <f t="shared" si="94"/>
        <v>999</v>
      </c>
      <c r="V629" s="124">
        <f t="shared" si="95"/>
        <v>620</v>
      </c>
      <c r="W629" s="124">
        <f t="shared" si="96"/>
        <v>398.34489311052005</v>
      </c>
      <c r="X629" s="124">
        <f t="shared" si="97"/>
        <v>4198392.7780883657</v>
      </c>
      <c r="Y629" s="264">
        <f t="shared" si="98"/>
        <v>620</v>
      </c>
      <c r="Z629" s="10">
        <v>124</v>
      </c>
      <c r="AA629" s="7">
        <v>999</v>
      </c>
      <c r="AB629" s="7">
        <v>620</v>
      </c>
      <c r="AC629" s="109">
        <v>398.34489311052005</v>
      </c>
      <c r="AD629" s="109">
        <v>4198392.7780883657</v>
      </c>
      <c r="AE629" s="125"/>
      <c r="AF629" s="10"/>
      <c r="AI629" s="109"/>
      <c r="AJ629" s="109"/>
      <c r="AL629" s="10"/>
      <c r="AO629" s="109"/>
      <c r="AP629" s="109"/>
      <c r="AR629" s="10"/>
      <c r="AU629" s="109"/>
      <c r="AV629" s="109"/>
      <c r="AX629" s="10"/>
      <c r="BA629" s="109"/>
      <c r="BB629" s="109"/>
      <c r="BD629" s="10"/>
      <c r="BG629" s="109"/>
      <c r="BH629" s="109"/>
      <c r="BJ629" s="10"/>
      <c r="BM629" s="109"/>
      <c r="BN629" s="109"/>
      <c r="BP629" s="10"/>
      <c r="BS629" s="109"/>
      <c r="BT629" s="109"/>
      <c r="BV629" s="10"/>
      <c r="BY629" s="109"/>
      <c r="BZ629" s="109"/>
      <c r="CB629" s="10"/>
      <c r="CE629" s="109"/>
      <c r="CF629" s="109"/>
      <c r="CH629" s="10"/>
      <c r="CK629" s="109"/>
      <c r="CL629" s="109"/>
    </row>
    <row r="630" spans="1:90">
      <c r="A630" s="7" t="str">
        <f t="shared" si="91"/>
        <v>01250125</v>
      </c>
      <c r="B630" s="7" t="s">
        <v>2464</v>
      </c>
      <c r="C630" s="7" t="s">
        <v>2464</v>
      </c>
      <c r="D630" s="7">
        <v>621</v>
      </c>
      <c r="E630" s="7">
        <v>125</v>
      </c>
      <c r="F630" s="7" t="s">
        <v>1830</v>
      </c>
      <c r="G630" s="7">
        <v>125</v>
      </c>
      <c r="H630" s="7" t="s">
        <v>1391</v>
      </c>
      <c r="I630" s="37">
        <v>9175786.1101999991</v>
      </c>
      <c r="J630" s="122">
        <v>0.99008029927246943</v>
      </c>
      <c r="K630" s="123">
        <f>X630</f>
        <v>9274857.1529690847</v>
      </c>
      <c r="L630" s="122">
        <f>IF(K634&gt;0, K630/K634, 0)</f>
        <v>0.98835452744378327</v>
      </c>
      <c r="M630" s="71"/>
      <c r="N630" s="10">
        <f>ROUND(M634*L630,0)</f>
        <v>7706220</v>
      </c>
      <c r="O630" s="70">
        <v>7758081</v>
      </c>
      <c r="P630" s="10">
        <f>N630-O630</f>
        <v>-51861</v>
      </c>
      <c r="Q630" s="46">
        <f t="shared" si="99"/>
        <v>-0.66847716593832929</v>
      </c>
      <c r="R630" s="10">
        <v>996</v>
      </c>
      <c r="S630" s="7">
        <f t="shared" si="92"/>
        <v>0</v>
      </c>
      <c r="T630" s="124">
        <f t="shared" si="93"/>
        <v>125</v>
      </c>
      <c r="U630" s="124">
        <f t="shared" si="94"/>
        <v>125</v>
      </c>
      <c r="V630" s="124">
        <f t="shared" si="95"/>
        <v>621</v>
      </c>
      <c r="W630" s="124">
        <f t="shared" si="96"/>
        <v>980</v>
      </c>
      <c r="X630" s="124">
        <f t="shared" si="97"/>
        <v>9274857.1529690847</v>
      </c>
      <c r="Y630" s="264">
        <f t="shared" si="98"/>
        <v>621</v>
      </c>
      <c r="Z630" s="10">
        <v>125</v>
      </c>
      <c r="AA630" s="7">
        <v>125</v>
      </c>
      <c r="AB630" s="7">
        <v>621</v>
      </c>
      <c r="AC630" s="109">
        <v>980</v>
      </c>
      <c r="AD630" s="109">
        <v>9274857.1529690847</v>
      </c>
      <c r="AE630" s="125"/>
      <c r="AF630" s="10"/>
      <c r="AI630" s="109"/>
      <c r="AJ630" s="109"/>
      <c r="AL630" s="10"/>
      <c r="AO630" s="109"/>
      <c r="AP630" s="109"/>
      <c r="AR630" s="10"/>
      <c r="AU630" s="109"/>
      <c r="AV630" s="109"/>
      <c r="AX630" s="10"/>
      <c r="BA630" s="109"/>
      <c r="BB630" s="109"/>
      <c r="BD630" s="10"/>
      <c r="BG630" s="109"/>
      <c r="BH630" s="109"/>
      <c r="BJ630" s="10"/>
      <c r="BM630" s="109"/>
      <c r="BN630" s="109"/>
      <c r="BP630" s="10"/>
      <c r="BS630" s="109"/>
      <c r="BT630" s="109"/>
      <c r="BV630" s="10"/>
      <c r="BY630" s="109"/>
      <c r="BZ630" s="109"/>
      <c r="CB630" s="10"/>
      <c r="CE630" s="109"/>
      <c r="CF630" s="109"/>
      <c r="CH630" s="10"/>
      <c r="CK630" s="109"/>
      <c r="CL630" s="109"/>
    </row>
    <row r="631" spans="1:90">
      <c r="A631" s="7" t="str">
        <f t="shared" si="91"/>
        <v>01250832</v>
      </c>
      <c r="B631" s="7" t="s">
        <v>2464</v>
      </c>
      <c r="C631" s="7" t="s">
        <v>2765</v>
      </c>
      <c r="D631" s="7">
        <v>622</v>
      </c>
      <c r="E631" s="7">
        <v>125</v>
      </c>
      <c r="F631" s="7" t="s">
        <v>1830</v>
      </c>
      <c r="G631" s="7">
        <v>832</v>
      </c>
      <c r="H631" s="7" t="s">
        <v>1692</v>
      </c>
      <c r="I631" s="37">
        <v>91933</v>
      </c>
      <c r="J631" s="122">
        <v>9.919700727530581E-3</v>
      </c>
      <c r="K631" s="123">
        <f t="shared" si="100"/>
        <v>109282.74362953844</v>
      </c>
      <c r="L631" s="122">
        <f>IF(K634&gt;0, K631/K634, 0)</f>
        <v>1.1645472556216802E-2</v>
      </c>
      <c r="M631" s="71"/>
      <c r="N631" s="10">
        <f>ROUND(M634*L631,0)</f>
        <v>90800</v>
      </c>
      <c r="O631" s="70">
        <v>77729</v>
      </c>
      <c r="P631" s="10">
        <f>N631-O631</f>
        <v>13071</v>
      </c>
      <c r="Q631" s="46">
        <f t="shared" si="99"/>
        <v>16.816117536569362</v>
      </c>
      <c r="R631" s="10">
        <v>6</v>
      </c>
      <c r="S631" s="7">
        <f t="shared" si="92"/>
        <v>0</v>
      </c>
      <c r="T631" s="124">
        <f t="shared" si="93"/>
        <v>125</v>
      </c>
      <c r="U631" s="124">
        <f t="shared" si="94"/>
        <v>832</v>
      </c>
      <c r="V631" s="124">
        <f t="shared" si="95"/>
        <v>622</v>
      </c>
      <c r="W631" s="124">
        <f t="shared" si="96"/>
        <v>7.0046822779999998</v>
      </c>
      <c r="X631" s="124">
        <f t="shared" si="97"/>
        <v>109282.74362953844</v>
      </c>
      <c r="Y631" s="264">
        <f t="shared" si="98"/>
        <v>622</v>
      </c>
      <c r="Z631" s="10">
        <v>125</v>
      </c>
      <c r="AA631" s="7">
        <v>832</v>
      </c>
      <c r="AB631" s="7">
        <v>622</v>
      </c>
      <c r="AC631" s="109">
        <v>7.0046822779999998</v>
      </c>
      <c r="AD631" s="109">
        <v>109282.74362953844</v>
      </c>
      <c r="AE631" s="125"/>
      <c r="AF631" s="10"/>
      <c r="AI631" s="109"/>
      <c r="AJ631" s="109"/>
      <c r="AL631" s="10"/>
      <c r="AO631" s="109"/>
      <c r="AP631" s="109"/>
      <c r="AR631" s="10"/>
      <c r="AU631" s="109"/>
      <c r="AV631" s="109"/>
      <c r="AX631" s="10"/>
      <c r="BA631" s="109"/>
      <c r="BB631" s="109"/>
      <c r="BD631" s="10"/>
      <c r="BG631" s="109"/>
      <c r="BH631" s="109"/>
      <c r="BJ631" s="10"/>
      <c r="BM631" s="109"/>
      <c r="BN631" s="109"/>
      <c r="BP631" s="10"/>
      <c r="BS631" s="109"/>
      <c r="BT631" s="109"/>
      <c r="BV631" s="10"/>
      <c r="BY631" s="109"/>
      <c r="BZ631" s="109"/>
      <c r="CB631" s="10"/>
      <c r="CE631" s="109"/>
      <c r="CF631" s="109"/>
      <c r="CH631" s="10"/>
      <c r="CK631" s="109"/>
      <c r="CL631" s="109"/>
    </row>
    <row r="632" spans="1:90">
      <c r="A632" s="7" t="str">
        <f t="shared" si="91"/>
        <v>01250998</v>
      </c>
      <c r="B632" s="7" t="s">
        <v>2464</v>
      </c>
      <c r="C632" s="7" t="s">
        <v>2781</v>
      </c>
      <c r="D632" s="7">
        <v>623</v>
      </c>
      <c r="E632" s="7">
        <v>125</v>
      </c>
      <c r="F632" s="7" t="s">
        <v>2135</v>
      </c>
      <c r="G632" s="7">
        <v>998</v>
      </c>
      <c r="H632" s="7" t="s">
        <v>2135</v>
      </c>
      <c r="I632" s="37">
        <v>0</v>
      </c>
      <c r="J632" s="122">
        <v>0</v>
      </c>
      <c r="K632" s="123">
        <f t="shared" si="100"/>
        <v>0</v>
      </c>
      <c r="L632" s="122">
        <f>IF(K634&gt;0, K632/K634, 0)</f>
        <v>0</v>
      </c>
      <c r="M632" s="71"/>
      <c r="N632" s="10">
        <f>ROUND(M634*L632,0)</f>
        <v>0</v>
      </c>
      <c r="O632" s="70">
        <v>0</v>
      </c>
      <c r="P632" s="10">
        <f>N632-O632</f>
        <v>0</v>
      </c>
      <c r="Q632" s="46">
        <f t="shared" si="99"/>
        <v>0</v>
      </c>
      <c r="R632" s="10">
        <v>0</v>
      </c>
      <c r="S632" s="7">
        <f t="shared" si="92"/>
        <v>0</v>
      </c>
      <c r="T632" s="124">
        <f t="shared" si="93"/>
        <v>125</v>
      </c>
      <c r="U632" s="124">
        <f t="shared" si="94"/>
        <v>998</v>
      </c>
      <c r="V632" s="124">
        <f t="shared" si="95"/>
        <v>623</v>
      </c>
      <c r="W632" s="124">
        <f t="shared" si="96"/>
        <v>0</v>
      </c>
      <c r="X632" s="124">
        <f t="shared" si="97"/>
        <v>0</v>
      </c>
      <c r="Y632" s="264">
        <f t="shared" si="98"/>
        <v>623</v>
      </c>
      <c r="Z632" s="10">
        <v>125</v>
      </c>
      <c r="AA632" s="7">
        <v>998</v>
      </c>
      <c r="AB632" s="7">
        <v>623</v>
      </c>
      <c r="AC632" s="109">
        <v>0</v>
      </c>
      <c r="AD632" s="109">
        <v>0</v>
      </c>
      <c r="AE632" s="125"/>
      <c r="AF632" s="10"/>
      <c r="AI632" s="109"/>
      <c r="AJ632" s="109"/>
      <c r="AL632" s="10"/>
      <c r="AO632" s="109"/>
      <c r="AP632" s="109"/>
      <c r="AR632" s="10"/>
      <c r="AU632" s="109"/>
      <c r="AV632" s="109"/>
      <c r="AX632" s="10"/>
      <c r="BA632" s="109"/>
      <c r="BB632" s="109"/>
      <c r="BD632" s="10"/>
      <c r="BG632" s="109"/>
      <c r="BH632" s="109"/>
      <c r="BJ632" s="10"/>
      <c r="BM632" s="109"/>
      <c r="BN632" s="109"/>
      <c r="BP632" s="10"/>
      <c r="BS632" s="109"/>
      <c r="BT632" s="109"/>
      <c r="BV632" s="10"/>
      <c r="BY632" s="109"/>
      <c r="BZ632" s="109"/>
      <c r="CB632" s="10"/>
      <c r="CE632" s="109"/>
      <c r="CF632" s="109"/>
      <c r="CH632" s="10"/>
      <c r="CK632" s="109"/>
      <c r="CL632" s="109"/>
    </row>
    <row r="633" spans="1:90">
      <c r="A633" s="7" t="str">
        <f t="shared" si="91"/>
        <v>01250998</v>
      </c>
      <c r="B633" s="7" t="s">
        <v>2464</v>
      </c>
      <c r="C633" s="7" t="s">
        <v>2781</v>
      </c>
      <c r="D633" s="7">
        <v>624</v>
      </c>
      <c r="E633" s="7">
        <v>125</v>
      </c>
      <c r="F633" s="7" t="s">
        <v>2135</v>
      </c>
      <c r="G633" s="7">
        <v>998</v>
      </c>
      <c r="H633" s="7" t="s">
        <v>2135</v>
      </c>
      <c r="I633" s="37">
        <v>0</v>
      </c>
      <c r="J633" s="122">
        <v>0</v>
      </c>
      <c r="K633" s="123">
        <f t="shared" si="100"/>
        <v>0</v>
      </c>
      <c r="L633" s="122">
        <f>IF(K634&gt;0, K633/K634, 0)</f>
        <v>0</v>
      </c>
      <c r="M633" s="71"/>
      <c r="N633" s="10">
        <f>ROUND(M634*L633,0)</f>
        <v>0</v>
      </c>
      <c r="O633" s="70">
        <v>0</v>
      </c>
      <c r="P633" s="10">
        <f>N633-O633</f>
        <v>0</v>
      </c>
      <c r="Q633" s="46">
        <f t="shared" si="99"/>
        <v>0</v>
      </c>
      <c r="R633" s="10">
        <v>0</v>
      </c>
      <c r="S633" s="7">
        <f t="shared" si="92"/>
        <v>0</v>
      </c>
      <c r="T633" s="124">
        <f t="shared" si="93"/>
        <v>125</v>
      </c>
      <c r="U633" s="124">
        <f t="shared" si="94"/>
        <v>998</v>
      </c>
      <c r="V633" s="124">
        <f t="shared" si="95"/>
        <v>624</v>
      </c>
      <c r="W633" s="124">
        <f t="shared" si="96"/>
        <v>0</v>
      </c>
      <c r="X633" s="124">
        <f t="shared" si="97"/>
        <v>0</v>
      </c>
      <c r="Y633" s="264">
        <f t="shared" si="98"/>
        <v>624</v>
      </c>
      <c r="Z633" s="10">
        <v>125</v>
      </c>
      <c r="AA633" s="7">
        <v>998</v>
      </c>
      <c r="AB633" s="7">
        <v>624</v>
      </c>
      <c r="AC633" s="109">
        <v>0</v>
      </c>
      <c r="AD633" s="109">
        <v>0</v>
      </c>
      <c r="AE633" s="125"/>
      <c r="AF633" s="10"/>
      <c r="AI633" s="109"/>
      <c r="AJ633" s="109"/>
      <c r="AL633" s="10"/>
      <c r="AO633" s="109"/>
      <c r="AP633" s="109"/>
      <c r="AR633" s="10"/>
      <c r="AU633" s="109"/>
      <c r="AV633" s="109"/>
      <c r="AX633" s="10"/>
      <c r="BA633" s="109"/>
      <c r="BB633" s="109"/>
      <c r="BD633" s="10"/>
      <c r="BG633" s="109"/>
      <c r="BH633" s="109"/>
      <c r="BJ633" s="10"/>
      <c r="BM633" s="109"/>
      <c r="BN633" s="109"/>
      <c r="BP633" s="10"/>
      <c r="BS633" s="109"/>
      <c r="BT633" s="109"/>
      <c r="BV633" s="10"/>
      <c r="BY633" s="109"/>
      <c r="BZ633" s="109"/>
      <c r="CB633" s="10"/>
      <c r="CE633" s="109"/>
      <c r="CF633" s="109"/>
      <c r="CH633" s="10"/>
      <c r="CK633" s="109"/>
      <c r="CL633" s="109"/>
    </row>
    <row r="634" spans="1:90">
      <c r="A634" s="7" t="str">
        <f t="shared" si="91"/>
        <v>01250999</v>
      </c>
      <c r="B634" s="7" t="s">
        <v>2464</v>
      </c>
      <c r="C634" s="7" t="s">
        <v>2782</v>
      </c>
      <c r="D634" s="7">
        <v>625</v>
      </c>
      <c r="E634" s="11">
        <v>125</v>
      </c>
      <c r="F634" s="11" t="s">
        <v>1830</v>
      </c>
      <c r="G634" s="11">
        <v>999</v>
      </c>
      <c r="H634" s="11" t="s">
        <v>1132</v>
      </c>
      <c r="I634" s="105">
        <v>9267719.1101999991</v>
      </c>
      <c r="J634" s="126">
        <v>1</v>
      </c>
      <c r="K634" s="127">
        <f>SUM(K630:K633)</f>
        <v>9384139.8965986222</v>
      </c>
      <c r="L634" s="126">
        <f>SUM(L630:L633)</f>
        <v>1</v>
      </c>
      <c r="M634" s="105">
        <f>VLOOKUP(E634,town351,22)</f>
        <v>7797020</v>
      </c>
      <c r="N634" s="105">
        <f>SUM(N630:N633)</f>
        <v>7797020</v>
      </c>
      <c r="O634" s="128">
        <v>7835810</v>
      </c>
      <c r="P634" s="105">
        <f>SUM(P630:P633)</f>
        <v>-38790</v>
      </c>
      <c r="Q634" s="45">
        <f t="shared" si="99"/>
        <v>-0.49503497404863056</v>
      </c>
      <c r="R634" s="105">
        <v>1002</v>
      </c>
      <c r="S634" s="7">
        <f t="shared" si="92"/>
        <v>0</v>
      </c>
      <c r="T634" s="124">
        <f t="shared" si="93"/>
        <v>125</v>
      </c>
      <c r="U634" s="124">
        <f t="shared" si="94"/>
        <v>999</v>
      </c>
      <c r="V634" s="124">
        <f t="shared" si="95"/>
        <v>625</v>
      </c>
      <c r="W634" s="124">
        <f t="shared" si="96"/>
        <v>987.00468227800002</v>
      </c>
      <c r="X634" s="124">
        <f t="shared" si="97"/>
        <v>9384139.8965986222</v>
      </c>
      <c r="Y634" s="264">
        <f t="shared" si="98"/>
        <v>625</v>
      </c>
      <c r="Z634" s="10">
        <v>125</v>
      </c>
      <c r="AA634" s="7">
        <v>999</v>
      </c>
      <c r="AB634" s="7">
        <v>625</v>
      </c>
      <c r="AC634" s="109">
        <v>987.00468227800002</v>
      </c>
      <c r="AD634" s="109">
        <v>9384139.8965986222</v>
      </c>
      <c r="AE634" s="125"/>
      <c r="AF634" s="10"/>
      <c r="AI634" s="109"/>
      <c r="AJ634" s="109"/>
      <c r="AL634" s="10"/>
      <c r="AO634" s="109"/>
      <c r="AP634" s="109"/>
      <c r="AR634" s="10"/>
      <c r="AU634" s="109"/>
      <c r="AV634" s="109"/>
      <c r="AX634" s="10"/>
      <c r="BA634" s="109"/>
      <c r="BB634" s="109"/>
      <c r="BD634" s="10"/>
      <c r="BG634" s="109"/>
      <c r="BH634" s="109"/>
      <c r="BJ634" s="10"/>
      <c r="BM634" s="109"/>
      <c r="BN634" s="109"/>
      <c r="BP634" s="10"/>
      <c r="BS634" s="109"/>
      <c r="BT634" s="109"/>
      <c r="BV634" s="10"/>
      <c r="BY634" s="109"/>
      <c r="BZ634" s="109"/>
      <c r="CB634" s="10"/>
      <c r="CE634" s="109"/>
      <c r="CF634" s="109"/>
      <c r="CH634" s="10"/>
      <c r="CK634" s="109"/>
      <c r="CL634" s="109"/>
    </row>
    <row r="635" spans="1:90">
      <c r="A635" s="7" t="str">
        <f t="shared" si="91"/>
        <v>01260126</v>
      </c>
      <c r="B635" s="7" t="s">
        <v>2465</v>
      </c>
      <c r="C635" s="7" t="s">
        <v>2465</v>
      </c>
      <c r="D635" s="7">
        <v>626</v>
      </c>
      <c r="E635" s="7">
        <v>126</v>
      </c>
      <c r="F635" s="7" t="s">
        <v>1831</v>
      </c>
      <c r="G635" s="7">
        <v>126</v>
      </c>
      <c r="H635" s="7" t="s">
        <v>1392</v>
      </c>
      <c r="I635" s="37">
        <v>0</v>
      </c>
      <c r="J635" s="122">
        <v>0</v>
      </c>
      <c r="K635" s="123">
        <f>X635</f>
        <v>0</v>
      </c>
      <c r="L635" s="122">
        <f>IF(K639&gt;0, K635/K639, 0)</f>
        <v>0</v>
      </c>
      <c r="M635" s="71"/>
      <c r="N635" s="10">
        <f>ROUND(M639*L635,0)</f>
        <v>0</v>
      </c>
      <c r="O635" s="70">
        <v>0</v>
      </c>
      <c r="P635" s="10">
        <f>N635-O635</f>
        <v>0</v>
      </c>
      <c r="Q635" s="46">
        <f t="shared" si="99"/>
        <v>0</v>
      </c>
      <c r="R635" s="10">
        <v>0</v>
      </c>
      <c r="S635" s="7">
        <f t="shared" si="92"/>
        <v>0</v>
      </c>
      <c r="T635" s="124">
        <f t="shared" si="93"/>
        <v>126</v>
      </c>
      <c r="U635" s="124">
        <f t="shared" si="94"/>
        <v>126</v>
      </c>
      <c r="V635" s="124">
        <f t="shared" si="95"/>
        <v>626</v>
      </c>
      <c r="W635" s="124">
        <f t="shared" si="96"/>
        <v>0</v>
      </c>
      <c r="X635" s="124">
        <f t="shared" si="97"/>
        <v>0</v>
      </c>
      <c r="Y635" s="264">
        <f t="shared" si="98"/>
        <v>626</v>
      </c>
      <c r="Z635" s="10">
        <v>126</v>
      </c>
      <c r="AA635" s="7">
        <v>126</v>
      </c>
      <c r="AB635" s="7">
        <v>626</v>
      </c>
      <c r="AC635" s="109">
        <v>0</v>
      </c>
      <c r="AD635" s="109">
        <v>0</v>
      </c>
      <c r="AE635" s="125"/>
      <c r="AF635" s="10"/>
      <c r="AI635" s="109"/>
      <c r="AJ635" s="109"/>
      <c r="AL635" s="10"/>
      <c r="AO635" s="109"/>
      <c r="AP635" s="109"/>
      <c r="AR635" s="10"/>
      <c r="AU635" s="109"/>
      <c r="AV635" s="109"/>
      <c r="AX635" s="10"/>
      <c r="BA635" s="109"/>
      <c r="BB635" s="109"/>
      <c r="BD635" s="10"/>
      <c r="BG635" s="109"/>
      <c r="BH635" s="109"/>
      <c r="BJ635" s="10"/>
      <c r="BM635" s="109"/>
      <c r="BN635" s="109"/>
      <c r="BP635" s="10"/>
      <c r="BS635" s="109"/>
      <c r="BT635" s="109"/>
      <c r="BV635" s="10"/>
      <c r="BY635" s="109"/>
      <c r="BZ635" s="109"/>
      <c r="CB635" s="10"/>
      <c r="CE635" s="109"/>
      <c r="CF635" s="109"/>
      <c r="CH635" s="10"/>
      <c r="CK635" s="109"/>
      <c r="CL635" s="109"/>
    </row>
    <row r="636" spans="1:90">
      <c r="A636" s="7" t="str">
        <f t="shared" si="91"/>
        <v>01260712</v>
      </c>
      <c r="B636" s="7" t="s">
        <v>2465</v>
      </c>
      <c r="C636" s="7" t="s">
        <v>2728</v>
      </c>
      <c r="D636" s="7">
        <v>627</v>
      </c>
      <c r="E636" s="7">
        <v>126</v>
      </c>
      <c r="F636" s="7" t="s">
        <v>1831</v>
      </c>
      <c r="G636" s="7">
        <v>712</v>
      </c>
      <c r="H636" s="7" t="s">
        <v>1655</v>
      </c>
      <c r="I636" s="37">
        <v>13905588</v>
      </c>
      <c r="J636" s="122">
        <v>0.9207141393861874</v>
      </c>
      <c r="K636" s="123">
        <f t="shared" si="100"/>
        <v>14182726.787857411</v>
      </c>
      <c r="L636" s="122">
        <f>IF(K639&gt;0, K636/K639, 0)</f>
        <v>0.91824628587694901</v>
      </c>
      <c r="M636" s="71"/>
      <c r="N636" s="10">
        <f>ROUND(M639*L636,0)</f>
        <v>11744700</v>
      </c>
      <c r="O636" s="70">
        <v>11547899</v>
      </c>
      <c r="P636" s="10">
        <f>N636-O636</f>
        <v>196801</v>
      </c>
      <c r="Q636" s="46">
        <f t="shared" si="99"/>
        <v>1.7042147666861305</v>
      </c>
      <c r="R636" s="10">
        <v>1370</v>
      </c>
      <c r="S636" s="7">
        <f t="shared" si="92"/>
        <v>0</v>
      </c>
      <c r="T636" s="124">
        <f t="shared" si="93"/>
        <v>126</v>
      </c>
      <c r="U636" s="124">
        <f t="shared" si="94"/>
        <v>712</v>
      </c>
      <c r="V636" s="124">
        <f t="shared" si="95"/>
        <v>627</v>
      </c>
      <c r="W636" s="124">
        <f t="shared" si="96"/>
        <v>1373.17402874037</v>
      </c>
      <c r="X636" s="124">
        <f t="shared" si="97"/>
        <v>14182726.787857411</v>
      </c>
      <c r="Y636" s="264">
        <f t="shared" si="98"/>
        <v>627</v>
      </c>
      <c r="Z636" s="10">
        <v>126</v>
      </c>
      <c r="AA636" s="7">
        <v>712</v>
      </c>
      <c r="AB636" s="7">
        <v>627</v>
      </c>
      <c r="AC636" s="109">
        <v>1373.17402874037</v>
      </c>
      <c r="AD636" s="109">
        <v>14182726.787857411</v>
      </c>
      <c r="AE636" s="125"/>
      <c r="AF636" s="10"/>
      <c r="AI636" s="109"/>
      <c r="AJ636" s="109"/>
      <c r="AL636" s="10"/>
      <c r="AO636" s="109"/>
      <c r="AP636" s="109"/>
      <c r="AR636" s="10"/>
      <c r="AU636" s="109"/>
      <c r="AV636" s="109"/>
      <c r="AX636" s="10"/>
      <c r="BA636" s="109"/>
      <c r="BB636" s="109"/>
      <c r="BD636" s="10"/>
      <c r="BG636" s="109"/>
      <c r="BH636" s="109"/>
      <c r="BJ636" s="10"/>
      <c r="BM636" s="109"/>
      <c r="BN636" s="109"/>
      <c r="BP636" s="10"/>
      <c r="BS636" s="109"/>
      <c r="BT636" s="109"/>
      <c r="BV636" s="10"/>
      <c r="BY636" s="109"/>
      <c r="BZ636" s="109"/>
      <c r="CB636" s="10"/>
      <c r="CE636" s="109"/>
      <c r="CF636" s="109"/>
      <c r="CH636" s="10"/>
      <c r="CK636" s="109"/>
      <c r="CL636" s="109"/>
    </row>
    <row r="637" spans="1:90">
      <c r="A637" s="7" t="str">
        <f t="shared" si="91"/>
        <v>01260815</v>
      </c>
      <c r="B637" s="7" t="s">
        <v>2465</v>
      </c>
      <c r="C637" s="7" t="s">
        <v>2756</v>
      </c>
      <c r="D637" s="7">
        <v>628</v>
      </c>
      <c r="E637" s="7">
        <v>126</v>
      </c>
      <c r="F637" s="7" t="s">
        <v>1831</v>
      </c>
      <c r="G637" s="7">
        <v>815</v>
      </c>
      <c r="H637" s="7" t="s">
        <v>1683</v>
      </c>
      <c r="I637" s="37">
        <v>1197458</v>
      </c>
      <c r="J637" s="122">
        <v>7.9285860613812598E-2</v>
      </c>
      <c r="K637" s="123">
        <f t="shared" si="100"/>
        <v>1262722.8763495497</v>
      </c>
      <c r="L637" s="122">
        <f>IF(K639&gt;0, K637/K639, 0)</f>
        <v>8.1753714123050991E-2</v>
      </c>
      <c r="M637" s="71"/>
      <c r="N637" s="10">
        <f>ROUND(M639*L637,0)</f>
        <v>1045659</v>
      </c>
      <c r="O637" s="70">
        <v>994429</v>
      </c>
      <c r="P637" s="10">
        <f>N637-O637</f>
        <v>51230</v>
      </c>
      <c r="Q637" s="46">
        <f t="shared" si="99"/>
        <v>5.1517001213761864</v>
      </c>
      <c r="R637" s="10">
        <v>75</v>
      </c>
      <c r="S637" s="7">
        <f t="shared" si="92"/>
        <v>0</v>
      </c>
      <c r="T637" s="124">
        <f t="shared" si="93"/>
        <v>126</v>
      </c>
      <c r="U637" s="124">
        <f t="shared" si="94"/>
        <v>815</v>
      </c>
      <c r="V637" s="124">
        <f t="shared" si="95"/>
        <v>628</v>
      </c>
      <c r="W637" s="124">
        <f t="shared" si="96"/>
        <v>77.000000001260005</v>
      </c>
      <c r="X637" s="124">
        <f t="shared" si="97"/>
        <v>1262722.8763495497</v>
      </c>
      <c r="Y637" s="264">
        <f t="shared" si="98"/>
        <v>628</v>
      </c>
      <c r="Z637" s="10">
        <v>126</v>
      </c>
      <c r="AA637" s="7">
        <v>815</v>
      </c>
      <c r="AB637" s="7">
        <v>628</v>
      </c>
      <c r="AC637" s="109">
        <v>77.000000001260005</v>
      </c>
      <c r="AD637" s="109">
        <v>1262722.8763495497</v>
      </c>
      <c r="AE637" s="125"/>
      <c r="AF637" s="10"/>
      <c r="AI637" s="109"/>
      <c r="AJ637" s="109"/>
      <c r="AL637" s="10"/>
      <c r="AO637" s="109"/>
      <c r="AP637" s="109"/>
      <c r="AR637" s="10"/>
      <c r="AU637" s="109"/>
      <c r="AV637" s="109"/>
      <c r="AX637" s="10"/>
      <c r="BA637" s="109"/>
      <c r="BB637" s="109"/>
      <c r="BD637" s="10"/>
      <c r="BG637" s="109"/>
      <c r="BH637" s="109"/>
      <c r="BJ637" s="10"/>
      <c r="BM637" s="109"/>
      <c r="BN637" s="109"/>
      <c r="BP637" s="10"/>
      <c r="BS637" s="109"/>
      <c r="BT637" s="109"/>
      <c r="BV637" s="10"/>
      <c r="BY637" s="109"/>
      <c r="BZ637" s="109"/>
      <c r="CB637" s="10"/>
      <c r="CE637" s="109"/>
      <c r="CF637" s="109"/>
      <c r="CH637" s="10"/>
      <c r="CK637" s="109"/>
      <c r="CL637" s="109"/>
    </row>
    <row r="638" spans="1:90">
      <c r="A638" s="7" t="str">
        <f t="shared" si="91"/>
        <v>01260998</v>
      </c>
      <c r="B638" s="7" t="s">
        <v>2465</v>
      </c>
      <c r="C638" s="7" t="s">
        <v>2781</v>
      </c>
      <c r="D638" s="7">
        <v>629</v>
      </c>
      <c r="E638" s="7">
        <v>126</v>
      </c>
      <c r="F638" s="7" t="s">
        <v>2135</v>
      </c>
      <c r="G638" s="7">
        <v>998</v>
      </c>
      <c r="H638" s="7" t="s">
        <v>2135</v>
      </c>
      <c r="I638" s="37">
        <v>0</v>
      </c>
      <c r="J638" s="122">
        <v>0</v>
      </c>
      <c r="K638" s="123">
        <f t="shared" si="100"/>
        <v>0</v>
      </c>
      <c r="L638" s="122">
        <f>IF(K639&gt;0, K638/K639, 0)</f>
        <v>0</v>
      </c>
      <c r="M638" s="71"/>
      <c r="N638" s="10">
        <f>ROUND(M639*L638,0)</f>
        <v>0</v>
      </c>
      <c r="O638" s="70">
        <v>0</v>
      </c>
      <c r="P638" s="10">
        <f>N638-O638</f>
        <v>0</v>
      </c>
      <c r="Q638" s="46">
        <f t="shared" si="99"/>
        <v>0</v>
      </c>
      <c r="R638" s="10">
        <v>0</v>
      </c>
      <c r="S638" s="7">
        <f t="shared" si="92"/>
        <v>0</v>
      </c>
      <c r="T638" s="124">
        <f t="shared" si="93"/>
        <v>126</v>
      </c>
      <c r="U638" s="124">
        <f t="shared" si="94"/>
        <v>998</v>
      </c>
      <c r="V638" s="124">
        <f t="shared" si="95"/>
        <v>629</v>
      </c>
      <c r="W638" s="124">
        <f t="shared" si="96"/>
        <v>0</v>
      </c>
      <c r="X638" s="124">
        <f t="shared" si="97"/>
        <v>0</v>
      </c>
      <c r="Y638" s="264">
        <f t="shared" si="98"/>
        <v>629</v>
      </c>
      <c r="Z638" s="10">
        <v>126</v>
      </c>
      <c r="AA638" s="7">
        <v>998</v>
      </c>
      <c r="AB638" s="7">
        <v>629</v>
      </c>
      <c r="AC638" s="109">
        <v>0</v>
      </c>
      <c r="AD638" s="109">
        <v>0</v>
      </c>
      <c r="AE638" s="125"/>
      <c r="AF638" s="10"/>
      <c r="AI638" s="109"/>
      <c r="AJ638" s="109"/>
      <c r="AL638" s="10"/>
      <c r="AO638" s="109"/>
      <c r="AP638" s="109"/>
      <c r="AR638" s="10"/>
      <c r="AU638" s="109"/>
      <c r="AV638" s="109"/>
      <c r="AX638" s="10"/>
      <c r="BA638" s="109"/>
      <c r="BB638" s="109"/>
      <c r="BD638" s="10"/>
      <c r="BG638" s="109"/>
      <c r="BH638" s="109"/>
      <c r="BJ638" s="10"/>
      <c r="BM638" s="109"/>
      <c r="BN638" s="109"/>
      <c r="BP638" s="10"/>
      <c r="BS638" s="109"/>
      <c r="BT638" s="109"/>
      <c r="BV638" s="10"/>
      <c r="BY638" s="109"/>
      <c r="BZ638" s="109"/>
      <c r="CB638" s="10"/>
      <c r="CE638" s="109"/>
      <c r="CF638" s="109"/>
      <c r="CH638" s="10"/>
      <c r="CK638" s="109"/>
      <c r="CL638" s="109"/>
    </row>
    <row r="639" spans="1:90">
      <c r="A639" s="7" t="str">
        <f t="shared" si="91"/>
        <v>01260999</v>
      </c>
      <c r="B639" s="7" t="s">
        <v>2465</v>
      </c>
      <c r="C639" s="7" t="s">
        <v>2782</v>
      </c>
      <c r="D639" s="7">
        <v>630</v>
      </c>
      <c r="E639" s="11">
        <v>126</v>
      </c>
      <c r="F639" s="11" t="s">
        <v>1831</v>
      </c>
      <c r="G639" s="11">
        <v>999</v>
      </c>
      <c r="H639" s="11" t="s">
        <v>1132</v>
      </c>
      <c r="I639" s="105">
        <v>15103046</v>
      </c>
      <c r="J639" s="126">
        <v>1</v>
      </c>
      <c r="K639" s="127">
        <f>SUM(K635:K638)</f>
        <v>15445449.664206961</v>
      </c>
      <c r="L639" s="126">
        <f>SUM(L635:L638)</f>
        <v>1</v>
      </c>
      <c r="M639" s="105">
        <f>VLOOKUP(E639,town351,22)</f>
        <v>12790359</v>
      </c>
      <c r="N639" s="105">
        <f>SUM(N635:N638)</f>
        <v>12790359</v>
      </c>
      <c r="O639" s="128">
        <v>12542328</v>
      </c>
      <c r="P639" s="105">
        <f>SUM(P635:P638)</f>
        <v>248031</v>
      </c>
      <c r="Q639" s="45">
        <f t="shared" si="99"/>
        <v>1.9775515358871176</v>
      </c>
      <c r="R639" s="105">
        <v>1445</v>
      </c>
      <c r="S639" s="7">
        <f t="shared" si="92"/>
        <v>0</v>
      </c>
      <c r="T639" s="124">
        <f t="shared" si="93"/>
        <v>126</v>
      </c>
      <c r="U639" s="124">
        <f t="shared" si="94"/>
        <v>999</v>
      </c>
      <c r="V639" s="124">
        <f t="shared" si="95"/>
        <v>630</v>
      </c>
      <c r="W639" s="124">
        <f t="shared" si="96"/>
        <v>1450.1740287416301</v>
      </c>
      <c r="X639" s="124">
        <f t="shared" si="97"/>
        <v>15445449.664206961</v>
      </c>
      <c r="Y639" s="264">
        <f t="shared" si="98"/>
        <v>630</v>
      </c>
      <c r="Z639" s="10">
        <v>126</v>
      </c>
      <c r="AA639" s="7">
        <v>999</v>
      </c>
      <c r="AB639" s="7">
        <v>630</v>
      </c>
      <c r="AC639" s="109">
        <v>1450.1740287416301</v>
      </c>
      <c r="AD639" s="109">
        <v>15445449.664206961</v>
      </c>
      <c r="AE639" s="125"/>
      <c r="AF639" s="10"/>
      <c r="AI639" s="109"/>
      <c r="AJ639" s="109"/>
      <c r="AL639" s="10"/>
      <c r="AO639" s="109"/>
      <c r="AP639" s="109"/>
      <c r="AR639" s="10"/>
      <c r="AU639" s="109"/>
      <c r="AV639" s="109"/>
      <c r="AX639" s="10"/>
      <c r="BA639" s="109"/>
      <c r="BB639" s="109"/>
      <c r="BD639" s="10"/>
      <c r="BG639" s="109"/>
      <c r="BH639" s="109"/>
      <c r="BJ639" s="10"/>
      <c r="BM639" s="109"/>
      <c r="BN639" s="109"/>
      <c r="BP639" s="10"/>
      <c r="BS639" s="109"/>
      <c r="BT639" s="109"/>
      <c r="BV639" s="10"/>
      <c r="BY639" s="109"/>
      <c r="BZ639" s="109"/>
      <c r="CB639" s="10"/>
      <c r="CE639" s="109"/>
      <c r="CF639" s="109"/>
      <c r="CH639" s="10"/>
      <c r="CK639" s="109"/>
      <c r="CL639" s="109"/>
    </row>
    <row r="640" spans="1:90">
      <c r="A640" s="7" t="str">
        <f t="shared" si="91"/>
        <v>01270127</v>
      </c>
      <c r="B640" s="7" t="s">
        <v>2466</v>
      </c>
      <c r="C640" s="7" t="s">
        <v>2466</v>
      </c>
      <c r="D640" s="7">
        <v>631</v>
      </c>
      <c r="E640" s="7">
        <v>127</v>
      </c>
      <c r="F640" s="7" t="s">
        <v>1832</v>
      </c>
      <c r="G640" s="7">
        <v>127</v>
      </c>
      <c r="H640" s="7" t="s">
        <v>1393</v>
      </c>
      <c r="I640" s="37">
        <v>3350319.81</v>
      </c>
      <c r="J640" s="122">
        <v>1</v>
      </c>
      <c r="K640" s="123">
        <f>X640</f>
        <v>3456804.2799801859</v>
      </c>
      <c r="L640" s="122">
        <f>IF(K644&gt;0, K640/K644, 0)</f>
        <v>1</v>
      </c>
      <c r="M640" s="71"/>
      <c r="N640" s="10">
        <f>ROUND(M644*L640,0)</f>
        <v>2864170</v>
      </c>
      <c r="O640" s="70">
        <v>2835513</v>
      </c>
      <c r="P640" s="10">
        <f>N640-O640</f>
        <v>28657</v>
      </c>
      <c r="Q640" s="46">
        <f t="shared" si="99"/>
        <v>1.0106460453540507</v>
      </c>
      <c r="R640" s="10">
        <v>350</v>
      </c>
      <c r="S640" s="7">
        <f t="shared" si="92"/>
        <v>0</v>
      </c>
      <c r="T640" s="124">
        <f t="shared" si="93"/>
        <v>127</v>
      </c>
      <c r="U640" s="124">
        <f t="shared" si="94"/>
        <v>127</v>
      </c>
      <c r="V640" s="124">
        <f t="shared" si="95"/>
        <v>631</v>
      </c>
      <c r="W640" s="124">
        <f t="shared" si="96"/>
        <v>354</v>
      </c>
      <c r="X640" s="124">
        <f t="shared" si="97"/>
        <v>3456804.2799801859</v>
      </c>
      <c r="Y640" s="264">
        <f t="shared" si="98"/>
        <v>631</v>
      </c>
      <c r="Z640" s="10">
        <v>127</v>
      </c>
      <c r="AA640" s="7">
        <v>127</v>
      </c>
      <c r="AB640" s="7">
        <v>631</v>
      </c>
      <c r="AC640" s="109">
        <v>354</v>
      </c>
      <c r="AD640" s="109">
        <v>3456804.2799801859</v>
      </c>
      <c r="AE640" s="125"/>
      <c r="AF640" s="10"/>
      <c r="AI640" s="109"/>
      <c r="AJ640" s="109"/>
      <c r="AL640" s="10"/>
      <c r="AO640" s="109"/>
      <c r="AP640" s="109"/>
      <c r="AR640" s="10"/>
      <c r="AU640" s="109"/>
      <c r="AV640" s="109"/>
      <c r="AX640" s="10"/>
      <c r="BA640" s="109"/>
      <c r="BB640" s="109"/>
      <c r="BD640" s="10"/>
      <c r="BG640" s="109"/>
      <c r="BH640" s="109"/>
      <c r="BJ640" s="10"/>
      <c r="BM640" s="109"/>
      <c r="BN640" s="109"/>
      <c r="BP640" s="10"/>
      <c r="BS640" s="109"/>
      <c r="BT640" s="109"/>
      <c r="BV640" s="10"/>
      <c r="BY640" s="109"/>
      <c r="BZ640" s="109"/>
      <c r="CB640" s="10"/>
      <c r="CE640" s="109"/>
      <c r="CF640" s="109"/>
      <c r="CH640" s="10"/>
      <c r="CK640" s="109"/>
      <c r="CL640" s="109"/>
    </row>
    <row r="641" spans="1:90">
      <c r="A641" s="7" t="str">
        <f t="shared" si="91"/>
        <v>01270998</v>
      </c>
      <c r="B641" s="7" t="s">
        <v>2466</v>
      </c>
      <c r="C641" s="7" t="s">
        <v>2781</v>
      </c>
      <c r="D641" s="7">
        <v>632</v>
      </c>
      <c r="E641" s="7">
        <v>127</v>
      </c>
      <c r="F641" s="7" t="s">
        <v>2135</v>
      </c>
      <c r="G641" s="7">
        <v>998</v>
      </c>
      <c r="H641" s="7" t="s">
        <v>2135</v>
      </c>
      <c r="I641" s="37">
        <v>0</v>
      </c>
      <c r="J641" s="122">
        <v>0</v>
      </c>
      <c r="K641" s="123">
        <f t="shared" si="100"/>
        <v>0</v>
      </c>
      <c r="L641" s="122">
        <f>IF(K644&gt;0, K641/K644, 0)</f>
        <v>0</v>
      </c>
      <c r="M641" s="71"/>
      <c r="N641" s="10">
        <f>ROUND(M644*L641,0)</f>
        <v>0</v>
      </c>
      <c r="O641" s="70">
        <v>0</v>
      </c>
      <c r="P641" s="10">
        <f>N641-O641</f>
        <v>0</v>
      </c>
      <c r="Q641" s="46">
        <f t="shared" si="99"/>
        <v>0</v>
      </c>
      <c r="R641" s="10">
        <v>0</v>
      </c>
      <c r="S641" s="7">
        <f t="shared" si="92"/>
        <v>0</v>
      </c>
      <c r="T641" s="124">
        <f t="shared" si="93"/>
        <v>127</v>
      </c>
      <c r="U641" s="124">
        <f t="shared" si="94"/>
        <v>998</v>
      </c>
      <c r="V641" s="124">
        <f t="shared" si="95"/>
        <v>632</v>
      </c>
      <c r="W641" s="124">
        <f t="shared" si="96"/>
        <v>0</v>
      </c>
      <c r="X641" s="124">
        <f t="shared" si="97"/>
        <v>0</v>
      </c>
      <c r="Y641" s="264">
        <f t="shared" si="98"/>
        <v>632</v>
      </c>
      <c r="Z641" s="10">
        <v>127</v>
      </c>
      <c r="AA641" s="7">
        <v>998</v>
      </c>
      <c r="AB641" s="7">
        <v>632</v>
      </c>
      <c r="AC641" s="109">
        <v>0</v>
      </c>
      <c r="AD641" s="109">
        <v>0</v>
      </c>
      <c r="AE641" s="125"/>
      <c r="AF641" s="10"/>
      <c r="AI641" s="109"/>
      <c r="AJ641" s="109"/>
      <c r="AL641" s="10"/>
      <c r="AO641" s="109"/>
      <c r="AP641" s="109"/>
      <c r="AR641" s="10"/>
      <c r="AU641" s="109"/>
      <c r="AV641" s="109"/>
      <c r="AX641" s="10"/>
      <c r="BA641" s="109"/>
      <c r="BB641" s="109"/>
      <c r="BD641" s="10"/>
      <c r="BG641" s="109"/>
      <c r="BH641" s="109"/>
      <c r="BJ641" s="10"/>
      <c r="BM641" s="109"/>
      <c r="BN641" s="109"/>
      <c r="BP641" s="10"/>
      <c r="BS641" s="109"/>
      <c r="BT641" s="109"/>
      <c r="BV641" s="10"/>
      <c r="BY641" s="109"/>
      <c r="BZ641" s="109"/>
      <c r="CB641" s="10"/>
      <c r="CE641" s="109"/>
      <c r="CF641" s="109"/>
      <c r="CH641" s="10"/>
      <c r="CK641" s="109"/>
      <c r="CL641" s="109"/>
    </row>
    <row r="642" spans="1:90">
      <c r="A642" s="7" t="str">
        <f t="shared" si="91"/>
        <v>01270998</v>
      </c>
      <c r="B642" s="7" t="s">
        <v>2466</v>
      </c>
      <c r="C642" s="7" t="s">
        <v>2781</v>
      </c>
      <c r="D642" s="7">
        <v>633</v>
      </c>
      <c r="E642" s="7">
        <v>127</v>
      </c>
      <c r="F642" s="7" t="s">
        <v>2135</v>
      </c>
      <c r="G642" s="7">
        <v>998</v>
      </c>
      <c r="H642" s="7" t="s">
        <v>2135</v>
      </c>
      <c r="I642" s="37">
        <v>0</v>
      </c>
      <c r="J642" s="122">
        <v>0</v>
      </c>
      <c r="K642" s="123">
        <f t="shared" si="100"/>
        <v>0</v>
      </c>
      <c r="L642" s="122">
        <f>IF(K644&gt;0, K642/K644, 0)</f>
        <v>0</v>
      </c>
      <c r="M642" s="71"/>
      <c r="N642" s="10">
        <f>ROUND(M644*L642,0)</f>
        <v>0</v>
      </c>
      <c r="O642" s="70">
        <v>0</v>
      </c>
      <c r="P642" s="10">
        <f>N642-O642</f>
        <v>0</v>
      </c>
      <c r="Q642" s="46">
        <f t="shared" si="99"/>
        <v>0</v>
      </c>
      <c r="R642" s="10">
        <v>0</v>
      </c>
      <c r="S642" s="7">
        <f t="shared" si="92"/>
        <v>0</v>
      </c>
      <c r="T642" s="124">
        <f t="shared" si="93"/>
        <v>127</v>
      </c>
      <c r="U642" s="124">
        <f t="shared" si="94"/>
        <v>998</v>
      </c>
      <c r="V642" s="124">
        <f t="shared" si="95"/>
        <v>633</v>
      </c>
      <c r="W642" s="124">
        <f t="shared" si="96"/>
        <v>0</v>
      </c>
      <c r="X642" s="124">
        <f t="shared" si="97"/>
        <v>0</v>
      </c>
      <c r="Y642" s="264">
        <f t="shared" si="98"/>
        <v>633</v>
      </c>
      <c r="Z642" s="10">
        <v>127</v>
      </c>
      <c r="AA642" s="7">
        <v>998</v>
      </c>
      <c r="AB642" s="7">
        <v>633</v>
      </c>
      <c r="AC642" s="109">
        <v>0</v>
      </c>
      <c r="AD642" s="109">
        <v>0</v>
      </c>
      <c r="AE642" s="125"/>
      <c r="AF642" s="10"/>
      <c r="AI642" s="109"/>
      <c r="AJ642" s="109"/>
      <c r="AL642" s="10"/>
      <c r="AO642" s="109"/>
      <c r="AP642" s="109"/>
      <c r="AR642" s="10"/>
      <c r="AU642" s="109"/>
      <c r="AV642" s="109"/>
      <c r="AX642" s="10"/>
      <c r="BA642" s="109"/>
      <c r="BB642" s="109"/>
      <c r="BD642" s="10"/>
      <c r="BG642" s="109"/>
      <c r="BH642" s="109"/>
      <c r="BJ642" s="10"/>
      <c r="BM642" s="109"/>
      <c r="BN642" s="109"/>
      <c r="BP642" s="10"/>
      <c r="BS642" s="109"/>
      <c r="BT642" s="109"/>
      <c r="BV642" s="10"/>
      <c r="BY642" s="109"/>
      <c r="BZ642" s="109"/>
      <c r="CB642" s="10"/>
      <c r="CE642" s="109"/>
      <c r="CF642" s="109"/>
      <c r="CH642" s="10"/>
      <c r="CK642" s="109"/>
      <c r="CL642" s="109"/>
    </row>
    <row r="643" spans="1:90">
      <c r="A643" s="7" t="str">
        <f t="shared" si="91"/>
        <v>01270998</v>
      </c>
      <c r="B643" s="7" t="s">
        <v>2466</v>
      </c>
      <c r="C643" s="7" t="s">
        <v>2781</v>
      </c>
      <c r="D643" s="7">
        <v>634</v>
      </c>
      <c r="E643" s="7">
        <v>127</v>
      </c>
      <c r="F643" s="7" t="s">
        <v>2135</v>
      </c>
      <c r="G643" s="7">
        <v>998</v>
      </c>
      <c r="H643" s="7" t="s">
        <v>2135</v>
      </c>
      <c r="I643" s="37">
        <v>0</v>
      </c>
      <c r="J643" s="122">
        <v>0</v>
      </c>
      <c r="K643" s="123">
        <f t="shared" si="100"/>
        <v>0</v>
      </c>
      <c r="L643" s="122">
        <f>IF(K644&gt;0, K643/K644, 0)</f>
        <v>0</v>
      </c>
      <c r="M643" s="71"/>
      <c r="N643" s="10">
        <f>ROUND(M644*L643,0)</f>
        <v>0</v>
      </c>
      <c r="O643" s="70">
        <v>0</v>
      </c>
      <c r="P643" s="10">
        <f>N643-O643</f>
        <v>0</v>
      </c>
      <c r="Q643" s="46">
        <f t="shared" si="99"/>
        <v>0</v>
      </c>
      <c r="R643" s="10">
        <v>0</v>
      </c>
      <c r="S643" s="7">
        <f t="shared" si="92"/>
        <v>0</v>
      </c>
      <c r="T643" s="124">
        <f t="shared" si="93"/>
        <v>127</v>
      </c>
      <c r="U643" s="124">
        <f t="shared" si="94"/>
        <v>998</v>
      </c>
      <c r="V643" s="124">
        <f t="shared" si="95"/>
        <v>634</v>
      </c>
      <c r="W643" s="124">
        <f t="shared" si="96"/>
        <v>0</v>
      </c>
      <c r="X643" s="124">
        <f t="shared" si="97"/>
        <v>0</v>
      </c>
      <c r="Y643" s="264">
        <f t="shared" si="98"/>
        <v>634</v>
      </c>
      <c r="Z643" s="10">
        <v>127</v>
      </c>
      <c r="AA643" s="7">
        <v>998</v>
      </c>
      <c r="AB643" s="7">
        <v>634</v>
      </c>
      <c r="AC643" s="109">
        <v>0</v>
      </c>
      <c r="AD643" s="109">
        <v>0</v>
      </c>
      <c r="AE643" s="125"/>
      <c r="AF643" s="10"/>
      <c r="AI643" s="109"/>
      <c r="AJ643" s="109"/>
      <c r="AL643" s="10"/>
      <c r="AO643" s="109"/>
      <c r="AP643" s="109"/>
      <c r="AR643" s="10"/>
      <c r="AU643" s="109"/>
      <c r="AV643" s="109"/>
      <c r="AX643" s="10"/>
      <c r="BA643" s="109"/>
      <c r="BB643" s="109"/>
      <c r="BD643" s="10"/>
      <c r="BG643" s="109"/>
      <c r="BH643" s="109"/>
      <c r="BJ643" s="10"/>
      <c r="BM643" s="109"/>
      <c r="BN643" s="109"/>
      <c r="BP643" s="10"/>
      <c r="BS643" s="109"/>
      <c r="BT643" s="109"/>
      <c r="BV643" s="10"/>
      <c r="BY643" s="109"/>
      <c r="BZ643" s="109"/>
      <c r="CB643" s="10"/>
      <c r="CE643" s="109"/>
      <c r="CF643" s="109"/>
      <c r="CH643" s="10"/>
      <c r="CK643" s="109"/>
      <c r="CL643" s="109"/>
    </row>
    <row r="644" spans="1:90">
      <c r="A644" s="7" t="str">
        <f t="shared" si="91"/>
        <v>01270999</v>
      </c>
      <c r="B644" s="7" t="s">
        <v>2466</v>
      </c>
      <c r="C644" s="7" t="s">
        <v>2782</v>
      </c>
      <c r="D644" s="7">
        <v>635</v>
      </c>
      <c r="E644" s="11">
        <v>127</v>
      </c>
      <c r="F644" s="11" t="s">
        <v>1832</v>
      </c>
      <c r="G644" s="11">
        <v>999</v>
      </c>
      <c r="H644" s="11" t="s">
        <v>1132</v>
      </c>
      <c r="I644" s="105">
        <v>3350319.81</v>
      </c>
      <c r="J644" s="126">
        <v>1</v>
      </c>
      <c r="K644" s="127">
        <f>SUM(K640:K643)</f>
        <v>3456804.2799801859</v>
      </c>
      <c r="L644" s="126">
        <f>SUM(L640:L643)</f>
        <v>1</v>
      </c>
      <c r="M644" s="105">
        <f>VLOOKUP(E644,town351,22)</f>
        <v>2864170</v>
      </c>
      <c r="N644" s="105">
        <f>SUM(N640:N643)</f>
        <v>2864170</v>
      </c>
      <c r="O644" s="128">
        <v>2835513</v>
      </c>
      <c r="P644" s="105">
        <f>SUM(P640:P643)</f>
        <v>28657</v>
      </c>
      <c r="Q644" s="45">
        <f t="shared" si="99"/>
        <v>1.0106460453540507</v>
      </c>
      <c r="R644" s="105">
        <v>350</v>
      </c>
      <c r="S644" s="7">
        <f t="shared" si="92"/>
        <v>0</v>
      </c>
      <c r="T644" s="124">
        <f t="shared" si="93"/>
        <v>127</v>
      </c>
      <c r="U644" s="124">
        <f t="shared" si="94"/>
        <v>999</v>
      </c>
      <c r="V644" s="124">
        <f t="shared" si="95"/>
        <v>635</v>
      </c>
      <c r="W644" s="124">
        <f t="shared" si="96"/>
        <v>354</v>
      </c>
      <c r="X644" s="124">
        <f t="shared" si="97"/>
        <v>3456804.2799801859</v>
      </c>
      <c r="Y644" s="264">
        <f t="shared" si="98"/>
        <v>635</v>
      </c>
      <c r="Z644" s="10">
        <v>127</v>
      </c>
      <c r="AA644" s="7">
        <v>999</v>
      </c>
      <c r="AB644" s="7">
        <v>635</v>
      </c>
      <c r="AC644" s="109">
        <v>354</v>
      </c>
      <c r="AD644" s="109">
        <v>3456804.2799801859</v>
      </c>
      <c r="AE644" s="125"/>
      <c r="AF644" s="10"/>
      <c r="AI644" s="109"/>
      <c r="AJ644" s="109"/>
      <c r="AL644" s="10"/>
      <c r="AO644" s="109"/>
      <c r="AP644" s="109"/>
      <c r="AR644" s="10"/>
      <c r="AU644" s="109"/>
      <c r="AV644" s="109"/>
      <c r="AX644" s="10"/>
      <c r="BA644" s="109"/>
      <c r="BB644" s="109"/>
      <c r="BD644" s="10"/>
      <c r="BG644" s="109"/>
      <c r="BH644" s="109"/>
      <c r="BJ644" s="10"/>
      <c r="BM644" s="109"/>
      <c r="BN644" s="109"/>
      <c r="BP644" s="10"/>
      <c r="BS644" s="109"/>
      <c r="BT644" s="109"/>
      <c r="BV644" s="10"/>
      <c r="BY644" s="109"/>
      <c r="BZ644" s="109"/>
      <c r="CB644" s="10"/>
      <c r="CE644" s="109"/>
      <c r="CF644" s="109"/>
      <c r="CH644" s="10"/>
      <c r="CK644" s="109"/>
      <c r="CL644" s="109"/>
    </row>
    <row r="645" spans="1:90">
      <c r="A645" s="7" t="str">
        <f t="shared" si="91"/>
        <v>01280128</v>
      </c>
      <c r="B645" s="7" t="s">
        <v>2467</v>
      </c>
      <c r="C645" s="7" t="s">
        <v>2467</v>
      </c>
      <c r="D645" s="7">
        <v>636</v>
      </c>
      <c r="E645" s="7">
        <v>128</v>
      </c>
      <c r="F645" s="7" t="s">
        <v>1833</v>
      </c>
      <c r="G645" s="7">
        <v>128</v>
      </c>
      <c r="H645" s="7" t="s">
        <v>1394</v>
      </c>
      <c r="I645" s="37">
        <v>87808524.019999996</v>
      </c>
      <c r="J645" s="122">
        <v>0.87494536733253303</v>
      </c>
      <c r="K645" s="123">
        <f>X645</f>
        <v>91533733.132029355</v>
      </c>
      <c r="L645" s="122">
        <f>IF(K649&gt;0, K645/K649, 0)</f>
        <v>0.87610370547582639</v>
      </c>
      <c r="M645" s="71"/>
      <c r="N645" s="10">
        <f>ROUND(M649*L645,0)</f>
        <v>39059148</v>
      </c>
      <c r="O645" s="70">
        <v>38182889</v>
      </c>
      <c r="P645" s="10">
        <f>N645-O645</f>
        <v>876259</v>
      </c>
      <c r="Q645" s="46">
        <f t="shared" si="99"/>
        <v>2.2948996866109321</v>
      </c>
      <c r="R645" s="10">
        <v>8200</v>
      </c>
      <c r="S645" s="7">
        <f t="shared" si="92"/>
        <v>0</v>
      </c>
      <c r="T645" s="124">
        <f t="shared" si="93"/>
        <v>128</v>
      </c>
      <c r="U645" s="124">
        <f t="shared" si="94"/>
        <v>128</v>
      </c>
      <c r="V645" s="124">
        <f t="shared" si="95"/>
        <v>636</v>
      </c>
      <c r="W645" s="124">
        <f t="shared" si="96"/>
        <v>8304</v>
      </c>
      <c r="X645" s="124">
        <f t="shared" si="97"/>
        <v>91533733.132029355</v>
      </c>
      <c r="Y645" s="264">
        <f t="shared" si="98"/>
        <v>636</v>
      </c>
      <c r="Z645" s="10">
        <v>128</v>
      </c>
      <c r="AA645" s="7">
        <v>128</v>
      </c>
      <c r="AB645" s="7">
        <v>636</v>
      </c>
      <c r="AC645" s="109">
        <v>8304</v>
      </c>
      <c r="AD645" s="109">
        <v>91533733.132029355</v>
      </c>
      <c r="AE645" s="125"/>
      <c r="AF645" s="10"/>
      <c r="AI645" s="109"/>
      <c r="AJ645" s="109"/>
      <c r="AL645" s="10"/>
      <c r="AO645" s="109"/>
      <c r="AP645" s="109"/>
      <c r="AR645" s="10"/>
      <c r="AU645" s="109"/>
      <c r="AV645" s="109"/>
      <c r="AX645" s="10"/>
      <c r="BA645" s="109"/>
      <c r="BB645" s="109"/>
      <c r="BD645" s="10"/>
      <c r="BG645" s="109"/>
      <c r="BH645" s="109"/>
      <c r="BJ645" s="10"/>
      <c r="BM645" s="109"/>
      <c r="BN645" s="109"/>
      <c r="BP645" s="10"/>
      <c r="BS645" s="109"/>
      <c r="BT645" s="109"/>
      <c r="BV645" s="10"/>
      <c r="BY645" s="109"/>
      <c r="BZ645" s="109"/>
      <c r="CB645" s="10"/>
      <c r="CE645" s="109"/>
      <c r="CF645" s="109"/>
      <c r="CH645" s="10"/>
      <c r="CK645" s="109"/>
      <c r="CL645" s="109"/>
    </row>
    <row r="646" spans="1:90">
      <c r="A646" s="7" t="str">
        <f t="shared" si="91"/>
        <v>01280885</v>
      </c>
      <c r="B646" s="7" t="s">
        <v>2467</v>
      </c>
      <c r="C646" s="7" t="s">
        <v>2777</v>
      </c>
      <c r="D646" s="7">
        <v>637</v>
      </c>
      <c r="E646" s="7">
        <v>128</v>
      </c>
      <c r="F646" s="7" t="s">
        <v>1833</v>
      </c>
      <c r="G646" s="7">
        <v>885</v>
      </c>
      <c r="H646" s="7" t="s">
        <v>1704</v>
      </c>
      <c r="I646" s="37">
        <v>12550341</v>
      </c>
      <c r="J646" s="122">
        <v>0.12505463266746697</v>
      </c>
      <c r="K646" s="123">
        <f t="shared" si="100"/>
        <v>12944461.12730879</v>
      </c>
      <c r="L646" s="122">
        <f>IF(K649&gt;0, K646/K649, 0)</f>
        <v>0.12389629452417368</v>
      </c>
      <c r="M646" s="71"/>
      <c r="N646" s="10">
        <f>ROUND(M649*L646,0)</f>
        <v>5523643</v>
      </c>
      <c r="O646" s="70">
        <v>5457423</v>
      </c>
      <c r="P646" s="10">
        <f>N646-O646</f>
        <v>66220</v>
      </c>
      <c r="Q646" s="46">
        <f t="shared" si="99"/>
        <v>1.2133932077465865</v>
      </c>
      <c r="R646" s="10">
        <v>795</v>
      </c>
      <c r="S646" s="7">
        <f t="shared" si="92"/>
        <v>0</v>
      </c>
      <c r="T646" s="124">
        <f t="shared" si="93"/>
        <v>128</v>
      </c>
      <c r="U646" s="124">
        <f t="shared" si="94"/>
        <v>885</v>
      </c>
      <c r="V646" s="124">
        <f t="shared" si="95"/>
        <v>637</v>
      </c>
      <c r="W646" s="124">
        <f t="shared" si="96"/>
        <v>804.34499593380008</v>
      </c>
      <c r="X646" s="124">
        <f t="shared" si="97"/>
        <v>12944461.12730879</v>
      </c>
      <c r="Y646" s="264">
        <f t="shared" si="98"/>
        <v>637</v>
      </c>
      <c r="Z646" s="10">
        <v>128</v>
      </c>
      <c r="AA646" s="7">
        <v>885</v>
      </c>
      <c r="AB646" s="7">
        <v>637</v>
      </c>
      <c r="AC646" s="109">
        <v>804.34499593380008</v>
      </c>
      <c r="AD646" s="109">
        <v>12944461.12730879</v>
      </c>
      <c r="AE646" s="125"/>
      <c r="AF646" s="10"/>
      <c r="AI646" s="109"/>
      <c r="AJ646" s="109"/>
      <c r="AL646" s="10"/>
      <c r="AO646" s="109"/>
      <c r="AP646" s="109"/>
      <c r="AR646" s="10"/>
      <c r="AU646" s="109"/>
      <c r="AV646" s="109"/>
      <c r="AX646" s="10"/>
      <c r="BA646" s="109"/>
      <c r="BB646" s="109"/>
      <c r="BD646" s="10"/>
      <c r="BG646" s="109"/>
      <c r="BH646" s="109"/>
      <c r="BJ646" s="10"/>
      <c r="BM646" s="109"/>
      <c r="BN646" s="109"/>
      <c r="BP646" s="10"/>
      <c r="BS646" s="109"/>
      <c r="BT646" s="109"/>
      <c r="BV646" s="10"/>
      <c r="BY646" s="109"/>
      <c r="BZ646" s="109"/>
      <c r="CB646" s="10"/>
      <c r="CE646" s="109"/>
      <c r="CF646" s="109"/>
      <c r="CH646" s="10"/>
      <c r="CK646" s="109"/>
      <c r="CL646" s="109"/>
    </row>
    <row r="647" spans="1:90">
      <c r="A647" s="7" t="str">
        <f t="shared" si="91"/>
        <v>01280998</v>
      </c>
      <c r="B647" s="7" t="s">
        <v>2467</v>
      </c>
      <c r="C647" s="7" t="s">
        <v>2781</v>
      </c>
      <c r="D647" s="7">
        <v>638</v>
      </c>
      <c r="E647" s="7">
        <v>128</v>
      </c>
      <c r="F647" s="7" t="s">
        <v>2135</v>
      </c>
      <c r="G647" s="7">
        <v>998</v>
      </c>
      <c r="I647" s="129">
        <v>0</v>
      </c>
      <c r="J647" s="130">
        <v>0</v>
      </c>
      <c r="K647" s="123">
        <f t="shared" si="100"/>
        <v>0</v>
      </c>
      <c r="L647" s="122">
        <f>IF(K649&gt;0, K647/K649, 0)</f>
        <v>0</v>
      </c>
      <c r="M647" s="71"/>
      <c r="N647" s="10">
        <f>ROUND(M649*L647,0)</f>
        <v>0</v>
      </c>
      <c r="O647" s="70">
        <v>0</v>
      </c>
      <c r="P647" s="10">
        <f>N647-O647</f>
        <v>0</v>
      </c>
      <c r="Q647" s="46">
        <f t="shared" si="99"/>
        <v>0</v>
      </c>
      <c r="R647" s="10">
        <v>0</v>
      </c>
      <c r="S647" s="7">
        <f t="shared" si="92"/>
        <v>0</v>
      </c>
      <c r="T647" s="124">
        <f t="shared" si="93"/>
        <v>128</v>
      </c>
      <c r="U647" s="124">
        <f t="shared" si="94"/>
        <v>998</v>
      </c>
      <c r="V647" s="124">
        <f t="shared" si="95"/>
        <v>638</v>
      </c>
      <c r="W647" s="124">
        <f t="shared" si="96"/>
        <v>0</v>
      </c>
      <c r="X647" s="124">
        <f t="shared" si="97"/>
        <v>0</v>
      </c>
      <c r="Y647" s="264">
        <f t="shared" si="98"/>
        <v>638</v>
      </c>
      <c r="Z647" s="10">
        <v>128</v>
      </c>
      <c r="AA647" s="7">
        <v>998</v>
      </c>
      <c r="AB647" s="7">
        <v>638</v>
      </c>
      <c r="AC647" s="109">
        <v>0</v>
      </c>
      <c r="AD647" s="109">
        <v>0</v>
      </c>
      <c r="AE647" s="125"/>
      <c r="AF647" s="10"/>
      <c r="AI647" s="109"/>
      <c r="AJ647" s="109"/>
      <c r="AL647" s="10"/>
      <c r="AO647" s="109"/>
      <c r="AP647" s="109"/>
      <c r="AR647" s="10"/>
      <c r="AU647" s="109"/>
      <c r="AV647" s="109"/>
      <c r="AX647" s="10"/>
      <c r="BA647" s="109"/>
      <c r="BB647" s="109"/>
      <c r="BD647" s="10"/>
      <c r="BG647" s="109"/>
      <c r="BH647" s="109"/>
      <c r="BJ647" s="10"/>
      <c r="BM647" s="109"/>
      <c r="BN647" s="109"/>
      <c r="BP647" s="10"/>
      <c r="BS647" s="109"/>
      <c r="BT647" s="109"/>
      <c r="BV647" s="10"/>
      <c r="BY647" s="109"/>
      <c r="BZ647" s="109"/>
      <c r="CB647" s="10"/>
      <c r="CE647" s="109"/>
      <c r="CF647" s="109"/>
      <c r="CH647" s="10"/>
      <c r="CK647" s="109"/>
      <c r="CL647" s="109"/>
    </row>
    <row r="648" spans="1:90">
      <c r="A648" s="7" t="str">
        <f t="shared" si="91"/>
        <v>01280998</v>
      </c>
      <c r="B648" s="7" t="s">
        <v>2467</v>
      </c>
      <c r="C648" s="7" t="s">
        <v>2781</v>
      </c>
      <c r="D648" s="7">
        <v>639</v>
      </c>
      <c r="E648" s="7">
        <v>128</v>
      </c>
      <c r="F648" s="7" t="s">
        <v>2135</v>
      </c>
      <c r="G648" s="7">
        <v>998</v>
      </c>
      <c r="H648" s="7" t="s">
        <v>2135</v>
      </c>
      <c r="I648" s="37">
        <v>0</v>
      </c>
      <c r="J648" s="122">
        <v>0</v>
      </c>
      <c r="K648" s="123">
        <f t="shared" si="100"/>
        <v>0</v>
      </c>
      <c r="L648" s="122">
        <f>IF(K649&gt;0, K648/K649, 0)</f>
        <v>0</v>
      </c>
      <c r="M648" s="71"/>
      <c r="N648" s="10">
        <f>ROUND(M649*L648,0)</f>
        <v>0</v>
      </c>
      <c r="O648" s="70">
        <v>0</v>
      </c>
      <c r="P648" s="10">
        <f>N648-O648</f>
        <v>0</v>
      </c>
      <c r="Q648" s="46">
        <f t="shared" si="99"/>
        <v>0</v>
      </c>
      <c r="R648" s="10">
        <v>0</v>
      </c>
      <c r="S648" s="7">
        <f t="shared" si="92"/>
        <v>0</v>
      </c>
      <c r="T648" s="124">
        <f t="shared" si="93"/>
        <v>128</v>
      </c>
      <c r="U648" s="124">
        <f t="shared" si="94"/>
        <v>998</v>
      </c>
      <c r="V648" s="124">
        <f t="shared" si="95"/>
        <v>639</v>
      </c>
      <c r="W648" s="124">
        <f t="shared" si="96"/>
        <v>0</v>
      </c>
      <c r="X648" s="124">
        <f t="shared" si="97"/>
        <v>0</v>
      </c>
      <c r="Y648" s="264">
        <f t="shared" si="98"/>
        <v>639</v>
      </c>
      <c r="Z648" s="10">
        <v>128</v>
      </c>
      <c r="AA648" s="7">
        <v>998</v>
      </c>
      <c r="AB648" s="7">
        <v>639</v>
      </c>
      <c r="AC648" s="109">
        <v>0</v>
      </c>
      <c r="AD648" s="109">
        <v>0</v>
      </c>
      <c r="AE648" s="125"/>
      <c r="AF648" s="10"/>
      <c r="AI648" s="109"/>
      <c r="AJ648" s="109"/>
      <c r="AL648" s="10"/>
      <c r="AO648" s="109"/>
      <c r="AP648" s="109"/>
      <c r="AR648" s="10"/>
      <c r="AU648" s="109"/>
      <c r="AV648" s="109"/>
      <c r="AX648" s="10"/>
      <c r="BA648" s="109"/>
      <c r="BB648" s="109"/>
      <c r="BD648" s="10"/>
      <c r="BG648" s="109"/>
      <c r="BH648" s="109"/>
      <c r="BJ648" s="10"/>
      <c r="BM648" s="109"/>
      <c r="BN648" s="109"/>
      <c r="BP648" s="10"/>
      <c r="BS648" s="109"/>
      <c r="BT648" s="109"/>
      <c r="BV648" s="10"/>
      <c r="BY648" s="109"/>
      <c r="BZ648" s="109"/>
      <c r="CB648" s="10"/>
      <c r="CE648" s="109"/>
      <c r="CF648" s="109"/>
      <c r="CH648" s="10"/>
      <c r="CK648" s="109"/>
      <c r="CL648" s="109"/>
    </row>
    <row r="649" spans="1:90">
      <c r="A649" s="7" t="str">
        <f t="shared" si="91"/>
        <v>01280999</v>
      </c>
      <c r="B649" s="7" t="s">
        <v>2467</v>
      </c>
      <c r="C649" s="7" t="s">
        <v>2782</v>
      </c>
      <c r="D649" s="7">
        <v>640</v>
      </c>
      <c r="E649" s="11">
        <v>128</v>
      </c>
      <c r="F649" s="11" t="s">
        <v>1833</v>
      </c>
      <c r="G649" s="11">
        <v>999</v>
      </c>
      <c r="H649" s="11" t="s">
        <v>1132</v>
      </c>
      <c r="I649" s="105">
        <v>100358865.02</v>
      </c>
      <c r="J649" s="126">
        <v>1</v>
      </c>
      <c r="K649" s="127">
        <f>SUM(K645:K648)</f>
        <v>104478194.25933814</v>
      </c>
      <c r="L649" s="126">
        <f>SUM(L645:L648)</f>
        <v>1</v>
      </c>
      <c r="M649" s="105">
        <f>VLOOKUP(E649,town351,22)</f>
        <v>44582791</v>
      </c>
      <c r="N649" s="105">
        <f>SUM(N645:N648)</f>
        <v>44582791</v>
      </c>
      <c r="O649" s="128">
        <v>43640312</v>
      </c>
      <c r="P649" s="105">
        <f>SUM(P645:P648)</f>
        <v>942479</v>
      </c>
      <c r="Q649" s="45">
        <f t="shared" si="99"/>
        <v>2.159652295794769</v>
      </c>
      <c r="R649" s="105">
        <v>8995</v>
      </c>
      <c r="S649" s="7">
        <f t="shared" si="92"/>
        <v>0</v>
      </c>
      <c r="T649" s="124">
        <f t="shared" si="93"/>
        <v>128</v>
      </c>
      <c r="U649" s="124">
        <f t="shared" si="94"/>
        <v>999</v>
      </c>
      <c r="V649" s="124">
        <f t="shared" si="95"/>
        <v>640</v>
      </c>
      <c r="W649" s="124">
        <f t="shared" si="96"/>
        <v>9108.3449959337995</v>
      </c>
      <c r="X649" s="124">
        <f t="shared" si="97"/>
        <v>104478194.25933814</v>
      </c>
      <c r="Y649" s="264">
        <f t="shared" si="98"/>
        <v>640</v>
      </c>
      <c r="Z649" s="10">
        <v>128</v>
      </c>
      <c r="AA649" s="7">
        <v>999</v>
      </c>
      <c r="AB649" s="7">
        <v>640</v>
      </c>
      <c r="AC649" s="109">
        <v>9108.3449959337995</v>
      </c>
      <c r="AD649" s="109">
        <v>104478194.25933814</v>
      </c>
      <c r="AE649" s="125"/>
      <c r="AF649" s="10"/>
      <c r="AI649" s="109"/>
      <c r="AJ649" s="109"/>
      <c r="AL649" s="10"/>
      <c r="AO649" s="109"/>
      <c r="AP649" s="109"/>
      <c r="AR649" s="10"/>
      <c r="AU649" s="109"/>
      <c r="AV649" s="109"/>
      <c r="AX649" s="10"/>
      <c r="BA649" s="109"/>
      <c r="BB649" s="109"/>
      <c r="BD649" s="10"/>
      <c r="BG649" s="109"/>
      <c r="BH649" s="109"/>
      <c r="BJ649" s="10"/>
      <c r="BM649" s="109"/>
      <c r="BN649" s="109"/>
      <c r="BP649" s="10"/>
      <c r="BS649" s="109"/>
      <c r="BT649" s="109"/>
      <c r="BV649" s="10"/>
      <c r="BY649" s="109"/>
      <c r="BZ649" s="109"/>
      <c r="CB649" s="10"/>
      <c r="CE649" s="109"/>
      <c r="CF649" s="109"/>
      <c r="CH649" s="10"/>
      <c r="CK649" s="109"/>
      <c r="CL649" s="109"/>
    </row>
    <row r="650" spans="1:90">
      <c r="A650" s="7" t="str">
        <f t="shared" ref="A650:A713" si="101">B650&amp;C650</f>
        <v>01290129</v>
      </c>
      <c r="B650" s="7" t="s">
        <v>2468</v>
      </c>
      <c r="C650" s="7" t="s">
        <v>2468</v>
      </c>
      <c r="D650" s="7">
        <v>641</v>
      </c>
      <c r="E650" s="7">
        <v>129</v>
      </c>
      <c r="F650" s="7" t="s">
        <v>1834</v>
      </c>
      <c r="G650" s="7">
        <v>129</v>
      </c>
      <c r="H650" s="7" t="s">
        <v>1395</v>
      </c>
      <c r="I650" s="37">
        <v>39512.76</v>
      </c>
      <c r="J650" s="122">
        <v>0.10425564453034095</v>
      </c>
      <c r="K650" s="123">
        <f>X650</f>
        <v>26833.666687179095</v>
      </c>
      <c r="L650" s="122">
        <f>IF(K654&gt;0, K650/K654, 0)</f>
        <v>7.9518109157043118E-2</v>
      </c>
      <c r="M650" s="71"/>
      <c r="N650" s="10">
        <f>ROUND(M654*L650,0)</f>
        <v>20424</v>
      </c>
      <c r="O650" s="70">
        <v>25830</v>
      </c>
      <c r="P650" s="10">
        <f>N650-O650</f>
        <v>-5406</v>
      </c>
      <c r="Q650" s="46">
        <f t="shared" si="99"/>
        <v>-20.929152148664343</v>
      </c>
      <c r="R650" s="10">
        <v>3</v>
      </c>
      <c r="S650" s="7">
        <f t="shared" ref="S650:S713" si="102">ABS(T650-E650)+ABS(U650-G650)</f>
        <v>0</v>
      </c>
      <c r="T650" s="124">
        <f t="shared" ref="T650:T713" si="103">VLOOKUP($D650, foundoptions, VLOOKUP($T$6, foundoptcell, 2, FALSE), FALSE)</f>
        <v>129</v>
      </c>
      <c r="U650" s="124">
        <f t="shared" ref="U650:U713" si="104">VLOOKUP($D650, foundoptions, VLOOKUP($T$6, foundoptcell, 2, FALSE)+1, FALSE)</f>
        <v>129</v>
      </c>
      <c r="V650" s="124">
        <f t="shared" ref="V650:V713" si="105">VLOOKUP($D650, foundoptions, VLOOKUP($T$6, foundoptcell, 2, FALSE)+2, FALSE)</f>
        <v>641</v>
      </c>
      <c r="W650" s="124">
        <f t="shared" ref="W650:W713" si="106">VLOOKUP($D650, foundoptions, VLOOKUP($T$6, foundoptcell, 2, FALSE)+3, FALSE)</f>
        <v>2</v>
      </c>
      <c r="X650" s="124">
        <f t="shared" ref="X650:X713" si="107">VLOOKUP($D650, foundoptions, VLOOKUP($T$6, foundoptcell, 2, FALSE)+4, FALSE)</f>
        <v>26833.666687179095</v>
      </c>
      <c r="Y650" s="264">
        <f t="shared" si="98"/>
        <v>641</v>
      </c>
      <c r="Z650" s="10">
        <v>129</v>
      </c>
      <c r="AA650" s="7">
        <v>129</v>
      </c>
      <c r="AB650" s="7">
        <v>641</v>
      </c>
      <c r="AC650" s="109">
        <v>2</v>
      </c>
      <c r="AD650" s="109">
        <v>26833.666687179095</v>
      </c>
      <c r="AE650" s="125"/>
      <c r="AF650" s="10"/>
      <c r="AI650" s="109"/>
      <c r="AJ650" s="109"/>
      <c r="AL650" s="10"/>
      <c r="AO650" s="109"/>
      <c r="AP650" s="109"/>
      <c r="AR650" s="10"/>
      <c r="AU650" s="109"/>
      <c r="AV650" s="109"/>
      <c r="AX650" s="10"/>
      <c r="BA650" s="109"/>
      <c r="BB650" s="109"/>
      <c r="BD650" s="10"/>
      <c r="BG650" s="109"/>
      <c r="BH650" s="109"/>
      <c r="BJ650" s="10"/>
      <c r="BM650" s="109"/>
      <c r="BN650" s="109"/>
      <c r="BP650" s="10"/>
      <c r="BS650" s="109"/>
      <c r="BT650" s="109"/>
      <c r="BV650" s="10"/>
      <c r="BY650" s="109"/>
      <c r="BZ650" s="109"/>
      <c r="CB650" s="10"/>
      <c r="CE650" s="109"/>
      <c r="CF650" s="109"/>
      <c r="CH650" s="10"/>
      <c r="CK650" s="109"/>
      <c r="CL650" s="109"/>
    </row>
    <row r="651" spans="1:90">
      <c r="A651" s="7" t="str">
        <f t="shared" si="101"/>
        <v>01290685</v>
      </c>
      <c r="B651" s="7" t="s">
        <v>2468</v>
      </c>
      <c r="C651" s="7" t="s">
        <v>2721</v>
      </c>
      <c r="D651" s="7">
        <v>642</v>
      </c>
      <c r="E651" s="7">
        <v>129</v>
      </c>
      <c r="F651" s="7" t="s">
        <v>1834</v>
      </c>
      <c r="G651" s="7">
        <v>685</v>
      </c>
      <c r="H651" s="7" t="s">
        <v>1648</v>
      </c>
      <c r="I651" s="37">
        <v>211355</v>
      </c>
      <c r="J651" s="122">
        <v>0.55766673220777818</v>
      </c>
      <c r="K651" s="123">
        <f t="shared" si="100"/>
        <v>187515.988900403</v>
      </c>
      <c r="L651" s="122">
        <f>IF(K654&gt;0, K651/K654, 0)</f>
        <v>0.5556794398581929</v>
      </c>
      <c r="M651" s="71"/>
      <c r="N651" s="10">
        <f>ROUND(M654*L651,0)</f>
        <v>142725</v>
      </c>
      <c r="O651" s="70">
        <v>138165</v>
      </c>
      <c r="P651" s="10">
        <f>N651-O651</f>
        <v>4560</v>
      </c>
      <c r="Q651" s="46">
        <f t="shared" si="99"/>
        <v>3.3004016936271849</v>
      </c>
      <c r="R651" s="10">
        <v>19</v>
      </c>
      <c r="S651" s="7">
        <f t="shared" si="102"/>
        <v>0</v>
      </c>
      <c r="T651" s="124">
        <f t="shared" si="103"/>
        <v>129</v>
      </c>
      <c r="U651" s="124">
        <f t="shared" si="104"/>
        <v>685</v>
      </c>
      <c r="V651" s="124">
        <f t="shared" si="105"/>
        <v>642</v>
      </c>
      <c r="W651" s="124">
        <f t="shared" si="106"/>
        <v>16.209302325199999</v>
      </c>
      <c r="X651" s="124">
        <f t="shared" si="107"/>
        <v>187515.988900403</v>
      </c>
      <c r="Y651" s="264">
        <f t="shared" ref="Y651:Y714" si="108">D651</f>
        <v>642</v>
      </c>
      <c r="Z651" s="10">
        <v>129</v>
      </c>
      <c r="AA651" s="7">
        <v>685</v>
      </c>
      <c r="AB651" s="7">
        <v>642</v>
      </c>
      <c r="AC651" s="109">
        <v>16.209302325199999</v>
      </c>
      <c r="AD651" s="109">
        <v>187515.988900403</v>
      </c>
      <c r="AE651" s="125"/>
      <c r="AF651" s="10"/>
      <c r="AI651" s="109"/>
      <c r="AJ651" s="109"/>
      <c r="AL651" s="10"/>
      <c r="AO651" s="109"/>
      <c r="AP651" s="109"/>
      <c r="AR651" s="10"/>
      <c r="AU651" s="109"/>
      <c r="AV651" s="109"/>
      <c r="AX651" s="10"/>
      <c r="BA651" s="109"/>
      <c r="BB651" s="109"/>
      <c r="BD651" s="10"/>
      <c r="BG651" s="109"/>
      <c r="BH651" s="109"/>
      <c r="BJ651" s="10"/>
      <c r="BM651" s="109"/>
      <c r="BN651" s="109"/>
      <c r="BP651" s="10"/>
      <c r="BS651" s="109"/>
      <c r="BT651" s="109"/>
      <c r="BV651" s="10"/>
      <c r="BY651" s="109"/>
      <c r="BZ651" s="109"/>
      <c r="CB651" s="10"/>
      <c r="CE651" s="109"/>
      <c r="CF651" s="109"/>
      <c r="CH651" s="10"/>
      <c r="CK651" s="109"/>
      <c r="CL651" s="109"/>
    </row>
    <row r="652" spans="1:90">
      <c r="A652" s="7" t="str">
        <f t="shared" si="101"/>
        <v>01290717</v>
      </c>
      <c r="B652" s="7" t="s">
        <v>2468</v>
      </c>
      <c r="C652" s="7" t="s">
        <v>2730</v>
      </c>
      <c r="D652" s="7">
        <v>643</v>
      </c>
      <c r="E652" s="7">
        <v>129</v>
      </c>
      <c r="F652" s="7" t="s">
        <v>1834</v>
      </c>
      <c r="G652" s="7">
        <v>717</v>
      </c>
      <c r="H652" s="7" t="s">
        <v>1657</v>
      </c>
      <c r="I652" s="37">
        <v>128131</v>
      </c>
      <c r="J652" s="122">
        <v>0.33807762326188084</v>
      </c>
      <c r="K652" s="123">
        <f t="shared" si="100"/>
        <v>123103.87508156824</v>
      </c>
      <c r="L652" s="122">
        <f>IF(K654&gt;0, K652/K654, 0)</f>
        <v>0.36480245098476388</v>
      </c>
      <c r="M652" s="71"/>
      <c r="N652" s="10">
        <f>ROUND(M654*L652,0)</f>
        <v>93699</v>
      </c>
      <c r="O652" s="70">
        <v>83760</v>
      </c>
      <c r="P652" s="10">
        <f>N652-O652</f>
        <v>9939</v>
      </c>
      <c r="Q652" s="46">
        <f t="shared" si="99"/>
        <v>11.866045845272206</v>
      </c>
      <c r="R652" s="10">
        <v>12</v>
      </c>
      <c r="S652" s="7">
        <f t="shared" si="102"/>
        <v>0</v>
      </c>
      <c r="T652" s="124">
        <f t="shared" si="103"/>
        <v>129</v>
      </c>
      <c r="U652" s="124">
        <f t="shared" si="104"/>
        <v>717</v>
      </c>
      <c r="V652" s="124">
        <f t="shared" si="105"/>
        <v>643</v>
      </c>
      <c r="W652" s="124">
        <f t="shared" si="106"/>
        <v>11.68717413894</v>
      </c>
      <c r="X652" s="124">
        <f t="shared" si="107"/>
        <v>123103.87508156824</v>
      </c>
      <c r="Y652" s="264">
        <f t="shared" si="108"/>
        <v>643</v>
      </c>
      <c r="Z652" s="10">
        <v>129</v>
      </c>
      <c r="AA652" s="7">
        <v>717</v>
      </c>
      <c r="AB652" s="7">
        <v>643</v>
      </c>
      <c r="AC652" s="109">
        <v>11.68717413894</v>
      </c>
      <c r="AD652" s="109">
        <v>123103.87508156824</v>
      </c>
      <c r="AE652" s="125"/>
      <c r="AF652" s="10"/>
      <c r="AI652" s="109"/>
      <c r="AJ652" s="109"/>
      <c r="AL652" s="10"/>
      <c r="AO652" s="109"/>
      <c r="AP652" s="109"/>
      <c r="AR652" s="10"/>
      <c r="AU652" s="109"/>
      <c r="AV652" s="109"/>
      <c r="AX652" s="10"/>
      <c r="BA652" s="109"/>
      <c r="BB652" s="109"/>
      <c r="BD652" s="10"/>
      <c r="BG652" s="109"/>
      <c r="BH652" s="109"/>
      <c r="BJ652" s="10"/>
      <c r="BM652" s="109"/>
      <c r="BN652" s="109"/>
      <c r="BP652" s="10"/>
      <c r="BS652" s="109"/>
      <c r="BT652" s="109"/>
      <c r="BV652" s="10"/>
      <c r="BY652" s="109"/>
      <c r="BZ652" s="109"/>
      <c r="CB652" s="10"/>
      <c r="CE652" s="109"/>
      <c r="CF652" s="109"/>
      <c r="CH652" s="10"/>
      <c r="CK652" s="109"/>
      <c r="CL652" s="109"/>
    </row>
    <row r="653" spans="1:90">
      <c r="A653" s="7" t="str">
        <f t="shared" si="101"/>
        <v>01290998</v>
      </c>
      <c r="B653" s="7" t="s">
        <v>2468</v>
      </c>
      <c r="C653" s="7" t="s">
        <v>2781</v>
      </c>
      <c r="D653" s="7">
        <v>644</v>
      </c>
      <c r="E653" s="7">
        <v>129</v>
      </c>
      <c r="F653" s="7" t="s">
        <v>2135</v>
      </c>
      <c r="G653" s="7">
        <v>998</v>
      </c>
      <c r="H653" s="7" t="s">
        <v>2135</v>
      </c>
      <c r="I653" s="37">
        <v>0</v>
      </c>
      <c r="J653" s="122">
        <v>0</v>
      </c>
      <c r="K653" s="123">
        <f t="shared" si="100"/>
        <v>0</v>
      </c>
      <c r="L653" s="122">
        <f>IF(K654&gt;0, K653/K654, 0)</f>
        <v>0</v>
      </c>
      <c r="M653" s="71"/>
      <c r="N653" s="10">
        <f>ROUND(M654*L653,0)</f>
        <v>0</v>
      </c>
      <c r="O653" s="70">
        <v>0</v>
      </c>
      <c r="P653" s="10">
        <f>N653-O653</f>
        <v>0</v>
      </c>
      <c r="Q653" s="46">
        <f t="shared" si="99"/>
        <v>0</v>
      </c>
      <c r="R653" s="10">
        <v>0</v>
      </c>
      <c r="S653" s="7">
        <f t="shared" si="102"/>
        <v>0</v>
      </c>
      <c r="T653" s="124">
        <f t="shared" si="103"/>
        <v>129</v>
      </c>
      <c r="U653" s="124">
        <f t="shared" si="104"/>
        <v>998</v>
      </c>
      <c r="V653" s="124">
        <f t="shared" si="105"/>
        <v>644</v>
      </c>
      <c r="W653" s="124">
        <f t="shared" si="106"/>
        <v>0</v>
      </c>
      <c r="X653" s="124">
        <f t="shared" si="107"/>
        <v>0</v>
      </c>
      <c r="Y653" s="264">
        <f t="shared" si="108"/>
        <v>644</v>
      </c>
      <c r="Z653" s="10">
        <v>129</v>
      </c>
      <c r="AA653" s="7">
        <v>998</v>
      </c>
      <c r="AB653" s="7">
        <v>644</v>
      </c>
      <c r="AC653" s="109">
        <v>0</v>
      </c>
      <c r="AD653" s="109">
        <v>0</v>
      </c>
      <c r="AE653" s="125"/>
      <c r="AF653" s="10"/>
      <c r="AI653" s="109"/>
      <c r="AJ653" s="109"/>
      <c r="AL653" s="10"/>
      <c r="AO653" s="109"/>
      <c r="AP653" s="109"/>
      <c r="AR653" s="10"/>
      <c r="AU653" s="109"/>
      <c r="AV653" s="109"/>
      <c r="AX653" s="10"/>
      <c r="BA653" s="109"/>
      <c r="BB653" s="109"/>
      <c r="BD653" s="10"/>
      <c r="BG653" s="109"/>
      <c r="BH653" s="109"/>
      <c r="BJ653" s="10"/>
      <c r="BM653" s="109"/>
      <c r="BN653" s="109"/>
      <c r="BP653" s="10"/>
      <c r="BS653" s="109"/>
      <c r="BT653" s="109"/>
      <c r="BV653" s="10"/>
      <c r="BY653" s="109"/>
      <c r="BZ653" s="109"/>
      <c r="CB653" s="10"/>
      <c r="CE653" s="109"/>
      <c r="CF653" s="109"/>
      <c r="CH653" s="10"/>
      <c r="CK653" s="109"/>
      <c r="CL653" s="109"/>
    </row>
    <row r="654" spans="1:90">
      <c r="A654" s="7" t="str">
        <f t="shared" si="101"/>
        <v>01290999</v>
      </c>
      <c r="B654" s="7" t="s">
        <v>2468</v>
      </c>
      <c r="C654" s="7" t="s">
        <v>2782</v>
      </c>
      <c r="D654" s="7">
        <v>645</v>
      </c>
      <c r="E654" s="11">
        <v>129</v>
      </c>
      <c r="F654" s="11" t="s">
        <v>1834</v>
      </c>
      <c r="G654" s="11">
        <v>999</v>
      </c>
      <c r="H654" s="11" t="s">
        <v>1132</v>
      </c>
      <c r="I654" s="105">
        <v>378998.76</v>
      </c>
      <c r="J654" s="126">
        <v>1</v>
      </c>
      <c r="K654" s="127">
        <f>SUM(K650:K653)</f>
        <v>337453.53066915035</v>
      </c>
      <c r="L654" s="126">
        <f>SUM(L650:L653)</f>
        <v>1</v>
      </c>
      <c r="M654" s="105">
        <f>VLOOKUP(E654,town351,22)</f>
        <v>256848</v>
      </c>
      <c r="N654" s="105">
        <f>SUM(N650:N653)</f>
        <v>256848</v>
      </c>
      <c r="O654" s="128">
        <v>247755</v>
      </c>
      <c r="P654" s="105">
        <f>SUM(P650:P653)</f>
        <v>9093</v>
      </c>
      <c r="Q654" s="45">
        <f t="shared" si="99"/>
        <v>3.6701580190107164</v>
      </c>
      <c r="R654" s="105">
        <v>34</v>
      </c>
      <c r="S654" s="7">
        <f t="shared" si="102"/>
        <v>0</v>
      </c>
      <c r="T654" s="124">
        <f t="shared" si="103"/>
        <v>129</v>
      </c>
      <c r="U654" s="124">
        <f t="shared" si="104"/>
        <v>999</v>
      </c>
      <c r="V654" s="124">
        <f t="shared" si="105"/>
        <v>645</v>
      </c>
      <c r="W654" s="124">
        <f t="shared" si="106"/>
        <v>29.896476464140001</v>
      </c>
      <c r="X654" s="124">
        <f t="shared" si="107"/>
        <v>337453.53066915035</v>
      </c>
      <c r="Y654" s="264">
        <f t="shared" si="108"/>
        <v>645</v>
      </c>
      <c r="Z654" s="10">
        <v>129</v>
      </c>
      <c r="AA654" s="7">
        <v>999</v>
      </c>
      <c r="AB654" s="7">
        <v>645</v>
      </c>
      <c r="AC654" s="109">
        <v>29.896476464140001</v>
      </c>
      <c r="AD654" s="109">
        <v>337453.53066915035</v>
      </c>
      <c r="AE654" s="125"/>
      <c r="AF654" s="10"/>
      <c r="AI654" s="109"/>
      <c r="AJ654" s="109"/>
      <c r="AL654" s="10"/>
      <c r="AO654" s="109"/>
      <c r="AP654" s="109"/>
      <c r="AR654" s="10"/>
      <c r="AU654" s="109"/>
      <c r="AV654" s="109"/>
      <c r="AX654" s="10"/>
      <c r="BA654" s="109"/>
      <c r="BB654" s="109"/>
      <c r="BD654" s="10"/>
      <c r="BG654" s="109"/>
      <c r="BH654" s="109"/>
      <c r="BJ654" s="10"/>
      <c r="BM654" s="109"/>
      <c r="BN654" s="109"/>
      <c r="BP654" s="10"/>
      <c r="BS654" s="109"/>
      <c r="BT654" s="109"/>
      <c r="BV654" s="10"/>
      <c r="BY654" s="109"/>
      <c r="BZ654" s="109"/>
      <c r="CB654" s="10"/>
      <c r="CE654" s="109"/>
      <c r="CF654" s="109"/>
      <c r="CH654" s="10"/>
      <c r="CK654" s="109"/>
      <c r="CL654" s="109"/>
    </row>
    <row r="655" spans="1:90">
      <c r="A655" s="7" t="str">
        <f t="shared" si="101"/>
        <v>01300130</v>
      </c>
      <c r="B655" s="7" t="s">
        <v>2469</v>
      </c>
      <c r="C655" s="7" t="s">
        <v>2469</v>
      </c>
      <c r="D655" s="7">
        <v>646</v>
      </c>
      <c r="E655" s="7">
        <v>130</v>
      </c>
      <c r="F655" s="7" t="s">
        <v>1835</v>
      </c>
      <c r="G655" s="7">
        <v>130</v>
      </c>
      <c r="H655" s="7" t="s">
        <v>1396</v>
      </c>
      <c r="I655" s="37">
        <v>0</v>
      </c>
      <c r="J655" s="122">
        <v>0</v>
      </c>
      <c r="K655" s="123">
        <f>X655</f>
        <v>0</v>
      </c>
      <c r="L655" s="122">
        <f>IF(K659&gt;0, K655/K659, 0)</f>
        <v>0</v>
      </c>
      <c r="M655" s="71"/>
      <c r="N655" s="10">
        <f>ROUND(M659*L655,0)</f>
        <v>0</v>
      </c>
      <c r="O655" s="70">
        <v>0</v>
      </c>
      <c r="P655" s="10">
        <f>N655-O655</f>
        <v>0</v>
      </c>
      <c r="Q655" s="46">
        <f t="shared" si="99"/>
        <v>0</v>
      </c>
      <c r="R655" s="10">
        <v>0</v>
      </c>
      <c r="S655" s="7">
        <f t="shared" si="102"/>
        <v>0</v>
      </c>
      <c r="T655" s="124">
        <f t="shared" si="103"/>
        <v>130</v>
      </c>
      <c r="U655" s="124">
        <f t="shared" si="104"/>
        <v>130</v>
      </c>
      <c r="V655" s="124">
        <f t="shared" si="105"/>
        <v>646</v>
      </c>
      <c r="W655" s="124">
        <f t="shared" si="106"/>
        <v>0</v>
      </c>
      <c r="X655" s="124">
        <f t="shared" si="107"/>
        <v>0</v>
      </c>
      <c r="Y655" s="264">
        <f t="shared" si="108"/>
        <v>646</v>
      </c>
      <c r="Z655" s="10">
        <v>130</v>
      </c>
      <c r="AA655" s="7">
        <v>130</v>
      </c>
      <c r="AB655" s="7">
        <v>646</v>
      </c>
      <c r="AC655" s="109">
        <v>0</v>
      </c>
      <c r="AD655" s="109">
        <v>0</v>
      </c>
      <c r="AE655" s="125"/>
      <c r="AF655" s="10"/>
      <c r="AI655" s="109"/>
      <c r="AJ655" s="109"/>
      <c r="AL655" s="10"/>
      <c r="AO655" s="109"/>
      <c r="AP655" s="109"/>
      <c r="AR655" s="10"/>
      <c r="AU655" s="109"/>
      <c r="AV655" s="109"/>
      <c r="AX655" s="10"/>
      <c r="BA655" s="109"/>
      <c r="BB655" s="109"/>
      <c r="BD655" s="10"/>
      <c r="BG655" s="109"/>
      <c r="BH655" s="109"/>
      <c r="BJ655" s="10"/>
      <c r="BM655" s="109"/>
      <c r="BN655" s="109"/>
      <c r="BP655" s="10"/>
      <c r="BS655" s="109"/>
      <c r="BT655" s="109"/>
      <c r="BV655" s="10"/>
      <c r="BY655" s="109"/>
      <c r="BZ655" s="109"/>
      <c r="CB655" s="10"/>
      <c r="CE655" s="109"/>
      <c r="CF655" s="109"/>
      <c r="CH655" s="10"/>
      <c r="CK655" s="109"/>
      <c r="CL655" s="109"/>
    </row>
    <row r="656" spans="1:90">
      <c r="A656" s="7" t="str">
        <f t="shared" si="101"/>
        <v>01300717</v>
      </c>
      <c r="B656" s="7" t="s">
        <v>2469</v>
      </c>
      <c r="C656" s="7" t="s">
        <v>2730</v>
      </c>
      <c r="D656" s="7">
        <v>647</v>
      </c>
      <c r="E656" s="7">
        <v>130</v>
      </c>
      <c r="F656" s="7" t="s">
        <v>1835</v>
      </c>
      <c r="G656" s="7">
        <v>717</v>
      </c>
      <c r="H656" s="7" t="s">
        <v>1657</v>
      </c>
      <c r="I656" s="37">
        <v>995478</v>
      </c>
      <c r="J656" s="122">
        <v>0.84800703294905966</v>
      </c>
      <c r="K656" s="123">
        <f t="shared" si="100"/>
        <v>892503.09441515501</v>
      </c>
      <c r="L656" s="122">
        <f>IF(K659&gt;0, K656/K659, 0)</f>
        <v>0.81778514160336058</v>
      </c>
      <c r="M656" s="71"/>
      <c r="N656" s="10">
        <f>ROUND(M659*L656,0)</f>
        <v>381108</v>
      </c>
      <c r="O656" s="70">
        <v>395166</v>
      </c>
      <c r="P656" s="10">
        <f>N656-O656</f>
        <v>-14058</v>
      </c>
      <c r="Q656" s="46">
        <f>IF(O656&gt;0,P656*100/O656,IF(P656&gt;0,100,0))</f>
        <v>-3.5574922943775529</v>
      </c>
      <c r="R656" s="10">
        <v>95</v>
      </c>
      <c r="S656" s="7">
        <f t="shared" si="102"/>
        <v>0</v>
      </c>
      <c r="T656" s="124">
        <f t="shared" si="103"/>
        <v>130</v>
      </c>
      <c r="U656" s="124">
        <f t="shared" si="104"/>
        <v>717</v>
      </c>
      <c r="V656" s="124">
        <f t="shared" si="105"/>
        <v>647</v>
      </c>
      <c r="W656" s="124">
        <f t="shared" si="106"/>
        <v>84.73201251431999</v>
      </c>
      <c r="X656" s="124">
        <f t="shared" si="107"/>
        <v>892503.09441515501</v>
      </c>
      <c r="Y656" s="264">
        <f t="shared" si="108"/>
        <v>647</v>
      </c>
      <c r="Z656" s="10">
        <v>130</v>
      </c>
      <c r="AA656" s="7">
        <v>717</v>
      </c>
      <c r="AB656" s="7">
        <v>647</v>
      </c>
      <c r="AC656" s="109">
        <v>84.73201251431999</v>
      </c>
      <c r="AD656" s="109">
        <v>892503.09441515501</v>
      </c>
      <c r="AE656" s="125"/>
      <c r="AF656" s="10"/>
      <c r="AI656" s="109"/>
      <c r="AJ656" s="109"/>
      <c r="AL656" s="10"/>
      <c r="AO656" s="109"/>
      <c r="AP656" s="109"/>
      <c r="AR656" s="10"/>
      <c r="AU656" s="109"/>
      <c r="AV656" s="109"/>
      <c r="AX656" s="10"/>
      <c r="BA656" s="109"/>
      <c r="BB656" s="109"/>
      <c r="BD656" s="10"/>
      <c r="BG656" s="109"/>
      <c r="BH656" s="109"/>
      <c r="BJ656" s="10"/>
      <c r="BM656" s="109"/>
      <c r="BN656" s="109"/>
      <c r="BP656" s="10"/>
      <c r="BS656" s="109"/>
      <c r="BT656" s="109"/>
      <c r="BV656" s="10"/>
      <c r="BY656" s="109"/>
      <c r="BZ656" s="109"/>
      <c r="CB656" s="10"/>
      <c r="CE656" s="109"/>
      <c r="CF656" s="109"/>
      <c r="CH656" s="10"/>
      <c r="CK656" s="109"/>
      <c r="CL656" s="109"/>
    </row>
    <row r="657" spans="1:90">
      <c r="A657" s="7" t="str">
        <f t="shared" si="101"/>
        <v>01300818</v>
      </c>
      <c r="B657" s="7" t="s">
        <v>2469</v>
      </c>
      <c r="C657" s="7" t="s">
        <v>2758</v>
      </c>
      <c r="D657" s="7">
        <v>648</v>
      </c>
      <c r="E657" s="7">
        <v>130</v>
      </c>
      <c r="F657" s="7" t="s">
        <v>1835</v>
      </c>
      <c r="G657" s="7">
        <v>818</v>
      </c>
      <c r="H657" s="7" t="s">
        <v>1685</v>
      </c>
      <c r="I657" s="37">
        <v>178425</v>
      </c>
      <c r="J657" s="122">
        <v>0.15199296705094031</v>
      </c>
      <c r="K657" s="123">
        <f t="shared" si="100"/>
        <v>198863.14472352798</v>
      </c>
      <c r="L657" s="122">
        <f>IF(K659&gt;0, K657/K659, 0)</f>
        <v>0.18221485839663934</v>
      </c>
      <c r="M657" s="71"/>
      <c r="N657" s="10">
        <f>ROUND(M659*L657,0)</f>
        <v>84917</v>
      </c>
      <c r="O657" s="70">
        <v>70828</v>
      </c>
      <c r="P657" s="10">
        <f>N657-O657</f>
        <v>14089</v>
      </c>
      <c r="Q657" s="46">
        <f>IF(O657&gt;0,P657*100/O657,IF(P657&gt;0,100,0))</f>
        <v>19.891850680521827</v>
      </c>
      <c r="R657" s="10">
        <v>11</v>
      </c>
      <c r="S657" s="7">
        <f t="shared" si="102"/>
        <v>0</v>
      </c>
      <c r="T657" s="124">
        <f t="shared" si="103"/>
        <v>130</v>
      </c>
      <c r="U657" s="124">
        <f t="shared" si="104"/>
        <v>818</v>
      </c>
      <c r="V657" s="124">
        <f t="shared" si="105"/>
        <v>648</v>
      </c>
      <c r="W657" s="124">
        <f t="shared" si="106"/>
        <v>11.999999998510001</v>
      </c>
      <c r="X657" s="124">
        <f t="shared" si="107"/>
        <v>198863.14472352798</v>
      </c>
      <c r="Y657" s="264">
        <f t="shared" si="108"/>
        <v>648</v>
      </c>
      <c r="Z657" s="10">
        <v>130</v>
      </c>
      <c r="AA657" s="7">
        <v>818</v>
      </c>
      <c r="AB657" s="7">
        <v>648</v>
      </c>
      <c r="AC657" s="109">
        <v>11.999999998510001</v>
      </c>
      <c r="AD657" s="109">
        <v>198863.14472352798</v>
      </c>
      <c r="AE657" s="125"/>
      <c r="AF657" s="10"/>
      <c r="AI657" s="109"/>
      <c r="AJ657" s="109"/>
      <c r="AL657" s="10"/>
      <c r="AO657" s="109"/>
      <c r="AP657" s="109"/>
      <c r="AR657" s="10"/>
      <c r="AU657" s="109"/>
      <c r="AV657" s="109"/>
      <c r="AX657" s="10"/>
      <c r="BA657" s="109"/>
      <c r="BB657" s="109"/>
      <c r="BD657" s="10"/>
      <c r="BG657" s="109"/>
      <c r="BH657" s="109"/>
      <c r="BJ657" s="10"/>
      <c r="BM657" s="109"/>
      <c r="BN657" s="109"/>
      <c r="BP657" s="10"/>
      <c r="BS657" s="109"/>
      <c r="BT657" s="109"/>
      <c r="BV657" s="10"/>
      <c r="BY657" s="109"/>
      <c r="BZ657" s="109"/>
      <c r="CB657" s="10"/>
      <c r="CE657" s="109"/>
      <c r="CF657" s="109"/>
      <c r="CH657" s="10"/>
      <c r="CK657" s="109"/>
      <c r="CL657" s="109"/>
    </row>
    <row r="658" spans="1:90">
      <c r="A658" s="7" t="str">
        <f t="shared" si="101"/>
        <v>01300998</v>
      </c>
      <c r="B658" s="7" t="s">
        <v>2469</v>
      </c>
      <c r="C658" s="7" t="s">
        <v>2781</v>
      </c>
      <c r="D658" s="7">
        <v>649</v>
      </c>
      <c r="E658" s="7">
        <v>130</v>
      </c>
      <c r="F658" s="7" t="s">
        <v>2135</v>
      </c>
      <c r="G658" s="7">
        <v>998</v>
      </c>
      <c r="H658" s="7" t="s">
        <v>2135</v>
      </c>
      <c r="I658" s="37">
        <v>0</v>
      </c>
      <c r="J658" s="122">
        <v>0</v>
      </c>
      <c r="K658" s="123">
        <f t="shared" si="100"/>
        <v>0</v>
      </c>
      <c r="L658" s="122">
        <f>IF(K659&gt;0, K658/K659, 0)</f>
        <v>0</v>
      </c>
      <c r="M658" s="71"/>
      <c r="N658" s="10">
        <f>ROUND(M659*L658,0)</f>
        <v>0</v>
      </c>
      <c r="O658" s="70">
        <v>0</v>
      </c>
      <c r="P658" s="10">
        <f>N658-O658</f>
        <v>0</v>
      </c>
      <c r="Q658" s="46">
        <f>IF(O658&gt;0,P658*100/O658,IF(P658&gt;0,100,0))</f>
        <v>0</v>
      </c>
      <c r="R658" s="10">
        <v>0</v>
      </c>
      <c r="S658" s="7">
        <f t="shared" si="102"/>
        <v>0</v>
      </c>
      <c r="T658" s="124">
        <f t="shared" si="103"/>
        <v>130</v>
      </c>
      <c r="U658" s="124">
        <f t="shared" si="104"/>
        <v>998</v>
      </c>
      <c r="V658" s="124">
        <f t="shared" si="105"/>
        <v>649</v>
      </c>
      <c r="W658" s="124">
        <f t="shared" si="106"/>
        <v>0</v>
      </c>
      <c r="X658" s="124">
        <f t="shared" si="107"/>
        <v>0</v>
      </c>
      <c r="Y658" s="264">
        <f t="shared" si="108"/>
        <v>649</v>
      </c>
      <c r="Z658" s="10">
        <v>130</v>
      </c>
      <c r="AA658" s="7">
        <v>998</v>
      </c>
      <c r="AB658" s="7">
        <v>649</v>
      </c>
      <c r="AC658" s="109">
        <v>0</v>
      </c>
      <c r="AD658" s="109">
        <v>0</v>
      </c>
      <c r="AE658" s="125"/>
      <c r="AF658" s="10"/>
      <c r="AI658" s="109"/>
      <c r="AJ658" s="109"/>
      <c r="AL658" s="10"/>
      <c r="AO658" s="109"/>
      <c r="AP658" s="109"/>
      <c r="AR658" s="10"/>
      <c r="AU658" s="109"/>
      <c r="AV658" s="109"/>
      <c r="AX658" s="10"/>
      <c r="BA658" s="109"/>
      <c r="BB658" s="109"/>
      <c r="BD658" s="10"/>
      <c r="BG658" s="109"/>
      <c r="BH658" s="109"/>
      <c r="BJ658" s="10"/>
      <c r="BM658" s="109"/>
      <c r="BN658" s="109"/>
      <c r="BP658" s="10"/>
      <c r="BS658" s="109"/>
      <c r="BT658" s="109"/>
      <c r="BV658" s="10"/>
      <c r="BY658" s="109"/>
      <c r="BZ658" s="109"/>
      <c r="CB658" s="10"/>
      <c r="CE658" s="109"/>
      <c r="CF658" s="109"/>
      <c r="CH658" s="10"/>
      <c r="CK658" s="109"/>
      <c r="CL658" s="109"/>
    </row>
    <row r="659" spans="1:90">
      <c r="A659" s="7" t="str">
        <f t="shared" si="101"/>
        <v>01300999</v>
      </c>
      <c r="B659" s="7" t="s">
        <v>2469</v>
      </c>
      <c r="C659" s="7" t="s">
        <v>2782</v>
      </c>
      <c r="D659" s="7">
        <v>650</v>
      </c>
      <c r="E659" s="11">
        <v>130</v>
      </c>
      <c r="F659" s="11" t="s">
        <v>1835</v>
      </c>
      <c r="G659" s="11">
        <v>999</v>
      </c>
      <c r="H659" s="11" t="s">
        <v>1132</v>
      </c>
      <c r="I659" s="105">
        <v>1173903</v>
      </c>
      <c r="J659" s="126">
        <v>1</v>
      </c>
      <c r="K659" s="127">
        <f>SUM(K655:K658)</f>
        <v>1091366.2391386831</v>
      </c>
      <c r="L659" s="126">
        <f>SUM(L655:L658)</f>
        <v>0.99999999999999989</v>
      </c>
      <c r="M659" s="105">
        <f>VLOOKUP(E659,town351,22)</f>
        <v>466025</v>
      </c>
      <c r="N659" s="105">
        <f>SUM(N655:N658)</f>
        <v>466025</v>
      </c>
      <c r="O659" s="128">
        <v>465994</v>
      </c>
      <c r="P659" s="105">
        <f>SUM(P655:P658)</f>
        <v>31</v>
      </c>
      <c r="Q659" s="45">
        <f t="shared" ref="Q659:Q719" si="109">IF(O659&gt;0,P659*100/O659,IF(P659&gt;0,100,0))</f>
        <v>6.6524461688347919E-3</v>
      </c>
      <c r="R659" s="105">
        <v>106</v>
      </c>
      <c r="S659" s="7">
        <f t="shared" si="102"/>
        <v>0</v>
      </c>
      <c r="T659" s="124">
        <f t="shared" si="103"/>
        <v>130</v>
      </c>
      <c r="U659" s="124">
        <f t="shared" si="104"/>
        <v>999</v>
      </c>
      <c r="V659" s="124">
        <f t="shared" si="105"/>
        <v>650</v>
      </c>
      <c r="W659" s="124">
        <f t="shared" si="106"/>
        <v>96.732012512829996</v>
      </c>
      <c r="X659" s="124">
        <f t="shared" si="107"/>
        <v>1091366.2391386831</v>
      </c>
      <c r="Y659" s="264">
        <f t="shared" si="108"/>
        <v>650</v>
      </c>
      <c r="Z659" s="10">
        <v>130</v>
      </c>
      <c r="AA659" s="7">
        <v>999</v>
      </c>
      <c r="AB659" s="7">
        <v>650</v>
      </c>
      <c r="AC659" s="109">
        <v>96.732012512829996</v>
      </c>
      <c r="AD659" s="109">
        <v>1091366.2391386831</v>
      </c>
      <c r="AE659" s="125"/>
      <c r="AF659" s="10"/>
      <c r="AI659" s="109"/>
      <c r="AJ659" s="109"/>
      <c r="AL659" s="10"/>
      <c r="AO659" s="109"/>
      <c r="AP659" s="109"/>
      <c r="AR659" s="10"/>
      <c r="AU659" s="109"/>
      <c r="AV659" s="109"/>
      <c r="AX659" s="10"/>
      <c r="BA659" s="109"/>
      <c r="BB659" s="109"/>
      <c r="BD659" s="10"/>
      <c r="BG659" s="109"/>
      <c r="BH659" s="109"/>
      <c r="BJ659" s="10"/>
      <c r="BM659" s="109"/>
      <c r="BN659" s="109"/>
      <c r="BP659" s="10"/>
      <c r="BS659" s="109"/>
      <c r="BT659" s="109"/>
      <c r="BV659" s="10"/>
      <c r="BY659" s="109"/>
      <c r="BZ659" s="109"/>
      <c r="CB659" s="10"/>
      <c r="CE659" s="109"/>
      <c r="CF659" s="109"/>
      <c r="CH659" s="10"/>
      <c r="CK659" s="109"/>
      <c r="CL659" s="109"/>
    </row>
    <row r="660" spans="1:90">
      <c r="A660" s="7" t="str">
        <f t="shared" si="101"/>
        <v>01310131</v>
      </c>
      <c r="B660" s="7" t="s">
        <v>2470</v>
      </c>
      <c r="C660" s="7" t="s">
        <v>2470</v>
      </c>
      <c r="D660" s="7">
        <v>651</v>
      </c>
      <c r="E660" s="7">
        <v>131</v>
      </c>
      <c r="F660" s="7" t="s">
        <v>1836</v>
      </c>
      <c r="G660" s="7">
        <v>131</v>
      </c>
      <c r="H660" s="7" t="s">
        <v>1397</v>
      </c>
      <c r="I660" s="37">
        <v>40329887.992679983</v>
      </c>
      <c r="J660" s="122">
        <v>1</v>
      </c>
      <c r="K660" s="123">
        <f>X660</f>
        <v>41440808.001251943</v>
      </c>
      <c r="L660" s="122">
        <f>IF(K664&gt;0, K660/K664, 0)</f>
        <v>1</v>
      </c>
      <c r="M660" s="71"/>
      <c r="N660" s="10">
        <f>ROUND(M664*L660,0)</f>
        <v>34293632</v>
      </c>
      <c r="O660" s="70">
        <v>33379675</v>
      </c>
      <c r="P660" s="10">
        <f>N660-O660</f>
        <v>913957</v>
      </c>
      <c r="Q660" s="46">
        <f t="shared" si="109"/>
        <v>2.7380644059596149</v>
      </c>
      <c r="R660" s="10">
        <v>4332</v>
      </c>
      <c r="S660" s="7">
        <f t="shared" si="102"/>
        <v>0</v>
      </c>
      <c r="T660" s="124">
        <f t="shared" si="103"/>
        <v>131</v>
      </c>
      <c r="U660" s="124">
        <f t="shared" si="104"/>
        <v>131</v>
      </c>
      <c r="V660" s="124">
        <f t="shared" si="105"/>
        <v>651</v>
      </c>
      <c r="W660" s="124">
        <f t="shared" si="106"/>
        <v>4328</v>
      </c>
      <c r="X660" s="124">
        <f t="shared" si="107"/>
        <v>41440808.001251943</v>
      </c>
      <c r="Y660" s="264">
        <f t="shared" si="108"/>
        <v>651</v>
      </c>
      <c r="Z660" s="10">
        <v>131</v>
      </c>
      <c r="AA660" s="7">
        <v>131</v>
      </c>
      <c r="AB660" s="7">
        <v>651</v>
      </c>
      <c r="AC660" s="109">
        <v>4328</v>
      </c>
      <c r="AD660" s="109">
        <v>41440808.001251943</v>
      </c>
      <c r="AE660" s="125"/>
      <c r="AF660" s="10"/>
      <c r="AI660" s="109"/>
      <c r="AJ660" s="109"/>
      <c r="AL660" s="10"/>
      <c r="AO660" s="109"/>
      <c r="AP660" s="109"/>
      <c r="AR660" s="10"/>
      <c r="AU660" s="109"/>
      <c r="AV660" s="109"/>
      <c r="AX660" s="10"/>
      <c r="BA660" s="109"/>
      <c r="BB660" s="109"/>
      <c r="BD660" s="10"/>
      <c r="BG660" s="109"/>
      <c r="BH660" s="109"/>
      <c r="BJ660" s="10"/>
      <c r="BM660" s="109"/>
      <c r="BN660" s="109"/>
      <c r="BP660" s="10"/>
      <c r="BS660" s="109"/>
      <c r="BT660" s="109"/>
      <c r="BV660" s="10"/>
      <c r="BY660" s="109"/>
      <c r="BZ660" s="109"/>
      <c r="CB660" s="10"/>
      <c r="CE660" s="109"/>
      <c r="CF660" s="109"/>
      <c r="CH660" s="10"/>
      <c r="CK660" s="109"/>
      <c r="CL660" s="109"/>
    </row>
    <row r="661" spans="1:90">
      <c r="A661" s="7" t="str">
        <f t="shared" si="101"/>
        <v>01310998</v>
      </c>
      <c r="B661" s="7" t="s">
        <v>2470</v>
      </c>
      <c r="C661" s="7" t="s">
        <v>2781</v>
      </c>
      <c r="D661" s="7">
        <v>652</v>
      </c>
      <c r="E661" s="7">
        <v>131</v>
      </c>
      <c r="F661" s="7" t="s">
        <v>2135</v>
      </c>
      <c r="G661" s="7">
        <v>998</v>
      </c>
      <c r="H661" s="7" t="s">
        <v>2135</v>
      </c>
      <c r="I661" s="37">
        <v>0</v>
      </c>
      <c r="J661" s="122">
        <v>0</v>
      </c>
      <c r="K661" s="123">
        <f t="shared" si="100"/>
        <v>0</v>
      </c>
      <c r="L661" s="122">
        <f>IF(K664&gt;0, K661/K664, 0)</f>
        <v>0</v>
      </c>
      <c r="M661" s="71"/>
      <c r="N661" s="10">
        <f>ROUND(M664*L661,0)</f>
        <v>0</v>
      </c>
      <c r="O661" s="70">
        <v>0</v>
      </c>
      <c r="P661" s="10">
        <f>N661-O661</f>
        <v>0</v>
      </c>
      <c r="Q661" s="46">
        <f t="shared" si="109"/>
        <v>0</v>
      </c>
      <c r="R661" s="10">
        <v>0</v>
      </c>
      <c r="S661" s="7">
        <f t="shared" si="102"/>
        <v>0</v>
      </c>
      <c r="T661" s="124">
        <f t="shared" si="103"/>
        <v>131</v>
      </c>
      <c r="U661" s="124">
        <f t="shared" si="104"/>
        <v>998</v>
      </c>
      <c r="V661" s="124">
        <f t="shared" si="105"/>
        <v>652</v>
      </c>
      <c r="W661" s="124">
        <f t="shared" si="106"/>
        <v>0</v>
      </c>
      <c r="X661" s="124">
        <f t="shared" si="107"/>
        <v>0</v>
      </c>
      <c r="Y661" s="264">
        <f t="shared" si="108"/>
        <v>652</v>
      </c>
      <c r="Z661" s="10">
        <v>131</v>
      </c>
      <c r="AA661" s="7">
        <v>998</v>
      </c>
      <c r="AB661" s="7">
        <v>652</v>
      </c>
      <c r="AC661" s="109">
        <v>0</v>
      </c>
      <c r="AD661" s="109">
        <v>0</v>
      </c>
      <c r="AE661" s="125"/>
      <c r="AF661" s="10"/>
      <c r="AI661" s="109"/>
      <c r="AJ661" s="109"/>
      <c r="AL661" s="10"/>
      <c r="AO661" s="109"/>
      <c r="AP661" s="109"/>
      <c r="AR661" s="10"/>
      <c r="AU661" s="109"/>
      <c r="AV661" s="109"/>
      <c r="AX661" s="10"/>
      <c r="BA661" s="109"/>
      <c r="BB661" s="109"/>
      <c r="BD661" s="10"/>
      <c r="BG661" s="109"/>
      <c r="BH661" s="109"/>
      <c r="BJ661" s="10"/>
      <c r="BM661" s="109"/>
      <c r="BN661" s="109"/>
      <c r="BP661" s="10"/>
      <c r="BS661" s="109"/>
      <c r="BT661" s="109"/>
      <c r="BV661" s="10"/>
      <c r="BY661" s="109"/>
      <c r="BZ661" s="109"/>
      <c r="CB661" s="10"/>
      <c r="CE661" s="109"/>
      <c r="CF661" s="109"/>
      <c r="CH661" s="10"/>
      <c r="CK661" s="109"/>
      <c r="CL661" s="109"/>
    </row>
    <row r="662" spans="1:90">
      <c r="A662" s="7" t="str">
        <f t="shared" si="101"/>
        <v>01310998</v>
      </c>
      <c r="B662" s="7" t="s">
        <v>2470</v>
      </c>
      <c r="C662" s="7" t="s">
        <v>2781</v>
      </c>
      <c r="D662" s="7">
        <v>653</v>
      </c>
      <c r="E662" s="7">
        <v>131</v>
      </c>
      <c r="F662" s="7" t="s">
        <v>2135</v>
      </c>
      <c r="G662" s="7">
        <v>998</v>
      </c>
      <c r="H662" s="7" t="s">
        <v>2135</v>
      </c>
      <c r="I662" s="37">
        <v>0</v>
      </c>
      <c r="J662" s="122">
        <v>0</v>
      </c>
      <c r="K662" s="123">
        <f t="shared" si="100"/>
        <v>0</v>
      </c>
      <c r="L662" s="122">
        <f>IF(K664&gt;0, K662/K664, 0)</f>
        <v>0</v>
      </c>
      <c r="M662" s="71"/>
      <c r="N662" s="10">
        <f>ROUND(M664*L662,0)</f>
        <v>0</v>
      </c>
      <c r="O662" s="70">
        <v>0</v>
      </c>
      <c r="P662" s="10">
        <f>N662-O662</f>
        <v>0</v>
      </c>
      <c r="Q662" s="46">
        <f t="shared" si="109"/>
        <v>0</v>
      </c>
      <c r="R662" s="10">
        <v>0</v>
      </c>
      <c r="S662" s="7">
        <f t="shared" si="102"/>
        <v>0</v>
      </c>
      <c r="T662" s="124">
        <f t="shared" si="103"/>
        <v>131</v>
      </c>
      <c r="U662" s="124">
        <f t="shared" si="104"/>
        <v>998</v>
      </c>
      <c r="V662" s="124">
        <f t="shared" si="105"/>
        <v>653</v>
      </c>
      <c r="W662" s="124">
        <f t="shared" si="106"/>
        <v>0</v>
      </c>
      <c r="X662" s="124">
        <f t="shared" si="107"/>
        <v>0</v>
      </c>
      <c r="Y662" s="264">
        <f t="shared" si="108"/>
        <v>653</v>
      </c>
      <c r="Z662" s="10">
        <v>131</v>
      </c>
      <c r="AA662" s="7">
        <v>998</v>
      </c>
      <c r="AB662" s="7">
        <v>653</v>
      </c>
      <c r="AC662" s="109">
        <v>0</v>
      </c>
      <c r="AD662" s="109">
        <v>0</v>
      </c>
      <c r="AE662" s="125"/>
      <c r="AF662" s="10"/>
      <c r="AI662" s="109"/>
      <c r="AJ662" s="109"/>
      <c r="AL662" s="10"/>
      <c r="AO662" s="109"/>
      <c r="AP662" s="109"/>
      <c r="AR662" s="10"/>
      <c r="AU662" s="109"/>
      <c r="AV662" s="109"/>
      <c r="AX662" s="10"/>
      <c r="BA662" s="109"/>
      <c r="BB662" s="109"/>
      <c r="BD662" s="10"/>
      <c r="BG662" s="109"/>
      <c r="BH662" s="109"/>
      <c r="BJ662" s="10"/>
      <c r="BM662" s="109"/>
      <c r="BN662" s="109"/>
      <c r="BP662" s="10"/>
      <c r="BS662" s="109"/>
      <c r="BT662" s="109"/>
      <c r="BV662" s="10"/>
      <c r="BY662" s="109"/>
      <c r="BZ662" s="109"/>
      <c r="CB662" s="10"/>
      <c r="CE662" s="109"/>
      <c r="CF662" s="109"/>
      <c r="CH662" s="10"/>
      <c r="CK662" s="109"/>
      <c r="CL662" s="109"/>
    </row>
    <row r="663" spans="1:90">
      <c r="A663" s="7" t="str">
        <f t="shared" si="101"/>
        <v>01310998</v>
      </c>
      <c r="B663" s="7" t="s">
        <v>2470</v>
      </c>
      <c r="C663" s="7" t="s">
        <v>2781</v>
      </c>
      <c r="D663" s="7">
        <v>654</v>
      </c>
      <c r="E663" s="7">
        <v>131</v>
      </c>
      <c r="F663" s="7" t="s">
        <v>2135</v>
      </c>
      <c r="G663" s="7">
        <v>998</v>
      </c>
      <c r="H663" s="7" t="s">
        <v>2135</v>
      </c>
      <c r="I663" s="37">
        <v>0</v>
      </c>
      <c r="J663" s="122">
        <v>0</v>
      </c>
      <c r="K663" s="123">
        <f t="shared" si="100"/>
        <v>0</v>
      </c>
      <c r="L663" s="122">
        <f>IF(K664&gt;0, K663/K664, 0)</f>
        <v>0</v>
      </c>
      <c r="M663" s="71"/>
      <c r="N663" s="10">
        <f>ROUND(M664*L663,0)</f>
        <v>0</v>
      </c>
      <c r="O663" s="70">
        <v>0</v>
      </c>
      <c r="P663" s="10">
        <f>N663-O663</f>
        <v>0</v>
      </c>
      <c r="Q663" s="46">
        <f t="shared" si="109"/>
        <v>0</v>
      </c>
      <c r="R663" s="10">
        <v>0</v>
      </c>
      <c r="S663" s="7">
        <f t="shared" si="102"/>
        <v>0</v>
      </c>
      <c r="T663" s="124">
        <f t="shared" si="103"/>
        <v>131</v>
      </c>
      <c r="U663" s="124">
        <f t="shared" si="104"/>
        <v>998</v>
      </c>
      <c r="V663" s="124">
        <f t="shared" si="105"/>
        <v>654</v>
      </c>
      <c r="W663" s="124">
        <f t="shared" si="106"/>
        <v>0</v>
      </c>
      <c r="X663" s="124">
        <f t="shared" si="107"/>
        <v>0</v>
      </c>
      <c r="Y663" s="264">
        <f t="shared" si="108"/>
        <v>654</v>
      </c>
      <c r="Z663" s="10">
        <v>131</v>
      </c>
      <c r="AA663" s="7">
        <v>998</v>
      </c>
      <c r="AB663" s="7">
        <v>654</v>
      </c>
      <c r="AC663" s="109">
        <v>0</v>
      </c>
      <c r="AD663" s="109">
        <v>0</v>
      </c>
      <c r="AE663" s="125"/>
      <c r="AF663" s="10"/>
      <c r="AI663" s="109"/>
      <c r="AJ663" s="109"/>
      <c r="AL663" s="10"/>
      <c r="AO663" s="109"/>
      <c r="AP663" s="109"/>
      <c r="AR663" s="10"/>
      <c r="AU663" s="109"/>
      <c r="AV663" s="109"/>
      <c r="AX663" s="10"/>
      <c r="BA663" s="109"/>
      <c r="BB663" s="109"/>
      <c r="BD663" s="10"/>
      <c r="BG663" s="109"/>
      <c r="BH663" s="109"/>
      <c r="BJ663" s="10"/>
      <c r="BM663" s="109"/>
      <c r="BN663" s="109"/>
      <c r="BP663" s="10"/>
      <c r="BS663" s="109"/>
      <c r="BT663" s="109"/>
      <c r="BV663" s="10"/>
      <c r="BY663" s="109"/>
      <c r="BZ663" s="109"/>
      <c r="CB663" s="10"/>
      <c r="CE663" s="109"/>
      <c r="CF663" s="109"/>
      <c r="CH663" s="10"/>
      <c r="CK663" s="109"/>
      <c r="CL663" s="109"/>
    </row>
    <row r="664" spans="1:90">
      <c r="A664" s="7" t="str">
        <f t="shared" si="101"/>
        <v>01310999</v>
      </c>
      <c r="B664" s="7" t="s">
        <v>2470</v>
      </c>
      <c r="C664" s="7" t="s">
        <v>2782</v>
      </c>
      <c r="D664" s="7">
        <v>655</v>
      </c>
      <c r="E664" s="11">
        <v>131</v>
      </c>
      <c r="F664" s="11" t="s">
        <v>1836</v>
      </c>
      <c r="G664" s="11">
        <v>999</v>
      </c>
      <c r="H664" s="11" t="s">
        <v>1132</v>
      </c>
      <c r="I664" s="105">
        <v>40329887.992679983</v>
      </c>
      <c r="J664" s="126">
        <v>1</v>
      </c>
      <c r="K664" s="127">
        <f>SUM(K660:K663)</f>
        <v>41440808.001251943</v>
      </c>
      <c r="L664" s="126">
        <f>SUM(L660:L663)</f>
        <v>1</v>
      </c>
      <c r="M664" s="105">
        <f>VLOOKUP(E664,town351,22)</f>
        <v>34293632</v>
      </c>
      <c r="N664" s="105">
        <f>SUM(N660:N663)</f>
        <v>34293632</v>
      </c>
      <c r="O664" s="128">
        <v>33379675</v>
      </c>
      <c r="P664" s="105">
        <f>SUM(P660:P663)</f>
        <v>913957</v>
      </c>
      <c r="Q664" s="45">
        <f t="shared" si="109"/>
        <v>2.7380644059596149</v>
      </c>
      <c r="R664" s="105">
        <v>4332</v>
      </c>
      <c r="S664" s="7">
        <f t="shared" si="102"/>
        <v>0</v>
      </c>
      <c r="T664" s="124">
        <f t="shared" si="103"/>
        <v>131</v>
      </c>
      <c r="U664" s="124">
        <f t="shared" si="104"/>
        <v>999</v>
      </c>
      <c r="V664" s="124">
        <f t="shared" si="105"/>
        <v>655</v>
      </c>
      <c r="W664" s="124">
        <f t="shared" si="106"/>
        <v>4328</v>
      </c>
      <c r="X664" s="124">
        <f t="shared" si="107"/>
        <v>41440808.001251943</v>
      </c>
      <c r="Y664" s="264">
        <f t="shared" si="108"/>
        <v>655</v>
      </c>
      <c r="Z664" s="10">
        <v>131</v>
      </c>
      <c r="AA664" s="7">
        <v>999</v>
      </c>
      <c r="AB664" s="7">
        <v>655</v>
      </c>
      <c r="AC664" s="109">
        <v>4328</v>
      </c>
      <c r="AD664" s="109">
        <v>41440808.001251943</v>
      </c>
      <c r="AE664" s="125"/>
      <c r="AF664" s="10"/>
      <c r="AI664" s="109"/>
      <c r="AJ664" s="109"/>
      <c r="AL664" s="10"/>
      <c r="AO664" s="109"/>
      <c r="AP664" s="109"/>
      <c r="AR664" s="10"/>
      <c r="AU664" s="109"/>
      <c r="AV664" s="109"/>
      <c r="AX664" s="10"/>
      <c r="BA664" s="109"/>
      <c r="BB664" s="109"/>
      <c r="BD664" s="10"/>
      <c r="BG664" s="109"/>
      <c r="BH664" s="109"/>
      <c r="BJ664" s="10"/>
      <c r="BM664" s="109"/>
      <c r="BN664" s="109"/>
      <c r="BP664" s="10"/>
      <c r="BS664" s="109"/>
      <c r="BT664" s="109"/>
      <c r="BV664" s="10"/>
      <c r="BY664" s="109"/>
      <c r="BZ664" s="109"/>
      <c r="CB664" s="10"/>
      <c r="CE664" s="109"/>
      <c r="CF664" s="109"/>
      <c r="CH664" s="10"/>
      <c r="CK664" s="109"/>
      <c r="CL664" s="109"/>
    </row>
    <row r="665" spans="1:90">
      <c r="A665" s="7" t="str">
        <f t="shared" si="101"/>
        <v>01320132</v>
      </c>
      <c r="B665" s="7" t="s">
        <v>2471</v>
      </c>
      <c r="C665" s="7" t="s">
        <v>2471</v>
      </c>
      <c r="D665" s="7">
        <v>656</v>
      </c>
      <c r="E665" s="7">
        <v>132</v>
      </c>
      <c r="F665" s="7" t="s">
        <v>1837</v>
      </c>
      <c r="G665" s="7">
        <v>132</v>
      </c>
      <c r="H665" s="7" t="s">
        <v>1398</v>
      </c>
      <c r="I665" s="37">
        <v>222840.48</v>
      </c>
      <c r="J665" s="122">
        <v>9.4856716777557928E-2</v>
      </c>
      <c r="K665" s="123">
        <f t="shared" ref="K665:K728" si="110">X665</f>
        <v>226884.18269824251</v>
      </c>
      <c r="L665" s="122">
        <f>IF(K669&gt;0, K665/K669, 0)</f>
        <v>9.7234539490222219E-2</v>
      </c>
      <c r="M665" s="71"/>
      <c r="N665" s="10">
        <f>ROUND(M669*L665,0)</f>
        <v>188237</v>
      </c>
      <c r="O665" s="70">
        <v>184676</v>
      </c>
      <c r="P665" s="10">
        <f>N665-O665</f>
        <v>3561</v>
      </c>
      <c r="Q665" s="46">
        <f t="shared" si="109"/>
        <v>1.9282418939114991</v>
      </c>
      <c r="R665" s="10">
        <v>15</v>
      </c>
      <c r="S665" s="7">
        <f t="shared" si="102"/>
        <v>0</v>
      </c>
      <c r="T665" s="124">
        <f t="shared" si="103"/>
        <v>132</v>
      </c>
      <c r="U665" s="124">
        <f t="shared" si="104"/>
        <v>132</v>
      </c>
      <c r="V665" s="124">
        <f t="shared" si="105"/>
        <v>656</v>
      </c>
      <c r="W665" s="124">
        <f t="shared" si="106"/>
        <v>15</v>
      </c>
      <c r="X665" s="124">
        <f t="shared" si="107"/>
        <v>226884.18269824251</v>
      </c>
      <c r="Y665" s="264">
        <f t="shared" si="108"/>
        <v>656</v>
      </c>
      <c r="Z665" s="10">
        <v>132</v>
      </c>
      <c r="AA665" s="7">
        <v>132</v>
      </c>
      <c r="AB665" s="7">
        <v>656</v>
      </c>
      <c r="AC665" s="109">
        <v>15</v>
      </c>
      <c r="AD665" s="109">
        <v>226884.18269824251</v>
      </c>
      <c r="AE665" s="125"/>
      <c r="AF665" s="10"/>
      <c r="AI665" s="109"/>
      <c r="AJ665" s="109"/>
      <c r="AL665" s="10"/>
      <c r="AO665" s="109"/>
      <c r="AP665" s="109"/>
      <c r="AR665" s="10"/>
      <c r="AU665" s="109"/>
      <c r="AV665" s="109"/>
      <c r="AX665" s="10"/>
      <c r="BA665" s="109"/>
      <c r="BB665" s="109"/>
      <c r="BD665" s="10"/>
      <c r="BG665" s="109"/>
      <c r="BH665" s="109"/>
      <c r="BJ665" s="10"/>
      <c r="BM665" s="109"/>
      <c r="BN665" s="109"/>
      <c r="BP665" s="10"/>
      <c r="BS665" s="109"/>
      <c r="BT665" s="109"/>
      <c r="BV665" s="10"/>
      <c r="BY665" s="109"/>
      <c r="BZ665" s="109"/>
      <c r="CB665" s="10"/>
      <c r="CE665" s="109"/>
      <c r="CF665" s="109"/>
      <c r="CH665" s="10"/>
      <c r="CK665" s="109"/>
      <c r="CL665" s="109"/>
    </row>
    <row r="666" spans="1:90">
      <c r="A666" s="7" t="str">
        <f t="shared" si="101"/>
        <v>01320635</v>
      </c>
      <c r="B666" s="7" t="s">
        <v>2471</v>
      </c>
      <c r="C666" s="7" t="s">
        <v>2705</v>
      </c>
      <c r="D666" s="7">
        <v>657</v>
      </c>
      <c r="E666" s="7">
        <v>132</v>
      </c>
      <c r="F666" s="7" t="s">
        <v>1837</v>
      </c>
      <c r="G666" s="7">
        <v>635</v>
      </c>
      <c r="H666" s="7" t="s">
        <v>1632</v>
      </c>
      <c r="I666" s="37">
        <v>2126392</v>
      </c>
      <c r="J666" s="122">
        <v>0.90514328322244209</v>
      </c>
      <c r="K666" s="123">
        <f t="shared" si="110"/>
        <v>2106486.0773733621</v>
      </c>
      <c r="L666" s="122">
        <f>IF(K669&gt;0, K666/K669, 0)</f>
        <v>0.9027654605097778</v>
      </c>
      <c r="M666" s="71"/>
      <c r="N666" s="10">
        <f>ROUND(M669*L666,0)</f>
        <v>1747672</v>
      </c>
      <c r="O666" s="70">
        <v>1762214</v>
      </c>
      <c r="P666" s="10">
        <f>N666-O666</f>
        <v>-14542</v>
      </c>
      <c r="Q666" s="46">
        <f t="shared" si="109"/>
        <v>-0.82521192091312401</v>
      </c>
      <c r="R666" s="10">
        <v>209</v>
      </c>
      <c r="S666" s="7">
        <f t="shared" si="102"/>
        <v>0</v>
      </c>
      <c r="T666" s="124">
        <f t="shared" si="103"/>
        <v>132</v>
      </c>
      <c r="U666" s="124">
        <f t="shared" si="104"/>
        <v>635</v>
      </c>
      <c r="V666" s="124">
        <f t="shared" si="105"/>
        <v>657</v>
      </c>
      <c r="W666" s="124">
        <f t="shared" si="106"/>
        <v>203.85983010276001</v>
      </c>
      <c r="X666" s="124">
        <f t="shared" si="107"/>
        <v>2106486.0773733621</v>
      </c>
      <c r="Y666" s="264">
        <f t="shared" si="108"/>
        <v>657</v>
      </c>
      <c r="Z666" s="10">
        <v>132</v>
      </c>
      <c r="AA666" s="7">
        <v>635</v>
      </c>
      <c r="AB666" s="7">
        <v>657</v>
      </c>
      <c r="AC666" s="109">
        <v>203.85983010276001</v>
      </c>
      <c r="AD666" s="109">
        <v>2106486.0773733621</v>
      </c>
      <c r="AE666" s="125"/>
      <c r="AF666" s="10"/>
      <c r="AI666" s="109"/>
      <c r="AJ666" s="109"/>
      <c r="AL666" s="10"/>
      <c r="AO666" s="109"/>
      <c r="AP666" s="109"/>
      <c r="AR666" s="10"/>
      <c r="AU666" s="109"/>
      <c r="AV666" s="109"/>
      <c r="AX666" s="10"/>
      <c r="BA666" s="109"/>
      <c r="BB666" s="109"/>
      <c r="BD666" s="10"/>
      <c r="BG666" s="109"/>
      <c r="BH666" s="109"/>
      <c r="BJ666" s="10"/>
      <c r="BM666" s="109"/>
      <c r="BN666" s="109"/>
      <c r="BP666" s="10"/>
      <c r="BS666" s="109"/>
      <c r="BT666" s="109"/>
      <c r="BV666" s="10"/>
      <c r="BY666" s="109"/>
      <c r="BZ666" s="109"/>
      <c r="CB666" s="10"/>
      <c r="CE666" s="109"/>
      <c r="CF666" s="109"/>
      <c r="CH666" s="10"/>
      <c r="CK666" s="109"/>
      <c r="CL666" s="109"/>
    </row>
    <row r="667" spans="1:90">
      <c r="A667" s="7" t="str">
        <f t="shared" si="101"/>
        <v>01320998</v>
      </c>
      <c r="B667" s="7" t="s">
        <v>2471</v>
      </c>
      <c r="C667" s="7" t="s">
        <v>2781</v>
      </c>
      <c r="D667" s="7">
        <v>658</v>
      </c>
      <c r="E667" s="7">
        <v>132</v>
      </c>
      <c r="F667" s="7" t="s">
        <v>2135</v>
      </c>
      <c r="G667" s="7">
        <v>998</v>
      </c>
      <c r="H667" s="7" t="s">
        <v>2135</v>
      </c>
      <c r="I667" s="37">
        <v>0</v>
      </c>
      <c r="J667" s="122">
        <v>0</v>
      </c>
      <c r="K667" s="123">
        <f t="shared" si="110"/>
        <v>0</v>
      </c>
      <c r="L667" s="122">
        <f>IF(K669&gt;0, K667/K669, 0)</f>
        <v>0</v>
      </c>
      <c r="M667" s="71"/>
      <c r="N667" s="10">
        <f>ROUND(M669*L667,0)</f>
        <v>0</v>
      </c>
      <c r="O667" s="70">
        <v>0</v>
      </c>
      <c r="P667" s="10">
        <f>N667-O667</f>
        <v>0</v>
      </c>
      <c r="Q667" s="46">
        <f t="shared" si="109"/>
        <v>0</v>
      </c>
      <c r="R667" s="10">
        <v>0</v>
      </c>
      <c r="S667" s="7">
        <f t="shared" si="102"/>
        <v>0</v>
      </c>
      <c r="T667" s="124">
        <f t="shared" si="103"/>
        <v>132</v>
      </c>
      <c r="U667" s="124">
        <f t="shared" si="104"/>
        <v>998</v>
      </c>
      <c r="V667" s="124">
        <f t="shared" si="105"/>
        <v>658</v>
      </c>
      <c r="W667" s="124">
        <f t="shared" si="106"/>
        <v>0</v>
      </c>
      <c r="X667" s="124">
        <f t="shared" si="107"/>
        <v>0</v>
      </c>
      <c r="Y667" s="264">
        <f t="shared" si="108"/>
        <v>658</v>
      </c>
      <c r="Z667" s="10">
        <v>132</v>
      </c>
      <c r="AA667" s="7">
        <v>998</v>
      </c>
      <c r="AB667" s="7">
        <v>658</v>
      </c>
      <c r="AC667" s="109">
        <v>0</v>
      </c>
      <c r="AD667" s="109">
        <v>0</v>
      </c>
      <c r="AE667" s="125"/>
      <c r="AF667" s="10"/>
      <c r="AI667" s="109"/>
      <c r="AJ667" s="109"/>
      <c r="AL667" s="10"/>
      <c r="AO667" s="109"/>
      <c r="AP667" s="109"/>
      <c r="AR667" s="10"/>
      <c r="AU667" s="109"/>
      <c r="AV667" s="109"/>
      <c r="AX667" s="10"/>
      <c r="BA667" s="109"/>
      <c r="BB667" s="109"/>
      <c r="BD667" s="10"/>
      <c r="BG667" s="109"/>
      <c r="BH667" s="109"/>
      <c r="BJ667" s="10"/>
      <c r="BM667" s="109"/>
      <c r="BN667" s="109"/>
      <c r="BP667" s="10"/>
      <c r="BS667" s="109"/>
      <c r="BT667" s="109"/>
      <c r="BV667" s="10"/>
      <c r="BY667" s="109"/>
      <c r="BZ667" s="109"/>
      <c r="CB667" s="10"/>
      <c r="CE667" s="109"/>
      <c r="CF667" s="109"/>
      <c r="CH667" s="10"/>
      <c r="CK667" s="109"/>
      <c r="CL667" s="109"/>
    </row>
    <row r="668" spans="1:90">
      <c r="A668" s="7" t="str">
        <f t="shared" si="101"/>
        <v>01320998</v>
      </c>
      <c r="B668" s="7" t="s">
        <v>2471</v>
      </c>
      <c r="C668" s="7" t="s">
        <v>2781</v>
      </c>
      <c r="D668" s="7">
        <v>659</v>
      </c>
      <c r="E668" s="7">
        <v>132</v>
      </c>
      <c r="F668" s="7" t="s">
        <v>2135</v>
      </c>
      <c r="G668" s="7">
        <v>998</v>
      </c>
      <c r="H668" s="7" t="s">
        <v>2135</v>
      </c>
      <c r="I668" s="37">
        <v>0</v>
      </c>
      <c r="J668" s="122">
        <v>0</v>
      </c>
      <c r="K668" s="123">
        <f t="shared" si="110"/>
        <v>0</v>
      </c>
      <c r="L668" s="122">
        <f>IF(K669&gt;0, K668/K669, 0)</f>
        <v>0</v>
      </c>
      <c r="M668" s="71"/>
      <c r="N668" s="10">
        <f>ROUND(M669*L668,0)</f>
        <v>0</v>
      </c>
      <c r="O668" s="70">
        <v>0</v>
      </c>
      <c r="P668" s="10">
        <f>N668-O668</f>
        <v>0</v>
      </c>
      <c r="Q668" s="46">
        <f t="shared" si="109"/>
        <v>0</v>
      </c>
      <c r="R668" s="10">
        <v>0</v>
      </c>
      <c r="S668" s="7">
        <f t="shared" si="102"/>
        <v>0</v>
      </c>
      <c r="T668" s="124">
        <f t="shared" si="103"/>
        <v>132</v>
      </c>
      <c r="U668" s="124">
        <f t="shared" si="104"/>
        <v>998</v>
      </c>
      <c r="V668" s="124">
        <f t="shared" si="105"/>
        <v>659</v>
      </c>
      <c r="W668" s="124">
        <f t="shared" si="106"/>
        <v>0</v>
      </c>
      <c r="X668" s="124">
        <f t="shared" si="107"/>
        <v>0</v>
      </c>
      <c r="Y668" s="264">
        <f t="shared" si="108"/>
        <v>659</v>
      </c>
      <c r="Z668" s="10">
        <v>132</v>
      </c>
      <c r="AA668" s="7">
        <v>998</v>
      </c>
      <c r="AB668" s="7">
        <v>659</v>
      </c>
      <c r="AC668" s="109">
        <v>0</v>
      </c>
      <c r="AD668" s="109">
        <v>0</v>
      </c>
      <c r="AE668" s="125"/>
      <c r="AF668" s="10"/>
      <c r="AI668" s="109"/>
      <c r="AJ668" s="109"/>
      <c r="AL668" s="10"/>
      <c r="AO668" s="109"/>
      <c r="AP668" s="109"/>
      <c r="AR668" s="10"/>
      <c r="AU668" s="109"/>
      <c r="AV668" s="109"/>
      <c r="AX668" s="10"/>
      <c r="BA668" s="109"/>
      <c r="BB668" s="109"/>
      <c r="BD668" s="10"/>
      <c r="BG668" s="109"/>
      <c r="BH668" s="109"/>
      <c r="BJ668" s="10"/>
      <c r="BM668" s="109"/>
      <c r="BN668" s="109"/>
      <c r="BP668" s="10"/>
      <c r="BS668" s="109"/>
      <c r="BT668" s="109"/>
      <c r="BV668" s="10"/>
      <c r="BY668" s="109"/>
      <c r="BZ668" s="109"/>
      <c r="CB668" s="10"/>
      <c r="CE668" s="109"/>
      <c r="CF668" s="109"/>
      <c r="CH668" s="10"/>
      <c r="CK668" s="109"/>
      <c r="CL668" s="109"/>
    </row>
    <row r="669" spans="1:90">
      <c r="A669" s="7" t="str">
        <f t="shared" si="101"/>
        <v>01320999</v>
      </c>
      <c r="B669" s="7" t="s">
        <v>2471</v>
      </c>
      <c r="C669" s="7" t="s">
        <v>2782</v>
      </c>
      <c r="D669" s="7">
        <v>660</v>
      </c>
      <c r="E669" s="11">
        <v>132</v>
      </c>
      <c r="F669" s="11" t="s">
        <v>1837</v>
      </c>
      <c r="G669" s="11">
        <v>999</v>
      </c>
      <c r="H669" s="11" t="s">
        <v>1132</v>
      </c>
      <c r="I669" s="105">
        <v>2349232.48</v>
      </c>
      <c r="J669" s="126">
        <v>1</v>
      </c>
      <c r="K669" s="127">
        <f>SUM(K665:K668)</f>
        <v>2333370.2600716045</v>
      </c>
      <c r="L669" s="126">
        <f>SUM(L665:L668)</f>
        <v>1</v>
      </c>
      <c r="M669" s="105">
        <f>VLOOKUP(E669,town351,22)</f>
        <v>1935909</v>
      </c>
      <c r="N669" s="105">
        <f>SUM(N665:N668)</f>
        <v>1935909</v>
      </c>
      <c r="O669" s="128">
        <v>1946890</v>
      </c>
      <c r="P669" s="105">
        <f>SUM(P665:P668)</f>
        <v>-10981</v>
      </c>
      <c r="Q669" s="45">
        <f t="shared" si="109"/>
        <v>-0.56402775708951203</v>
      </c>
      <c r="R669" s="105">
        <v>224</v>
      </c>
      <c r="S669" s="7">
        <f t="shared" si="102"/>
        <v>0</v>
      </c>
      <c r="T669" s="124">
        <f t="shared" si="103"/>
        <v>132</v>
      </c>
      <c r="U669" s="124">
        <f t="shared" si="104"/>
        <v>999</v>
      </c>
      <c r="V669" s="124">
        <f t="shared" si="105"/>
        <v>660</v>
      </c>
      <c r="W669" s="124">
        <f t="shared" si="106"/>
        <v>218.85983010276001</v>
      </c>
      <c r="X669" s="124">
        <f t="shared" si="107"/>
        <v>2333370.2600716045</v>
      </c>
      <c r="Y669" s="264">
        <f t="shared" si="108"/>
        <v>660</v>
      </c>
      <c r="Z669" s="10">
        <v>132</v>
      </c>
      <c r="AA669" s="7">
        <v>999</v>
      </c>
      <c r="AB669" s="7">
        <v>660</v>
      </c>
      <c r="AC669" s="109">
        <v>218.85983010276001</v>
      </c>
      <c r="AD669" s="109">
        <v>2333370.2600716045</v>
      </c>
      <c r="AE669" s="125"/>
      <c r="AF669" s="10"/>
      <c r="AI669" s="109"/>
      <c r="AJ669" s="109"/>
      <c r="AL669" s="10"/>
      <c r="AO669" s="109"/>
      <c r="AP669" s="109"/>
      <c r="AR669" s="10"/>
      <c r="AU669" s="109"/>
      <c r="AV669" s="109"/>
      <c r="AX669" s="10"/>
      <c r="BA669" s="109"/>
      <c r="BB669" s="109"/>
      <c r="BD669" s="10"/>
      <c r="BG669" s="109"/>
      <c r="BH669" s="109"/>
      <c r="BJ669" s="10"/>
      <c r="BM669" s="109"/>
      <c r="BN669" s="109"/>
      <c r="BP669" s="10"/>
      <c r="BS669" s="109"/>
      <c r="BT669" s="109"/>
      <c r="BV669" s="10"/>
      <c r="BY669" s="109"/>
      <c r="BZ669" s="109"/>
      <c r="CB669" s="10"/>
      <c r="CE669" s="109"/>
      <c r="CF669" s="109"/>
      <c r="CH669" s="10"/>
      <c r="CK669" s="109"/>
      <c r="CL669" s="109"/>
    </row>
    <row r="670" spans="1:90">
      <c r="A670" s="7" t="str">
        <f t="shared" si="101"/>
        <v>01330133</v>
      </c>
      <c r="B670" s="7" t="s">
        <v>2472</v>
      </c>
      <c r="C670" s="7" t="s">
        <v>2472</v>
      </c>
      <c r="D670" s="7">
        <v>661</v>
      </c>
      <c r="E670" s="7">
        <v>133</v>
      </c>
      <c r="F670" s="7" t="s">
        <v>1838</v>
      </c>
      <c r="G670" s="7">
        <v>133</v>
      </c>
      <c r="H670" s="7" t="s">
        <v>1399</v>
      </c>
      <c r="I670" s="37">
        <v>12499752.025560001</v>
      </c>
      <c r="J670" s="122">
        <v>0.82225635597322733</v>
      </c>
      <c r="K670" s="123">
        <f>X670</f>
        <v>12628237.26938205</v>
      </c>
      <c r="L670" s="122">
        <f>IF(K674&gt;0, K670/K674, 0)</f>
        <v>0.84279239574018083</v>
      </c>
      <c r="M670" s="71"/>
      <c r="N670" s="10">
        <f>ROUND(M674*L670,0)</f>
        <v>7152474</v>
      </c>
      <c r="O670" s="70">
        <v>6931227</v>
      </c>
      <c r="P670" s="10">
        <f>N670-O670</f>
        <v>221247</v>
      </c>
      <c r="Q670" s="46">
        <f t="shared" si="109"/>
        <v>3.192032233253939</v>
      </c>
      <c r="R670" s="10">
        <v>1171</v>
      </c>
      <c r="S670" s="7">
        <f t="shared" si="102"/>
        <v>0</v>
      </c>
      <c r="T670" s="124">
        <f t="shared" si="103"/>
        <v>133</v>
      </c>
      <c r="U670" s="124">
        <f t="shared" si="104"/>
        <v>133</v>
      </c>
      <c r="V670" s="124">
        <f t="shared" si="105"/>
        <v>661</v>
      </c>
      <c r="W670" s="124">
        <f t="shared" si="106"/>
        <v>1165</v>
      </c>
      <c r="X670" s="124">
        <f t="shared" si="107"/>
        <v>12628237.26938205</v>
      </c>
      <c r="Y670" s="264">
        <f t="shared" si="108"/>
        <v>661</v>
      </c>
      <c r="Z670" s="10">
        <v>133</v>
      </c>
      <c r="AA670" s="7">
        <v>133</v>
      </c>
      <c r="AB670" s="7">
        <v>661</v>
      </c>
      <c r="AC670" s="109">
        <v>1165</v>
      </c>
      <c r="AD670" s="109">
        <v>12628237.26938205</v>
      </c>
      <c r="AE670" s="125"/>
      <c r="AF670" s="10"/>
      <c r="AI670" s="109"/>
      <c r="AJ670" s="109"/>
      <c r="AL670" s="10"/>
      <c r="AO670" s="109"/>
      <c r="AP670" s="109"/>
      <c r="AR670" s="10"/>
      <c r="AU670" s="109"/>
      <c r="AV670" s="109"/>
      <c r="AX670" s="10"/>
      <c r="BA670" s="109"/>
      <c r="BB670" s="109"/>
      <c r="BD670" s="10"/>
      <c r="BG670" s="109"/>
      <c r="BH670" s="109"/>
      <c r="BJ670" s="10"/>
      <c r="BM670" s="109"/>
      <c r="BN670" s="109"/>
      <c r="BP670" s="10"/>
      <c r="BS670" s="109"/>
      <c r="BT670" s="109"/>
      <c r="BV670" s="10"/>
      <c r="BY670" s="109"/>
      <c r="BZ670" s="109"/>
      <c r="CB670" s="10"/>
      <c r="CE670" s="109"/>
      <c r="CF670" s="109"/>
      <c r="CH670" s="10"/>
      <c r="CK670" s="109"/>
      <c r="CL670" s="109"/>
    </row>
    <row r="671" spans="1:90">
      <c r="A671" s="7" t="str">
        <f t="shared" si="101"/>
        <v>01330806</v>
      </c>
      <c r="B671" s="7" t="s">
        <v>2472</v>
      </c>
      <c r="C671" s="7" t="s">
        <v>2754</v>
      </c>
      <c r="D671" s="7">
        <v>662</v>
      </c>
      <c r="E671" s="7">
        <v>133</v>
      </c>
      <c r="F671" s="7" t="s">
        <v>1838</v>
      </c>
      <c r="G671" s="7">
        <v>806</v>
      </c>
      <c r="H671" s="7" t="s">
        <v>1681</v>
      </c>
      <c r="I671" s="37">
        <v>2411546</v>
      </c>
      <c r="J671" s="122">
        <v>0.15863586910900948</v>
      </c>
      <c r="K671" s="123">
        <f t="shared" si="110"/>
        <v>2124955.9902664693</v>
      </c>
      <c r="L671" s="122">
        <f>IF(K674&gt;0, K671/K674, 0)</f>
        <v>0.14181684360819441</v>
      </c>
      <c r="M671" s="71"/>
      <c r="N671" s="10">
        <f>ROUND(M674*L671,0)</f>
        <v>1203548</v>
      </c>
      <c r="O671" s="70">
        <v>1337224</v>
      </c>
      <c r="P671" s="10">
        <f>N671-O671</f>
        <v>-133676</v>
      </c>
      <c r="Q671" s="46">
        <f t="shared" si="109"/>
        <v>-9.9965301250949725</v>
      </c>
      <c r="R671" s="10">
        <v>149</v>
      </c>
      <c r="S671" s="7">
        <f t="shared" si="102"/>
        <v>0</v>
      </c>
      <c r="T671" s="124">
        <f t="shared" si="103"/>
        <v>133</v>
      </c>
      <c r="U671" s="124">
        <f t="shared" si="104"/>
        <v>806</v>
      </c>
      <c r="V671" s="124">
        <f t="shared" si="105"/>
        <v>662</v>
      </c>
      <c r="W671" s="124">
        <f t="shared" si="106"/>
        <v>128.99999999679</v>
      </c>
      <c r="X671" s="124">
        <f t="shared" si="107"/>
        <v>2124955.9902664693</v>
      </c>
      <c r="Y671" s="264">
        <f t="shared" si="108"/>
        <v>662</v>
      </c>
      <c r="Z671" s="10">
        <v>133</v>
      </c>
      <c r="AA671" s="7">
        <v>806</v>
      </c>
      <c r="AB671" s="7">
        <v>662</v>
      </c>
      <c r="AC671" s="109">
        <v>128.99999999679</v>
      </c>
      <c r="AD671" s="109">
        <v>2124955.9902664693</v>
      </c>
      <c r="AE671" s="125"/>
      <c r="AF671" s="10"/>
      <c r="AI671" s="109"/>
      <c r="AJ671" s="109"/>
      <c r="AL671" s="10"/>
      <c r="AO671" s="109"/>
      <c r="AP671" s="109"/>
      <c r="AR671" s="10"/>
      <c r="AU671" s="109"/>
      <c r="AV671" s="109"/>
      <c r="AX671" s="10"/>
      <c r="BA671" s="109"/>
      <c r="BB671" s="109"/>
      <c r="BD671" s="10"/>
      <c r="BG671" s="109"/>
      <c r="BH671" s="109"/>
      <c r="BJ671" s="10"/>
      <c r="BM671" s="109"/>
      <c r="BN671" s="109"/>
      <c r="BP671" s="10"/>
      <c r="BS671" s="109"/>
      <c r="BT671" s="109"/>
      <c r="BV671" s="10"/>
      <c r="BY671" s="109"/>
      <c r="BZ671" s="109"/>
      <c r="CB671" s="10"/>
      <c r="CE671" s="109"/>
      <c r="CF671" s="109"/>
      <c r="CH671" s="10"/>
      <c r="CK671" s="109"/>
      <c r="CL671" s="109"/>
    </row>
    <row r="672" spans="1:90">
      <c r="A672" s="7" t="str">
        <f t="shared" si="101"/>
        <v>01330915</v>
      </c>
      <c r="B672" s="7" t="s">
        <v>2472</v>
      </c>
      <c r="C672" s="7" t="s">
        <v>2779</v>
      </c>
      <c r="D672" s="7">
        <v>663</v>
      </c>
      <c r="E672" s="7">
        <v>133</v>
      </c>
      <c r="F672" s="7" t="s">
        <v>1838</v>
      </c>
      <c r="G672" s="7">
        <v>915</v>
      </c>
      <c r="H672" s="7" t="s">
        <v>1706</v>
      </c>
      <c r="I672" s="37">
        <v>290472</v>
      </c>
      <c r="J672" s="122">
        <v>1.910777491776321E-2</v>
      </c>
      <c r="K672" s="123">
        <f t="shared" si="110"/>
        <v>230612.16290909992</v>
      </c>
      <c r="L672" s="122">
        <f>IF(K674&gt;0, K672/K674, 0)</f>
        <v>1.5390760651624652E-2</v>
      </c>
      <c r="M672" s="71"/>
      <c r="N672" s="10">
        <f>ROUND(M674*L672,0)</f>
        <v>130616</v>
      </c>
      <c r="O672" s="70">
        <v>161069</v>
      </c>
      <c r="P672" s="10">
        <f>N672-O672</f>
        <v>-30453</v>
      </c>
      <c r="Q672" s="46">
        <f t="shared" si="109"/>
        <v>-18.906803916333992</v>
      </c>
      <c r="R672" s="10">
        <v>18</v>
      </c>
      <c r="S672" s="7">
        <f t="shared" si="102"/>
        <v>0</v>
      </c>
      <c r="T672" s="124">
        <f t="shared" si="103"/>
        <v>133</v>
      </c>
      <c r="U672" s="124">
        <f t="shared" si="104"/>
        <v>915</v>
      </c>
      <c r="V672" s="124">
        <f t="shared" si="105"/>
        <v>663</v>
      </c>
      <c r="W672" s="124">
        <f t="shared" si="106"/>
        <v>14.000000000129999</v>
      </c>
      <c r="X672" s="124">
        <f t="shared" si="107"/>
        <v>230612.16290909992</v>
      </c>
      <c r="Y672" s="264">
        <f t="shared" si="108"/>
        <v>663</v>
      </c>
      <c r="Z672" s="10">
        <v>133</v>
      </c>
      <c r="AA672" s="7">
        <v>915</v>
      </c>
      <c r="AB672" s="7">
        <v>663</v>
      </c>
      <c r="AC672" s="109">
        <v>14.000000000129999</v>
      </c>
      <c r="AD672" s="109">
        <v>230612.16290909992</v>
      </c>
      <c r="AE672" s="125"/>
      <c r="AF672" s="10"/>
      <c r="AI672" s="109"/>
      <c r="AJ672" s="109"/>
      <c r="AL672" s="10"/>
      <c r="AO672" s="109"/>
      <c r="AP672" s="109"/>
      <c r="AR672" s="10"/>
      <c r="AU672" s="109"/>
      <c r="AV672" s="109"/>
      <c r="AX672" s="10"/>
      <c r="BA672" s="109"/>
      <c r="BB672" s="109"/>
      <c r="BD672" s="10"/>
      <c r="BG672" s="109"/>
      <c r="BH672" s="109"/>
      <c r="BJ672" s="10"/>
      <c r="BM672" s="109"/>
      <c r="BN672" s="109"/>
      <c r="BP672" s="10"/>
      <c r="BS672" s="109"/>
      <c r="BT672" s="109"/>
      <c r="BV672" s="10"/>
      <c r="BY672" s="109"/>
      <c r="BZ672" s="109"/>
      <c r="CB672" s="10"/>
      <c r="CE672" s="109"/>
      <c r="CF672" s="109"/>
      <c r="CH672" s="10"/>
      <c r="CK672" s="109"/>
      <c r="CL672" s="109"/>
    </row>
    <row r="673" spans="1:90">
      <c r="A673" s="7" t="str">
        <f t="shared" si="101"/>
        <v>01330998</v>
      </c>
      <c r="B673" s="7" t="s">
        <v>2472</v>
      </c>
      <c r="C673" s="7" t="s">
        <v>2781</v>
      </c>
      <c r="D673" s="7">
        <v>664</v>
      </c>
      <c r="E673" s="7">
        <v>133</v>
      </c>
      <c r="F673" s="7" t="s">
        <v>2135</v>
      </c>
      <c r="G673" s="7">
        <v>998</v>
      </c>
      <c r="H673" s="7" t="s">
        <v>2135</v>
      </c>
      <c r="I673" s="37">
        <v>0</v>
      </c>
      <c r="J673" s="122">
        <v>0</v>
      </c>
      <c r="K673" s="123">
        <f t="shared" si="110"/>
        <v>0</v>
      </c>
      <c r="L673" s="122">
        <f>IF(K674&gt;0, K673/K674, 0)</f>
        <v>0</v>
      </c>
      <c r="M673" s="71"/>
      <c r="N673" s="10">
        <f>ROUND(M674*L673,0)</f>
        <v>0</v>
      </c>
      <c r="O673" s="70">
        <v>0</v>
      </c>
      <c r="P673" s="10">
        <f>N673-O673</f>
        <v>0</v>
      </c>
      <c r="Q673" s="46">
        <f t="shared" si="109"/>
        <v>0</v>
      </c>
      <c r="R673" s="10">
        <v>0</v>
      </c>
      <c r="S673" s="7">
        <f t="shared" si="102"/>
        <v>0</v>
      </c>
      <c r="T673" s="124">
        <f t="shared" si="103"/>
        <v>133</v>
      </c>
      <c r="U673" s="124">
        <f t="shared" si="104"/>
        <v>998</v>
      </c>
      <c r="V673" s="124">
        <f t="shared" si="105"/>
        <v>664</v>
      </c>
      <c r="W673" s="124">
        <f t="shared" si="106"/>
        <v>0</v>
      </c>
      <c r="X673" s="124">
        <f t="shared" si="107"/>
        <v>0</v>
      </c>
      <c r="Y673" s="264">
        <f t="shared" si="108"/>
        <v>664</v>
      </c>
      <c r="Z673" s="10">
        <v>133</v>
      </c>
      <c r="AA673" s="7">
        <v>998</v>
      </c>
      <c r="AB673" s="7">
        <v>664</v>
      </c>
      <c r="AC673" s="109">
        <v>0</v>
      </c>
      <c r="AD673" s="109">
        <v>0</v>
      </c>
      <c r="AE673" s="125"/>
      <c r="AF673" s="10"/>
      <c r="AI673" s="109"/>
      <c r="AJ673" s="109"/>
      <c r="AL673" s="10"/>
      <c r="AO673" s="109"/>
      <c r="AP673" s="109"/>
      <c r="AR673" s="10"/>
      <c r="AU673" s="109"/>
      <c r="AV673" s="109"/>
      <c r="AX673" s="10"/>
      <c r="BA673" s="109"/>
      <c r="BB673" s="109"/>
      <c r="BD673" s="10"/>
      <c r="BG673" s="109"/>
      <c r="BH673" s="109"/>
      <c r="BJ673" s="10"/>
      <c r="BM673" s="109"/>
      <c r="BN673" s="109"/>
      <c r="BP673" s="10"/>
      <c r="BS673" s="109"/>
      <c r="BT673" s="109"/>
      <c r="BV673" s="10"/>
      <c r="BY673" s="109"/>
      <c r="BZ673" s="109"/>
      <c r="CB673" s="10"/>
      <c r="CE673" s="109"/>
      <c r="CF673" s="109"/>
      <c r="CH673" s="10"/>
      <c r="CK673" s="109"/>
      <c r="CL673" s="109"/>
    </row>
    <row r="674" spans="1:90">
      <c r="A674" s="7" t="str">
        <f t="shared" si="101"/>
        <v>01330999</v>
      </c>
      <c r="B674" s="7" t="s">
        <v>2472</v>
      </c>
      <c r="C674" s="7" t="s">
        <v>2782</v>
      </c>
      <c r="D674" s="7">
        <v>665</v>
      </c>
      <c r="E674" s="11">
        <v>133</v>
      </c>
      <c r="F674" s="11" t="s">
        <v>1838</v>
      </c>
      <c r="G674" s="11">
        <v>999</v>
      </c>
      <c r="H674" s="11" t="s">
        <v>1132</v>
      </c>
      <c r="I674" s="105">
        <v>15201770.025560001</v>
      </c>
      <c r="J674" s="126">
        <v>1</v>
      </c>
      <c r="K674" s="127">
        <f>SUM(K670:K673)</f>
        <v>14983805.42255762</v>
      </c>
      <c r="L674" s="126">
        <f>SUM(L670:L673)</f>
        <v>0.99999999999999989</v>
      </c>
      <c r="M674" s="105">
        <f>VLOOKUP(E674,town351,22)</f>
        <v>8486638</v>
      </c>
      <c r="N674" s="105">
        <f>SUM(N670:N673)</f>
        <v>8486638</v>
      </c>
      <c r="O674" s="128">
        <v>8429520</v>
      </c>
      <c r="P674" s="105">
        <f>SUM(P670:P673)</f>
        <v>57118</v>
      </c>
      <c r="Q674" s="45">
        <f t="shared" si="109"/>
        <v>0.67759492829959478</v>
      </c>
      <c r="R674" s="105">
        <v>1338</v>
      </c>
      <c r="S674" s="7">
        <f t="shared" si="102"/>
        <v>0</v>
      </c>
      <c r="T674" s="124">
        <f t="shared" si="103"/>
        <v>133</v>
      </c>
      <c r="U674" s="124">
        <f t="shared" si="104"/>
        <v>999</v>
      </c>
      <c r="V674" s="124">
        <f t="shared" si="105"/>
        <v>665</v>
      </c>
      <c r="W674" s="124">
        <f t="shared" si="106"/>
        <v>1307.99999999692</v>
      </c>
      <c r="X674" s="124">
        <f t="shared" si="107"/>
        <v>14983805.42255762</v>
      </c>
      <c r="Y674" s="264">
        <f t="shared" si="108"/>
        <v>665</v>
      </c>
      <c r="Z674" s="10">
        <v>133</v>
      </c>
      <c r="AA674" s="7">
        <v>999</v>
      </c>
      <c r="AB674" s="7">
        <v>665</v>
      </c>
      <c r="AC674" s="109">
        <v>1307.99999999692</v>
      </c>
      <c r="AD674" s="109">
        <v>14983805.42255762</v>
      </c>
      <c r="AE674" s="125"/>
      <c r="AF674" s="10"/>
      <c r="AI674" s="109"/>
      <c r="AJ674" s="109"/>
      <c r="AL674" s="10"/>
      <c r="AO674" s="109"/>
      <c r="AP674" s="109"/>
      <c r="AR674" s="10"/>
      <c r="AU674" s="109"/>
      <c r="AV674" s="109"/>
      <c r="AX674" s="10"/>
      <c r="BA674" s="109"/>
      <c r="BB674" s="109"/>
      <c r="BD674" s="10"/>
      <c r="BG674" s="109"/>
      <c r="BH674" s="109"/>
      <c r="BJ674" s="10"/>
      <c r="BM674" s="109"/>
      <c r="BN674" s="109"/>
      <c r="BP674" s="10"/>
      <c r="BS674" s="109"/>
      <c r="BT674" s="109"/>
      <c r="BV674" s="10"/>
      <c r="BY674" s="109"/>
      <c r="BZ674" s="109"/>
      <c r="CB674" s="10"/>
      <c r="CE674" s="109"/>
      <c r="CF674" s="109"/>
      <c r="CH674" s="10"/>
      <c r="CK674" s="109"/>
      <c r="CL674" s="109"/>
    </row>
    <row r="675" spans="1:90">
      <c r="A675" s="7" t="str">
        <f t="shared" si="101"/>
        <v>01340134</v>
      </c>
      <c r="B675" s="7" t="s">
        <v>2473</v>
      </c>
      <c r="C675" s="7" t="s">
        <v>2473</v>
      </c>
      <c r="D675" s="7">
        <v>666</v>
      </c>
      <c r="E675" s="7">
        <v>134</v>
      </c>
      <c r="F675" s="7" t="s">
        <v>1839</v>
      </c>
      <c r="G675" s="7">
        <v>134</v>
      </c>
      <c r="H675" s="7" t="s">
        <v>1400</v>
      </c>
      <c r="I675" s="37">
        <v>13170.920000000002</v>
      </c>
      <c r="J675" s="122">
        <v>4.3813702894622574E-4</v>
      </c>
      <c r="K675" s="123">
        <f>X675</f>
        <v>13416.833343589547</v>
      </c>
      <c r="L675" s="122">
        <f>IF(K679&gt;0, K675/K679, 0)</f>
        <v>4.3137625002284127E-4</v>
      </c>
      <c r="M675" s="71"/>
      <c r="N675" s="10">
        <f>ROUND(M679*L675,0)</f>
        <v>7918</v>
      </c>
      <c r="O675" s="70">
        <v>7908</v>
      </c>
      <c r="P675" s="10">
        <f>N675-O675</f>
        <v>10</v>
      </c>
      <c r="Q675" s="46">
        <f t="shared" si="109"/>
        <v>0.12645422357106728</v>
      </c>
      <c r="R675" s="10">
        <v>1</v>
      </c>
      <c r="S675" s="7">
        <f t="shared" si="102"/>
        <v>0</v>
      </c>
      <c r="T675" s="124">
        <f t="shared" si="103"/>
        <v>134</v>
      </c>
      <c r="U675" s="124">
        <f t="shared" si="104"/>
        <v>134</v>
      </c>
      <c r="V675" s="124">
        <f t="shared" si="105"/>
        <v>666</v>
      </c>
      <c r="W675" s="124">
        <f t="shared" si="106"/>
        <v>1</v>
      </c>
      <c r="X675" s="124">
        <f t="shared" si="107"/>
        <v>13416.833343589547</v>
      </c>
      <c r="Y675" s="264">
        <f t="shared" si="108"/>
        <v>666</v>
      </c>
      <c r="Z675" s="10">
        <v>134</v>
      </c>
      <c r="AA675" s="7">
        <v>134</v>
      </c>
      <c r="AB675" s="7">
        <v>666</v>
      </c>
      <c r="AC675" s="109">
        <v>1</v>
      </c>
      <c r="AD675" s="109">
        <v>13416.833343589547</v>
      </c>
      <c r="AE675" s="125"/>
      <c r="AF675" s="10"/>
      <c r="AI675" s="109"/>
      <c r="AJ675" s="109"/>
      <c r="AL675" s="10"/>
      <c r="AO675" s="109"/>
      <c r="AP675" s="109"/>
      <c r="AR675" s="10"/>
      <c r="AU675" s="109"/>
      <c r="AV675" s="109"/>
      <c r="AX675" s="10"/>
      <c r="BA675" s="109"/>
      <c r="BB675" s="109"/>
      <c r="BD675" s="10"/>
      <c r="BG675" s="109"/>
      <c r="BH675" s="109"/>
      <c r="BJ675" s="10"/>
      <c r="BM675" s="109"/>
      <c r="BN675" s="109"/>
      <c r="BP675" s="10"/>
      <c r="BS675" s="109"/>
      <c r="BT675" s="109"/>
      <c r="BV675" s="10"/>
      <c r="BY675" s="109"/>
      <c r="BZ675" s="109"/>
      <c r="CB675" s="10"/>
      <c r="CE675" s="109"/>
      <c r="CF675" s="109"/>
      <c r="CH675" s="10"/>
      <c r="CK675" s="109"/>
      <c r="CL675" s="109"/>
    </row>
    <row r="676" spans="1:90">
      <c r="A676" s="7" t="str">
        <f t="shared" si="101"/>
        <v>01340775</v>
      </c>
      <c r="B676" s="7" t="s">
        <v>2473</v>
      </c>
      <c r="C676" s="7" t="s">
        <v>2749</v>
      </c>
      <c r="D676" s="7">
        <v>667</v>
      </c>
      <c r="E676" s="7">
        <v>134</v>
      </c>
      <c r="F676" s="7" t="s">
        <v>1839</v>
      </c>
      <c r="G676" s="7">
        <v>775</v>
      </c>
      <c r="H676" s="7" t="s">
        <v>1676</v>
      </c>
      <c r="I676" s="37">
        <v>29052072</v>
      </c>
      <c r="J676" s="122">
        <v>0.96643123721135904</v>
      </c>
      <c r="K676" s="123">
        <f t="shared" si="110"/>
        <v>29949312.538022101</v>
      </c>
      <c r="L676" s="122">
        <f>IF(K679&gt;0, K676/K679, 0)</f>
        <v>0.96292633310428877</v>
      </c>
      <c r="M676" s="71"/>
      <c r="N676" s="10">
        <f>ROUND(M679*L676,0)</f>
        <v>17675676</v>
      </c>
      <c r="O676" s="70">
        <v>17442852</v>
      </c>
      <c r="P676" s="10">
        <f>N676-O676</f>
        <v>232824</v>
      </c>
      <c r="Q676" s="46">
        <f t="shared" si="109"/>
        <v>1.3347817203287629</v>
      </c>
      <c r="R676" s="10">
        <v>3127</v>
      </c>
      <c r="S676" s="7">
        <f t="shared" si="102"/>
        <v>0</v>
      </c>
      <c r="T676" s="124">
        <f t="shared" si="103"/>
        <v>134</v>
      </c>
      <c r="U676" s="124">
        <f t="shared" si="104"/>
        <v>775</v>
      </c>
      <c r="V676" s="124">
        <f t="shared" si="105"/>
        <v>667</v>
      </c>
      <c r="W676" s="124">
        <f t="shared" si="106"/>
        <v>3143.2453348105</v>
      </c>
      <c r="X676" s="124">
        <f t="shared" si="107"/>
        <v>29949312.538022101</v>
      </c>
      <c r="Y676" s="264">
        <f t="shared" si="108"/>
        <v>667</v>
      </c>
      <c r="Z676" s="10">
        <v>134</v>
      </c>
      <c r="AA676" s="7">
        <v>775</v>
      </c>
      <c r="AB676" s="7">
        <v>667</v>
      </c>
      <c r="AC676" s="109">
        <v>3143.2453348105</v>
      </c>
      <c r="AD676" s="109">
        <v>29949312.538022101</v>
      </c>
      <c r="AE676" s="125"/>
      <c r="AF676" s="10"/>
      <c r="AI676" s="109"/>
      <c r="AJ676" s="109"/>
      <c r="AL676" s="10"/>
      <c r="AO676" s="109"/>
      <c r="AP676" s="109"/>
      <c r="AR676" s="10"/>
      <c r="AU676" s="109"/>
      <c r="AV676" s="109"/>
      <c r="AX676" s="10"/>
      <c r="BA676" s="109"/>
      <c r="BB676" s="109"/>
      <c r="BD676" s="10"/>
      <c r="BG676" s="109"/>
      <c r="BH676" s="109"/>
      <c r="BJ676" s="10"/>
      <c r="BM676" s="109"/>
      <c r="BN676" s="109"/>
      <c r="BP676" s="10"/>
      <c r="BS676" s="109"/>
      <c r="BT676" s="109"/>
      <c r="BV676" s="10"/>
      <c r="BY676" s="109"/>
      <c r="BZ676" s="109"/>
      <c r="CB676" s="10"/>
      <c r="CE676" s="109"/>
      <c r="CF676" s="109"/>
      <c r="CH676" s="10"/>
      <c r="CK676" s="109"/>
      <c r="CL676" s="109"/>
    </row>
    <row r="677" spans="1:90">
      <c r="A677" s="7" t="str">
        <f t="shared" si="101"/>
        <v>01340832</v>
      </c>
      <c r="B677" s="7" t="s">
        <v>2473</v>
      </c>
      <c r="C677" s="7" t="s">
        <v>2765</v>
      </c>
      <c r="D677" s="7">
        <v>668</v>
      </c>
      <c r="E677" s="7">
        <v>134</v>
      </c>
      <c r="F677" s="7" t="s">
        <v>1839</v>
      </c>
      <c r="G677" s="7">
        <v>832</v>
      </c>
      <c r="H677" s="7" t="s">
        <v>1692</v>
      </c>
      <c r="I677" s="37">
        <v>995946</v>
      </c>
      <c r="J677" s="122">
        <v>3.3130625759694665E-2</v>
      </c>
      <c r="K677" s="123">
        <f t="shared" si="110"/>
        <v>1139662.8972840803</v>
      </c>
      <c r="L677" s="122">
        <f>IF(K679&gt;0, K677/K679, 0)</f>
        <v>3.6642290645688518E-2</v>
      </c>
      <c r="M677" s="71"/>
      <c r="N677" s="10">
        <f>ROUND(M679*L677,0)</f>
        <v>672614</v>
      </c>
      <c r="O677" s="70">
        <v>597966</v>
      </c>
      <c r="P677" s="10">
        <f>N677-O677</f>
        <v>74648</v>
      </c>
      <c r="Q677" s="46">
        <f t="shared" si="109"/>
        <v>12.483652916721018</v>
      </c>
      <c r="R677" s="10">
        <v>65</v>
      </c>
      <c r="S677" s="7">
        <f t="shared" si="102"/>
        <v>0</v>
      </c>
      <c r="T677" s="124">
        <f t="shared" si="103"/>
        <v>134</v>
      </c>
      <c r="U677" s="124">
        <f t="shared" si="104"/>
        <v>832</v>
      </c>
      <c r="V677" s="124">
        <f t="shared" si="105"/>
        <v>668</v>
      </c>
      <c r="W677" s="124">
        <f t="shared" si="106"/>
        <v>73.048829434240005</v>
      </c>
      <c r="X677" s="124">
        <f t="shared" si="107"/>
        <v>1139662.8972840803</v>
      </c>
      <c r="Y677" s="264">
        <f t="shared" si="108"/>
        <v>668</v>
      </c>
      <c r="Z677" s="10">
        <v>134</v>
      </c>
      <c r="AA677" s="7">
        <v>832</v>
      </c>
      <c r="AB677" s="7">
        <v>668</v>
      </c>
      <c r="AC677" s="109">
        <v>73.048829434240005</v>
      </c>
      <c r="AD677" s="109">
        <v>1139662.8972840803</v>
      </c>
      <c r="AE677" s="125"/>
      <c r="AF677" s="10"/>
      <c r="AI677" s="109"/>
      <c r="AJ677" s="109"/>
      <c r="AL677" s="10"/>
      <c r="AO677" s="109"/>
      <c r="AP677" s="109"/>
      <c r="AR677" s="10"/>
      <c r="AU677" s="109"/>
      <c r="AV677" s="109"/>
      <c r="AX677" s="10"/>
      <c r="BA677" s="109"/>
      <c r="BB677" s="109"/>
      <c r="BD677" s="10"/>
      <c r="BG677" s="109"/>
      <c r="BH677" s="109"/>
      <c r="BJ677" s="10"/>
      <c r="BM677" s="109"/>
      <c r="BN677" s="109"/>
      <c r="BP677" s="10"/>
      <c r="BS677" s="109"/>
      <c r="BT677" s="109"/>
      <c r="BV677" s="10"/>
      <c r="BY677" s="109"/>
      <c r="BZ677" s="109"/>
      <c r="CB677" s="10"/>
      <c r="CE677" s="109"/>
      <c r="CF677" s="109"/>
      <c r="CH677" s="10"/>
      <c r="CK677" s="109"/>
      <c r="CL677" s="109"/>
    </row>
    <row r="678" spans="1:90">
      <c r="A678" s="7" t="str">
        <f t="shared" si="101"/>
        <v>01340998</v>
      </c>
      <c r="B678" s="7" t="s">
        <v>2473</v>
      </c>
      <c r="C678" s="7" t="s">
        <v>2781</v>
      </c>
      <c r="D678" s="7">
        <v>669</v>
      </c>
      <c r="E678" s="7">
        <v>134</v>
      </c>
      <c r="F678" s="7" t="s">
        <v>2135</v>
      </c>
      <c r="G678" s="7">
        <v>998</v>
      </c>
      <c r="H678" s="7" t="s">
        <v>2135</v>
      </c>
      <c r="I678" s="37">
        <v>0</v>
      </c>
      <c r="J678" s="122">
        <v>0</v>
      </c>
      <c r="K678" s="123">
        <f t="shared" si="110"/>
        <v>0</v>
      </c>
      <c r="L678" s="122">
        <f>IF(K679&gt;0, K678/K679, 0)</f>
        <v>0</v>
      </c>
      <c r="M678" s="71"/>
      <c r="N678" s="10">
        <f>ROUND(M679*L678,0)</f>
        <v>0</v>
      </c>
      <c r="O678" s="70">
        <v>0</v>
      </c>
      <c r="P678" s="10">
        <f>N678-O678</f>
        <v>0</v>
      </c>
      <c r="Q678" s="46">
        <f t="shared" si="109"/>
        <v>0</v>
      </c>
      <c r="R678" s="10">
        <v>0</v>
      </c>
      <c r="S678" s="7">
        <f t="shared" si="102"/>
        <v>0</v>
      </c>
      <c r="T678" s="124">
        <f t="shared" si="103"/>
        <v>134</v>
      </c>
      <c r="U678" s="124">
        <f t="shared" si="104"/>
        <v>998</v>
      </c>
      <c r="V678" s="124">
        <f t="shared" si="105"/>
        <v>669</v>
      </c>
      <c r="W678" s="124">
        <f t="shared" si="106"/>
        <v>0</v>
      </c>
      <c r="X678" s="124">
        <f t="shared" si="107"/>
        <v>0</v>
      </c>
      <c r="Y678" s="264">
        <f t="shared" si="108"/>
        <v>669</v>
      </c>
      <c r="Z678" s="10">
        <v>134</v>
      </c>
      <c r="AA678" s="7">
        <v>998</v>
      </c>
      <c r="AB678" s="7">
        <v>669</v>
      </c>
      <c r="AC678" s="109">
        <v>0</v>
      </c>
      <c r="AD678" s="109">
        <v>0</v>
      </c>
      <c r="AE678" s="125"/>
      <c r="AF678" s="10"/>
      <c r="AI678" s="109"/>
      <c r="AJ678" s="109"/>
      <c r="AL678" s="10"/>
      <c r="AO678" s="109"/>
      <c r="AP678" s="109"/>
      <c r="AR678" s="10"/>
      <c r="AU678" s="109"/>
      <c r="AV678" s="109"/>
      <c r="AX678" s="10"/>
      <c r="BA678" s="109"/>
      <c r="BB678" s="109"/>
      <c r="BD678" s="10"/>
      <c r="BG678" s="109"/>
      <c r="BH678" s="109"/>
      <c r="BJ678" s="10"/>
      <c r="BM678" s="109"/>
      <c r="BN678" s="109"/>
      <c r="BP678" s="10"/>
      <c r="BS678" s="109"/>
      <c r="BT678" s="109"/>
      <c r="BV678" s="10"/>
      <c r="BY678" s="109"/>
      <c r="BZ678" s="109"/>
      <c r="CB678" s="10"/>
      <c r="CE678" s="109"/>
      <c r="CF678" s="109"/>
      <c r="CH678" s="10"/>
      <c r="CK678" s="109"/>
      <c r="CL678" s="109"/>
    </row>
    <row r="679" spans="1:90">
      <c r="A679" s="7" t="str">
        <f t="shared" si="101"/>
        <v>01340999</v>
      </c>
      <c r="B679" s="7" t="s">
        <v>2473</v>
      </c>
      <c r="C679" s="7" t="s">
        <v>2782</v>
      </c>
      <c r="D679" s="7">
        <v>670</v>
      </c>
      <c r="E679" s="11">
        <v>134</v>
      </c>
      <c r="F679" s="11" t="s">
        <v>1839</v>
      </c>
      <c r="G679" s="11">
        <v>999</v>
      </c>
      <c r="H679" s="11" t="s">
        <v>1132</v>
      </c>
      <c r="I679" s="105">
        <v>30061188.920000002</v>
      </c>
      <c r="J679" s="126">
        <v>1</v>
      </c>
      <c r="K679" s="127">
        <f>SUM(K675:K678)</f>
        <v>31102392.268649768</v>
      </c>
      <c r="L679" s="126">
        <f>SUM(L675:L678)</f>
        <v>1.0000000000000002</v>
      </c>
      <c r="M679" s="105">
        <f>VLOOKUP(E679,town351,22)</f>
        <v>18356208</v>
      </c>
      <c r="N679" s="105">
        <f>SUM(N675:N678)</f>
        <v>18356208</v>
      </c>
      <c r="O679" s="128">
        <v>18048726</v>
      </c>
      <c r="P679" s="105">
        <f>SUM(P675:P678)</f>
        <v>307482</v>
      </c>
      <c r="Q679" s="45">
        <f t="shared" si="109"/>
        <v>1.7036216295820548</v>
      </c>
      <c r="R679" s="105">
        <v>3193</v>
      </c>
      <c r="S679" s="7">
        <f t="shared" si="102"/>
        <v>0</v>
      </c>
      <c r="T679" s="124">
        <f t="shared" si="103"/>
        <v>134</v>
      </c>
      <c r="U679" s="124">
        <f t="shared" si="104"/>
        <v>999</v>
      </c>
      <c r="V679" s="124">
        <f t="shared" si="105"/>
        <v>670</v>
      </c>
      <c r="W679" s="124">
        <f t="shared" si="106"/>
        <v>3217.2941642447399</v>
      </c>
      <c r="X679" s="124">
        <f t="shared" si="107"/>
        <v>31102392.268649768</v>
      </c>
      <c r="Y679" s="264">
        <f t="shared" si="108"/>
        <v>670</v>
      </c>
      <c r="Z679" s="10">
        <v>134</v>
      </c>
      <c r="AA679" s="7">
        <v>999</v>
      </c>
      <c r="AB679" s="7">
        <v>670</v>
      </c>
      <c r="AC679" s="109">
        <v>3217.2941642447399</v>
      </c>
      <c r="AD679" s="109">
        <v>31102392.268649768</v>
      </c>
      <c r="AE679" s="125"/>
      <c r="AF679" s="10"/>
      <c r="AI679" s="109"/>
      <c r="AJ679" s="109"/>
      <c r="AL679" s="10"/>
      <c r="AO679" s="109"/>
      <c r="AP679" s="109"/>
      <c r="AR679" s="10"/>
      <c r="AU679" s="109"/>
      <c r="AV679" s="109"/>
      <c r="AX679" s="10"/>
      <c r="BA679" s="109"/>
      <c r="BB679" s="109"/>
      <c r="BD679" s="10"/>
      <c r="BG679" s="109"/>
      <c r="BH679" s="109"/>
      <c r="BJ679" s="10"/>
      <c r="BM679" s="109"/>
      <c r="BN679" s="109"/>
      <c r="BP679" s="10"/>
      <c r="BS679" s="109"/>
      <c r="BT679" s="109"/>
      <c r="BV679" s="10"/>
      <c r="BY679" s="109"/>
      <c r="BZ679" s="109"/>
      <c r="CB679" s="10"/>
      <c r="CE679" s="109"/>
      <c r="CF679" s="109"/>
      <c r="CH679" s="10"/>
      <c r="CK679" s="109"/>
      <c r="CL679" s="109"/>
    </row>
    <row r="680" spans="1:90">
      <c r="A680" s="7" t="str">
        <f t="shared" si="101"/>
        <v>01350135</v>
      </c>
      <c r="B680" s="7" t="s">
        <v>2474</v>
      </c>
      <c r="C680" s="7" t="s">
        <v>2474</v>
      </c>
      <c r="D680" s="7">
        <v>671</v>
      </c>
      <c r="E680" s="7">
        <v>135</v>
      </c>
      <c r="F680" s="7" t="s">
        <v>1840</v>
      </c>
      <c r="G680" s="7">
        <v>135</v>
      </c>
      <c r="H680" s="7" t="s">
        <v>1401</v>
      </c>
      <c r="I680" s="37">
        <v>1464807.0700000003</v>
      </c>
      <c r="J680" s="122">
        <v>0.38752103679726502</v>
      </c>
      <c r="K680" s="123">
        <f>X680</f>
        <v>1612152.0989724461</v>
      </c>
      <c r="L680" s="122">
        <f>IF(K684&gt;0, K680/K684, 0)</f>
        <v>0.42027709447124167</v>
      </c>
      <c r="M680" s="71"/>
      <c r="N680" s="10">
        <f>ROUND(M684*L680,0)</f>
        <v>930261</v>
      </c>
      <c r="O680" s="70">
        <v>854286</v>
      </c>
      <c r="P680" s="10">
        <f>N680-O680</f>
        <v>75975</v>
      </c>
      <c r="Q680" s="46">
        <f t="shared" si="109"/>
        <v>8.8933916744509443</v>
      </c>
      <c r="R680" s="10">
        <v>145</v>
      </c>
      <c r="S680" s="7">
        <f t="shared" si="102"/>
        <v>0</v>
      </c>
      <c r="T680" s="124">
        <f t="shared" si="103"/>
        <v>135</v>
      </c>
      <c r="U680" s="124">
        <f t="shared" si="104"/>
        <v>135</v>
      </c>
      <c r="V680" s="124">
        <f t="shared" si="105"/>
        <v>671</v>
      </c>
      <c r="W680" s="124">
        <f t="shared" si="106"/>
        <v>152</v>
      </c>
      <c r="X680" s="124">
        <f t="shared" si="107"/>
        <v>1612152.0989724461</v>
      </c>
      <c r="Y680" s="264">
        <f t="shared" si="108"/>
        <v>671</v>
      </c>
      <c r="Z680" s="10">
        <v>135</v>
      </c>
      <c r="AA680" s="7">
        <v>135</v>
      </c>
      <c r="AB680" s="7">
        <v>671</v>
      </c>
      <c r="AC680" s="109">
        <v>152</v>
      </c>
      <c r="AD680" s="109">
        <v>1612152.0989724461</v>
      </c>
      <c r="AE680" s="125"/>
      <c r="AF680" s="10"/>
      <c r="AI680" s="109"/>
      <c r="AJ680" s="109"/>
      <c r="AL680" s="10"/>
      <c r="AO680" s="109"/>
      <c r="AP680" s="109"/>
      <c r="AR680" s="10"/>
      <c r="AU680" s="109"/>
      <c r="AV680" s="109"/>
      <c r="AX680" s="10"/>
      <c r="BA680" s="109"/>
      <c r="BB680" s="109"/>
      <c r="BD680" s="10"/>
      <c r="BG680" s="109"/>
      <c r="BH680" s="109"/>
      <c r="BJ680" s="10"/>
      <c r="BM680" s="109"/>
      <c r="BN680" s="109"/>
      <c r="BP680" s="10"/>
      <c r="BS680" s="109"/>
      <c r="BT680" s="109"/>
      <c r="BV680" s="10"/>
      <c r="BY680" s="109"/>
      <c r="BZ680" s="109"/>
      <c r="CB680" s="10"/>
      <c r="CE680" s="109"/>
      <c r="CF680" s="109"/>
      <c r="CH680" s="10"/>
      <c r="CK680" s="109"/>
      <c r="CL680" s="109"/>
    </row>
    <row r="681" spans="1:90">
      <c r="A681" s="7" t="str">
        <f t="shared" si="101"/>
        <v>01350770</v>
      </c>
      <c r="B681" s="7" t="s">
        <v>2474</v>
      </c>
      <c r="C681" s="7" t="s">
        <v>2746</v>
      </c>
      <c r="D681" s="7">
        <v>672</v>
      </c>
      <c r="E681" s="7">
        <v>135</v>
      </c>
      <c r="F681" s="7" t="s">
        <v>1840</v>
      </c>
      <c r="G681" s="7">
        <v>770</v>
      </c>
      <c r="H681" s="7" t="s">
        <v>1673</v>
      </c>
      <c r="I681" s="37">
        <v>2315135</v>
      </c>
      <c r="J681" s="122">
        <v>0.61247896320273498</v>
      </c>
      <c r="K681" s="123">
        <f t="shared" si="110"/>
        <v>2223774.5317679807</v>
      </c>
      <c r="L681" s="122">
        <f>IF(K684&gt;0, K681/K684, 0)</f>
        <v>0.57972290552875838</v>
      </c>
      <c r="M681" s="71"/>
      <c r="N681" s="10">
        <f>ROUND(M684*L681,0)</f>
        <v>1283187</v>
      </c>
      <c r="O681" s="70">
        <v>1350204</v>
      </c>
      <c r="P681" s="10">
        <f>N681-O681</f>
        <v>-67017</v>
      </c>
      <c r="Q681" s="46">
        <f t="shared" si="109"/>
        <v>-4.9634721864251627</v>
      </c>
      <c r="R681" s="10">
        <v>203</v>
      </c>
      <c r="S681" s="7">
        <f t="shared" si="102"/>
        <v>0</v>
      </c>
      <c r="T681" s="124">
        <f t="shared" si="103"/>
        <v>135</v>
      </c>
      <c r="U681" s="124">
        <f t="shared" si="104"/>
        <v>770</v>
      </c>
      <c r="V681" s="124">
        <f t="shared" si="105"/>
        <v>672</v>
      </c>
      <c r="W681" s="124">
        <f t="shared" si="106"/>
        <v>193.00000000757001</v>
      </c>
      <c r="X681" s="124">
        <f t="shared" si="107"/>
        <v>2223774.5317679807</v>
      </c>
      <c r="Y681" s="264">
        <f t="shared" si="108"/>
        <v>672</v>
      </c>
      <c r="Z681" s="10">
        <v>135</v>
      </c>
      <c r="AA681" s="7">
        <v>770</v>
      </c>
      <c r="AB681" s="7">
        <v>672</v>
      </c>
      <c r="AC681" s="109">
        <v>193.00000000757001</v>
      </c>
      <c r="AD681" s="109">
        <v>2223774.5317679807</v>
      </c>
      <c r="AE681" s="125"/>
      <c r="AF681" s="10"/>
      <c r="AI681" s="109"/>
      <c r="AJ681" s="109"/>
      <c r="AL681" s="10"/>
      <c r="AO681" s="109"/>
      <c r="AP681" s="109"/>
      <c r="AR681" s="10"/>
      <c r="AU681" s="109"/>
      <c r="AV681" s="109"/>
      <c r="AX681" s="10"/>
      <c r="BA681" s="109"/>
      <c r="BB681" s="109"/>
      <c r="BD681" s="10"/>
      <c r="BG681" s="109"/>
      <c r="BH681" s="109"/>
      <c r="BJ681" s="10"/>
      <c r="BM681" s="109"/>
      <c r="BN681" s="109"/>
      <c r="BP681" s="10"/>
      <c r="BS681" s="109"/>
      <c r="BT681" s="109"/>
      <c r="BV681" s="10"/>
      <c r="BY681" s="109"/>
      <c r="BZ681" s="109"/>
      <c r="CB681" s="10"/>
      <c r="CE681" s="109"/>
      <c r="CF681" s="109"/>
      <c r="CH681" s="10"/>
      <c r="CK681" s="109"/>
      <c r="CL681" s="109"/>
    </row>
    <row r="682" spans="1:90">
      <c r="A682" s="7" t="str">
        <f t="shared" si="101"/>
        <v>01350998</v>
      </c>
      <c r="B682" s="7" t="s">
        <v>2474</v>
      </c>
      <c r="C682" s="7" t="s">
        <v>2781</v>
      </c>
      <c r="D682" s="7">
        <v>673</v>
      </c>
      <c r="E682" s="7">
        <v>135</v>
      </c>
      <c r="F682" s="7" t="s">
        <v>2135</v>
      </c>
      <c r="G682" s="7">
        <v>998</v>
      </c>
      <c r="H682" s="7" t="s">
        <v>2135</v>
      </c>
      <c r="I682" s="37">
        <v>0</v>
      </c>
      <c r="J682" s="122">
        <v>0</v>
      </c>
      <c r="K682" s="123">
        <f t="shared" si="110"/>
        <v>0</v>
      </c>
      <c r="L682" s="122">
        <f>IF(K684&gt;0, K682/K684, 0)</f>
        <v>0</v>
      </c>
      <c r="M682" s="71"/>
      <c r="N682" s="10">
        <f>ROUND(M684*L682,0)</f>
        <v>0</v>
      </c>
      <c r="O682" s="70">
        <v>0</v>
      </c>
      <c r="P682" s="10">
        <f>N682-O682</f>
        <v>0</v>
      </c>
      <c r="Q682" s="46">
        <f t="shared" si="109"/>
        <v>0</v>
      </c>
      <c r="R682" s="10">
        <v>0</v>
      </c>
      <c r="S682" s="7">
        <f t="shared" si="102"/>
        <v>0</v>
      </c>
      <c r="T682" s="124">
        <f t="shared" si="103"/>
        <v>135</v>
      </c>
      <c r="U682" s="124">
        <f t="shared" si="104"/>
        <v>998</v>
      </c>
      <c r="V682" s="124">
        <f t="shared" si="105"/>
        <v>673</v>
      </c>
      <c r="W682" s="124">
        <f t="shared" si="106"/>
        <v>0</v>
      </c>
      <c r="X682" s="124">
        <f t="shared" si="107"/>
        <v>0</v>
      </c>
      <c r="Y682" s="264">
        <f t="shared" si="108"/>
        <v>673</v>
      </c>
      <c r="Z682" s="10">
        <v>135</v>
      </c>
      <c r="AA682" s="7">
        <v>998</v>
      </c>
      <c r="AB682" s="7">
        <v>673</v>
      </c>
      <c r="AC682" s="109">
        <v>0</v>
      </c>
      <c r="AD682" s="109">
        <v>0</v>
      </c>
      <c r="AE682" s="125"/>
      <c r="AF682" s="10"/>
      <c r="AI682" s="109"/>
      <c r="AJ682" s="109"/>
      <c r="AL682" s="10"/>
      <c r="AO682" s="109"/>
      <c r="AP682" s="109"/>
      <c r="AR682" s="10"/>
      <c r="AU682" s="109"/>
      <c r="AV682" s="109"/>
      <c r="AX682" s="10"/>
      <c r="BA682" s="109"/>
      <c r="BB682" s="109"/>
      <c r="BD682" s="10"/>
      <c r="BG682" s="109"/>
      <c r="BH682" s="109"/>
      <c r="BJ682" s="10"/>
      <c r="BM682" s="109"/>
      <c r="BN682" s="109"/>
      <c r="BP682" s="10"/>
      <c r="BS682" s="109"/>
      <c r="BT682" s="109"/>
      <c r="BV682" s="10"/>
      <c r="BY682" s="109"/>
      <c r="BZ682" s="109"/>
      <c r="CB682" s="10"/>
      <c r="CE682" s="109"/>
      <c r="CF682" s="109"/>
      <c r="CH682" s="10"/>
      <c r="CK682" s="109"/>
      <c r="CL682" s="109"/>
    </row>
    <row r="683" spans="1:90">
      <c r="A683" s="7" t="str">
        <f t="shared" si="101"/>
        <v>01350998</v>
      </c>
      <c r="B683" s="7" t="s">
        <v>2474</v>
      </c>
      <c r="C683" s="7" t="s">
        <v>2781</v>
      </c>
      <c r="D683" s="7">
        <v>674</v>
      </c>
      <c r="E683" s="7">
        <v>135</v>
      </c>
      <c r="F683" s="7" t="s">
        <v>2135</v>
      </c>
      <c r="G683" s="7">
        <v>998</v>
      </c>
      <c r="H683" s="7" t="s">
        <v>2135</v>
      </c>
      <c r="I683" s="37">
        <v>0</v>
      </c>
      <c r="J683" s="122">
        <v>0</v>
      </c>
      <c r="K683" s="123">
        <f t="shared" si="110"/>
        <v>0</v>
      </c>
      <c r="L683" s="122">
        <f>IF(K684&gt;0, K683/K684, 0)</f>
        <v>0</v>
      </c>
      <c r="M683" s="71"/>
      <c r="N683" s="10">
        <f>ROUND(M684*L683,0)</f>
        <v>0</v>
      </c>
      <c r="O683" s="70">
        <v>0</v>
      </c>
      <c r="P683" s="10">
        <f>N683-O683</f>
        <v>0</v>
      </c>
      <c r="Q683" s="46">
        <f t="shared" si="109"/>
        <v>0</v>
      </c>
      <c r="R683" s="10">
        <v>0</v>
      </c>
      <c r="S683" s="7">
        <f t="shared" si="102"/>
        <v>0</v>
      </c>
      <c r="T683" s="124">
        <f t="shared" si="103"/>
        <v>135</v>
      </c>
      <c r="U683" s="124">
        <f t="shared" si="104"/>
        <v>998</v>
      </c>
      <c r="V683" s="124">
        <f t="shared" si="105"/>
        <v>674</v>
      </c>
      <c r="W683" s="124">
        <f t="shared" si="106"/>
        <v>0</v>
      </c>
      <c r="X683" s="124">
        <f t="shared" si="107"/>
        <v>0</v>
      </c>
      <c r="Y683" s="264">
        <f t="shared" si="108"/>
        <v>674</v>
      </c>
      <c r="Z683" s="10">
        <v>135</v>
      </c>
      <c r="AA683" s="7">
        <v>998</v>
      </c>
      <c r="AB683" s="7">
        <v>674</v>
      </c>
      <c r="AC683" s="109">
        <v>0</v>
      </c>
      <c r="AD683" s="109">
        <v>0</v>
      </c>
      <c r="AE683" s="125"/>
      <c r="AF683" s="10"/>
      <c r="AI683" s="109"/>
      <c r="AJ683" s="109"/>
      <c r="AL683" s="10"/>
      <c r="AO683" s="109"/>
      <c r="AP683" s="109"/>
      <c r="AR683" s="10"/>
      <c r="AU683" s="109"/>
      <c r="AV683" s="109"/>
      <c r="AX683" s="10"/>
      <c r="BA683" s="109"/>
      <c r="BB683" s="109"/>
      <c r="BD683" s="10"/>
      <c r="BG683" s="109"/>
      <c r="BH683" s="109"/>
      <c r="BJ683" s="10"/>
      <c r="BM683" s="109"/>
      <c r="BN683" s="109"/>
      <c r="BP683" s="10"/>
      <c r="BS683" s="109"/>
      <c r="BT683" s="109"/>
      <c r="BV683" s="10"/>
      <c r="BY683" s="109"/>
      <c r="BZ683" s="109"/>
      <c r="CB683" s="10"/>
      <c r="CE683" s="109"/>
      <c r="CF683" s="109"/>
      <c r="CH683" s="10"/>
      <c r="CK683" s="109"/>
      <c r="CL683" s="109"/>
    </row>
    <row r="684" spans="1:90">
      <c r="A684" s="7" t="str">
        <f t="shared" si="101"/>
        <v>01350999</v>
      </c>
      <c r="B684" s="7" t="s">
        <v>2474</v>
      </c>
      <c r="C684" s="7" t="s">
        <v>2782</v>
      </c>
      <c r="D684" s="7">
        <v>675</v>
      </c>
      <c r="E684" s="11">
        <v>135</v>
      </c>
      <c r="F684" s="11" t="s">
        <v>1840</v>
      </c>
      <c r="G684" s="11">
        <v>999</v>
      </c>
      <c r="H684" s="11" t="s">
        <v>1132</v>
      </c>
      <c r="I684" s="105">
        <v>3779942.0700000003</v>
      </c>
      <c r="J684" s="126">
        <v>1</v>
      </c>
      <c r="K684" s="127">
        <f>SUM(K680:K683)</f>
        <v>3835926.6307404265</v>
      </c>
      <c r="L684" s="126">
        <f>SUM(L680:L683)</f>
        <v>1</v>
      </c>
      <c r="M684" s="105">
        <f>VLOOKUP(E684,town351,22)</f>
        <v>2213448</v>
      </c>
      <c r="N684" s="105">
        <f>SUM(N680:N683)</f>
        <v>2213448</v>
      </c>
      <c r="O684" s="128">
        <v>2204490</v>
      </c>
      <c r="P684" s="105">
        <f>SUM(P680:P683)</f>
        <v>8958</v>
      </c>
      <c r="Q684" s="45">
        <f t="shared" si="109"/>
        <v>0.40635248969149329</v>
      </c>
      <c r="R684" s="105">
        <v>348</v>
      </c>
      <c r="S684" s="7">
        <f t="shared" si="102"/>
        <v>0</v>
      </c>
      <c r="T684" s="124">
        <f t="shared" si="103"/>
        <v>135</v>
      </c>
      <c r="U684" s="124">
        <f t="shared" si="104"/>
        <v>999</v>
      </c>
      <c r="V684" s="124">
        <f t="shared" si="105"/>
        <v>675</v>
      </c>
      <c r="W684" s="124">
        <f t="shared" si="106"/>
        <v>345.00000000757001</v>
      </c>
      <c r="X684" s="124">
        <f t="shared" si="107"/>
        <v>3835926.6307404265</v>
      </c>
      <c r="Y684" s="264">
        <f t="shared" si="108"/>
        <v>675</v>
      </c>
      <c r="Z684" s="10">
        <v>135</v>
      </c>
      <c r="AA684" s="7">
        <v>999</v>
      </c>
      <c r="AB684" s="7">
        <v>675</v>
      </c>
      <c r="AC684" s="109">
        <v>345.00000000757001</v>
      </c>
      <c r="AD684" s="109">
        <v>3835926.6307404265</v>
      </c>
      <c r="AE684" s="125"/>
      <c r="AF684" s="10"/>
      <c r="AI684" s="109"/>
      <c r="AJ684" s="109"/>
      <c r="AL684" s="10"/>
      <c r="AO684" s="109"/>
      <c r="AP684" s="109"/>
      <c r="AR684" s="10"/>
      <c r="AU684" s="109"/>
      <c r="AV684" s="109"/>
      <c r="AX684" s="10"/>
      <c r="BA684" s="109"/>
      <c r="BB684" s="109"/>
      <c r="BD684" s="10"/>
      <c r="BG684" s="109"/>
      <c r="BH684" s="109"/>
      <c r="BJ684" s="10"/>
      <c r="BM684" s="109"/>
      <c r="BN684" s="109"/>
      <c r="BP684" s="10"/>
      <c r="BS684" s="109"/>
      <c r="BT684" s="109"/>
      <c r="BV684" s="10"/>
      <c r="BY684" s="109"/>
      <c r="BZ684" s="109"/>
      <c r="CB684" s="10"/>
      <c r="CE684" s="109"/>
      <c r="CF684" s="109"/>
      <c r="CH684" s="10"/>
      <c r="CK684" s="109"/>
      <c r="CL684" s="109"/>
    </row>
    <row r="685" spans="1:90">
      <c r="A685" s="7" t="str">
        <f t="shared" si="101"/>
        <v>01360136</v>
      </c>
      <c r="B685" s="7" t="s">
        <v>2475</v>
      </c>
      <c r="C685" s="7" t="s">
        <v>2475</v>
      </c>
      <c r="D685" s="7">
        <v>676</v>
      </c>
      <c r="E685" s="7">
        <v>136</v>
      </c>
      <c r="F685" s="7" t="s">
        <v>1841</v>
      </c>
      <c r="G685" s="7">
        <v>136</v>
      </c>
      <c r="H685" s="7" t="s">
        <v>1402</v>
      </c>
      <c r="I685" s="37">
        <v>24902897.913260002</v>
      </c>
      <c r="J685" s="122">
        <v>0.97230001443042746</v>
      </c>
      <c r="K685" s="123">
        <f>X685</f>
        <v>25340457.438654266</v>
      </c>
      <c r="L685" s="122">
        <f>IF(K689&gt;0, K685/K689, 0)</f>
        <v>0.96880672236888254</v>
      </c>
      <c r="M685" s="71"/>
      <c r="N685" s="10">
        <f>ROUND(M689*L685,0)</f>
        <v>18649605</v>
      </c>
      <c r="O685" s="70">
        <v>17988443</v>
      </c>
      <c r="P685" s="10">
        <f>N685-O685</f>
        <v>661162</v>
      </c>
      <c r="Q685" s="46">
        <f t="shared" si="109"/>
        <v>3.6754820859148287</v>
      </c>
      <c r="R685" s="10">
        <v>2614</v>
      </c>
      <c r="S685" s="7">
        <f t="shared" si="102"/>
        <v>0</v>
      </c>
      <c r="T685" s="124">
        <f t="shared" si="103"/>
        <v>136</v>
      </c>
      <c r="U685" s="124">
        <f t="shared" si="104"/>
        <v>136</v>
      </c>
      <c r="V685" s="124">
        <f t="shared" si="105"/>
        <v>676</v>
      </c>
      <c r="W685" s="124">
        <f t="shared" si="106"/>
        <v>2612</v>
      </c>
      <c r="X685" s="124">
        <f t="shared" si="107"/>
        <v>25340457.438654266</v>
      </c>
      <c r="Y685" s="264">
        <f t="shared" si="108"/>
        <v>676</v>
      </c>
      <c r="Z685" s="10">
        <v>136</v>
      </c>
      <c r="AA685" s="7">
        <v>136</v>
      </c>
      <c r="AB685" s="7">
        <v>676</v>
      </c>
      <c r="AC685" s="109">
        <v>2612</v>
      </c>
      <c r="AD685" s="109">
        <v>25340457.438654266</v>
      </c>
      <c r="AE685" s="125"/>
      <c r="AF685" s="10"/>
      <c r="AI685" s="109"/>
      <c r="AJ685" s="109"/>
      <c r="AL685" s="10"/>
      <c r="AO685" s="109"/>
      <c r="AP685" s="109"/>
      <c r="AR685" s="10"/>
      <c r="AU685" s="109"/>
      <c r="AV685" s="109"/>
      <c r="AX685" s="10"/>
      <c r="BA685" s="109"/>
      <c r="BB685" s="109"/>
      <c r="BD685" s="10"/>
      <c r="BG685" s="109"/>
      <c r="BH685" s="109"/>
      <c r="BJ685" s="10"/>
      <c r="BM685" s="109"/>
      <c r="BN685" s="109"/>
      <c r="BP685" s="10"/>
      <c r="BS685" s="109"/>
      <c r="BT685" s="109"/>
      <c r="BV685" s="10"/>
      <c r="BY685" s="109"/>
      <c r="BZ685" s="109"/>
      <c r="CB685" s="10"/>
      <c r="CE685" s="109"/>
      <c r="CF685" s="109"/>
      <c r="CH685" s="10"/>
      <c r="CK685" s="109"/>
      <c r="CL685" s="109"/>
    </row>
    <row r="686" spans="1:90">
      <c r="A686" s="7" t="str">
        <f t="shared" si="101"/>
        <v>01360829</v>
      </c>
      <c r="B686" s="7" t="s">
        <v>2475</v>
      </c>
      <c r="C686" s="7" t="s">
        <v>2763</v>
      </c>
      <c r="D686" s="7">
        <v>677</v>
      </c>
      <c r="E686" s="7">
        <v>136</v>
      </c>
      <c r="F686" s="7" t="s">
        <v>1841</v>
      </c>
      <c r="G686" s="7">
        <v>829</v>
      </c>
      <c r="H686" s="7" t="s">
        <v>1690</v>
      </c>
      <c r="I686" s="37">
        <v>709462</v>
      </c>
      <c r="J686" s="122">
        <v>2.7699985569572531E-2</v>
      </c>
      <c r="K686" s="123">
        <f t="shared" si="110"/>
        <v>815902.60052147391</v>
      </c>
      <c r="L686" s="122">
        <f>IF(K689&gt;0, K686/K689, 0)</f>
        <v>3.1193277631117407E-2</v>
      </c>
      <c r="M686" s="71"/>
      <c r="N686" s="10">
        <f>ROUND(M689*L686,0)</f>
        <v>600473</v>
      </c>
      <c r="O686" s="70">
        <v>512475</v>
      </c>
      <c r="P686" s="10">
        <f>N686-O686</f>
        <v>87998</v>
      </c>
      <c r="Q686" s="46">
        <f t="shared" si="109"/>
        <v>17.171179081906434</v>
      </c>
      <c r="R686" s="10">
        <v>42</v>
      </c>
      <c r="S686" s="7">
        <f t="shared" si="102"/>
        <v>0</v>
      </c>
      <c r="T686" s="124">
        <f t="shared" si="103"/>
        <v>136</v>
      </c>
      <c r="U686" s="124">
        <f t="shared" si="104"/>
        <v>829</v>
      </c>
      <c r="V686" s="124">
        <f t="shared" si="105"/>
        <v>677</v>
      </c>
      <c r="W686" s="124">
        <f t="shared" si="106"/>
        <v>48.000000003399997</v>
      </c>
      <c r="X686" s="124">
        <f t="shared" si="107"/>
        <v>815902.60052147391</v>
      </c>
      <c r="Y686" s="264">
        <f t="shared" si="108"/>
        <v>677</v>
      </c>
      <c r="Z686" s="10">
        <v>136</v>
      </c>
      <c r="AA686" s="7">
        <v>829</v>
      </c>
      <c r="AB686" s="7">
        <v>677</v>
      </c>
      <c r="AC686" s="109">
        <v>48.000000003399997</v>
      </c>
      <c r="AD686" s="109">
        <v>815902.60052147391</v>
      </c>
      <c r="AE686" s="125"/>
      <c r="AF686" s="10"/>
      <c r="AI686" s="109"/>
      <c r="AJ686" s="109"/>
      <c r="AL686" s="10"/>
      <c r="AO686" s="109"/>
      <c r="AP686" s="109"/>
      <c r="AR686" s="10"/>
      <c r="AU686" s="109"/>
      <c r="AV686" s="109"/>
      <c r="AX686" s="10"/>
      <c r="BA686" s="109"/>
      <c r="BB686" s="109"/>
      <c r="BD686" s="10"/>
      <c r="BG686" s="109"/>
      <c r="BH686" s="109"/>
      <c r="BJ686" s="10"/>
      <c r="BM686" s="109"/>
      <c r="BN686" s="109"/>
      <c r="BP686" s="10"/>
      <c r="BS686" s="109"/>
      <c r="BT686" s="109"/>
      <c r="BV686" s="10"/>
      <c r="BY686" s="109"/>
      <c r="BZ686" s="109"/>
      <c r="CB686" s="10"/>
      <c r="CE686" s="109"/>
      <c r="CF686" s="109"/>
      <c r="CH686" s="10"/>
      <c r="CK686" s="109"/>
      <c r="CL686" s="109"/>
    </row>
    <row r="687" spans="1:90">
      <c r="A687" s="7" t="str">
        <f t="shared" si="101"/>
        <v>01360998</v>
      </c>
      <c r="B687" s="7" t="s">
        <v>2475</v>
      </c>
      <c r="C687" s="7" t="s">
        <v>2781</v>
      </c>
      <c r="D687" s="7">
        <v>678</v>
      </c>
      <c r="E687" s="7">
        <v>136</v>
      </c>
      <c r="F687" s="7" t="s">
        <v>2135</v>
      </c>
      <c r="G687" s="7">
        <v>998</v>
      </c>
      <c r="H687" s="7" t="s">
        <v>2135</v>
      </c>
      <c r="I687" s="37">
        <v>0</v>
      </c>
      <c r="J687" s="122">
        <v>0</v>
      </c>
      <c r="K687" s="123">
        <f t="shared" si="110"/>
        <v>0</v>
      </c>
      <c r="L687" s="122">
        <f>IF(K689&gt;0, K687/K689, 0)</f>
        <v>0</v>
      </c>
      <c r="M687" s="71"/>
      <c r="N687" s="10">
        <f>ROUND(M689*L687,0)</f>
        <v>0</v>
      </c>
      <c r="O687" s="70">
        <v>0</v>
      </c>
      <c r="P687" s="10">
        <f>N687-O687</f>
        <v>0</v>
      </c>
      <c r="Q687" s="46">
        <f t="shared" si="109"/>
        <v>0</v>
      </c>
      <c r="R687" s="10">
        <v>0</v>
      </c>
      <c r="S687" s="7">
        <f t="shared" si="102"/>
        <v>0</v>
      </c>
      <c r="T687" s="124">
        <f t="shared" si="103"/>
        <v>136</v>
      </c>
      <c r="U687" s="124">
        <f t="shared" si="104"/>
        <v>998</v>
      </c>
      <c r="V687" s="124">
        <f t="shared" si="105"/>
        <v>678</v>
      </c>
      <c r="W687" s="124">
        <f t="shared" si="106"/>
        <v>0</v>
      </c>
      <c r="X687" s="124">
        <f t="shared" si="107"/>
        <v>0</v>
      </c>
      <c r="Y687" s="264">
        <f t="shared" si="108"/>
        <v>678</v>
      </c>
      <c r="Z687" s="10">
        <v>136</v>
      </c>
      <c r="AA687" s="7">
        <v>998</v>
      </c>
      <c r="AB687" s="7">
        <v>678</v>
      </c>
      <c r="AC687" s="109">
        <v>0</v>
      </c>
      <c r="AD687" s="109">
        <v>0</v>
      </c>
      <c r="AE687" s="125"/>
      <c r="AF687" s="10"/>
      <c r="AI687" s="109"/>
      <c r="AJ687" s="109"/>
      <c r="AL687" s="10"/>
      <c r="AO687" s="109"/>
      <c r="AP687" s="109"/>
      <c r="AR687" s="10"/>
      <c r="AU687" s="109"/>
      <c r="AV687" s="109"/>
      <c r="AX687" s="10"/>
      <c r="BA687" s="109"/>
      <c r="BB687" s="109"/>
      <c r="BD687" s="10"/>
      <c r="BG687" s="109"/>
      <c r="BH687" s="109"/>
      <c r="BJ687" s="10"/>
      <c r="BM687" s="109"/>
      <c r="BN687" s="109"/>
      <c r="BP687" s="10"/>
      <c r="BS687" s="109"/>
      <c r="BT687" s="109"/>
      <c r="BV687" s="10"/>
      <c r="BY687" s="109"/>
      <c r="BZ687" s="109"/>
      <c r="CB687" s="10"/>
      <c r="CE687" s="109"/>
      <c r="CF687" s="109"/>
      <c r="CH687" s="10"/>
      <c r="CK687" s="109"/>
      <c r="CL687" s="109"/>
    </row>
    <row r="688" spans="1:90">
      <c r="A688" s="7" t="str">
        <f t="shared" si="101"/>
        <v>01360998</v>
      </c>
      <c r="B688" s="7" t="s">
        <v>2475</v>
      </c>
      <c r="C688" s="7" t="s">
        <v>2781</v>
      </c>
      <c r="D688" s="7">
        <v>679</v>
      </c>
      <c r="E688" s="7">
        <v>136</v>
      </c>
      <c r="F688" s="7" t="s">
        <v>2135</v>
      </c>
      <c r="G688" s="7">
        <v>998</v>
      </c>
      <c r="H688" s="7" t="s">
        <v>2135</v>
      </c>
      <c r="I688" s="37">
        <v>0</v>
      </c>
      <c r="J688" s="122">
        <v>0</v>
      </c>
      <c r="K688" s="123">
        <f t="shared" si="110"/>
        <v>0</v>
      </c>
      <c r="L688" s="122">
        <f>IF(K689&gt;0, K688/K689, 0)</f>
        <v>0</v>
      </c>
      <c r="M688" s="71"/>
      <c r="N688" s="10">
        <f>ROUND(M689*L688,0)</f>
        <v>0</v>
      </c>
      <c r="O688" s="70">
        <v>0</v>
      </c>
      <c r="P688" s="10">
        <f>N688-O688</f>
        <v>0</v>
      </c>
      <c r="Q688" s="46">
        <f t="shared" si="109"/>
        <v>0</v>
      </c>
      <c r="R688" s="10">
        <v>0</v>
      </c>
      <c r="S688" s="7">
        <f t="shared" si="102"/>
        <v>0</v>
      </c>
      <c r="T688" s="124">
        <f t="shared" si="103"/>
        <v>136</v>
      </c>
      <c r="U688" s="124">
        <f t="shared" si="104"/>
        <v>998</v>
      </c>
      <c r="V688" s="124">
        <f t="shared" si="105"/>
        <v>679</v>
      </c>
      <c r="W688" s="124">
        <f t="shared" si="106"/>
        <v>0</v>
      </c>
      <c r="X688" s="124">
        <f t="shared" si="107"/>
        <v>0</v>
      </c>
      <c r="Y688" s="264">
        <f t="shared" si="108"/>
        <v>679</v>
      </c>
      <c r="Z688" s="10">
        <v>136</v>
      </c>
      <c r="AA688" s="7">
        <v>998</v>
      </c>
      <c r="AB688" s="7">
        <v>679</v>
      </c>
      <c r="AC688" s="109">
        <v>0</v>
      </c>
      <c r="AD688" s="109">
        <v>0</v>
      </c>
      <c r="AE688" s="125"/>
      <c r="AF688" s="10"/>
      <c r="AI688" s="109"/>
      <c r="AJ688" s="109"/>
      <c r="AL688" s="10"/>
      <c r="AO688" s="109"/>
      <c r="AP688" s="109"/>
      <c r="AR688" s="10"/>
      <c r="AU688" s="109"/>
      <c r="AV688" s="109"/>
      <c r="AX688" s="10"/>
      <c r="BA688" s="109"/>
      <c r="BB688" s="109"/>
      <c r="BD688" s="10"/>
      <c r="BG688" s="109"/>
      <c r="BH688" s="109"/>
      <c r="BJ688" s="10"/>
      <c r="BM688" s="109"/>
      <c r="BN688" s="109"/>
      <c r="BP688" s="10"/>
      <c r="BS688" s="109"/>
      <c r="BT688" s="109"/>
      <c r="BV688" s="10"/>
      <c r="BY688" s="109"/>
      <c r="BZ688" s="109"/>
      <c r="CB688" s="10"/>
      <c r="CE688" s="109"/>
      <c r="CF688" s="109"/>
      <c r="CH688" s="10"/>
      <c r="CK688" s="109"/>
      <c r="CL688" s="109"/>
    </row>
    <row r="689" spans="1:90">
      <c r="A689" s="7" t="str">
        <f t="shared" si="101"/>
        <v>01360999</v>
      </c>
      <c r="B689" s="7" t="s">
        <v>2475</v>
      </c>
      <c r="C689" s="7" t="s">
        <v>2782</v>
      </c>
      <c r="D689" s="7">
        <v>680</v>
      </c>
      <c r="E689" s="11">
        <v>136</v>
      </c>
      <c r="F689" s="11" t="s">
        <v>1841</v>
      </c>
      <c r="G689" s="11">
        <v>999</v>
      </c>
      <c r="H689" s="11" t="s">
        <v>1132</v>
      </c>
      <c r="I689" s="105">
        <v>25612359.913260002</v>
      </c>
      <c r="J689" s="126">
        <v>1</v>
      </c>
      <c r="K689" s="127">
        <f>SUM(K685:K688)</f>
        <v>26156360.039175741</v>
      </c>
      <c r="L689" s="126">
        <f>SUM(L685:L688)</f>
        <v>1</v>
      </c>
      <c r="M689" s="105">
        <f>VLOOKUP(E689,town351,22)</f>
        <v>19250078</v>
      </c>
      <c r="N689" s="105">
        <f>SUM(N685:N688)</f>
        <v>19250078</v>
      </c>
      <c r="O689" s="128">
        <v>18500918</v>
      </c>
      <c r="P689" s="105">
        <f>SUM(P685:P688)</f>
        <v>749160</v>
      </c>
      <c r="Q689" s="45">
        <f t="shared" si="109"/>
        <v>4.0493125800568386</v>
      </c>
      <c r="R689" s="105">
        <v>2656</v>
      </c>
      <c r="S689" s="7">
        <f t="shared" si="102"/>
        <v>0</v>
      </c>
      <c r="T689" s="124">
        <f t="shared" si="103"/>
        <v>136</v>
      </c>
      <c r="U689" s="124">
        <f t="shared" si="104"/>
        <v>999</v>
      </c>
      <c r="V689" s="124">
        <f t="shared" si="105"/>
        <v>680</v>
      </c>
      <c r="W689" s="124">
        <f t="shared" si="106"/>
        <v>2660.0000000034001</v>
      </c>
      <c r="X689" s="124">
        <f t="shared" si="107"/>
        <v>26156360.039175741</v>
      </c>
      <c r="Y689" s="264">
        <f t="shared" si="108"/>
        <v>680</v>
      </c>
      <c r="Z689" s="10">
        <v>136</v>
      </c>
      <c r="AA689" s="7">
        <v>999</v>
      </c>
      <c r="AB689" s="7">
        <v>680</v>
      </c>
      <c r="AC689" s="109">
        <v>2660.0000000034001</v>
      </c>
      <c r="AD689" s="109">
        <v>26156360.039175741</v>
      </c>
      <c r="AE689" s="125"/>
      <c r="AF689" s="10"/>
      <c r="AI689" s="109"/>
      <c r="AJ689" s="109"/>
      <c r="AL689" s="10"/>
      <c r="AO689" s="109"/>
      <c r="AP689" s="109"/>
      <c r="AR689" s="10"/>
      <c r="AU689" s="109"/>
      <c r="AV689" s="109"/>
      <c r="AX689" s="10"/>
      <c r="BA689" s="109"/>
      <c r="BB689" s="109"/>
      <c r="BD689" s="10"/>
      <c r="BG689" s="109"/>
      <c r="BH689" s="109"/>
      <c r="BJ689" s="10"/>
      <c r="BM689" s="109"/>
      <c r="BN689" s="109"/>
      <c r="BP689" s="10"/>
      <c r="BS689" s="109"/>
      <c r="BT689" s="109"/>
      <c r="BV689" s="10"/>
      <c r="BY689" s="109"/>
      <c r="BZ689" s="109"/>
      <c r="CB689" s="10"/>
      <c r="CE689" s="109"/>
      <c r="CF689" s="109"/>
      <c r="CH689" s="10"/>
      <c r="CK689" s="109"/>
      <c r="CL689" s="109"/>
    </row>
    <row r="690" spans="1:90">
      <c r="A690" s="7" t="str">
        <f t="shared" si="101"/>
        <v>01370137</v>
      </c>
      <c r="B690" s="7" t="s">
        <v>2476</v>
      </c>
      <c r="C690" s="7" t="s">
        <v>2476</v>
      </c>
      <c r="D690" s="7">
        <v>681</v>
      </c>
      <c r="E690" s="7">
        <v>137</v>
      </c>
      <c r="F690" s="7" t="s">
        <v>1842</v>
      </c>
      <c r="G690" s="7">
        <v>137</v>
      </c>
      <c r="H690" s="7" t="s">
        <v>1403</v>
      </c>
      <c r="I690" s="37">
        <v>80344375.670000002</v>
      </c>
      <c r="J690" s="122">
        <v>1</v>
      </c>
      <c r="K690" s="123">
        <f>X690</f>
        <v>81981180.868534818</v>
      </c>
      <c r="L690" s="122">
        <f>IF(K694&gt;0, K690/K694, 0)</f>
        <v>1</v>
      </c>
      <c r="M690" s="71"/>
      <c r="N690" s="10">
        <f>ROUND(M694*L690,0)</f>
        <v>10580654</v>
      </c>
      <c r="O690" s="70">
        <v>10380314</v>
      </c>
      <c r="P690" s="10">
        <f>N690-O690</f>
        <v>200340</v>
      </c>
      <c r="Q690" s="46">
        <f t="shared" si="109"/>
        <v>1.9299994200560793</v>
      </c>
      <c r="R690" s="10">
        <v>6479</v>
      </c>
      <c r="S690" s="7">
        <f t="shared" si="102"/>
        <v>0</v>
      </c>
      <c r="T690" s="124">
        <f t="shared" si="103"/>
        <v>137</v>
      </c>
      <c r="U690" s="124">
        <f t="shared" si="104"/>
        <v>137</v>
      </c>
      <c r="V690" s="124">
        <f t="shared" si="105"/>
        <v>681</v>
      </c>
      <c r="W690" s="124">
        <f t="shared" si="106"/>
        <v>6463</v>
      </c>
      <c r="X690" s="124">
        <f t="shared" si="107"/>
        <v>81981180.868534818</v>
      </c>
      <c r="Y690" s="264">
        <f t="shared" si="108"/>
        <v>681</v>
      </c>
      <c r="Z690" s="10">
        <v>137</v>
      </c>
      <c r="AA690" s="7">
        <v>137</v>
      </c>
      <c r="AB690" s="7">
        <v>681</v>
      </c>
      <c r="AC690" s="109">
        <v>6463</v>
      </c>
      <c r="AD690" s="109">
        <v>81981180.868534818</v>
      </c>
      <c r="AE690" s="125"/>
      <c r="AF690" s="10"/>
      <c r="AI690" s="109"/>
      <c r="AJ690" s="109"/>
      <c r="AL690" s="10"/>
      <c r="AO690" s="109"/>
      <c r="AP690" s="109"/>
      <c r="AR690" s="10"/>
      <c r="AU690" s="109"/>
      <c r="AV690" s="109"/>
      <c r="AX690" s="10"/>
      <c r="BA690" s="109"/>
      <c r="BB690" s="109"/>
      <c r="BD690" s="10"/>
      <c r="BG690" s="109"/>
      <c r="BH690" s="109"/>
      <c r="BJ690" s="10"/>
      <c r="BM690" s="109"/>
      <c r="BN690" s="109"/>
      <c r="BP690" s="10"/>
      <c r="BS690" s="109"/>
      <c r="BT690" s="109"/>
      <c r="BV690" s="10"/>
      <c r="BY690" s="109"/>
      <c r="BZ690" s="109"/>
      <c r="CB690" s="10"/>
      <c r="CE690" s="109"/>
      <c r="CF690" s="109"/>
      <c r="CH690" s="10"/>
      <c r="CK690" s="109"/>
      <c r="CL690" s="109"/>
    </row>
    <row r="691" spans="1:90">
      <c r="A691" s="7" t="str">
        <f t="shared" si="101"/>
        <v>01370998</v>
      </c>
      <c r="B691" s="7" t="s">
        <v>2476</v>
      </c>
      <c r="C691" s="7" t="s">
        <v>2781</v>
      </c>
      <c r="D691" s="7">
        <v>682</v>
      </c>
      <c r="E691" s="7">
        <v>137</v>
      </c>
      <c r="F691" s="7" t="s">
        <v>2135</v>
      </c>
      <c r="G691" s="7">
        <v>998</v>
      </c>
      <c r="H691" s="7" t="s">
        <v>2135</v>
      </c>
      <c r="I691" s="37">
        <v>0</v>
      </c>
      <c r="J691" s="122">
        <v>0</v>
      </c>
      <c r="K691" s="123">
        <f t="shared" si="110"/>
        <v>0</v>
      </c>
      <c r="L691" s="122">
        <f>IF(K694&gt;0, K691/K694, 0)</f>
        <v>0</v>
      </c>
      <c r="M691" s="71"/>
      <c r="N691" s="10">
        <f>ROUND(M694*L691,0)</f>
        <v>0</v>
      </c>
      <c r="O691" s="70">
        <v>0</v>
      </c>
      <c r="P691" s="10">
        <f>N691-O691</f>
        <v>0</v>
      </c>
      <c r="Q691" s="46">
        <f t="shared" si="109"/>
        <v>0</v>
      </c>
      <c r="R691" s="10">
        <v>0</v>
      </c>
      <c r="S691" s="7">
        <f t="shared" si="102"/>
        <v>0</v>
      </c>
      <c r="T691" s="124">
        <f t="shared" si="103"/>
        <v>137</v>
      </c>
      <c r="U691" s="124">
        <f t="shared" si="104"/>
        <v>998</v>
      </c>
      <c r="V691" s="124">
        <f t="shared" si="105"/>
        <v>682</v>
      </c>
      <c r="W691" s="124">
        <f t="shared" si="106"/>
        <v>0</v>
      </c>
      <c r="X691" s="124">
        <f t="shared" si="107"/>
        <v>0</v>
      </c>
      <c r="Y691" s="264">
        <f t="shared" si="108"/>
        <v>682</v>
      </c>
      <c r="Z691" s="10">
        <v>137</v>
      </c>
      <c r="AA691" s="7">
        <v>998</v>
      </c>
      <c r="AB691" s="7">
        <v>682</v>
      </c>
      <c r="AC691" s="109">
        <v>0</v>
      </c>
      <c r="AD691" s="109">
        <v>0</v>
      </c>
      <c r="AE691" s="125"/>
      <c r="AF691" s="10"/>
      <c r="AI691" s="109"/>
      <c r="AJ691" s="109"/>
      <c r="AL691" s="10"/>
      <c r="AO691" s="109"/>
      <c r="AP691" s="109"/>
      <c r="AR691" s="10"/>
      <c r="AU691" s="109"/>
      <c r="AV691" s="109"/>
      <c r="AX691" s="10"/>
      <c r="BA691" s="109"/>
      <c r="BB691" s="109"/>
      <c r="BD691" s="10"/>
      <c r="BG691" s="109"/>
      <c r="BH691" s="109"/>
      <c r="BJ691" s="10"/>
      <c r="BM691" s="109"/>
      <c r="BN691" s="109"/>
      <c r="BP691" s="10"/>
      <c r="BS691" s="109"/>
      <c r="BT691" s="109"/>
      <c r="BV691" s="10"/>
      <c r="BY691" s="109"/>
      <c r="BZ691" s="109"/>
      <c r="CB691" s="10"/>
      <c r="CE691" s="109"/>
      <c r="CF691" s="109"/>
      <c r="CH691" s="10"/>
      <c r="CK691" s="109"/>
      <c r="CL691" s="109"/>
    </row>
    <row r="692" spans="1:90">
      <c r="A692" s="7" t="str">
        <f t="shared" si="101"/>
        <v>01370998</v>
      </c>
      <c r="B692" s="7" t="s">
        <v>2476</v>
      </c>
      <c r="C692" s="7" t="s">
        <v>2781</v>
      </c>
      <c r="D692" s="7">
        <v>683</v>
      </c>
      <c r="E692" s="7">
        <v>137</v>
      </c>
      <c r="F692" s="7" t="s">
        <v>2135</v>
      </c>
      <c r="G692" s="7">
        <v>998</v>
      </c>
      <c r="H692" s="7" t="s">
        <v>2135</v>
      </c>
      <c r="I692" s="37">
        <v>0</v>
      </c>
      <c r="J692" s="122">
        <v>0</v>
      </c>
      <c r="K692" s="123">
        <f t="shared" si="110"/>
        <v>0</v>
      </c>
      <c r="L692" s="122">
        <f>IF(K694&gt;0, K692/K694, 0)</f>
        <v>0</v>
      </c>
      <c r="M692" s="71"/>
      <c r="N692" s="10">
        <f>ROUND(M694*L692,0)</f>
        <v>0</v>
      </c>
      <c r="O692" s="70">
        <v>0</v>
      </c>
      <c r="P692" s="10">
        <f>N692-O692</f>
        <v>0</v>
      </c>
      <c r="Q692" s="46">
        <f t="shared" si="109"/>
        <v>0</v>
      </c>
      <c r="R692" s="10">
        <v>0</v>
      </c>
      <c r="S692" s="7">
        <f t="shared" si="102"/>
        <v>0</v>
      </c>
      <c r="T692" s="124">
        <f t="shared" si="103"/>
        <v>137</v>
      </c>
      <c r="U692" s="124">
        <f t="shared" si="104"/>
        <v>998</v>
      </c>
      <c r="V692" s="124">
        <f t="shared" si="105"/>
        <v>683</v>
      </c>
      <c r="W692" s="124">
        <f t="shared" si="106"/>
        <v>0</v>
      </c>
      <c r="X692" s="124">
        <f t="shared" si="107"/>
        <v>0</v>
      </c>
      <c r="Y692" s="264">
        <f t="shared" si="108"/>
        <v>683</v>
      </c>
      <c r="Z692" s="10">
        <v>137</v>
      </c>
      <c r="AA692" s="7">
        <v>998</v>
      </c>
      <c r="AB692" s="7">
        <v>683</v>
      </c>
      <c r="AC692" s="109">
        <v>0</v>
      </c>
      <c r="AD692" s="109">
        <v>0</v>
      </c>
      <c r="AE692" s="125"/>
      <c r="AF692" s="10"/>
      <c r="AI692" s="109"/>
      <c r="AJ692" s="109"/>
      <c r="AL692" s="10"/>
      <c r="AO692" s="109"/>
      <c r="AP692" s="109"/>
      <c r="AR692" s="10"/>
      <c r="AU692" s="109"/>
      <c r="AV692" s="109"/>
      <c r="AX692" s="10"/>
      <c r="BA692" s="109"/>
      <c r="BB692" s="109"/>
      <c r="BD692" s="10"/>
      <c r="BG692" s="109"/>
      <c r="BH692" s="109"/>
      <c r="BJ692" s="10"/>
      <c r="BM692" s="109"/>
      <c r="BN692" s="109"/>
      <c r="BP692" s="10"/>
      <c r="BS692" s="109"/>
      <c r="BT692" s="109"/>
      <c r="BV692" s="10"/>
      <c r="BY692" s="109"/>
      <c r="BZ692" s="109"/>
      <c r="CB692" s="10"/>
      <c r="CE692" s="109"/>
      <c r="CF692" s="109"/>
      <c r="CH692" s="10"/>
      <c r="CK692" s="109"/>
      <c r="CL692" s="109"/>
    </row>
    <row r="693" spans="1:90">
      <c r="A693" s="7" t="str">
        <f t="shared" si="101"/>
        <v>01370998</v>
      </c>
      <c r="B693" s="7" t="s">
        <v>2476</v>
      </c>
      <c r="C693" s="7" t="s">
        <v>2781</v>
      </c>
      <c r="D693" s="7">
        <v>684</v>
      </c>
      <c r="E693" s="7">
        <v>137</v>
      </c>
      <c r="F693" s="7" t="s">
        <v>2135</v>
      </c>
      <c r="G693" s="7">
        <v>998</v>
      </c>
      <c r="H693" s="7" t="s">
        <v>2135</v>
      </c>
      <c r="I693" s="37">
        <v>0</v>
      </c>
      <c r="J693" s="122">
        <v>0</v>
      </c>
      <c r="K693" s="123">
        <f t="shared" si="110"/>
        <v>0</v>
      </c>
      <c r="L693" s="122">
        <f>IF(K694&gt;0, K693/K694, 0)</f>
        <v>0</v>
      </c>
      <c r="M693" s="71"/>
      <c r="N693" s="10">
        <f>ROUND(M694*L693,0)</f>
        <v>0</v>
      </c>
      <c r="O693" s="70">
        <v>0</v>
      </c>
      <c r="P693" s="10">
        <f>N693-O693</f>
        <v>0</v>
      </c>
      <c r="Q693" s="46">
        <f t="shared" si="109"/>
        <v>0</v>
      </c>
      <c r="R693" s="10">
        <v>0</v>
      </c>
      <c r="S693" s="7">
        <f t="shared" si="102"/>
        <v>0</v>
      </c>
      <c r="T693" s="124">
        <f t="shared" si="103"/>
        <v>137</v>
      </c>
      <c r="U693" s="124">
        <f t="shared" si="104"/>
        <v>998</v>
      </c>
      <c r="V693" s="124">
        <f t="shared" si="105"/>
        <v>684</v>
      </c>
      <c r="W693" s="124">
        <f t="shared" si="106"/>
        <v>0</v>
      </c>
      <c r="X693" s="124">
        <f t="shared" si="107"/>
        <v>0</v>
      </c>
      <c r="Y693" s="264">
        <f t="shared" si="108"/>
        <v>684</v>
      </c>
      <c r="Z693" s="10">
        <v>137</v>
      </c>
      <c r="AA693" s="7">
        <v>998</v>
      </c>
      <c r="AB693" s="7">
        <v>684</v>
      </c>
      <c r="AC693" s="109">
        <v>0</v>
      </c>
      <c r="AD693" s="109">
        <v>0</v>
      </c>
      <c r="AE693" s="125"/>
      <c r="AF693" s="10"/>
      <c r="AI693" s="109"/>
      <c r="AJ693" s="109"/>
      <c r="AL693" s="10"/>
      <c r="AO693" s="109"/>
      <c r="AP693" s="109"/>
      <c r="AR693" s="10"/>
      <c r="AU693" s="109"/>
      <c r="AV693" s="109"/>
      <c r="AX693" s="10"/>
      <c r="BA693" s="109"/>
      <c r="BB693" s="109"/>
      <c r="BD693" s="10"/>
      <c r="BG693" s="109"/>
      <c r="BH693" s="109"/>
      <c r="BJ693" s="10"/>
      <c r="BM693" s="109"/>
      <c r="BN693" s="109"/>
      <c r="BP693" s="10"/>
      <c r="BS693" s="109"/>
      <c r="BT693" s="109"/>
      <c r="BV693" s="10"/>
      <c r="BY693" s="109"/>
      <c r="BZ693" s="109"/>
      <c r="CB693" s="10"/>
      <c r="CE693" s="109"/>
      <c r="CF693" s="109"/>
      <c r="CH693" s="10"/>
      <c r="CK693" s="109"/>
      <c r="CL693" s="109"/>
    </row>
    <row r="694" spans="1:90">
      <c r="A694" s="7" t="str">
        <f t="shared" si="101"/>
        <v>01370999</v>
      </c>
      <c r="B694" s="7" t="s">
        <v>2476</v>
      </c>
      <c r="C694" s="7" t="s">
        <v>2782</v>
      </c>
      <c r="D694" s="7">
        <v>685</v>
      </c>
      <c r="E694" s="11">
        <v>137</v>
      </c>
      <c r="F694" s="11" t="s">
        <v>1842</v>
      </c>
      <c r="G694" s="11">
        <v>999</v>
      </c>
      <c r="H694" s="11" t="s">
        <v>1132</v>
      </c>
      <c r="I694" s="105">
        <v>80344375.670000002</v>
      </c>
      <c r="J694" s="126">
        <v>1</v>
      </c>
      <c r="K694" s="127">
        <f>SUM(K690:K693)</f>
        <v>81981180.868534818</v>
      </c>
      <c r="L694" s="126">
        <f>SUM(L690:L693)</f>
        <v>1</v>
      </c>
      <c r="M694" s="105">
        <f>VLOOKUP(E694,town351,22)</f>
        <v>10580654</v>
      </c>
      <c r="N694" s="105">
        <f>SUM(N690:N693)</f>
        <v>10580654</v>
      </c>
      <c r="O694" s="128">
        <v>10380314</v>
      </c>
      <c r="P694" s="105">
        <f>SUM(P690:P693)</f>
        <v>200340</v>
      </c>
      <c r="Q694" s="45">
        <f t="shared" si="109"/>
        <v>1.9299994200560793</v>
      </c>
      <c r="R694" s="105">
        <v>6479</v>
      </c>
      <c r="S694" s="7">
        <f t="shared" si="102"/>
        <v>0</v>
      </c>
      <c r="T694" s="124">
        <f t="shared" si="103"/>
        <v>137</v>
      </c>
      <c r="U694" s="124">
        <f t="shared" si="104"/>
        <v>999</v>
      </c>
      <c r="V694" s="124">
        <f t="shared" si="105"/>
        <v>685</v>
      </c>
      <c r="W694" s="124">
        <f t="shared" si="106"/>
        <v>6463</v>
      </c>
      <c r="X694" s="124">
        <f t="shared" si="107"/>
        <v>81981180.868534818</v>
      </c>
      <c r="Y694" s="264">
        <f t="shared" si="108"/>
        <v>685</v>
      </c>
      <c r="Z694" s="10">
        <v>137</v>
      </c>
      <c r="AA694" s="7">
        <v>999</v>
      </c>
      <c r="AB694" s="7">
        <v>685</v>
      </c>
      <c r="AC694" s="109">
        <v>6463</v>
      </c>
      <c r="AD694" s="109">
        <v>81981180.868534818</v>
      </c>
      <c r="AE694" s="125"/>
      <c r="AF694" s="10"/>
      <c r="AI694" s="109"/>
      <c r="AJ694" s="109"/>
      <c r="AL694" s="10"/>
      <c r="AO694" s="109"/>
      <c r="AP694" s="109"/>
      <c r="AR694" s="10"/>
      <c r="AU694" s="109"/>
      <c r="AV694" s="109"/>
      <c r="AX694" s="10"/>
      <c r="BA694" s="109"/>
      <c r="BB694" s="109"/>
      <c r="BD694" s="10"/>
      <c r="BG694" s="109"/>
      <c r="BH694" s="109"/>
      <c r="BJ694" s="10"/>
      <c r="BM694" s="109"/>
      <c r="BN694" s="109"/>
      <c r="BP694" s="10"/>
      <c r="BS694" s="109"/>
      <c r="BT694" s="109"/>
      <c r="BV694" s="10"/>
      <c r="BY694" s="109"/>
      <c r="BZ694" s="109"/>
      <c r="CB694" s="10"/>
      <c r="CE694" s="109"/>
      <c r="CF694" s="109"/>
      <c r="CH694" s="10"/>
      <c r="CK694" s="109"/>
      <c r="CL694" s="109"/>
    </row>
    <row r="695" spans="1:90">
      <c r="A695" s="7" t="str">
        <f t="shared" si="101"/>
        <v>01380138</v>
      </c>
      <c r="B695" s="7" t="s">
        <v>2477</v>
      </c>
      <c r="C695" s="7" t="s">
        <v>2477</v>
      </c>
      <c r="D695" s="7">
        <v>686</v>
      </c>
      <c r="E695" s="7">
        <v>138</v>
      </c>
      <c r="F695" s="7" t="s">
        <v>1843</v>
      </c>
      <c r="G695" s="7">
        <v>138</v>
      </c>
      <c r="H695" s="7" t="s">
        <v>1404</v>
      </c>
      <c r="I695" s="37">
        <v>10041924.281359999</v>
      </c>
      <c r="J695" s="122">
        <v>0.96294078803587169</v>
      </c>
      <c r="K695" s="123">
        <f>X695</f>
        <v>9875547.1322113276</v>
      </c>
      <c r="L695" s="122">
        <f>IF(K699&gt;0, K695/K699, 0)</f>
        <v>0.94236393744141678</v>
      </c>
      <c r="M695" s="71"/>
      <c r="N695" s="10">
        <f>ROUND(M699*L695,0)</f>
        <v>5451538</v>
      </c>
      <c r="O695" s="70">
        <v>5468971</v>
      </c>
      <c r="P695" s="10">
        <f>N695-O695</f>
        <v>-17433</v>
      </c>
      <c r="Q695" s="46">
        <f t="shared" si="109"/>
        <v>-0.31876197551605229</v>
      </c>
      <c r="R695" s="10">
        <v>1041</v>
      </c>
      <c r="S695" s="7">
        <f t="shared" si="102"/>
        <v>0</v>
      </c>
      <c r="T695" s="124">
        <f t="shared" si="103"/>
        <v>138</v>
      </c>
      <c r="U695" s="124">
        <f t="shared" si="104"/>
        <v>138</v>
      </c>
      <c r="V695" s="124">
        <f t="shared" si="105"/>
        <v>686</v>
      </c>
      <c r="W695" s="124">
        <f t="shared" si="106"/>
        <v>1019</v>
      </c>
      <c r="X695" s="124">
        <f t="shared" si="107"/>
        <v>9875547.1322113276</v>
      </c>
      <c r="Y695" s="264">
        <f t="shared" si="108"/>
        <v>686</v>
      </c>
      <c r="Z695" s="10">
        <v>138</v>
      </c>
      <c r="AA695" s="7">
        <v>138</v>
      </c>
      <c r="AB695" s="7">
        <v>686</v>
      </c>
      <c r="AC695" s="109">
        <v>1019</v>
      </c>
      <c r="AD695" s="109">
        <v>9875547.1322113276</v>
      </c>
      <c r="AE695" s="125"/>
      <c r="AF695" s="10"/>
      <c r="AI695" s="109"/>
      <c r="AJ695" s="109"/>
      <c r="AL695" s="10"/>
      <c r="AO695" s="109"/>
      <c r="AP695" s="109"/>
      <c r="AR695" s="10"/>
      <c r="AU695" s="109"/>
      <c r="AV695" s="109"/>
      <c r="AX695" s="10"/>
      <c r="BA695" s="109"/>
      <c r="BB695" s="109"/>
      <c r="BD695" s="10"/>
      <c r="BG695" s="109"/>
      <c r="BH695" s="109"/>
      <c r="BJ695" s="10"/>
      <c r="BM695" s="109"/>
      <c r="BN695" s="109"/>
      <c r="BP695" s="10"/>
      <c r="BS695" s="109"/>
      <c r="BT695" s="109"/>
      <c r="BV695" s="10"/>
      <c r="BY695" s="109"/>
      <c r="BZ695" s="109"/>
      <c r="CB695" s="10"/>
      <c r="CE695" s="109"/>
      <c r="CF695" s="109"/>
      <c r="CH695" s="10"/>
      <c r="CK695" s="109"/>
      <c r="CL695" s="109"/>
    </row>
    <row r="696" spans="1:90">
      <c r="A696" s="7" t="str">
        <f t="shared" si="101"/>
        <v>01380805</v>
      </c>
      <c r="B696" s="7" t="s">
        <v>2477</v>
      </c>
      <c r="C696" s="7" t="s">
        <v>2753</v>
      </c>
      <c r="D696" s="7">
        <v>687</v>
      </c>
      <c r="E696" s="7">
        <v>138</v>
      </c>
      <c r="F696" s="7" t="s">
        <v>1843</v>
      </c>
      <c r="G696" s="7">
        <v>805</v>
      </c>
      <c r="H696" s="7" t="s">
        <v>1680</v>
      </c>
      <c r="I696" s="37">
        <v>386468</v>
      </c>
      <c r="J696" s="122">
        <v>3.7059211964128334E-2</v>
      </c>
      <c r="K696" s="123">
        <f t="shared" si="110"/>
        <v>603999.82395098091</v>
      </c>
      <c r="L696" s="122">
        <f>IF(K699&gt;0, K696/K699, 0)</f>
        <v>5.7636062558583188E-2</v>
      </c>
      <c r="M696" s="71"/>
      <c r="N696" s="10">
        <f>ROUND(M699*L696,0)</f>
        <v>333422</v>
      </c>
      <c r="O696" s="70">
        <v>210476</v>
      </c>
      <c r="P696" s="10">
        <f>N696-O696</f>
        <v>122946</v>
      </c>
      <c r="Q696" s="46">
        <f t="shared" si="109"/>
        <v>58.413310781276728</v>
      </c>
      <c r="R696" s="10">
        <v>26</v>
      </c>
      <c r="S696" s="7">
        <f t="shared" si="102"/>
        <v>0</v>
      </c>
      <c r="T696" s="124">
        <f t="shared" si="103"/>
        <v>138</v>
      </c>
      <c r="U696" s="124">
        <f t="shared" si="104"/>
        <v>805</v>
      </c>
      <c r="V696" s="124">
        <f t="shared" si="105"/>
        <v>687</v>
      </c>
      <c r="W696" s="124">
        <f t="shared" si="106"/>
        <v>39.999999998999996</v>
      </c>
      <c r="X696" s="124">
        <f t="shared" si="107"/>
        <v>603999.82395098091</v>
      </c>
      <c r="Y696" s="264">
        <f t="shared" si="108"/>
        <v>687</v>
      </c>
      <c r="Z696" s="10">
        <v>138</v>
      </c>
      <c r="AA696" s="7">
        <v>805</v>
      </c>
      <c r="AB696" s="7">
        <v>687</v>
      </c>
      <c r="AC696" s="109">
        <v>39.999999998999996</v>
      </c>
      <c r="AD696" s="109">
        <v>603999.82395098091</v>
      </c>
      <c r="AE696" s="125"/>
      <c r="AF696" s="10"/>
      <c r="AI696" s="109"/>
      <c r="AJ696" s="109"/>
      <c r="AL696" s="10"/>
      <c r="AO696" s="109"/>
      <c r="AP696" s="109"/>
      <c r="AR696" s="10"/>
      <c r="AU696" s="109"/>
      <c r="AV696" s="109"/>
      <c r="AX696" s="10"/>
      <c r="BA696" s="109"/>
      <c r="BB696" s="109"/>
      <c r="BD696" s="10"/>
      <c r="BG696" s="109"/>
      <c r="BH696" s="109"/>
      <c r="BJ696" s="10"/>
      <c r="BM696" s="109"/>
      <c r="BN696" s="109"/>
      <c r="BP696" s="10"/>
      <c r="BS696" s="109"/>
      <c r="BT696" s="109"/>
      <c r="BV696" s="10"/>
      <c r="BY696" s="109"/>
      <c r="BZ696" s="109"/>
      <c r="CB696" s="10"/>
      <c r="CE696" s="109"/>
      <c r="CF696" s="109"/>
      <c r="CH696" s="10"/>
      <c r="CK696" s="109"/>
      <c r="CL696" s="109"/>
    </row>
    <row r="697" spans="1:90">
      <c r="A697" s="7" t="str">
        <f t="shared" si="101"/>
        <v>01380998</v>
      </c>
      <c r="B697" s="7" t="s">
        <v>2477</v>
      </c>
      <c r="C697" s="7" t="s">
        <v>2781</v>
      </c>
      <c r="D697" s="7">
        <v>688</v>
      </c>
      <c r="E697" s="7">
        <v>138</v>
      </c>
      <c r="F697" s="7" t="s">
        <v>2135</v>
      </c>
      <c r="G697" s="7">
        <v>998</v>
      </c>
      <c r="H697" s="7" t="s">
        <v>2135</v>
      </c>
      <c r="I697" s="37">
        <v>0</v>
      </c>
      <c r="J697" s="122">
        <v>0</v>
      </c>
      <c r="K697" s="123">
        <f t="shared" si="110"/>
        <v>0</v>
      </c>
      <c r="L697" s="122">
        <f>IF(K699&gt;0, K697/K699, 0)</f>
        <v>0</v>
      </c>
      <c r="M697" s="71"/>
      <c r="N697" s="10">
        <f>ROUND(M699*L697,0)</f>
        <v>0</v>
      </c>
      <c r="O697" s="70">
        <v>0</v>
      </c>
      <c r="P697" s="10">
        <f>N697-O697</f>
        <v>0</v>
      </c>
      <c r="Q697" s="46">
        <f t="shared" si="109"/>
        <v>0</v>
      </c>
      <c r="R697" s="10">
        <v>0</v>
      </c>
      <c r="S697" s="7">
        <f t="shared" si="102"/>
        <v>0</v>
      </c>
      <c r="T697" s="124">
        <f t="shared" si="103"/>
        <v>138</v>
      </c>
      <c r="U697" s="124">
        <f t="shared" si="104"/>
        <v>998</v>
      </c>
      <c r="V697" s="124">
        <f t="shared" si="105"/>
        <v>688</v>
      </c>
      <c r="W697" s="124">
        <f t="shared" si="106"/>
        <v>0</v>
      </c>
      <c r="X697" s="124">
        <f t="shared" si="107"/>
        <v>0</v>
      </c>
      <c r="Y697" s="264">
        <f t="shared" si="108"/>
        <v>688</v>
      </c>
      <c r="Z697" s="10">
        <v>138</v>
      </c>
      <c r="AA697" s="7">
        <v>998</v>
      </c>
      <c r="AB697" s="7">
        <v>688</v>
      </c>
      <c r="AC697" s="109">
        <v>0</v>
      </c>
      <c r="AD697" s="109">
        <v>0</v>
      </c>
      <c r="AE697" s="125"/>
      <c r="AF697" s="10"/>
      <c r="AI697" s="109"/>
      <c r="AJ697" s="109"/>
      <c r="AL697" s="10"/>
      <c r="AO697" s="109"/>
      <c r="AP697" s="109"/>
      <c r="AR697" s="10"/>
      <c r="AU697" s="109"/>
      <c r="AV697" s="109"/>
      <c r="AX697" s="10"/>
      <c r="BA697" s="109"/>
      <c r="BB697" s="109"/>
      <c r="BD697" s="10"/>
      <c r="BG697" s="109"/>
      <c r="BH697" s="109"/>
      <c r="BJ697" s="10"/>
      <c r="BM697" s="109"/>
      <c r="BN697" s="109"/>
      <c r="BP697" s="10"/>
      <c r="BS697" s="109"/>
      <c r="BT697" s="109"/>
      <c r="BV697" s="10"/>
      <c r="BY697" s="109"/>
      <c r="BZ697" s="109"/>
      <c r="CB697" s="10"/>
      <c r="CE697" s="109"/>
      <c r="CF697" s="109"/>
      <c r="CH697" s="10"/>
      <c r="CK697" s="109"/>
      <c r="CL697" s="109"/>
    </row>
    <row r="698" spans="1:90">
      <c r="A698" s="7" t="str">
        <f t="shared" si="101"/>
        <v>01380998</v>
      </c>
      <c r="B698" s="7" t="s">
        <v>2477</v>
      </c>
      <c r="C698" s="7" t="s">
        <v>2781</v>
      </c>
      <c r="D698" s="7">
        <v>689</v>
      </c>
      <c r="E698" s="7">
        <v>138</v>
      </c>
      <c r="F698" s="7" t="s">
        <v>2135</v>
      </c>
      <c r="G698" s="7">
        <v>998</v>
      </c>
      <c r="H698" s="7" t="s">
        <v>2135</v>
      </c>
      <c r="I698" s="37">
        <v>0</v>
      </c>
      <c r="J698" s="122">
        <v>0</v>
      </c>
      <c r="K698" s="123">
        <f t="shared" si="110"/>
        <v>0</v>
      </c>
      <c r="L698" s="122">
        <f>IF(K699&gt;0, K698/K699, 0)</f>
        <v>0</v>
      </c>
      <c r="M698" s="71"/>
      <c r="N698" s="10">
        <f>ROUND(M699*L698,0)</f>
        <v>0</v>
      </c>
      <c r="O698" s="70">
        <v>0</v>
      </c>
      <c r="P698" s="10">
        <f>N698-O698</f>
        <v>0</v>
      </c>
      <c r="Q698" s="46">
        <f t="shared" si="109"/>
        <v>0</v>
      </c>
      <c r="R698" s="10">
        <v>0</v>
      </c>
      <c r="S698" s="7">
        <f t="shared" si="102"/>
        <v>0</v>
      </c>
      <c r="T698" s="124">
        <f t="shared" si="103"/>
        <v>138</v>
      </c>
      <c r="U698" s="124">
        <f t="shared" si="104"/>
        <v>998</v>
      </c>
      <c r="V698" s="124">
        <f t="shared" si="105"/>
        <v>689</v>
      </c>
      <c r="W698" s="124">
        <f t="shared" si="106"/>
        <v>0</v>
      </c>
      <c r="X698" s="124">
        <f t="shared" si="107"/>
        <v>0</v>
      </c>
      <c r="Y698" s="264">
        <f t="shared" si="108"/>
        <v>689</v>
      </c>
      <c r="Z698" s="10">
        <v>138</v>
      </c>
      <c r="AA698" s="7">
        <v>998</v>
      </c>
      <c r="AB698" s="7">
        <v>689</v>
      </c>
      <c r="AC698" s="109">
        <v>0</v>
      </c>
      <c r="AD698" s="109">
        <v>0</v>
      </c>
      <c r="AE698" s="125"/>
      <c r="AF698" s="10"/>
      <c r="AI698" s="109"/>
      <c r="AJ698" s="109"/>
      <c r="AL698" s="10"/>
      <c r="AO698" s="109"/>
      <c r="AP698" s="109"/>
      <c r="AR698" s="10"/>
      <c r="AU698" s="109"/>
      <c r="AV698" s="109"/>
      <c r="AX698" s="10"/>
      <c r="BA698" s="109"/>
      <c r="BB698" s="109"/>
      <c r="BD698" s="10"/>
      <c r="BG698" s="109"/>
      <c r="BH698" s="109"/>
      <c r="BJ698" s="10"/>
      <c r="BM698" s="109"/>
      <c r="BN698" s="109"/>
      <c r="BP698" s="10"/>
      <c r="BS698" s="109"/>
      <c r="BT698" s="109"/>
      <c r="BV698" s="10"/>
      <c r="BY698" s="109"/>
      <c r="BZ698" s="109"/>
      <c r="CB698" s="10"/>
      <c r="CE698" s="109"/>
      <c r="CF698" s="109"/>
      <c r="CH698" s="10"/>
      <c r="CK698" s="109"/>
      <c r="CL698" s="109"/>
    </row>
    <row r="699" spans="1:90">
      <c r="A699" s="7" t="str">
        <f t="shared" si="101"/>
        <v>01380999</v>
      </c>
      <c r="B699" s="7" t="s">
        <v>2477</v>
      </c>
      <c r="C699" s="7" t="s">
        <v>2782</v>
      </c>
      <c r="D699" s="7">
        <v>690</v>
      </c>
      <c r="E699" s="11">
        <v>138</v>
      </c>
      <c r="F699" s="11" t="s">
        <v>1843</v>
      </c>
      <c r="G699" s="11">
        <v>999</v>
      </c>
      <c r="H699" s="11" t="s">
        <v>1132</v>
      </c>
      <c r="I699" s="105">
        <v>10428392.281359999</v>
      </c>
      <c r="J699" s="126">
        <v>1</v>
      </c>
      <c r="K699" s="127">
        <f>SUM(K695:K698)</f>
        <v>10479546.956162309</v>
      </c>
      <c r="L699" s="126">
        <f>SUM(L695:L698)</f>
        <v>1</v>
      </c>
      <c r="M699" s="105">
        <f>VLOOKUP(E699,town351,22)</f>
        <v>5784960</v>
      </c>
      <c r="N699" s="105">
        <f>SUM(N695:N698)</f>
        <v>5784960</v>
      </c>
      <c r="O699" s="128">
        <v>5679447</v>
      </c>
      <c r="P699" s="105">
        <f>SUM(P695:P698)</f>
        <v>105513</v>
      </c>
      <c r="Q699" s="45">
        <f t="shared" si="109"/>
        <v>1.8578041136751517</v>
      </c>
      <c r="R699" s="105">
        <v>1067</v>
      </c>
      <c r="S699" s="7">
        <f t="shared" si="102"/>
        <v>0</v>
      </c>
      <c r="T699" s="124">
        <f t="shared" si="103"/>
        <v>138</v>
      </c>
      <c r="U699" s="124">
        <f t="shared" si="104"/>
        <v>999</v>
      </c>
      <c r="V699" s="124">
        <f t="shared" si="105"/>
        <v>690</v>
      </c>
      <c r="W699" s="124">
        <f t="shared" si="106"/>
        <v>1058.999999999</v>
      </c>
      <c r="X699" s="124">
        <f t="shared" si="107"/>
        <v>10479546.956162309</v>
      </c>
      <c r="Y699" s="264">
        <f t="shared" si="108"/>
        <v>690</v>
      </c>
      <c r="Z699" s="10">
        <v>138</v>
      </c>
      <c r="AA699" s="7">
        <v>999</v>
      </c>
      <c r="AB699" s="7">
        <v>690</v>
      </c>
      <c r="AC699" s="109">
        <v>1058.999999999</v>
      </c>
      <c r="AD699" s="109">
        <v>10479546.956162309</v>
      </c>
      <c r="AE699" s="125"/>
      <c r="AF699" s="10"/>
      <c r="AI699" s="109"/>
      <c r="AJ699" s="109"/>
      <c r="AL699" s="10"/>
      <c r="AO699" s="109"/>
      <c r="AP699" s="109"/>
      <c r="AR699" s="10"/>
      <c r="AU699" s="109"/>
      <c r="AV699" s="109"/>
      <c r="AX699" s="10"/>
      <c r="BA699" s="109"/>
      <c r="BB699" s="109"/>
      <c r="BD699" s="10"/>
      <c r="BG699" s="109"/>
      <c r="BH699" s="109"/>
      <c r="BJ699" s="10"/>
      <c r="BM699" s="109"/>
      <c r="BN699" s="109"/>
      <c r="BP699" s="10"/>
      <c r="BS699" s="109"/>
      <c r="BT699" s="109"/>
      <c r="BV699" s="10"/>
      <c r="BY699" s="109"/>
      <c r="BZ699" s="109"/>
      <c r="CB699" s="10"/>
      <c r="CE699" s="109"/>
      <c r="CF699" s="109"/>
      <c r="CH699" s="10"/>
      <c r="CK699" s="109"/>
      <c r="CL699" s="109"/>
    </row>
    <row r="700" spans="1:90">
      <c r="A700" s="7" t="str">
        <f t="shared" si="101"/>
        <v>01390139</v>
      </c>
      <c r="B700" s="7" t="s">
        <v>2478</v>
      </c>
      <c r="C700" s="7" t="s">
        <v>2478</v>
      </c>
      <c r="D700" s="7">
        <v>691</v>
      </c>
      <c r="E700" s="7">
        <v>139</v>
      </c>
      <c r="F700" s="7" t="s">
        <v>1844</v>
      </c>
      <c r="G700" s="7">
        <v>139</v>
      </c>
      <c r="H700" s="7" t="s">
        <v>1405</v>
      </c>
      <c r="I700" s="37">
        <v>33817637.171700001</v>
      </c>
      <c r="J700" s="122">
        <v>0.99207135273192326</v>
      </c>
      <c r="K700" s="123">
        <f>X700</f>
        <v>34051687.916279338</v>
      </c>
      <c r="L700" s="122">
        <f>IF(K704&gt;0, K700/K704, 0)</f>
        <v>0.98913730222783336</v>
      </c>
      <c r="M700" s="71"/>
      <c r="N700" s="10">
        <f>ROUND(M704*L700,0)</f>
        <v>28376314</v>
      </c>
      <c r="O700" s="70">
        <v>28266492</v>
      </c>
      <c r="P700" s="10">
        <f>N700-O700</f>
        <v>109822</v>
      </c>
      <c r="Q700" s="46">
        <f t="shared" si="109"/>
        <v>0.38852362719788502</v>
      </c>
      <c r="R700" s="10">
        <v>3486</v>
      </c>
      <c r="S700" s="7">
        <f t="shared" si="102"/>
        <v>0</v>
      </c>
      <c r="T700" s="124">
        <f t="shared" si="103"/>
        <v>139</v>
      </c>
      <c r="U700" s="124">
        <f t="shared" si="104"/>
        <v>139</v>
      </c>
      <c r="V700" s="124">
        <f t="shared" si="105"/>
        <v>691</v>
      </c>
      <c r="W700" s="124">
        <f t="shared" si="106"/>
        <v>3471</v>
      </c>
      <c r="X700" s="124">
        <f t="shared" si="107"/>
        <v>34051687.916279338</v>
      </c>
      <c r="Y700" s="264">
        <f t="shared" si="108"/>
        <v>691</v>
      </c>
      <c r="Z700" s="10">
        <v>139</v>
      </c>
      <c r="AA700" s="7">
        <v>139</v>
      </c>
      <c r="AB700" s="7">
        <v>691</v>
      </c>
      <c r="AC700" s="109">
        <v>3471</v>
      </c>
      <c r="AD700" s="109">
        <v>34051687.916279338</v>
      </c>
      <c r="AE700" s="125"/>
      <c r="AF700" s="10"/>
      <c r="AI700" s="109"/>
      <c r="AJ700" s="109"/>
      <c r="AL700" s="10"/>
      <c r="AO700" s="109"/>
      <c r="AP700" s="109"/>
      <c r="AR700" s="10"/>
      <c r="AU700" s="109"/>
      <c r="AV700" s="109"/>
      <c r="AX700" s="10"/>
      <c r="BA700" s="109"/>
      <c r="BB700" s="109"/>
      <c r="BD700" s="10"/>
      <c r="BG700" s="109"/>
      <c r="BH700" s="109"/>
      <c r="BJ700" s="10"/>
      <c r="BM700" s="109"/>
      <c r="BN700" s="109"/>
      <c r="BP700" s="10"/>
      <c r="BS700" s="109"/>
      <c r="BT700" s="109"/>
      <c r="BV700" s="10"/>
      <c r="BY700" s="109"/>
      <c r="BZ700" s="109"/>
      <c r="CB700" s="10"/>
      <c r="CE700" s="109"/>
      <c r="CF700" s="109"/>
      <c r="CH700" s="10"/>
      <c r="CK700" s="109"/>
      <c r="CL700" s="109"/>
    </row>
    <row r="701" spans="1:90">
      <c r="A701" s="7" t="str">
        <f t="shared" si="101"/>
        <v>01390829</v>
      </c>
      <c r="B701" s="7" t="s">
        <v>2478</v>
      </c>
      <c r="C701" s="7" t="s">
        <v>2763</v>
      </c>
      <c r="D701" s="7">
        <v>692</v>
      </c>
      <c r="E701" s="7">
        <v>139</v>
      </c>
      <c r="F701" s="7" t="s">
        <v>1844</v>
      </c>
      <c r="G701" s="7">
        <v>829</v>
      </c>
      <c r="H701" s="7" t="s">
        <v>1690</v>
      </c>
      <c r="I701" s="37">
        <v>270271</v>
      </c>
      <c r="J701" s="122">
        <v>7.9286472680767401E-3</v>
      </c>
      <c r="K701" s="123">
        <f t="shared" si="110"/>
        <v>373955.35850641842</v>
      </c>
      <c r="L701" s="122">
        <f>IF(K704&gt;0, K701/K704, 0)</f>
        <v>1.0862697772166632E-2</v>
      </c>
      <c r="M701" s="71"/>
      <c r="N701" s="10">
        <f>ROUND(M704*L701,0)</f>
        <v>311628</v>
      </c>
      <c r="O701" s="70">
        <v>225906</v>
      </c>
      <c r="P701" s="10">
        <f>N701-O701</f>
        <v>85722</v>
      </c>
      <c r="Q701" s="46">
        <f t="shared" si="109"/>
        <v>37.945871291599161</v>
      </c>
      <c r="R701" s="10">
        <v>16</v>
      </c>
      <c r="S701" s="7">
        <f t="shared" si="102"/>
        <v>0</v>
      </c>
      <c r="T701" s="124">
        <f t="shared" si="103"/>
        <v>139</v>
      </c>
      <c r="U701" s="124">
        <f t="shared" si="104"/>
        <v>829</v>
      </c>
      <c r="V701" s="124">
        <f t="shared" si="105"/>
        <v>692</v>
      </c>
      <c r="W701" s="124">
        <f t="shared" si="106"/>
        <v>21.99999999768</v>
      </c>
      <c r="X701" s="124">
        <f t="shared" si="107"/>
        <v>373955.35850641842</v>
      </c>
      <c r="Y701" s="264">
        <f t="shared" si="108"/>
        <v>692</v>
      </c>
      <c r="Z701" s="10">
        <v>139</v>
      </c>
      <c r="AA701" s="7">
        <v>829</v>
      </c>
      <c r="AB701" s="7">
        <v>692</v>
      </c>
      <c r="AC701" s="109">
        <v>21.99999999768</v>
      </c>
      <c r="AD701" s="109">
        <v>373955.35850641842</v>
      </c>
      <c r="AE701" s="125"/>
      <c r="AF701" s="10"/>
      <c r="AI701" s="109"/>
      <c r="AJ701" s="109"/>
      <c r="AL701" s="10"/>
      <c r="AO701" s="109"/>
      <c r="AP701" s="109"/>
      <c r="AR701" s="10"/>
      <c r="AU701" s="109"/>
      <c r="AV701" s="109"/>
      <c r="AX701" s="10"/>
      <c r="BA701" s="109"/>
      <c r="BB701" s="109"/>
      <c r="BD701" s="10"/>
      <c r="BG701" s="109"/>
      <c r="BH701" s="109"/>
      <c r="BJ701" s="10"/>
      <c r="BM701" s="109"/>
      <c r="BN701" s="109"/>
      <c r="BP701" s="10"/>
      <c r="BS701" s="109"/>
      <c r="BT701" s="109"/>
      <c r="BV701" s="10"/>
      <c r="BY701" s="109"/>
      <c r="BZ701" s="109"/>
      <c r="CB701" s="10"/>
      <c r="CE701" s="109"/>
      <c r="CF701" s="109"/>
      <c r="CH701" s="10"/>
      <c r="CK701" s="109"/>
      <c r="CL701" s="109"/>
    </row>
    <row r="702" spans="1:90">
      <c r="A702" s="7" t="str">
        <f t="shared" si="101"/>
        <v>01390998</v>
      </c>
      <c r="B702" s="7" t="s">
        <v>2478</v>
      </c>
      <c r="C702" s="7" t="s">
        <v>2781</v>
      </c>
      <c r="D702" s="7">
        <v>693</v>
      </c>
      <c r="E702" s="7">
        <v>139</v>
      </c>
      <c r="F702" s="7" t="s">
        <v>2135</v>
      </c>
      <c r="G702" s="7">
        <v>998</v>
      </c>
      <c r="H702" s="7" t="s">
        <v>2135</v>
      </c>
      <c r="I702" s="37">
        <v>0</v>
      </c>
      <c r="J702" s="122">
        <v>0</v>
      </c>
      <c r="K702" s="123">
        <f t="shared" si="110"/>
        <v>0</v>
      </c>
      <c r="L702" s="122">
        <f>IF(K704&gt;0, K702/K704, 0)</f>
        <v>0</v>
      </c>
      <c r="M702" s="71"/>
      <c r="N702" s="10">
        <f>ROUND(M704*L702,0)</f>
        <v>0</v>
      </c>
      <c r="O702" s="70">
        <v>0</v>
      </c>
      <c r="P702" s="10">
        <f>N702-O702</f>
        <v>0</v>
      </c>
      <c r="Q702" s="46">
        <f t="shared" si="109"/>
        <v>0</v>
      </c>
      <c r="R702" s="10">
        <v>0</v>
      </c>
      <c r="S702" s="7">
        <f t="shared" si="102"/>
        <v>0</v>
      </c>
      <c r="T702" s="124">
        <f t="shared" si="103"/>
        <v>139</v>
      </c>
      <c r="U702" s="124">
        <f t="shared" si="104"/>
        <v>998</v>
      </c>
      <c r="V702" s="124">
        <f t="shared" si="105"/>
        <v>693</v>
      </c>
      <c r="W702" s="124">
        <f t="shared" si="106"/>
        <v>0</v>
      </c>
      <c r="X702" s="124">
        <f t="shared" si="107"/>
        <v>0</v>
      </c>
      <c r="Y702" s="264">
        <f t="shared" si="108"/>
        <v>693</v>
      </c>
      <c r="Z702" s="10">
        <v>139</v>
      </c>
      <c r="AA702" s="7">
        <v>998</v>
      </c>
      <c r="AB702" s="7">
        <v>693</v>
      </c>
      <c r="AC702" s="109">
        <v>0</v>
      </c>
      <c r="AD702" s="109">
        <v>0</v>
      </c>
      <c r="AE702" s="125"/>
      <c r="AF702" s="10"/>
      <c r="AI702" s="109"/>
      <c r="AJ702" s="109"/>
      <c r="AL702" s="10"/>
      <c r="AO702" s="109"/>
      <c r="AP702" s="109"/>
      <c r="AR702" s="10"/>
      <c r="AU702" s="109"/>
      <c r="AV702" s="109"/>
      <c r="AX702" s="10"/>
      <c r="BA702" s="109"/>
      <c r="BB702" s="109"/>
      <c r="BD702" s="10"/>
      <c r="BG702" s="109"/>
      <c r="BH702" s="109"/>
      <c r="BJ702" s="10"/>
      <c r="BM702" s="109"/>
      <c r="BN702" s="109"/>
      <c r="BP702" s="10"/>
      <c r="BS702" s="109"/>
      <c r="BT702" s="109"/>
      <c r="BV702" s="10"/>
      <c r="BY702" s="109"/>
      <c r="BZ702" s="109"/>
      <c r="CB702" s="10"/>
      <c r="CE702" s="109"/>
      <c r="CF702" s="109"/>
      <c r="CH702" s="10"/>
      <c r="CK702" s="109"/>
      <c r="CL702" s="109"/>
    </row>
    <row r="703" spans="1:90">
      <c r="A703" s="7" t="str">
        <f t="shared" si="101"/>
        <v>01390998</v>
      </c>
      <c r="B703" s="7" t="s">
        <v>2478</v>
      </c>
      <c r="C703" s="7" t="s">
        <v>2781</v>
      </c>
      <c r="D703" s="7">
        <v>694</v>
      </c>
      <c r="E703" s="7">
        <v>139</v>
      </c>
      <c r="F703" s="7" t="s">
        <v>2135</v>
      </c>
      <c r="G703" s="7">
        <v>998</v>
      </c>
      <c r="H703" s="7" t="s">
        <v>2135</v>
      </c>
      <c r="I703" s="37">
        <v>0</v>
      </c>
      <c r="J703" s="122">
        <v>0</v>
      </c>
      <c r="K703" s="123">
        <f t="shared" si="110"/>
        <v>0</v>
      </c>
      <c r="L703" s="122">
        <f>IF(K704&gt;0, K703/K704, 0)</f>
        <v>0</v>
      </c>
      <c r="M703" s="71"/>
      <c r="N703" s="10">
        <f>ROUND(M704*L703,0)</f>
        <v>0</v>
      </c>
      <c r="O703" s="70">
        <v>0</v>
      </c>
      <c r="P703" s="10">
        <f>N703-O703</f>
        <v>0</v>
      </c>
      <c r="Q703" s="46">
        <f t="shared" si="109"/>
        <v>0</v>
      </c>
      <c r="R703" s="10">
        <v>0</v>
      </c>
      <c r="S703" s="7">
        <f t="shared" si="102"/>
        <v>0</v>
      </c>
      <c r="T703" s="124">
        <f t="shared" si="103"/>
        <v>139</v>
      </c>
      <c r="U703" s="124">
        <f t="shared" si="104"/>
        <v>998</v>
      </c>
      <c r="V703" s="124">
        <f t="shared" si="105"/>
        <v>694</v>
      </c>
      <c r="W703" s="124">
        <f t="shared" si="106"/>
        <v>0</v>
      </c>
      <c r="X703" s="124">
        <f t="shared" si="107"/>
        <v>0</v>
      </c>
      <c r="Y703" s="264">
        <f t="shared" si="108"/>
        <v>694</v>
      </c>
      <c r="Z703" s="10">
        <v>139</v>
      </c>
      <c r="AA703" s="7">
        <v>998</v>
      </c>
      <c r="AB703" s="7">
        <v>694</v>
      </c>
      <c r="AC703" s="109">
        <v>0</v>
      </c>
      <c r="AD703" s="109">
        <v>0</v>
      </c>
      <c r="AE703" s="125"/>
      <c r="AF703" s="10"/>
      <c r="AI703" s="109"/>
      <c r="AJ703" s="109"/>
      <c r="AL703" s="10"/>
      <c r="AO703" s="109"/>
      <c r="AP703" s="109"/>
      <c r="AR703" s="10"/>
      <c r="AU703" s="109"/>
      <c r="AV703" s="109"/>
      <c r="AX703" s="10"/>
      <c r="BA703" s="109"/>
      <c r="BB703" s="109"/>
      <c r="BD703" s="10"/>
      <c r="BG703" s="109"/>
      <c r="BH703" s="109"/>
      <c r="BJ703" s="10"/>
      <c r="BM703" s="109"/>
      <c r="BN703" s="109"/>
      <c r="BP703" s="10"/>
      <c r="BS703" s="109"/>
      <c r="BT703" s="109"/>
      <c r="BV703" s="10"/>
      <c r="BY703" s="109"/>
      <c r="BZ703" s="109"/>
      <c r="CB703" s="10"/>
      <c r="CE703" s="109"/>
      <c r="CF703" s="109"/>
      <c r="CH703" s="10"/>
      <c r="CK703" s="109"/>
      <c r="CL703" s="109"/>
    </row>
    <row r="704" spans="1:90">
      <c r="A704" s="7" t="str">
        <f t="shared" si="101"/>
        <v>01390999</v>
      </c>
      <c r="B704" s="7" t="s">
        <v>2478</v>
      </c>
      <c r="C704" s="7" t="s">
        <v>2782</v>
      </c>
      <c r="D704" s="7">
        <v>695</v>
      </c>
      <c r="E704" s="11">
        <v>139</v>
      </c>
      <c r="F704" s="11" t="s">
        <v>1844</v>
      </c>
      <c r="G704" s="11">
        <v>999</v>
      </c>
      <c r="H704" s="11" t="s">
        <v>1132</v>
      </c>
      <c r="I704" s="105">
        <v>34087908.171700001</v>
      </c>
      <c r="J704" s="126">
        <v>1</v>
      </c>
      <c r="K704" s="127">
        <f>SUM(K700:K703)</f>
        <v>34425643.274785757</v>
      </c>
      <c r="L704" s="126">
        <f>SUM(L700:L703)</f>
        <v>1</v>
      </c>
      <c r="M704" s="105">
        <f>VLOOKUP(E704,town351,22)</f>
        <v>28687942</v>
      </c>
      <c r="N704" s="105">
        <f>SUM(N700:N703)</f>
        <v>28687942</v>
      </c>
      <c r="O704" s="128">
        <v>28492398</v>
      </c>
      <c r="P704" s="105">
        <f>SUM(P700:P703)</f>
        <v>195544</v>
      </c>
      <c r="Q704" s="45">
        <f t="shared" si="109"/>
        <v>0.68630236036994852</v>
      </c>
      <c r="R704" s="105">
        <v>3502</v>
      </c>
      <c r="S704" s="7">
        <f t="shared" si="102"/>
        <v>0</v>
      </c>
      <c r="T704" s="124">
        <f t="shared" si="103"/>
        <v>139</v>
      </c>
      <c r="U704" s="124">
        <f t="shared" si="104"/>
        <v>999</v>
      </c>
      <c r="V704" s="124">
        <f t="shared" si="105"/>
        <v>695</v>
      </c>
      <c r="W704" s="124">
        <f t="shared" si="106"/>
        <v>3492.9999999976799</v>
      </c>
      <c r="X704" s="124">
        <f t="shared" si="107"/>
        <v>34425643.274785757</v>
      </c>
      <c r="Y704" s="264">
        <f t="shared" si="108"/>
        <v>695</v>
      </c>
      <c r="Z704" s="10">
        <v>139</v>
      </c>
      <c r="AA704" s="7">
        <v>999</v>
      </c>
      <c r="AB704" s="7">
        <v>695</v>
      </c>
      <c r="AC704" s="109">
        <v>3492.9999999976799</v>
      </c>
      <c r="AD704" s="109">
        <v>34425643.274785757</v>
      </c>
      <c r="AE704" s="125"/>
      <c r="AF704" s="10"/>
      <c r="AI704" s="109"/>
      <c r="AJ704" s="109"/>
      <c r="AL704" s="10"/>
      <c r="AO704" s="109"/>
      <c r="AP704" s="109"/>
      <c r="AR704" s="10"/>
      <c r="AU704" s="109"/>
      <c r="AV704" s="109"/>
      <c r="AX704" s="10"/>
      <c r="BA704" s="109"/>
      <c r="BB704" s="109"/>
      <c r="BD704" s="10"/>
      <c r="BG704" s="109"/>
      <c r="BH704" s="109"/>
      <c r="BJ704" s="10"/>
      <c r="BM704" s="109"/>
      <c r="BN704" s="109"/>
      <c r="BP704" s="10"/>
      <c r="BS704" s="109"/>
      <c r="BT704" s="109"/>
      <c r="BV704" s="10"/>
      <c r="BY704" s="109"/>
      <c r="BZ704" s="109"/>
      <c r="CB704" s="10"/>
      <c r="CE704" s="109"/>
      <c r="CF704" s="109"/>
      <c r="CH704" s="10"/>
      <c r="CK704" s="109"/>
      <c r="CL704" s="109"/>
    </row>
    <row r="705" spans="1:90">
      <c r="A705" s="7" t="str">
        <f t="shared" si="101"/>
        <v>01400140</v>
      </c>
      <c r="B705" s="7" t="s">
        <v>2479</v>
      </c>
      <c r="C705" s="7" t="s">
        <v>2479</v>
      </c>
      <c r="D705" s="7">
        <v>696</v>
      </c>
      <c r="E705" s="7">
        <v>140</v>
      </c>
      <c r="F705" s="7" t="s">
        <v>1845</v>
      </c>
      <c r="G705" s="7">
        <v>140</v>
      </c>
      <c r="H705" s="7" t="s">
        <v>1406</v>
      </c>
      <c r="I705" s="37">
        <v>0</v>
      </c>
      <c r="J705" s="122">
        <v>0</v>
      </c>
      <c r="K705" s="123">
        <f>X705</f>
        <v>0</v>
      </c>
      <c r="L705" s="122">
        <f>IF(K709&gt;0, K705/K709, 0)</f>
        <v>0</v>
      </c>
      <c r="M705" s="71"/>
      <c r="N705" s="10">
        <f>ROUND(M709*L705,0)</f>
        <v>0</v>
      </c>
      <c r="O705" s="70">
        <v>0</v>
      </c>
      <c r="P705" s="10">
        <f>N705-O705</f>
        <v>0</v>
      </c>
      <c r="Q705" s="46">
        <f t="shared" si="109"/>
        <v>0</v>
      </c>
      <c r="R705" s="10">
        <v>0</v>
      </c>
      <c r="S705" s="7">
        <f t="shared" si="102"/>
        <v>0</v>
      </c>
      <c r="T705" s="124">
        <f t="shared" si="103"/>
        <v>140</v>
      </c>
      <c r="U705" s="124">
        <f t="shared" si="104"/>
        <v>140</v>
      </c>
      <c r="V705" s="124">
        <f t="shared" si="105"/>
        <v>696</v>
      </c>
      <c r="W705" s="124">
        <f t="shared" si="106"/>
        <v>0</v>
      </c>
      <c r="X705" s="124">
        <f t="shared" si="107"/>
        <v>0</v>
      </c>
      <c r="Y705" s="264">
        <f t="shared" si="108"/>
        <v>696</v>
      </c>
      <c r="Z705" s="10">
        <v>140</v>
      </c>
      <c r="AA705" s="7">
        <v>140</v>
      </c>
      <c r="AB705" s="7">
        <v>696</v>
      </c>
      <c r="AC705" s="109">
        <v>0</v>
      </c>
      <c r="AD705" s="109">
        <v>0</v>
      </c>
      <c r="AE705" s="125"/>
      <c r="AF705" s="10"/>
      <c r="AI705" s="109"/>
      <c r="AJ705" s="109"/>
      <c r="AL705" s="10"/>
      <c r="AO705" s="109"/>
      <c r="AP705" s="109"/>
      <c r="AR705" s="10"/>
      <c r="AU705" s="109"/>
      <c r="AV705" s="109"/>
      <c r="AX705" s="10"/>
      <c r="BA705" s="109"/>
      <c r="BB705" s="109"/>
      <c r="BD705" s="10"/>
      <c r="BG705" s="109"/>
      <c r="BH705" s="109"/>
      <c r="BJ705" s="10"/>
      <c r="BM705" s="109"/>
      <c r="BN705" s="109"/>
      <c r="BP705" s="10"/>
      <c r="BS705" s="109"/>
      <c r="BT705" s="109"/>
      <c r="BV705" s="10"/>
      <c r="BY705" s="109"/>
      <c r="BZ705" s="109"/>
      <c r="CB705" s="10"/>
      <c r="CE705" s="109"/>
      <c r="CF705" s="109"/>
      <c r="CH705" s="10"/>
      <c r="CK705" s="109"/>
      <c r="CL705" s="109"/>
    </row>
    <row r="706" spans="1:90">
      <c r="A706" s="7" t="str">
        <f t="shared" si="101"/>
        <v>01400753</v>
      </c>
      <c r="B706" s="7" t="s">
        <v>2479</v>
      </c>
      <c r="C706" s="7" t="s">
        <v>2739</v>
      </c>
      <c r="D706" s="7">
        <v>697</v>
      </c>
      <c r="E706" s="7">
        <v>140</v>
      </c>
      <c r="F706" s="7" t="s">
        <v>1845</v>
      </c>
      <c r="G706" s="7">
        <v>753</v>
      </c>
      <c r="H706" s="7" t="s">
        <v>1666</v>
      </c>
      <c r="I706" s="37">
        <v>5857598</v>
      </c>
      <c r="J706" s="122">
        <v>0.84336871319277285</v>
      </c>
      <c r="K706" s="123">
        <f t="shared" si="110"/>
        <v>5550434.9457122162</v>
      </c>
      <c r="L706" s="122">
        <f>IF(K709&gt;0, K706/K709, 0)</f>
        <v>0.82579518907888905</v>
      </c>
      <c r="M706" s="71"/>
      <c r="N706" s="10">
        <f>ROUND(M709*L706,0)</f>
        <v>2938031</v>
      </c>
      <c r="O706" s="70">
        <v>3053960</v>
      </c>
      <c r="P706" s="10">
        <f>N706-O706</f>
        <v>-115929</v>
      </c>
      <c r="Q706" s="46">
        <f t="shared" si="109"/>
        <v>-3.796022213781451</v>
      </c>
      <c r="R706" s="10">
        <v>585</v>
      </c>
      <c r="S706" s="7">
        <f t="shared" si="102"/>
        <v>0</v>
      </c>
      <c r="T706" s="124">
        <f t="shared" si="103"/>
        <v>140</v>
      </c>
      <c r="U706" s="124">
        <f t="shared" si="104"/>
        <v>753</v>
      </c>
      <c r="V706" s="124">
        <f t="shared" si="105"/>
        <v>697</v>
      </c>
      <c r="W706" s="124">
        <f t="shared" si="106"/>
        <v>542.88551067853996</v>
      </c>
      <c r="X706" s="124">
        <f t="shared" si="107"/>
        <v>5550434.9457122162</v>
      </c>
      <c r="Y706" s="264">
        <f t="shared" si="108"/>
        <v>697</v>
      </c>
      <c r="Z706" s="10">
        <v>140</v>
      </c>
      <c r="AA706" s="7">
        <v>753</v>
      </c>
      <c r="AB706" s="7">
        <v>697</v>
      </c>
      <c r="AC706" s="109">
        <v>542.88551067853996</v>
      </c>
      <c r="AD706" s="109">
        <v>5550434.9457122162</v>
      </c>
      <c r="AE706" s="125"/>
      <c r="AF706" s="10"/>
      <c r="AI706" s="109"/>
      <c r="AJ706" s="109"/>
      <c r="AL706" s="10"/>
      <c r="AO706" s="109"/>
      <c r="AP706" s="109"/>
      <c r="AR706" s="10"/>
      <c r="AU706" s="109"/>
      <c r="AV706" s="109"/>
      <c r="AX706" s="10"/>
      <c r="BA706" s="109"/>
      <c r="BB706" s="109"/>
      <c r="BD706" s="10"/>
      <c r="BG706" s="109"/>
      <c r="BH706" s="109"/>
      <c r="BJ706" s="10"/>
      <c r="BM706" s="109"/>
      <c r="BN706" s="109"/>
      <c r="BP706" s="10"/>
      <c r="BS706" s="109"/>
      <c r="BT706" s="109"/>
      <c r="BV706" s="10"/>
      <c r="BY706" s="109"/>
      <c r="BZ706" s="109"/>
      <c r="CB706" s="10"/>
      <c r="CE706" s="109"/>
      <c r="CF706" s="109"/>
      <c r="CH706" s="10"/>
      <c r="CK706" s="109"/>
      <c r="CL706" s="109"/>
    </row>
    <row r="707" spans="1:90">
      <c r="A707" s="7" t="str">
        <f t="shared" si="101"/>
        <v>01400832</v>
      </c>
      <c r="B707" s="7" t="s">
        <v>2479</v>
      </c>
      <c r="C707" s="7" t="s">
        <v>2765</v>
      </c>
      <c r="D707" s="7">
        <v>698</v>
      </c>
      <c r="E707" s="7">
        <v>140</v>
      </c>
      <c r="F707" s="7" t="s">
        <v>1845</v>
      </c>
      <c r="G707" s="7">
        <v>832</v>
      </c>
      <c r="H707" s="7" t="s">
        <v>1692</v>
      </c>
      <c r="I707" s="37">
        <v>1087879</v>
      </c>
      <c r="J707" s="122">
        <v>0.15663128680722721</v>
      </c>
      <c r="K707" s="123">
        <f t="shared" si="110"/>
        <v>1170886.5382544065</v>
      </c>
      <c r="L707" s="122">
        <f>IF(K709&gt;0, K707/K709, 0)</f>
        <v>0.17420481092111098</v>
      </c>
      <c r="M707" s="71"/>
      <c r="N707" s="10">
        <f>ROUND(M709*L707,0)</f>
        <v>619789</v>
      </c>
      <c r="O707" s="70">
        <v>567184</v>
      </c>
      <c r="P707" s="10">
        <f>N707-O707</f>
        <v>52605</v>
      </c>
      <c r="Q707" s="46">
        <f t="shared" si="109"/>
        <v>9.2747679765296631</v>
      </c>
      <c r="R707" s="10">
        <v>71</v>
      </c>
      <c r="S707" s="7">
        <f t="shared" si="102"/>
        <v>0</v>
      </c>
      <c r="T707" s="124">
        <f t="shared" si="103"/>
        <v>140</v>
      </c>
      <c r="U707" s="124">
        <f t="shared" si="104"/>
        <v>832</v>
      </c>
      <c r="V707" s="124">
        <f t="shared" si="105"/>
        <v>698</v>
      </c>
      <c r="W707" s="124">
        <f t="shared" si="106"/>
        <v>75.050167223680006</v>
      </c>
      <c r="X707" s="124">
        <f t="shared" si="107"/>
        <v>1170886.5382544065</v>
      </c>
      <c r="Y707" s="264">
        <f t="shared" si="108"/>
        <v>698</v>
      </c>
      <c r="Z707" s="10">
        <v>140</v>
      </c>
      <c r="AA707" s="7">
        <v>832</v>
      </c>
      <c r="AB707" s="7">
        <v>698</v>
      </c>
      <c r="AC707" s="109">
        <v>75.050167223680006</v>
      </c>
      <c r="AD707" s="109">
        <v>1170886.5382544065</v>
      </c>
      <c r="AE707" s="125"/>
      <c r="AF707" s="10"/>
      <c r="AI707" s="109"/>
      <c r="AJ707" s="109"/>
      <c r="AL707" s="10"/>
      <c r="AO707" s="109"/>
      <c r="AP707" s="109"/>
      <c r="AR707" s="10"/>
      <c r="AU707" s="109"/>
      <c r="AV707" s="109"/>
      <c r="AX707" s="10"/>
      <c r="BA707" s="109"/>
      <c r="BB707" s="109"/>
      <c r="BD707" s="10"/>
      <c r="BG707" s="109"/>
      <c r="BH707" s="109"/>
      <c r="BJ707" s="10"/>
      <c r="BM707" s="109"/>
      <c r="BN707" s="109"/>
      <c r="BP707" s="10"/>
      <c r="BS707" s="109"/>
      <c r="BT707" s="109"/>
      <c r="BV707" s="10"/>
      <c r="BY707" s="109"/>
      <c r="BZ707" s="109"/>
      <c r="CB707" s="10"/>
      <c r="CE707" s="109"/>
      <c r="CF707" s="109"/>
      <c r="CH707" s="10"/>
      <c r="CK707" s="109"/>
      <c r="CL707" s="109"/>
    </row>
    <row r="708" spans="1:90">
      <c r="A708" s="7" t="str">
        <f t="shared" si="101"/>
        <v>01400998</v>
      </c>
      <c r="B708" s="7" t="s">
        <v>2479</v>
      </c>
      <c r="C708" s="7" t="s">
        <v>2781</v>
      </c>
      <c r="D708" s="7">
        <v>699</v>
      </c>
      <c r="E708" s="7">
        <v>140</v>
      </c>
      <c r="F708" s="7" t="s">
        <v>2135</v>
      </c>
      <c r="G708" s="7">
        <v>998</v>
      </c>
      <c r="H708" s="7" t="s">
        <v>2135</v>
      </c>
      <c r="I708" s="37">
        <v>0</v>
      </c>
      <c r="J708" s="122">
        <v>0</v>
      </c>
      <c r="K708" s="123">
        <f t="shared" si="110"/>
        <v>0</v>
      </c>
      <c r="L708" s="122">
        <f>IF(K709&gt;0, K708/K709, 0)</f>
        <v>0</v>
      </c>
      <c r="M708" s="71"/>
      <c r="N708" s="10">
        <f>ROUND(M709*L708,0)</f>
        <v>0</v>
      </c>
      <c r="O708" s="70">
        <v>0</v>
      </c>
      <c r="P708" s="10">
        <f>N708-O708</f>
        <v>0</v>
      </c>
      <c r="Q708" s="46">
        <f t="shared" si="109"/>
        <v>0</v>
      </c>
      <c r="R708" s="10">
        <v>0</v>
      </c>
      <c r="S708" s="7">
        <f t="shared" si="102"/>
        <v>0</v>
      </c>
      <c r="T708" s="124">
        <f t="shared" si="103"/>
        <v>140</v>
      </c>
      <c r="U708" s="124">
        <f t="shared" si="104"/>
        <v>998</v>
      </c>
      <c r="V708" s="124">
        <f t="shared" si="105"/>
        <v>699</v>
      </c>
      <c r="W708" s="124">
        <f t="shared" si="106"/>
        <v>0</v>
      </c>
      <c r="X708" s="124">
        <f t="shared" si="107"/>
        <v>0</v>
      </c>
      <c r="Y708" s="264">
        <f t="shared" si="108"/>
        <v>699</v>
      </c>
      <c r="Z708" s="10">
        <v>140</v>
      </c>
      <c r="AA708" s="7">
        <v>998</v>
      </c>
      <c r="AB708" s="7">
        <v>699</v>
      </c>
      <c r="AC708" s="109">
        <v>0</v>
      </c>
      <c r="AD708" s="109">
        <v>0</v>
      </c>
      <c r="AE708" s="125"/>
      <c r="AF708" s="10"/>
      <c r="AI708" s="109"/>
      <c r="AJ708" s="109"/>
      <c r="AL708" s="10"/>
      <c r="AO708" s="109"/>
      <c r="AP708" s="109"/>
      <c r="AR708" s="10"/>
      <c r="AU708" s="109"/>
      <c r="AV708" s="109"/>
      <c r="AX708" s="10"/>
      <c r="BA708" s="109"/>
      <c r="BB708" s="109"/>
      <c r="BD708" s="10"/>
      <c r="BG708" s="109"/>
      <c r="BH708" s="109"/>
      <c r="BJ708" s="10"/>
      <c r="BM708" s="109"/>
      <c r="BN708" s="109"/>
      <c r="BP708" s="10"/>
      <c r="BS708" s="109"/>
      <c r="BT708" s="109"/>
      <c r="BV708" s="10"/>
      <c r="BY708" s="109"/>
      <c r="BZ708" s="109"/>
      <c r="CB708" s="10"/>
      <c r="CE708" s="109"/>
      <c r="CF708" s="109"/>
      <c r="CH708" s="10"/>
      <c r="CK708" s="109"/>
      <c r="CL708" s="109"/>
    </row>
    <row r="709" spans="1:90">
      <c r="A709" s="7" t="str">
        <f t="shared" si="101"/>
        <v>01400999</v>
      </c>
      <c r="B709" s="7" t="s">
        <v>2479</v>
      </c>
      <c r="C709" s="7" t="s">
        <v>2782</v>
      </c>
      <c r="D709" s="7">
        <v>700</v>
      </c>
      <c r="E709" s="11">
        <v>140</v>
      </c>
      <c r="F709" s="11" t="s">
        <v>1845</v>
      </c>
      <c r="G709" s="11">
        <v>999</v>
      </c>
      <c r="H709" s="11" t="s">
        <v>1132</v>
      </c>
      <c r="I709" s="105">
        <v>6945477</v>
      </c>
      <c r="J709" s="126">
        <v>1</v>
      </c>
      <c r="K709" s="127">
        <f>SUM(K705:K708)</f>
        <v>6721321.4839666225</v>
      </c>
      <c r="L709" s="126">
        <f>SUM(L705:L708)</f>
        <v>1</v>
      </c>
      <c r="M709" s="105">
        <f>VLOOKUP(E709,town351,22)</f>
        <v>3557820</v>
      </c>
      <c r="N709" s="105">
        <f>SUM(N705:N708)</f>
        <v>3557820</v>
      </c>
      <c r="O709" s="128">
        <v>3621144</v>
      </c>
      <c r="P709" s="105">
        <f>SUM(P705:P708)</f>
        <v>-63324</v>
      </c>
      <c r="Q709" s="45">
        <f t="shared" si="109"/>
        <v>-1.7487291309044877</v>
      </c>
      <c r="R709" s="105">
        <v>656</v>
      </c>
      <c r="S709" s="7">
        <f t="shared" si="102"/>
        <v>0</v>
      </c>
      <c r="T709" s="124">
        <f t="shared" si="103"/>
        <v>140</v>
      </c>
      <c r="U709" s="124">
        <f t="shared" si="104"/>
        <v>999</v>
      </c>
      <c r="V709" s="124">
        <f t="shared" si="105"/>
        <v>700</v>
      </c>
      <c r="W709" s="124">
        <f t="shared" si="106"/>
        <v>617.93567790221994</v>
      </c>
      <c r="X709" s="124">
        <f t="shared" si="107"/>
        <v>6721321.4839666225</v>
      </c>
      <c r="Y709" s="264">
        <f t="shared" si="108"/>
        <v>700</v>
      </c>
      <c r="Z709" s="10">
        <v>140</v>
      </c>
      <c r="AA709" s="7">
        <v>999</v>
      </c>
      <c r="AB709" s="7">
        <v>700</v>
      </c>
      <c r="AC709" s="109">
        <v>617.93567790221994</v>
      </c>
      <c r="AD709" s="109">
        <v>6721321.4839666225</v>
      </c>
      <c r="AE709" s="125"/>
      <c r="AF709" s="10"/>
      <c r="AI709" s="109"/>
      <c r="AJ709" s="109"/>
      <c r="AL709" s="10"/>
      <c r="AO709" s="109"/>
      <c r="AP709" s="109"/>
      <c r="AR709" s="10"/>
      <c r="AU709" s="109"/>
      <c r="AV709" s="109"/>
      <c r="AX709" s="10"/>
      <c r="BA709" s="109"/>
      <c r="BB709" s="109"/>
      <c r="BD709" s="10"/>
      <c r="BG709" s="109"/>
      <c r="BH709" s="109"/>
      <c r="BJ709" s="10"/>
      <c r="BM709" s="109"/>
      <c r="BN709" s="109"/>
      <c r="BP709" s="10"/>
      <c r="BS709" s="109"/>
      <c r="BT709" s="109"/>
      <c r="BV709" s="10"/>
      <c r="BY709" s="109"/>
      <c r="BZ709" s="109"/>
      <c r="CB709" s="10"/>
      <c r="CE709" s="109"/>
      <c r="CF709" s="109"/>
      <c r="CH709" s="10"/>
      <c r="CK709" s="109"/>
      <c r="CL709" s="109"/>
    </row>
    <row r="710" spans="1:90">
      <c r="A710" s="7" t="str">
        <f t="shared" si="101"/>
        <v>01410141</v>
      </c>
      <c r="B710" s="7" t="s">
        <v>2480</v>
      </c>
      <c r="C710" s="7" t="s">
        <v>2480</v>
      </c>
      <c r="D710" s="7">
        <v>701</v>
      </c>
      <c r="E710" s="7">
        <v>141</v>
      </c>
      <c r="F710" s="7" t="s">
        <v>1846</v>
      </c>
      <c r="G710" s="7">
        <v>141</v>
      </c>
      <c r="H710" s="7" t="s">
        <v>1407</v>
      </c>
      <c r="I710" s="37">
        <v>27512651.906879999</v>
      </c>
      <c r="J710" s="122">
        <v>0.90260575933373344</v>
      </c>
      <c r="K710" s="123">
        <f>X710</f>
        <v>28097682.163007021</v>
      </c>
      <c r="L710" s="122">
        <f>IF(K714&gt;0, K710/K714, 0)</f>
        <v>0.8937201957557851</v>
      </c>
      <c r="M710" s="71"/>
      <c r="N710" s="10">
        <f>ROUND(M714*L710,0)</f>
        <v>16800420</v>
      </c>
      <c r="O710" s="70">
        <v>16516841</v>
      </c>
      <c r="P710" s="10">
        <f>N710-O710</f>
        <v>283579</v>
      </c>
      <c r="Q710" s="46">
        <f t="shared" si="109"/>
        <v>1.716908215075752</v>
      </c>
      <c r="R710" s="10">
        <v>2688</v>
      </c>
      <c r="S710" s="7">
        <f t="shared" si="102"/>
        <v>0</v>
      </c>
      <c r="T710" s="124">
        <f t="shared" si="103"/>
        <v>141</v>
      </c>
      <c r="U710" s="124">
        <f t="shared" si="104"/>
        <v>141</v>
      </c>
      <c r="V710" s="124">
        <f t="shared" si="105"/>
        <v>701</v>
      </c>
      <c r="W710" s="124">
        <f t="shared" si="106"/>
        <v>2712</v>
      </c>
      <c r="X710" s="124">
        <f t="shared" si="107"/>
        <v>28097682.163007021</v>
      </c>
      <c r="Y710" s="264">
        <f t="shared" si="108"/>
        <v>701</v>
      </c>
      <c r="Z710" s="10">
        <v>141</v>
      </c>
      <c r="AA710" s="7">
        <v>141</v>
      </c>
      <c r="AB710" s="7">
        <v>701</v>
      </c>
      <c r="AC710" s="109">
        <v>2712</v>
      </c>
      <c r="AD710" s="109">
        <v>28097682.163007021</v>
      </c>
      <c r="AE710" s="125"/>
      <c r="AF710" s="10"/>
      <c r="AI710" s="109"/>
      <c r="AJ710" s="109"/>
      <c r="AL710" s="10"/>
      <c r="AO710" s="109"/>
      <c r="AP710" s="109"/>
      <c r="AR710" s="10"/>
      <c r="AU710" s="109"/>
      <c r="AV710" s="109"/>
      <c r="AX710" s="10"/>
      <c r="BA710" s="109"/>
      <c r="BB710" s="109"/>
      <c r="BD710" s="10"/>
      <c r="BG710" s="109"/>
      <c r="BH710" s="109"/>
      <c r="BJ710" s="10"/>
      <c r="BM710" s="109"/>
      <c r="BN710" s="109"/>
      <c r="BP710" s="10"/>
      <c r="BS710" s="109"/>
      <c r="BT710" s="109"/>
      <c r="BV710" s="10"/>
      <c r="BY710" s="109"/>
      <c r="BZ710" s="109"/>
      <c r="CB710" s="10"/>
      <c r="CE710" s="109"/>
      <c r="CF710" s="109"/>
      <c r="CH710" s="10"/>
      <c r="CK710" s="109"/>
      <c r="CL710" s="109"/>
    </row>
    <row r="711" spans="1:90">
      <c r="A711" s="7" t="str">
        <f t="shared" si="101"/>
        <v>01410801</v>
      </c>
      <c r="B711" s="7" t="s">
        <v>2480</v>
      </c>
      <c r="C711" s="7" t="s">
        <v>2752</v>
      </c>
      <c r="D711" s="7">
        <v>702</v>
      </c>
      <c r="E711" s="7">
        <v>141</v>
      </c>
      <c r="F711" s="7" t="s">
        <v>1846</v>
      </c>
      <c r="G711" s="7">
        <v>801</v>
      </c>
      <c r="H711" s="7" t="s">
        <v>1679</v>
      </c>
      <c r="I711" s="37">
        <v>2968709</v>
      </c>
      <c r="J711" s="122">
        <v>9.7394240666266563E-2</v>
      </c>
      <c r="K711" s="123">
        <f t="shared" si="110"/>
        <v>3341332.3030875726</v>
      </c>
      <c r="L711" s="122">
        <f>IF(K714&gt;0, K711/K714, 0)</f>
        <v>0.10627980424421486</v>
      </c>
      <c r="M711" s="71"/>
      <c r="N711" s="10">
        <f>ROUND(M714*L711,0)</f>
        <v>1997880</v>
      </c>
      <c r="O711" s="70">
        <v>1782223</v>
      </c>
      <c r="P711" s="10">
        <f>N711-O711</f>
        <v>215657</v>
      </c>
      <c r="Q711" s="46">
        <f t="shared" si="109"/>
        <v>12.100449831474512</v>
      </c>
      <c r="R711" s="10">
        <v>176</v>
      </c>
      <c r="S711" s="7">
        <f t="shared" si="102"/>
        <v>0</v>
      </c>
      <c r="T711" s="124">
        <f t="shared" si="103"/>
        <v>141</v>
      </c>
      <c r="U711" s="124">
        <f t="shared" si="104"/>
        <v>801</v>
      </c>
      <c r="V711" s="124">
        <f t="shared" si="105"/>
        <v>702</v>
      </c>
      <c r="W711" s="124">
        <f t="shared" si="106"/>
        <v>197.99999999780002</v>
      </c>
      <c r="X711" s="124">
        <f t="shared" si="107"/>
        <v>3341332.3030875726</v>
      </c>
      <c r="Y711" s="264">
        <f t="shared" si="108"/>
        <v>702</v>
      </c>
      <c r="Z711" s="10">
        <v>141</v>
      </c>
      <c r="AA711" s="7">
        <v>801</v>
      </c>
      <c r="AB711" s="7">
        <v>702</v>
      </c>
      <c r="AC711" s="109">
        <v>197.99999999780002</v>
      </c>
      <c r="AD711" s="109">
        <v>3341332.3030875726</v>
      </c>
      <c r="AE711" s="125"/>
      <c r="AF711" s="10"/>
      <c r="AI711" s="109"/>
      <c r="AJ711" s="109"/>
      <c r="AL711" s="10"/>
      <c r="AO711" s="109"/>
      <c r="AP711" s="109"/>
      <c r="AR711" s="10"/>
      <c r="AU711" s="109"/>
      <c r="AV711" s="109"/>
      <c r="AX711" s="10"/>
      <c r="BA711" s="109"/>
      <c r="BB711" s="109"/>
      <c r="BD711" s="10"/>
      <c r="BG711" s="109"/>
      <c r="BH711" s="109"/>
      <c r="BJ711" s="10"/>
      <c r="BM711" s="109"/>
      <c r="BN711" s="109"/>
      <c r="BP711" s="10"/>
      <c r="BS711" s="109"/>
      <c r="BT711" s="109"/>
      <c r="BV711" s="10"/>
      <c r="BY711" s="109"/>
      <c r="BZ711" s="109"/>
      <c r="CB711" s="10"/>
      <c r="CE711" s="109"/>
      <c r="CF711" s="109"/>
      <c r="CH711" s="10"/>
      <c r="CK711" s="109"/>
      <c r="CL711" s="109"/>
    </row>
    <row r="712" spans="1:90">
      <c r="A712" s="7" t="str">
        <f t="shared" si="101"/>
        <v>01410998</v>
      </c>
      <c r="B712" s="7" t="s">
        <v>2480</v>
      </c>
      <c r="C712" s="7" t="s">
        <v>2781</v>
      </c>
      <c r="D712" s="7">
        <v>703</v>
      </c>
      <c r="E712" s="7">
        <v>141</v>
      </c>
      <c r="F712" s="7" t="s">
        <v>2135</v>
      </c>
      <c r="G712" s="7">
        <v>998</v>
      </c>
      <c r="H712" s="7" t="s">
        <v>2135</v>
      </c>
      <c r="I712" s="37">
        <v>0</v>
      </c>
      <c r="J712" s="122">
        <v>0</v>
      </c>
      <c r="K712" s="123">
        <f t="shared" si="110"/>
        <v>0</v>
      </c>
      <c r="L712" s="122">
        <f>IF(K714&gt;0, K712/K714, 0)</f>
        <v>0</v>
      </c>
      <c r="M712" s="71"/>
      <c r="N712" s="10">
        <f>ROUND(M714*L712,0)</f>
        <v>0</v>
      </c>
      <c r="O712" s="70">
        <v>0</v>
      </c>
      <c r="P712" s="10">
        <f>N712-O712</f>
        <v>0</v>
      </c>
      <c r="Q712" s="46">
        <f t="shared" si="109"/>
        <v>0</v>
      </c>
      <c r="R712" s="10">
        <v>0</v>
      </c>
      <c r="S712" s="7">
        <f t="shared" si="102"/>
        <v>0</v>
      </c>
      <c r="T712" s="124">
        <f t="shared" si="103"/>
        <v>141</v>
      </c>
      <c r="U712" s="124">
        <f t="shared" si="104"/>
        <v>998</v>
      </c>
      <c r="V712" s="124">
        <f t="shared" si="105"/>
        <v>703</v>
      </c>
      <c r="W712" s="124">
        <f t="shared" si="106"/>
        <v>0</v>
      </c>
      <c r="X712" s="124">
        <f t="shared" si="107"/>
        <v>0</v>
      </c>
      <c r="Y712" s="264">
        <f t="shared" si="108"/>
        <v>703</v>
      </c>
      <c r="Z712" s="10">
        <v>141</v>
      </c>
      <c r="AA712" s="7">
        <v>998</v>
      </c>
      <c r="AB712" s="7">
        <v>703</v>
      </c>
      <c r="AC712" s="109">
        <v>0</v>
      </c>
      <c r="AD712" s="109">
        <v>0</v>
      </c>
      <c r="AE712" s="125"/>
      <c r="AF712" s="10"/>
      <c r="AI712" s="109"/>
      <c r="AJ712" s="109"/>
      <c r="AL712" s="10"/>
      <c r="AO712" s="109"/>
      <c r="AP712" s="109"/>
      <c r="AR712" s="10"/>
      <c r="AU712" s="109"/>
      <c r="AV712" s="109"/>
      <c r="AX712" s="10"/>
      <c r="BA712" s="109"/>
      <c r="BB712" s="109"/>
      <c r="BD712" s="10"/>
      <c r="BG712" s="109"/>
      <c r="BH712" s="109"/>
      <c r="BJ712" s="10"/>
      <c r="BM712" s="109"/>
      <c r="BN712" s="109"/>
      <c r="BP712" s="10"/>
      <c r="BS712" s="109"/>
      <c r="BT712" s="109"/>
      <c r="BV712" s="10"/>
      <c r="BY712" s="109"/>
      <c r="BZ712" s="109"/>
      <c r="CB712" s="10"/>
      <c r="CE712" s="109"/>
      <c r="CF712" s="109"/>
      <c r="CH712" s="10"/>
      <c r="CK712" s="109"/>
      <c r="CL712" s="109"/>
    </row>
    <row r="713" spans="1:90">
      <c r="A713" s="7" t="str">
        <f t="shared" si="101"/>
        <v>01410998</v>
      </c>
      <c r="B713" s="7" t="s">
        <v>2480</v>
      </c>
      <c r="C713" s="7" t="s">
        <v>2781</v>
      </c>
      <c r="D713" s="7">
        <v>704</v>
      </c>
      <c r="E713" s="7">
        <v>141</v>
      </c>
      <c r="F713" s="7" t="s">
        <v>2135</v>
      </c>
      <c r="G713" s="7">
        <v>998</v>
      </c>
      <c r="H713" s="7" t="s">
        <v>2135</v>
      </c>
      <c r="I713" s="37">
        <v>0</v>
      </c>
      <c r="J713" s="122">
        <v>0</v>
      </c>
      <c r="K713" s="123">
        <f t="shared" si="110"/>
        <v>0</v>
      </c>
      <c r="L713" s="122">
        <f>IF(K714&gt;0, K713/K714, 0)</f>
        <v>0</v>
      </c>
      <c r="M713" s="71"/>
      <c r="N713" s="10">
        <f>ROUND(M714*L713,0)</f>
        <v>0</v>
      </c>
      <c r="O713" s="70">
        <v>0</v>
      </c>
      <c r="P713" s="10">
        <f>N713-O713</f>
        <v>0</v>
      </c>
      <c r="Q713" s="46">
        <f t="shared" si="109"/>
        <v>0</v>
      </c>
      <c r="R713" s="10">
        <v>0</v>
      </c>
      <c r="S713" s="7">
        <f t="shared" si="102"/>
        <v>0</v>
      </c>
      <c r="T713" s="124">
        <f t="shared" si="103"/>
        <v>141</v>
      </c>
      <c r="U713" s="124">
        <f t="shared" si="104"/>
        <v>998</v>
      </c>
      <c r="V713" s="124">
        <f t="shared" si="105"/>
        <v>704</v>
      </c>
      <c r="W713" s="124">
        <f t="shared" si="106"/>
        <v>0</v>
      </c>
      <c r="X713" s="124">
        <f t="shared" si="107"/>
        <v>0</v>
      </c>
      <c r="Y713" s="264">
        <f t="shared" si="108"/>
        <v>704</v>
      </c>
      <c r="Z713" s="10">
        <v>141</v>
      </c>
      <c r="AA713" s="7">
        <v>998</v>
      </c>
      <c r="AB713" s="7">
        <v>704</v>
      </c>
      <c r="AC713" s="109">
        <v>0</v>
      </c>
      <c r="AD713" s="109">
        <v>0</v>
      </c>
      <c r="AE713" s="125"/>
      <c r="AF713" s="10"/>
      <c r="AI713" s="109"/>
      <c r="AJ713" s="109"/>
      <c r="AL713" s="10"/>
      <c r="AO713" s="109"/>
      <c r="AP713" s="109"/>
      <c r="AR713" s="10"/>
      <c r="AU713" s="109"/>
      <c r="AV713" s="109"/>
      <c r="AX713" s="10"/>
      <c r="BA713" s="109"/>
      <c r="BB713" s="109"/>
      <c r="BD713" s="10"/>
      <c r="BG713" s="109"/>
      <c r="BH713" s="109"/>
      <c r="BJ713" s="10"/>
      <c r="BM713" s="109"/>
      <c r="BN713" s="109"/>
      <c r="BP713" s="10"/>
      <c r="BS713" s="109"/>
      <c r="BT713" s="109"/>
      <c r="BV713" s="10"/>
      <c r="BY713" s="109"/>
      <c r="BZ713" s="109"/>
      <c r="CB713" s="10"/>
      <c r="CE713" s="109"/>
      <c r="CF713" s="109"/>
      <c r="CH713" s="10"/>
      <c r="CK713" s="109"/>
      <c r="CL713" s="109"/>
    </row>
    <row r="714" spans="1:90">
      <c r="A714" s="7" t="str">
        <f t="shared" ref="A714:A777" si="111">B714&amp;C714</f>
        <v>01410999</v>
      </c>
      <c r="B714" s="7" t="s">
        <v>2480</v>
      </c>
      <c r="C714" s="7" t="s">
        <v>2782</v>
      </c>
      <c r="D714" s="7">
        <v>705</v>
      </c>
      <c r="E714" s="11">
        <v>141</v>
      </c>
      <c r="F714" s="11" t="s">
        <v>1846</v>
      </c>
      <c r="G714" s="11">
        <v>999</v>
      </c>
      <c r="H714" s="11" t="s">
        <v>1132</v>
      </c>
      <c r="I714" s="105">
        <v>30481360.906879999</v>
      </c>
      <c r="J714" s="126">
        <v>1</v>
      </c>
      <c r="K714" s="127">
        <f>SUM(K710:K713)</f>
        <v>31439014.466094594</v>
      </c>
      <c r="L714" s="126">
        <f>SUM(L710:L713)</f>
        <v>1</v>
      </c>
      <c r="M714" s="105">
        <f>VLOOKUP(E714,town351,22)</f>
        <v>18798300</v>
      </c>
      <c r="N714" s="105">
        <f>SUM(N710:N713)</f>
        <v>18798300</v>
      </c>
      <c r="O714" s="128">
        <v>18299064</v>
      </c>
      <c r="P714" s="105">
        <f>SUM(P710:P713)</f>
        <v>499236</v>
      </c>
      <c r="Q714" s="45">
        <f t="shared" si="109"/>
        <v>2.7282051147534103</v>
      </c>
      <c r="R714" s="105">
        <v>2864</v>
      </c>
      <c r="S714" s="7">
        <f t="shared" ref="S714:S777" si="112">ABS(T714-E714)+ABS(U714-G714)</f>
        <v>0</v>
      </c>
      <c r="T714" s="124">
        <f t="shared" ref="T714:T777" si="113">VLOOKUP($D714, foundoptions, VLOOKUP($T$6, foundoptcell, 2, FALSE), FALSE)</f>
        <v>141</v>
      </c>
      <c r="U714" s="124">
        <f t="shared" ref="U714:U777" si="114">VLOOKUP($D714, foundoptions, VLOOKUP($T$6, foundoptcell, 2, FALSE)+1, FALSE)</f>
        <v>999</v>
      </c>
      <c r="V714" s="124">
        <f t="shared" ref="V714:V777" si="115">VLOOKUP($D714, foundoptions, VLOOKUP($T$6, foundoptcell, 2, FALSE)+2, FALSE)</f>
        <v>705</v>
      </c>
      <c r="W714" s="124">
        <f t="shared" ref="W714:W777" si="116">VLOOKUP($D714, foundoptions, VLOOKUP($T$6, foundoptcell, 2, FALSE)+3, FALSE)</f>
        <v>2909.9999999977999</v>
      </c>
      <c r="X714" s="124">
        <f t="shared" ref="X714:X777" si="117">VLOOKUP($D714, foundoptions, VLOOKUP($T$6, foundoptcell, 2, FALSE)+4, FALSE)</f>
        <v>31439014.466094594</v>
      </c>
      <c r="Y714" s="264">
        <f t="shared" si="108"/>
        <v>705</v>
      </c>
      <c r="Z714" s="10">
        <v>141</v>
      </c>
      <c r="AA714" s="7">
        <v>999</v>
      </c>
      <c r="AB714" s="7">
        <v>705</v>
      </c>
      <c r="AC714" s="109">
        <v>2909.9999999977999</v>
      </c>
      <c r="AD714" s="109">
        <v>31439014.466094594</v>
      </c>
      <c r="AE714" s="125"/>
      <c r="AF714" s="10"/>
      <c r="AI714" s="109"/>
      <c r="AJ714" s="109"/>
      <c r="AL714" s="10"/>
      <c r="AO714" s="109"/>
      <c r="AP714" s="109"/>
      <c r="AR714" s="10"/>
      <c r="AU714" s="109"/>
      <c r="AV714" s="109"/>
      <c r="AX714" s="10"/>
      <c r="BA714" s="109"/>
      <c r="BB714" s="109"/>
      <c r="BD714" s="10"/>
      <c r="BG714" s="109"/>
      <c r="BH714" s="109"/>
      <c r="BJ714" s="10"/>
      <c r="BM714" s="109"/>
      <c r="BN714" s="109"/>
      <c r="BP714" s="10"/>
      <c r="BS714" s="109"/>
      <c r="BT714" s="109"/>
      <c r="BV714" s="10"/>
      <c r="BY714" s="109"/>
      <c r="BZ714" s="109"/>
      <c r="CB714" s="10"/>
      <c r="CE714" s="109"/>
      <c r="CF714" s="109"/>
      <c r="CH714" s="10"/>
      <c r="CK714" s="109"/>
      <c r="CL714" s="109"/>
    </row>
    <row r="715" spans="1:90">
      <c r="A715" s="7" t="str">
        <f t="shared" si="111"/>
        <v>01420142</v>
      </c>
      <c r="B715" s="7" t="s">
        <v>2481</v>
      </c>
      <c r="C715" s="7" t="s">
        <v>2481</v>
      </c>
      <c r="D715" s="7">
        <v>706</v>
      </c>
      <c r="E715" s="7">
        <v>142</v>
      </c>
      <c r="F715" s="7" t="s">
        <v>1847</v>
      </c>
      <c r="G715" s="7">
        <v>142</v>
      </c>
      <c r="H715" s="7" t="s">
        <v>1408</v>
      </c>
      <c r="I715" s="37">
        <v>10359200.878399998</v>
      </c>
      <c r="J715" s="122">
        <v>1</v>
      </c>
      <c r="K715" s="123">
        <f>X715</f>
        <v>10207764.981851343</v>
      </c>
      <c r="L715" s="122">
        <f>IF(K719&gt;0, K715/K719, 0)</f>
        <v>1</v>
      </c>
      <c r="M715" s="71"/>
      <c r="N715" s="10">
        <f>ROUND(M719*L715,0)</f>
        <v>8510548</v>
      </c>
      <c r="O715" s="70">
        <v>8708283</v>
      </c>
      <c r="P715" s="10">
        <f>N715-O715</f>
        <v>-197735</v>
      </c>
      <c r="Q715" s="46">
        <f t="shared" si="109"/>
        <v>-2.2706542724897663</v>
      </c>
      <c r="R715" s="10">
        <v>1002</v>
      </c>
      <c r="S715" s="7">
        <f t="shared" si="112"/>
        <v>0</v>
      </c>
      <c r="T715" s="124">
        <f t="shared" si="113"/>
        <v>142</v>
      </c>
      <c r="U715" s="124">
        <f t="shared" si="114"/>
        <v>142</v>
      </c>
      <c r="V715" s="124">
        <f t="shared" si="115"/>
        <v>706</v>
      </c>
      <c r="W715" s="124">
        <f t="shared" si="116"/>
        <v>971</v>
      </c>
      <c r="X715" s="124">
        <f t="shared" si="117"/>
        <v>10207764.981851343</v>
      </c>
      <c r="Y715" s="264">
        <f t="shared" ref="Y715:Y778" si="118">D715</f>
        <v>706</v>
      </c>
      <c r="Z715" s="10">
        <v>142</v>
      </c>
      <c r="AA715" s="7">
        <v>142</v>
      </c>
      <c r="AB715" s="7">
        <v>706</v>
      </c>
      <c r="AC715" s="109">
        <v>971</v>
      </c>
      <c r="AD715" s="109">
        <v>10207764.981851343</v>
      </c>
      <c r="AE715" s="125"/>
      <c r="AF715" s="10"/>
      <c r="AI715" s="109"/>
      <c r="AJ715" s="109"/>
      <c r="AL715" s="10"/>
      <c r="AO715" s="109"/>
      <c r="AP715" s="109"/>
      <c r="AR715" s="10"/>
      <c r="AU715" s="109"/>
      <c r="AV715" s="109"/>
      <c r="AX715" s="10"/>
      <c r="BA715" s="109"/>
      <c r="BB715" s="109"/>
      <c r="BD715" s="10"/>
      <c r="BG715" s="109"/>
      <c r="BH715" s="109"/>
      <c r="BJ715" s="10"/>
      <c r="BM715" s="109"/>
      <c r="BN715" s="109"/>
      <c r="BP715" s="10"/>
      <c r="BS715" s="109"/>
      <c r="BT715" s="109"/>
      <c r="BV715" s="10"/>
      <c r="BY715" s="109"/>
      <c r="BZ715" s="109"/>
      <c r="CB715" s="10"/>
      <c r="CE715" s="109"/>
      <c r="CF715" s="109"/>
      <c r="CH715" s="10"/>
      <c r="CK715" s="109"/>
      <c r="CL715" s="109"/>
    </row>
    <row r="716" spans="1:90">
      <c r="A716" s="7" t="str">
        <f t="shared" si="111"/>
        <v>01420998</v>
      </c>
      <c r="B716" s="7" t="s">
        <v>2481</v>
      </c>
      <c r="C716" s="7" t="s">
        <v>2781</v>
      </c>
      <c r="D716" s="7">
        <v>707</v>
      </c>
      <c r="E716" s="7">
        <v>142</v>
      </c>
      <c r="F716" s="7" t="s">
        <v>2135</v>
      </c>
      <c r="G716" s="7">
        <v>998</v>
      </c>
      <c r="H716" s="7" t="s">
        <v>2135</v>
      </c>
      <c r="I716" s="37">
        <v>0</v>
      </c>
      <c r="J716" s="122">
        <v>0</v>
      </c>
      <c r="K716" s="123">
        <f t="shared" si="110"/>
        <v>0</v>
      </c>
      <c r="L716" s="122">
        <f>IF(K719&gt;0, K716/K719, 0)</f>
        <v>0</v>
      </c>
      <c r="M716" s="71"/>
      <c r="N716" s="10">
        <f>ROUND(M719*L716,0)</f>
        <v>0</v>
      </c>
      <c r="O716" s="70">
        <v>0</v>
      </c>
      <c r="P716" s="10">
        <f>N716-O716</f>
        <v>0</v>
      </c>
      <c r="Q716" s="46">
        <f t="shared" si="109"/>
        <v>0</v>
      </c>
      <c r="R716" s="10">
        <v>0</v>
      </c>
      <c r="S716" s="7">
        <f t="shared" si="112"/>
        <v>0</v>
      </c>
      <c r="T716" s="124">
        <f t="shared" si="113"/>
        <v>142</v>
      </c>
      <c r="U716" s="124">
        <f t="shared" si="114"/>
        <v>998</v>
      </c>
      <c r="V716" s="124">
        <f t="shared" si="115"/>
        <v>707</v>
      </c>
      <c r="W716" s="124">
        <f t="shared" si="116"/>
        <v>0</v>
      </c>
      <c r="X716" s="124">
        <f t="shared" si="117"/>
        <v>0</v>
      </c>
      <c r="Y716" s="264">
        <f t="shared" si="118"/>
        <v>707</v>
      </c>
      <c r="Z716" s="10">
        <v>142</v>
      </c>
      <c r="AA716" s="7">
        <v>998</v>
      </c>
      <c r="AB716" s="7">
        <v>707</v>
      </c>
      <c r="AC716" s="109">
        <v>0</v>
      </c>
      <c r="AD716" s="109">
        <v>0</v>
      </c>
      <c r="AE716" s="125"/>
      <c r="AF716" s="10"/>
      <c r="AI716" s="109"/>
      <c r="AJ716" s="109"/>
      <c r="AL716" s="10"/>
      <c r="AO716" s="109"/>
      <c r="AP716" s="109"/>
      <c r="AR716" s="10"/>
      <c r="AU716" s="109"/>
      <c r="AV716" s="109"/>
      <c r="AX716" s="10"/>
      <c r="BA716" s="109"/>
      <c r="BB716" s="109"/>
      <c r="BD716" s="10"/>
      <c r="BG716" s="109"/>
      <c r="BH716" s="109"/>
      <c r="BJ716" s="10"/>
      <c r="BM716" s="109"/>
      <c r="BN716" s="109"/>
      <c r="BP716" s="10"/>
      <c r="BS716" s="109"/>
      <c r="BT716" s="109"/>
      <c r="BV716" s="10"/>
      <c r="BY716" s="109"/>
      <c r="BZ716" s="109"/>
      <c r="CB716" s="10"/>
      <c r="CE716" s="109"/>
      <c r="CF716" s="109"/>
      <c r="CH716" s="10"/>
      <c r="CK716" s="109"/>
      <c r="CL716" s="109"/>
    </row>
    <row r="717" spans="1:90">
      <c r="A717" s="7" t="str">
        <f t="shared" si="111"/>
        <v>01420998</v>
      </c>
      <c r="B717" s="7" t="s">
        <v>2481</v>
      </c>
      <c r="C717" s="7" t="s">
        <v>2781</v>
      </c>
      <c r="D717" s="7">
        <v>708</v>
      </c>
      <c r="E717" s="7">
        <v>142</v>
      </c>
      <c r="F717" s="7" t="s">
        <v>2135</v>
      </c>
      <c r="G717" s="7">
        <v>998</v>
      </c>
      <c r="H717" s="7" t="s">
        <v>2135</v>
      </c>
      <c r="I717" s="37">
        <v>0</v>
      </c>
      <c r="J717" s="122">
        <v>0</v>
      </c>
      <c r="K717" s="123">
        <f t="shared" si="110"/>
        <v>0</v>
      </c>
      <c r="L717" s="122">
        <f>IF(K719&gt;0, K717/K719, 0)</f>
        <v>0</v>
      </c>
      <c r="M717" s="71"/>
      <c r="N717" s="10">
        <f>ROUND(M719*L717,0)</f>
        <v>0</v>
      </c>
      <c r="O717" s="70">
        <v>0</v>
      </c>
      <c r="P717" s="10">
        <f>N717-O717</f>
        <v>0</v>
      </c>
      <c r="Q717" s="46">
        <f t="shared" si="109"/>
        <v>0</v>
      </c>
      <c r="R717" s="10">
        <v>0</v>
      </c>
      <c r="S717" s="7">
        <f t="shared" si="112"/>
        <v>0</v>
      </c>
      <c r="T717" s="124">
        <f t="shared" si="113"/>
        <v>142</v>
      </c>
      <c r="U717" s="124">
        <f t="shared" si="114"/>
        <v>998</v>
      </c>
      <c r="V717" s="124">
        <f t="shared" si="115"/>
        <v>708</v>
      </c>
      <c r="W717" s="124">
        <f t="shared" si="116"/>
        <v>0</v>
      </c>
      <c r="X717" s="124">
        <f t="shared" si="117"/>
        <v>0</v>
      </c>
      <c r="Y717" s="264">
        <f t="shared" si="118"/>
        <v>708</v>
      </c>
      <c r="Z717" s="10">
        <v>142</v>
      </c>
      <c r="AA717" s="7">
        <v>998</v>
      </c>
      <c r="AB717" s="7">
        <v>708</v>
      </c>
      <c r="AC717" s="109">
        <v>0</v>
      </c>
      <c r="AD717" s="109">
        <v>0</v>
      </c>
      <c r="AE717" s="125"/>
      <c r="AF717" s="10"/>
      <c r="AI717" s="109"/>
      <c r="AJ717" s="109"/>
      <c r="AL717" s="10"/>
      <c r="AO717" s="109"/>
      <c r="AP717" s="109"/>
      <c r="AR717" s="10"/>
      <c r="AU717" s="109"/>
      <c r="AV717" s="109"/>
      <c r="AX717" s="10"/>
      <c r="BA717" s="109"/>
      <c r="BB717" s="109"/>
      <c r="BD717" s="10"/>
      <c r="BG717" s="109"/>
      <c r="BH717" s="109"/>
      <c r="BJ717" s="10"/>
      <c r="BM717" s="109"/>
      <c r="BN717" s="109"/>
      <c r="BP717" s="10"/>
      <c r="BS717" s="109"/>
      <c r="BT717" s="109"/>
      <c r="BV717" s="10"/>
      <c r="BY717" s="109"/>
      <c r="BZ717" s="109"/>
      <c r="CB717" s="10"/>
      <c r="CE717" s="109"/>
      <c r="CF717" s="109"/>
      <c r="CH717" s="10"/>
      <c r="CK717" s="109"/>
      <c r="CL717" s="109"/>
    </row>
    <row r="718" spans="1:90">
      <c r="A718" s="7" t="str">
        <f t="shared" si="111"/>
        <v>01420998</v>
      </c>
      <c r="B718" s="7" t="s">
        <v>2481</v>
      </c>
      <c r="C718" s="7" t="s">
        <v>2781</v>
      </c>
      <c r="D718" s="7">
        <v>709</v>
      </c>
      <c r="E718" s="7">
        <v>142</v>
      </c>
      <c r="F718" s="7" t="s">
        <v>2135</v>
      </c>
      <c r="G718" s="7">
        <v>998</v>
      </c>
      <c r="H718" s="7" t="s">
        <v>2135</v>
      </c>
      <c r="I718" s="37">
        <v>0</v>
      </c>
      <c r="J718" s="122">
        <v>0</v>
      </c>
      <c r="K718" s="123">
        <f t="shared" si="110"/>
        <v>0</v>
      </c>
      <c r="L718" s="122">
        <f>IF(K719&gt;0, K718/K719, 0)</f>
        <v>0</v>
      </c>
      <c r="M718" s="71"/>
      <c r="N718" s="10">
        <f>ROUND(M719*L718,0)</f>
        <v>0</v>
      </c>
      <c r="O718" s="70">
        <v>0</v>
      </c>
      <c r="P718" s="10">
        <f>N718-O718</f>
        <v>0</v>
      </c>
      <c r="Q718" s="46">
        <f t="shared" si="109"/>
        <v>0</v>
      </c>
      <c r="R718" s="10">
        <v>0</v>
      </c>
      <c r="S718" s="7">
        <f t="shared" si="112"/>
        <v>0</v>
      </c>
      <c r="T718" s="124">
        <f t="shared" si="113"/>
        <v>142</v>
      </c>
      <c r="U718" s="124">
        <f t="shared" si="114"/>
        <v>998</v>
      </c>
      <c r="V718" s="124">
        <f t="shared" si="115"/>
        <v>709</v>
      </c>
      <c r="W718" s="124">
        <f t="shared" si="116"/>
        <v>0</v>
      </c>
      <c r="X718" s="124">
        <f t="shared" si="117"/>
        <v>0</v>
      </c>
      <c r="Y718" s="264">
        <f t="shared" si="118"/>
        <v>709</v>
      </c>
      <c r="Z718" s="10">
        <v>142</v>
      </c>
      <c r="AA718" s="7">
        <v>998</v>
      </c>
      <c r="AB718" s="7">
        <v>709</v>
      </c>
      <c r="AC718" s="109">
        <v>0</v>
      </c>
      <c r="AD718" s="109">
        <v>0</v>
      </c>
      <c r="AE718" s="125"/>
      <c r="AF718" s="10"/>
      <c r="AI718" s="109"/>
      <c r="AJ718" s="109"/>
      <c r="AL718" s="10"/>
      <c r="AO718" s="109"/>
      <c r="AP718" s="109"/>
      <c r="AR718" s="10"/>
      <c r="AU718" s="109"/>
      <c r="AV718" s="109"/>
      <c r="AX718" s="10"/>
      <c r="BA718" s="109"/>
      <c r="BB718" s="109"/>
      <c r="BD718" s="10"/>
      <c r="BG718" s="109"/>
      <c r="BH718" s="109"/>
      <c r="BJ718" s="10"/>
      <c r="BM718" s="109"/>
      <c r="BN718" s="109"/>
      <c r="BP718" s="10"/>
      <c r="BS718" s="109"/>
      <c r="BT718" s="109"/>
      <c r="BV718" s="10"/>
      <c r="BY718" s="109"/>
      <c r="BZ718" s="109"/>
      <c r="CB718" s="10"/>
      <c r="CE718" s="109"/>
      <c r="CF718" s="109"/>
      <c r="CH718" s="10"/>
      <c r="CK718" s="109"/>
      <c r="CL718" s="109"/>
    </row>
    <row r="719" spans="1:90">
      <c r="A719" s="7" t="str">
        <f t="shared" si="111"/>
        <v>01420999</v>
      </c>
      <c r="B719" s="7" t="s">
        <v>2481</v>
      </c>
      <c r="C719" s="7" t="s">
        <v>2782</v>
      </c>
      <c r="D719" s="7">
        <v>710</v>
      </c>
      <c r="E719" s="11">
        <v>142</v>
      </c>
      <c r="F719" s="11" t="s">
        <v>1847</v>
      </c>
      <c r="G719" s="11">
        <v>999</v>
      </c>
      <c r="H719" s="11" t="s">
        <v>1132</v>
      </c>
      <c r="I719" s="105">
        <v>10359200.878399998</v>
      </c>
      <c r="J719" s="126">
        <v>1</v>
      </c>
      <c r="K719" s="127">
        <f>SUM(K715:K718)</f>
        <v>10207764.981851343</v>
      </c>
      <c r="L719" s="126">
        <f>SUM(L715:L718)</f>
        <v>1</v>
      </c>
      <c r="M719" s="105">
        <f>VLOOKUP(E719,town351,22)</f>
        <v>8510548</v>
      </c>
      <c r="N719" s="105">
        <f>SUM(N715:N718)</f>
        <v>8510548</v>
      </c>
      <c r="O719" s="128">
        <v>8708283</v>
      </c>
      <c r="P719" s="105">
        <f>SUM(P715:P718)</f>
        <v>-197735</v>
      </c>
      <c r="Q719" s="45">
        <f t="shared" si="109"/>
        <v>-2.2706542724897663</v>
      </c>
      <c r="R719" s="105">
        <v>1002</v>
      </c>
      <c r="S719" s="7">
        <f t="shared" si="112"/>
        <v>0</v>
      </c>
      <c r="T719" s="124">
        <f t="shared" si="113"/>
        <v>142</v>
      </c>
      <c r="U719" s="124">
        <f t="shared" si="114"/>
        <v>999</v>
      </c>
      <c r="V719" s="124">
        <f t="shared" si="115"/>
        <v>710</v>
      </c>
      <c r="W719" s="124">
        <f t="shared" si="116"/>
        <v>971</v>
      </c>
      <c r="X719" s="124">
        <f t="shared" si="117"/>
        <v>10207764.981851343</v>
      </c>
      <c r="Y719" s="264">
        <f t="shared" si="118"/>
        <v>710</v>
      </c>
      <c r="Z719" s="10">
        <v>142</v>
      </c>
      <c r="AA719" s="7">
        <v>999</v>
      </c>
      <c r="AB719" s="7">
        <v>710</v>
      </c>
      <c r="AC719" s="109">
        <v>971</v>
      </c>
      <c r="AD719" s="109">
        <v>10207764.981851343</v>
      </c>
      <c r="AE719" s="125"/>
      <c r="AF719" s="10"/>
      <c r="AI719" s="109"/>
      <c r="AJ719" s="109"/>
      <c r="AL719" s="10"/>
      <c r="AO719" s="109"/>
      <c r="AP719" s="109"/>
      <c r="AR719" s="10"/>
      <c r="AU719" s="109"/>
      <c r="AV719" s="109"/>
      <c r="AX719" s="10"/>
      <c r="BA719" s="109"/>
      <c r="BB719" s="109"/>
      <c r="BD719" s="10"/>
      <c r="BG719" s="109"/>
      <c r="BH719" s="109"/>
      <c r="BJ719" s="10"/>
      <c r="BM719" s="109"/>
      <c r="BN719" s="109"/>
      <c r="BP719" s="10"/>
      <c r="BS719" s="109"/>
      <c r="BT719" s="109"/>
      <c r="BV719" s="10"/>
      <c r="BY719" s="109"/>
      <c r="BZ719" s="109"/>
      <c r="CB719" s="10"/>
      <c r="CE719" s="109"/>
      <c r="CF719" s="109"/>
      <c r="CH719" s="10"/>
      <c r="CK719" s="109"/>
      <c r="CL719" s="109"/>
    </row>
    <row r="720" spans="1:90">
      <c r="A720" s="7" t="str">
        <f t="shared" si="111"/>
        <v>01430143</v>
      </c>
      <c r="B720" s="7" t="s">
        <v>2482</v>
      </c>
      <c r="C720" s="7" t="s">
        <v>2482</v>
      </c>
      <c r="D720" s="7">
        <v>711</v>
      </c>
      <c r="E720" s="7">
        <v>143</v>
      </c>
      <c r="F720" s="7" t="s">
        <v>1848</v>
      </c>
      <c r="G720" s="7">
        <v>143</v>
      </c>
      <c r="H720" s="7" t="s">
        <v>1409</v>
      </c>
      <c r="I720" s="37">
        <v>328207.83999999997</v>
      </c>
      <c r="J720" s="122">
        <v>0.1135789161372419</v>
      </c>
      <c r="K720" s="123">
        <f>X720</f>
        <v>361052.51613413799</v>
      </c>
      <c r="L720" s="122">
        <f>IF(K724&gt;0, K720/K724, 0)</f>
        <v>0.11860034089168907</v>
      </c>
      <c r="M720" s="71"/>
      <c r="N720" s="10">
        <f>ROUND(M724*L720,0)</f>
        <v>191170</v>
      </c>
      <c r="O720" s="70">
        <v>191008</v>
      </c>
      <c r="P720" s="10">
        <f>N720-O720</f>
        <v>162</v>
      </c>
      <c r="Q720" s="46">
        <f>IF(O720&gt;0,P720*100/O720,IF(P720&gt;0,100,0))</f>
        <v>8.4813201541296693E-2</v>
      </c>
      <c r="R720" s="10">
        <v>23</v>
      </c>
      <c r="S720" s="7">
        <f t="shared" si="112"/>
        <v>0</v>
      </c>
      <c r="T720" s="124">
        <f t="shared" si="113"/>
        <v>143</v>
      </c>
      <c r="U720" s="124">
        <f t="shared" si="114"/>
        <v>143</v>
      </c>
      <c r="V720" s="124">
        <f t="shared" si="115"/>
        <v>711</v>
      </c>
      <c r="W720" s="124">
        <f t="shared" si="116"/>
        <v>25</v>
      </c>
      <c r="X720" s="124">
        <f t="shared" si="117"/>
        <v>361052.51613413799</v>
      </c>
      <c r="Y720" s="264">
        <f t="shared" si="118"/>
        <v>711</v>
      </c>
      <c r="Z720" s="10">
        <v>143</v>
      </c>
      <c r="AA720" s="7">
        <v>143</v>
      </c>
      <c r="AB720" s="7">
        <v>711</v>
      </c>
      <c r="AC720" s="109">
        <v>25</v>
      </c>
      <c r="AD720" s="109">
        <v>361052.51613413799</v>
      </c>
      <c r="AE720" s="125"/>
      <c r="AF720" s="10"/>
      <c r="AI720" s="109"/>
      <c r="AJ720" s="109"/>
      <c r="AL720" s="10"/>
      <c r="AO720" s="109"/>
      <c r="AP720" s="109"/>
      <c r="AR720" s="10"/>
      <c r="AU720" s="109"/>
      <c r="AV720" s="109"/>
      <c r="AX720" s="10"/>
      <c r="BA720" s="109"/>
      <c r="BB720" s="109"/>
      <c r="BD720" s="10"/>
      <c r="BG720" s="109"/>
      <c r="BH720" s="109"/>
      <c r="BJ720" s="10"/>
      <c r="BM720" s="109"/>
      <c r="BN720" s="109"/>
      <c r="BP720" s="10"/>
      <c r="BS720" s="109"/>
      <c r="BT720" s="109"/>
      <c r="BV720" s="10"/>
      <c r="BY720" s="109"/>
      <c r="BZ720" s="109"/>
      <c r="CB720" s="10"/>
      <c r="CE720" s="109"/>
      <c r="CF720" s="109"/>
      <c r="CH720" s="10"/>
      <c r="CK720" s="109"/>
      <c r="CL720" s="109"/>
    </row>
    <row r="721" spans="1:90">
      <c r="A721" s="7" t="str">
        <f t="shared" si="111"/>
        <v>01430672</v>
      </c>
      <c r="B721" s="7" t="s">
        <v>2482</v>
      </c>
      <c r="C721" s="7" t="s">
        <v>2715</v>
      </c>
      <c r="D721" s="7">
        <v>712</v>
      </c>
      <c r="E721" s="7">
        <v>143</v>
      </c>
      <c r="F721" s="7" t="s">
        <v>1848</v>
      </c>
      <c r="G721" s="7">
        <v>672</v>
      </c>
      <c r="H721" s="7" t="s">
        <v>1642</v>
      </c>
      <c r="I721" s="37">
        <v>2561482</v>
      </c>
      <c r="J721" s="122">
        <v>0.88642108386275809</v>
      </c>
      <c r="K721" s="123">
        <f t="shared" si="110"/>
        <v>2683226.3908199887</v>
      </c>
      <c r="L721" s="122">
        <f>IF(K724&gt;0, K721/K724, 0)</f>
        <v>0.88139965910831097</v>
      </c>
      <c r="M721" s="71"/>
      <c r="N721" s="10">
        <f>ROUND(M724*L721,0)</f>
        <v>1420718</v>
      </c>
      <c r="O721" s="70">
        <v>1490716</v>
      </c>
      <c r="P721" s="10">
        <f>N721-O721</f>
        <v>-69998</v>
      </c>
      <c r="Q721" s="46">
        <f>IF(O721&gt;0,P721*100/O721,IF(P721&gt;0,100,0))</f>
        <v>-4.6955959418158795</v>
      </c>
      <c r="R721" s="10">
        <v>250</v>
      </c>
      <c r="S721" s="7">
        <f t="shared" si="112"/>
        <v>0</v>
      </c>
      <c r="T721" s="124">
        <f t="shared" si="113"/>
        <v>143</v>
      </c>
      <c r="U721" s="124">
        <f t="shared" si="114"/>
        <v>672</v>
      </c>
      <c r="V721" s="124">
        <f t="shared" si="115"/>
        <v>712</v>
      </c>
      <c r="W721" s="124">
        <f t="shared" si="116"/>
        <v>257.03455964559998</v>
      </c>
      <c r="X721" s="124">
        <f t="shared" si="117"/>
        <v>2683226.3908199887</v>
      </c>
      <c r="Y721" s="264">
        <f t="shared" si="118"/>
        <v>712</v>
      </c>
      <c r="Z721" s="10">
        <v>143</v>
      </c>
      <c r="AA721" s="7">
        <v>672</v>
      </c>
      <c r="AB721" s="7">
        <v>712</v>
      </c>
      <c r="AC721" s="109">
        <v>257.03455964559998</v>
      </c>
      <c r="AD721" s="109">
        <v>2683226.3908199887</v>
      </c>
      <c r="AE721" s="125"/>
      <c r="AF721" s="10"/>
      <c r="AI721" s="109"/>
      <c r="AJ721" s="109"/>
      <c r="AL721" s="10"/>
      <c r="AO721" s="109"/>
      <c r="AP721" s="109"/>
      <c r="AR721" s="10"/>
      <c r="AU721" s="109"/>
      <c r="AV721" s="109"/>
      <c r="AX721" s="10"/>
      <c r="BA721" s="109"/>
      <c r="BB721" s="109"/>
      <c r="BD721" s="10"/>
      <c r="BG721" s="109"/>
      <c r="BH721" s="109"/>
      <c r="BJ721" s="10"/>
      <c r="BM721" s="109"/>
      <c r="BN721" s="109"/>
      <c r="BP721" s="10"/>
      <c r="BS721" s="109"/>
      <c r="BT721" s="109"/>
      <c r="BV721" s="10"/>
      <c r="BY721" s="109"/>
      <c r="BZ721" s="109"/>
      <c r="CB721" s="10"/>
      <c r="CE721" s="109"/>
      <c r="CF721" s="109"/>
      <c r="CH721" s="10"/>
      <c r="CK721" s="109"/>
      <c r="CL721" s="109"/>
    </row>
    <row r="722" spans="1:90">
      <c r="A722" s="7" t="str">
        <f t="shared" si="111"/>
        <v>01430998</v>
      </c>
      <c r="B722" s="7" t="s">
        <v>2482</v>
      </c>
      <c r="C722" s="7" t="s">
        <v>2781</v>
      </c>
      <c r="D722" s="7">
        <v>713</v>
      </c>
      <c r="E722" s="7">
        <v>143</v>
      </c>
      <c r="F722" s="7" t="s">
        <v>2135</v>
      </c>
      <c r="G722" s="7">
        <v>998</v>
      </c>
      <c r="H722" s="7" t="s">
        <v>2135</v>
      </c>
      <c r="I722" s="37">
        <v>0</v>
      </c>
      <c r="J722" s="122">
        <v>0</v>
      </c>
      <c r="K722" s="123">
        <f t="shared" si="110"/>
        <v>0</v>
      </c>
      <c r="L722" s="122">
        <f>IF(K724&gt;0, K722/K724, 0)</f>
        <v>0</v>
      </c>
      <c r="M722" s="71"/>
      <c r="N722" s="10">
        <f>ROUND(M724*L722,0)</f>
        <v>0</v>
      </c>
      <c r="O722" s="70">
        <v>0</v>
      </c>
      <c r="P722" s="10">
        <f>N722-O722</f>
        <v>0</v>
      </c>
      <c r="Q722" s="46">
        <f>IF(O722&gt;0,P722*100/O722,IF(P722&gt;0,100,0))</f>
        <v>0</v>
      </c>
      <c r="R722" s="10">
        <v>0</v>
      </c>
      <c r="S722" s="7">
        <f t="shared" si="112"/>
        <v>0</v>
      </c>
      <c r="T722" s="124">
        <f t="shared" si="113"/>
        <v>143</v>
      </c>
      <c r="U722" s="124">
        <f t="shared" si="114"/>
        <v>998</v>
      </c>
      <c r="V722" s="124">
        <f t="shared" si="115"/>
        <v>713</v>
      </c>
      <c r="W722" s="124">
        <f t="shared" si="116"/>
        <v>0</v>
      </c>
      <c r="X722" s="124">
        <f t="shared" si="117"/>
        <v>0</v>
      </c>
      <c r="Y722" s="264">
        <f t="shared" si="118"/>
        <v>713</v>
      </c>
      <c r="Z722" s="10">
        <v>143</v>
      </c>
      <c r="AA722" s="7">
        <v>998</v>
      </c>
      <c r="AB722" s="7">
        <v>713</v>
      </c>
      <c r="AC722" s="109">
        <v>0</v>
      </c>
      <c r="AD722" s="109">
        <v>0</v>
      </c>
      <c r="AE722" s="125"/>
      <c r="AF722" s="10"/>
      <c r="AI722" s="109"/>
      <c r="AJ722" s="109"/>
      <c r="AL722" s="10"/>
      <c r="AO722" s="109"/>
      <c r="AP722" s="109"/>
      <c r="AR722" s="10"/>
      <c r="AU722" s="109"/>
      <c r="AV722" s="109"/>
      <c r="AX722" s="10"/>
      <c r="BA722" s="109"/>
      <c r="BB722" s="109"/>
      <c r="BD722" s="10"/>
      <c r="BG722" s="109"/>
      <c r="BH722" s="109"/>
      <c r="BJ722" s="10"/>
      <c r="BM722" s="109"/>
      <c r="BN722" s="109"/>
      <c r="BP722" s="10"/>
      <c r="BS722" s="109"/>
      <c r="BT722" s="109"/>
      <c r="BV722" s="10"/>
      <c r="BY722" s="109"/>
      <c r="BZ722" s="109"/>
      <c r="CB722" s="10"/>
      <c r="CE722" s="109"/>
      <c r="CF722" s="109"/>
      <c r="CH722" s="10"/>
      <c r="CK722" s="109"/>
      <c r="CL722" s="109"/>
    </row>
    <row r="723" spans="1:90">
      <c r="A723" s="7" t="str">
        <f t="shared" si="111"/>
        <v>01430998</v>
      </c>
      <c r="B723" s="7" t="s">
        <v>2482</v>
      </c>
      <c r="C723" s="7" t="s">
        <v>2781</v>
      </c>
      <c r="D723" s="7">
        <v>714</v>
      </c>
      <c r="E723" s="7">
        <v>143</v>
      </c>
      <c r="F723" s="7" t="s">
        <v>2135</v>
      </c>
      <c r="G723" s="7">
        <v>998</v>
      </c>
      <c r="H723" s="7" t="s">
        <v>2135</v>
      </c>
      <c r="I723" s="37">
        <v>0</v>
      </c>
      <c r="J723" s="122">
        <v>0</v>
      </c>
      <c r="K723" s="123">
        <f t="shared" si="110"/>
        <v>0</v>
      </c>
      <c r="L723" s="122">
        <f>IF(K724&gt;0, K723/K724, 0)</f>
        <v>0</v>
      </c>
      <c r="M723" s="71"/>
      <c r="N723" s="10">
        <f>ROUND(M724*L723,0)</f>
        <v>0</v>
      </c>
      <c r="O723" s="70">
        <v>0</v>
      </c>
      <c r="P723" s="10">
        <f>N723-O723</f>
        <v>0</v>
      </c>
      <c r="Q723" s="46">
        <f>IF(O723&gt;0,P723*100/O723,IF(P723&gt;0,100,0))</f>
        <v>0</v>
      </c>
      <c r="R723" s="10">
        <v>0</v>
      </c>
      <c r="S723" s="7">
        <f t="shared" si="112"/>
        <v>0</v>
      </c>
      <c r="T723" s="124">
        <f t="shared" si="113"/>
        <v>143</v>
      </c>
      <c r="U723" s="124">
        <f t="shared" si="114"/>
        <v>998</v>
      </c>
      <c r="V723" s="124">
        <f t="shared" si="115"/>
        <v>714</v>
      </c>
      <c r="W723" s="124">
        <f t="shared" si="116"/>
        <v>0</v>
      </c>
      <c r="X723" s="124">
        <f t="shared" si="117"/>
        <v>0</v>
      </c>
      <c r="Y723" s="264">
        <f t="shared" si="118"/>
        <v>714</v>
      </c>
      <c r="Z723" s="10">
        <v>143</v>
      </c>
      <c r="AA723" s="7">
        <v>998</v>
      </c>
      <c r="AB723" s="7">
        <v>714</v>
      </c>
      <c r="AC723" s="109">
        <v>0</v>
      </c>
      <c r="AD723" s="109">
        <v>0</v>
      </c>
      <c r="AE723" s="125"/>
      <c r="AF723" s="10"/>
      <c r="AI723" s="109"/>
      <c r="AJ723" s="109"/>
      <c r="AL723" s="10"/>
      <c r="AO723" s="109"/>
      <c r="AP723" s="109"/>
      <c r="AR723" s="10"/>
      <c r="AU723" s="109"/>
      <c r="AV723" s="109"/>
      <c r="AX723" s="10"/>
      <c r="BA723" s="109"/>
      <c r="BB723" s="109"/>
      <c r="BD723" s="10"/>
      <c r="BG723" s="109"/>
      <c r="BH723" s="109"/>
      <c r="BJ723" s="10"/>
      <c r="BM723" s="109"/>
      <c r="BN723" s="109"/>
      <c r="BP723" s="10"/>
      <c r="BS723" s="109"/>
      <c r="BT723" s="109"/>
      <c r="BV723" s="10"/>
      <c r="BY723" s="109"/>
      <c r="BZ723" s="109"/>
      <c r="CB723" s="10"/>
      <c r="CE723" s="109"/>
      <c r="CF723" s="109"/>
      <c r="CH723" s="10"/>
      <c r="CK723" s="109"/>
      <c r="CL723" s="109"/>
    </row>
    <row r="724" spans="1:90">
      <c r="A724" s="7" t="str">
        <f t="shared" si="111"/>
        <v>01430999</v>
      </c>
      <c r="B724" s="7" t="s">
        <v>2482</v>
      </c>
      <c r="C724" s="7" t="s">
        <v>2782</v>
      </c>
      <c r="D724" s="7">
        <v>715</v>
      </c>
      <c r="E724" s="11">
        <v>143</v>
      </c>
      <c r="F724" s="11" t="s">
        <v>1848</v>
      </c>
      <c r="G724" s="11">
        <v>999</v>
      </c>
      <c r="H724" s="11" t="s">
        <v>1132</v>
      </c>
      <c r="I724" s="105">
        <v>2889689.84</v>
      </c>
      <c r="J724" s="126">
        <v>1</v>
      </c>
      <c r="K724" s="127">
        <f>SUM(K720:K723)</f>
        <v>3044278.9069541264</v>
      </c>
      <c r="L724" s="126">
        <f>SUM(L720:L723)</f>
        <v>1</v>
      </c>
      <c r="M724" s="105">
        <f>VLOOKUP(E724,town351,22)</f>
        <v>1611888</v>
      </c>
      <c r="N724" s="105">
        <f>SUM(N720:N723)</f>
        <v>1611888</v>
      </c>
      <c r="O724" s="128">
        <v>1681724</v>
      </c>
      <c r="P724" s="105">
        <f>SUM(P720:P723)</f>
        <v>-69836</v>
      </c>
      <c r="Q724" s="45">
        <f t="shared" ref="Q724:Q783" si="119">IF(O724&gt;0,P724*100/O724,IF(P724&gt;0,100,0))</f>
        <v>-4.1526433588389056</v>
      </c>
      <c r="R724" s="105">
        <v>273</v>
      </c>
      <c r="S724" s="7">
        <f t="shared" si="112"/>
        <v>0</v>
      </c>
      <c r="T724" s="124">
        <f t="shared" si="113"/>
        <v>143</v>
      </c>
      <c r="U724" s="124">
        <f t="shared" si="114"/>
        <v>999</v>
      </c>
      <c r="V724" s="124">
        <f t="shared" si="115"/>
        <v>715</v>
      </c>
      <c r="W724" s="124">
        <f t="shared" si="116"/>
        <v>282.03455964559998</v>
      </c>
      <c r="X724" s="124">
        <f t="shared" si="117"/>
        <v>3044278.9069541264</v>
      </c>
      <c r="Y724" s="264">
        <f t="shared" si="118"/>
        <v>715</v>
      </c>
      <c r="Z724" s="10">
        <v>143</v>
      </c>
      <c r="AA724" s="7">
        <v>999</v>
      </c>
      <c r="AB724" s="7">
        <v>715</v>
      </c>
      <c r="AC724" s="109">
        <v>282.03455964559998</v>
      </c>
      <c r="AD724" s="109">
        <v>3044278.9069541264</v>
      </c>
      <c r="AE724" s="125"/>
      <c r="AF724" s="10"/>
      <c r="AI724" s="109"/>
      <c r="AJ724" s="109"/>
      <c r="AL724" s="10"/>
      <c r="AO724" s="109"/>
      <c r="AP724" s="109"/>
      <c r="AR724" s="10"/>
      <c r="AU724" s="109"/>
      <c r="AV724" s="109"/>
      <c r="AX724" s="10"/>
      <c r="BA724" s="109"/>
      <c r="BB724" s="109"/>
      <c r="BD724" s="10"/>
      <c r="BG724" s="109"/>
      <c r="BH724" s="109"/>
      <c r="BJ724" s="10"/>
      <c r="BM724" s="109"/>
      <c r="BN724" s="109"/>
      <c r="BP724" s="10"/>
      <c r="BS724" s="109"/>
      <c r="BT724" s="109"/>
      <c r="BV724" s="10"/>
      <c r="BY724" s="109"/>
      <c r="BZ724" s="109"/>
      <c r="CB724" s="10"/>
      <c r="CE724" s="109"/>
      <c r="CF724" s="109"/>
      <c r="CH724" s="10"/>
      <c r="CK724" s="109"/>
      <c r="CL724" s="109"/>
    </row>
    <row r="725" spans="1:90">
      <c r="A725" s="7" t="str">
        <f t="shared" si="111"/>
        <v>01440144</v>
      </c>
      <c r="B725" s="7" t="s">
        <v>2483</v>
      </c>
      <c r="C725" s="7" t="s">
        <v>2483</v>
      </c>
      <c r="D725" s="7">
        <v>716</v>
      </c>
      <c r="E725" s="7">
        <v>144</v>
      </c>
      <c r="F725" s="7" t="s">
        <v>1849</v>
      </c>
      <c r="G725" s="7">
        <v>144</v>
      </c>
      <c r="H725" s="7" t="s">
        <v>1410</v>
      </c>
      <c r="I725" s="37">
        <v>17848954.323200006</v>
      </c>
      <c r="J725" s="122">
        <v>0.97667668867928137</v>
      </c>
      <c r="K725" s="123">
        <f>X725</f>
        <v>17585142.68474175</v>
      </c>
      <c r="L725" s="122">
        <f>IF(K729&gt;0, K725/K729, 0)</f>
        <v>0.97503562409004418</v>
      </c>
      <c r="M725" s="71"/>
      <c r="N725" s="10">
        <f>ROUND(M729*L725,0)</f>
        <v>14661641</v>
      </c>
      <c r="O725" s="70">
        <v>14939873</v>
      </c>
      <c r="P725" s="10">
        <f>N725-O725</f>
        <v>-278232</v>
      </c>
      <c r="Q725" s="46">
        <f t="shared" si="119"/>
        <v>-1.8623451484493878</v>
      </c>
      <c r="R725" s="10">
        <v>1802</v>
      </c>
      <c r="S725" s="7">
        <f t="shared" si="112"/>
        <v>0</v>
      </c>
      <c r="T725" s="124">
        <f t="shared" si="113"/>
        <v>144</v>
      </c>
      <c r="U725" s="124">
        <f t="shared" si="114"/>
        <v>144</v>
      </c>
      <c r="V725" s="124">
        <f t="shared" si="115"/>
        <v>716</v>
      </c>
      <c r="W725" s="124">
        <f t="shared" si="116"/>
        <v>1744</v>
      </c>
      <c r="X725" s="124">
        <f t="shared" si="117"/>
        <v>17585142.68474175</v>
      </c>
      <c r="Y725" s="264">
        <f t="shared" si="118"/>
        <v>716</v>
      </c>
      <c r="Z725" s="10">
        <v>144</v>
      </c>
      <c r="AA725" s="7">
        <v>144</v>
      </c>
      <c r="AB725" s="7">
        <v>716</v>
      </c>
      <c r="AC725" s="109">
        <v>1744</v>
      </c>
      <c r="AD725" s="109">
        <v>17585142.68474175</v>
      </c>
      <c r="AE725" s="125"/>
      <c r="AF725" s="10"/>
      <c r="AI725" s="109"/>
      <c r="AJ725" s="109"/>
      <c r="AL725" s="10"/>
      <c r="AO725" s="109"/>
      <c r="AP725" s="109"/>
      <c r="AR725" s="10"/>
      <c r="AU725" s="109"/>
      <c r="AV725" s="109"/>
      <c r="AX725" s="10"/>
      <c r="BA725" s="109"/>
      <c r="BB725" s="109"/>
      <c r="BD725" s="10"/>
      <c r="BG725" s="109"/>
      <c r="BH725" s="109"/>
      <c r="BJ725" s="10"/>
      <c r="BM725" s="109"/>
      <c r="BN725" s="109"/>
      <c r="BP725" s="10"/>
      <c r="BS725" s="109"/>
      <c r="BT725" s="109"/>
      <c r="BV725" s="10"/>
      <c r="BY725" s="109"/>
      <c r="BZ725" s="109"/>
      <c r="CB725" s="10"/>
      <c r="CE725" s="109"/>
      <c r="CF725" s="109"/>
      <c r="CH725" s="10"/>
      <c r="CK725" s="109"/>
      <c r="CL725" s="109"/>
    </row>
    <row r="726" spans="1:90">
      <c r="A726" s="7" t="str">
        <f t="shared" si="111"/>
        <v>01440885</v>
      </c>
      <c r="B726" s="7" t="s">
        <v>2483</v>
      </c>
      <c r="C726" s="7" t="s">
        <v>2777</v>
      </c>
      <c r="D726" s="7">
        <v>717</v>
      </c>
      <c r="E726" s="7">
        <v>144</v>
      </c>
      <c r="F726" s="7" t="s">
        <v>1849</v>
      </c>
      <c r="G726" s="7">
        <v>885</v>
      </c>
      <c r="H726" s="7" t="s">
        <v>1704</v>
      </c>
      <c r="I726" s="37">
        <v>426238</v>
      </c>
      <c r="J726" s="122">
        <v>2.332331132071858E-2</v>
      </c>
      <c r="K726" s="123">
        <f t="shared" si="110"/>
        <v>450242.12609852344</v>
      </c>
      <c r="L726" s="122">
        <f>IF(K729&gt;0, K726/K729, 0)</f>
        <v>2.4964375909955785E-2</v>
      </c>
      <c r="M726" s="71"/>
      <c r="N726" s="10">
        <f>ROUND(M729*L726,0)</f>
        <v>375390</v>
      </c>
      <c r="O726" s="70">
        <v>356768</v>
      </c>
      <c r="P726" s="10">
        <f>N726-O726</f>
        <v>18622</v>
      </c>
      <c r="Q726" s="46">
        <f t="shared" si="119"/>
        <v>5.2196385326038213</v>
      </c>
      <c r="R726" s="10">
        <v>27</v>
      </c>
      <c r="S726" s="7">
        <f t="shared" si="112"/>
        <v>0</v>
      </c>
      <c r="T726" s="124">
        <f t="shared" si="113"/>
        <v>144</v>
      </c>
      <c r="U726" s="124">
        <f t="shared" si="114"/>
        <v>885</v>
      </c>
      <c r="V726" s="124">
        <f t="shared" si="115"/>
        <v>717</v>
      </c>
      <c r="W726" s="124">
        <f t="shared" si="116"/>
        <v>27.977217245599999</v>
      </c>
      <c r="X726" s="124">
        <f t="shared" si="117"/>
        <v>450242.12609852344</v>
      </c>
      <c r="Y726" s="264">
        <f t="shared" si="118"/>
        <v>717</v>
      </c>
      <c r="Z726" s="10">
        <v>144</v>
      </c>
      <c r="AA726" s="7">
        <v>885</v>
      </c>
      <c r="AB726" s="7">
        <v>717</v>
      </c>
      <c r="AC726" s="109">
        <v>27.977217245599999</v>
      </c>
      <c r="AD726" s="109">
        <v>450242.12609852344</v>
      </c>
      <c r="AE726" s="125"/>
      <c r="AF726" s="10"/>
      <c r="AI726" s="109"/>
      <c r="AJ726" s="109"/>
      <c r="AL726" s="10"/>
      <c r="AO726" s="109"/>
      <c r="AP726" s="109"/>
      <c r="AR726" s="10"/>
      <c r="AU726" s="109"/>
      <c r="AV726" s="109"/>
      <c r="AX726" s="10"/>
      <c r="BA726" s="109"/>
      <c r="BB726" s="109"/>
      <c r="BD726" s="10"/>
      <c r="BG726" s="109"/>
      <c r="BH726" s="109"/>
      <c r="BJ726" s="10"/>
      <c r="BM726" s="109"/>
      <c r="BN726" s="109"/>
      <c r="BP726" s="10"/>
      <c r="BS726" s="109"/>
      <c r="BT726" s="109"/>
      <c r="BV726" s="10"/>
      <c r="BY726" s="109"/>
      <c r="BZ726" s="109"/>
      <c r="CB726" s="10"/>
      <c r="CE726" s="109"/>
      <c r="CF726" s="109"/>
      <c r="CH726" s="10"/>
      <c r="CK726" s="109"/>
      <c r="CL726" s="109"/>
    </row>
    <row r="727" spans="1:90">
      <c r="A727" s="7" t="str">
        <f t="shared" si="111"/>
        <v>01440998</v>
      </c>
      <c r="B727" s="7" t="s">
        <v>2483</v>
      </c>
      <c r="C727" s="7" t="s">
        <v>2781</v>
      </c>
      <c r="D727" s="7">
        <v>718</v>
      </c>
      <c r="E727" s="7">
        <v>144</v>
      </c>
      <c r="F727" s="7" t="s">
        <v>2135</v>
      </c>
      <c r="G727" s="7">
        <v>998</v>
      </c>
      <c r="I727" s="129">
        <v>0</v>
      </c>
      <c r="J727" s="130">
        <v>0</v>
      </c>
      <c r="K727" s="123">
        <f t="shared" si="110"/>
        <v>0</v>
      </c>
      <c r="L727" s="122">
        <f>IF(K729&gt;0, K727/K729, 0)</f>
        <v>0</v>
      </c>
      <c r="M727" s="71"/>
      <c r="N727" s="10">
        <f>ROUND(M729*L727,0)</f>
        <v>0</v>
      </c>
      <c r="O727" s="70">
        <v>0</v>
      </c>
      <c r="P727" s="10">
        <f>N727-O727</f>
        <v>0</v>
      </c>
      <c r="Q727" s="46">
        <f t="shared" si="119"/>
        <v>0</v>
      </c>
      <c r="R727" s="10">
        <v>0</v>
      </c>
      <c r="S727" s="7">
        <f t="shared" si="112"/>
        <v>0</v>
      </c>
      <c r="T727" s="124">
        <f t="shared" si="113"/>
        <v>144</v>
      </c>
      <c r="U727" s="124">
        <f t="shared" si="114"/>
        <v>998</v>
      </c>
      <c r="V727" s="124">
        <f t="shared" si="115"/>
        <v>718</v>
      </c>
      <c r="W727" s="124">
        <f t="shared" si="116"/>
        <v>0</v>
      </c>
      <c r="X727" s="124">
        <f t="shared" si="117"/>
        <v>0</v>
      </c>
      <c r="Y727" s="264">
        <f t="shared" si="118"/>
        <v>718</v>
      </c>
      <c r="Z727" s="10">
        <v>144</v>
      </c>
      <c r="AA727" s="7">
        <v>998</v>
      </c>
      <c r="AB727" s="7">
        <v>718</v>
      </c>
      <c r="AC727" s="109">
        <v>0</v>
      </c>
      <c r="AD727" s="109">
        <v>0</v>
      </c>
      <c r="AE727" s="125"/>
      <c r="AF727" s="10"/>
      <c r="AI727" s="109"/>
      <c r="AJ727" s="109"/>
      <c r="AL727" s="10"/>
      <c r="AO727" s="109"/>
      <c r="AP727" s="109"/>
      <c r="AR727" s="10"/>
      <c r="AU727" s="109"/>
      <c r="AV727" s="109"/>
      <c r="AX727" s="10"/>
      <c r="BA727" s="109"/>
      <c r="BB727" s="109"/>
      <c r="BD727" s="10"/>
      <c r="BG727" s="109"/>
      <c r="BH727" s="109"/>
      <c r="BJ727" s="10"/>
      <c r="BM727" s="109"/>
      <c r="BN727" s="109"/>
      <c r="BP727" s="10"/>
      <c r="BS727" s="109"/>
      <c r="BT727" s="109"/>
      <c r="BV727" s="10"/>
      <c r="BY727" s="109"/>
      <c r="BZ727" s="109"/>
      <c r="CB727" s="10"/>
      <c r="CE727" s="109"/>
      <c r="CF727" s="109"/>
      <c r="CH727" s="10"/>
      <c r="CK727" s="109"/>
      <c r="CL727" s="109"/>
    </row>
    <row r="728" spans="1:90">
      <c r="A728" s="7" t="str">
        <f t="shared" si="111"/>
        <v>01440998</v>
      </c>
      <c r="B728" s="7" t="s">
        <v>2483</v>
      </c>
      <c r="C728" s="7" t="s">
        <v>2781</v>
      </c>
      <c r="D728" s="7">
        <v>719</v>
      </c>
      <c r="E728" s="7">
        <v>144</v>
      </c>
      <c r="F728" s="7" t="s">
        <v>2135</v>
      </c>
      <c r="G728" s="7">
        <v>998</v>
      </c>
      <c r="H728" s="7" t="s">
        <v>2135</v>
      </c>
      <c r="I728" s="37">
        <v>0</v>
      </c>
      <c r="J728" s="122">
        <v>0</v>
      </c>
      <c r="K728" s="123">
        <f t="shared" si="110"/>
        <v>0</v>
      </c>
      <c r="L728" s="122">
        <f>IF(K729&gt;0, K728/K729, 0)</f>
        <v>0</v>
      </c>
      <c r="M728" s="71"/>
      <c r="N728" s="10">
        <f>ROUND(M729*L728,0)</f>
        <v>0</v>
      </c>
      <c r="O728" s="70">
        <v>0</v>
      </c>
      <c r="P728" s="10">
        <f>N728-O728</f>
        <v>0</v>
      </c>
      <c r="Q728" s="46">
        <f t="shared" si="119"/>
        <v>0</v>
      </c>
      <c r="R728" s="10">
        <v>0</v>
      </c>
      <c r="S728" s="7">
        <f t="shared" si="112"/>
        <v>0</v>
      </c>
      <c r="T728" s="124">
        <f t="shared" si="113"/>
        <v>144</v>
      </c>
      <c r="U728" s="124">
        <f t="shared" si="114"/>
        <v>998</v>
      </c>
      <c r="V728" s="124">
        <f t="shared" si="115"/>
        <v>719</v>
      </c>
      <c r="W728" s="124">
        <f t="shared" si="116"/>
        <v>0</v>
      </c>
      <c r="X728" s="124">
        <f t="shared" si="117"/>
        <v>0</v>
      </c>
      <c r="Y728" s="264">
        <f t="shared" si="118"/>
        <v>719</v>
      </c>
      <c r="Z728" s="10">
        <v>144</v>
      </c>
      <c r="AA728" s="7">
        <v>998</v>
      </c>
      <c r="AB728" s="7">
        <v>719</v>
      </c>
      <c r="AC728" s="109">
        <v>0</v>
      </c>
      <c r="AD728" s="109">
        <v>0</v>
      </c>
      <c r="AE728" s="125"/>
      <c r="AF728" s="10"/>
      <c r="AI728" s="109"/>
      <c r="AJ728" s="109"/>
      <c r="AL728" s="10"/>
      <c r="AO728" s="109"/>
      <c r="AP728" s="109"/>
      <c r="AR728" s="10"/>
      <c r="AU728" s="109"/>
      <c r="AV728" s="109"/>
      <c r="AX728" s="10"/>
      <c r="BA728" s="109"/>
      <c r="BB728" s="109"/>
      <c r="BD728" s="10"/>
      <c r="BG728" s="109"/>
      <c r="BH728" s="109"/>
      <c r="BJ728" s="10"/>
      <c r="BM728" s="109"/>
      <c r="BN728" s="109"/>
      <c r="BP728" s="10"/>
      <c r="BS728" s="109"/>
      <c r="BT728" s="109"/>
      <c r="BV728" s="10"/>
      <c r="BY728" s="109"/>
      <c r="BZ728" s="109"/>
      <c r="CB728" s="10"/>
      <c r="CE728" s="109"/>
      <c r="CF728" s="109"/>
      <c r="CH728" s="10"/>
      <c r="CK728" s="109"/>
      <c r="CL728" s="109"/>
    </row>
    <row r="729" spans="1:90">
      <c r="A729" s="7" t="str">
        <f t="shared" si="111"/>
        <v>01440999</v>
      </c>
      <c r="B729" s="7" t="s">
        <v>2483</v>
      </c>
      <c r="C729" s="7" t="s">
        <v>2782</v>
      </c>
      <c r="D729" s="7">
        <v>720</v>
      </c>
      <c r="E729" s="11">
        <v>144</v>
      </c>
      <c r="F729" s="11" t="s">
        <v>1849</v>
      </c>
      <c r="G729" s="11">
        <v>999</v>
      </c>
      <c r="H729" s="11" t="s">
        <v>1132</v>
      </c>
      <c r="I729" s="105">
        <v>18275192.323200006</v>
      </c>
      <c r="J729" s="126">
        <v>1</v>
      </c>
      <c r="K729" s="127">
        <f>SUM(K725:K728)</f>
        <v>18035384.810840275</v>
      </c>
      <c r="L729" s="126">
        <f>SUM(L725:L728)</f>
        <v>1</v>
      </c>
      <c r="M729" s="105">
        <f>VLOOKUP(E729,town351,22)</f>
        <v>15037031</v>
      </c>
      <c r="N729" s="105">
        <f>SUM(N725:N728)</f>
        <v>15037031</v>
      </c>
      <c r="O729" s="128">
        <v>15296641</v>
      </c>
      <c r="P729" s="105">
        <f>SUM(P725:P728)</f>
        <v>-259610</v>
      </c>
      <c r="Q729" s="45">
        <f t="shared" si="119"/>
        <v>-1.6971699865349523</v>
      </c>
      <c r="R729" s="105">
        <v>1829</v>
      </c>
      <c r="S729" s="7">
        <f t="shared" si="112"/>
        <v>0</v>
      </c>
      <c r="T729" s="124">
        <f t="shared" si="113"/>
        <v>144</v>
      </c>
      <c r="U729" s="124">
        <f t="shared" si="114"/>
        <v>999</v>
      </c>
      <c r="V729" s="124">
        <f t="shared" si="115"/>
        <v>720</v>
      </c>
      <c r="W729" s="124">
        <f t="shared" si="116"/>
        <v>1771.9772172456001</v>
      </c>
      <c r="X729" s="124">
        <f t="shared" si="117"/>
        <v>18035384.810840275</v>
      </c>
      <c r="Y729" s="264">
        <f t="shared" si="118"/>
        <v>720</v>
      </c>
      <c r="Z729" s="10">
        <v>144</v>
      </c>
      <c r="AA729" s="7">
        <v>999</v>
      </c>
      <c r="AB729" s="7">
        <v>720</v>
      </c>
      <c r="AC729" s="109">
        <v>1771.9772172456001</v>
      </c>
      <c r="AD729" s="109">
        <v>18035384.810840275</v>
      </c>
      <c r="AE729" s="125"/>
      <c r="AF729" s="10"/>
      <c r="AI729" s="109"/>
      <c r="AJ729" s="109"/>
      <c r="AL729" s="10"/>
      <c r="AO729" s="109"/>
      <c r="AP729" s="109"/>
      <c r="AR729" s="10"/>
      <c r="AU729" s="109"/>
      <c r="AV729" s="109"/>
      <c r="AX729" s="10"/>
      <c r="BA729" s="109"/>
      <c r="BB729" s="109"/>
      <c r="BD729" s="10"/>
      <c r="BG729" s="109"/>
      <c r="BH729" s="109"/>
      <c r="BJ729" s="10"/>
      <c r="BM729" s="109"/>
      <c r="BN729" s="109"/>
      <c r="BP729" s="10"/>
      <c r="BS729" s="109"/>
      <c r="BT729" s="109"/>
      <c r="BV729" s="10"/>
      <c r="BY729" s="109"/>
      <c r="BZ729" s="109"/>
      <c r="CB729" s="10"/>
      <c r="CE729" s="109"/>
      <c r="CF729" s="109"/>
      <c r="CH729" s="10"/>
      <c r="CK729" s="109"/>
      <c r="CL729" s="109"/>
    </row>
    <row r="730" spans="1:90">
      <c r="A730" s="7" t="str">
        <f t="shared" si="111"/>
        <v>01450145</v>
      </c>
      <c r="B730" s="7" t="s">
        <v>2484</v>
      </c>
      <c r="C730" s="7" t="s">
        <v>2484</v>
      </c>
      <c r="D730" s="7">
        <v>721</v>
      </c>
      <c r="E730" s="7">
        <v>145</v>
      </c>
      <c r="F730" s="7" t="s">
        <v>1850</v>
      </c>
      <c r="G730" s="7">
        <v>145</v>
      </c>
      <c r="H730" s="7" t="s">
        <v>1411</v>
      </c>
      <c r="I730" s="37">
        <v>10429935.11328</v>
      </c>
      <c r="J730" s="122">
        <v>0.48750997090556364</v>
      </c>
      <c r="K730" s="123">
        <f t="shared" ref="K730:K793" si="120">X730</f>
        <v>10083448.835693419</v>
      </c>
      <c r="L730" s="122">
        <f>IF(K734&gt;0, K730/K734, 0)</f>
        <v>0.46757806536868191</v>
      </c>
      <c r="M730" s="71"/>
      <c r="N730" s="10">
        <f>ROUND(M734*L730,0)</f>
        <v>6275524</v>
      </c>
      <c r="O730" s="70">
        <v>6471707</v>
      </c>
      <c r="P730" s="10">
        <f>N730-O730</f>
        <v>-196183</v>
      </c>
      <c r="Q730" s="46">
        <f t="shared" si="119"/>
        <v>-3.0313949627200367</v>
      </c>
      <c r="R730" s="10">
        <v>1104</v>
      </c>
      <c r="S730" s="7">
        <f t="shared" si="112"/>
        <v>0</v>
      </c>
      <c r="T730" s="124">
        <f t="shared" si="113"/>
        <v>145</v>
      </c>
      <c r="U730" s="124">
        <f t="shared" si="114"/>
        <v>145</v>
      </c>
      <c r="V730" s="124">
        <f t="shared" si="115"/>
        <v>721</v>
      </c>
      <c r="W730" s="124">
        <f t="shared" si="116"/>
        <v>1046</v>
      </c>
      <c r="X730" s="124">
        <f t="shared" si="117"/>
        <v>10083448.835693419</v>
      </c>
      <c r="Y730" s="264">
        <f t="shared" si="118"/>
        <v>721</v>
      </c>
      <c r="Z730" s="10">
        <v>145</v>
      </c>
      <c r="AA730" s="7">
        <v>145</v>
      </c>
      <c r="AB730" s="7">
        <v>721</v>
      </c>
      <c r="AC730" s="109">
        <v>1046</v>
      </c>
      <c r="AD730" s="109">
        <v>10083448.835693419</v>
      </c>
      <c r="AE730" s="125"/>
      <c r="AF730" s="10"/>
      <c r="AI730" s="109"/>
      <c r="AJ730" s="109"/>
      <c r="AL730" s="10"/>
      <c r="AO730" s="109"/>
      <c r="AP730" s="109"/>
      <c r="AR730" s="10"/>
      <c r="AU730" s="109"/>
      <c r="AV730" s="109"/>
      <c r="AX730" s="10"/>
      <c r="BA730" s="109"/>
      <c r="BB730" s="109"/>
      <c r="BD730" s="10"/>
      <c r="BG730" s="109"/>
      <c r="BH730" s="109"/>
      <c r="BJ730" s="10"/>
      <c r="BM730" s="109"/>
      <c r="BN730" s="109"/>
      <c r="BP730" s="10"/>
      <c r="BS730" s="109"/>
      <c r="BT730" s="109"/>
      <c r="BV730" s="10"/>
      <c r="BY730" s="109"/>
      <c r="BZ730" s="109"/>
      <c r="CB730" s="10"/>
      <c r="CE730" s="109"/>
      <c r="CF730" s="109"/>
      <c r="CH730" s="10"/>
      <c r="CK730" s="109"/>
      <c r="CL730" s="109"/>
    </row>
    <row r="731" spans="1:90">
      <c r="A731" s="7" t="str">
        <f t="shared" si="111"/>
        <v>01450760</v>
      </c>
      <c r="B731" s="7" t="s">
        <v>2484</v>
      </c>
      <c r="C731" s="7" t="s">
        <v>2741</v>
      </c>
      <c r="D731" s="7">
        <v>722</v>
      </c>
      <c r="E731" s="7">
        <v>145</v>
      </c>
      <c r="F731" s="7" t="s">
        <v>1850</v>
      </c>
      <c r="G731" s="7">
        <v>760</v>
      </c>
      <c r="H731" s="7" t="s">
        <v>1668</v>
      </c>
      <c r="I731" s="37">
        <v>10964366</v>
      </c>
      <c r="J731" s="122">
        <v>0.51249002909443642</v>
      </c>
      <c r="K731" s="123">
        <f t="shared" si="120"/>
        <v>11481824.607453862</v>
      </c>
      <c r="L731" s="122">
        <f>IF(K734&gt;0, K731/K734, 0)</f>
        <v>0.53242193463131815</v>
      </c>
      <c r="M731" s="71"/>
      <c r="N731" s="10">
        <f>ROUND(M734*L731,0)</f>
        <v>7145815</v>
      </c>
      <c r="O731" s="70">
        <v>6803317</v>
      </c>
      <c r="P731" s="10">
        <f>N731-O731</f>
        <v>342498</v>
      </c>
      <c r="Q731" s="46">
        <f t="shared" si="119"/>
        <v>5.0342796021411322</v>
      </c>
      <c r="R731" s="10">
        <v>1020</v>
      </c>
      <c r="S731" s="7">
        <f t="shared" si="112"/>
        <v>0</v>
      </c>
      <c r="T731" s="124">
        <f t="shared" si="113"/>
        <v>145</v>
      </c>
      <c r="U731" s="124">
        <f t="shared" si="114"/>
        <v>760</v>
      </c>
      <c r="V731" s="124">
        <f t="shared" si="115"/>
        <v>722</v>
      </c>
      <c r="W731" s="124">
        <f t="shared" si="116"/>
        <v>1045.05439999389</v>
      </c>
      <c r="X731" s="124">
        <f t="shared" si="117"/>
        <v>11481824.607453862</v>
      </c>
      <c r="Y731" s="264">
        <f t="shared" si="118"/>
        <v>722</v>
      </c>
      <c r="Z731" s="10">
        <v>145</v>
      </c>
      <c r="AA731" s="7">
        <v>760</v>
      </c>
      <c r="AB731" s="7">
        <v>722</v>
      </c>
      <c r="AC731" s="109">
        <v>1045.05439999389</v>
      </c>
      <c r="AD731" s="109">
        <v>11481824.607453862</v>
      </c>
      <c r="AE731" s="125"/>
      <c r="AF731" s="10"/>
      <c r="AI731" s="109"/>
      <c r="AJ731" s="109"/>
      <c r="AL731" s="10"/>
      <c r="AO731" s="109"/>
      <c r="AP731" s="109"/>
      <c r="AR731" s="10"/>
      <c r="AU731" s="109"/>
      <c r="AV731" s="109"/>
      <c r="AX731" s="10"/>
      <c r="BA731" s="109"/>
      <c r="BB731" s="109"/>
      <c r="BD731" s="10"/>
      <c r="BG731" s="109"/>
      <c r="BH731" s="109"/>
      <c r="BJ731" s="10"/>
      <c r="BM731" s="109"/>
      <c r="BN731" s="109"/>
      <c r="BP731" s="10"/>
      <c r="BS731" s="109"/>
      <c r="BT731" s="109"/>
      <c r="BV731" s="10"/>
      <c r="BY731" s="109"/>
      <c r="BZ731" s="109"/>
      <c r="CB731" s="10"/>
      <c r="CE731" s="109"/>
      <c r="CF731" s="109"/>
      <c r="CH731" s="10"/>
      <c r="CK731" s="109"/>
      <c r="CL731" s="109"/>
    </row>
    <row r="732" spans="1:90">
      <c r="A732" s="7" t="str">
        <f t="shared" si="111"/>
        <v>01450998</v>
      </c>
      <c r="B732" s="7" t="s">
        <v>2484</v>
      </c>
      <c r="C732" s="7" t="s">
        <v>2781</v>
      </c>
      <c r="D732" s="7">
        <v>723</v>
      </c>
      <c r="E732" s="7">
        <v>145</v>
      </c>
      <c r="F732" s="7" t="s">
        <v>2135</v>
      </c>
      <c r="G732" s="7">
        <v>998</v>
      </c>
      <c r="H732" s="7" t="s">
        <v>2135</v>
      </c>
      <c r="I732" s="37">
        <v>0</v>
      </c>
      <c r="J732" s="122">
        <v>0</v>
      </c>
      <c r="K732" s="123">
        <f t="shared" si="120"/>
        <v>0</v>
      </c>
      <c r="L732" s="122">
        <f>IF(K734&gt;0, K732/K734, 0)</f>
        <v>0</v>
      </c>
      <c r="M732" s="71"/>
      <c r="N732" s="10">
        <f>ROUND(M734*L732,0)</f>
        <v>0</v>
      </c>
      <c r="O732" s="70">
        <v>0</v>
      </c>
      <c r="P732" s="10">
        <f>N732-O732</f>
        <v>0</v>
      </c>
      <c r="Q732" s="46">
        <f t="shared" si="119"/>
        <v>0</v>
      </c>
      <c r="R732" s="10">
        <v>0</v>
      </c>
      <c r="S732" s="7">
        <f t="shared" si="112"/>
        <v>0</v>
      </c>
      <c r="T732" s="124">
        <f t="shared" si="113"/>
        <v>145</v>
      </c>
      <c r="U732" s="124">
        <f t="shared" si="114"/>
        <v>998</v>
      </c>
      <c r="V732" s="124">
        <f t="shared" si="115"/>
        <v>723</v>
      </c>
      <c r="W732" s="124">
        <f t="shared" si="116"/>
        <v>0</v>
      </c>
      <c r="X732" s="124">
        <f t="shared" si="117"/>
        <v>0</v>
      </c>
      <c r="Y732" s="264">
        <f t="shared" si="118"/>
        <v>723</v>
      </c>
      <c r="Z732" s="10">
        <v>145</v>
      </c>
      <c r="AA732" s="7">
        <v>998</v>
      </c>
      <c r="AB732" s="7">
        <v>723</v>
      </c>
      <c r="AC732" s="109">
        <v>0</v>
      </c>
      <c r="AD732" s="109">
        <v>0</v>
      </c>
      <c r="AE732" s="125"/>
      <c r="AF732" s="10"/>
      <c r="AI732" s="109"/>
      <c r="AJ732" s="109"/>
      <c r="AL732" s="10"/>
      <c r="AO732" s="109"/>
      <c r="AP732" s="109"/>
      <c r="AR732" s="10"/>
      <c r="AU732" s="109"/>
      <c r="AV732" s="109"/>
      <c r="AX732" s="10"/>
      <c r="BA732" s="109"/>
      <c r="BB732" s="109"/>
      <c r="BD732" s="10"/>
      <c r="BG732" s="109"/>
      <c r="BH732" s="109"/>
      <c r="BJ732" s="10"/>
      <c r="BM732" s="109"/>
      <c r="BN732" s="109"/>
      <c r="BP732" s="10"/>
      <c r="BS732" s="109"/>
      <c r="BT732" s="109"/>
      <c r="BV732" s="10"/>
      <c r="BY732" s="109"/>
      <c r="BZ732" s="109"/>
      <c r="CB732" s="10"/>
      <c r="CE732" s="109"/>
      <c r="CF732" s="109"/>
      <c r="CH732" s="10"/>
      <c r="CK732" s="109"/>
      <c r="CL732" s="109"/>
    </row>
    <row r="733" spans="1:90">
      <c r="A733" s="7" t="str">
        <f t="shared" si="111"/>
        <v>01450998</v>
      </c>
      <c r="B733" s="7" t="s">
        <v>2484</v>
      </c>
      <c r="C733" s="7" t="s">
        <v>2781</v>
      </c>
      <c r="D733" s="7">
        <v>724</v>
      </c>
      <c r="E733" s="7">
        <v>145</v>
      </c>
      <c r="F733" s="7" t="s">
        <v>2135</v>
      </c>
      <c r="G733" s="7">
        <v>998</v>
      </c>
      <c r="H733" s="7" t="s">
        <v>2135</v>
      </c>
      <c r="I733" s="37">
        <v>0</v>
      </c>
      <c r="J733" s="122">
        <v>0</v>
      </c>
      <c r="K733" s="123">
        <f t="shared" si="120"/>
        <v>0</v>
      </c>
      <c r="L733" s="122">
        <f>IF(K734&gt;0, K733/K734, 0)</f>
        <v>0</v>
      </c>
      <c r="M733" s="71"/>
      <c r="N733" s="10">
        <f>ROUND(M734*L733,0)</f>
        <v>0</v>
      </c>
      <c r="O733" s="70">
        <v>0</v>
      </c>
      <c r="P733" s="10">
        <f>N733-O733</f>
        <v>0</v>
      </c>
      <c r="Q733" s="46">
        <f t="shared" si="119"/>
        <v>0</v>
      </c>
      <c r="R733" s="10">
        <v>0</v>
      </c>
      <c r="S733" s="7">
        <f t="shared" si="112"/>
        <v>0</v>
      </c>
      <c r="T733" s="124">
        <f t="shared" si="113"/>
        <v>145</v>
      </c>
      <c r="U733" s="124">
        <f t="shared" si="114"/>
        <v>998</v>
      </c>
      <c r="V733" s="124">
        <f t="shared" si="115"/>
        <v>724</v>
      </c>
      <c r="W733" s="124">
        <f t="shared" si="116"/>
        <v>0</v>
      </c>
      <c r="X733" s="124">
        <f t="shared" si="117"/>
        <v>0</v>
      </c>
      <c r="Y733" s="264">
        <f t="shared" si="118"/>
        <v>724</v>
      </c>
      <c r="Z733" s="10">
        <v>145</v>
      </c>
      <c r="AA733" s="7">
        <v>998</v>
      </c>
      <c r="AB733" s="7">
        <v>724</v>
      </c>
      <c r="AC733" s="109">
        <v>0</v>
      </c>
      <c r="AD733" s="109">
        <v>0</v>
      </c>
      <c r="AE733" s="125"/>
      <c r="AF733" s="10"/>
      <c r="AI733" s="109"/>
      <c r="AJ733" s="109"/>
      <c r="AL733" s="10"/>
      <c r="AO733" s="109"/>
      <c r="AP733" s="109"/>
      <c r="AR733" s="10"/>
      <c r="AU733" s="109"/>
      <c r="AV733" s="109"/>
      <c r="AX733" s="10"/>
      <c r="BA733" s="109"/>
      <c r="BB733" s="109"/>
      <c r="BD733" s="10"/>
      <c r="BG733" s="109"/>
      <c r="BH733" s="109"/>
      <c r="BJ733" s="10"/>
      <c r="BM733" s="109"/>
      <c r="BN733" s="109"/>
      <c r="BP733" s="10"/>
      <c r="BS733" s="109"/>
      <c r="BT733" s="109"/>
      <c r="BV733" s="10"/>
      <c r="BY733" s="109"/>
      <c r="BZ733" s="109"/>
      <c r="CB733" s="10"/>
      <c r="CE733" s="109"/>
      <c r="CF733" s="109"/>
      <c r="CH733" s="10"/>
      <c r="CK733" s="109"/>
      <c r="CL733" s="109"/>
    </row>
    <row r="734" spans="1:90">
      <c r="A734" s="7" t="str">
        <f t="shared" si="111"/>
        <v>01450999</v>
      </c>
      <c r="B734" s="7" t="s">
        <v>2484</v>
      </c>
      <c r="C734" s="7" t="s">
        <v>2782</v>
      </c>
      <c r="D734" s="7">
        <v>725</v>
      </c>
      <c r="E734" s="11">
        <v>145</v>
      </c>
      <c r="F734" s="11" t="s">
        <v>1850</v>
      </c>
      <c r="G734" s="11">
        <v>999</v>
      </c>
      <c r="H734" s="11" t="s">
        <v>1132</v>
      </c>
      <c r="I734" s="105">
        <v>21394301.113279998</v>
      </c>
      <c r="J734" s="126">
        <v>1</v>
      </c>
      <c r="K734" s="127">
        <f>SUM(K730:K733)</f>
        <v>21565273.443147279</v>
      </c>
      <c r="L734" s="126">
        <f>SUM(L730:L733)</f>
        <v>1</v>
      </c>
      <c r="M734" s="105">
        <f>VLOOKUP(E734,town351,22)</f>
        <v>13421339</v>
      </c>
      <c r="N734" s="105">
        <f>SUM(N730:N733)</f>
        <v>13421339</v>
      </c>
      <c r="O734" s="128">
        <v>13275024</v>
      </c>
      <c r="P734" s="105">
        <f>SUM(P730:P733)</f>
        <v>146315</v>
      </c>
      <c r="Q734" s="45">
        <f t="shared" si="119"/>
        <v>1.10218256479235</v>
      </c>
      <c r="R734" s="105">
        <v>2124</v>
      </c>
      <c r="S734" s="7">
        <f t="shared" si="112"/>
        <v>0</v>
      </c>
      <c r="T734" s="124">
        <f t="shared" si="113"/>
        <v>145</v>
      </c>
      <c r="U734" s="124">
        <f t="shared" si="114"/>
        <v>999</v>
      </c>
      <c r="V734" s="124">
        <f t="shared" si="115"/>
        <v>725</v>
      </c>
      <c r="W734" s="124">
        <f t="shared" si="116"/>
        <v>2091.05439999389</v>
      </c>
      <c r="X734" s="124">
        <f t="shared" si="117"/>
        <v>21565273.443147279</v>
      </c>
      <c r="Y734" s="264">
        <f t="shared" si="118"/>
        <v>725</v>
      </c>
      <c r="Z734" s="10">
        <v>145</v>
      </c>
      <c r="AA734" s="7">
        <v>999</v>
      </c>
      <c r="AB734" s="7">
        <v>725</v>
      </c>
      <c r="AC734" s="109">
        <v>2091.05439999389</v>
      </c>
      <c r="AD734" s="109">
        <v>21565273.443147279</v>
      </c>
      <c r="AE734" s="125"/>
      <c r="AF734" s="10"/>
      <c r="AI734" s="109"/>
      <c r="AJ734" s="109"/>
      <c r="AL734" s="10"/>
      <c r="AO734" s="109"/>
      <c r="AP734" s="109"/>
      <c r="AR734" s="10"/>
      <c r="AU734" s="109"/>
      <c r="AV734" s="109"/>
      <c r="AX734" s="10"/>
      <c r="BA734" s="109"/>
      <c r="BB734" s="109"/>
      <c r="BD734" s="10"/>
      <c r="BG734" s="109"/>
      <c r="BH734" s="109"/>
      <c r="BJ734" s="10"/>
      <c r="BM734" s="109"/>
      <c r="BN734" s="109"/>
      <c r="BP734" s="10"/>
      <c r="BS734" s="109"/>
      <c r="BT734" s="109"/>
      <c r="BV734" s="10"/>
      <c r="BY734" s="109"/>
      <c r="BZ734" s="109"/>
      <c r="CB734" s="10"/>
      <c r="CE734" s="109"/>
      <c r="CF734" s="109"/>
      <c r="CH734" s="10"/>
      <c r="CK734" s="109"/>
      <c r="CL734" s="109"/>
    </row>
    <row r="735" spans="1:90">
      <c r="A735" s="7" t="str">
        <f t="shared" si="111"/>
        <v>01460146</v>
      </c>
      <c r="B735" s="7" t="s">
        <v>2485</v>
      </c>
      <c r="C735" s="7" t="s">
        <v>2485</v>
      </c>
      <c r="D735" s="7">
        <v>726</v>
      </c>
      <c r="E735" s="7">
        <v>146</v>
      </c>
      <c r="F735" s="7" t="s">
        <v>1851</v>
      </c>
      <c r="G735" s="7">
        <v>146</v>
      </c>
      <c r="H735" s="7" t="s">
        <v>1412</v>
      </c>
      <c r="I735" s="70">
        <v>105367.36000000002</v>
      </c>
      <c r="J735" s="131">
        <v>6.0192053760207446E-3</v>
      </c>
      <c r="K735" s="123">
        <f>X735</f>
        <v>107334.66674871638</v>
      </c>
      <c r="L735" s="122">
        <f>IF(K739&gt;0, K735/K739, 0)</f>
        <v>6.186915330235996E-3</v>
      </c>
      <c r="M735" s="71"/>
      <c r="N735" s="10">
        <f>ROUND(M739*L735,0)</f>
        <v>71015</v>
      </c>
      <c r="O735" s="70">
        <v>69257</v>
      </c>
      <c r="P735" s="10">
        <f>N735-O735</f>
        <v>1758</v>
      </c>
      <c r="Q735" s="46">
        <f t="shared" si="119"/>
        <v>2.5383715725486233</v>
      </c>
      <c r="R735" s="62">
        <v>8</v>
      </c>
      <c r="S735" s="7">
        <f t="shared" si="112"/>
        <v>0</v>
      </c>
      <c r="T735" s="124">
        <f t="shared" si="113"/>
        <v>146</v>
      </c>
      <c r="U735" s="124">
        <f t="shared" si="114"/>
        <v>146</v>
      </c>
      <c r="V735" s="124">
        <f t="shared" si="115"/>
        <v>726</v>
      </c>
      <c r="W735" s="124">
        <f t="shared" si="116"/>
        <v>8</v>
      </c>
      <c r="X735" s="124">
        <f t="shared" si="117"/>
        <v>107334.66674871638</v>
      </c>
      <c r="Y735" s="264">
        <f t="shared" si="118"/>
        <v>726</v>
      </c>
      <c r="Z735" s="10">
        <v>146</v>
      </c>
      <c r="AA735" s="7">
        <v>146</v>
      </c>
      <c r="AB735" s="7">
        <v>726</v>
      </c>
      <c r="AC735" s="109">
        <v>8</v>
      </c>
      <c r="AD735" s="109">
        <v>107334.66674871638</v>
      </c>
      <c r="AE735" s="125"/>
      <c r="AF735" s="10"/>
      <c r="AI735" s="109"/>
      <c r="AJ735" s="109"/>
      <c r="AL735" s="10"/>
      <c r="AO735" s="109"/>
      <c r="AP735" s="109"/>
      <c r="AR735" s="10"/>
      <c r="AU735" s="109"/>
      <c r="AV735" s="109"/>
      <c r="AX735" s="10"/>
      <c r="BA735" s="109"/>
      <c r="BB735" s="109"/>
      <c r="BD735" s="10"/>
      <c r="BG735" s="109"/>
      <c r="BH735" s="109"/>
      <c r="BJ735" s="10"/>
      <c r="BM735" s="109"/>
      <c r="BN735" s="109"/>
      <c r="BP735" s="10"/>
      <c r="BS735" s="109"/>
      <c r="BT735" s="109"/>
      <c r="BV735" s="10"/>
      <c r="BY735" s="109"/>
      <c r="BZ735" s="109"/>
      <c r="CB735" s="10"/>
      <c r="CE735" s="109"/>
      <c r="CF735" s="109"/>
      <c r="CH735" s="10"/>
      <c r="CK735" s="109"/>
      <c r="CL735" s="109"/>
    </row>
    <row r="736" spans="1:90">
      <c r="A736" s="7" t="str">
        <f t="shared" si="111"/>
        <v>01460665</v>
      </c>
      <c r="B736" s="7" t="s">
        <v>2485</v>
      </c>
      <c r="C736" s="7" t="s">
        <v>2713</v>
      </c>
      <c r="D736" s="7">
        <v>727</v>
      </c>
      <c r="E736" s="7">
        <v>146</v>
      </c>
      <c r="F736" s="7" t="s">
        <v>1851</v>
      </c>
      <c r="G736" s="7">
        <v>665</v>
      </c>
      <c r="H736" s="7" t="s">
        <v>1640</v>
      </c>
      <c r="I736" s="70">
        <v>15520499</v>
      </c>
      <c r="J736" s="131">
        <v>0.88662248934892718</v>
      </c>
      <c r="K736" s="123">
        <f t="shared" si="120"/>
        <v>15299048.191376863</v>
      </c>
      <c r="L736" s="122">
        <f>IF(K739&gt;0, K736/K739, 0)</f>
        <v>0.88185782525272316</v>
      </c>
      <c r="M736" s="71"/>
      <c r="N736" s="10">
        <f>ROUND(M739*L736,0)</f>
        <v>10122134</v>
      </c>
      <c r="O736" s="70">
        <v>10201541</v>
      </c>
      <c r="P736" s="10">
        <f>N736-O736</f>
        <v>-79407</v>
      </c>
      <c r="Q736" s="46">
        <f t="shared" si="119"/>
        <v>-0.77838240320751539</v>
      </c>
      <c r="R736" s="62">
        <v>1632</v>
      </c>
      <c r="S736" s="7">
        <f t="shared" si="112"/>
        <v>0</v>
      </c>
      <c r="T736" s="124">
        <f t="shared" si="113"/>
        <v>146</v>
      </c>
      <c r="U736" s="124">
        <f t="shared" si="114"/>
        <v>665</v>
      </c>
      <c r="V736" s="124">
        <f t="shared" si="115"/>
        <v>727</v>
      </c>
      <c r="W736" s="124">
        <f t="shared" si="116"/>
        <v>1582.7552697322401</v>
      </c>
      <c r="X736" s="124">
        <f t="shared" si="117"/>
        <v>15299048.191376863</v>
      </c>
      <c r="Y736" s="264">
        <f t="shared" si="118"/>
        <v>727</v>
      </c>
      <c r="Z736" s="10">
        <v>146</v>
      </c>
      <c r="AA736" s="7">
        <v>665</v>
      </c>
      <c r="AB736" s="7">
        <v>727</v>
      </c>
      <c r="AC736" s="109">
        <v>1582.7552697322401</v>
      </c>
      <c r="AD736" s="109">
        <v>15299048.191376863</v>
      </c>
      <c r="AE736" s="125"/>
      <c r="AF736" s="10"/>
      <c r="AI736" s="109"/>
      <c r="AJ736" s="109"/>
      <c r="AL736" s="10"/>
      <c r="AO736" s="109"/>
      <c r="AP736" s="109"/>
      <c r="AR736" s="10"/>
      <c r="AU736" s="109"/>
      <c r="AV736" s="109"/>
      <c r="AX736" s="10"/>
      <c r="BA736" s="109"/>
      <c r="BB736" s="109"/>
      <c r="BD736" s="10"/>
      <c r="BG736" s="109"/>
      <c r="BH736" s="109"/>
      <c r="BJ736" s="10"/>
      <c r="BM736" s="109"/>
      <c r="BN736" s="109"/>
      <c r="BP736" s="10"/>
      <c r="BS736" s="109"/>
      <c r="BT736" s="109"/>
      <c r="BV736" s="10"/>
      <c r="BY736" s="109"/>
      <c r="BZ736" s="109"/>
      <c r="CB736" s="10"/>
      <c r="CE736" s="109"/>
      <c r="CF736" s="109"/>
      <c r="CH736" s="10"/>
      <c r="CK736" s="109"/>
      <c r="CL736" s="109"/>
    </row>
    <row r="737" spans="1:90">
      <c r="A737" s="7" t="str">
        <f t="shared" si="111"/>
        <v>01460855</v>
      </c>
      <c r="B737" s="7" t="s">
        <v>2485</v>
      </c>
      <c r="C737" s="7" t="s">
        <v>2769</v>
      </c>
      <c r="D737" s="7">
        <v>728</v>
      </c>
      <c r="E737" s="7">
        <v>146</v>
      </c>
      <c r="F737" s="7" t="s">
        <v>1851</v>
      </c>
      <c r="G737" s="7">
        <v>855</v>
      </c>
      <c r="H737" s="7" t="s">
        <v>1696</v>
      </c>
      <c r="I737" s="70">
        <v>1879328</v>
      </c>
      <c r="J737" s="131">
        <v>0.10735830527505209</v>
      </c>
      <c r="K737" s="123">
        <f t="shared" si="120"/>
        <v>1942273.3008107627</v>
      </c>
      <c r="L737" s="122">
        <f>IF(K739&gt;0, K737/K739, 0)</f>
        <v>0.11195525941704092</v>
      </c>
      <c r="M737" s="71"/>
      <c r="N737" s="10">
        <f>ROUND(M739*L737,0)</f>
        <v>1285044</v>
      </c>
      <c r="O737" s="70">
        <v>1235272</v>
      </c>
      <c r="P737" s="10">
        <f>N737-O737</f>
        <v>49772</v>
      </c>
      <c r="Q737" s="46">
        <f t="shared" si="119"/>
        <v>4.0292340472381794</v>
      </c>
      <c r="R737" s="62">
        <v>122</v>
      </c>
      <c r="S737" s="7">
        <f t="shared" si="112"/>
        <v>0</v>
      </c>
      <c r="T737" s="124">
        <f t="shared" si="113"/>
        <v>146</v>
      </c>
      <c r="U737" s="124">
        <f t="shared" si="114"/>
        <v>855</v>
      </c>
      <c r="V737" s="124">
        <f t="shared" si="115"/>
        <v>728</v>
      </c>
      <c r="W737" s="124">
        <f t="shared" si="116"/>
        <v>124.99999999812</v>
      </c>
      <c r="X737" s="124">
        <f t="shared" si="117"/>
        <v>1942273.3008107627</v>
      </c>
      <c r="Y737" s="264">
        <f t="shared" si="118"/>
        <v>728</v>
      </c>
      <c r="Z737" s="10">
        <v>146</v>
      </c>
      <c r="AA737" s="7">
        <v>855</v>
      </c>
      <c r="AB737" s="7">
        <v>728</v>
      </c>
      <c r="AC737" s="109">
        <v>124.99999999812</v>
      </c>
      <c r="AD737" s="109">
        <v>1942273.3008107627</v>
      </c>
      <c r="AE737" s="125"/>
      <c r="AF737" s="10"/>
      <c r="AI737" s="109"/>
      <c r="AJ737" s="109"/>
      <c r="AL737" s="10"/>
      <c r="AO737" s="109"/>
      <c r="AP737" s="109"/>
      <c r="AR737" s="10"/>
      <c r="AU737" s="109"/>
      <c r="AV737" s="109"/>
      <c r="AX737" s="10"/>
      <c r="BA737" s="109"/>
      <c r="BB737" s="109"/>
      <c r="BD737" s="10"/>
      <c r="BG737" s="109"/>
      <c r="BH737" s="109"/>
      <c r="BJ737" s="10"/>
      <c r="BM737" s="109"/>
      <c r="BN737" s="109"/>
      <c r="BP737" s="10"/>
      <c r="BS737" s="109"/>
      <c r="BT737" s="109"/>
      <c r="BV737" s="10"/>
      <c r="BY737" s="109"/>
      <c r="BZ737" s="109"/>
      <c r="CB737" s="10"/>
      <c r="CE737" s="109"/>
      <c r="CF737" s="109"/>
      <c r="CH737" s="10"/>
      <c r="CK737" s="109"/>
      <c r="CL737" s="109"/>
    </row>
    <row r="738" spans="1:90">
      <c r="A738" s="7" t="str">
        <f t="shared" si="111"/>
        <v>01460998</v>
      </c>
      <c r="B738" s="7" t="s">
        <v>2485</v>
      </c>
      <c r="C738" s="7" t="s">
        <v>2781</v>
      </c>
      <c r="D738" s="7">
        <v>729</v>
      </c>
      <c r="E738" s="7">
        <v>146</v>
      </c>
      <c r="F738" s="7" t="s">
        <v>2135</v>
      </c>
      <c r="G738" s="7">
        <v>998</v>
      </c>
      <c r="H738" s="7" t="s">
        <v>2135</v>
      </c>
      <c r="I738" s="70">
        <v>0</v>
      </c>
      <c r="J738" s="131">
        <v>0</v>
      </c>
      <c r="K738" s="123">
        <f t="shared" si="120"/>
        <v>0</v>
      </c>
      <c r="L738" s="122">
        <f>IF(K739&gt;0, K738/K739, 0)</f>
        <v>0</v>
      </c>
      <c r="M738" s="71"/>
      <c r="N738" s="10">
        <f>ROUND(M739*L738,0)</f>
        <v>0</v>
      </c>
      <c r="O738" s="70">
        <v>0</v>
      </c>
      <c r="P738" s="10">
        <f>N738-O738</f>
        <v>0</v>
      </c>
      <c r="Q738" s="46">
        <f t="shared" si="119"/>
        <v>0</v>
      </c>
      <c r="R738" s="62">
        <v>0</v>
      </c>
      <c r="S738" s="7">
        <f t="shared" si="112"/>
        <v>0</v>
      </c>
      <c r="T738" s="124">
        <f t="shared" si="113"/>
        <v>146</v>
      </c>
      <c r="U738" s="124">
        <f t="shared" si="114"/>
        <v>998</v>
      </c>
      <c r="V738" s="124">
        <f t="shared" si="115"/>
        <v>729</v>
      </c>
      <c r="W738" s="124">
        <f t="shared" si="116"/>
        <v>0</v>
      </c>
      <c r="X738" s="124">
        <f t="shared" si="117"/>
        <v>0</v>
      </c>
      <c r="Y738" s="264">
        <f t="shared" si="118"/>
        <v>729</v>
      </c>
      <c r="Z738" s="10">
        <v>146</v>
      </c>
      <c r="AA738" s="7">
        <v>998</v>
      </c>
      <c r="AB738" s="7">
        <v>729</v>
      </c>
      <c r="AC738" s="109">
        <v>0</v>
      </c>
      <c r="AD738" s="109">
        <v>0</v>
      </c>
      <c r="AE738" s="125"/>
      <c r="AF738" s="10"/>
      <c r="AI738" s="109"/>
      <c r="AJ738" s="109"/>
      <c r="AL738" s="10"/>
      <c r="AO738" s="109"/>
      <c r="AP738" s="109"/>
      <c r="AR738" s="10"/>
      <c r="AU738" s="109"/>
      <c r="AV738" s="109"/>
      <c r="AX738" s="10"/>
      <c r="BA738" s="109"/>
      <c r="BB738" s="109"/>
      <c r="BD738" s="10"/>
      <c r="BG738" s="109"/>
      <c r="BH738" s="109"/>
      <c r="BJ738" s="10"/>
      <c r="BM738" s="109"/>
      <c r="BN738" s="109"/>
      <c r="BP738" s="10"/>
      <c r="BS738" s="109"/>
      <c r="BT738" s="109"/>
      <c r="BV738" s="10"/>
      <c r="BY738" s="109"/>
      <c r="BZ738" s="109"/>
      <c r="CB738" s="10"/>
      <c r="CE738" s="109"/>
      <c r="CF738" s="109"/>
      <c r="CH738" s="10"/>
      <c r="CK738" s="109"/>
      <c r="CL738" s="109"/>
    </row>
    <row r="739" spans="1:90">
      <c r="A739" s="7" t="str">
        <f t="shared" si="111"/>
        <v>01460999</v>
      </c>
      <c r="B739" s="7" t="s">
        <v>2485</v>
      </c>
      <c r="C739" s="7" t="s">
        <v>2782</v>
      </c>
      <c r="D739" s="7">
        <v>730</v>
      </c>
      <c r="E739" s="11">
        <v>146</v>
      </c>
      <c r="F739" s="11" t="s">
        <v>1851</v>
      </c>
      <c r="G739" s="11">
        <v>999</v>
      </c>
      <c r="H739" s="11" t="s">
        <v>1132</v>
      </c>
      <c r="I739" s="134">
        <v>17505194.359999999</v>
      </c>
      <c r="J739" s="135">
        <v>1</v>
      </c>
      <c r="K739" s="127">
        <f>SUM(K735:K738)</f>
        <v>17348656.15893634</v>
      </c>
      <c r="L739" s="126">
        <f>SUM(L735:L738)</f>
        <v>1</v>
      </c>
      <c r="M739" s="105">
        <f>VLOOKUP(E739,town351,22)</f>
        <v>11478193</v>
      </c>
      <c r="N739" s="105">
        <f>SUM(N735:N738)</f>
        <v>11478193</v>
      </c>
      <c r="O739" s="128">
        <v>11506070</v>
      </c>
      <c r="P739" s="134">
        <f>SUM(P735:P738)</f>
        <v>-27877</v>
      </c>
      <c r="Q739" s="138">
        <f t="shared" si="119"/>
        <v>-0.24228081351842984</v>
      </c>
      <c r="R739" s="134">
        <v>1762</v>
      </c>
      <c r="S739" s="7">
        <f t="shared" si="112"/>
        <v>0</v>
      </c>
      <c r="T739" s="124">
        <f t="shared" si="113"/>
        <v>146</v>
      </c>
      <c r="U739" s="124">
        <f t="shared" si="114"/>
        <v>999</v>
      </c>
      <c r="V739" s="124">
        <f t="shared" si="115"/>
        <v>730</v>
      </c>
      <c r="W739" s="124">
        <f t="shared" si="116"/>
        <v>1715.7552697303602</v>
      </c>
      <c r="X739" s="124">
        <f t="shared" si="117"/>
        <v>17348656.15893634</v>
      </c>
      <c r="Y739" s="264">
        <f t="shared" si="118"/>
        <v>730</v>
      </c>
      <c r="Z739" s="10">
        <v>146</v>
      </c>
      <c r="AA739" s="7">
        <v>999</v>
      </c>
      <c r="AB739" s="7">
        <v>730</v>
      </c>
      <c r="AC739" s="109">
        <v>1715.7552697303602</v>
      </c>
      <c r="AD739" s="109">
        <v>17348656.15893634</v>
      </c>
      <c r="AE739" s="125"/>
      <c r="AF739" s="10"/>
      <c r="AI739" s="109"/>
      <c r="AJ739" s="109"/>
      <c r="AL739" s="10"/>
      <c r="AO739" s="109"/>
      <c r="AP739" s="109"/>
      <c r="AR739" s="10"/>
      <c r="AU739" s="109"/>
      <c r="AV739" s="109"/>
      <c r="AX739" s="10"/>
      <c r="BA739" s="109"/>
      <c r="BB739" s="109"/>
      <c r="BD739" s="10"/>
      <c r="BG739" s="109"/>
      <c r="BH739" s="109"/>
      <c r="BJ739" s="10"/>
      <c r="BM739" s="109"/>
      <c r="BN739" s="109"/>
      <c r="BP739" s="10"/>
      <c r="BS739" s="109"/>
      <c r="BT739" s="109"/>
      <c r="BV739" s="10"/>
      <c r="BY739" s="109"/>
      <c r="BZ739" s="109"/>
      <c r="CB739" s="10"/>
      <c r="CE739" s="109"/>
      <c r="CF739" s="109"/>
      <c r="CH739" s="10"/>
      <c r="CK739" s="109"/>
      <c r="CL739" s="109"/>
    </row>
    <row r="740" spans="1:90">
      <c r="A740" s="7" t="str">
        <f t="shared" si="111"/>
        <v>01470147</v>
      </c>
      <c r="B740" s="7" t="s">
        <v>2486</v>
      </c>
      <c r="C740" s="7" t="s">
        <v>2486</v>
      </c>
      <c r="D740" s="7">
        <v>731</v>
      </c>
      <c r="E740" s="7">
        <v>147</v>
      </c>
      <c r="F740" s="7" t="s">
        <v>1852</v>
      </c>
      <c r="G740" s="7">
        <v>147</v>
      </c>
      <c r="H740" s="7" t="s">
        <v>1413</v>
      </c>
      <c r="I740" s="37">
        <v>26341.840000000004</v>
      </c>
      <c r="J740" s="122">
        <v>2.5810308090216632E-3</v>
      </c>
      <c r="K740" s="123">
        <f>X740</f>
        <v>13416.833343589547</v>
      </c>
      <c r="L740" s="122">
        <f>IF(K744&gt;0, K740/K744, 0)</f>
        <v>1.3264651533046305E-3</v>
      </c>
      <c r="M740" s="71"/>
      <c r="N740" s="10">
        <f>ROUND(M744*L740,0)</f>
        <v>9288</v>
      </c>
      <c r="O740" s="70">
        <v>17904</v>
      </c>
      <c r="P740" s="10">
        <f>N740-O740</f>
        <v>-8616</v>
      </c>
      <c r="Q740" s="46">
        <f t="shared" si="119"/>
        <v>-48.123324396782841</v>
      </c>
      <c r="R740" s="10">
        <v>2</v>
      </c>
      <c r="S740" s="7">
        <f t="shared" si="112"/>
        <v>0</v>
      </c>
      <c r="T740" s="124">
        <f t="shared" si="113"/>
        <v>147</v>
      </c>
      <c r="U740" s="124">
        <f t="shared" si="114"/>
        <v>147</v>
      </c>
      <c r="V740" s="124">
        <f t="shared" si="115"/>
        <v>731</v>
      </c>
      <c r="W740" s="124">
        <f t="shared" si="116"/>
        <v>1</v>
      </c>
      <c r="X740" s="124">
        <f t="shared" si="117"/>
        <v>13416.833343589547</v>
      </c>
      <c r="Y740" s="264">
        <f t="shared" si="118"/>
        <v>731</v>
      </c>
      <c r="Z740" s="10">
        <v>147</v>
      </c>
      <c r="AA740" s="7">
        <v>147</v>
      </c>
      <c r="AB740" s="7">
        <v>731</v>
      </c>
      <c r="AC740" s="109">
        <v>1</v>
      </c>
      <c r="AD740" s="109">
        <v>13416.833343589547</v>
      </c>
      <c r="AE740" s="125"/>
      <c r="AF740" s="10"/>
      <c r="AI740" s="109"/>
      <c r="AJ740" s="109"/>
      <c r="AL740" s="10"/>
      <c r="AO740" s="109"/>
      <c r="AP740" s="109"/>
      <c r="AR740" s="10"/>
      <c r="AU740" s="109"/>
      <c r="AV740" s="109"/>
      <c r="AX740" s="10"/>
      <c r="BA740" s="109"/>
      <c r="BB740" s="109"/>
      <c r="BD740" s="10"/>
      <c r="BG740" s="109"/>
      <c r="BH740" s="109"/>
      <c r="BJ740" s="10"/>
      <c r="BM740" s="109"/>
      <c r="BN740" s="109"/>
      <c r="BP740" s="10"/>
      <c r="BS740" s="109"/>
      <c r="BT740" s="109"/>
      <c r="BV740" s="10"/>
      <c r="BY740" s="109"/>
      <c r="BZ740" s="109"/>
      <c r="CB740" s="10"/>
      <c r="CE740" s="109"/>
      <c r="CF740" s="109"/>
      <c r="CH740" s="10"/>
      <c r="CK740" s="109"/>
      <c r="CL740" s="109"/>
    </row>
    <row r="741" spans="1:90">
      <c r="A741" s="7" t="str">
        <f t="shared" si="111"/>
        <v>01470725</v>
      </c>
      <c r="B741" s="7" t="s">
        <v>2486</v>
      </c>
      <c r="C741" s="7" t="s">
        <v>2732</v>
      </c>
      <c r="D741" s="7">
        <v>732</v>
      </c>
      <c r="E741" s="7">
        <v>147</v>
      </c>
      <c r="F741" s="7" t="s">
        <v>1852</v>
      </c>
      <c r="G741" s="7">
        <v>725</v>
      </c>
      <c r="H741" s="7" t="s">
        <v>1659</v>
      </c>
      <c r="I741" s="37">
        <v>9498110</v>
      </c>
      <c r="J741" s="122">
        <v>0.930645487842791</v>
      </c>
      <c r="K741" s="123">
        <f t="shared" si="120"/>
        <v>9367168.1850467306</v>
      </c>
      <c r="L741" s="122">
        <f>IF(K744&gt;0, K741/K744, 0)</f>
        <v>0.92609201175961076</v>
      </c>
      <c r="M741" s="71"/>
      <c r="N741" s="10">
        <f>ROUND(M744*L741,0)</f>
        <v>6484607</v>
      </c>
      <c r="O741" s="70">
        <v>6455792</v>
      </c>
      <c r="P741" s="10">
        <f>N741-O741</f>
        <v>28815</v>
      </c>
      <c r="Q741" s="46">
        <f t="shared" si="119"/>
        <v>0.4463433766143643</v>
      </c>
      <c r="R741" s="10">
        <v>1004</v>
      </c>
      <c r="S741" s="7">
        <f t="shared" si="112"/>
        <v>0</v>
      </c>
      <c r="T741" s="124">
        <f t="shared" si="113"/>
        <v>147</v>
      </c>
      <c r="U741" s="124">
        <f t="shared" si="114"/>
        <v>725</v>
      </c>
      <c r="V741" s="124">
        <f t="shared" si="115"/>
        <v>732</v>
      </c>
      <c r="W741" s="124">
        <f t="shared" si="116"/>
        <v>965.24796379018005</v>
      </c>
      <c r="X741" s="124">
        <f t="shared" si="117"/>
        <v>9367168.1850467306</v>
      </c>
      <c r="Y741" s="264">
        <f t="shared" si="118"/>
        <v>732</v>
      </c>
      <c r="Z741" s="10">
        <v>147</v>
      </c>
      <c r="AA741" s="7">
        <v>725</v>
      </c>
      <c r="AB741" s="7">
        <v>732</v>
      </c>
      <c r="AC741" s="109">
        <v>965.24796379018005</v>
      </c>
      <c r="AD741" s="109">
        <v>9367168.1850467306</v>
      </c>
      <c r="AE741" s="125"/>
      <c r="AF741" s="10"/>
      <c r="AI741" s="109"/>
      <c r="AJ741" s="109"/>
      <c r="AL741" s="10"/>
      <c r="AO741" s="109"/>
      <c r="AP741" s="109"/>
      <c r="AR741" s="10"/>
      <c r="AU741" s="109"/>
      <c r="AV741" s="109"/>
      <c r="AX741" s="10"/>
      <c r="BA741" s="109"/>
      <c r="BB741" s="109"/>
      <c r="BD741" s="10"/>
      <c r="BG741" s="109"/>
      <c r="BH741" s="109"/>
      <c r="BJ741" s="10"/>
      <c r="BM741" s="109"/>
      <c r="BN741" s="109"/>
      <c r="BP741" s="10"/>
      <c r="BS741" s="109"/>
      <c r="BT741" s="109"/>
      <c r="BV741" s="10"/>
      <c r="BY741" s="109"/>
      <c r="BZ741" s="109"/>
      <c r="CB741" s="10"/>
      <c r="CE741" s="109"/>
      <c r="CF741" s="109"/>
      <c r="CH741" s="10"/>
      <c r="CK741" s="109"/>
      <c r="CL741" s="109"/>
    </row>
    <row r="742" spans="1:90">
      <c r="A742" s="7" t="str">
        <f t="shared" si="111"/>
        <v>01470830</v>
      </c>
      <c r="B742" s="7" t="s">
        <v>2486</v>
      </c>
      <c r="C742" s="7" t="s">
        <v>2764</v>
      </c>
      <c r="D742" s="7">
        <v>733</v>
      </c>
      <c r="E742" s="7">
        <v>147</v>
      </c>
      <c r="F742" s="7" t="s">
        <v>1852</v>
      </c>
      <c r="G742" s="7">
        <v>830</v>
      </c>
      <c r="H742" s="7" t="s">
        <v>1691</v>
      </c>
      <c r="I742" s="37">
        <v>681486</v>
      </c>
      <c r="J742" s="122">
        <v>6.6773481348187405E-2</v>
      </c>
      <c r="K742" s="123">
        <f t="shared" si="120"/>
        <v>734142.31550466514</v>
      </c>
      <c r="L742" s="122">
        <f>IF(K744&gt;0, K742/K744, 0)</f>
        <v>7.2581523087084668E-2</v>
      </c>
      <c r="M742" s="71"/>
      <c r="N742" s="10">
        <f>ROUND(M744*L742,0)</f>
        <v>508225</v>
      </c>
      <c r="O742" s="70">
        <v>463201</v>
      </c>
      <c r="P742" s="10">
        <f>N742-O742</f>
        <v>45024</v>
      </c>
      <c r="Q742" s="46">
        <f t="shared" si="119"/>
        <v>9.7201862690279164</v>
      </c>
      <c r="R742" s="10">
        <v>39</v>
      </c>
      <c r="S742" s="7">
        <f t="shared" si="112"/>
        <v>0</v>
      </c>
      <c r="T742" s="124">
        <f t="shared" si="113"/>
        <v>147</v>
      </c>
      <c r="U742" s="124">
        <f t="shared" si="114"/>
        <v>830</v>
      </c>
      <c r="V742" s="124">
        <f t="shared" si="115"/>
        <v>733</v>
      </c>
      <c r="W742" s="124">
        <f t="shared" si="116"/>
        <v>40.115942030539998</v>
      </c>
      <c r="X742" s="124">
        <f t="shared" si="117"/>
        <v>734142.31550466514</v>
      </c>
      <c r="Y742" s="264">
        <f t="shared" si="118"/>
        <v>733</v>
      </c>
      <c r="Z742" s="10">
        <v>147</v>
      </c>
      <c r="AA742" s="7">
        <v>830</v>
      </c>
      <c r="AB742" s="7">
        <v>733</v>
      </c>
      <c r="AC742" s="109">
        <v>40.115942030539998</v>
      </c>
      <c r="AD742" s="109">
        <v>734142.31550466514</v>
      </c>
      <c r="AE742" s="125"/>
      <c r="AF742" s="10"/>
      <c r="AI742" s="109"/>
      <c r="AJ742" s="109"/>
      <c r="AL742" s="10"/>
      <c r="AO742" s="109"/>
      <c r="AP742" s="109"/>
      <c r="AR742" s="10"/>
      <c r="AU742" s="109"/>
      <c r="AV742" s="109"/>
      <c r="AX742" s="10"/>
      <c r="BA742" s="109"/>
      <c r="BB742" s="109"/>
      <c r="BD742" s="10"/>
      <c r="BG742" s="109"/>
      <c r="BH742" s="109"/>
      <c r="BJ742" s="10"/>
      <c r="BM742" s="109"/>
      <c r="BN742" s="109"/>
      <c r="BP742" s="10"/>
      <c r="BS742" s="109"/>
      <c r="BT742" s="109"/>
      <c r="BV742" s="10"/>
      <c r="BY742" s="109"/>
      <c r="BZ742" s="109"/>
      <c r="CB742" s="10"/>
      <c r="CE742" s="109"/>
      <c r="CF742" s="109"/>
      <c r="CH742" s="10"/>
      <c r="CK742" s="109"/>
      <c r="CL742" s="109"/>
    </row>
    <row r="743" spans="1:90">
      <c r="A743" s="7" t="str">
        <f t="shared" si="111"/>
        <v>01470998</v>
      </c>
      <c r="B743" s="7" t="s">
        <v>2486</v>
      </c>
      <c r="C743" s="7" t="s">
        <v>2781</v>
      </c>
      <c r="D743" s="7">
        <v>734</v>
      </c>
      <c r="E743" s="7">
        <v>147</v>
      </c>
      <c r="F743" s="7" t="s">
        <v>2135</v>
      </c>
      <c r="G743" s="7">
        <v>998</v>
      </c>
      <c r="H743" s="7" t="s">
        <v>2135</v>
      </c>
      <c r="I743" s="37">
        <v>0</v>
      </c>
      <c r="J743" s="122">
        <v>0</v>
      </c>
      <c r="K743" s="123">
        <f t="shared" si="120"/>
        <v>0</v>
      </c>
      <c r="L743" s="122">
        <f>IF(K744&gt;0, K743/K744, 0)</f>
        <v>0</v>
      </c>
      <c r="M743" s="71"/>
      <c r="N743" s="10">
        <f>ROUND(M744*L743,0)</f>
        <v>0</v>
      </c>
      <c r="O743" s="70">
        <v>0</v>
      </c>
      <c r="P743" s="10">
        <f>N743-O743</f>
        <v>0</v>
      </c>
      <c r="Q743" s="46">
        <f t="shared" si="119"/>
        <v>0</v>
      </c>
      <c r="R743" s="10">
        <v>0</v>
      </c>
      <c r="S743" s="7">
        <f t="shared" si="112"/>
        <v>0</v>
      </c>
      <c r="T743" s="124">
        <f t="shared" si="113"/>
        <v>147</v>
      </c>
      <c r="U743" s="124">
        <f t="shared" si="114"/>
        <v>998</v>
      </c>
      <c r="V743" s="124">
        <f t="shared" si="115"/>
        <v>734</v>
      </c>
      <c r="W743" s="124">
        <f t="shared" si="116"/>
        <v>0</v>
      </c>
      <c r="X743" s="124">
        <f t="shared" si="117"/>
        <v>0</v>
      </c>
      <c r="Y743" s="264">
        <f t="shared" si="118"/>
        <v>734</v>
      </c>
      <c r="Z743" s="10">
        <v>147</v>
      </c>
      <c r="AA743" s="7">
        <v>998</v>
      </c>
      <c r="AB743" s="7">
        <v>734</v>
      </c>
      <c r="AC743" s="109">
        <v>0</v>
      </c>
      <c r="AD743" s="109">
        <v>0</v>
      </c>
      <c r="AE743" s="125"/>
      <c r="AF743" s="10"/>
      <c r="AI743" s="109"/>
      <c r="AJ743" s="109"/>
      <c r="AL743" s="10"/>
      <c r="AO743" s="109"/>
      <c r="AP743" s="109"/>
      <c r="AR743" s="10"/>
      <c r="AU743" s="109"/>
      <c r="AV743" s="109"/>
      <c r="AX743" s="10"/>
      <c r="BA743" s="109"/>
      <c r="BB743" s="109"/>
      <c r="BD743" s="10"/>
      <c r="BG743" s="109"/>
      <c r="BH743" s="109"/>
      <c r="BJ743" s="10"/>
      <c r="BM743" s="109"/>
      <c r="BN743" s="109"/>
      <c r="BP743" s="10"/>
      <c r="BS743" s="109"/>
      <c r="BT743" s="109"/>
      <c r="BV743" s="10"/>
      <c r="BY743" s="109"/>
      <c r="BZ743" s="109"/>
      <c r="CB743" s="10"/>
      <c r="CE743" s="109"/>
      <c r="CF743" s="109"/>
      <c r="CH743" s="10"/>
      <c r="CK743" s="109"/>
      <c r="CL743" s="109"/>
    </row>
    <row r="744" spans="1:90">
      <c r="A744" s="7" t="str">
        <f t="shared" si="111"/>
        <v>01470999</v>
      </c>
      <c r="B744" s="7" t="s">
        <v>2486</v>
      </c>
      <c r="C744" s="7" t="s">
        <v>2782</v>
      </c>
      <c r="D744" s="7">
        <v>735</v>
      </c>
      <c r="E744" s="11">
        <v>147</v>
      </c>
      <c r="F744" s="11" t="s">
        <v>1852</v>
      </c>
      <c r="G744" s="11">
        <v>999</v>
      </c>
      <c r="H744" s="11" t="s">
        <v>1132</v>
      </c>
      <c r="I744" s="105">
        <v>10205937.84</v>
      </c>
      <c r="J744" s="126">
        <v>1</v>
      </c>
      <c r="K744" s="127">
        <f>SUM(K740:K743)</f>
        <v>10114727.333894985</v>
      </c>
      <c r="L744" s="126">
        <f>SUM(L740:L743)</f>
        <v>1</v>
      </c>
      <c r="M744" s="105">
        <f>VLOOKUP(E744,town351,22)</f>
        <v>7002120</v>
      </c>
      <c r="N744" s="105">
        <f>SUM(N740:N743)</f>
        <v>7002120</v>
      </c>
      <c r="O744" s="128">
        <v>6936897</v>
      </c>
      <c r="P744" s="105">
        <f>SUM(P740:P743)</f>
        <v>65223</v>
      </c>
      <c r="Q744" s="45">
        <f t="shared" si="119"/>
        <v>0.94023307539379641</v>
      </c>
      <c r="R744" s="105">
        <v>1045</v>
      </c>
      <c r="S744" s="7">
        <f t="shared" si="112"/>
        <v>0</v>
      </c>
      <c r="T744" s="124">
        <f t="shared" si="113"/>
        <v>147</v>
      </c>
      <c r="U744" s="124">
        <f t="shared" si="114"/>
        <v>999</v>
      </c>
      <c r="V744" s="124">
        <f t="shared" si="115"/>
        <v>735</v>
      </c>
      <c r="W744" s="124">
        <f t="shared" si="116"/>
        <v>1006.36390582072</v>
      </c>
      <c r="X744" s="124">
        <f t="shared" si="117"/>
        <v>10114727.333894985</v>
      </c>
      <c r="Y744" s="264">
        <f t="shared" si="118"/>
        <v>735</v>
      </c>
      <c r="Z744" s="10">
        <v>147</v>
      </c>
      <c r="AA744" s="7">
        <v>999</v>
      </c>
      <c r="AB744" s="7">
        <v>735</v>
      </c>
      <c r="AC744" s="109">
        <v>1006.36390582072</v>
      </c>
      <c r="AD744" s="109">
        <v>10114727.333894985</v>
      </c>
      <c r="AE744" s="125"/>
      <c r="AF744" s="10"/>
      <c r="AI744" s="109"/>
      <c r="AJ744" s="109"/>
      <c r="AL744" s="10"/>
      <c r="AO744" s="109"/>
      <c r="AP744" s="109"/>
      <c r="AR744" s="10"/>
      <c r="AU744" s="109"/>
      <c r="AV744" s="109"/>
      <c r="AX744" s="10"/>
      <c r="BA744" s="109"/>
      <c r="BB744" s="109"/>
      <c r="BD744" s="10"/>
      <c r="BG744" s="109"/>
      <c r="BH744" s="109"/>
      <c r="BJ744" s="10"/>
      <c r="BM744" s="109"/>
      <c r="BN744" s="109"/>
      <c r="BP744" s="10"/>
      <c r="BS744" s="109"/>
      <c r="BT744" s="109"/>
      <c r="BV744" s="10"/>
      <c r="BY744" s="109"/>
      <c r="BZ744" s="109"/>
      <c r="CB744" s="10"/>
      <c r="CE744" s="109"/>
      <c r="CF744" s="109"/>
      <c r="CH744" s="10"/>
      <c r="CK744" s="109"/>
      <c r="CL744" s="109"/>
    </row>
    <row r="745" spans="1:90">
      <c r="A745" s="7" t="str">
        <f t="shared" si="111"/>
        <v>01480148</v>
      </c>
      <c r="B745" s="7" t="s">
        <v>2487</v>
      </c>
      <c r="C745" s="7" t="s">
        <v>2487</v>
      </c>
      <c r="D745" s="7">
        <v>736</v>
      </c>
      <c r="E745" s="7">
        <v>148</v>
      </c>
      <c r="F745" s="7" t="s">
        <v>1853</v>
      </c>
      <c r="G745" s="7">
        <v>148</v>
      </c>
      <c r="H745" s="7" t="s">
        <v>1414</v>
      </c>
      <c r="I745" s="37">
        <v>1846691.1099999999</v>
      </c>
      <c r="J745" s="122">
        <v>0.46137921228825324</v>
      </c>
      <c r="K745" s="123">
        <f>X745</f>
        <v>1897447.2242952588</v>
      </c>
      <c r="L745" s="122">
        <f>IF(K749&gt;0, K745/K749, 0)</f>
        <v>0.44642712862529937</v>
      </c>
      <c r="M745" s="71"/>
      <c r="N745" s="10">
        <f>ROUND(M749*L745,0)</f>
        <v>1143811</v>
      </c>
      <c r="O745" s="70">
        <v>1231226</v>
      </c>
      <c r="P745" s="10">
        <f>N745-O745</f>
        <v>-87415</v>
      </c>
      <c r="Q745" s="46">
        <f t="shared" si="119"/>
        <v>-7.0998338241720038</v>
      </c>
      <c r="R745" s="10">
        <v>188</v>
      </c>
      <c r="S745" s="7">
        <f t="shared" si="112"/>
        <v>0</v>
      </c>
      <c r="T745" s="124">
        <f t="shared" si="113"/>
        <v>148</v>
      </c>
      <c r="U745" s="124">
        <f t="shared" si="114"/>
        <v>148</v>
      </c>
      <c r="V745" s="124">
        <f t="shared" si="115"/>
        <v>736</v>
      </c>
      <c r="W745" s="124">
        <f t="shared" si="116"/>
        <v>196</v>
      </c>
      <c r="X745" s="124">
        <f t="shared" si="117"/>
        <v>1897447.2242952588</v>
      </c>
      <c r="Y745" s="264">
        <f t="shared" si="118"/>
        <v>736</v>
      </c>
      <c r="Z745" s="10">
        <v>148</v>
      </c>
      <c r="AA745" s="7">
        <v>148</v>
      </c>
      <c r="AB745" s="7">
        <v>736</v>
      </c>
      <c r="AC745" s="109">
        <v>196</v>
      </c>
      <c r="AD745" s="109">
        <v>1897447.2242952588</v>
      </c>
      <c r="AE745" s="125"/>
      <c r="AF745" s="10"/>
      <c r="AI745" s="109"/>
      <c r="AJ745" s="109"/>
      <c r="AL745" s="10"/>
      <c r="AO745" s="109"/>
      <c r="AP745" s="109"/>
      <c r="AR745" s="10"/>
      <c r="AU745" s="109"/>
      <c r="AV745" s="109"/>
      <c r="AX745" s="10"/>
      <c r="BA745" s="109"/>
      <c r="BB745" s="109"/>
      <c r="BD745" s="10"/>
      <c r="BG745" s="109"/>
      <c r="BH745" s="109"/>
      <c r="BJ745" s="10"/>
      <c r="BM745" s="109"/>
      <c r="BN745" s="109"/>
      <c r="BP745" s="10"/>
      <c r="BS745" s="109"/>
      <c r="BT745" s="109"/>
      <c r="BV745" s="10"/>
      <c r="BY745" s="109"/>
      <c r="BZ745" s="109"/>
      <c r="CB745" s="10"/>
      <c r="CE745" s="109"/>
      <c r="CF745" s="109"/>
      <c r="CH745" s="10"/>
      <c r="CK745" s="109"/>
      <c r="CL745" s="109"/>
    </row>
    <row r="746" spans="1:90">
      <c r="A746" s="7" t="str">
        <f t="shared" si="111"/>
        <v>01480715</v>
      </c>
      <c r="B746" s="7" t="s">
        <v>2487</v>
      </c>
      <c r="C746" s="7" t="s">
        <v>2729</v>
      </c>
      <c r="D746" s="7">
        <v>737</v>
      </c>
      <c r="E746" s="7">
        <v>148</v>
      </c>
      <c r="F746" s="7" t="s">
        <v>1853</v>
      </c>
      <c r="G746" s="7">
        <v>715</v>
      </c>
      <c r="H746" s="7" t="s">
        <v>1656</v>
      </c>
      <c r="I746" s="37">
        <v>1807446</v>
      </c>
      <c r="J746" s="122">
        <v>0.45157417351381207</v>
      </c>
      <c r="K746" s="123">
        <f t="shared" si="120"/>
        <v>1966854.893988335</v>
      </c>
      <c r="L746" s="122">
        <f>IF(K749&gt;0, K746/K749, 0)</f>
        <v>0.46275720953026983</v>
      </c>
      <c r="M746" s="71"/>
      <c r="N746" s="10">
        <f>ROUND(M749*L746,0)</f>
        <v>1185652</v>
      </c>
      <c r="O746" s="70">
        <v>1205061</v>
      </c>
      <c r="P746" s="10">
        <f>N746-O746</f>
        <v>-19409</v>
      </c>
      <c r="Q746" s="46">
        <f t="shared" si="119"/>
        <v>-1.6106238605348608</v>
      </c>
      <c r="R746" s="10">
        <v>180</v>
      </c>
      <c r="S746" s="7">
        <f t="shared" si="112"/>
        <v>0</v>
      </c>
      <c r="T746" s="124">
        <f t="shared" si="113"/>
        <v>148</v>
      </c>
      <c r="U746" s="124">
        <f t="shared" si="114"/>
        <v>715</v>
      </c>
      <c r="V746" s="124">
        <f t="shared" si="115"/>
        <v>737</v>
      </c>
      <c r="W746" s="124">
        <f t="shared" si="116"/>
        <v>190</v>
      </c>
      <c r="X746" s="124">
        <f t="shared" si="117"/>
        <v>1966854.893988335</v>
      </c>
      <c r="Y746" s="264">
        <f t="shared" si="118"/>
        <v>737</v>
      </c>
      <c r="Z746" s="10">
        <v>148</v>
      </c>
      <c r="AA746" s="7">
        <v>715</v>
      </c>
      <c r="AB746" s="7">
        <v>737</v>
      </c>
      <c r="AC746" s="109">
        <v>190</v>
      </c>
      <c r="AD746" s="109">
        <v>1966854.893988335</v>
      </c>
      <c r="AE746" s="125"/>
      <c r="AF746" s="10"/>
      <c r="AI746" s="109"/>
      <c r="AJ746" s="109"/>
      <c r="AL746" s="10"/>
      <c r="AO746" s="109"/>
      <c r="AP746" s="109"/>
      <c r="AR746" s="10"/>
      <c r="AU746" s="109"/>
      <c r="AV746" s="109"/>
      <c r="AX746" s="10"/>
      <c r="BA746" s="109"/>
      <c r="BB746" s="109"/>
      <c r="BD746" s="10"/>
      <c r="BG746" s="109"/>
      <c r="BH746" s="109"/>
      <c r="BJ746" s="10"/>
      <c r="BM746" s="109"/>
      <c r="BN746" s="109"/>
      <c r="BP746" s="10"/>
      <c r="BS746" s="109"/>
      <c r="BT746" s="109"/>
      <c r="BV746" s="10"/>
      <c r="BY746" s="109"/>
      <c r="BZ746" s="109"/>
      <c r="CB746" s="10"/>
      <c r="CE746" s="109"/>
      <c r="CF746" s="109"/>
      <c r="CH746" s="10"/>
      <c r="CK746" s="109"/>
      <c r="CL746" s="109"/>
    </row>
    <row r="747" spans="1:90">
      <c r="A747" s="7" t="str">
        <f t="shared" si="111"/>
        <v>01480851</v>
      </c>
      <c r="B747" s="7" t="s">
        <v>2487</v>
      </c>
      <c r="C747" s="7" t="s">
        <v>2766</v>
      </c>
      <c r="D747" s="7">
        <v>738</v>
      </c>
      <c r="E747" s="7">
        <v>148</v>
      </c>
      <c r="F747" s="7" t="s">
        <v>1853</v>
      </c>
      <c r="G747" s="7">
        <v>851</v>
      </c>
      <c r="H747" s="7" t="s">
        <v>1693</v>
      </c>
      <c r="I747" s="37">
        <v>348408</v>
      </c>
      <c r="J747" s="122">
        <v>8.7046614197934677E-2</v>
      </c>
      <c r="K747" s="123">
        <f t="shared" si="120"/>
        <v>385993.40058001643</v>
      </c>
      <c r="L747" s="122">
        <f>IF(K749&gt;0, K747/K749, 0)</f>
        <v>9.0815661844430615E-2</v>
      </c>
      <c r="M747" s="71"/>
      <c r="N747" s="10">
        <f>ROUND(M749*L747,0)</f>
        <v>232683</v>
      </c>
      <c r="O747" s="70">
        <v>232291</v>
      </c>
      <c r="P747" s="10">
        <f>N747-O747</f>
        <v>392</v>
      </c>
      <c r="Q747" s="46">
        <f t="shared" si="119"/>
        <v>0.16875384754467457</v>
      </c>
      <c r="R747" s="10">
        <v>22</v>
      </c>
      <c r="S747" s="7">
        <f t="shared" si="112"/>
        <v>0</v>
      </c>
      <c r="T747" s="124">
        <f t="shared" si="113"/>
        <v>148</v>
      </c>
      <c r="U747" s="124">
        <f t="shared" si="114"/>
        <v>851</v>
      </c>
      <c r="V747" s="124">
        <f t="shared" si="115"/>
        <v>738</v>
      </c>
      <c r="W747" s="124">
        <f t="shared" si="116"/>
        <v>24.0000000012</v>
      </c>
      <c r="X747" s="124">
        <f t="shared" si="117"/>
        <v>385993.40058001643</v>
      </c>
      <c r="Y747" s="264">
        <f t="shared" si="118"/>
        <v>738</v>
      </c>
      <c r="Z747" s="10">
        <v>148</v>
      </c>
      <c r="AA747" s="7">
        <v>851</v>
      </c>
      <c r="AB747" s="7">
        <v>738</v>
      </c>
      <c r="AC747" s="109">
        <v>24.0000000012</v>
      </c>
      <c r="AD747" s="109">
        <v>385993.40058001643</v>
      </c>
      <c r="AE747" s="125"/>
      <c r="AF747" s="10"/>
      <c r="AI747" s="109"/>
      <c r="AJ747" s="109"/>
      <c r="AL747" s="10"/>
      <c r="AO747" s="109"/>
      <c r="AP747" s="109"/>
      <c r="AR747" s="10"/>
      <c r="AU747" s="109"/>
      <c r="AV747" s="109"/>
      <c r="AX747" s="10"/>
      <c r="BA747" s="109"/>
      <c r="BB747" s="109"/>
      <c r="BD747" s="10"/>
      <c r="BG747" s="109"/>
      <c r="BH747" s="109"/>
      <c r="BJ747" s="10"/>
      <c r="BM747" s="109"/>
      <c r="BN747" s="109"/>
      <c r="BP747" s="10"/>
      <c r="BS747" s="109"/>
      <c r="BT747" s="109"/>
      <c r="BV747" s="10"/>
      <c r="BY747" s="109"/>
      <c r="BZ747" s="109"/>
      <c r="CB747" s="10"/>
      <c r="CE747" s="109"/>
      <c r="CF747" s="109"/>
      <c r="CH747" s="10"/>
      <c r="CK747" s="109"/>
      <c r="CL747" s="109"/>
    </row>
    <row r="748" spans="1:90">
      <c r="A748" s="7" t="str">
        <f t="shared" si="111"/>
        <v>01480998</v>
      </c>
      <c r="B748" s="7" t="s">
        <v>2487</v>
      </c>
      <c r="C748" s="7" t="s">
        <v>2781</v>
      </c>
      <c r="D748" s="7">
        <v>739</v>
      </c>
      <c r="E748" s="7">
        <v>148</v>
      </c>
      <c r="F748" s="7" t="s">
        <v>2135</v>
      </c>
      <c r="G748" s="7">
        <v>998</v>
      </c>
      <c r="H748" s="7" t="s">
        <v>2135</v>
      </c>
      <c r="I748" s="37">
        <v>0</v>
      </c>
      <c r="J748" s="122">
        <v>0</v>
      </c>
      <c r="K748" s="123">
        <f t="shared" si="120"/>
        <v>0</v>
      </c>
      <c r="L748" s="122">
        <f>IF(K749&gt;0, K748/K749, 0)</f>
        <v>0</v>
      </c>
      <c r="M748" s="71"/>
      <c r="N748" s="10">
        <f>ROUND(M749*L748,0)</f>
        <v>0</v>
      </c>
      <c r="O748" s="70">
        <v>0</v>
      </c>
      <c r="P748" s="10">
        <f>N748-O748</f>
        <v>0</v>
      </c>
      <c r="Q748" s="46">
        <f t="shared" si="119"/>
        <v>0</v>
      </c>
      <c r="R748" s="10">
        <v>0</v>
      </c>
      <c r="S748" s="7">
        <f t="shared" si="112"/>
        <v>0</v>
      </c>
      <c r="T748" s="124">
        <f t="shared" si="113"/>
        <v>148</v>
      </c>
      <c r="U748" s="124">
        <f t="shared" si="114"/>
        <v>998</v>
      </c>
      <c r="V748" s="124">
        <f t="shared" si="115"/>
        <v>739</v>
      </c>
      <c r="W748" s="124">
        <f t="shared" si="116"/>
        <v>0</v>
      </c>
      <c r="X748" s="124">
        <f t="shared" si="117"/>
        <v>0</v>
      </c>
      <c r="Y748" s="264">
        <f t="shared" si="118"/>
        <v>739</v>
      </c>
      <c r="Z748" s="10">
        <v>148</v>
      </c>
      <c r="AA748" s="7">
        <v>998</v>
      </c>
      <c r="AB748" s="7">
        <v>739</v>
      </c>
      <c r="AC748" s="109">
        <v>0</v>
      </c>
      <c r="AD748" s="109">
        <v>0</v>
      </c>
      <c r="AE748" s="125"/>
      <c r="AF748" s="10"/>
      <c r="AI748" s="109"/>
      <c r="AJ748" s="109"/>
      <c r="AL748" s="10"/>
      <c r="AO748" s="109"/>
      <c r="AP748" s="109"/>
      <c r="AR748" s="10"/>
      <c r="AU748" s="109"/>
      <c r="AV748" s="109"/>
      <c r="AX748" s="10"/>
      <c r="BA748" s="109"/>
      <c r="BB748" s="109"/>
      <c r="BD748" s="10"/>
      <c r="BG748" s="109"/>
      <c r="BH748" s="109"/>
      <c r="BJ748" s="10"/>
      <c r="BM748" s="109"/>
      <c r="BN748" s="109"/>
      <c r="BP748" s="10"/>
      <c r="BS748" s="109"/>
      <c r="BT748" s="109"/>
      <c r="BV748" s="10"/>
      <c r="BY748" s="109"/>
      <c r="BZ748" s="109"/>
      <c r="CB748" s="10"/>
      <c r="CE748" s="109"/>
      <c r="CF748" s="109"/>
      <c r="CH748" s="10"/>
      <c r="CK748" s="109"/>
      <c r="CL748" s="109"/>
    </row>
    <row r="749" spans="1:90">
      <c r="A749" s="7" t="str">
        <f t="shared" si="111"/>
        <v>01480999</v>
      </c>
      <c r="B749" s="7" t="s">
        <v>2487</v>
      </c>
      <c r="C749" s="7" t="s">
        <v>2782</v>
      </c>
      <c r="D749" s="7">
        <v>740</v>
      </c>
      <c r="E749" s="11">
        <v>148</v>
      </c>
      <c r="F749" s="11" t="s">
        <v>1853</v>
      </c>
      <c r="G749" s="11">
        <v>999</v>
      </c>
      <c r="H749" s="11" t="s">
        <v>1132</v>
      </c>
      <c r="I749" s="105">
        <v>4002545.11</v>
      </c>
      <c r="J749" s="126">
        <v>1</v>
      </c>
      <c r="K749" s="127">
        <f>SUM(K745:K748)</f>
        <v>4250295.5188636109</v>
      </c>
      <c r="L749" s="126">
        <f>SUM(L745:L748)</f>
        <v>0.99999999999999978</v>
      </c>
      <c r="M749" s="105">
        <f>VLOOKUP(E749,town351,22)</f>
        <v>2562146</v>
      </c>
      <c r="N749" s="105">
        <f>SUM(N745:N748)</f>
        <v>2562146</v>
      </c>
      <c r="O749" s="128">
        <v>2668578</v>
      </c>
      <c r="P749" s="105">
        <f>SUM(P745:P748)</f>
        <v>-106432</v>
      </c>
      <c r="Q749" s="45">
        <f t="shared" si="119"/>
        <v>-3.9883413563328483</v>
      </c>
      <c r="R749" s="105">
        <v>390</v>
      </c>
      <c r="S749" s="7">
        <f t="shared" si="112"/>
        <v>0</v>
      </c>
      <c r="T749" s="124">
        <f t="shared" si="113"/>
        <v>148</v>
      </c>
      <c r="U749" s="124">
        <f t="shared" si="114"/>
        <v>999</v>
      </c>
      <c r="V749" s="124">
        <f t="shared" si="115"/>
        <v>740</v>
      </c>
      <c r="W749" s="124">
        <f t="shared" si="116"/>
        <v>410.00000000120002</v>
      </c>
      <c r="X749" s="124">
        <f t="shared" si="117"/>
        <v>4250295.5188636109</v>
      </c>
      <c r="Y749" s="264">
        <f t="shared" si="118"/>
        <v>740</v>
      </c>
      <c r="Z749" s="10">
        <v>148</v>
      </c>
      <c r="AA749" s="7">
        <v>999</v>
      </c>
      <c r="AB749" s="7">
        <v>740</v>
      </c>
      <c r="AC749" s="109">
        <v>410.00000000120002</v>
      </c>
      <c r="AD749" s="109">
        <v>4250295.5188636109</v>
      </c>
      <c r="AE749" s="125"/>
      <c r="AF749" s="10"/>
      <c r="AI749" s="109"/>
      <c r="AJ749" s="109"/>
      <c r="AL749" s="10"/>
      <c r="AO749" s="109"/>
      <c r="AP749" s="109"/>
      <c r="AR749" s="10"/>
      <c r="AU749" s="109"/>
      <c r="AV749" s="109"/>
      <c r="AX749" s="10"/>
      <c r="BA749" s="109"/>
      <c r="BB749" s="109"/>
      <c r="BD749" s="10"/>
      <c r="BG749" s="109"/>
      <c r="BH749" s="109"/>
      <c r="BJ749" s="10"/>
      <c r="BM749" s="109"/>
      <c r="BN749" s="109"/>
      <c r="BP749" s="10"/>
      <c r="BS749" s="109"/>
      <c r="BT749" s="109"/>
      <c r="BV749" s="10"/>
      <c r="BY749" s="109"/>
      <c r="BZ749" s="109"/>
      <c r="CB749" s="10"/>
      <c r="CE749" s="109"/>
      <c r="CF749" s="109"/>
      <c r="CH749" s="10"/>
      <c r="CK749" s="109"/>
      <c r="CL749" s="109"/>
    </row>
    <row r="750" spans="1:90">
      <c r="A750" s="7" t="str">
        <f t="shared" si="111"/>
        <v>01490149</v>
      </c>
      <c r="B750" s="7" t="s">
        <v>2488</v>
      </c>
      <c r="C750" s="7" t="s">
        <v>2488</v>
      </c>
      <c r="D750" s="7">
        <v>741</v>
      </c>
      <c r="E750" s="7">
        <v>149</v>
      </c>
      <c r="F750" s="7" t="s">
        <v>1854</v>
      </c>
      <c r="G750" s="7">
        <v>149</v>
      </c>
      <c r="H750" s="7" t="s">
        <v>1415</v>
      </c>
      <c r="I750" s="37">
        <v>185788081.69999999</v>
      </c>
      <c r="J750" s="122">
        <v>0.903913521177513</v>
      </c>
      <c r="K750" s="123">
        <f>X750</f>
        <v>189722671.68810713</v>
      </c>
      <c r="L750" s="122">
        <f>IF(K754&gt;0, K750/K754, 0)</f>
        <v>0.8994951034094596</v>
      </c>
      <c r="M750" s="71"/>
      <c r="N750" s="10">
        <f>ROUND(M754*L750,0)</f>
        <v>9390191</v>
      </c>
      <c r="O750" s="70">
        <v>8809108</v>
      </c>
      <c r="P750" s="10">
        <f>N750-O750</f>
        <v>581083</v>
      </c>
      <c r="Q750" s="46">
        <f t="shared" si="119"/>
        <v>6.5963886468414286</v>
      </c>
      <c r="R750" s="10">
        <v>15088</v>
      </c>
      <c r="S750" s="7">
        <f t="shared" si="112"/>
        <v>0</v>
      </c>
      <c r="T750" s="124">
        <f t="shared" si="113"/>
        <v>149</v>
      </c>
      <c r="U750" s="124">
        <f t="shared" si="114"/>
        <v>149</v>
      </c>
      <c r="V750" s="124">
        <f t="shared" si="115"/>
        <v>741</v>
      </c>
      <c r="W750" s="124">
        <f t="shared" si="116"/>
        <v>15312</v>
      </c>
      <c r="X750" s="124">
        <f t="shared" si="117"/>
        <v>189722671.68810713</v>
      </c>
      <c r="Y750" s="264">
        <f t="shared" si="118"/>
        <v>741</v>
      </c>
      <c r="Z750" s="10">
        <v>149</v>
      </c>
      <c r="AA750" s="7">
        <v>149</v>
      </c>
      <c r="AB750" s="7">
        <v>741</v>
      </c>
      <c r="AC750" s="109">
        <v>15312</v>
      </c>
      <c r="AD750" s="109">
        <v>189722671.68810713</v>
      </c>
      <c r="AE750" s="125"/>
      <c r="AF750" s="10"/>
      <c r="AI750" s="109"/>
      <c r="AJ750" s="109"/>
      <c r="AL750" s="10"/>
      <c r="AO750" s="109"/>
      <c r="AP750" s="109"/>
      <c r="AR750" s="10"/>
      <c r="AU750" s="109"/>
      <c r="AV750" s="109"/>
      <c r="AX750" s="10"/>
      <c r="BA750" s="109"/>
      <c r="BB750" s="109"/>
      <c r="BD750" s="10"/>
      <c r="BG750" s="109"/>
      <c r="BH750" s="109"/>
      <c r="BJ750" s="10"/>
      <c r="BM750" s="109"/>
      <c r="BN750" s="109"/>
      <c r="BP750" s="10"/>
      <c r="BS750" s="109"/>
      <c r="BT750" s="109"/>
      <c r="BV750" s="10"/>
      <c r="BY750" s="109"/>
      <c r="BZ750" s="109"/>
      <c r="CB750" s="10"/>
      <c r="CE750" s="109"/>
      <c r="CF750" s="109"/>
      <c r="CH750" s="10"/>
      <c r="CK750" s="109"/>
      <c r="CL750" s="109"/>
    </row>
    <row r="751" spans="1:90">
      <c r="A751" s="7" t="str">
        <f t="shared" si="111"/>
        <v>01490823</v>
      </c>
      <c r="B751" s="7" t="s">
        <v>2488</v>
      </c>
      <c r="C751" s="7" t="s">
        <v>2760</v>
      </c>
      <c r="D751" s="7">
        <v>742</v>
      </c>
      <c r="E751" s="7">
        <v>149</v>
      </c>
      <c r="F751" s="7" t="s">
        <v>1854</v>
      </c>
      <c r="G751" s="7">
        <v>823</v>
      </c>
      <c r="H751" s="7" t="s">
        <v>1687</v>
      </c>
      <c r="I751" s="37">
        <v>19749370</v>
      </c>
      <c r="J751" s="122">
        <v>9.6086478822487026E-2</v>
      </c>
      <c r="K751" s="123">
        <f t="shared" si="120"/>
        <v>21198622.90146818</v>
      </c>
      <c r="L751" s="122">
        <f>IF(K754&gt;0, K751/K754, 0)</f>
        <v>0.10050489659054042</v>
      </c>
      <c r="M751" s="71"/>
      <c r="N751" s="10">
        <f>ROUND(M754*L751,0)</f>
        <v>1049211</v>
      </c>
      <c r="O751" s="70">
        <v>936413</v>
      </c>
      <c r="P751" s="10">
        <f>N751-O751</f>
        <v>112798</v>
      </c>
      <c r="Q751" s="46">
        <f t="shared" si="119"/>
        <v>12.045753316111588</v>
      </c>
      <c r="R751" s="10">
        <v>1105</v>
      </c>
      <c r="S751" s="7">
        <f t="shared" si="112"/>
        <v>0</v>
      </c>
      <c r="T751" s="124">
        <f t="shared" si="113"/>
        <v>149</v>
      </c>
      <c r="U751" s="124">
        <f t="shared" si="114"/>
        <v>823</v>
      </c>
      <c r="V751" s="124">
        <f t="shared" si="115"/>
        <v>742</v>
      </c>
      <c r="W751" s="124">
        <f t="shared" si="116"/>
        <v>1169.00000000625</v>
      </c>
      <c r="X751" s="124">
        <f t="shared" si="117"/>
        <v>21198622.90146818</v>
      </c>
      <c r="Y751" s="264">
        <f t="shared" si="118"/>
        <v>742</v>
      </c>
      <c r="Z751" s="10">
        <v>149</v>
      </c>
      <c r="AA751" s="7">
        <v>823</v>
      </c>
      <c r="AB751" s="7">
        <v>742</v>
      </c>
      <c r="AC751" s="109">
        <v>1169.00000000625</v>
      </c>
      <c r="AD751" s="109">
        <v>21198622.90146818</v>
      </c>
      <c r="AE751" s="125"/>
      <c r="AF751" s="10"/>
      <c r="AI751" s="109"/>
      <c r="AJ751" s="109"/>
      <c r="AL751" s="10"/>
      <c r="AO751" s="109"/>
      <c r="AP751" s="109"/>
      <c r="AR751" s="10"/>
      <c r="AU751" s="109"/>
      <c r="AV751" s="109"/>
      <c r="AX751" s="10"/>
      <c r="BA751" s="109"/>
      <c r="BB751" s="109"/>
      <c r="BD751" s="10"/>
      <c r="BG751" s="109"/>
      <c r="BH751" s="109"/>
      <c r="BJ751" s="10"/>
      <c r="BM751" s="109"/>
      <c r="BN751" s="109"/>
      <c r="BP751" s="10"/>
      <c r="BS751" s="109"/>
      <c r="BT751" s="109"/>
      <c r="BV751" s="10"/>
      <c r="BY751" s="109"/>
      <c r="BZ751" s="109"/>
      <c r="CB751" s="10"/>
      <c r="CE751" s="109"/>
      <c r="CF751" s="109"/>
      <c r="CH751" s="10"/>
      <c r="CK751" s="109"/>
      <c r="CL751" s="109"/>
    </row>
    <row r="752" spans="1:90">
      <c r="A752" s="7" t="str">
        <f t="shared" si="111"/>
        <v>01490998</v>
      </c>
      <c r="B752" s="7" t="s">
        <v>2488</v>
      </c>
      <c r="C752" s="7" t="s">
        <v>2781</v>
      </c>
      <c r="D752" s="7">
        <v>743</v>
      </c>
      <c r="E752" s="7">
        <v>149</v>
      </c>
      <c r="F752" s="7" t="s">
        <v>2135</v>
      </c>
      <c r="G752" s="7">
        <v>998</v>
      </c>
      <c r="I752" s="129">
        <v>0</v>
      </c>
      <c r="J752" s="130">
        <v>0</v>
      </c>
      <c r="K752" s="123">
        <f t="shared" si="120"/>
        <v>0</v>
      </c>
      <c r="L752" s="122">
        <f>IF(K754&gt;0, K752/K754, 0)</f>
        <v>0</v>
      </c>
      <c r="M752" s="71"/>
      <c r="N752" s="10">
        <f>ROUND(M754*L752,0)</f>
        <v>0</v>
      </c>
      <c r="O752" s="70">
        <v>0</v>
      </c>
      <c r="P752" s="10">
        <f>N752-O752</f>
        <v>0</v>
      </c>
      <c r="Q752" s="46">
        <f t="shared" si="119"/>
        <v>0</v>
      </c>
      <c r="R752" s="10">
        <v>0</v>
      </c>
      <c r="S752" s="7">
        <f t="shared" si="112"/>
        <v>0</v>
      </c>
      <c r="T752" s="124">
        <f t="shared" si="113"/>
        <v>149</v>
      </c>
      <c r="U752" s="124">
        <f t="shared" si="114"/>
        <v>998</v>
      </c>
      <c r="V752" s="124">
        <f t="shared" si="115"/>
        <v>743</v>
      </c>
      <c r="W752" s="124">
        <f t="shared" si="116"/>
        <v>0</v>
      </c>
      <c r="X752" s="124">
        <f t="shared" si="117"/>
        <v>0</v>
      </c>
      <c r="Y752" s="264">
        <f t="shared" si="118"/>
        <v>743</v>
      </c>
      <c r="Z752" s="10">
        <v>149</v>
      </c>
      <c r="AA752" s="7">
        <v>998</v>
      </c>
      <c r="AB752" s="7">
        <v>743</v>
      </c>
      <c r="AC752" s="109">
        <v>0</v>
      </c>
      <c r="AD752" s="109">
        <v>0</v>
      </c>
      <c r="AE752" s="125"/>
      <c r="AF752" s="10"/>
      <c r="AI752" s="109"/>
      <c r="AJ752" s="109"/>
      <c r="AL752" s="10"/>
      <c r="AO752" s="109"/>
      <c r="AP752" s="109"/>
      <c r="AR752" s="10"/>
      <c r="AU752" s="109"/>
      <c r="AV752" s="109"/>
      <c r="AX752" s="10"/>
      <c r="BA752" s="109"/>
      <c r="BB752" s="109"/>
      <c r="BD752" s="10"/>
      <c r="BG752" s="109"/>
      <c r="BH752" s="109"/>
      <c r="BJ752" s="10"/>
      <c r="BM752" s="109"/>
      <c r="BN752" s="109"/>
      <c r="BP752" s="10"/>
      <c r="BS752" s="109"/>
      <c r="BT752" s="109"/>
      <c r="BV752" s="10"/>
      <c r="BY752" s="109"/>
      <c r="BZ752" s="109"/>
      <c r="CB752" s="10"/>
      <c r="CE752" s="109"/>
      <c r="CF752" s="109"/>
      <c r="CH752" s="10"/>
      <c r="CK752" s="109"/>
      <c r="CL752" s="109"/>
    </row>
    <row r="753" spans="1:90">
      <c r="A753" s="7" t="str">
        <f t="shared" si="111"/>
        <v>01490998</v>
      </c>
      <c r="B753" s="7" t="s">
        <v>2488</v>
      </c>
      <c r="C753" s="7" t="s">
        <v>2781</v>
      </c>
      <c r="D753" s="7">
        <v>744</v>
      </c>
      <c r="E753" s="7">
        <v>149</v>
      </c>
      <c r="F753" s="7" t="s">
        <v>2135</v>
      </c>
      <c r="G753" s="7">
        <v>998</v>
      </c>
      <c r="H753" s="7" t="s">
        <v>2135</v>
      </c>
      <c r="I753" s="37">
        <v>0</v>
      </c>
      <c r="J753" s="122">
        <v>0</v>
      </c>
      <c r="K753" s="123">
        <f t="shared" si="120"/>
        <v>0</v>
      </c>
      <c r="L753" s="122">
        <f>IF(K754&gt;0, K753/K754, 0)</f>
        <v>0</v>
      </c>
      <c r="M753" s="71"/>
      <c r="N753" s="10">
        <f>ROUND(M754*L753,0)</f>
        <v>0</v>
      </c>
      <c r="O753" s="70">
        <v>0</v>
      </c>
      <c r="P753" s="10">
        <f>N753-O753</f>
        <v>0</v>
      </c>
      <c r="Q753" s="46">
        <f t="shared" si="119"/>
        <v>0</v>
      </c>
      <c r="R753" s="10">
        <v>0</v>
      </c>
      <c r="S753" s="7">
        <f t="shared" si="112"/>
        <v>0</v>
      </c>
      <c r="T753" s="124">
        <f t="shared" si="113"/>
        <v>149</v>
      </c>
      <c r="U753" s="124">
        <f t="shared" si="114"/>
        <v>998</v>
      </c>
      <c r="V753" s="124">
        <f t="shared" si="115"/>
        <v>744</v>
      </c>
      <c r="W753" s="124">
        <f t="shared" si="116"/>
        <v>0</v>
      </c>
      <c r="X753" s="124">
        <f t="shared" si="117"/>
        <v>0</v>
      </c>
      <c r="Y753" s="264">
        <f t="shared" si="118"/>
        <v>744</v>
      </c>
      <c r="Z753" s="10">
        <v>149</v>
      </c>
      <c r="AA753" s="7">
        <v>998</v>
      </c>
      <c r="AB753" s="7">
        <v>744</v>
      </c>
      <c r="AC753" s="109">
        <v>0</v>
      </c>
      <c r="AD753" s="109">
        <v>0</v>
      </c>
      <c r="AE753" s="125"/>
      <c r="AF753" s="10"/>
      <c r="AI753" s="109"/>
      <c r="AJ753" s="109"/>
      <c r="AL753" s="10"/>
      <c r="AO753" s="109"/>
      <c r="AP753" s="109"/>
      <c r="AR753" s="10"/>
      <c r="AU753" s="109"/>
      <c r="AV753" s="109"/>
      <c r="AX753" s="10"/>
      <c r="BA753" s="109"/>
      <c r="BB753" s="109"/>
      <c r="BD753" s="10"/>
      <c r="BG753" s="109"/>
      <c r="BH753" s="109"/>
      <c r="BJ753" s="10"/>
      <c r="BM753" s="109"/>
      <c r="BN753" s="109"/>
      <c r="BP753" s="10"/>
      <c r="BS753" s="109"/>
      <c r="BT753" s="109"/>
      <c r="BV753" s="10"/>
      <c r="BY753" s="109"/>
      <c r="BZ753" s="109"/>
      <c r="CB753" s="10"/>
      <c r="CE753" s="109"/>
      <c r="CF753" s="109"/>
      <c r="CH753" s="10"/>
      <c r="CK753" s="109"/>
      <c r="CL753" s="109"/>
    </row>
    <row r="754" spans="1:90">
      <c r="A754" s="7" t="str">
        <f t="shared" si="111"/>
        <v>01490999</v>
      </c>
      <c r="B754" s="7" t="s">
        <v>2488</v>
      </c>
      <c r="C754" s="7" t="s">
        <v>2782</v>
      </c>
      <c r="D754" s="7">
        <v>745</v>
      </c>
      <c r="E754" s="11">
        <v>149</v>
      </c>
      <c r="F754" s="11" t="s">
        <v>1854</v>
      </c>
      <c r="G754" s="11">
        <v>999</v>
      </c>
      <c r="H754" s="11" t="s">
        <v>1132</v>
      </c>
      <c r="I754" s="105">
        <v>205537451.69999999</v>
      </c>
      <c r="J754" s="126">
        <v>1</v>
      </c>
      <c r="K754" s="127">
        <f>SUM(K750:K753)</f>
        <v>210921294.58957532</v>
      </c>
      <c r="L754" s="126">
        <f>SUM(L750:L753)</f>
        <v>1</v>
      </c>
      <c r="M754" s="105">
        <f>VLOOKUP(E754,town351,22)</f>
        <v>10439402</v>
      </c>
      <c r="N754" s="105">
        <f>SUM(N750:N753)</f>
        <v>10439402</v>
      </c>
      <c r="O754" s="128">
        <v>9745521</v>
      </c>
      <c r="P754" s="105">
        <f>SUM(P750:P753)</f>
        <v>693881</v>
      </c>
      <c r="Q754" s="45">
        <f t="shared" si="119"/>
        <v>7.1199990231409895</v>
      </c>
      <c r="R754" s="105">
        <v>16193</v>
      </c>
      <c r="S754" s="7">
        <f t="shared" si="112"/>
        <v>0</v>
      </c>
      <c r="T754" s="124">
        <f t="shared" si="113"/>
        <v>149</v>
      </c>
      <c r="U754" s="124">
        <f t="shared" si="114"/>
        <v>999</v>
      </c>
      <c r="V754" s="124">
        <f t="shared" si="115"/>
        <v>745</v>
      </c>
      <c r="W754" s="124">
        <f t="shared" si="116"/>
        <v>16481.00000000625</v>
      </c>
      <c r="X754" s="124">
        <f t="shared" si="117"/>
        <v>210921294.58957532</v>
      </c>
      <c r="Y754" s="264">
        <f t="shared" si="118"/>
        <v>745</v>
      </c>
      <c r="Z754" s="10">
        <v>149</v>
      </c>
      <c r="AA754" s="7">
        <v>999</v>
      </c>
      <c r="AB754" s="7">
        <v>745</v>
      </c>
      <c r="AC754" s="109">
        <v>16481.00000000625</v>
      </c>
      <c r="AD754" s="109">
        <v>210921294.58957532</v>
      </c>
      <c r="AE754" s="125"/>
      <c r="AF754" s="10"/>
      <c r="AI754" s="109"/>
      <c r="AJ754" s="109"/>
      <c r="AL754" s="10"/>
      <c r="AO754" s="109"/>
      <c r="AP754" s="109"/>
      <c r="AR754" s="10"/>
      <c r="AU754" s="109"/>
      <c r="AV754" s="109"/>
      <c r="AX754" s="10"/>
      <c r="BA754" s="109"/>
      <c r="BB754" s="109"/>
      <c r="BD754" s="10"/>
      <c r="BG754" s="109"/>
      <c r="BH754" s="109"/>
      <c r="BJ754" s="10"/>
      <c r="BM754" s="109"/>
      <c r="BN754" s="109"/>
      <c r="BP754" s="10"/>
      <c r="BS754" s="109"/>
      <c r="BT754" s="109"/>
      <c r="BV754" s="10"/>
      <c r="BY754" s="109"/>
      <c r="BZ754" s="109"/>
      <c r="CB754" s="10"/>
      <c r="CE754" s="109"/>
      <c r="CF754" s="109"/>
      <c r="CH754" s="10"/>
      <c r="CK754" s="109"/>
      <c r="CL754" s="109"/>
    </row>
    <row r="755" spans="1:90">
      <c r="A755" s="7" t="str">
        <f t="shared" si="111"/>
        <v>01500150</v>
      </c>
      <c r="B755" s="7" t="s">
        <v>2489</v>
      </c>
      <c r="C755" s="7" t="s">
        <v>2489</v>
      </c>
      <c r="D755" s="7">
        <v>746</v>
      </c>
      <c r="E755" s="7">
        <v>150</v>
      </c>
      <c r="F755" s="7" t="s">
        <v>1855</v>
      </c>
      <c r="G755" s="7">
        <v>150</v>
      </c>
      <c r="H755" s="7" t="s">
        <v>1416</v>
      </c>
      <c r="I755" s="37">
        <v>6504171.9400000004</v>
      </c>
      <c r="J755" s="122">
        <v>1</v>
      </c>
      <c r="K755" s="123">
        <f>X755</f>
        <v>6757761.9564577993</v>
      </c>
      <c r="L755" s="122">
        <f>IF(K759&gt;0, K755/K759, 0)</f>
        <v>1</v>
      </c>
      <c r="M755" s="71"/>
      <c r="N755" s="10">
        <f>ROUND(M759*L755,0)</f>
        <v>5587191</v>
      </c>
      <c r="O755" s="70">
        <v>5425885</v>
      </c>
      <c r="P755" s="10">
        <f>N755-O755</f>
        <v>161306</v>
      </c>
      <c r="Q755" s="46">
        <f t="shared" si="119"/>
        <v>2.9728975088856471</v>
      </c>
      <c r="R755" s="10">
        <v>612</v>
      </c>
      <c r="S755" s="7">
        <f t="shared" si="112"/>
        <v>0</v>
      </c>
      <c r="T755" s="124">
        <f t="shared" si="113"/>
        <v>150</v>
      </c>
      <c r="U755" s="124">
        <f t="shared" si="114"/>
        <v>150</v>
      </c>
      <c r="V755" s="124">
        <f t="shared" si="115"/>
        <v>746</v>
      </c>
      <c r="W755" s="124">
        <f t="shared" si="116"/>
        <v>621</v>
      </c>
      <c r="X755" s="124">
        <f t="shared" si="117"/>
        <v>6757761.9564577993</v>
      </c>
      <c r="Y755" s="264">
        <f t="shared" si="118"/>
        <v>746</v>
      </c>
      <c r="Z755" s="10">
        <v>150</v>
      </c>
      <c r="AA755" s="7">
        <v>150</v>
      </c>
      <c r="AB755" s="7">
        <v>746</v>
      </c>
      <c r="AC755" s="109">
        <v>621</v>
      </c>
      <c r="AD755" s="109">
        <v>6757761.9564577993</v>
      </c>
      <c r="AE755" s="125"/>
      <c r="AF755" s="10"/>
      <c r="AI755" s="109"/>
      <c r="AJ755" s="109"/>
      <c r="AL755" s="10"/>
      <c r="AO755" s="109"/>
      <c r="AP755" s="109"/>
      <c r="AR755" s="10"/>
      <c r="AU755" s="109"/>
      <c r="AV755" s="109"/>
      <c r="AX755" s="10"/>
      <c r="BA755" s="109"/>
      <c r="BB755" s="109"/>
      <c r="BD755" s="10"/>
      <c r="BG755" s="109"/>
      <c r="BH755" s="109"/>
      <c r="BJ755" s="10"/>
      <c r="BM755" s="109"/>
      <c r="BN755" s="109"/>
      <c r="BP755" s="10"/>
      <c r="BS755" s="109"/>
      <c r="BT755" s="109"/>
      <c r="BV755" s="10"/>
      <c r="BY755" s="109"/>
      <c r="BZ755" s="109"/>
      <c r="CB755" s="10"/>
      <c r="CE755" s="109"/>
      <c r="CF755" s="109"/>
      <c r="CH755" s="10"/>
      <c r="CK755" s="109"/>
      <c r="CL755" s="109"/>
    </row>
    <row r="756" spans="1:90">
      <c r="A756" s="7" t="str">
        <f t="shared" si="111"/>
        <v>01500998</v>
      </c>
      <c r="B756" s="7" t="s">
        <v>2489</v>
      </c>
      <c r="C756" s="7" t="s">
        <v>2781</v>
      </c>
      <c r="D756" s="7">
        <v>747</v>
      </c>
      <c r="E756" s="7">
        <v>150</v>
      </c>
      <c r="F756" s="7" t="s">
        <v>2135</v>
      </c>
      <c r="G756" s="7">
        <v>998</v>
      </c>
      <c r="H756" s="7" t="s">
        <v>2135</v>
      </c>
      <c r="I756" s="37">
        <v>0</v>
      </c>
      <c r="J756" s="122">
        <v>0</v>
      </c>
      <c r="K756" s="123">
        <f t="shared" si="120"/>
        <v>0</v>
      </c>
      <c r="L756" s="122">
        <f>IF(K759&gt;0, K756/K759, 0)</f>
        <v>0</v>
      </c>
      <c r="M756" s="71"/>
      <c r="N756" s="10">
        <f>ROUND(M759*L756,0)</f>
        <v>0</v>
      </c>
      <c r="O756" s="70">
        <v>0</v>
      </c>
      <c r="P756" s="10">
        <f>N756-O756</f>
        <v>0</v>
      </c>
      <c r="Q756" s="46">
        <f t="shared" si="119"/>
        <v>0</v>
      </c>
      <c r="R756" s="10">
        <v>0</v>
      </c>
      <c r="S756" s="7">
        <f t="shared" si="112"/>
        <v>0</v>
      </c>
      <c r="T756" s="124">
        <f t="shared" si="113"/>
        <v>150</v>
      </c>
      <c r="U756" s="124">
        <f t="shared" si="114"/>
        <v>998</v>
      </c>
      <c r="V756" s="124">
        <f t="shared" si="115"/>
        <v>747</v>
      </c>
      <c r="W756" s="124">
        <f t="shared" si="116"/>
        <v>0</v>
      </c>
      <c r="X756" s="124">
        <f t="shared" si="117"/>
        <v>0</v>
      </c>
      <c r="Y756" s="264">
        <f t="shared" si="118"/>
        <v>747</v>
      </c>
      <c r="Z756" s="10">
        <v>150</v>
      </c>
      <c r="AA756" s="7">
        <v>998</v>
      </c>
      <c r="AB756" s="7">
        <v>747</v>
      </c>
      <c r="AC756" s="109">
        <v>0</v>
      </c>
      <c r="AD756" s="109">
        <v>0</v>
      </c>
      <c r="AE756" s="125"/>
      <c r="AF756" s="10"/>
      <c r="AI756" s="109"/>
      <c r="AJ756" s="109"/>
      <c r="AL756" s="10"/>
      <c r="AO756" s="109"/>
      <c r="AP756" s="109"/>
      <c r="AR756" s="10"/>
      <c r="AU756" s="109"/>
      <c r="AV756" s="109"/>
      <c r="AX756" s="10"/>
      <c r="BA756" s="109"/>
      <c r="BB756" s="109"/>
      <c r="BD756" s="10"/>
      <c r="BG756" s="109"/>
      <c r="BH756" s="109"/>
      <c r="BJ756" s="10"/>
      <c r="BM756" s="109"/>
      <c r="BN756" s="109"/>
      <c r="BP756" s="10"/>
      <c r="BS756" s="109"/>
      <c r="BT756" s="109"/>
      <c r="BV756" s="10"/>
      <c r="BY756" s="109"/>
      <c r="BZ756" s="109"/>
      <c r="CB756" s="10"/>
      <c r="CE756" s="109"/>
      <c r="CF756" s="109"/>
      <c r="CH756" s="10"/>
      <c r="CK756" s="109"/>
      <c r="CL756" s="109"/>
    </row>
    <row r="757" spans="1:90">
      <c r="A757" s="7" t="str">
        <f t="shared" si="111"/>
        <v>01500998</v>
      </c>
      <c r="B757" s="7" t="s">
        <v>2489</v>
      </c>
      <c r="C757" s="7" t="s">
        <v>2781</v>
      </c>
      <c r="D757" s="7">
        <v>748</v>
      </c>
      <c r="E757" s="7">
        <v>150</v>
      </c>
      <c r="F757" s="7" t="s">
        <v>2135</v>
      </c>
      <c r="G757" s="7">
        <v>998</v>
      </c>
      <c r="H757" s="7" t="s">
        <v>2135</v>
      </c>
      <c r="I757" s="37">
        <v>0</v>
      </c>
      <c r="J757" s="122">
        <v>0</v>
      </c>
      <c r="K757" s="123">
        <f t="shared" si="120"/>
        <v>0</v>
      </c>
      <c r="L757" s="122">
        <f>IF(K759&gt;0, K757/K759, 0)</f>
        <v>0</v>
      </c>
      <c r="M757" s="71"/>
      <c r="N757" s="10">
        <f>ROUND(M759*L757,0)</f>
        <v>0</v>
      </c>
      <c r="O757" s="70">
        <v>0</v>
      </c>
      <c r="P757" s="10">
        <f>N757-O757</f>
        <v>0</v>
      </c>
      <c r="Q757" s="46">
        <f t="shared" si="119"/>
        <v>0</v>
      </c>
      <c r="R757" s="10">
        <v>0</v>
      </c>
      <c r="S757" s="7">
        <f t="shared" si="112"/>
        <v>0</v>
      </c>
      <c r="T757" s="124">
        <f t="shared" si="113"/>
        <v>150</v>
      </c>
      <c r="U757" s="124">
        <f t="shared" si="114"/>
        <v>998</v>
      </c>
      <c r="V757" s="124">
        <f t="shared" si="115"/>
        <v>748</v>
      </c>
      <c r="W757" s="124">
        <f t="shared" si="116"/>
        <v>0</v>
      </c>
      <c r="X757" s="124">
        <f t="shared" si="117"/>
        <v>0</v>
      </c>
      <c r="Y757" s="264">
        <f t="shared" si="118"/>
        <v>748</v>
      </c>
      <c r="Z757" s="10">
        <v>150</v>
      </c>
      <c r="AA757" s="7">
        <v>998</v>
      </c>
      <c r="AB757" s="7">
        <v>748</v>
      </c>
      <c r="AC757" s="109">
        <v>0</v>
      </c>
      <c r="AD757" s="109">
        <v>0</v>
      </c>
      <c r="AE757" s="125"/>
      <c r="AF757" s="10"/>
      <c r="AI757" s="109"/>
      <c r="AJ757" s="109"/>
      <c r="AL757" s="10"/>
      <c r="AO757" s="109"/>
      <c r="AP757" s="109"/>
      <c r="AR757" s="10"/>
      <c r="AU757" s="109"/>
      <c r="AV757" s="109"/>
      <c r="AX757" s="10"/>
      <c r="BA757" s="109"/>
      <c r="BB757" s="109"/>
      <c r="BD757" s="10"/>
      <c r="BG757" s="109"/>
      <c r="BH757" s="109"/>
      <c r="BJ757" s="10"/>
      <c r="BM757" s="109"/>
      <c r="BN757" s="109"/>
      <c r="BP757" s="10"/>
      <c r="BS757" s="109"/>
      <c r="BT757" s="109"/>
      <c r="BV757" s="10"/>
      <c r="BY757" s="109"/>
      <c r="BZ757" s="109"/>
      <c r="CB757" s="10"/>
      <c r="CE757" s="109"/>
      <c r="CF757" s="109"/>
      <c r="CH757" s="10"/>
      <c r="CK757" s="109"/>
      <c r="CL757" s="109"/>
    </row>
    <row r="758" spans="1:90">
      <c r="A758" s="7" t="str">
        <f t="shared" si="111"/>
        <v>01500998</v>
      </c>
      <c r="B758" s="7" t="s">
        <v>2489</v>
      </c>
      <c r="C758" s="7" t="s">
        <v>2781</v>
      </c>
      <c r="D758" s="7">
        <v>749</v>
      </c>
      <c r="E758" s="7">
        <v>150</v>
      </c>
      <c r="F758" s="7" t="s">
        <v>2135</v>
      </c>
      <c r="G758" s="7">
        <v>998</v>
      </c>
      <c r="H758" s="7" t="s">
        <v>2135</v>
      </c>
      <c r="I758" s="37">
        <v>0</v>
      </c>
      <c r="J758" s="122">
        <v>0</v>
      </c>
      <c r="K758" s="123">
        <f t="shared" si="120"/>
        <v>0</v>
      </c>
      <c r="L758" s="122">
        <f>IF(K759&gt;0, K758/K759, 0)</f>
        <v>0</v>
      </c>
      <c r="M758" s="71"/>
      <c r="N758" s="10">
        <f>ROUND(M759*L758,0)</f>
        <v>0</v>
      </c>
      <c r="O758" s="70">
        <v>0</v>
      </c>
      <c r="P758" s="10">
        <f>N758-O758</f>
        <v>0</v>
      </c>
      <c r="Q758" s="46">
        <f t="shared" si="119"/>
        <v>0</v>
      </c>
      <c r="R758" s="10">
        <v>0</v>
      </c>
      <c r="S758" s="7">
        <f t="shared" si="112"/>
        <v>0</v>
      </c>
      <c r="T758" s="124">
        <f t="shared" si="113"/>
        <v>150</v>
      </c>
      <c r="U758" s="124">
        <f t="shared" si="114"/>
        <v>998</v>
      </c>
      <c r="V758" s="124">
        <f t="shared" si="115"/>
        <v>749</v>
      </c>
      <c r="W758" s="124">
        <f t="shared" si="116"/>
        <v>0</v>
      </c>
      <c r="X758" s="124">
        <f t="shared" si="117"/>
        <v>0</v>
      </c>
      <c r="Y758" s="264">
        <f t="shared" si="118"/>
        <v>749</v>
      </c>
      <c r="Z758" s="10">
        <v>150</v>
      </c>
      <c r="AA758" s="7">
        <v>998</v>
      </c>
      <c r="AB758" s="7">
        <v>749</v>
      </c>
      <c r="AC758" s="109">
        <v>0</v>
      </c>
      <c r="AD758" s="109">
        <v>0</v>
      </c>
      <c r="AE758" s="125"/>
      <c r="AF758" s="10"/>
      <c r="AI758" s="109"/>
      <c r="AJ758" s="109"/>
      <c r="AL758" s="10"/>
      <c r="AO758" s="109"/>
      <c r="AP758" s="109"/>
      <c r="AR758" s="10"/>
      <c r="AU758" s="109"/>
      <c r="AV758" s="109"/>
      <c r="AX758" s="10"/>
      <c r="BA758" s="109"/>
      <c r="BB758" s="109"/>
      <c r="BD758" s="10"/>
      <c r="BG758" s="109"/>
      <c r="BH758" s="109"/>
      <c r="BJ758" s="10"/>
      <c r="BM758" s="109"/>
      <c r="BN758" s="109"/>
      <c r="BP758" s="10"/>
      <c r="BS758" s="109"/>
      <c r="BT758" s="109"/>
      <c r="BV758" s="10"/>
      <c r="BY758" s="109"/>
      <c r="BZ758" s="109"/>
      <c r="CB758" s="10"/>
      <c r="CE758" s="109"/>
      <c r="CF758" s="109"/>
      <c r="CH758" s="10"/>
      <c r="CK758" s="109"/>
      <c r="CL758" s="109"/>
    </row>
    <row r="759" spans="1:90">
      <c r="A759" s="7" t="str">
        <f t="shared" si="111"/>
        <v>01500999</v>
      </c>
      <c r="B759" s="7" t="s">
        <v>2489</v>
      </c>
      <c r="C759" s="7" t="s">
        <v>2782</v>
      </c>
      <c r="D759" s="7">
        <v>750</v>
      </c>
      <c r="E759" s="11">
        <v>150</v>
      </c>
      <c r="F759" s="11" t="s">
        <v>1855</v>
      </c>
      <c r="G759" s="11">
        <v>999</v>
      </c>
      <c r="H759" s="11" t="s">
        <v>1132</v>
      </c>
      <c r="I759" s="105">
        <v>6504171.9400000004</v>
      </c>
      <c r="J759" s="126">
        <v>1</v>
      </c>
      <c r="K759" s="127">
        <f>SUM(K755:K758)</f>
        <v>6757761.9564577993</v>
      </c>
      <c r="L759" s="126">
        <f>SUM(L755:L758)</f>
        <v>1</v>
      </c>
      <c r="M759" s="105">
        <f>VLOOKUP(E759,town351,22)</f>
        <v>5587191</v>
      </c>
      <c r="N759" s="105">
        <f>SUM(N755:N758)</f>
        <v>5587191</v>
      </c>
      <c r="O759" s="128">
        <v>5425885</v>
      </c>
      <c r="P759" s="105">
        <f>SUM(P755:P758)</f>
        <v>161306</v>
      </c>
      <c r="Q759" s="45">
        <f t="shared" si="119"/>
        <v>2.9728975088856471</v>
      </c>
      <c r="R759" s="105">
        <v>612</v>
      </c>
      <c r="S759" s="7">
        <f t="shared" si="112"/>
        <v>0</v>
      </c>
      <c r="T759" s="124">
        <f t="shared" si="113"/>
        <v>150</v>
      </c>
      <c r="U759" s="124">
        <f t="shared" si="114"/>
        <v>999</v>
      </c>
      <c r="V759" s="124">
        <f t="shared" si="115"/>
        <v>750</v>
      </c>
      <c r="W759" s="124">
        <f t="shared" si="116"/>
        <v>621</v>
      </c>
      <c r="X759" s="124">
        <f t="shared" si="117"/>
        <v>6757761.9564577993</v>
      </c>
      <c r="Y759" s="264">
        <f t="shared" si="118"/>
        <v>750</v>
      </c>
      <c r="Z759" s="10">
        <v>150</v>
      </c>
      <c r="AA759" s="7">
        <v>999</v>
      </c>
      <c r="AB759" s="7">
        <v>750</v>
      </c>
      <c r="AC759" s="109">
        <v>621</v>
      </c>
      <c r="AD759" s="109">
        <v>6757761.9564577993</v>
      </c>
      <c r="AE759" s="125"/>
      <c r="AF759" s="10"/>
      <c r="AI759" s="109"/>
      <c r="AJ759" s="109"/>
      <c r="AL759" s="10"/>
      <c r="AO759" s="109"/>
      <c r="AP759" s="109"/>
      <c r="AR759" s="10"/>
      <c r="AU759" s="109"/>
      <c r="AV759" s="109"/>
      <c r="AX759" s="10"/>
      <c r="BA759" s="109"/>
      <c r="BB759" s="109"/>
      <c r="BD759" s="10"/>
      <c r="BG759" s="109"/>
      <c r="BH759" s="109"/>
      <c r="BJ759" s="10"/>
      <c r="BM759" s="109"/>
      <c r="BN759" s="109"/>
      <c r="BP759" s="10"/>
      <c r="BS759" s="109"/>
      <c r="BT759" s="109"/>
      <c r="BV759" s="10"/>
      <c r="BY759" s="109"/>
      <c r="BZ759" s="109"/>
      <c r="CB759" s="10"/>
      <c r="CE759" s="109"/>
      <c r="CF759" s="109"/>
      <c r="CH759" s="10"/>
      <c r="CK759" s="109"/>
      <c r="CL759" s="109"/>
    </row>
    <row r="760" spans="1:90">
      <c r="A760" s="7" t="str">
        <f t="shared" si="111"/>
        <v>01510151</v>
      </c>
      <c r="B760" s="7" t="s">
        <v>2490</v>
      </c>
      <c r="C760" s="7" t="s">
        <v>2490</v>
      </c>
      <c r="D760" s="7">
        <v>751</v>
      </c>
      <c r="E760" s="7">
        <v>151</v>
      </c>
      <c r="F760" s="7" t="s">
        <v>1856</v>
      </c>
      <c r="G760" s="7">
        <v>151</v>
      </c>
      <c r="H760" s="7" t="s">
        <v>1417</v>
      </c>
      <c r="I760" s="37">
        <v>15935660.719999999</v>
      </c>
      <c r="J760" s="122">
        <v>1</v>
      </c>
      <c r="K760" s="123">
        <f>X760</f>
        <v>16281458.222080152</v>
      </c>
      <c r="L760" s="122">
        <f>IF(K764&gt;0, K760/K764, 0)</f>
        <v>1</v>
      </c>
      <c r="M760" s="71"/>
      <c r="N760" s="10">
        <f>ROUND(M764*L760,0)</f>
        <v>7799077</v>
      </c>
      <c r="O760" s="70">
        <v>7913187</v>
      </c>
      <c r="P760" s="10">
        <f>N760-O760</f>
        <v>-114110</v>
      </c>
      <c r="Q760" s="46">
        <f t="shared" si="119"/>
        <v>-1.4420232960499986</v>
      </c>
      <c r="R760" s="10">
        <v>1585</v>
      </c>
      <c r="S760" s="7">
        <f t="shared" si="112"/>
        <v>0</v>
      </c>
      <c r="T760" s="124">
        <f t="shared" si="113"/>
        <v>151</v>
      </c>
      <c r="U760" s="124">
        <f t="shared" si="114"/>
        <v>151</v>
      </c>
      <c r="V760" s="124">
        <f t="shared" si="115"/>
        <v>751</v>
      </c>
      <c r="W760" s="124">
        <f t="shared" si="116"/>
        <v>1572</v>
      </c>
      <c r="X760" s="124">
        <f t="shared" si="117"/>
        <v>16281458.222080152</v>
      </c>
      <c r="Y760" s="264">
        <f t="shared" si="118"/>
        <v>751</v>
      </c>
      <c r="Z760" s="10">
        <v>151</v>
      </c>
      <c r="AA760" s="7">
        <v>151</v>
      </c>
      <c r="AB760" s="7">
        <v>751</v>
      </c>
      <c r="AC760" s="109">
        <v>1572</v>
      </c>
      <c r="AD760" s="109">
        <v>16281458.222080152</v>
      </c>
      <c r="AE760" s="125"/>
      <c r="AF760" s="10"/>
      <c r="AI760" s="109"/>
      <c r="AJ760" s="109"/>
      <c r="AL760" s="10"/>
      <c r="AO760" s="109"/>
      <c r="AP760" s="109"/>
      <c r="AR760" s="10"/>
      <c r="AU760" s="109"/>
      <c r="AV760" s="109"/>
      <c r="AX760" s="10"/>
      <c r="BA760" s="109"/>
      <c r="BB760" s="109"/>
      <c r="BD760" s="10"/>
      <c r="BG760" s="109"/>
      <c r="BH760" s="109"/>
      <c r="BJ760" s="10"/>
      <c r="BM760" s="109"/>
      <c r="BN760" s="109"/>
      <c r="BP760" s="10"/>
      <c r="BS760" s="109"/>
      <c r="BT760" s="109"/>
      <c r="BV760" s="10"/>
      <c r="BY760" s="109"/>
      <c r="BZ760" s="109"/>
      <c r="CB760" s="10"/>
      <c r="CE760" s="109"/>
      <c r="CF760" s="109"/>
      <c r="CH760" s="10"/>
      <c r="CK760" s="109"/>
      <c r="CL760" s="109"/>
    </row>
    <row r="761" spans="1:90">
      <c r="A761" s="7" t="str">
        <f t="shared" si="111"/>
        <v>01510998</v>
      </c>
      <c r="B761" s="7" t="s">
        <v>2490</v>
      </c>
      <c r="C761" s="7" t="s">
        <v>2781</v>
      </c>
      <c r="D761" s="7">
        <v>752</v>
      </c>
      <c r="E761" s="7">
        <v>151</v>
      </c>
      <c r="F761" s="7" t="s">
        <v>2135</v>
      </c>
      <c r="G761" s="7">
        <v>998</v>
      </c>
      <c r="H761" s="7" t="s">
        <v>2135</v>
      </c>
      <c r="I761" s="37">
        <v>0</v>
      </c>
      <c r="J761" s="122">
        <v>0</v>
      </c>
      <c r="K761" s="123">
        <f t="shared" si="120"/>
        <v>0</v>
      </c>
      <c r="L761" s="122">
        <f>IF(K764&gt;0, K761/K764, 0)</f>
        <v>0</v>
      </c>
      <c r="M761" s="71"/>
      <c r="N761" s="10">
        <f>ROUND(M764*L761,0)</f>
        <v>0</v>
      </c>
      <c r="O761" s="70">
        <v>0</v>
      </c>
      <c r="P761" s="10">
        <f>N761-O761</f>
        <v>0</v>
      </c>
      <c r="Q761" s="46">
        <f t="shared" si="119"/>
        <v>0</v>
      </c>
      <c r="R761" s="10">
        <v>0</v>
      </c>
      <c r="S761" s="7">
        <f t="shared" si="112"/>
        <v>0</v>
      </c>
      <c r="T761" s="124">
        <f t="shared" si="113"/>
        <v>151</v>
      </c>
      <c r="U761" s="124">
        <f t="shared" si="114"/>
        <v>998</v>
      </c>
      <c r="V761" s="124">
        <f t="shared" si="115"/>
        <v>752</v>
      </c>
      <c r="W761" s="124">
        <f t="shared" si="116"/>
        <v>0</v>
      </c>
      <c r="X761" s="124">
        <f t="shared" si="117"/>
        <v>0</v>
      </c>
      <c r="Y761" s="264">
        <f t="shared" si="118"/>
        <v>752</v>
      </c>
      <c r="Z761" s="10">
        <v>151</v>
      </c>
      <c r="AA761" s="7">
        <v>998</v>
      </c>
      <c r="AB761" s="7">
        <v>752</v>
      </c>
      <c r="AC761" s="109">
        <v>0</v>
      </c>
      <c r="AD761" s="109">
        <v>0</v>
      </c>
      <c r="AE761" s="125"/>
      <c r="AF761" s="10"/>
      <c r="AI761" s="109"/>
      <c r="AJ761" s="109"/>
      <c r="AL761" s="10"/>
      <c r="AO761" s="109"/>
      <c r="AP761" s="109"/>
      <c r="AR761" s="10"/>
      <c r="AU761" s="109"/>
      <c r="AV761" s="109"/>
      <c r="AX761" s="10"/>
      <c r="BA761" s="109"/>
      <c r="BB761" s="109"/>
      <c r="BD761" s="10"/>
      <c r="BG761" s="109"/>
      <c r="BH761" s="109"/>
      <c r="BJ761" s="10"/>
      <c r="BM761" s="109"/>
      <c r="BN761" s="109"/>
      <c r="BP761" s="10"/>
      <c r="BS761" s="109"/>
      <c r="BT761" s="109"/>
      <c r="BV761" s="10"/>
      <c r="BY761" s="109"/>
      <c r="BZ761" s="109"/>
      <c r="CB761" s="10"/>
      <c r="CE761" s="109"/>
      <c r="CF761" s="109"/>
      <c r="CH761" s="10"/>
      <c r="CK761" s="109"/>
      <c r="CL761" s="109"/>
    </row>
    <row r="762" spans="1:90">
      <c r="A762" s="7" t="str">
        <f t="shared" si="111"/>
        <v>01510998</v>
      </c>
      <c r="B762" s="7" t="s">
        <v>2490</v>
      </c>
      <c r="C762" s="7" t="s">
        <v>2781</v>
      </c>
      <c r="D762" s="7">
        <v>753</v>
      </c>
      <c r="E762" s="7">
        <v>151</v>
      </c>
      <c r="F762" s="7" t="s">
        <v>2135</v>
      </c>
      <c r="G762" s="7">
        <v>998</v>
      </c>
      <c r="H762" s="7" t="s">
        <v>2135</v>
      </c>
      <c r="I762" s="37">
        <v>0</v>
      </c>
      <c r="J762" s="122">
        <v>0</v>
      </c>
      <c r="K762" s="123">
        <f t="shared" si="120"/>
        <v>0</v>
      </c>
      <c r="L762" s="122">
        <f>IF(K764&gt;0, K762/K764, 0)</f>
        <v>0</v>
      </c>
      <c r="M762" s="71"/>
      <c r="N762" s="10">
        <f>ROUND(M764*L762,0)</f>
        <v>0</v>
      </c>
      <c r="O762" s="70">
        <v>0</v>
      </c>
      <c r="P762" s="10">
        <f>N762-O762</f>
        <v>0</v>
      </c>
      <c r="Q762" s="46">
        <f t="shared" si="119"/>
        <v>0</v>
      </c>
      <c r="R762" s="10">
        <v>0</v>
      </c>
      <c r="S762" s="7">
        <f t="shared" si="112"/>
        <v>0</v>
      </c>
      <c r="T762" s="124">
        <f t="shared" si="113"/>
        <v>151</v>
      </c>
      <c r="U762" s="124">
        <f t="shared" si="114"/>
        <v>998</v>
      </c>
      <c r="V762" s="124">
        <f t="shared" si="115"/>
        <v>753</v>
      </c>
      <c r="W762" s="124">
        <f t="shared" si="116"/>
        <v>0</v>
      </c>
      <c r="X762" s="124">
        <f t="shared" si="117"/>
        <v>0</v>
      </c>
      <c r="Y762" s="264">
        <f t="shared" si="118"/>
        <v>753</v>
      </c>
      <c r="Z762" s="10">
        <v>151</v>
      </c>
      <c r="AA762" s="7">
        <v>998</v>
      </c>
      <c r="AB762" s="7">
        <v>753</v>
      </c>
      <c r="AC762" s="109">
        <v>0</v>
      </c>
      <c r="AD762" s="109">
        <v>0</v>
      </c>
      <c r="AE762" s="125"/>
      <c r="AF762" s="10"/>
      <c r="AI762" s="109"/>
      <c r="AJ762" s="109"/>
      <c r="AL762" s="10"/>
      <c r="AO762" s="109"/>
      <c r="AP762" s="109"/>
      <c r="AR762" s="10"/>
      <c r="AU762" s="109"/>
      <c r="AV762" s="109"/>
      <c r="AX762" s="10"/>
      <c r="BA762" s="109"/>
      <c r="BB762" s="109"/>
      <c r="BD762" s="10"/>
      <c r="BG762" s="109"/>
      <c r="BH762" s="109"/>
      <c r="BJ762" s="10"/>
      <c r="BM762" s="109"/>
      <c r="BN762" s="109"/>
      <c r="BP762" s="10"/>
      <c r="BS762" s="109"/>
      <c r="BT762" s="109"/>
      <c r="BV762" s="10"/>
      <c r="BY762" s="109"/>
      <c r="BZ762" s="109"/>
      <c r="CB762" s="10"/>
      <c r="CE762" s="109"/>
      <c r="CF762" s="109"/>
      <c r="CH762" s="10"/>
      <c r="CK762" s="109"/>
      <c r="CL762" s="109"/>
    </row>
    <row r="763" spans="1:90">
      <c r="A763" s="7" t="str">
        <f t="shared" si="111"/>
        <v>01510998</v>
      </c>
      <c r="B763" s="7" t="s">
        <v>2490</v>
      </c>
      <c r="C763" s="7" t="s">
        <v>2781</v>
      </c>
      <c r="D763" s="7">
        <v>754</v>
      </c>
      <c r="E763" s="7">
        <v>151</v>
      </c>
      <c r="F763" s="7" t="s">
        <v>2135</v>
      </c>
      <c r="G763" s="7">
        <v>998</v>
      </c>
      <c r="H763" s="7" t="s">
        <v>2135</v>
      </c>
      <c r="I763" s="37">
        <v>0</v>
      </c>
      <c r="J763" s="122">
        <v>0</v>
      </c>
      <c r="K763" s="123">
        <f t="shared" si="120"/>
        <v>0</v>
      </c>
      <c r="L763" s="122">
        <f>IF(K764&gt;0, K763/K764, 0)</f>
        <v>0</v>
      </c>
      <c r="M763" s="71"/>
      <c r="N763" s="10">
        <f>ROUND(M764*L763,0)</f>
        <v>0</v>
      </c>
      <c r="O763" s="70">
        <v>0</v>
      </c>
      <c r="P763" s="10">
        <f>N763-O763</f>
        <v>0</v>
      </c>
      <c r="Q763" s="46">
        <f t="shared" si="119"/>
        <v>0</v>
      </c>
      <c r="R763" s="10">
        <v>0</v>
      </c>
      <c r="S763" s="7">
        <f t="shared" si="112"/>
        <v>0</v>
      </c>
      <c r="T763" s="124">
        <f t="shared" si="113"/>
        <v>151</v>
      </c>
      <c r="U763" s="124">
        <f t="shared" si="114"/>
        <v>998</v>
      </c>
      <c r="V763" s="124">
        <f t="shared" si="115"/>
        <v>754</v>
      </c>
      <c r="W763" s="124">
        <f t="shared" si="116"/>
        <v>0</v>
      </c>
      <c r="X763" s="124">
        <f t="shared" si="117"/>
        <v>0</v>
      </c>
      <c r="Y763" s="264">
        <f t="shared" si="118"/>
        <v>754</v>
      </c>
      <c r="Z763" s="10">
        <v>151</v>
      </c>
      <c r="AA763" s="7">
        <v>998</v>
      </c>
      <c r="AB763" s="7">
        <v>754</v>
      </c>
      <c r="AC763" s="109">
        <v>0</v>
      </c>
      <c r="AD763" s="109">
        <v>0</v>
      </c>
      <c r="AE763" s="125"/>
      <c r="AF763" s="10"/>
      <c r="AI763" s="109"/>
      <c r="AJ763" s="109"/>
      <c r="AL763" s="10"/>
      <c r="AO763" s="109"/>
      <c r="AP763" s="109"/>
      <c r="AR763" s="10"/>
      <c r="AU763" s="109"/>
      <c r="AV763" s="109"/>
      <c r="AX763" s="10"/>
      <c r="BA763" s="109"/>
      <c r="BB763" s="109"/>
      <c r="BD763" s="10"/>
      <c r="BG763" s="109"/>
      <c r="BH763" s="109"/>
      <c r="BJ763" s="10"/>
      <c r="BM763" s="109"/>
      <c r="BN763" s="109"/>
      <c r="BP763" s="10"/>
      <c r="BS763" s="109"/>
      <c r="BT763" s="109"/>
      <c r="BV763" s="10"/>
      <c r="BY763" s="109"/>
      <c r="BZ763" s="109"/>
      <c r="CB763" s="10"/>
      <c r="CE763" s="109"/>
      <c r="CF763" s="109"/>
      <c r="CH763" s="10"/>
      <c r="CK763" s="109"/>
      <c r="CL763" s="109"/>
    </row>
    <row r="764" spans="1:90">
      <c r="A764" s="7" t="str">
        <f t="shared" si="111"/>
        <v>01510999</v>
      </c>
      <c r="B764" s="7" t="s">
        <v>2490</v>
      </c>
      <c r="C764" s="7" t="s">
        <v>2782</v>
      </c>
      <c r="D764" s="7">
        <v>755</v>
      </c>
      <c r="E764" s="11">
        <v>151</v>
      </c>
      <c r="F764" s="11" t="s">
        <v>1856</v>
      </c>
      <c r="G764" s="11">
        <v>999</v>
      </c>
      <c r="H764" s="11" t="s">
        <v>1132</v>
      </c>
      <c r="I764" s="105">
        <v>15935660.719999999</v>
      </c>
      <c r="J764" s="126">
        <v>1</v>
      </c>
      <c r="K764" s="127">
        <f>SUM(K760:K763)</f>
        <v>16281458.222080152</v>
      </c>
      <c r="L764" s="126">
        <f>SUM(L760:L763)</f>
        <v>1</v>
      </c>
      <c r="M764" s="105">
        <f>VLOOKUP(E764,town351,22)</f>
        <v>7799077</v>
      </c>
      <c r="N764" s="105">
        <f>SUM(N760:N763)</f>
        <v>7799077</v>
      </c>
      <c r="O764" s="128">
        <v>7913187</v>
      </c>
      <c r="P764" s="105">
        <f>SUM(P760:P763)</f>
        <v>-114110</v>
      </c>
      <c r="Q764" s="45">
        <f t="shared" si="119"/>
        <v>-1.4420232960499986</v>
      </c>
      <c r="R764" s="105">
        <v>1585</v>
      </c>
      <c r="S764" s="7">
        <f t="shared" si="112"/>
        <v>0</v>
      </c>
      <c r="T764" s="124">
        <f t="shared" si="113"/>
        <v>151</v>
      </c>
      <c r="U764" s="124">
        <f t="shared" si="114"/>
        <v>999</v>
      </c>
      <c r="V764" s="124">
        <f t="shared" si="115"/>
        <v>755</v>
      </c>
      <c r="W764" s="124">
        <f t="shared" si="116"/>
        <v>1572</v>
      </c>
      <c r="X764" s="124">
        <f t="shared" si="117"/>
        <v>16281458.222080152</v>
      </c>
      <c r="Y764" s="264">
        <f t="shared" si="118"/>
        <v>755</v>
      </c>
      <c r="Z764" s="10">
        <v>151</v>
      </c>
      <c r="AA764" s="7">
        <v>999</v>
      </c>
      <c r="AB764" s="7">
        <v>755</v>
      </c>
      <c r="AC764" s="109">
        <v>1572</v>
      </c>
      <c r="AD764" s="109">
        <v>16281458.222080152</v>
      </c>
      <c r="AE764" s="125"/>
      <c r="AF764" s="10"/>
      <c r="AI764" s="109"/>
      <c r="AJ764" s="109"/>
      <c r="AL764" s="10"/>
      <c r="AO764" s="109"/>
      <c r="AP764" s="109"/>
      <c r="AR764" s="10"/>
      <c r="AU764" s="109"/>
      <c r="AV764" s="109"/>
      <c r="AX764" s="10"/>
      <c r="BA764" s="109"/>
      <c r="BB764" s="109"/>
      <c r="BD764" s="10"/>
      <c r="BG764" s="109"/>
      <c r="BH764" s="109"/>
      <c r="BJ764" s="10"/>
      <c r="BM764" s="109"/>
      <c r="BN764" s="109"/>
      <c r="BP764" s="10"/>
      <c r="BS764" s="109"/>
      <c r="BT764" s="109"/>
      <c r="BV764" s="10"/>
      <c r="BY764" s="109"/>
      <c r="BZ764" s="109"/>
      <c r="CB764" s="10"/>
      <c r="CE764" s="109"/>
      <c r="CF764" s="109"/>
      <c r="CH764" s="10"/>
      <c r="CK764" s="109"/>
      <c r="CL764" s="109"/>
    </row>
    <row r="765" spans="1:90">
      <c r="A765" s="7" t="str">
        <f t="shared" si="111"/>
        <v>01520152</v>
      </c>
      <c r="B765" s="7" t="s">
        <v>2491</v>
      </c>
      <c r="C765" s="7" t="s">
        <v>2491</v>
      </c>
      <c r="D765" s="7">
        <v>756</v>
      </c>
      <c r="E765" s="7">
        <v>152</v>
      </c>
      <c r="F765" s="7" t="s">
        <v>1857</v>
      </c>
      <c r="G765" s="7">
        <v>152</v>
      </c>
      <c r="H765" s="7" t="s">
        <v>1418</v>
      </c>
      <c r="I765" s="37">
        <v>5241794.76</v>
      </c>
      <c r="J765" s="122">
        <v>1</v>
      </c>
      <c r="K765" s="123">
        <f>X765</f>
        <v>5339115.7336442946</v>
      </c>
      <c r="L765" s="122">
        <f>IF(K769&gt;0, K765/K769, 0)</f>
        <v>1</v>
      </c>
      <c r="M765" s="71"/>
      <c r="N765" s="10">
        <f>ROUND(M769*L765,0)</f>
        <v>4429745</v>
      </c>
      <c r="O765" s="70">
        <v>4408169</v>
      </c>
      <c r="P765" s="10">
        <f>N765-O765</f>
        <v>21576</v>
      </c>
      <c r="Q765" s="46">
        <f t="shared" si="119"/>
        <v>0.48945491881096209</v>
      </c>
      <c r="R765" s="10">
        <v>523</v>
      </c>
      <c r="S765" s="7">
        <f t="shared" si="112"/>
        <v>0</v>
      </c>
      <c r="T765" s="124">
        <f t="shared" si="113"/>
        <v>152</v>
      </c>
      <c r="U765" s="124">
        <f t="shared" si="114"/>
        <v>152</v>
      </c>
      <c r="V765" s="124">
        <f t="shared" si="115"/>
        <v>756</v>
      </c>
      <c r="W765" s="124">
        <f t="shared" si="116"/>
        <v>521</v>
      </c>
      <c r="X765" s="124">
        <f t="shared" si="117"/>
        <v>5339115.7336442946</v>
      </c>
      <c r="Y765" s="264">
        <f t="shared" si="118"/>
        <v>756</v>
      </c>
      <c r="Z765" s="10">
        <v>152</v>
      </c>
      <c r="AA765" s="7">
        <v>152</v>
      </c>
      <c r="AB765" s="7">
        <v>756</v>
      </c>
      <c r="AC765" s="109">
        <v>521</v>
      </c>
      <c r="AD765" s="109">
        <v>5339115.7336442946</v>
      </c>
      <c r="AE765" s="125"/>
      <c r="AF765" s="10"/>
      <c r="AI765" s="109"/>
      <c r="AJ765" s="109"/>
      <c r="AL765" s="10"/>
      <c r="AO765" s="109"/>
      <c r="AP765" s="109"/>
      <c r="AR765" s="10"/>
      <c r="AU765" s="109"/>
      <c r="AV765" s="109"/>
      <c r="AX765" s="10"/>
      <c r="BA765" s="109"/>
      <c r="BB765" s="109"/>
      <c r="BD765" s="10"/>
      <c r="BG765" s="109"/>
      <c r="BH765" s="109"/>
      <c r="BJ765" s="10"/>
      <c r="BM765" s="109"/>
      <c r="BN765" s="109"/>
      <c r="BP765" s="10"/>
      <c r="BS765" s="109"/>
      <c r="BT765" s="109"/>
      <c r="BV765" s="10"/>
      <c r="BY765" s="109"/>
      <c r="BZ765" s="109"/>
      <c r="CB765" s="10"/>
      <c r="CE765" s="109"/>
      <c r="CF765" s="109"/>
      <c r="CH765" s="10"/>
      <c r="CK765" s="109"/>
      <c r="CL765" s="109"/>
    </row>
    <row r="766" spans="1:90">
      <c r="A766" s="7" t="str">
        <f t="shared" si="111"/>
        <v>01520998</v>
      </c>
      <c r="B766" s="7" t="s">
        <v>2491</v>
      </c>
      <c r="C766" s="7" t="s">
        <v>2781</v>
      </c>
      <c r="D766" s="7">
        <v>757</v>
      </c>
      <c r="E766" s="7">
        <v>152</v>
      </c>
      <c r="F766" s="7" t="s">
        <v>2135</v>
      </c>
      <c r="G766" s="7">
        <v>998</v>
      </c>
      <c r="H766" s="7" t="s">
        <v>2135</v>
      </c>
      <c r="I766" s="37">
        <v>0</v>
      </c>
      <c r="J766" s="122">
        <v>0</v>
      </c>
      <c r="K766" s="123">
        <f t="shared" si="120"/>
        <v>0</v>
      </c>
      <c r="L766" s="122">
        <f>IF(K769&gt;0, K766/K769, 0)</f>
        <v>0</v>
      </c>
      <c r="M766" s="71"/>
      <c r="N766" s="10">
        <f>ROUND(M769*L766,0)</f>
        <v>0</v>
      </c>
      <c r="O766" s="70">
        <v>0</v>
      </c>
      <c r="P766" s="10">
        <f>N766-O766</f>
        <v>0</v>
      </c>
      <c r="Q766" s="46">
        <f t="shared" si="119"/>
        <v>0</v>
      </c>
      <c r="R766" s="10">
        <v>0</v>
      </c>
      <c r="S766" s="7">
        <f t="shared" si="112"/>
        <v>0</v>
      </c>
      <c r="T766" s="124">
        <f t="shared" si="113"/>
        <v>152</v>
      </c>
      <c r="U766" s="124">
        <f t="shared" si="114"/>
        <v>998</v>
      </c>
      <c r="V766" s="124">
        <f t="shared" si="115"/>
        <v>757</v>
      </c>
      <c r="W766" s="124">
        <f t="shared" si="116"/>
        <v>0</v>
      </c>
      <c r="X766" s="124">
        <f t="shared" si="117"/>
        <v>0</v>
      </c>
      <c r="Y766" s="264">
        <f t="shared" si="118"/>
        <v>757</v>
      </c>
      <c r="Z766" s="10">
        <v>152</v>
      </c>
      <c r="AA766" s="7">
        <v>998</v>
      </c>
      <c r="AB766" s="7">
        <v>757</v>
      </c>
      <c r="AC766" s="109">
        <v>0</v>
      </c>
      <c r="AD766" s="109">
        <v>0</v>
      </c>
      <c r="AE766" s="125"/>
      <c r="AF766" s="10"/>
      <c r="AI766" s="109"/>
      <c r="AJ766" s="109"/>
      <c r="AL766" s="10"/>
      <c r="AO766" s="109"/>
      <c r="AP766" s="109"/>
      <c r="AR766" s="10"/>
      <c r="AU766" s="109"/>
      <c r="AV766" s="109"/>
      <c r="AX766" s="10"/>
      <c r="BA766" s="109"/>
      <c r="BB766" s="109"/>
      <c r="BD766" s="10"/>
      <c r="BG766" s="109"/>
      <c r="BH766" s="109"/>
      <c r="BJ766" s="10"/>
      <c r="BM766" s="109"/>
      <c r="BN766" s="109"/>
      <c r="BP766" s="10"/>
      <c r="BS766" s="109"/>
      <c r="BT766" s="109"/>
      <c r="BV766" s="10"/>
      <c r="BY766" s="109"/>
      <c r="BZ766" s="109"/>
      <c r="CB766" s="10"/>
      <c r="CE766" s="109"/>
      <c r="CF766" s="109"/>
      <c r="CH766" s="10"/>
      <c r="CK766" s="109"/>
      <c r="CL766" s="109"/>
    </row>
    <row r="767" spans="1:90">
      <c r="A767" s="7" t="str">
        <f t="shared" si="111"/>
        <v>01520998</v>
      </c>
      <c r="B767" s="7" t="s">
        <v>2491</v>
      </c>
      <c r="C767" s="7" t="s">
        <v>2781</v>
      </c>
      <c r="D767" s="7">
        <v>758</v>
      </c>
      <c r="E767" s="7">
        <v>152</v>
      </c>
      <c r="F767" s="7" t="s">
        <v>2135</v>
      </c>
      <c r="G767" s="7">
        <v>998</v>
      </c>
      <c r="H767" s="7" t="s">
        <v>2135</v>
      </c>
      <c r="I767" s="37">
        <v>0</v>
      </c>
      <c r="J767" s="122">
        <v>0</v>
      </c>
      <c r="K767" s="123">
        <f t="shared" si="120"/>
        <v>0</v>
      </c>
      <c r="L767" s="122">
        <f>IF(K769&gt;0, K767/K769, 0)</f>
        <v>0</v>
      </c>
      <c r="M767" s="71"/>
      <c r="N767" s="10">
        <f>ROUND(M769*L767,0)</f>
        <v>0</v>
      </c>
      <c r="O767" s="70">
        <v>0</v>
      </c>
      <c r="P767" s="10">
        <f>N767-O767</f>
        <v>0</v>
      </c>
      <c r="Q767" s="46">
        <f t="shared" si="119"/>
        <v>0</v>
      </c>
      <c r="R767" s="10">
        <v>0</v>
      </c>
      <c r="S767" s="7">
        <f t="shared" si="112"/>
        <v>0</v>
      </c>
      <c r="T767" s="124">
        <f t="shared" si="113"/>
        <v>152</v>
      </c>
      <c r="U767" s="124">
        <f t="shared" si="114"/>
        <v>998</v>
      </c>
      <c r="V767" s="124">
        <f t="shared" si="115"/>
        <v>758</v>
      </c>
      <c r="W767" s="124">
        <f t="shared" si="116"/>
        <v>0</v>
      </c>
      <c r="X767" s="124">
        <f t="shared" si="117"/>
        <v>0</v>
      </c>
      <c r="Y767" s="264">
        <f t="shared" si="118"/>
        <v>758</v>
      </c>
      <c r="Z767" s="10">
        <v>152</v>
      </c>
      <c r="AA767" s="7">
        <v>998</v>
      </c>
      <c r="AB767" s="7">
        <v>758</v>
      </c>
      <c r="AC767" s="109">
        <v>0</v>
      </c>
      <c r="AD767" s="109">
        <v>0</v>
      </c>
      <c r="AE767" s="125"/>
      <c r="AF767" s="10"/>
      <c r="AI767" s="109"/>
      <c r="AJ767" s="109"/>
      <c r="AL767" s="10"/>
      <c r="AO767" s="109"/>
      <c r="AP767" s="109"/>
      <c r="AR767" s="10"/>
      <c r="AU767" s="109"/>
      <c r="AV767" s="109"/>
      <c r="AX767" s="10"/>
      <c r="BA767" s="109"/>
      <c r="BB767" s="109"/>
      <c r="BD767" s="10"/>
      <c r="BG767" s="109"/>
      <c r="BH767" s="109"/>
      <c r="BJ767" s="10"/>
      <c r="BM767" s="109"/>
      <c r="BN767" s="109"/>
      <c r="BP767" s="10"/>
      <c r="BS767" s="109"/>
      <c r="BT767" s="109"/>
      <c r="BV767" s="10"/>
      <c r="BY767" s="109"/>
      <c r="BZ767" s="109"/>
      <c r="CB767" s="10"/>
      <c r="CE767" s="109"/>
      <c r="CF767" s="109"/>
      <c r="CH767" s="10"/>
      <c r="CK767" s="109"/>
      <c r="CL767" s="109"/>
    </row>
    <row r="768" spans="1:90">
      <c r="A768" s="7" t="str">
        <f t="shared" si="111"/>
        <v>01520998</v>
      </c>
      <c r="B768" s="7" t="s">
        <v>2491</v>
      </c>
      <c r="C768" s="7" t="s">
        <v>2781</v>
      </c>
      <c r="D768" s="7">
        <v>759</v>
      </c>
      <c r="E768" s="7">
        <v>152</v>
      </c>
      <c r="F768" s="7" t="s">
        <v>2135</v>
      </c>
      <c r="G768" s="7">
        <v>998</v>
      </c>
      <c r="H768" s="7" t="s">
        <v>2135</v>
      </c>
      <c r="I768" s="37">
        <v>0</v>
      </c>
      <c r="J768" s="122">
        <v>0</v>
      </c>
      <c r="K768" s="123">
        <f t="shared" si="120"/>
        <v>0</v>
      </c>
      <c r="L768" s="122">
        <f>IF(K769&gt;0, K768/K769, 0)</f>
        <v>0</v>
      </c>
      <c r="M768" s="71"/>
      <c r="N768" s="10">
        <f>ROUND(M769*L768,0)</f>
        <v>0</v>
      </c>
      <c r="O768" s="70">
        <v>0</v>
      </c>
      <c r="P768" s="10">
        <f>N768-O768</f>
        <v>0</v>
      </c>
      <c r="Q768" s="46">
        <f t="shared" si="119"/>
        <v>0</v>
      </c>
      <c r="R768" s="10">
        <v>0</v>
      </c>
      <c r="S768" s="7">
        <f t="shared" si="112"/>
        <v>0</v>
      </c>
      <c r="T768" s="124">
        <f t="shared" si="113"/>
        <v>152</v>
      </c>
      <c r="U768" s="124">
        <f t="shared" si="114"/>
        <v>998</v>
      </c>
      <c r="V768" s="124">
        <f t="shared" si="115"/>
        <v>759</v>
      </c>
      <c r="W768" s="124">
        <f t="shared" si="116"/>
        <v>0</v>
      </c>
      <c r="X768" s="124">
        <f t="shared" si="117"/>
        <v>0</v>
      </c>
      <c r="Y768" s="264">
        <f t="shared" si="118"/>
        <v>759</v>
      </c>
      <c r="Z768" s="10">
        <v>152</v>
      </c>
      <c r="AA768" s="7">
        <v>998</v>
      </c>
      <c r="AB768" s="7">
        <v>759</v>
      </c>
      <c r="AC768" s="109">
        <v>0</v>
      </c>
      <c r="AD768" s="109">
        <v>0</v>
      </c>
      <c r="AE768" s="125"/>
      <c r="AF768" s="10"/>
      <c r="AI768" s="109"/>
      <c r="AJ768" s="109"/>
      <c r="AL768" s="10"/>
      <c r="AO768" s="109"/>
      <c r="AP768" s="109"/>
      <c r="AR768" s="10"/>
      <c r="AU768" s="109"/>
      <c r="AV768" s="109"/>
      <c r="AX768" s="10"/>
      <c r="BA768" s="109"/>
      <c r="BB768" s="109"/>
      <c r="BD768" s="10"/>
      <c r="BG768" s="109"/>
      <c r="BH768" s="109"/>
      <c r="BJ768" s="10"/>
      <c r="BM768" s="109"/>
      <c r="BN768" s="109"/>
      <c r="BP768" s="10"/>
      <c r="BS768" s="109"/>
      <c r="BT768" s="109"/>
      <c r="BV768" s="10"/>
      <c r="BY768" s="109"/>
      <c r="BZ768" s="109"/>
      <c r="CB768" s="10"/>
      <c r="CE768" s="109"/>
      <c r="CF768" s="109"/>
      <c r="CH768" s="10"/>
      <c r="CK768" s="109"/>
      <c r="CL768" s="109"/>
    </row>
    <row r="769" spans="1:90">
      <c r="A769" s="7" t="str">
        <f t="shared" si="111"/>
        <v>01520999</v>
      </c>
      <c r="B769" s="7" t="s">
        <v>2491</v>
      </c>
      <c r="C769" s="7" t="s">
        <v>2782</v>
      </c>
      <c r="D769" s="7">
        <v>760</v>
      </c>
      <c r="E769" s="11">
        <v>152</v>
      </c>
      <c r="F769" s="11" t="s">
        <v>1857</v>
      </c>
      <c r="G769" s="11">
        <v>999</v>
      </c>
      <c r="H769" s="11" t="s">
        <v>1132</v>
      </c>
      <c r="I769" s="105">
        <v>5241794.76</v>
      </c>
      <c r="J769" s="126">
        <v>1</v>
      </c>
      <c r="K769" s="127">
        <f>SUM(K765:K768)</f>
        <v>5339115.7336442946</v>
      </c>
      <c r="L769" s="126">
        <f>SUM(L765:L768)</f>
        <v>1</v>
      </c>
      <c r="M769" s="105">
        <f>VLOOKUP(E769,town351,22)</f>
        <v>4429745</v>
      </c>
      <c r="N769" s="105">
        <f>SUM(N765:N768)</f>
        <v>4429745</v>
      </c>
      <c r="O769" s="128">
        <v>4408169</v>
      </c>
      <c r="P769" s="105">
        <f>SUM(P765:P768)</f>
        <v>21576</v>
      </c>
      <c r="Q769" s="45">
        <f t="shared" si="119"/>
        <v>0.48945491881096209</v>
      </c>
      <c r="R769" s="105">
        <v>523</v>
      </c>
      <c r="S769" s="7">
        <f t="shared" si="112"/>
        <v>0</v>
      </c>
      <c r="T769" s="124">
        <f t="shared" si="113"/>
        <v>152</v>
      </c>
      <c r="U769" s="124">
        <f t="shared" si="114"/>
        <v>999</v>
      </c>
      <c r="V769" s="124">
        <f t="shared" si="115"/>
        <v>760</v>
      </c>
      <c r="W769" s="124">
        <f t="shared" si="116"/>
        <v>521</v>
      </c>
      <c r="X769" s="124">
        <f t="shared" si="117"/>
        <v>5339115.7336442946</v>
      </c>
      <c r="Y769" s="264">
        <f t="shared" si="118"/>
        <v>760</v>
      </c>
      <c r="Z769" s="10">
        <v>152</v>
      </c>
      <c r="AA769" s="7">
        <v>999</v>
      </c>
      <c r="AB769" s="7">
        <v>760</v>
      </c>
      <c r="AC769" s="109">
        <v>521</v>
      </c>
      <c r="AD769" s="109">
        <v>5339115.7336442946</v>
      </c>
      <c r="AE769" s="125"/>
      <c r="AF769" s="10"/>
      <c r="AI769" s="109"/>
      <c r="AJ769" s="109"/>
      <c r="AL769" s="10"/>
      <c r="AO769" s="109"/>
      <c r="AP769" s="109"/>
      <c r="AR769" s="10"/>
      <c r="AU769" s="109"/>
      <c r="AV769" s="109"/>
      <c r="AX769" s="10"/>
      <c r="BA769" s="109"/>
      <c r="BB769" s="109"/>
      <c r="BD769" s="10"/>
      <c r="BG769" s="109"/>
      <c r="BH769" s="109"/>
      <c r="BJ769" s="10"/>
      <c r="BM769" s="109"/>
      <c r="BN769" s="109"/>
      <c r="BP769" s="10"/>
      <c r="BS769" s="109"/>
      <c r="BT769" s="109"/>
      <c r="BV769" s="10"/>
      <c r="BY769" s="109"/>
      <c r="BZ769" s="109"/>
      <c r="CB769" s="10"/>
      <c r="CE769" s="109"/>
      <c r="CF769" s="109"/>
      <c r="CH769" s="10"/>
      <c r="CK769" s="109"/>
      <c r="CL769" s="109"/>
    </row>
    <row r="770" spans="1:90">
      <c r="A770" s="7" t="str">
        <f t="shared" si="111"/>
        <v>01530153</v>
      </c>
      <c r="B770" s="7" t="s">
        <v>2492</v>
      </c>
      <c r="C770" s="7" t="s">
        <v>2492</v>
      </c>
      <c r="D770" s="7">
        <v>761</v>
      </c>
      <c r="E770" s="7">
        <v>153</v>
      </c>
      <c r="F770" s="7" t="s">
        <v>1858</v>
      </c>
      <c r="G770" s="7">
        <v>153</v>
      </c>
      <c r="H770" s="7" t="s">
        <v>1419</v>
      </c>
      <c r="I770" s="37">
        <v>69488787.129999995</v>
      </c>
      <c r="J770" s="122">
        <v>1</v>
      </c>
      <c r="K770" s="123">
        <f>X770</f>
        <v>69633698.04886961</v>
      </c>
      <c r="L770" s="122">
        <f>IF(K774&gt;0, K770/K774, 0)</f>
        <v>1</v>
      </c>
      <c r="M770" s="71"/>
      <c r="N770" s="10">
        <f>ROUND(M774*L770,0)</f>
        <v>27880085</v>
      </c>
      <c r="O770" s="70">
        <v>27478840</v>
      </c>
      <c r="P770" s="10">
        <f>N770-O770</f>
        <v>401245</v>
      </c>
      <c r="Q770" s="46">
        <f t="shared" si="119"/>
        <v>1.4601962819391212</v>
      </c>
      <c r="R770" s="10">
        <v>6222</v>
      </c>
      <c r="S770" s="7">
        <f t="shared" si="112"/>
        <v>0</v>
      </c>
      <c r="T770" s="124">
        <f t="shared" si="113"/>
        <v>153</v>
      </c>
      <c r="U770" s="124">
        <f t="shared" si="114"/>
        <v>153</v>
      </c>
      <c r="V770" s="124">
        <f t="shared" si="115"/>
        <v>761</v>
      </c>
      <c r="W770" s="124">
        <f t="shared" si="116"/>
        <v>6123</v>
      </c>
      <c r="X770" s="124">
        <f t="shared" si="117"/>
        <v>69633698.04886961</v>
      </c>
      <c r="Y770" s="264">
        <f t="shared" si="118"/>
        <v>761</v>
      </c>
      <c r="Z770" s="10">
        <v>153</v>
      </c>
      <c r="AA770" s="7">
        <v>153</v>
      </c>
      <c r="AB770" s="7">
        <v>761</v>
      </c>
      <c r="AC770" s="109">
        <v>6123</v>
      </c>
      <c r="AD770" s="109">
        <v>69633698.04886961</v>
      </c>
      <c r="AE770" s="125"/>
      <c r="AF770" s="10"/>
      <c r="AI770" s="109"/>
      <c r="AJ770" s="109"/>
      <c r="AL770" s="10"/>
      <c r="AO770" s="109"/>
      <c r="AP770" s="109"/>
      <c r="AR770" s="10"/>
      <c r="AU770" s="109"/>
      <c r="AV770" s="109"/>
      <c r="AX770" s="10"/>
      <c r="BA770" s="109"/>
      <c r="BB770" s="109"/>
      <c r="BD770" s="10"/>
      <c r="BG770" s="109"/>
      <c r="BH770" s="109"/>
      <c r="BJ770" s="10"/>
      <c r="BM770" s="109"/>
      <c r="BN770" s="109"/>
      <c r="BP770" s="10"/>
      <c r="BS770" s="109"/>
      <c r="BT770" s="109"/>
      <c r="BV770" s="10"/>
      <c r="BY770" s="109"/>
      <c r="BZ770" s="109"/>
      <c r="CB770" s="10"/>
      <c r="CE770" s="109"/>
      <c r="CF770" s="109"/>
      <c r="CH770" s="10"/>
      <c r="CK770" s="109"/>
      <c r="CL770" s="109"/>
    </row>
    <row r="771" spans="1:90">
      <c r="A771" s="7" t="str">
        <f t="shared" si="111"/>
        <v>01530998</v>
      </c>
      <c r="B771" s="7" t="s">
        <v>2492</v>
      </c>
      <c r="C771" s="7" t="s">
        <v>2781</v>
      </c>
      <c r="D771" s="7">
        <v>762</v>
      </c>
      <c r="E771" s="7">
        <v>153</v>
      </c>
      <c r="F771" s="7" t="s">
        <v>2135</v>
      </c>
      <c r="G771" s="7">
        <v>998</v>
      </c>
      <c r="H771" s="7" t="s">
        <v>2135</v>
      </c>
      <c r="I771" s="37">
        <v>0</v>
      </c>
      <c r="J771" s="122">
        <v>0</v>
      </c>
      <c r="K771" s="123">
        <f t="shared" si="120"/>
        <v>0</v>
      </c>
      <c r="L771" s="122">
        <f>IF(K774&gt;0, K771/K774, 0)</f>
        <v>0</v>
      </c>
      <c r="M771" s="71"/>
      <c r="N771" s="10">
        <f>ROUND(M774*L771,0)</f>
        <v>0</v>
      </c>
      <c r="O771" s="70">
        <v>0</v>
      </c>
      <c r="P771" s="10">
        <f>N771-O771</f>
        <v>0</v>
      </c>
      <c r="Q771" s="46">
        <f t="shared" si="119"/>
        <v>0</v>
      </c>
      <c r="R771" s="10">
        <v>0</v>
      </c>
      <c r="S771" s="7">
        <f t="shared" si="112"/>
        <v>0</v>
      </c>
      <c r="T771" s="124">
        <f t="shared" si="113"/>
        <v>153</v>
      </c>
      <c r="U771" s="124">
        <f t="shared" si="114"/>
        <v>998</v>
      </c>
      <c r="V771" s="124">
        <f t="shared" si="115"/>
        <v>762</v>
      </c>
      <c r="W771" s="124">
        <f t="shared" si="116"/>
        <v>0</v>
      </c>
      <c r="X771" s="124">
        <f t="shared" si="117"/>
        <v>0</v>
      </c>
      <c r="Y771" s="264">
        <f t="shared" si="118"/>
        <v>762</v>
      </c>
      <c r="Z771" s="10">
        <v>153</v>
      </c>
      <c r="AA771" s="7">
        <v>998</v>
      </c>
      <c r="AB771" s="7">
        <v>762</v>
      </c>
      <c r="AC771" s="109">
        <v>0</v>
      </c>
      <c r="AD771" s="109">
        <v>0</v>
      </c>
      <c r="AE771" s="125"/>
      <c r="AF771" s="10"/>
      <c r="AI771" s="109"/>
      <c r="AJ771" s="109"/>
      <c r="AL771" s="10"/>
      <c r="AO771" s="109"/>
      <c r="AP771" s="109"/>
      <c r="AR771" s="10"/>
      <c r="AU771" s="109"/>
      <c r="AV771" s="109"/>
      <c r="AX771" s="10"/>
      <c r="BA771" s="109"/>
      <c r="BB771" s="109"/>
      <c r="BD771" s="10"/>
      <c r="BG771" s="109"/>
      <c r="BH771" s="109"/>
      <c r="BJ771" s="10"/>
      <c r="BM771" s="109"/>
      <c r="BN771" s="109"/>
      <c r="BP771" s="10"/>
      <c r="BS771" s="109"/>
      <c r="BT771" s="109"/>
      <c r="BV771" s="10"/>
      <c r="BY771" s="109"/>
      <c r="BZ771" s="109"/>
      <c r="CB771" s="10"/>
      <c r="CE771" s="109"/>
      <c r="CF771" s="109"/>
      <c r="CH771" s="10"/>
      <c r="CK771" s="109"/>
      <c r="CL771" s="109"/>
    </row>
    <row r="772" spans="1:90">
      <c r="A772" s="7" t="str">
        <f t="shared" si="111"/>
        <v>01530998</v>
      </c>
      <c r="B772" s="7" t="s">
        <v>2492</v>
      </c>
      <c r="C772" s="7" t="s">
        <v>2781</v>
      </c>
      <c r="D772" s="7">
        <v>763</v>
      </c>
      <c r="E772" s="7">
        <v>153</v>
      </c>
      <c r="F772" s="7" t="s">
        <v>2135</v>
      </c>
      <c r="G772" s="7">
        <v>998</v>
      </c>
      <c r="H772" s="7" t="s">
        <v>2135</v>
      </c>
      <c r="I772" s="37">
        <v>0</v>
      </c>
      <c r="J772" s="122">
        <v>0</v>
      </c>
      <c r="K772" s="123">
        <f t="shared" si="120"/>
        <v>0</v>
      </c>
      <c r="L772" s="122">
        <f>IF(K774&gt;0, K772/K774, 0)</f>
        <v>0</v>
      </c>
      <c r="M772" s="71"/>
      <c r="N772" s="10">
        <f>ROUND(M774*L772,0)</f>
        <v>0</v>
      </c>
      <c r="O772" s="70">
        <v>0</v>
      </c>
      <c r="P772" s="10">
        <f>N772-O772</f>
        <v>0</v>
      </c>
      <c r="Q772" s="46">
        <f t="shared" si="119"/>
        <v>0</v>
      </c>
      <c r="R772" s="10">
        <v>0</v>
      </c>
      <c r="S772" s="7">
        <f t="shared" si="112"/>
        <v>0</v>
      </c>
      <c r="T772" s="124">
        <f t="shared" si="113"/>
        <v>153</v>
      </c>
      <c r="U772" s="124">
        <f t="shared" si="114"/>
        <v>998</v>
      </c>
      <c r="V772" s="124">
        <f t="shared" si="115"/>
        <v>763</v>
      </c>
      <c r="W772" s="124">
        <f t="shared" si="116"/>
        <v>0</v>
      </c>
      <c r="X772" s="124">
        <f t="shared" si="117"/>
        <v>0</v>
      </c>
      <c r="Y772" s="264">
        <f t="shared" si="118"/>
        <v>763</v>
      </c>
      <c r="Z772" s="10">
        <v>153</v>
      </c>
      <c r="AA772" s="7">
        <v>998</v>
      </c>
      <c r="AB772" s="7">
        <v>763</v>
      </c>
      <c r="AC772" s="109">
        <v>0</v>
      </c>
      <c r="AD772" s="109">
        <v>0</v>
      </c>
      <c r="AE772" s="125"/>
      <c r="AF772" s="10"/>
      <c r="AI772" s="109"/>
      <c r="AJ772" s="109"/>
      <c r="AL772" s="10"/>
      <c r="AO772" s="109"/>
      <c r="AP772" s="109"/>
      <c r="AR772" s="10"/>
      <c r="AU772" s="109"/>
      <c r="AV772" s="109"/>
      <c r="AX772" s="10"/>
      <c r="BA772" s="109"/>
      <c r="BB772" s="109"/>
      <c r="BD772" s="10"/>
      <c r="BG772" s="109"/>
      <c r="BH772" s="109"/>
      <c r="BJ772" s="10"/>
      <c r="BM772" s="109"/>
      <c r="BN772" s="109"/>
      <c r="BP772" s="10"/>
      <c r="BS772" s="109"/>
      <c r="BT772" s="109"/>
      <c r="BV772" s="10"/>
      <c r="BY772" s="109"/>
      <c r="BZ772" s="109"/>
      <c r="CB772" s="10"/>
      <c r="CE772" s="109"/>
      <c r="CF772" s="109"/>
      <c r="CH772" s="10"/>
      <c r="CK772" s="109"/>
      <c r="CL772" s="109"/>
    </row>
    <row r="773" spans="1:90">
      <c r="A773" s="7" t="str">
        <f t="shared" si="111"/>
        <v>01530998</v>
      </c>
      <c r="B773" s="7" t="s">
        <v>2492</v>
      </c>
      <c r="C773" s="7" t="s">
        <v>2781</v>
      </c>
      <c r="D773" s="7">
        <v>764</v>
      </c>
      <c r="E773" s="7">
        <v>153</v>
      </c>
      <c r="F773" s="7" t="s">
        <v>2135</v>
      </c>
      <c r="G773" s="7">
        <v>998</v>
      </c>
      <c r="H773" s="7" t="s">
        <v>2135</v>
      </c>
      <c r="I773" s="37">
        <v>0</v>
      </c>
      <c r="J773" s="122">
        <v>0</v>
      </c>
      <c r="K773" s="123">
        <f t="shared" si="120"/>
        <v>0</v>
      </c>
      <c r="L773" s="122">
        <f>IF(K774&gt;0, K773/K774, 0)</f>
        <v>0</v>
      </c>
      <c r="M773" s="71"/>
      <c r="N773" s="10">
        <f>ROUND(M774*L773,0)</f>
        <v>0</v>
      </c>
      <c r="O773" s="70">
        <v>0</v>
      </c>
      <c r="P773" s="10">
        <f>N773-O773</f>
        <v>0</v>
      </c>
      <c r="Q773" s="46">
        <f t="shared" si="119"/>
        <v>0</v>
      </c>
      <c r="R773" s="10">
        <v>0</v>
      </c>
      <c r="S773" s="7">
        <f t="shared" si="112"/>
        <v>0</v>
      </c>
      <c r="T773" s="124">
        <f t="shared" si="113"/>
        <v>153</v>
      </c>
      <c r="U773" s="124">
        <f t="shared" si="114"/>
        <v>998</v>
      </c>
      <c r="V773" s="124">
        <f t="shared" si="115"/>
        <v>764</v>
      </c>
      <c r="W773" s="124">
        <f t="shared" si="116"/>
        <v>0</v>
      </c>
      <c r="X773" s="124">
        <f t="shared" si="117"/>
        <v>0</v>
      </c>
      <c r="Y773" s="264">
        <f t="shared" si="118"/>
        <v>764</v>
      </c>
      <c r="Z773" s="10">
        <v>153</v>
      </c>
      <c r="AA773" s="7">
        <v>998</v>
      </c>
      <c r="AB773" s="7">
        <v>764</v>
      </c>
      <c r="AC773" s="109">
        <v>0</v>
      </c>
      <c r="AD773" s="109">
        <v>0</v>
      </c>
      <c r="AE773" s="125"/>
      <c r="AF773" s="10"/>
      <c r="AI773" s="109"/>
      <c r="AJ773" s="109"/>
      <c r="AL773" s="10"/>
      <c r="AO773" s="109"/>
      <c r="AP773" s="109"/>
      <c r="AR773" s="10"/>
      <c r="AU773" s="109"/>
      <c r="AV773" s="109"/>
      <c r="AX773" s="10"/>
      <c r="BA773" s="109"/>
      <c r="BB773" s="109"/>
      <c r="BD773" s="10"/>
      <c r="BG773" s="109"/>
      <c r="BH773" s="109"/>
      <c r="BJ773" s="10"/>
      <c r="BM773" s="109"/>
      <c r="BN773" s="109"/>
      <c r="BP773" s="10"/>
      <c r="BS773" s="109"/>
      <c r="BT773" s="109"/>
      <c r="BV773" s="10"/>
      <c r="BY773" s="109"/>
      <c r="BZ773" s="109"/>
      <c r="CB773" s="10"/>
      <c r="CE773" s="109"/>
      <c r="CF773" s="109"/>
      <c r="CH773" s="10"/>
      <c r="CK773" s="109"/>
      <c r="CL773" s="109"/>
    </row>
    <row r="774" spans="1:90">
      <c r="A774" s="7" t="str">
        <f t="shared" si="111"/>
        <v>01530999</v>
      </c>
      <c r="B774" s="7" t="s">
        <v>2492</v>
      </c>
      <c r="C774" s="7" t="s">
        <v>2782</v>
      </c>
      <c r="D774" s="7">
        <v>765</v>
      </c>
      <c r="E774" s="11">
        <v>153</v>
      </c>
      <c r="F774" s="11" t="s">
        <v>1858</v>
      </c>
      <c r="G774" s="11">
        <v>999</v>
      </c>
      <c r="H774" s="11" t="s">
        <v>1132</v>
      </c>
      <c r="I774" s="105">
        <v>69488787.129999995</v>
      </c>
      <c r="J774" s="126">
        <v>1</v>
      </c>
      <c r="K774" s="127">
        <f>SUM(K770:K773)</f>
        <v>69633698.04886961</v>
      </c>
      <c r="L774" s="126">
        <f>SUM(L770:L773)</f>
        <v>1</v>
      </c>
      <c r="M774" s="105">
        <f>VLOOKUP(E774,town351,22)</f>
        <v>27880085</v>
      </c>
      <c r="N774" s="105">
        <f>SUM(N770:N773)</f>
        <v>27880085</v>
      </c>
      <c r="O774" s="128">
        <v>27478840</v>
      </c>
      <c r="P774" s="105">
        <f>SUM(P770:P773)</f>
        <v>401245</v>
      </c>
      <c r="Q774" s="45">
        <f t="shared" si="119"/>
        <v>1.4601962819391212</v>
      </c>
      <c r="R774" s="105">
        <v>6222</v>
      </c>
      <c r="S774" s="7">
        <f t="shared" si="112"/>
        <v>0</v>
      </c>
      <c r="T774" s="124">
        <f t="shared" si="113"/>
        <v>153</v>
      </c>
      <c r="U774" s="124">
        <f t="shared" si="114"/>
        <v>999</v>
      </c>
      <c r="V774" s="124">
        <f t="shared" si="115"/>
        <v>765</v>
      </c>
      <c r="W774" s="124">
        <f t="shared" si="116"/>
        <v>6123</v>
      </c>
      <c r="X774" s="124">
        <f t="shared" si="117"/>
        <v>69633698.04886961</v>
      </c>
      <c r="Y774" s="264">
        <f t="shared" si="118"/>
        <v>765</v>
      </c>
      <c r="Z774" s="10">
        <v>153</v>
      </c>
      <c r="AA774" s="7">
        <v>999</v>
      </c>
      <c r="AB774" s="7">
        <v>765</v>
      </c>
      <c r="AC774" s="109">
        <v>6123</v>
      </c>
      <c r="AD774" s="109">
        <v>69633698.04886961</v>
      </c>
      <c r="AE774" s="125"/>
      <c r="AF774" s="10"/>
      <c r="AI774" s="109"/>
      <c r="AJ774" s="109"/>
      <c r="AL774" s="10"/>
      <c r="AO774" s="109"/>
      <c r="AP774" s="109"/>
      <c r="AR774" s="10"/>
      <c r="AU774" s="109"/>
      <c r="AV774" s="109"/>
      <c r="AX774" s="10"/>
      <c r="BA774" s="109"/>
      <c r="BB774" s="109"/>
      <c r="BD774" s="10"/>
      <c r="BG774" s="109"/>
      <c r="BH774" s="109"/>
      <c r="BJ774" s="10"/>
      <c r="BM774" s="109"/>
      <c r="BN774" s="109"/>
      <c r="BP774" s="10"/>
      <c r="BS774" s="109"/>
      <c r="BT774" s="109"/>
      <c r="BV774" s="10"/>
      <c r="BY774" s="109"/>
      <c r="BZ774" s="109"/>
      <c r="CB774" s="10"/>
      <c r="CE774" s="109"/>
      <c r="CF774" s="109"/>
      <c r="CH774" s="10"/>
      <c r="CK774" s="109"/>
      <c r="CL774" s="109"/>
    </row>
    <row r="775" spans="1:90">
      <c r="A775" s="7" t="str">
        <f t="shared" si="111"/>
        <v>01540154</v>
      </c>
      <c r="B775" s="7" t="s">
        <v>2493</v>
      </c>
      <c r="C775" s="7" t="s">
        <v>2493</v>
      </c>
      <c r="D775" s="7">
        <v>766</v>
      </c>
      <c r="E775" s="7">
        <v>154</v>
      </c>
      <c r="F775" s="7" t="s">
        <v>1859</v>
      </c>
      <c r="G775" s="7">
        <v>154</v>
      </c>
      <c r="H775" s="7" t="s">
        <v>1420</v>
      </c>
      <c r="I775" s="37">
        <v>997887.19000000006</v>
      </c>
      <c r="J775" s="122">
        <v>0.48265234327915452</v>
      </c>
      <c r="K775" s="123">
        <f>X775</f>
        <v>1195068.007035923</v>
      </c>
      <c r="L775" s="122">
        <f>IF(K779&gt;0, K775/K779, 0)</f>
        <v>0.56644578257144418</v>
      </c>
      <c r="M775" s="71"/>
      <c r="N775" s="10">
        <f>ROUND(M779*L775,0)</f>
        <v>990119</v>
      </c>
      <c r="O775" s="70">
        <v>837493</v>
      </c>
      <c r="P775" s="10">
        <f>N775-O775</f>
        <v>152626</v>
      </c>
      <c r="Q775" s="46">
        <f t="shared" si="119"/>
        <v>18.224152321273134</v>
      </c>
      <c r="R775" s="10">
        <v>101</v>
      </c>
      <c r="S775" s="7">
        <f t="shared" si="112"/>
        <v>0</v>
      </c>
      <c r="T775" s="124">
        <f t="shared" si="113"/>
        <v>154</v>
      </c>
      <c r="U775" s="124">
        <f t="shared" si="114"/>
        <v>154</v>
      </c>
      <c r="V775" s="124">
        <f t="shared" si="115"/>
        <v>766</v>
      </c>
      <c r="W775" s="124">
        <f t="shared" si="116"/>
        <v>123</v>
      </c>
      <c r="X775" s="124">
        <f t="shared" si="117"/>
        <v>1195068.007035923</v>
      </c>
      <c r="Y775" s="264">
        <f t="shared" si="118"/>
        <v>766</v>
      </c>
      <c r="Z775" s="10">
        <v>154</v>
      </c>
      <c r="AA775" s="7">
        <v>154</v>
      </c>
      <c r="AB775" s="7">
        <v>766</v>
      </c>
      <c r="AC775" s="109">
        <v>123</v>
      </c>
      <c r="AD775" s="109">
        <v>1195068.007035923</v>
      </c>
      <c r="AE775" s="125"/>
      <c r="AF775" s="10"/>
      <c r="AI775" s="109"/>
      <c r="AJ775" s="109"/>
      <c r="AL775" s="10"/>
      <c r="AO775" s="109"/>
      <c r="AP775" s="109"/>
      <c r="AR775" s="10"/>
      <c r="AU775" s="109"/>
      <c r="AV775" s="109"/>
      <c r="AX775" s="10"/>
      <c r="BA775" s="109"/>
      <c r="BB775" s="109"/>
      <c r="BD775" s="10"/>
      <c r="BG775" s="109"/>
      <c r="BH775" s="109"/>
      <c r="BJ775" s="10"/>
      <c r="BM775" s="109"/>
      <c r="BN775" s="109"/>
      <c r="BP775" s="10"/>
      <c r="BS775" s="109"/>
      <c r="BT775" s="109"/>
      <c r="BV775" s="10"/>
      <c r="BY775" s="109"/>
      <c r="BZ775" s="109"/>
      <c r="CB775" s="10"/>
      <c r="CE775" s="109"/>
      <c r="CF775" s="109"/>
      <c r="CH775" s="10"/>
      <c r="CK775" s="109"/>
      <c r="CL775" s="109"/>
    </row>
    <row r="776" spans="1:90">
      <c r="A776" s="7" t="str">
        <f t="shared" si="111"/>
        <v>01540605</v>
      </c>
      <c r="B776" s="7" t="s">
        <v>2493</v>
      </c>
      <c r="C776" s="7" t="s">
        <v>2696</v>
      </c>
      <c r="D776" s="7">
        <v>767</v>
      </c>
      <c r="E776" s="7">
        <v>154</v>
      </c>
      <c r="F776" s="7" t="s">
        <v>1859</v>
      </c>
      <c r="G776" s="7">
        <v>605</v>
      </c>
      <c r="H776" s="7" t="s">
        <v>1623</v>
      </c>
      <c r="I776" s="37">
        <v>1069620</v>
      </c>
      <c r="J776" s="122">
        <v>0.51734765672084559</v>
      </c>
      <c r="K776" s="123">
        <f t="shared" si="120"/>
        <v>914697.91197362053</v>
      </c>
      <c r="L776" s="122">
        <f>IF(K779&gt;0, K776/K779, 0)</f>
        <v>0.43355421742855582</v>
      </c>
      <c r="M776" s="71"/>
      <c r="N776" s="10">
        <f>ROUND(M779*L776,0)</f>
        <v>757832</v>
      </c>
      <c r="O776" s="70">
        <v>897696</v>
      </c>
      <c r="P776" s="10">
        <f>N776-O776</f>
        <v>-139864</v>
      </c>
      <c r="Q776" s="46">
        <f t="shared" si="119"/>
        <v>-15.580330089473497</v>
      </c>
      <c r="R776" s="10">
        <v>103</v>
      </c>
      <c r="S776" s="7">
        <f t="shared" si="112"/>
        <v>0</v>
      </c>
      <c r="T776" s="124">
        <f t="shared" si="113"/>
        <v>154</v>
      </c>
      <c r="U776" s="124">
        <f t="shared" si="114"/>
        <v>605</v>
      </c>
      <c r="V776" s="124">
        <f t="shared" si="115"/>
        <v>767</v>
      </c>
      <c r="W776" s="124">
        <f t="shared" si="116"/>
        <v>86.001390817599997</v>
      </c>
      <c r="X776" s="124">
        <f t="shared" si="117"/>
        <v>914697.91197362053</v>
      </c>
      <c r="Y776" s="264">
        <f t="shared" si="118"/>
        <v>767</v>
      </c>
      <c r="Z776" s="10">
        <v>154</v>
      </c>
      <c r="AA776" s="7">
        <v>605</v>
      </c>
      <c r="AB776" s="7">
        <v>767</v>
      </c>
      <c r="AC776" s="109">
        <v>86.001390817599997</v>
      </c>
      <c r="AD776" s="109">
        <v>914697.91197362053</v>
      </c>
      <c r="AE776" s="125"/>
      <c r="AF776" s="10"/>
      <c r="AI776" s="109"/>
      <c r="AJ776" s="109"/>
      <c r="AL776" s="10"/>
      <c r="AO776" s="109"/>
      <c r="AP776" s="109"/>
      <c r="AR776" s="10"/>
      <c r="AU776" s="109"/>
      <c r="AV776" s="109"/>
      <c r="AX776" s="10"/>
      <c r="BA776" s="109"/>
      <c r="BB776" s="109"/>
      <c r="BD776" s="10"/>
      <c r="BG776" s="109"/>
      <c r="BH776" s="109"/>
      <c r="BJ776" s="10"/>
      <c r="BM776" s="109"/>
      <c r="BN776" s="109"/>
      <c r="BP776" s="10"/>
      <c r="BS776" s="109"/>
      <c r="BT776" s="109"/>
      <c r="BV776" s="10"/>
      <c r="BY776" s="109"/>
      <c r="BZ776" s="109"/>
      <c r="CB776" s="10"/>
      <c r="CE776" s="109"/>
      <c r="CF776" s="109"/>
      <c r="CH776" s="10"/>
      <c r="CK776" s="109"/>
      <c r="CL776" s="109"/>
    </row>
    <row r="777" spans="1:90">
      <c r="A777" s="7" t="str">
        <f t="shared" si="111"/>
        <v>01540998</v>
      </c>
      <c r="B777" s="7" t="s">
        <v>2493</v>
      </c>
      <c r="C777" s="7" t="s">
        <v>2781</v>
      </c>
      <c r="D777" s="7">
        <v>768</v>
      </c>
      <c r="E777" s="7">
        <v>154</v>
      </c>
      <c r="F777" s="7" t="s">
        <v>2135</v>
      </c>
      <c r="G777" s="7">
        <v>998</v>
      </c>
      <c r="H777" s="7" t="s">
        <v>2135</v>
      </c>
      <c r="I777" s="37">
        <v>0</v>
      </c>
      <c r="J777" s="122">
        <v>0</v>
      </c>
      <c r="K777" s="123">
        <f t="shared" si="120"/>
        <v>0</v>
      </c>
      <c r="L777" s="122">
        <f>IF(K779&gt;0, K777/K779, 0)</f>
        <v>0</v>
      </c>
      <c r="M777" s="71"/>
      <c r="N777" s="10">
        <f>ROUND(M779*L777,0)</f>
        <v>0</v>
      </c>
      <c r="O777" s="70">
        <v>0</v>
      </c>
      <c r="P777" s="10">
        <f>N777-O777</f>
        <v>0</v>
      </c>
      <c r="Q777" s="46">
        <f t="shared" si="119"/>
        <v>0</v>
      </c>
      <c r="R777" s="10">
        <v>0</v>
      </c>
      <c r="S777" s="7">
        <f t="shared" si="112"/>
        <v>0</v>
      </c>
      <c r="T777" s="124">
        <f t="shared" si="113"/>
        <v>154</v>
      </c>
      <c r="U777" s="124">
        <f t="shared" si="114"/>
        <v>998</v>
      </c>
      <c r="V777" s="124">
        <f t="shared" si="115"/>
        <v>768</v>
      </c>
      <c r="W777" s="124">
        <f t="shared" si="116"/>
        <v>0</v>
      </c>
      <c r="X777" s="124">
        <f t="shared" si="117"/>
        <v>0</v>
      </c>
      <c r="Y777" s="264">
        <f t="shared" si="118"/>
        <v>768</v>
      </c>
      <c r="Z777" s="10">
        <v>154</v>
      </c>
      <c r="AA777" s="7">
        <v>998</v>
      </c>
      <c r="AB777" s="7">
        <v>768</v>
      </c>
      <c r="AC777" s="109">
        <v>0</v>
      </c>
      <c r="AD777" s="109">
        <v>0</v>
      </c>
      <c r="AE777" s="125"/>
      <c r="AF777" s="10"/>
      <c r="AI777" s="109"/>
      <c r="AJ777" s="109"/>
      <c r="AL777" s="10"/>
      <c r="AO777" s="109"/>
      <c r="AP777" s="109"/>
      <c r="AR777" s="10"/>
      <c r="AU777" s="109"/>
      <c r="AV777" s="109"/>
      <c r="AX777" s="10"/>
      <c r="BA777" s="109"/>
      <c r="BB777" s="109"/>
      <c r="BD777" s="10"/>
      <c r="BG777" s="109"/>
      <c r="BH777" s="109"/>
      <c r="BJ777" s="10"/>
      <c r="BM777" s="109"/>
      <c r="BN777" s="109"/>
      <c r="BP777" s="10"/>
      <c r="BS777" s="109"/>
      <c r="BT777" s="109"/>
      <c r="BV777" s="10"/>
      <c r="BY777" s="109"/>
      <c r="BZ777" s="109"/>
      <c r="CB777" s="10"/>
      <c r="CE777" s="109"/>
      <c r="CF777" s="109"/>
      <c r="CH777" s="10"/>
      <c r="CK777" s="109"/>
      <c r="CL777" s="109"/>
    </row>
    <row r="778" spans="1:90">
      <c r="A778" s="7" t="str">
        <f t="shared" ref="A778:A841" si="121">B778&amp;C778</f>
        <v>01540998</v>
      </c>
      <c r="B778" s="7" t="s">
        <v>2493</v>
      </c>
      <c r="C778" s="7" t="s">
        <v>2781</v>
      </c>
      <c r="D778" s="7">
        <v>769</v>
      </c>
      <c r="E778" s="7">
        <v>154</v>
      </c>
      <c r="F778" s="7" t="s">
        <v>2135</v>
      </c>
      <c r="G778" s="7">
        <v>998</v>
      </c>
      <c r="H778" s="7" t="s">
        <v>2135</v>
      </c>
      <c r="I778" s="37">
        <v>0</v>
      </c>
      <c r="J778" s="122">
        <v>0</v>
      </c>
      <c r="K778" s="123">
        <f t="shared" si="120"/>
        <v>0</v>
      </c>
      <c r="L778" s="122">
        <f>IF(K779&gt;0, K778/K779, 0)</f>
        <v>0</v>
      </c>
      <c r="M778" s="71"/>
      <c r="N778" s="10">
        <f>ROUND(M779*L778,0)</f>
        <v>0</v>
      </c>
      <c r="O778" s="70">
        <v>0</v>
      </c>
      <c r="P778" s="10">
        <f>N778-O778</f>
        <v>0</v>
      </c>
      <c r="Q778" s="46">
        <f t="shared" si="119"/>
        <v>0</v>
      </c>
      <c r="R778" s="10">
        <v>0</v>
      </c>
      <c r="S778" s="7">
        <f t="shared" ref="S778:S841" si="122">ABS(T778-E778)+ABS(U778-G778)</f>
        <v>0</v>
      </c>
      <c r="T778" s="124">
        <f t="shared" ref="T778:T841" si="123">VLOOKUP($D778, foundoptions, VLOOKUP($T$6, foundoptcell, 2, FALSE), FALSE)</f>
        <v>154</v>
      </c>
      <c r="U778" s="124">
        <f t="shared" ref="U778:U841" si="124">VLOOKUP($D778, foundoptions, VLOOKUP($T$6, foundoptcell, 2, FALSE)+1, FALSE)</f>
        <v>998</v>
      </c>
      <c r="V778" s="124">
        <f t="shared" ref="V778:V841" si="125">VLOOKUP($D778, foundoptions, VLOOKUP($T$6, foundoptcell, 2, FALSE)+2, FALSE)</f>
        <v>769</v>
      </c>
      <c r="W778" s="124">
        <f t="shared" ref="W778:W841" si="126">VLOOKUP($D778, foundoptions, VLOOKUP($T$6, foundoptcell, 2, FALSE)+3, FALSE)</f>
        <v>0</v>
      </c>
      <c r="X778" s="124">
        <f t="shared" ref="X778:X841" si="127">VLOOKUP($D778, foundoptions, VLOOKUP($T$6, foundoptcell, 2, FALSE)+4, FALSE)</f>
        <v>0</v>
      </c>
      <c r="Y778" s="264">
        <f t="shared" si="118"/>
        <v>769</v>
      </c>
      <c r="Z778" s="10">
        <v>154</v>
      </c>
      <c r="AA778" s="7">
        <v>998</v>
      </c>
      <c r="AB778" s="7">
        <v>769</v>
      </c>
      <c r="AC778" s="109">
        <v>0</v>
      </c>
      <c r="AD778" s="109">
        <v>0</v>
      </c>
      <c r="AE778" s="125"/>
      <c r="AF778" s="10"/>
      <c r="AI778" s="109"/>
      <c r="AJ778" s="109"/>
      <c r="AL778" s="10"/>
      <c r="AO778" s="109"/>
      <c r="AP778" s="109"/>
      <c r="AR778" s="10"/>
      <c r="AU778" s="109"/>
      <c r="AV778" s="109"/>
      <c r="AX778" s="10"/>
      <c r="BA778" s="109"/>
      <c r="BB778" s="109"/>
      <c r="BD778" s="10"/>
      <c r="BG778" s="109"/>
      <c r="BH778" s="109"/>
      <c r="BJ778" s="10"/>
      <c r="BM778" s="109"/>
      <c r="BN778" s="109"/>
      <c r="BP778" s="10"/>
      <c r="BS778" s="109"/>
      <c r="BT778" s="109"/>
      <c r="BV778" s="10"/>
      <c r="BY778" s="109"/>
      <c r="BZ778" s="109"/>
      <c r="CB778" s="10"/>
      <c r="CE778" s="109"/>
      <c r="CF778" s="109"/>
      <c r="CH778" s="10"/>
      <c r="CK778" s="109"/>
      <c r="CL778" s="109"/>
    </row>
    <row r="779" spans="1:90">
      <c r="A779" s="7" t="str">
        <f t="shared" si="121"/>
        <v>01540999</v>
      </c>
      <c r="B779" s="7" t="s">
        <v>2493</v>
      </c>
      <c r="C779" s="7" t="s">
        <v>2782</v>
      </c>
      <c r="D779" s="7">
        <v>770</v>
      </c>
      <c r="E779" s="11">
        <v>154</v>
      </c>
      <c r="F779" s="11" t="s">
        <v>1859</v>
      </c>
      <c r="G779" s="11">
        <v>999</v>
      </c>
      <c r="H779" s="11" t="s">
        <v>1132</v>
      </c>
      <c r="I779" s="105">
        <v>2067507.19</v>
      </c>
      <c r="J779" s="126">
        <v>1</v>
      </c>
      <c r="K779" s="127">
        <f>SUM(K775:K778)</f>
        <v>2109765.9190095435</v>
      </c>
      <c r="L779" s="126">
        <f>SUM(L775:L778)</f>
        <v>1</v>
      </c>
      <c r="M779" s="105">
        <f>VLOOKUP(E779,town351,22)</f>
        <v>1747951</v>
      </c>
      <c r="N779" s="105">
        <f>SUM(N775:N778)</f>
        <v>1747951</v>
      </c>
      <c r="O779" s="128">
        <v>1735189</v>
      </c>
      <c r="P779" s="105">
        <f>SUM(P775:P778)</f>
        <v>12762</v>
      </c>
      <c r="Q779" s="45">
        <f t="shared" si="119"/>
        <v>0.73548184088303925</v>
      </c>
      <c r="R779" s="105">
        <v>204</v>
      </c>
      <c r="S779" s="7">
        <f t="shared" si="122"/>
        <v>0</v>
      </c>
      <c r="T779" s="124">
        <f t="shared" si="123"/>
        <v>154</v>
      </c>
      <c r="U779" s="124">
        <f t="shared" si="124"/>
        <v>999</v>
      </c>
      <c r="V779" s="124">
        <f t="shared" si="125"/>
        <v>770</v>
      </c>
      <c r="W779" s="124">
        <f t="shared" si="126"/>
        <v>209.0013908176</v>
      </c>
      <c r="X779" s="124">
        <f t="shared" si="127"/>
        <v>2109765.9190095435</v>
      </c>
      <c r="Y779" s="264">
        <f t="shared" ref="Y779:Y842" si="128">D779</f>
        <v>770</v>
      </c>
      <c r="Z779" s="10">
        <v>154</v>
      </c>
      <c r="AA779" s="7">
        <v>999</v>
      </c>
      <c r="AB779" s="7">
        <v>770</v>
      </c>
      <c r="AC779" s="109">
        <v>209.0013908176</v>
      </c>
      <c r="AD779" s="109">
        <v>2109765.9190095435</v>
      </c>
      <c r="AE779" s="125"/>
      <c r="AF779" s="10"/>
      <c r="AI779" s="109"/>
      <c r="AJ779" s="109"/>
      <c r="AL779" s="10"/>
      <c r="AO779" s="109"/>
      <c r="AP779" s="109"/>
      <c r="AR779" s="10"/>
      <c r="AU779" s="109"/>
      <c r="AV779" s="109"/>
      <c r="AX779" s="10"/>
      <c r="BA779" s="109"/>
      <c r="BB779" s="109"/>
      <c r="BD779" s="10"/>
      <c r="BG779" s="109"/>
      <c r="BH779" s="109"/>
      <c r="BJ779" s="10"/>
      <c r="BM779" s="109"/>
      <c r="BN779" s="109"/>
      <c r="BP779" s="10"/>
      <c r="BS779" s="109"/>
      <c r="BT779" s="109"/>
      <c r="BV779" s="10"/>
      <c r="BY779" s="109"/>
      <c r="BZ779" s="109"/>
      <c r="CB779" s="10"/>
      <c r="CE779" s="109"/>
      <c r="CF779" s="109"/>
      <c r="CH779" s="10"/>
      <c r="CK779" s="109"/>
      <c r="CL779" s="109"/>
    </row>
    <row r="780" spans="1:90">
      <c r="A780" s="7" t="str">
        <f t="shared" si="121"/>
        <v>01550155</v>
      </c>
      <c r="B780" s="7" t="s">
        <v>2494</v>
      </c>
      <c r="C780" s="7" t="s">
        <v>2494</v>
      </c>
      <c r="D780" s="7">
        <v>771</v>
      </c>
      <c r="E780" s="7">
        <v>155</v>
      </c>
      <c r="F780" s="7" t="s">
        <v>1860</v>
      </c>
      <c r="G780" s="7">
        <v>155</v>
      </c>
      <c r="H780" s="7" t="s">
        <v>1421</v>
      </c>
      <c r="I780" s="37">
        <v>69116723.419239998</v>
      </c>
      <c r="J780" s="122">
        <v>0.98850403408457677</v>
      </c>
      <c r="K780" s="123">
        <f>X780</f>
        <v>74054892.120399058</v>
      </c>
      <c r="L780" s="122">
        <f>IF(K784&gt;0, K780/K784, 0)</f>
        <v>0.98775981810210023</v>
      </c>
      <c r="M780" s="71"/>
      <c r="N780" s="10">
        <f>ROUND(M784*L780,0)</f>
        <v>60055998</v>
      </c>
      <c r="O780" s="70">
        <v>57485649</v>
      </c>
      <c r="P780" s="10">
        <f>N780-O780</f>
        <v>2570349</v>
      </c>
      <c r="Q780" s="46">
        <f t="shared" si="119"/>
        <v>4.4712881296686762</v>
      </c>
      <c r="R780" s="10">
        <v>6978</v>
      </c>
      <c r="S780" s="7">
        <f t="shared" si="122"/>
        <v>0</v>
      </c>
      <c r="T780" s="124">
        <f t="shared" si="123"/>
        <v>155</v>
      </c>
      <c r="U780" s="124">
        <f t="shared" si="124"/>
        <v>155</v>
      </c>
      <c r="V780" s="124">
        <f t="shared" si="125"/>
        <v>771</v>
      </c>
      <c r="W780" s="124">
        <f t="shared" si="126"/>
        <v>7126</v>
      </c>
      <c r="X780" s="124">
        <f t="shared" si="127"/>
        <v>74054892.120399058</v>
      </c>
      <c r="Y780" s="264">
        <f t="shared" si="128"/>
        <v>771</v>
      </c>
      <c r="Z780" s="10">
        <v>155</v>
      </c>
      <c r="AA780" s="7">
        <v>155</v>
      </c>
      <c r="AB780" s="7">
        <v>771</v>
      </c>
      <c r="AC780" s="109">
        <v>7126</v>
      </c>
      <c r="AD780" s="109">
        <v>74054892.120399058</v>
      </c>
      <c r="AE780" s="125"/>
      <c r="AF780" s="10"/>
      <c r="AI780" s="109"/>
      <c r="AJ780" s="109"/>
      <c r="AL780" s="10"/>
      <c r="AO780" s="109"/>
      <c r="AP780" s="109"/>
      <c r="AR780" s="10"/>
      <c r="AU780" s="109"/>
      <c r="AV780" s="109"/>
      <c r="AX780" s="10"/>
      <c r="BA780" s="109"/>
      <c r="BB780" s="109"/>
      <c r="BD780" s="10"/>
      <c r="BG780" s="109"/>
      <c r="BH780" s="109"/>
      <c r="BJ780" s="10"/>
      <c r="BM780" s="109"/>
      <c r="BN780" s="109"/>
      <c r="BP780" s="10"/>
      <c r="BS780" s="109"/>
      <c r="BT780" s="109"/>
      <c r="BV780" s="10"/>
      <c r="BY780" s="109"/>
      <c r="BZ780" s="109"/>
      <c r="CB780" s="10"/>
      <c r="CE780" s="109"/>
      <c r="CF780" s="109"/>
      <c r="CH780" s="10"/>
      <c r="CK780" s="109"/>
      <c r="CL780" s="109"/>
    </row>
    <row r="781" spans="1:90">
      <c r="A781" s="7" t="str">
        <f t="shared" si="121"/>
        <v>01550830</v>
      </c>
      <c r="B781" s="7" t="s">
        <v>2494</v>
      </c>
      <c r="C781" s="7" t="s">
        <v>2764</v>
      </c>
      <c r="D781" s="7">
        <v>772</v>
      </c>
      <c r="E781" s="7">
        <v>155</v>
      </c>
      <c r="F781" s="7" t="s">
        <v>1860</v>
      </c>
      <c r="G781" s="7">
        <v>830</v>
      </c>
      <c r="H781" s="7" t="s">
        <v>1691</v>
      </c>
      <c r="I781" s="37">
        <v>803804</v>
      </c>
      <c r="J781" s="122">
        <v>1.1495965915423253E-2</v>
      </c>
      <c r="K781" s="123">
        <f t="shared" si="120"/>
        <v>917677.89433334151</v>
      </c>
      <c r="L781" s="122">
        <f>IF(K784&gt;0, K781/K784, 0)</f>
        <v>1.2240181897899648E-2</v>
      </c>
      <c r="M781" s="71"/>
      <c r="N781" s="10">
        <f>ROUND(M784*L781,0)</f>
        <v>744206</v>
      </c>
      <c r="O781" s="70">
        <v>668539</v>
      </c>
      <c r="P781" s="10">
        <f>N781-O781</f>
        <v>75667</v>
      </c>
      <c r="Q781" s="46">
        <f t="shared" si="119"/>
        <v>11.318262659321297</v>
      </c>
      <c r="R781" s="10">
        <v>46</v>
      </c>
      <c r="S781" s="7">
        <f t="shared" si="122"/>
        <v>0</v>
      </c>
      <c r="T781" s="124">
        <f t="shared" si="123"/>
        <v>155</v>
      </c>
      <c r="U781" s="124">
        <f t="shared" si="124"/>
        <v>830</v>
      </c>
      <c r="V781" s="124">
        <f t="shared" si="125"/>
        <v>772</v>
      </c>
      <c r="W781" s="124">
        <f t="shared" si="126"/>
        <v>50.144927535579995</v>
      </c>
      <c r="X781" s="124">
        <f t="shared" si="127"/>
        <v>917677.89433334151</v>
      </c>
      <c r="Y781" s="264">
        <f t="shared" si="128"/>
        <v>772</v>
      </c>
      <c r="Z781" s="10">
        <v>155</v>
      </c>
      <c r="AA781" s="7">
        <v>830</v>
      </c>
      <c r="AB781" s="7">
        <v>772</v>
      </c>
      <c r="AC781" s="109">
        <v>50.144927535579995</v>
      </c>
      <c r="AD781" s="109">
        <v>917677.89433334151</v>
      </c>
      <c r="AE781" s="125"/>
      <c r="AF781" s="10"/>
      <c r="AI781" s="109"/>
      <c r="AJ781" s="109"/>
      <c r="AL781" s="10"/>
      <c r="AO781" s="109"/>
      <c r="AP781" s="109"/>
      <c r="AR781" s="10"/>
      <c r="AU781" s="109"/>
      <c r="AV781" s="109"/>
      <c r="AX781" s="10"/>
      <c r="BA781" s="109"/>
      <c r="BB781" s="109"/>
      <c r="BD781" s="10"/>
      <c r="BG781" s="109"/>
      <c r="BH781" s="109"/>
      <c r="BJ781" s="10"/>
      <c r="BM781" s="109"/>
      <c r="BN781" s="109"/>
      <c r="BP781" s="10"/>
      <c r="BS781" s="109"/>
      <c r="BT781" s="109"/>
      <c r="BV781" s="10"/>
      <c r="BY781" s="109"/>
      <c r="BZ781" s="109"/>
      <c r="CB781" s="10"/>
      <c r="CE781" s="109"/>
      <c r="CF781" s="109"/>
      <c r="CH781" s="10"/>
      <c r="CK781" s="109"/>
      <c r="CL781" s="109"/>
    </row>
    <row r="782" spans="1:90">
      <c r="A782" s="7" t="str">
        <f t="shared" si="121"/>
        <v>01550998</v>
      </c>
      <c r="B782" s="7" t="s">
        <v>2494</v>
      </c>
      <c r="C782" s="7" t="s">
        <v>2781</v>
      </c>
      <c r="D782" s="7">
        <v>773</v>
      </c>
      <c r="E782" s="7">
        <v>155</v>
      </c>
      <c r="F782" s="7" t="s">
        <v>2135</v>
      </c>
      <c r="G782" s="7">
        <v>998</v>
      </c>
      <c r="I782" s="129">
        <v>0</v>
      </c>
      <c r="J782" s="130">
        <v>0</v>
      </c>
      <c r="K782" s="123">
        <f t="shared" si="120"/>
        <v>0</v>
      </c>
      <c r="L782" s="122">
        <f>IF(K784&gt;0, K782/K784, 0)</f>
        <v>0</v>
      </c>
      <c r="M782" s="71"/>
      <c r="N782" s="10">
        <f>ROUND(M784*L782,0)</f>
        <v>0</v>
      </c>
      <c r="O782" s="70">
        <v>0</v>
      </c>
      <c r="P782" s="10">
        <f>N782-O782</f>
        <v>0</v>
      </c>
      <c r="Q782" s="46">
        <f t="shared" si="119"/>
        <v>0</v>
      </c>
      <c r="R782" s="10">
        <v>0</v>
      </c>
      <c r="S782" s="7">
        <f t="shared" si="122"/>
        <v>0</v>
      </c>
      <c r="T782" s="124">
        <f t="shared" si="123"/>
        <v>155</v>
      </c>
      <c r="U782" s="124">
        <f t="shared" si="124"/>
        <v>998</v>
      </c>
      <c r="V782" s="124">
        <f t="shared" si="125"/>
        <v>773</v>
      </c>
      <c r="W782" s="124">
        <f t="shared" si="126"/>
        <v>0</v>
      </c>
      <c r="X782" s="124">
        <f t="shared" si="127"/>
        <v>0</v>
      </c>
      <c r="Y782" s="264">
        <f t="shared" si="128"/>
        <v>773</v>
      </c>
      <c r="Z782" s="10">
        <v>155</v>
      </c>
      <c r="AA782" s="7">
        <v>998</v>
      </c>
      <c r="AB782" s="7">
        <v>773</v>
      </c>
      <c r="AC782" s="109">
        <v>0</v>
      </c>
      <c r="AD782" s="109">
        <v>0</v>
      </c>
      <c r="AE782" s="125"/>
      <c r="AF782" s="10"/>
      <c r="AI782" s="109"/>
      <c r="AJ782" s="109"/>
      <c r="AL782" s="10"/>
      <c r="AO782" s="109"/>
      <c r="AP782" s="109"/>
      <c r="AR782" s="10"/>
      <c r="AU782" s="109"/>
      <c r="AV782" s="109"/>
      <c r="AX782" s="10"/>
      <c r="BA782" s="109"/>
      <c r="BB782" s="109"/>
      <c r="BD782" s="10"/>
      <c r="BG782" s="109"/>
      <c r="BH782" s="109"/>
      <c r="BJ782" s="10"/>
      <c r="BM782" s="109"/>
      <c r="BN782" s="109"/>
      <c r="BP782" s="10"/>
      <c r="BS782" s="109"/>
      <c r="BT782" s="109"/>
      <c r="BV782" s="10"/>
      <c r="BY782" s="109"/>
      <c r="BZ782" s="109"/>
      <c r="CB782" s="10"/>
      <c r="CE782" s="109"/>
      <c r="CF782" s="109"/>
      <c r="CH782" s="10"/>
      <c r="CK782" s="109"/>
      <c r="CL782" s="109"/>
    </row>
    <row r="783" spans="1:90">
      <c r="A783" s="7" t="str">
        <f t="shared" si="121"/>
        <v>01550998</v>
      </c>
      <c r="B783" s="7" t="s">
        <v>2494</v>
      </c>
      <c r="C783" s="7" t="s">
        <v>2781</v>
      </c>
      <c r="D783" s="7">
        <v>774</v>
      </c>
      <c r="E783" s="7">
        <v>155</v>
      </c>
      <c r="F783" s="7" t="s">
        <v>2135</v>
      </c>
      <c r="G783" s="7">
        <v>998</v>
      </c>
      <c r="H783" s="7" t="s">
        <v>2135</v>
      </c>
      <c r="I783" s="37">
        <v>0</v>
      </c>
      <c r="J783" s="122">
        <v>0</v>
      </c>
      <c r="K783" s="123">
        <f t="shared" si="120"/>
        <v>0</v>
      </c>
      <c r="L783" s="122">
        <f>IF(K784&gt;0, K783/K784, 0)</f>
        <v>0</v>
      </c>
      <c r="M783" s="71"/>
      <c r="N783" s="10">
        <f>ROUND(M784*L783,0)</f>
        <v>0</v>
      </c>
      <c r="O783" s="70">
        <v>0</v>
      </c>
      <c r="P783" s="10">
        <f>N783-O783</f>
        <v>0</v>
      </c>
      <c r="Q783" s="46">
        <f t="shared" si="119"/>
        <v>0</v>
      </c>
      <c r="R783" s="10">
        <v>0</v>
      </c>
      <c r="S783" s="7">
        <f t="shared" si="122"/>
        <v>0</v>
      </c>
      <c r="T783" s="124">
        <f t="shared" si="123"/>
        <v>155</v>
      </c>
      <c r="U783" s="124">
        <f t="shared" si="124"/>
        <v>998</v>
      </c>
      <c r="V783" s="124">
        <f t="shared" si="125"/>
        <v>774</v>
      </c>
      <c r="W783" s="124">
        <f t="shared" si="126"/>
        <v>0</v>
      </c>
      <c r="X783" s="124">
        <f t="shared" si="127"/>
        <v>0</v>
      </c>
      <c r="Y783" s="264">
        <f t="shared" si="128"/>
        <v>774</v>
      </c>
      <c r="Z783" s="10">
        <v>155</v>
      </c>
      <c r="AA783" s="7">
        <v>998</v>
      </c>
      <c r="AB783" s="7">
        <v>774</v>
      </c>
      <c r="AC783" s="109">
        <v>0</v>
      </c>
      <c r="AD783" s="109">
        <v>0</v>
      </c>
      <c r="AE783" s="125"/>
      <c r="AF783" s="10"/>
      <c r="AI783" s="109"/>
      <c r="AJ783" s="109"/>
      <c r="AL783" s="10"/>
      <c r="AO783" s="109"/>
      <c r="AP783" s="109"/>
      <c r="AR783" s="10"/>
      <c r="AU783" s="109"/>
      <c r="AV783" s="109"/>
      <c r="AX783" s="10"/>
      <c r="BA783" s="109"/>
      <c r="BB783" s="109"/>
      <c r="BD783" s="10"/>
      <c r="BG783" s="109"/>
      <c r="BH783" s="109"/>
      <c r="BJ783" s="10"/>
      <c r="BM783" s="109"/>
      <c r="BN783" s="109"/>
      <c r="BP783" s="10"/>
      <c r="BS783" s="109"/>
      <c r="BT783" s="109"/>
      <c r="BV783" s="10"/>
      <c r="BY783" s="109"/>
      <c r="BZ783" s="109"/>
      <c r="CB783" s="10"/>
      <c r="CE783" s="109"/>
      <c r="CF783" s="109"/>
      <c r="CH783" s="10"/>
      <c r="CK783" s="109"/>
      <c r="CL783" s="109"/>
    </row>
    <row r="784" spans="1:90">
      <c r="A784" s="7" t="str">
        <f t="shared" si="121"/>
        <v>01550999</v>
      </c>
      <c r="B784" s="7" t="s">
        <v>2494</v>
      </c>
      <c r="C784" s="7" t="s">
        <v>2782</v>
      </c>
      <c r="D784" s="7">
        <v>775</v>
      </c>
      <c r="E784" s="11">
        <v>155</v>
      </c>
      <c r="F784" s="11" t="s">
        <v>1860</v>
      </c>
      <c r="G784" s="11">
        <v>999</v>
      </c>
      <c r="H784" s="11" t="s">
        <v>1132</v>
      </c>
      <c r="I784" s="105">
        <v>69920527.419239998</v>
      </c>
      <c r="J784" s="126">
        <v>1</v>
      </c>
      <c r="K784" s="127">
        <f>SUM(K780:K783)</f>
        <v>74972570.014732406</v>
      </c>
      <c r="L784" s="126">
        <f>SUM(L780:L783)</f>
        <v>0.99999999999999989</v>
      </c>
      <c r="M784" s="105">
        <f>VLOOKUP(E784,town351,22)</f>
        <v>60800204</v>
      </c>
      <c r="N784" s="105">
        <f>SUM(N780:N783)</f>
        <v>60800204</v>
      </c>
      <c r="O784" s="128">
        <v>58154188</v>
      </c>
      <c r="P784" s="105">
        <f>SUM(P780:P783)</f>
        <v>2646016</v>
      </c>
      <c r="Q784" s="45">
        <f t="shared" ref="Q784:Q847" si="129">IF(O784&gt;0,P784*100/O784,IF(P784&gt;0,100,0))</f>
        <v>4.5500007669267086</v>
      </c>
      <c r="R784" s="105">
        <v>7024</v>
      </c>
      <c r="S784" s="7">
        <f t="shared" si="122"/>
        <v>0</v>
      </c>
      <c r="T784" s="124">
        <f t="shared" si="123"/>
        <v>155</v>
      </c>
      <c r="U784" s="124">
        <f t="shared" si="124"/>
        <v>999</v>
      </c>
      <c r="V784" s="124">
        <f t="shared" si="125"/>
        <v>775</v>
      </c>
      <c r="W784" s="124">
        <f t="shared" si="126"/>
        <v>7176.1449275355799</v>
      </c>
      <c r="X784" s="124">
        <f t="shared" si="127"/>
        <v>74972570.014732406</v>
      </c>
      <c r="Y784" s="264">
        <f t="shared" si="128"/>
        <v>775</v>
      </c>
      <c r="Z784" s="10">
        <v>155</v>
      </c>
      <c r="AA784" s="7">
        <v>999</v>
      </c>
      <c r="AB784" s="7">
        <v>775</v>
      </c>
      <c r="AC784" s="109">
        <v>7176.1449275355799</v>
      </c>
      <c r="AD784" s="109">
        <v>74972570.014732406</v>
      </c>
      <c r="AE784" s="125"/>
      <c r="AF784" s="10"/>
      <c r="AI784" s="109"/>
      <c r="AJ784" s="109"/>
      <c r="AL784" s="10"/>
      <c r="AO784" s="109"/>
      <c r="AP784" s="109"/>
      <c r="AR784" s="10"/>
      <c r="AU784" s="109"/>
      <c r="AV784" s="109"/>
      <c r="AX784" s="10"/>
      <c r="BA784" s="109"/>
      <c r="BB784" s="109"/>
      <c r="BD784" s="10"/>
      <c r="BG784" s="109"/>
      <c r="BH784" s="109"/>
      <c r="BJ784" s="10"/>
      <c r="BM784" s="109"/>
      <c r="BN784" s="109"/>
      <c r="BP784" s="10"/>
      <c r="BS784" s="109"/>
      <c r="BT784" s="109"/>
      <c r="BV784" s="10"/>
      <c r="BY784" s="109"/>
      <c r="BZ784" s="109"/>
      <c r="CB784" s="10"/>
      <c r="CE784" s="109"/>
      <c r="CF784" s="109"/>
      <c r="CH784" s="10"/>
      <c r="CK784" s="109"/>
      <c r="CL784" s="109"/>
    </row>
    <row r="785" spans="1:90">
      <c r="A785" s="7" t="str">
        <f t="shared" si="121"/>
        <v>01560156</v>
      </c>
      <c r="B785" s="7" t="s">
        <v>2495</v>
      </c>
      <c r="C785" s="7" t="s">
        <v>2495</v>
      </c>
      <c r="D785" s="7">
        <v>776</v>
      </c>
      <c r="E785" s="7">
        <v>156</v>
      </c>
      <c r="F785" s="7" t="s">
        <v>1861</v>
      </c>
      <c r="G785" s="7">
        <v>156</v>
      </c>
      <c r="H785" s="7" t="s">
        <v>1422</v>
      </c>
      <c r="I785" s="37">
        <v>0</v>
      </c>
      <c r="J785" s="122">
        <v>0</v>
      </c>
      <c r="K785" s="123">
        <f>X785</f>
        <v>0</v>
      </c>
      <c r="L785" s="122">
        <f>IF(K789&gt;0, K785/K789, 0)</f>
        <v>0</v>
      </c>
      <c r="M785" s="71"/>
      <c r="N785" s="10">
        <f>ROUND(M789*L785,0)</f>
        <v>0</v>
      </c>
      <c r="O785" s="70">
        <v>0</v>
      </c>
      <c r="P785" s="10">
        <f>N785-O785</f>
        <v>0</v>
      </c>
      <c r="Q785" s="46">
        <f t="shared" si="129"/>
        <v>0</v>
      </c>
      <c r="R785" s="10">
        <v>0</v>
      </c>
      <c r="S785" s="7">
        <f t="shared" si="122"/>
        <v>0</v>
      </c>
      <c r="T785" s="124">
        <f t="shared" si="123"/>
        <v>156</v>
      </c>
      <c r="U785" s="124">
        <f t="shared" si="124"/>
        <v>156</v>
      </c>
      <c r="V785" s="124">
        <f t="shared" si="125"/>
        <v>776</v>
      </c>
      <c r="W785" s="124">
        <f t="shared" si="126"/>
        <v>0</v>
      </c>
      <c r="X785" s="124">
        <f t="shared" si="127"/>
        <v>0</v>
      </c>
      <c r="Y785" s="264">
        <f t="shared" si="128"/>
        <v>776</v>
      </c>
      <c r="Z785" s="10">
        <v>156</v>
      </c>
      <c r="AA785" s="7">
        <v>156</v>
      </c>
      <c r="AB785" s="7">
        <v>776</v>
      </c>
      <c r="AC785" s="109">
        <v>0</v>
      </c>
      <c r="AD785" s="109">
        <v>0</v>
      </c>
      <c r="AE785" s="125"/>
      <c r="AF785" s="10"/>
      <c r="AI785" s="109"/>
      <c r="AJ785" s="109"/>
      <c r="AL785" s="10"/>
      <c r="AO785" s="109"/>
      <c r="AP785" s="109"/>
      <c r="AR785" s="10"/>
      <c r="AU785" s="109"/>
      <c r="AV785" s="109"/>
      <c r="AX785" s="10"/>
      <c r="BA785" s="109"/>
      <c r="BB785" s="109"/>
      <c r="BD785" s="10"/>
      <c r="BG785" s="109"/>
      <c r="BH785" s="109"/>
      <c r="BJ785" s="10"/>
      <c r="BM785" s="109"/>
      <c r="BN785" s="109"/>
      <c r="BP785" s="10"/>
      <c r="BS785" s="109"/>
      <c r="BT785" s="109"/>
      <c r="BV785" s="10"/>
      <c r="BY785" s="109"/>
      <c r="BZ785" s="109"/>
      <c r="CB785" s="10"/>
      <c r="CE785" s="109"/>
      <c r="CF785" s="109"/>
      <c r="CH785" s="10"/>
      <c r="CK785" s="109"/>
      <c r="CL785" s="109"/>
    </row>
    <row r="786" spans="1:90">
      <c r="A786" s="7" t="str">
        <f t="shared" si="121"/>
        <v>01560750</v>
      </c>
      <c r="B786" s="7" t="s">
        <v>2495</v>
      </c>
      <c r="C786" s="7" t="s">
        <v>2738</v>
      </c>
      <c r="D786" s="7">
        <v>777</v>
      </c>
      <c r="E786" s="7">
        <v>156</v>
      </c>
      <c r="F786" s="7" t="s">
        <v>1861</v>
      </c>
      <c r="G786" s="7">
        <v>750</v>
      </c>
      <c r="H786" s="7" t="s">
        <v>1665</v>
      </c>
      <c r="I786" s="37">
        <v>551481</v>
      </c>
      <c r="J786" s="122">
        <v>0.79069343981418427</v>
      </c>
      <c r="K786" s="123">
        <f t="shared" si="120"/>
        <v>548641.95676091104</v>
      </c>
      <c r="L786" s="122">
        <f>IF(K789&gt;0, K786/K789, 0)</f>
        <v>0.82546559258990693</v>
      </c>
      <c r="M786" s="71"/>
      <c r="N786" s="10">
        <f>ROUND(M789*L786,0)</f>
        <v>458857</v>
      </c>
      <c r="O786" s="70">
        <v>460747</v>
      </c>
      <c r="P786" s="10">
        <f>N786-O786</f>
        <v>-1890</v>
      </c>
      <c r="Q786" s="46">
        <f t="shared" si="129"/>
        <v>-0.4102034305160967</v>
      </c>
      <c r="R786" s="10">
        <v>55</v>
      </c>
      <c r="S786" s="7">
        <f t="shared" si="122"/>
        <v>0</v>
      </c>
      <c r="T786" s="124">
        <f t="shared" si="123"/>
        <v>156</v>
      </c>
      <c r="U786" s="124">
        <f t="shared" si="124"/>
        <v>750</v>
      </c>
      <c r="V786" s="124">
        <f t="shared" si="125"/>
        <v>777</v>
      </c>
      <c r="W786" s="124">
        <f t="shared" si="126"/>
        <v>53.62962962668</v>
      </c>
      <c r="X786" s="124">
        <f t="shared" si="127"/>
        <v>548641.95676091104</v>
      </c>
      <c r="Y786" s="264">
        <f t="shared" si="128"/>
        <v>777</v>
      </c>
      <c r="Z786" s="10">
        <v>156</v>
      </c>
      <c r="AA786" s="7">
        <v>750</v>
      </c>
      <c r="AB786" s="7">
        <v>777</v>
      </c>
      <c r="AC786" s="109">
        <v>53.62962962668</v>
      </c>
      <c r="AD786" s="109">
        <v>548641.95676091104</v>
      </c>
      <c r="AE786" s="125"/>
      <c r="AF786" s="10"/>
      <c r="AI786" s="109"/>
      <c r="AJ786" s="109"/>
      <c r="AL786" s="10"/>
      <c r="AO786" s="109"/>
      <c r="AP786" s="109"/>
      <c r="AR786" s="10"/>
      <c r="AU786" s="109"/>
      <c r="AV786" s="109"/>
      <c r="AX786" s="10"/>
      <c r="BA786" s="109"/>
      <c r="BB786" s="109"/>
      <c r="BD786" s="10"/>
      <c r="BG786" s="109"/>
      <c r="BH786" s="109"/>
      <c r="BJ786" s="10"/>
      <c r="BM786" s="109"/>
      <c r="BN786" s="109"/>
      <c r="BP786" s="10"/>
      <c r="BS786" s="109"/>
      <c r="BT786" s="109"/>
      <c r="BV786" s="10"/>
      <c r="BY786" s="109"/>
      <c r="BZ786" s="109"/>
      <c r="CB786" s="10"/>
      <c r="CE786" s="109"/>
      <c r="CF786" s="109"/>
      <c r="CH786" s="10"/>
      <c r="CK786" s="109"/>
      <c r="CL786" s="109"/>
    </row>
    <row r="787" spans="1:90">
      <c r="A787" s="7" t="str">
        <f t="shared" si="121"/>
        <v>01560818</v>
      </c>
      <c r="B787" s="7" t="s">
        <v>2495</v>
      </c>
      <c r="C787" s="7" t="s">
        <v>2758</v>
      </c>
      <c r="D787" s="7">
        <v>778</v>
      </c>
      <c r="E787" s="7">
        <v>156</v>
      </c>
      <c r="F787" s="7" t="s">
        <v>1861</v>
      </c>
      <c r="G787" s="7">
        <v>818</v>
      </c>
      <c r="H787" s="7" t="s">
        <v>1685</v>
      </c>
      <c r="I787" s="37">
        <v>145984</v>
      </c>
      <c r="J787" s="122">
        <v>0.20930656018581578</v>
      </c>
      <c r="K787" s="123">
        <f t="shared" si="120"/>
        <v>116003.50113096926</v>
      </c>
      <c r="L787" s="122">
        <f>IF(K789&gt;0, K787/K789, 0)</f>
        <v>0.17453440741009302</v>
      </c>
      <c r="M787" s="71"/>
      <c r="N787" s="10">
        <f>ROUND(M789*L787,0)</f>
        <v>97019</v>
      </c>
      <c r="O787" s="70">
        <v>121965</v>
      </c>
      <c r="P787" s="10">
        <f>N787-O787</f>
        <v>-24946</v>
      </c>
      <c r="Q787" s="46">
        <f t="shared" si="129"/>
        <v>-20.453408764809577</v>
      </c>
      <c r="R787" s="10">
        <v>9</v>
      </c>
      <c r="S787" s="7">
        <f t="shared" si="122"/>
        <v>0</v>
      </c>
      <c r="T787" s="124">
        <f t="shared" si="123"/>
        <v>156</v>
      </c>
      <c r="U787" s="124">
        <f t="shared" si="124"/>
        <v>818</v>
      </c>
      <c r="V787" s="124">
        <f t="shared" si="125"/>
        <v>778</v>
      </c>
      <c r="W787" s="124">
        <f t="shared" si="126"/>
        <v>7.0000000016800001</v>
      </c>
      <c r="X787" s="124">
        <f t="shared" si="127"/>
        <v>116003.50113096926</v>
      </c>
      <c r="Y787" s="264">
        <f t="shared" si="128"/>
        <v>778</v>
      </c>
      <c r="Z787" s="10">
        <v>156</v>
      </c>
      <c r="AA787" s="7">
        <v>818</v>
      </c>
      <c r="AB787" s="7">
        <v>778</v>
      </c>
      <c r="AC787" s="109">
        <v>7.0000000016800001</v>
      </c>
      <c r="AD787" s="109">
        <v>116003.50113096926</v>
      </c>
      <c r="AE787" s="125"/>
      <c r="AF787" s="10"/>
      <c r="AI787" s="109"/>
      <c r="AJ787" s="109"/>
      <c r="AL787" s="10"/>
      <c r="AO787" s="109"/>
      <c r="AP787" s="109"/>
      <c r="AR787" s="10"/>
      <c r="AU787" s="109"/>
      <c r="AV787" s="109"/>
      <c r="AX787" s="10"/>
      <c r="BA787" s="109"/>
      <c r="BB787" s="109"/>
      <c r="BD787" s="10"/>
      <c r="BG787" s="109"/>
      <c r="BH787" s="109"/>
      <c r="BJ787" s="10"/>
      <c r="BM787" s="109"/>
      <c r="BN787" s="109"/>
      <c r="BP787" s="10"/>
      <c r="BS787" s="109"/>
      <c r="BT787" s="109"/>
      <c r="BV787" s="10"/>
      <c r="BY787" s="109"/>
      <c r="BZ787" s="109"/>
      <c r="CB787" s="10"/>
      <c r="CE787" s="109"/>
      <c r="CF787" s="109"/>
      <c r="CH787" s="10"/>
      <c r="CK787" s="109"/>
      <c r="CL787" s="109"/>
    </row>
    <row r="788" spans="1:90">
      <c r="A788" s="7" t="str">
        <f t="shared" si="121"/>
        <v>01560998</v>
      </c>
      <c r="B788" s="7" t="s">
        <v>2495</v>
      </c>
      <c r="C788" s="7" t="s">
        <v>2781</v>
      </c>
      <c r="D788" s="7">
        <v>779</v>
      </c>
      <c r="E788" s="7">
        <v>156</v>
      </c>
      <c r="F788" s="7" t="s">
        <v>2135</v>
      </c>
      <c r="G788" s="7">
        <v>998</v>
      </c>
      <c r="H788" s="7" t="s">
        <v>2135</v>
      </c>
      <c r="I788" s="37">
        <v>0</v>
      </c>
      <c r="J788" s="122">
        <v>0</v>
      </c>
      <c r="K788" s="123">
        <f t="shared" si="120"/>
        <v>0</v>
      </c>
      <c r="L788" s="122">
        <f>IF(K789&gt;0, K788/K789, 0)</f>
        <v>0</v>
      </c>
      <c r="M788" s="71"/>
      <c r="N788" s="10">
        <f>ROUND(M789*L788,0)</f>
        <v>0</v>
      </c>
      <c r="O788" s="70">
        <v>0</v>
      </c>
      <c r="P788" s="10">
        <f>N788-O788</f>
        <v>0</v>
      </c>
      <c r="Q788" s="46">
        <f t="shared" si="129"/>
        <v>0</v>
      </c>
      <c r="R788" s="10">
        <v>0</v>
      </c>
      <c r="S788" s="7">
        <f t="shared" si="122"/>
        <v>0</v>
      </c>
      <c r="T788" s="124">
        <f t="shared" si="123"/>
        <v>156</v>
      </c>
      <c r="U788" s="124">
        <f t="shared" si="124"/>
        <v>998</v>
      </c>
      <c r="V788" s="124">
        <f t="shared" si="125"/>
        <v>779</v>
      </c>
      <c r="W788" s="124">
        <f t="shared" si="126"/>
        <v>0</v>
      </c>
      <c r="X788" s="124">
        <f t="shared" si="127"/>
        <v>0</v>
      </c>
      <c r="Y788" s="264">
        <f t="shared" si="128"/>
        <v>779</v>
      </c>
      <c r="Z788" s="10">
        <v>156</v>
      </c>
      <c r="AA788" s="7">
        <v>998</v>
      </c>
      <c r="AB788" s="7">
        <v>779</v>
      </c>
      <c r="AC788" s="109">
        <v>0</v>
      </c>
      <c r="AD788" s="109">
        <v>0</v>
      </c>
      <c r="AE788" s="125"/>
      <c r="AF788" s="10"/>
      <c r="AI788" s="109"/>
      <c r="AJ788" s="109"/>
      <c r="AL788" s="10"/>
      <c r="AO788" s="109"/>
      <c r="AP788" s="109"/>
      <c r="AR788" s="10"/>
      <c r="AU788" s="109"/>
      <c r="AV788" s="109"/>
      <c r="AX788" s="10"/>
      <c r="BA788" s="109"/>
      <c r="BB788" s="109"/>
      <c r="BD788" s="10"/>
      <c r="BG788" s="109"/>
      <c r="BH788" s="109"/>
      <c r="BJ788" s="10"/>
      <c r="BM788" s="109"/>
      <c r="BN788" s="109"/>
      <c r="BP788" s="10"/>
      <c r="BS788" s="109"/>
      <c r="BT788" s="109"/>
      <c r="BV788" s="10"/>
      <c r="BY788" s="109"/>
      <c r="BZ788" s="109"/>
      <c r="CB788" s="10"/>
      <c r="CE788" s="109"/>
      <c r="CF788" s="109"/>
      <c r="CH788" s="10"/>
      <c r="CK788" s="109"/>
      <c r="CL788" s="109"/>
    </row>
    <row r="789" spans="1:90">
      <c r="A789" s="7" t="str">
        <f t="shared" si="121"/>
        <v>01560999</v>
      </c>
      <c r="B789" s="7" t="s">
        <v>2495</v>
      </c>
      <c r="C789" s="7" t="s">
        <v>2782</v>
      </c>
      <c r="D789" s="7">
        <v>780</v>
      </c>
      <c r="E789" s="11">
        <v>156</v>
      </c>
      <c r="F789" s="11" t="s">
        <v>1861</v>
      </c>
      <c r="G789" s="11">
        <v>999</v>
      </c>
      <c r="H789" s="11" t="s">
        <v>1132</v>
      </c>
      <c r="I789" s="105">
        <v>697465</v>
      </c>
      <c r="J789" s="126">
        <v>1</v>
      </c>
      <c r="K789" s="127">
        <f>SUM(K785:K788)</f>
        <v>664645.4578918803</v>
      </c>
      <c r="L789" s="126">
        <f>SUM(L785:L788)</f>
        <v>1</v>
      </c>
      <c r="M789" s="105">
        <f>VLOOKUP(E789,town351,22)</f>
        <v>555876</v>
      </c>
      <c r="N789" s="105">
        <f>SUM(N785:N788)</f>
        <v>555876</v>
      </c>
      <c r="O789" s="128">
        <v>582712</v>
      </c>
      <c r="P789" s="105">
        <f>SUM(P785:P788)</f>
        <v>-26836</v>
      </c>
      <c r="Q789" s="45">
        <f t="shared" si="129"/>
        <v>-4.6053625118411841</v>
      </c>
      <c r="R789" s="105">
        <v>64</v>
      </c>
      <c r="S789" s="7">
        <f t="shared" si="122"/>
        <v>0</v>
      </c>
      <c r="T789" s="124">
        <f t="shared" si="123"/>
        <v>156</v>
      </c>
      <c r="U789" s="124">
        <f t="shared" si="124"/>
        <v>999</v>
      </c>
      <c r="V789" s="124">
        <f t="shared" si="125"/>
        <v>780</v>
      </c>
      <c r="W789" s="124">
        <f t="shared" si="126"/>
        <v>60.62962962836</v>
      </c>
      <c r="X789" s="124">
        <f t="shared" si="127"/>
        <v>664645.4578918803</v>
      </c>
      <c r="Y789" s="264">
        <f t="shared" si="128"/>
        <v>780</v>
      </c>
      <c r="Z789" s="10">
        <v>156</v>
      </c>
      <c r="AA789" s="7">
        <v>999</v>
      </c>
      <c r="AB789" s="7">
        <v>780</v>
      </c>
      <c r="AC789" s="109">
        <v>60.62962962836</v>
      </c>
      <c r="AD789" s="109">
        <v>664645.4578918803</v>
      </c>
      <c r="AE789" s="125"/>
      <c r="AF789" s="10"/>
      <c r="AI789" s="109"/>
      <c r="AJ789" s="109"/>
      <c r="AL789" s="10"/>
      <c r="AO789" s="109"/>
      <c r="AP789" s="109"/>
      <c r="AR789" s="10"/>
      <c r="AU789" s="109"/>
      <c r="AV789" s="109"/>
      <c r="AX789" s="10"/>
      <c r="BA789" s="109"/>
      <c r="BB789" s="109"/>
      <c r="BD789" s="10"/>
      <c r="BG789" s="109"/>
      <c r="BH789" s="109"/>
      <c r="BJ789" s="10"/>
      <c r="BM789" s="109"/>
      <c r="BN789" s="109"/>
      <c r="BP789" s="10"/>
      <c r="BS789" s="109"/>
      <c r="BT789" s="109"/>
      <c r="BV789" s="10"/>
      <c r="BY789" s="109"/>
      <c r="BZ789" s="109"/>
      <c r="CB789" s="10"/>
      <c r="CE789" s="109"/>
      <c r="CF789" s="109"/>
      <c r="CH789" s="10"/>
      <c r="CK789" s="109"/>
      <c r="CL789" s="109"/>
    </row>
    <row r="790" spans="1:90">
      <c r="A790" s="7" t="str">
        <f t="shared" si="121"/>
        <v>01570157</v>
      </c>
      <c r="B790" s="7" t="s">
        <v>2496</v>
      </c>
      <c r="C790" s="7" t="s">
        <v>2496</v>
      </c>
      <c r="D790" s="7">
        <v>781</v>
      </c>
      <c r="E790" s="7">
        <v>157</v>
      </c>
      <c r="F790" s="7" t="s">
        <v>1862</v>
      </c>
      <c r="G790" s="7">
        <v>157</v>
      </c>
      <c r="H790" s="7" t="s">
        <v>1423</v>
      </c>
      <c r="I790" s="37">
        <v>6043300.8275599992</v>
      </c>
      <c r="J790" s="122">
        <v>0.70583313469539199</v>
      </c>
      <c r="K790" s="123">
        <f>X790</f>
        <v>6203608.5789318336</v>
      </c>
      <c r="L790" s="122">
        <f>IF(K794&gt;0, K790/K794, 0)</f>
        <v>0.73447659211890926</v>
      </c>
      <c r="M790" s="71"/>
      <c r="N790" s="10">
        <f>ROUND(M794*L790,0)</f>
        <v>5157876</v>
      </c>
      <c r="O790" s="70">
        <v>5030628</v>
      </c>
      <c r="P790" s="10">
        <f>N790-O790</f>
        <v>127248</v>
      </c>
      <c r="Q790" s="46">
        <f t="shared" si="129"/>
        <v>2.5294655060958591</v>
      </c>
      <c r="R790" s="10">
        <v>664</v>
      </c>
      <c r="S790" s="7">
        <f t="shared" si="122"/>
        <v>0</v>
      </c>
      <c r="T790" s="124">
        <f t="shared" si="123"/>
        <v>157</v>
      </c>
      <c r="U790" s="124">
        <f t="shared" si="124"/>
        <v>157</v>
      </c>
      <c r="V790" s="124">
        <f t="shared" si="125"/>
        <v>781</v>
      </c>
      <c r="W790" s="124">
        <f t="shared" si="126"/>
        <v>653</v>
      </c>
      <c r="X790" s="124">
        <f t="shared" si="127"/>
        <v>6203608.5789318336</v>
      </c>
      <c r="Y790" s="264">
        <f t="shared" si="128"/>
        <v>781</v>
      </c>
      <c r="Z790" s="10">
        <v>157</v>
      </c>
      <c r="AA790" s="7">
        <v>157</v>
      </c>
      <c r="AB790" s="7">
        <v>781</v>
      </c>
      <c r="AC790" s="109">
        <v>653</v>
      </c>
      <c r="AD790" s="109">
        <v>6203608.5789318336</v>
      </c>
      <c r="AE790" s="125"/>
      <c r="AF790" s="10"/>
      <c r="AI790" s="109"/>
      <c r="AJ790" s="109"/>
      <c r="AL790" s="10"/>
      <c r="AO790" s="109"/>
      <c r="AP790" s="109"/>
      <c r="AR790" s="10"/>
      <c r="AU790" s="109"/>
      <c r="AV790" s="109"/>
      <c r="AX790" s="10"/>
      <c r="BA790" s="109"/>
      <c r="BB790" s="109"/>
      <c r="BD790" s="10"/>
      <c r="BG790" s="109"/>
      <c r="BH790" s="109"/>
      <c r="BJ790" s="10"/>
      <c r="BM790" s="109"/>
      <c r="BN790" s="109"/>
      <c r="BP790" s="10"/>
      <c r="BS790" s="109"/>
      <c r="BT790" s="109"/>
      <c r="BV790" s="10"/>
      <c r="BY790" s="109"/>
      <c r="BZ790" s="109"/>
      <c r="CB790" s="10"/>
      <c r="CE790" s="109"/>
      <c r="CF790" s="109"/>
      <c r="CH790" s="10"/>
      <c r="CK790" s="109"/>
      <c r="CL790" s="109"/>
    </row>
    <row r="791" spans="1:90">
      <c r="A791" s="7" t="str">
        <f t="shared" si="121"/>
        <v>01570695</v>
      </c>
      <c r="B791" s="7" t="s">
        <v>2496</v>
      </c>
      <c r="C791" s="7" t="s">
        <v>2723</v>
      </c>
      <c r="D791" s="7">
        <v>782</v>
      </c>
      <c r="E791" s="7">
        <v>157</v>
      </c>
      <c r="F791" s="7" t="s">
        <v>1862</v>
      </c>
      <c r="G791" s="7">
        <v>695</v>
      </c>
      <c r="H791" s="7" t="s">
        <v>1650</v>
      </c>
      <c r="I791" s="37">
        <v>2326425</v>
      </c>
      <c r="J791" s="122">
        <v>0.27171704623658743</v>
      </c>
      <c r="K791" s="123">
        <f t="shared" si="120"/>
        <v>2242689.9763902547</v>
      </c>
      <c r="L791" s="122">
        <f>IF(K794&gt;0, K791/K794, 0)</f>
        <v>0.2655234078810908</v>
      </c>
      <c r="M791" s="71"/>
      <c r="N791" s="10">
        <f>ROUND(M794*L791,0)</f>
        <v>1864643</v>
      </c>
      <c r="O791" s="70">
        <v>1936587</v>
      </c>
      <c r="P791" s="10">
        <f>N791-O791</f>
        <v>-71944</v>
      </c>
      <c r="Q791" s="46">
        <f t="shared" si="129"/>
        <v>-3.7149893085102814</v>
      </c>
      <c r="R791" s="10">
        <v>221</v>
      </c>
      <c r="S791" s="7">
        <f t="shared" si="122"/>
        <v>0</v>
      </c>
      <c r="T791" s="124">
        <f t="shared" si="123"/>
        <v>157</v>
      </c>
      <c r="U791" s="124">
        <f t="shared" si="124"/>
        <v>695</v>
      </c>
      <c r="V791" s="124">
        <f t="shared" si="125"/>
        <v>782</v>
      </c>
      <c r="W791" s="124">
        <f t="shared" si="126"/>
        <v>211.50624589579999</v>
      </c>
      <c r="X791" s="124">
        <f t="shared" si="127"/>
        <v>2242689.9763902547</v>
      </c>
      <c r="Y791" s="264">
        <f t="shared" si="128"/>
        <v>782</v>
      </c>
      <c r="Z791" s="10">
        <v>157</v>
      </c>
      <c r="AA791" s="7">
        <v>695</v>
      </c>
      <c r="AB791" s="7">
        <v>782</v>
      </c>
      <c r="AC791" s="109">
        <v>211.50624589579999</v>
      </c>
      <c r="AD791" s="109">
        <v>2242689.9763902547</v>
      </c>
      <c r="AE791" s="125"/>
      <c r="AF791" s="10"/>
      <c r="AI791" s="109"/>
      <c r="AJ791" s="109"/>
      <c r="AL791" s="10"/>
      <c r="AO791" s="109"/>
      <c r="AP791" s="109"/>
      <c r="AR791" s="10"/>
      <c r="AU791" s="109"/>
      <c r="AV791" s="109"/>
      <c r="AX791" s="10"/>
      <c r="BA791" s="109"/>
      <c r="BB791" s="109"/>
      <c r="BD791" s="10"/>
      <c r="BG791" s="109"/>
      <c r="BH791" s="109"/>
      <c r="BJ791" s="10"/>
      <c r="BM791" s="109"/>
      <c r="BN791" s="109"/>
      <c r="BP791" s="10"/>
      <c r="BS791" s="109"/>
      <c r="BT791" s="109"/>
      <c r="BV791" s="10"/>
      <c r="BY791" s="109"/>
      <c r="BZ791" s="109"/>
      <c r="CB791" s="10"/>
      <c r="CE791" s="109"/>
      <c r="CF791" s="109"/>
      <c r="CH791" s="10"/>
      <c r="CK791" s="109"/>
      <c r="CL791" s="109"/>
    </row>
    <row r="792" spans="1:90">
      <c r="A792" s="7" t="str">
        <f t="shared" si="121"/>
        <v>01570830</v>
      </c>
      <c r="B792" s="7" t="s">
        <v>2496</v>
      </c>
      <c r="C792" s="7" t="s">
        <v>2764</v>
      </c>
      <c r="D792" s="7">
        <v>783</v>
      </c>
      <c r="E792" s="7">
        <v>157</v>
      </c>
      <c r="F792" s="7" t="s">
        <v>1862</v>
      </c>
      <c r="G792" s="7">
        <v>830</v>
      </c>
      <c r="H792" s="7" t="s">
        <v>1691</v>
      </c>
      <c r="I792" s="37">
        <v>192214</v>
      </c>
      <c r="J792" s="122">
        <v>2.2449819068020425E-2</v>
      </c>
      <c r="K792" s="123">
        <f t="shared" si="120"/>
        <v>0</v>
      </c>
      <c r="L792" s="122">
        <f>IF(K794&gt;0, K792/K794, 0)</f>
        <v>0</v>
      </c>
      <c r="M792" s="71"/>
      <c r="N792" s="10">
        <f>ROUND(M794*L792,0)</f>
        <v>0</v>
      </c>
      <c r="O792" s="70">
        <v>160005</v>
      </c>
      <c r="P792" s="10">
        <f>N792-O792</f>
        <v>-160005</v>
      </c>
      <c r="Q792" s="46">
        <f t="shared" si="129"/>
        <v>-100</v>
      </c>
      <c r="R792" s="10">
        <v>11</v>
      </c>
      <c r="S792" s="7">
        <f t="shared" si="122"/>
        <v>0</v>
      </c>
      <c r="T792" s="124">
        <f t="shared" si="123"/>
        <v>157</v>
      </c>
      <c r="U792" s="124">
        <f t="shared" si="124"/>
        <v>830</v>
      </c>
      <c r="V792" s="124">
        <f t="shared" si="125"/>
        <v>783</v>
      </c>
      <c r="W792" s="124">
        <f t="shared" si="126"/>
        <v>0</v>
      </c>
      <c r="X792" s="124">
        <f t="shared" si="127"/>
        <v>0</v>
      </c>
      <c r="Y792" s="264">
        <f t="shared" si="128"/>
        <v>783</v>
      </c>
      <c r="Z792" s="10">
        <v>157</v>
      </c>
      <c r="AA792" s="7">
        <v>830</v>
      </c>
      <c r="AB792" s="7">
        <v>783</v>
      </c>
      <c r="AC792" s="109">
        <v>0</v>
      </c>
      <c r="AD792" s="109">
        <v>0</v>
      </c>
      <c r="AE792" s="125"/>
      <c r="AF792" s="10"/>
      <c r="AI792" s="109"/>
      <c r="AJ792" s="109"/>
      <c r="AL792" s="10"/>
      <c r="AO792" s="109"/>
      <c r="AP792" s="109"/>
      <c r="AR792" s="10"/>
      <c r="AU792" s="109"/>
      <c r="AV792" s="109"/>
      <c r="AX792" s="10"/>
      <c r="BA792" s="109"/>
      <c r="BB792" s="109"/>
      <c r="BD792" s="10"/>
      <c r="BG792" s="109"/>
      <c r="BH792" s="109"/>
      <c r="BJ792" s="10"/>
      <c r="BM792" s="109"/>
      <c r="BN792" s="109"/>
      <c r="BP792" s="10"/>
      <c r="BS792" s="109"/>
      <c r="BT792" s="109"/>
      <c r="BV792" s="10"/>
      <c r="BY792" s="109"/>
      <c r="BZ792" s="109"/>
      <c r="CB792" s="10"/>
      <c r="CE792" s="109"/>
      <c r="CF792" s="109"/>
      <c r="CH792" s="10"/>
      <c r="CK792" s="109"/>
      <c r="CL792" s="109"/>
    </row>
    <row r="793" spans="1:90">
      <c r="A793" s="7" t="str">
        <f t="shared" si="121"/>
        <v>01570998</v>
      </c>
      <c r="B793" s="7" t="s">
        <v>2496</v>
      </c>
      <c r="C793" s="7" t="s">
        <v>2781</v>
      </c>
      <c r="D793" s="7">
        <v>784</v>
      </c>
      <c r="E793" s="7">
        <v>157</v>
      </c>
      <c r="F793" s="7" t="s">
        <v>2135</v>
      </c>
      <c r="G793" s="7">
        <v>998</v>
      </c>
      <c r="H793" s="7" t="s">
        <v>2135</v>
      </c>
      <c r="I793" s="37">
        <v>0</v>
      </c>
      <c r="J793" s="122">
        <v>0</v>
      </c>
      <c r="K793" s="123">
        <f t="shared" si="120"/>
        <v>0</v>
      </c>
      <c r="L793" s="122">
        <f>IF(K794&gt;0, K793/K794, 0)</f>
        <v>0</v>
      </c>
      <c r="M793" s="71"/>
      <c r="N793" s="10">
        <f>ROUND(M794*L793,0)</f>
        <v>0</v>
      </c>
      <c r="O793" s="70">
        <v>0</v>
      </c>
      <c r="P793" s="10">
        <f>N793-O793</f>
        <v>0</v>
      </c>
      <c r="Q793" s="46">
        <f t="shared" si="129"/>
        <v>0</v>
      </c>
      <c r="R793" s="10">
        <v>0</v>
      </c>
      <c r="S793" s="7">
        <f t="shared" si="122"/>
        <v>0</v>
      </c>
      <c r="T793" s="124">
        <f t="shared" si="123"/>
        <v>157</v>
      </c>
      <c r="U793" s="124">
        <f t="shared" si="124"/>
        <v>998</v>
      </c>
      <c r="V793" s="124">
        <f t="shared" si="125"/>
        <v>784</v>
      </c>
      <c r="W793" s="124">
        <f t="shared" si="126"/>
        <v>0</v>
      </c>
      <c r="X793" s="124">
        <f t="shared" si="127"/>
        <v>0</v>
      </c>
      <c r="Y793" s="264">
        <f t="shared" si="128"/>
        <v>784</v>
      </c>
      <c r="Z793" s="10">
        <v>157</v>
      </c>
      <c r="AA793" s="7">
        <v>998</v>
      </c>
      <c r="AB793" s="7">
        <v>784</v>
      </c>
      <c r="AC793" s="109">
        <v>0</v>
      </c>
      <c r="AD793" s="109">
        <v>0</v>
      </c>
      <c r="AE793" s="125"/>
      <c r="AF793" s="10"/>
      <c r="AI793" s="109"/>
      <c r="AJ793" s="109"/>
      <c r="AL793" s="10"/>
      <c r="AO793" s="109"/>
      <c r="AP793" s="109"/>
      <c r="AR793" s="10"/>
      <c r="AU793" s="109"/>
      <c r="AV793" s="109"/>
      <c r="AX793" s="10"/>
      <c r="BA793" s="109"/>
      <c r="BB793" s="109"/>
      <c r="BD793" s="10"/>
      <c r="BG793" s="109"/>
      <c r="BH793" s="109"/>
      <c r="BJ793" s="10"/>
      <c r="BM793" s="109"/>
      <c r="BN793" s="109"/>
      <c r="BP793" s="10"/>
      <c r="BS793" s="109"/>
      <c r="BT793" s="109"/>
      <c r="BV793" s="10"/>
      <c r="BY793" s="109"/>
      <c r="BZ793" s="109"/>
      <c r="CB793" s="10"/>
      <c r="CE793" s="109"/>
      <c r="CF793" s="109"/>
      <c r="CH793" s="10"/>
      <c r="CK793" s="109"/>
      <c r="CL793" s="109"/>
    </row>
    <row r="794" spans="1:90">
      <c r="A794" s="7" t="str">
        <f t="shared" si="121"/>
        <v>01570999</v>
      </c>
      <c r="B794" s="7" t="s">
        <v>2496</v>
      </c>
      <c r="C794" s="7" t="s">
        <v>2782</v>
      </c>
      <c r="D794" s="7">
        <v>785</v>
      </c>
      <c r="E794" s="11">
        <v>157</v>
      </c>
      <c r="F794" s="11" t="s">
        <v>1862</v>
      </c>
      <c r="G794" s="11">
        <v>999</v>
      </c>
      <c r="H794" s="11" t="s">
        <v>1132</v>
      </c>
      <c r="I794" s="105">
        <v>8561939.8275600001</v>
      </c>
      <c r="J794" s="126">
        <v>0.99999999999999989</v>
      </c>
      <c r="K794" s="127">
        <f>SUM(K790:K793)</f>
        <v>8446298.5553220883</v>
      </c>
      <c r="L794" s="126">
        <f>SUM(L790:L793)</f>
        <v>1</v>
      </c>
      <c r="M794" s="105">
        <f>VLOOKUP(E794,town351,22)</f>
        <v>7022519</v>
      </c>
      <c r="N794" s="105">
        <f>SUM(N790:N793)</f>
        <v>7022519</v>
      </c>
      <c r="O794" s="128">
        <v>7127220</v>
      </c>
      <c r="P794" s="105">
        <f>SUM(P790:P793)</f>
        <v>-104701</v>
      </c>
      <c r="Q794" s="45">
        <f t="shared" si="129"/>
        <v>-1.4690300004770442</v>
      </c>
      <c r="R794" s="105">
        <v>896</v>
      </c>
      <c r="S794" s="7">
        <f t="shared" si="122"/>
        <v>0</v>
      </c>
      <c r="T794" s="124">
        <f t="shared" si="123"/>
        <v>157</v>
      </c>
      <c r="U794" s="124">
        <f t="shared" si="124"/>
        <v>999</v>
      </c>
      <c r="V794" s="124">
        <f t="shared" si="125"/>
        <v>785</v>
      </c>
      <c r="W794" s="124">
        <f t="shared" si="126"/>
        <v>864.50624589580002</v>
      </c>
      <c r="X794" s="124">
        <f t="shared" si="127"/>
        <v>8446298.5553220883</v>
      </c>
      <c r="Y794" s="264">
        <f t="shared" si="128"/>
        <v>785</v>
      </c>
      <c r="Z794" s="10">
        <v>157</v>
      </c>
      <c r="AA794" s="7">
        <v>999</v>
      </c>
      <c r="AB794" s="7">
        <v>785</v>
      </c>
      <c r="AC794" s="109">
        <v>864.50624589580002</v>
      </c>
      <c r="AD794" s="109">
        <v>8446298.5553220883</v>
      </c>
      <c r="AE794" s="125"/>
      <c r="AF794" s="10"/>
      <c r="AI794" s="109"/>
      <c r="AJ794" s="109"/>
      <c r="AL794" s="10"/>
      <c r="AO794" s="109"/>
      <c r="AP794" s="109"/>
      <c r="AR794" s="10"/>
      <c r="AU794" s="109"/>
      <c r="AV794" s="109"/>
      <c r="AX794" s="10"/>
      <c r="BA794" s="109"/>
      <c r="BB794" s="109"/>
      <c r="BD794" s="10"/>
      <c r="BG794" s="109"/>
      <c r="BH794" s="109"/>
      <c r="BJ794" s="10"/>
      <c r="BM794" s="109"/>
      <c r="BN794" s="109"/>
      <c r="BP794" s="10"/>
      <c r="BS794" s="109"/>
      <c r="BT794" s="109"/>
      <c r="BV794" s="10"/>
      <c r="BY794" s="109"/>
      <c r="BZ794" s="109"/>
      <c r="CB794" s="10"/>
      <c r="CE794" s="109"/>
      <c r="CF794" s="109"/>
      <c r="CH794" s="10"/>
      <c r="CK794" s="109"/>
      <c r="CL794" s="109"/>
    </row>
    <row r="795" spans="1:90">
      <c r="A795" s="7" t="str">
        <f t="shared" si="121"/>
        <v>01580158</v>
      </c>
      <c r="B795" s="7" t="s">
        <v>2497</v>
      </c>
      <c r="C795" s="7" t="s">
        <v>2497</v>
      </c>
      <c r="D795" s="7">
        <v>786</v>
      </c>
      <c r="E795" s="7">
        <v>158</v>
      </c>
      <c r="F795" s="7" t="s">
        <v>1863</v>
      </c>
      <c r="G795" s="7">
        <v>158</v>
      </c>
      <c r="H795" s="7" t="s">
        <v>1424</v>
      </c>
      <c r="I795" s="37">
        <v>14722352.576169997</v>
      </c>
      <c r="J795" s="122">
        <v>0.96517779347377297</v>
      </c>
      <c r="K795" s="123">
        <f t="shared" ref="K795:K858" si="130">X795</f>
        <v>15312226.682937402</v>
      </c>
      <c r="L795" s="122">
        <f>IF(K799&gt;0, K795/K799, 0)</f>
        <v>0.96970005257085767</v>
      </c>
      <c r="M795" s="71"/>
      <c r="N795" s="10">
        <f>ROUND(M799*L795,0)</f>
        <v>12240112</v>
      </c>
      <c r="O795" s="70">
        <v>11622810</v>
      </c>
      <c r="P795" s="10">
        <f>N795-O795</f>
        <v>617302</v>
      </c>
      <c r="Q795" s="46">
        <f t="shared" si="129"/>
        <v>5.3111252786546457</v>
      </c>
      <c r="R795" s="10">
        <v>1571</v>
      </c>
      <c r="S795" s="7">
        <f t="shared" si="122"/>
        <v>0</v>
      </c>
      <c r="T795" s="124">
        <f t="shared" si="123"/>
        <v>158</v>
      </c>
      <c r="U795" s="124">
        <f t="shared" si="124"/>
        <v>158</v>
      </c>
      <c r="V795" s="124">
        <f t="shared" si="125"/>
        <v>786</v>
      </c>
      <c r="W795" s="124">
        <f t="shared" si="126"/>
        <v>1589</v>
      </c>
      <c r="X795" s="124">
        <f t="shared" si="127"/>
        <v>15312226.682937402</v>
      </c>
      <c r="Y795" s="264">
        <f t="shared" si="128"/>
        <v>786</v>
      </c>
      <c r="Z795" s="10">
        <v>158</v>
      </c>
      <c r="AA795" s="7">
        <v>158</v>
      </c>
      <c r="AB795" s="7">
        <v>786</v>
      </c>
      <c r="AC795" s="109">
        <v>1589</v>
      </c>
      <c r="AD795" s="109">
        <v>15312226.682937402</v>
      </c>
      <c r="AE795" s="125"/>
      <c r="AF795" s="10"/>
      <c r="AI795" s="109"/>
      <c r="AJ795" s="109"/>
      <c r="AL795" s="10"/>
      <c r="AO795" s="109"/>
      <c r="AP795" s="109"/>
      <c r="AR795" s="10"/>
      <c r="AU795" s="109"/>
      <c r="AV795" s="109"/>
      <c r="AX795" s="10"/>
      <c r="BA795" s="109"/>
      <c r="BB795" s="109"/>
      <c r="BD795" s="10"/>
      <c r="BG795" s="109"/>
      <c r="BH795" s="109"/>
      <c r="BJ795" s="10"/>
      <c r="BM795" s="109"/>
      <c r="BN795" s="109"/>
      <c r="BP795" s="10"/>
      <c r="BS795" s="109"/>
      <c r="BT795" s="109"/>
      <c r="BV795" s="10"/>
      <c r="BY795" s="109"/>
      <c r="BZ795" s="109"/>
      <c r="CB795" s="10"/>
      <c r="CE795" s="109"/>
      <c r="CF795" s="109"/>
      <c r="CH795" s="10"/>
      <c r="CK795" s="109"/>
      <c r="CL795" s="109"/>
    </row>
    <row r="796" spans="1:90">
      <c r="A796" s="7" t="str">
        <f t="shared" si="121"/>
        <v>01580852</v>
      </c>
      <c r="B796" s="7" t="s">
        <v>2497</v>
      </c>
      <c r="C796" s="7" t="s">
        <v>2767</v>
      </c>
      <c r="D796" s="7">
        <v>787</v>
      </c>
      <c r="E796" s="7">
        <v>158</v>
      </c>
      <c r="F796" s="7" t="s">
        <v>1863</v>
      </c>
      <c r="G796" s="7">
        <v>852</v>
      </c>
      <c r="H796" s="7" t="s">
        <v>1694</v>
      </c>
      <c r="I796" s="37">
        <v>531161</v>
      </c>
      <c r="J796" s="122">
        <v>3.4822206526227063E-2</v>
      </c>
      <c r="K796" s="123">
        <f t="shared" si="130"/>
        <v>478456.88188431971</v>
      </c>
      <c r="L796" s="122">
        <f>IF(K799&gt;0, K796/K799, 0)</f>
        <v>3.0299947429142313E-2</v>
      </c>
      <c r="M796" s="71"/>
      <c r="N796" s="10">
        <f>ROUND(M799*L796,0)</f>
        <v>382463</v>
      </c>
      <c r="O796" s="70">
        <v>419334</v>
      </c>
      <c r="P796" s="10">
        <f>N796-O796</f>
        <v>-36871</v>
      </c>
      <c r="Q796" s="46">
        <f t="shared" si="129"/>
        <v>-8.7927523167689721</v>
      </c>
      <c r="R796" s="10">
        <v>34</v>
      </c>
      <c r="S796" s="7">
        <f t="shared" si="122"/>
        <v>0</v>
      </c>
      <c r="T796" s="124">
        <f t="shared" si="123"/>
        <v>158</v>
      </c>
      <c r="U796" s="124">
        <f t="shared" si="124"/>
        <v>852</v>
      </c>
      <c r="V796" s="124">
        <f t="shared" si="125"/>
        <v>787</v>
      </c>
      <c r="W796" s="124">
        <f t="shared" si="126"/>
        <v>29.999999997</v>
      </c>
      <c r="X796" s="124">
        <f t="shared" si="127"/>
        <v>478456.88188431971</v>
      </c>
      <c r="Y796" s="264">
        <f t="shared" si="128"/>
        <v>787</v>
      </c>
      <c r="Z796" s="10">
        <v>158</v>
      </c>
      <c r="AA796" s="7">
        <v>852</v>
      </c>
      <c r="AB796" s="7">
        <v>787</v>
      </c>
      <c r="AC796" s="109">
        <v>29.999999997</v>
      </c>
      <c r="AD796" s="109">
        <v>478456.88188431971</v>
      </c>
      <c r="AE796" s="125"/>
      <c r="AF796" s="10"/>
      <c r="AI796" s="109"/>
      <c r="AJ796" s="109"/>
      <c r="AL796" s="10"/>
      <c r="AO796" s="109"/>
      <c r="AP796" s="109"/>
      <c r="AR796" s="10"/>
      <c r="AU796" s="109"/>
      <c r="AV796" s="109"/>
      <c r="AX796" s="10"/>
      <c r="BA796" s="109"/>
      <c r="BB796" s="109"/>
      <c r="BD796" s="10"/>
      <c r="BG796" s="109"/>
      <c r="BH796" s="109"/>
      <c r="BJ796" s="10"/>
      <c r="BM796" s="109"/>
      <c r="BN796" s="109"/>
      <c r="BP796" s="10"/>
      <c r="BS796" s="109"/>
      <c r="BT796" s="109"/>
      <c r="BV796" s="10"/>
      <c r="BY796" s="109"/>
      <c r="BZ796" s="109"/>
      <c r="CB796" s="10"/>
      <c r="CE796" s="109"/>
      <c r="CF796" s="109"/>
      <c r="CH796" s="10"/>
      <c r="CK796" s="109"/>
      <c r="CL796" s="109"/>
    </row>
    <row r="797" spans="1:90">
      <c r="A797" s="7" t="str">
        <f t="shared" si="121"/>
        <v>01580998</v>
      </c>
      <c r="B797" s="7" t="s">
        <v>2497</v>
      </c>
      <c r="C797" s="7" t="s">
        <v>2781</v>
      </c>
      <c r="D797" s="7">
        <v>788</v>
      </c>
      <c r="E797" s="7">
        <v>158</v>
      </c>
      <c r="F797" s="7" t="s">
        <v>2135</v>
      </c>
      <c r="G797" s="7">
        <v>998</v>
      </c>
      <c r="H797" s="7" t="s">
        <v>2135</v>
      </c>
      <c r="I797" s="37">
        <v>0</v>
      </c>
      <c r="J797" s="122">
        <v>0</v>
      </c>
      <c r="K797" s="123">
        <f t="shared" si="130"/>
        <v>0</v>
      </c>
      <c r="L797" s="122">
        <f>IF(K799&gt;0, K797/K799, 0)</f>
        <v>0</v>
      </c>
      <c r="M797" s="71"/>
      <c r="N797" s="10">
        <f>ROUND(M799*L797,0)</f>
        <v>0</v>
      </c>
      <c r="O797" s="70">
        <v>0</v>
      </c>
      <c r="P797" s="10">
        <f>N797-O797</f>
        <v>0</v>
      </c>
      <c r="Q797" s="46">
        <f t="shared" si="129"/>
        <v>0</v>
      </c>
      <c r="R797" s="10">
        <v>0</v>
      </c>
      <c r="S797" s="7">
        <f t="shared" si="122"/>
        <v>0</v>
      </c>
      <c r="T797" s="124">
        <f t="shared" si="123"/>
        <v>158</v>
      </c>
      <c r="U797" s="124">
        <f t="shared" si="124"/>
        <v>998</v>
      </c>
      <c r="V797" s="124">
        <f t="shared" si="125"/>
        <v>788</v>
      </c>
      <c r="W797" s="124">
        <f t="shared" si="126"/>
        <v>0</v>
      </c>
      <c r="X797" s="124">
        <f t="shared" si="127"/>
        <v>0</v>
      </c>
      <c r="Y797" s="264">
        <f t="shared" si="128"/>
        <v>788</v>
      </c>
      <c r="Z797" s="10">
        <v>158</v>
      </c>
      <c r="AA797" s="7">
        <v>998</v>
      </c>
      <c r="AB797" s="7">
        <v>788</v>
      </c>
      <c r="AC797" s="109">
        <v>0</v>
      </c>
      <c r="AD797" s="109">
        <v>0</v>
      </c>
      <c r="AE797" s="125"/>
      <c r="AF797" s="10"/>
      <c r="AI797" s="109"/>
      <c r="AJ797" s="109"/>
      <c r="AL797" s="10"/>
      <c r="AO797" s="109"/>
      <c r="AP797" s="109"/>
      <c r="AR797" s="10"/>
      <c r="AU797" s="109"/>
      <c r="AV797" s="109"/>
      <c r="AX797" s="10"/>
      <c r="BA797" s="109"/>
      <c r="BB797" s="109"/>
      <c r="BD797" s="10"/>
      <c r="BG797" s="109"/>
      <c r="BH797" s="109"/>
      <c r="BJ797" s="10"/>
      <c r="BM797" s="109"/>
      <c r="BN797" s="109"/>
      <c r="BP797" s="10"/>
      <c r="BS797" s="109"/>
      <c r="BT797" s="109"/>
      <c r="BV797" s="10"/>
      <c r="BY797" s="109"/>
      <c r="BZ797" s="109"/>
      <c r="CB797" s="10"/>
      <c r="CE797" s="109"/>
      <c r="CF797" s="109"/>
      <c r="CH797" s="10"/>
      <c r="CK797" s="109"/>
      <c r="CL797" s="109"/>
    </row>
    <row r="798" spans="1:90">
      <c r="A798" s="7" t="str">
        <f t="shared" si="121"/>
        <v>01580998</v>
      </c>
      <c r="B798" s="7" t="s">
        <v>2497</v>
      </c>
      <c r="C798" s="7" t="s">
        <v>2781</v>
      </c>
      <c r="D798" s="7">
        <v>789</v>
      </c>
      <c r="E798" s="7">
        <v>158</v>
      </c>
      <c r="F798" s="7" t="s">
        <v>2135</v>
      </c>
      <c r="G798" s="7">
        <v>998</v>
      </c>
      <c r="H798" s="7" t="s">
        <v>2135</v>
      </c>
      <c r="I798" s="37">
        <v>0</v>
      </c>
      <c r="J798" s="122">
        <v>0</v>
      </c>
      <c r="K798" s="123">
        <f t="shared" si="130"/>
        <v>0</v>
      </c>
      <c r="L798" s="122">
        <f>IF(K799&gt;0, K798/K799, 0)</f>
        <v>0</v>
      </c>
      <c r="M798" s="71"/>
      <c r="N798" s="10">
        <f>ROUND(M799*L798,0)</f>
        <v>0</v>
      </c>
      <c r="O798" s="70">
        <v>0</v>
      </c>
      <c r="P798" s="10">
        <f>N798-O798</f>
        <v>0</v>
      </c>
      <c r="Q798" s="46">
        <f t="shared" si="129"/>
        <v>0</v>
      </c>
      <c r="R798" s="10">
        <v>0</v>
      </c>
      <c r="S798" s="7">
        <f t="shared" si="122"/>
        <v>0</v>
      </c>
      <c r="T798" s="124">
        <f t="shared" si="123"/>
        <v>158</v>
      </c>
      <c r="U798" s="124">
        <f t="shared" si="124"/>
        <v>998</v>
      </c>
      <c r="V798" s="124">
        <f t="shared" si="125"/>
        <v>789</v>
      </c>
      <c r="W798" s="124">
        <f t="shared" si="126"/>
        <v>0</v>
      </c>
      <c r="X798" s="124">
        <f t="shared" si="127"/>
        <v>0</v>
      </c>
      <c r="Y798" s="264">
        <f t="shared" si="128"/>
        <v>789</v>
      </c>
      <c r="Z798" s="10">
        <v>158</v>
      </c>
      <c r="AA798" s="7">
        <v>998</v>
      </c>
      <c r="AB798" s="7">
        <v>789</v>
      </c>
      <c r="AC798" s="109">
        <v>0</v>
      </c>
      <c r="AD798" s="109">
        <v>0</v>
      </c>
      <c r="AE798" s="125"/>
      <c r="AF798" s="10"/>
      <c r="AI798" s="109"/>
      <c r="AJ798" s="109"/>
      <c r="AL798" s="10"/>
      <c r="AO798" s="109"/>
      <c r="AP798" s="109"/>
      <c r="AR798" s="10"/>
      <c r="AU798" s="109"/>
      <c r="AV798" s="109"/>
      <c r="AX798" s="10"/>
      <c r="BA798" s="109"/>
      <c r="BB798" s="109"/>
      <c r="BD798" s="10"/>
      <c r="BG798" s="109"/>
      <c r="BH798" s="109"/>
      <c r="BJ798" s="10"/>
      <c r="BM798" s="109"/>
      <c r="BN798" s="109"/>
      <c r="BP798" s="10"/>
      <c r="BS798" s="109"/>
      <c r="BT798" s="109"/>
      <c r="BV798" s="10"/>
      <c r="BY798" s="109"/>
      <c r="BZ798" s="109"/>
      <c r="CB798" s="10"/>
      <c r="CE798" s="109"/>
      <c r="CF798" s="109"/>
      <c r="CH798" s="10"/>
      <c r="CK798" s="109"/>
      <c r="CL798" s="109"/>
    </row>
    <row r="799" spans="1:90">
      <c r="A799" s="7" t="str">
        <f t="shared" si="121"/>
        <v>01580999</v>
      </c>
      <c r="B799" s="7" t="s">
        <v>2497</v>
      </c>
      <c r="C799" s="7" t="s">
        <v>2782</v>
      </c>
      <c r="D799" s="7">
        <v>790</v>
      </c>
      <c r="E799" s="11">
        <v>158</v>
      </c>
      <c r="F799" s="11" t="s">
        <v>1863</v>
      </c>
      <c r="G799" s="11">
        <v>999</v>
      </c>
      <c r="H799" s="11" t="s">
        <v>1132</v>
      </c>
      <c r="I799" s="105">
        <v>15253513.576169997</v>
      </c>
      <c r="J799" s="126">
        <v>1</v>
      </c>
      <c r="K799" s="127">
        <f>SUM(K795:K798)</f>
        <v>15790683.564821722</v>
      </c>
      <c r="L799" s="126">
        <f>SUM(L795:L798)</f>
        <v>1</v>
      </c>
      <c r="M799" s="105">
        <f>VLOOKUP(E799,town351,22)</f>
        <v>12622575</v>
      </c>
      <c r="N799" s="105">
        <f>SUM(N795:N798)</f>
        <v>12622575</v>
      </c>
      <c r="O799" s="128">
        <v>12042144</v>
      </c>
      <c r="P799" s="105">
        <f>SUM(P795:P798)</f>
        <v>580431</v>
      </c>
      <c r="Q799" s="45">
        <f t="shared" si="129"/>
        <v>4.8199971699391737</v>
      </c>
      <c r="R799" s="105">
        <v>1605</v>
      </c>
      <c r="S799" s="7">
        <f t="shared" si="122"/>
        <v>0</v>
      </c>
      <c r="T799" s="124">
        <f t="shared" si="123"/>
        <v>158</v>
      </c>
      <c r="U799" s="124">
        <f t="shared" si="124"/>
        <v>999</v>
      </c>
      <c r="V799" s="124">
        <f t="shared" si="125"/>
        <v>790</v>
      </c>
      <c r="W799" s="124">
        <f t="shared" si="126"/>
        <v>1618.999999997</v>
      </c>
      <c r="X799" s="124">
        <f t="shared" si="127"/>
        <v>15790683.564821722</v>
      </c>
      <c r="Y799" s="264">
        <f t="shared" si="128"/>
        <v>790</v>
      </c>
      <c r="Z799" s="10">
        <v>158</v>
      </c>
      <c r="AA799" s="7">
        <v>999</v>
      </c>
      <c r="AB799" s="7">
        <v>790</v>
      </c>
      <c r="AC799" s="109">
        <v>1618.999999997</v>
      </c>
      <c r="AD799" s="109">
        <v>15790683.564821722</v>
      </c>
      <c r="AE799" s="125"/>
      <c r="AF799" s="10"/>
      <c r="AI799" s="109"/>
      <c r="AJ799" s="109"/>
      <c r="AL799" s="10"/>
      <c r="AO799" s="109"/>
      <c r="AP799" s="109"/>
      <c r="AR799" s="10"/>
      <c r="AU799" s="109"/>
      <c r="AV799" s="109"/>
      <c r="AX799" s="10"/>
      <c r="BA799" s="109"/>
      <c r="BB799" s="109"/>
      <c r="BD799" s="10"/>
      <c r="BG799" s="109"/>
      <c r="BH799" s="109"/>
      <c r="BJ799" s="10"/>
      <c r="BM799" s="109"/>
      <c r="BN799" s="109"/>
      <c r="BP799" s="10"/>
      <c r="BS799" s="109"/>
      <c r="BT799" s="109"/>
      <c r="BV799" s="10"/>
      <c r="BY799" s="109"/>
      <c r="BZ799" s="109"/>
      <c r="CB799" s="10"/>
      <c r="CE799" s="109"/>
      <c r="CF799" s="109"/>
      <c r="CH799" s="10"/>
      <c r="CK799" s="109"/>
      <c r="CL799" s="109"/>
    </row>
    <row r="800" spans="1:90">
      <c r="A800" s="7" t="str">
        <f t="shared" si="121"/>
        <v>01590159</v>
      </c>
      <c r="B800" s="7" t="s">
        <v>2498</v>
      </c>
      <c r="C800" s="7" t="s">
        <v>2498</v>
      </c>
      <c r="D800" s="7">
        <v>791</v>
      </c>
      <c r="E800" s="7">
        <v>159</v>
      </c>
      <c r="F800" s="7" t="s">
        <v>1864</v>
      </c>
      <c r="G800" s="7">
        <v>159</v>
      </c>
      <c r="H800" s="7" t="s">
        <v>1425</v>
      </c>
      <c r="I800" s="37">
        <v>25829656.509999998</v>
      </c>
      <c r="J800" s="122">
        <v>1</v>
      </c>
      <c r="K800" s="123">
        <f>X800</f>
        <v>26663231.188728545</v>
      </c>
      <c r="L800" s="122">
        <f>IF(K804&gt;0, K800/K804, 0)</f>
        <v>1</v>
      </c>
      <c r="M800" s="71"/>
      <c r="N800" s="10">
        <f>ROUND(M804*L800,0)</f>
        <v>22022317</v>
      </c>
      <c r="O800" s="70">
        <v>21477556</v>
      </c>
      <c r="P800" s="10">
        <f>N800-O800</f>
        <v>544761</v>
      </c>
      <c r="Q800" s="46">
        <f t="shared" si="129"/>
        <v>2.5364198794313468</v>
      </c>
      <c r="R800" s="10">
        <v>2791</v>
      </c>
      <c r="S800" s="7">
        <f t="shared" si="122"/>
        <v>0</v>
      </c>
      <c r="T800" s="124">
        <f t="shared" si="123"/>
        <v>159</v>
      </c>
      <c r="U800" s="124">
        <f t="shared" si="124"/>
        <v>159</v>
      </c>
      <c r="V800" s="124">
        <f t="shared" si="125"/>
        <v>791</v>
      </c>
      <c r="W800" s="124">
        <f t="shared" si="126"/>
        <v>2824</v>
      </c>
      <c r="X800" s="124">
        <f t="shared" si="127"/>
        <v>26663231.188728545</v>
      </c>
      <c r="Y800" s="264">
        <f t="shared" si="128"/>
        <v>791</v>
      </c>
      <c r="Z800" s="10">
        <v>159</v>
      </c>
      <c r="AA800" s="7">
        <v>159</v>
      </c>
      <c r="AB800" s="7">
        <v>791</v>
      </c>
      <c r="AC800" s="109">
        <v>2824</v>
      </c>
      <c r="AD800" s="109">
        <v>26663231.188728545</v>
      </c>
      <c r="AE800" s="125"/>
      <c r="AF800" s="10"/>
      <c r="AI800" s="109"/>
      <c r="AJ800" s="109"/>
      <c r="AL800" s="10"/>
      <c r="AO800" s="109"/>
      <c r="AP800" s="109"/>
      <c r="AR800" s="10"/>
      <c r="AU800" s="109"/>
      <c r="AV800" s="109"/>
      <c r="AX800" s="10"/>
      <c r="BA800" s="109"/>
      <c r="BB800" s="109"/>
      <c r="BD800" s="10"/>
      <c r="BG800" s="109"/>
      <c r="BH800" s="109"/>
      <c r="BJ800" s="10"/>
      <c r="BM800" s="109"/>
      <c r="BN800" s="109"/>
      <c r="BP800" s="10"/>
      <c r="BS800" s="109"/>
      <c r="BT800" s="109"/>
      <c r="BV800" s="10"/>
      <c r="BY800" s="109"/>
      <c r="BZ800" s="109"/>
      <c r="CB800" s="10"/>
      <c r="CE800" s="109"/>
      <c r="CF800" s="109"/>
      <c r="CH800" s="10"/>
      <c r="CK800" s="109"/>
      <c r="CL800" s="109"/>
    </row>
    <row r="801" spans="1:90">
      <c r="A801" s="7" t="str">
        <f t="shared" si="121"/>
        <v>01590998</v>
      </c>
      <c r="B801" s="7" t="s">
        <v>2498</v>
      </c>
      <c r="C801" s="7" t="s">
        <v>2781</v>
      </c>
      <c r="D801" s="7">
        <v>792</v>
      </c>
      <c r="E801" s="7">
        <v>159</v>
      </c>
      <c r="F801" s="7" t="s">
        <v>2135</v>
      </c>
      <c r="G801" s="7">
        <v>998</v>
      </c>
      <c r="H801" s="7" t="s">
        <v>2135</v>
      </c>
      <c r="I801" s="37">
        <v>0</v>
      </c>
      <c r="J801" s="122">
        <v>0</v>
      </c>
      <c r="K801" s="123">
        <f t="shared" si="130"/>
        <v>0</v>
      </c>
      <c r="L801" s="122">
        <f>IF(K804&gt;0, K801/K804, 0)</f>
        <v>0</v>
      </c>
      <c r="M801" s="71"/>
      <c r="N801" s="10">
        <f>ROUND(M804*L801,0)</f>
        <v>0</v>
      </c>
      <c r="O801" s="70">
        <v>0</v>
      </c>
      <c r="P801" s="10">
        <f>N801-O801</f>
        <v>0</v>
      </c>
      <c r="Q801" s="46">
        <f t="shared" si="129"/>
        <v>0</v>
      </c>
      <c r="R801" s="10">
        <v>0</v>
      </c>
      <c r="S801" s="7">
        <f t="shared" si="122"/>
        <v>0</v>
      </c>
      <c r="T801" s="124">
        <f t="shared" si="123"/>
        <v>159</v>
      </c>
      <c r="U801" s="124">
        <f t="shared" si="124"/>
        <v>998</v>
      </c>
      <c r="V801" s="124">
        <f t="shared" si="125"/>
        <v>792</v>
      </c>
      <c r="W801" s="124">
        <f t="shared" si="126"/>
        <v>0</v>
      </c>
      <c r="X801" s="124">
        <f t="shared" si="127"/>
        <v>0</v>
      </c>
      <c r="Y801" s="264">
        <f t="shared" si="128"/>
        <v>792</v>
      </c>
      <c r="Z801" s="10">
        <v>159</v>
      </c>
      <c r="AA801" s="7">
        <v>998</v>
      </c>
      <c r="AB801" s="7">
        <v>792</v>
      </c>
      <c r="AC801" s="109">
        <v>0</v>
      </c>
      <c r="AD801" s="109">
        <v>0</v>
      </c>
      <c r="AE801" s="125"/>
      <c r="AF801" s="10"/>
      <c r="AI801" s="109"/>
      <c r="AJ801" s="109"/>
      <c r="AL801" s="10"/>
      <c r="AO801" s="109"/>
      <c r="AP801" s="109"/>
      <c r="AR801" s="10"/>
      <c r="AU801" s="109"/>
      <c r="AV801" s="109"/>
      <c r="AX801" s="10"/>
      <c r="BA801" s="109"/>
      <c r="BB801" s="109"/>
      <c r="BD801" s="10"/>
      <c r="BG801" s="109"/>
      <c r="BH801" s="109"/>
      <c r="BJ801" s="10"/>
      <c r="BM801" s="109"/>
      <c r="BN801" s="109"/>
      <c r="BP801" s="10"/>
      <c r="BS801" s="109"/>
      <c r="BT801" s="109"/>
      <c r="BV801" s="10"/>
      <c r="BY801" s="109"/>
      <c r="BZ801" s="109"/>
      <c r="CB801" s="10"/>
      <c r="CE801" s="109"/>
      <c r="CF801" s="109"/>
      <c r="CH801" s="10"/>
      <c r="CK801" s="109"/>
      <c r="CL801" s="109"/>
    </row>
    <row r="802" spans="1:90">
      <c r="A802" s="7" t="str">
        <f t="shared" si="121"/>
        <v>01590998</v>
      </c>
      <c r="B802" s="7" t="s">
        <v>2498</v>
      </c>
      <c r="C802" s="7" t="s">
        <v>2781</v>
      </c>
      <c r="D802" s="7">
        <v>793</v>
      </c>
      <c r="E802" s="7">
        <v>159</v>
      </c>
      <c r="F802" s="7" t="s">
        <v>2135</v>
      </c>
      <c r="G802" s="7">
        <v>998</v>
      </c>
      <c r="H802" s="7" t="s">
        <v>2135</v>
      </c>
      <c r="I802" s="37">
        <v>0</v>
      </c>
      <c r="J802" s="122">
        <v>0</v>
      </c>
      <c r="K802" s="123">
        <f t="shared" si="130"/>
        <v>0</v>
      </c>
      <c r="L802" s="122">
        <f>IF(K804&gt;0, K802/K804, 0)</f>
        <v>0</v>
      </c>
      <c r="M802" s="71"/>
      <c r="N802" s="10">
        <f>ROUND(M804*L802,0)</f>
        <v>0</v>
      </c>
      <c r="O802" s="70">
        <v>0</v>
      </c>
      <c r="P802" s="10">
        <f>N802-O802</f>
        <v>0</v>
      </c>
      <c r="Q802" s="46">
        <f t="shared" si="129"/>
        <v>0</v>
      </c>
      <c r="R802" s="10">
        <v>0</v>
      </c>
      <c r="S802" s="7">
        <f t="shared" si="122"/>
        <v>0</v>
      </c>
      <c r="T802" s="124">
        <f t="shared" si="123"/>
        <v>159</v>
      </c>
      <c r="U802" s="124">
        <f t="shared" si="124"/>
        <v>998</v>
      </c>
      <c r="V802" s="124">
        <f t="shared" si="125"/>
        <v>793</v>
      </c>
      <c r="W802" s="124">
        <f t="shared" si="126"/>
        <v>0</v>
      </c>
      <c r="X802" s="124">
        <f t="shared" si="127"/>
        <v>0</v>
      </c>
      <c r="Y802" s="264">
        <f t="shared" si="128"/>
        <v>793</v>
      </c>
      <c r="Z802" s="10">
        <v>159</v>
      </c>
      <c r="AA802" s="7">
        <v>998</v>
      </c>
      <c r="AB802" s="7">
        <v>793</v>
      </c>
      <c r="AC802" s="109">
        <v>0</v>
      </c>
      <c r="AD802" s="109">
        <v>0</v>
      </c>
      <c r="AE802" s="125"/>
      <c r="AF802" s="10"/>
      <c r="AI802" s="109"/>
      <c r="AJ802" s="109"/>
      <c r="AL802" s="10"/>
      <c r="AO802" s="109"/>
      <c r="AP802" s="109"/>
      <c r="AR802" s="10"/>
      <c r="AU802" s="109"/>
      <c r="AV802" s="109"/>
      <c r="AX802" s="10"/>
      <c r="BA802" s="109"/>
      <c r="BB802" s="109"/>
      <c r="BD802" s="10"/>
      <c r="BG802" s="109"/>
      <c r="BH802" s="109"/>
      <c r="BJ802" s="10"/>
      <c r="BM802" s="109"/>
      <c r="BN802" s="109"/>
      <c r="BP802" s="10"/>
      <c r="BS802" s="109"/>
      <c r="BT802" s="109"/>
      <c r="BV802" s="10"/>
      <c r="BY802" s="109"/>
      <c r="BZ802" s="109"/>
      <c r="CB802" s="10"/>
      <c r="CE802" s="109"/>
      <c r="CF802" s="109"/>
      <c r="CH802" s="10"/>
      <c r="CK802" s="109"/>
      <c r="CL802" s="109"/>
    </row>
    <row r="803" spans="1:90">
      <c r="A803" s="7" t="str">
        <f t="shared" si="121"/>
        <v>01590998</v>
      </c>
      <c r="B803" s="7" t="s">
        <v>2498</v>
      </c>
      <c r="C803" s="7" t="s">
        <v>2781</v>
      </c>
      <c r="D803" s="7">
        <v>794</v>
      </c>
      <c r="E803" s="7">
        <v>159</v>
      </c>
      <c r="F803" s="7" t="s">
        <v>2135</v>
      </c>
      <c r="G803" s="7">
        <v>998</v>
      </c>
      <c r="H803" s="7" t="s">
        <v>2135</v>
      </c>
      <c r="I803" s="37">
        <v>0</v>
      </c>
      <c r="J803" s="122">
        <v>0</v>
      </c>
      <c r="K803" s="123">
        <f t="shared" si="130"/>
        <v>0</v>
      </c>
      <c r="L803" s="122">
        <f>IF(K804&gt;0, K803/K804, 0)</f>
        <v>0</v>
      </c>
      <c r="M803" s="71"/>
      <c r="N803" s="10">
        <f>ROUND(M804*L803,0)</f>
        <v>0</v>
      </c>
      <c r="O803" s="70">
        <v>0</v>
      </c>
      <c r="P803" s="10">
        <f>N803-O803</f>
        <v>0</v>
      </c>
      <c r="Q803" s="46">
        <f t="shared" si="129"/>
        <v>0</v>
      </c>
      <c r="R803" s="10">
        <v>0</v>
      </c>
      <c r="S803" s="7">
        <f t="shared" si="122"/>
        <v>0</v>
      </c>
      <c r="T803" s="124">
        <f t="shared" si="123"/>
        <v>159</v>
      </c>
      <c r="U803" s="124">
        <f t="shared" si="124"/>
        <v>998</v>
      </c>
      <c r="V803" s="124">
        <f t="shared" si="125"/>
        <v>794</v>
      </c>
      <c r="W803" s="124">
        <f t="shared" si="126"/>
        <v>0</v>
      </c>
      <c r="X803" s="124">
        <f t="shared" si="127"/>
        <v>0</v>
      </c>
      <c r="Y803" s="264">
        <f t="shared" si="128"/>
        <v>794</v>
      </c>
      <c r="Z803" s="10">
        <v>159</v>
      </c>
      <c r="AA803" s="7">
        <v>998</v>
      </c>
      <c r="AB803" s="7">
        <v>794</v>
      </c>
      <c r="AC803" s="109">
        <v>0</v>
      </c>
      <c r="AD803" s="109">
        <v>0</v>
      </c>
      <c r="AE803" s="125"/>
      <c r="AF803" s="10"/>
      <c r="AI803" s="109"/>
      <c r="AJ803" s="109"/>
      <c r="AL803" s="10"/>
      <c r="AO803" s="109"/>
      <c r="AP803" s="109"/>
      <c r="AR803" s="10"/>
      <c r="AU803" s="109"/>
      <c r="AV803" s="109"/>
      <c r="AX803" s="10"/>
      <c r="BA803" s="109"/>
      <c r="BB803" s="109"/>
      <c r="BD803" s="10"/>
      <c r="BG803" s="109"/>
      <c r="BH803" s="109"/>
      <c r="BJ803" s="10"/>
      <c r="BM803" s="109"/>
      <c r="BN803" s="109"/>
      <c r="BP803" s="10"/>
      <c r="BS803" s="109"/>
      <c r="BT803" s="109"/>
      <c r="BV803" s="10"/>
      <c r="BY803" s="109"/>
      <c r="BZ803" s="109"/>
      <c r="CB803" s="10"/>
      <c r="CE803" s="109"/>
      <c r="CF803" s="109"/>
      <c r="CH803" s="10"/>
      <c r="CK803" s="109"/>
      <c r="CL803" s="109"/>
    </row>
    <row r="804" spans="1:90">
      <c r="A804" s="7" t="str">
        <f t="shared" si="121"/>
        <v>01590999</v>
      </c>
      <c r="B804" s="7" t="s">
        <v>2498</v>
      </c>
      <c r="C804" s="7" t="s">
        <v>2782</v>
      </c>
      <c r="D804" s="7">
        <v>795</v>
      </c>
      <c r="E804" s="11">
        <v>159</v>
      </c>
      <c r="F804" s="11" t="s">
        <v>1864</v>
      </c>
      <c r="G804" s="11">
        <v>999</v>
      </c>
      <c r="H804" s="11" t="s">
        <v>1132</v>
      </c>
      <c r="I804" s="105">
        <v>25829656.509999998</v>
      </c>
      <c r="J804" s="126">
        <v>1</v>
      </c>
      <c r="K804" s="127">
        <f>SUM(K800:K803)</f>
        <v>26663231.188728545</v>
      </c>
      <c r="L804" s="126">
        <f>SUM(L800:L803)</f>
        <v>1</v>
      </c>
      <c r="M804" s="105">
        <f>VLOOKUP(E804,town351,22)</f>
        <v>22022317</v>
      </c>
      <c r="N804" s="105">
        <f>SUM(N800:N803)</f>
        <v>22022317</v>
      </c>
      <c r="O804" s="128">
        <v>21477556</v>
      </c>
      <c r="P804" s="105">
        <f>SUM(P800:P803)</f>
        <v>544761</v>
      </c>
      <c r="Q804" s="45">
        <f t="shared" si="129"/>
        <v>2.5364198794313468</v>
      </c>
      <c r="R804" s="105">
        <v>2791</v>
      </c>
      <c r="S804" s="7">
        <f t="shared" si="122"/>
        <v>0</v>
      </c>
      <c r="T804" s="124">
        <f t="shared" si="123"/>
        <v>159</v>
      </c>
      <c r="U804" s="124">
        <f t="shared" si="124"/>
        <v>999</v>
      </c>
      <c r="V804" s="124">
        <f t="shared" si="125"/>
        <v>795</v>
      </c>
      <c r="W804" s="124">
        <f t="shared" si="126"/>
        <v>2824</v>
      </c>
      <c r="X804" s="124">
        <f t="shared" si="127"/>
        <v>26663231.188728545</v>
      </c>
      <c r="Y804" s="264">
        <f t="shared" si="128"/>
        <v>795</v>
      </c>
      <c r="Z804" s="10">
        <v>159</v>
      </c>
      <c r="AA804" s="7">
        <v>999</v>
      </c>
      <c r="AB804" s="7">
        <v>795</v>
      </c>
      <c r="AC804" s="109">
        <v>2824</v>
      </c>
      <c r="AD804" s="109">
        <v>26663231.188728545</v>
      </c>
      <c r="AE804" s="125"/>
      <c r="AF804" s="10"/>
      <c r="AI804" s="109"/>
      <c r="AJ804" s="109"/>
      <c r="AL804" s="10"/>
      <c r="AO804" s="109"/>
      <c r="AP804" s="109"/>
      <c r="AR804" s="10"/>
      <c r="AU804" s="109"/>
      <c r="AV804" s="109"/>
      <c r="AX804" s="10"/>
      <c r="BA804" s="109"/>
      <c r="BB804" s="109"/>
      <c r="BD804" s="10"/>
      <c r="BG804" s="109"/>
      <c r="BH804" s="109"/>
      <c r="BJ804" s="10"/>
      <c r="BM804" s="109"/>
      <c r="BN804" s="109"/>
      <c r="BP804" s="10"/>
      <c r="BS804" s="109"/>
      <c r="BT804" s="109"/>
      <c r="BV804" s="10"/>
      <c r="BY804" s="109"/>
      <c r="BZ804" s="109"/>
      <c r="CB804" s="10"/>
      <c r="CE804" s="109"/>
      <c r="CF804" s="109"/>
      <c r="CH804" s="10"/>
      <c r="CK804" s="109"/>
      <c r="CL804" s="109"/>
    </row>
    <row r="805" spans="1:90">
      <c r="A805" s="7" t="str">
        <f t="shared" si="121"/>
        <v>01600160</v>
      </c>
      <c r="B805" s="7" t="s">
        <v>2499</v>
      </c>
      <c r="C805" s="7" t="s">
        <v>2499</v>
      </c>
      <c r="D805" s="7">
        <v>796</v>
      </c>
      <c r="E805" s="7">
        <v>160</v>
      </c>
      <c r="F805" s="7" t="s">
        <v>1865</v>
      </c>
      <c r="G805" s="7">
        <v>160</v>
      </c>
      <c r="H805" s="7" t="s">
        <v>1426</v>
      </c>
      <c r="I805" s="37">
        <v>183238361.64999998</v>
      </c>
      <c r="J805" s="122">
        <v>0.87555681941482932</v>
      </c>
      <c r="K805" s="123">
        <f>X805</f>
        <v>189897176.96033403</v>
      </c>
      <c r="L805" s="122">
        <f>IF(K809&gt;0, K805/K809, 0)</f>
        <v>0.87310528410318256</v>
      </c>
      <c r="M805" s="71"/>
      <c r="N805" s="10">
        <f>ROUND(M809*L805,0)</f>
        <v>45829544</v>
      </c>
      <c r="O805" s="70">
        <v>44649981</v>
      </c>
      <c r="P805" s="10">
        <f>N805-O805</f>
        <v>1179563</v>
      </c>
      <c r="Q805" s="46">
        <f t="shared" si="129"/>
        <v>2.6417995564208638</v>
      </c>
      <c r="R805" s="10">
        <v>15616</v>
      </c>
      <c r="S805" s="7">
        <f t="shared" si="122"/>
        <v>0</v>
      </c>
      <c r="T805" s="124">
        <f t="shared" si="123"/>
        <v>160</v>
      </c>
      <c r="U805" s="124">
        <f t="shared" si="124"/>
        <v>160</v>
      </c>
      <c r="V805" s="124">
        <f t="shared" si="125"/>
        <v>796</v>
      </c>
      <c r="W805" s="124">
        <f t="shared" si="126"/>
        <v>16025</v>
      </c>
      <c r="X805" s="124">
        <f t="shared" si="127"/>
        <v>189897176.96033403</v>
      </c>
      <c r="Y805" s="264">
        <f t="shared" si="128"/>
        <v>796</v>
      </c>
      <c r="Z805" s="10">
        <v>160</v>
      </c>
      <c r="AA805" s="7">
        <v>160</v>
      </c>
      <c r="AB805" s="7">
        <v>796</v>
      </c>
      <c r="AC805" s="109">
        <v>16025</v>
      </c>
      <c r="AD805" s="109">
        <v>189897176.96033403</v>
      </c>
      <c r="AE805" s="125"/>
      <c r="AF805" s="10"/>
      <c r="AI805" s="109"/>
      <c r="AJ805" s="109"/>
      <c r="AL805" s="10"/>
      <c r="AO805" s="109"/>
      <c r="AP805" s="109"/>
      <c r="AR805" s="10"/>
      <c r="AU805" s="109"/>
      <c r="AV805" s="109"/>
      <c r="AX805" s="10"/>
      <c r="BA805" s="109"/>
      <c r="BB805" s="109"/>
      <c r="BD805" s="10"/>
      <c r="BG805" s="109"/>
      <c r="BH805" s="109"/>
      <c r="BJ805" s="10"/>
      <c r="BM805" s="109"/>
      <c r="BN805" s="109"/>
      <c r="BP805" s="10"/>
      <c r="BS805" s="109"/>
      <c r="BT805" s="109"/>
      <c r="BV805" s="10"/>
      <c r="BY805" s="109"/>
      <c r="BZ805" s="109"/>
      <c r="CB805" s="10"/>
      <c r="CE805" s="109"/>
      <c r="CF805" s="109"/>
      <c r="CH805" s="10"/>
      <c r="CK805" s="109"/>
      <c r="CL805" s="109"/>
    </row>
    <row r="806" spans="1:90">
      <c r="A806" s="7" t="str">
        <f t="shared" si="121"/>
        <v>01600828</v>
      </c>
      <c r="B806" s="7" t="s">
        <v>2499</v>
      </c>
      <c r="C806" s="7" t="s">
        <v>2762</v>
      </c>
      <c r="D806" s="7">
        <v>797</v>
      </c>
      <c r="E806" s="7">
        <v>160</v>
      </c>
      <c r="F806" s="7" t="s">
        <v>1865</v>
      </c>
      <c r="G806" s="7">
        <v>828</v>
      </c>
      <c r="H806" s="7" t="s">
        <v>1689</v>
      </c>
      <c r="I806" s="37">
        <v>26043729</v>
      </c>
      <c r="J806" s="122">
        <v>0.12444318058517065</v>
      </c>
      <c r="K806" s="123">
        <f t="shared" si="130"/>
        <v>27599132.382689282</v>
      </c>
      <c r="L806" s="122">
        <f>IF(K809&gt;0, K806/K809, 0)</f>
        <v>0.12689471589681753</v>
      </c>
      <c r="M806" s="71"/>
      <c r="N806" s="10">
        <f>ROUND(M809*L806,0)</f>
        <v>6660740</v>
      </c>
      <c r="O806" s="70">
        <v>6346117</v>
      </c>
      <c r="P806" s="10">
        <f>N806-O806</f>
        <v>314623</v>
      </c>
      <c r="Q806" s="46">
        <f t="shared" si="129"/>
        <v>4.957724542424919</v>
      </c>
      <c r="R806" s="10">
        <v>1603</v>
      </c>
      <c r="S806" s="7">
        <f t="shared" si="122"/>
        <v>0</v>
      </c>
      <c r="T806" s="124">
        <f t="shared" si="123"/>
        <v>160</v>
      </c>
      <c r="U806" s="124">
        <f t="shared" si="124"/>
        <v>828</v>
      </c>
      <c r="V806" s="124">
        <f t="shared" si="125"/>
        <v>797</v>
      </c>
      <c r="W806" s="124">
        <f t="shared" si="126"/>
        <v>1657.0000000095599</v>
      </c>
      <c r="X806" s="124">
        <f t="shared" si="127"/>
        <v>27599132.382689282</v>
      </c>
      <c r="Y806" s="264">
        <f t="shared" si="128"/>
        <v>797</v>
      </c>
      <c r="Z806" s="10">
        <v>160</v>
      </c>
      <c r="AA806" s="7">
        <v>828</v>
      </c>
      <c r="AB806" s="7">
        <v>797</v>
      </c>
      <c r="AC806" s="109">
        <v>1657.0000000095599</v>
      </c>
      <c r="AD806" s="109">
        <v>27599132.382689282</v>
      </c>
      <c r="AE806" s="125"/>
      <c r="AF806" s="10"/>
      <c r="AI806" s="109"/>
      <c r="AJ806" s="109"/>
      <c r="AL806" s="10"/>
      <c r="AO806" s="109"/>
      <c r="AP806" s="109"/>
      <c r="AR806" s="10"/>
      <c r="AU806" s="109"/>
      <c r="AV806" s="109"/>
      <c r="AX806" s="10"/>
      <c r="BA806" s="109"/>
      <c r="BB806" s="109"/>
      <c r="BD806" s="10"/>
      <c r="BG806" s="109"/>
      <c r="BH806" s="109"/>
      <c r="BJ806" s="10"/>
      <c r="BM806" s="109"/>
      <c r="BN806" s="109"/>
      <c r="BP806" s="10"/>
      <c r="BS806" s="109"/>
      <c r="BT806" s="109"/>
      <c r="BV806" s="10"/>
      <c r="BY806" s="109"/>
      <c r="BZ806" s="109"/>
      <c r="CB806" s="10"/>
      <c r="CE806" s="109"/>
      <c r="CF806" s="109"/>
      <c r="CH806" s="10"/>
      <c r="CK806" s="109"/>
      <c r="CL806" s="109"/>
    </row>
    <row r="807" spans="1:90">
      <c r="A807" s="7" t="str">
        <f t="shared" si="121"/>
        <v>01600998</v>
      </c>
      <c r="B807" s="7" t="s">
        <v>2499</v>
      </c>
      <c r="C807" s="7" t="s">
        <v>2781</v>
      </c>
      <c r="D807" s="7">
        <v>798</v>
      </c>
      <c r="E807" s="7">
        <v>160</v>
      </c>
      <c r="F807" s="7" t="s">
        <v>2135</v>
      </c>
      <c r="G807" s="7">
        <v>998</v>
      </c>
      <c r="I807" s="129">
        <v>0</v>
      </c>
      <c r="J807" s="130">
        <v>0</v>
      </c>
      <c r="K807" s="123">
        <f t="shared" si="130"/>
        <v>0</v>
      </c>
      <c r="L807" s="122">
        <f>IF(K809&gt;0, K807/K809, 0)</f>
        <v>0</v>
      </c>
      <c r="M807" s="71"/>
      <c r="N807" s="10">
        <f>ROUND(M809*L807,0)</f>
        <v>0</v>
      </c>
      <c r="O807" s="70">
        <v>0</v>
      </c>
      <c r="P807" s="10">
        <f>N807-O807</f>
        <v>0</v>
      </c>
      <c r="Q807" s="46">
        <f t="shared" si="129"/>
        <v>0</v>
      </c>
      <c r="R807" s="10">
        <v>0</v>
      </c>
      <c r="S807" s="7">
        <f t="shared" si="122"/>
        <v>0</v>
      </c>
      <c r="T807" s="124">
        <f t="shared" si="123"/>
        <v>160</v>
      </c>
      <c r="U807" s="124">
        <f t="shared" si="124"/>
        <v>998</v>
      </c>
      <c r="V807" s="124">
        <f t="shared" si="125"/>
        <v>798</v>
      </c>
      <c r="W807" s="124">
        <f t="shared" si="126"/>
        <v>0</v>
      </c>
      <c r="X807" s="124">
        <f t="shared" si="127"/>
        <v>0</v>
      </c>
      <c r="Y807" s="264">
        <f t="shared" si="128"/>
        <v>798</v>
      </c>
      <c r="Z807" s="10">
        <v>160</v>
      </c>
      <c r="AA807" s="7">
        <v>998</v>
      </c>
      <c r="AB807" s="7">
        <v>798</v>
      </c>
      <c r="AC807" s="109">
        <v>0</v>
      </c>
      <c r="AD807" s="109">
        <v>0</v>
      </c>
      <c r="AE807" s="125"/>
      <c r="AF807" s="10"/>
      <c r="AI807" s="109"/>
      <c r="AJ807" s="109"/>
      <c r="AL807" s="10"/>
      <c r="AO807" s="109"/>
      <c r="AP807" s="109"/>
      <c r="AR807" s="10"/>
      <c r="AU807" s="109"/>
      <c r="AV807" s="109"/>
      <c r="AX807" s="10"/>
      <c r="BA807" s="109"/>
      <c r="BB807" s="109"/>
      <c r="BD807" s="10"/>
      <c r="BG807" s="109"/>
      <c r="BH807" s="109"/>
      <c r="BJ807" s="10"/>
      <c r="BM807" s="109"/>
      <c r="BN807" s="109"/>
      <c r="BP807" s="10"/>
      <c r="BS807" s="109"/>
      <c r="BT807" s="109"/>
      <c r="BV807" s="10"/>
      <c r="BY807" s="109"/>
      <c r="BZ807" s="109"/>
      <c r="CB807" s="10"/>
      <c r="CE807" s="109"/>
      <c r="CF807" s="109"/>
      <c r="CH807" s="10"/>
      <c r="CK807" s="109"/>
      <c r="CL807" s="109"/>
    </row>
    <row r="808" spans="1:90">
      <c r="A808" s="7" t="str">
        <f t="shared" si="121"/>
        <v>01600998</v>
      </c>
      <c r="B808" s="7" t="s">
        <v>2499</v>
      </c>
      <c r="C808" s="7" t="s">
        <v>2781</v>
      </c>
      <c r="D808" s="7">
        <v>799</v>
      </c>
      <c r="E808" s="7">
        <v>160</v>
      </c>
      <c r="F808" s="7" t="s">
        <v>2135</v>
      </c>
      <c r="G808" s="7">
        <v>998</v>
      </c>
      <c r="H808" s="7" t="s">
        <v>2135</v>
      </c>
      <c r="I808" s="37">
        <v>0</v>
      </c>
      <c r="J808" s="122">
        <v>0</v>
      </c>
      <c r="K808" s="123">
        <f t="shared" si="130"/>
        <v>0</v>
      </c>
      <c r="L808" s="122">
        <f>IF(K809&gt;0, K808/K809, 0)</f>
        <v>0</v>
      </c>
      <c r="M808" s="71"/>
      <c r="N808" s="10">
        <f>ROUND(M809*L808,0)</f>
        <v>0</v>
      </c>
      <c r="O808" s="70">
        <v>0</v>
      </c>
      <c r="P808" s="10">
        <f>N808-O808</f>
        <v>0</v>
      </c>
      <c r="Q808" s="46">
        <f t="shared" si="129"/>
        <v>0</v>
      </c>
      <c r="R808" s="10">
        <v>0</v>
      </c>
      <c r="S808" s="7">
        <f t="shared" si="122"/>
        <v>0</v>
      </c>
      <c r="T808" s="124">
        <f t="shared" si="123"/>
        <v>160</v>
      </c>
      <c r="U808" s="124">
        <f t="shared" si="124"/>
        <v>998</v>
      </c>
      <c r="V808" s="124">
        <f t="shared" si="125"/>
        <v>799</v>
      </c>
      <c r="W808" s="124">
        <f t="shared" si="126"/>
        <v>0</v>
      </c>
      <c r="X808" s="124">
        <f t="shared" si="127"/>
        <v>0</v>
      </c>
      <c r="Y808" s="264">
        <f t="shared" si="128"/>
        <v>799</v>
      </c>
      <c r="Z808" s="10">
        <v>160</v>
      </c>
      <c r="AA808" s="7">
        <v>998</v>
      </c>
      <c r="AB808" s="7">
        <v>799</v>
      </c>
      <c r="AC808" s="109">
        <v>0</v>
      </c>
      <c r="AD808" s="109">
        <v>0</v>
      </c>
      <c r="AE808" s="125"/>
      <c r="AF808" s="10"/>
      <c r="AI808" s="109"/>
      <c r="AJ808" s="109"/>
      <c r="AL808" s="10"/>
      <c r="AO808" s="109"/>
      <c r="AP808" s="109"/>
      <c r="AR808" s="10"/>
      <c r="AU808" s="109"/>
      <c r="AV808" s="109"/>
      <c r="AX808" s="10"/>
      <c r="BA808" s="109"/>
      <c r="BB808" s="109"/>
      <c r="BD808" s="10"/>
      <c r="BG808" s="109"/>
      <c r="BH808" s="109"/>
      <c r="BJ808" s="10"/>
      <c r="BM808" s="109"/>
      <c r="BN808" s="109"/>
      <c r="BP808" s="10"/>
      <c r="BS808" s="109"/>
      <c r="BT808" s="109"/>
      <c r="BV808" s="10"/>
      <c r="BY808" s="109"/>
      <c r="BZ808" s="109"/>
      <c r="CB808" s="10"/>
      <c r="CE808" s="109"/>
      <c r="CF808" s="109"/>
      <c r="CH808" s="10"/>
      <c r="CK808" s="109"/>
      <c r="CL808" s="109"/>
    </row>
    <row r="809" spans="1:90">
      <c r="A809" s="7" t="str">
        <f t="shared" si="121"/>
        <v>01600999</v>
      </c>
      <c r="B809" s="7" t="s">
        <v>2499</v>
      </c>
      <c r="C809" s="7" t="s">
        <v>2782</v>
      </c>
      <c r="D809" s="7">
        <v>800</v>
      </c>
      <c r="E809" s="11">
        <v>160</v>
      </c>
      <c r="F809" s="11" t="s">
        <v>1865</v>
      </c>
      <c r="G809" s="11">
        <v>999</v>
      </c>
      <c r="H809" s="11" t="s">
        <v>1132</v>
      </c>
      <c r="I809" s="105">
        <v>209282090.64999998</v>
      </c>
      <c r="J809" s="126">
        <v>1</v>
      </c>
      <c r="K809" s="127">
        <f>SUM(K805:K808)</f>
        <v>217496309.3430233</v>
      </c>
      <c r="L809" s="126">
        <f>SUM(L805:L808)</f>
        <v>1</v>
      </c>
      <c r="M809" s="105">
        <f>VLOOKUP(E809,town351,22)</f>
        <v>52490284</v>
      </c>
      <c r="N809" s="105">
        <f>SUM(N805:N808)</f>
        <v>52490284</v>
      </c>
      <c r="O809" s="128">
        <v>50996098</v>
      </c>
      <c r="P809" s="105">
        <f>SUM(P805:P808)</f>
        <v>1494186</v>
      </c>
      <c r="Q809" s="45">
        <f t="shared" si="129"/>
        <v>2.9300006443630258</v>
      </c>
      <c r="R809" s="105">
        <v>17219</v>
      </c>
      <c r="S809" s="7">
        <f t="shared" si="122"/>
        <v>0</v>
      </c>
      <c r="T809" s="124">
        <f t="shared" si="123"/>
        <v>160</v>
      </c>
      <c r="U809" s="124">
        <f t="shared" si="124"/>
        <v>999</v>
      </c>
      <c r="V809" s="124">
        <f t="shared" si="125"/>
        <v>800</v>
      </c>
      <c r="W809" s="124">
        <f t="shared" si="126"/>
        <v>17682.000000009561</v>
      </c>
      <c r="X809" s="124">
        <f t="shared" si="127"/>
        <v>217496309.3430233</v>
      </c>
      <c r="Y809" s="264">
        <f t="shared" si="128"/>
        <v>800</v>
      </c>
      <c r="Z809" s="10">
        <v>160</v>
      </c>
      <c r="AA809" s="7">
        <v>999</v>
      </c>
      <c r="AB809" s="7">
        <v>800</v>
      </c>
      <c r="AC809" s="109">
        <v>17682.000000009561</v>
      </c>
      <c r="AD809" s="109">
        <v>217496309.3430233</v>
      </c>
      <c r="AE809" s="125"/>
      <c r="AF809" s="10"/>
      <c r="AI809" s="109"/>
      <c r="AJ809" s="109"/>
      <c r="AL809" s="10"/>
      <c r="AO809" s="109"/>
      <c r="AP809" s="109"/>
      <c r="AR809" s="10"/>
      <c r="AU809" s="109"/>
      <c r="AV809" s="109"/>
      <c r="AX809" s="10"/>
      <c r="BA809" s="109"/>
      <c r="BB809" s="109"/>
      <c r="BD809" s="10"/>
      <c r="BG809" s="109"/>
      <c r="BH809" s="109"/>
      <c r="BJ809" s="10"/>
      <c r="BM809" s="109"/>
      <c r="BN809" s="109"/>
      <c r="BP809" s="10"/>
      <c r="BS809" s="109"/>
      <c r="BT809" s="109"/>
      <c r="BV809" s="10"/>
      <c r="BY809" s="109"/>
      <c r="BZ809" s="109"/>
      <c r="CB809" s="10"/>
      <c r="CE809" s="109"/>
      <c r="CF809" s="109"/>
      <c r="CH809" s="10"/>
      <c r="CK809" s="109"/>
      <c r="CL809" s="109"/>
    </row>
    <row r="810" spans="1:90">
      <c r="A810" s="7" t="str">
        <f t="shared" si="121"/>
        <v>01610161</v>
      </c>
      <c r="B810" s="7" t="s">
        <v>2500</v>
      </c>
      <c r="C810" s="7" t="s">
        <v>2500</v>
      </c>
      <c r="D810" s="7">
        <v>801</v>
      </c>
      <c r="E810" s="7">
        <v>161</v>
      </c>
      <c r="F810" s="7" t="s">
        <v>1866</v>
      </c>
      <c r="G810" s="7">
        <v>161</v>
      </c>
      <c r="H810" s="7" t="s">
        <v>1427</v>
      </c>
      <c r="I810" s="37">
        <v>27123791.77</v>
      </c>
      <c r="J810" s="122">
        <v>1</v>
      </c>
      <c r="K810" s="123">
        <f>X810</f>
        <v>27107617.460779078</v>
      </c>
      <c r="L810" s="122">
        <f>IF(K814&gt;0, K810/K814, 0)</f>
        <v>1</v>
      </c>
      <c r="M810" s="71"/>
      <c r="N810" s="10">
        <f>ROUND(M814*L810,0)</f>
        <v>15438923</v>
      </c>
      <c r="O810" s="70">
        <v>15449969</v>
      </c>
      <c r="P810" s="10">
        <f>N810-O810</f>
        <v>-11046</v>
      </c>
      <c r="Q810" s="46">
        <f t="shared" si="129"/>
        <v>-7.1495289084398811E-2</v>
      </c>
      <c r="R810" s="10">
        <v>2651</v>
      </c>
      <c r="S810" s="7">
        <f t="shared" si="122"/>
        <v>0</v>
      </c>
      <c r="T810" s="124">
        <f t="shared" si="123"/>
        <v>161</v>
      </c>
      <c r="U810" s="124">
        <f t="shared" si="124"/>
        <v>161</v>
      </c>
      <c r="V810" s="124">
        <f t="shared" si="125"/>
        <v>801</v>
      </c>
      <c r="W810" s="124">
        <f t="shared" si="126"/>
        <v>2602</v>
      </c>
      <c r="X810" s="124">
        <f t="shared" si="127"/>
        <v>27107617.460779078</v>
      </c>
      <c r="Y810" s="264">
        <f t="shared" si="128"/>
        <v>801</v>
      </c>
      <c r="Z810" s="10">
        <v>161</v>
      </c>
      <c r="AA810" s="7">
        <v>161</v>
      </c>
      <c r="AB810" s="7">
        <v>801</v>
      </c>
      <c r="AC810" s="109">
        <v>2602</v>
      </c>
      <c r="AD810" s="109">
        <v>27107617.460779078</v>
      </c>
      <c r="AE810" s="125"/>
      <c r="AF810" s="10"/>
      <c r="AI810" s="109"/>
      <c r="AJ810" s="109"/>
      <c r="AL810" s="10"/>
      <c r="AO810" s="109"/>
      <c r="AP810" s="109"/>
      <c r="AR810" s="10"/>
      <c r="AU810" s="109"/>
      <c r="AV810" s="109"/>
      <c r="AX810" s="10"/>
      <c r="BA810" s="109"/>
      <c r="BB810" s="109"/>
      <c r="BD810" s="10"/>
      <c r="BG810" s="109"/>
      <c r="BH810" s="109"/>
      <c r="BJ810" s="10"/>
      <c r="BM810" s="109"/>
      <c r="BN810" s="109"/>
      <c r="BP810" s="10"/>
      <c r="BS810" s="109"/>
      <c r="BT810" s="109"/>
      <c r="BV810" s="10"/>
      <c r="BY810" s="109"/>
      <c r="BZ810" s="109"/>
      <c r="CB810" s="10"/>
      <c r="CE810" s="109"/>
      <c r="CF810" s="109"/>
      <c r="CH810" s="10"/>
      <c r="CK810" s="109"/>
      <c r="CL810" s="109"/>
    </row>
    <row r="811" spans="1:90">
      <c r="A811" s="7" t="str">
        <f t="shared" si="121"/>
        <v>01610998</v>
      </c>
      <c r="B811" s="7" t="s">
        <v>2500</v>
      </c>
      <c r="C811" s="7" t="s">
        <v>2781</v>
      </c>
      <c r="D811" s="7">
        <v>802</v>
      </c>
      <c r="E811" s="7">
        <v>161</v>
      </c>
      <c r="F811" s="7" t="s">
        <v>2135</v>
      </c>
      <c r="G811" s="7">
        <v>998</v>
      </c>
      <c r="H811" s="7" t="s">
        <v>2135</v>
      </c>
      <c r="I811" s="37">
        <v>0</v>
      </c>
      <c r="J811" s="122">
        <v>0</v>
      </c>
      <c r="K811" s="123">
        <f t="shared" si="130"/>
        <v>0</v>
      </c>
      <c r="L811" s="122">
        <f>IF(K814&gt;0, K811/K814, 0)</f>
        <v>0</v>
      </c>
      <c r="M811" s="71"/>
      <c r="N811" s="10">
        <f>ROUND(M814*L811,0)</f>
        <v>0</v>
      </c>
      <c r="O811" s="70">
        <v>0</v>
      </c>
      <c r="P811" s="10">
        <f>N811-O811</f>
        <v>0</v>
      </c>
      <c r="Q811" s="46">
        <f t="shared" si="129"/>
        <v>0</v>
      </c>
      <c r="R811" s="10">
        <v>0</v>
      </c>
      <c r="S811" s="7">
        <f t="shared" si="122"/>
        <v>0</v>
      </c>
      <c r="T811" s="124">
        <f t="shared" si="123"/>
        <v>161</v>
      </c>
      <c r="U811" s="124">
        <f t="shared" si="124"/>
        <v>998</v>
      </c>
      <c r="V811" s="124">
        <f t="shared" si="125"/>
        <v>802</v>
      </c>
      <c r="W811" s="124">
        <f t="shared" si="126"/>
        <v>0</v>
      </c>
      <c r="X811" s="124">
        <f t="shared" si="127"/>
        <v>0</v>
      </c>
      <c r="Y811" s="264">
        <f t="shared" si="128"/>
        <v>802</v>
      </c>
      <c r="Z811" s="10">
        <v>161</v>
      </c>
      <c r="AA811" s="7">
        <v>998</v>
      </c>
      <c r="AB811" s="7">
        <v>802</v>
      </c>
      <c r="AC811" s="109">
        <v>0</v>
      </c>
      <c r="AD811" s="109">
        <v>0</v>
      </c>
      <c r="AE811" s="125"/>
      <c r="AF811" s="10"/>
      <c r="AI811" s="109"/>
      <c r="AJ811" s="109"/>
      <c r="AL811" s="10"/>
      <c r="AO811" s="109"/>
      <c r="AP811" s="109"/>
      <c r="AR811" s="10"/>
      <c r="AU811" s="109"/>
      <c r="AV811" s="109"/>
      <c r="AX811" s="10"/>
      <c r="BA811" s="109"/>
      <c r="BB811" s="109"/>
      <c r="BD811" s="10"/>
      <c r="BG811" s="109"/>
      <c r="BH811" s="109"/>
      <c r="BJ811" s="10"/>
      <c r="BM811" s="109"/>
      <c r="BN811" s="109"/>
      <c r="BP811" s="10"/>
      <c r="BS811" s="109"/>
      <c r="BT811" s="109"/>
      <c r="BV811" s="10"/>
      <c r="BY811" s="109"/>
      <c r="BZ811" s="109"/>
      <c r="CB811" s="10"/>
      <c r="CE811" s="109"/>
      <c r="CF811" s="109"/>
      <c r="CH811" s="10"/>
      <c r="CK811" s="109"/>
      <c r="CL811" s="109"/>
    </row>
    <row r="812" spans="1:90">
      <c r="A812" s="7" t="str">
        <f t="shared" si="121"/>
        <v>01610998</v>
      </c>
      <c r="B812" s="7" t="s">
        <v>2500</v>
      </c>
      <c r="C812" s="7" t="s">
        <v>2781</v>
      </c>
      <c r="D812" s="7">
        <v>803</v>
      </c>
      <c r="E812" s="7">
        <v>161</v>
      </c>
      <c r="F812" s="7" t="s">
        <v>2135</v>
      </c>
      <c r="G812" s="7">
        <v>998</v>
      </c>
      <c r="H812" s="7" t="s">
        <v>2135</v>
      </c>
      <c r="I812" s="37">
        <v>0</v>
      </c>
      <c r="J812" s="122">
        <v>0</v>
      </c>
      <c r="K812" s="123">
        <f t="shared" si="130"/>
        <v>0</v>
      </c>
      <c r="L812" s="122">
        <f>IF(K814&gt;0, K812/K814, 0)</f>
        <v>0</v>
      </c>
      <c r="M812" s="71"/>
      <c r="N812" s="10">
        <f>ROUND(M814*L812,0)</f>
        <v>0</v>
      </c>
      <c r="O812" s="70">
        <v>0</v>
      </c>
      <c r="P812" s="10">
        <f>N812-O812</f>
        <v>0</v>
      </c>
      <c r="Q812" s="46">
        <f t="shared" si="129"/>
        <v>0</v>
      </c>
      <c r="R812" s="10">
        <v>0</v>
      </c>
      <c r="S812" s="7">
        <f t="shared" si="122"/>
        <v>0</v>
      </c>
      <c r="T812" s="124">
        <f t="shared" si="123"/>
        <v>161</v>
      </c>
      <c r="U812" s="124">
        <f t="shared" si="124"/>
        <v>998</v>
      </c>
      <c r="V812" s="124">
        <f t="shared" si="125"/>
        <v>803</v>
      </c>
      <c r="W812" s="124">
        <f t="shared" si="126"/>
        <v>0</v>
      </c>
      <c r="X812" s="124">
        <f t="shared" si="127"/>
        <v>0</v>
      </c>
      <c r="Y812" s="264">
        <f t="shared" si="128"/>
        <v>803</v>
      </c>
      <c r="Z812" s="10">
        <v>161</v>
      </c>
      <c r="AA812" s="7">
        <v>998</v>
      </c>
      <c r="AB812" s="7">
        <v>803</v>
      </c>
      <c r="AC812" s="109">
        <v>0</v>
      </c>
      <c r="AD812" s="109">
        <v>0</v>
      </c>
      <c r="AE812" s="125"/>
      <c r="AF812" s="10"/>
      <c r="AI812" s="109"/>
      <c r="AJ812" s="109"/>
      <c r="AL812" s="10"/>
      <c r="AO812" s="109"/>
      <c r="AP812" s="109"/>
      <c r="AR812" s="10"/>
      <c r="AU812" s="109"/>
      <c r="AV812" s="109"/>
      <c r="AX812" s="10"/>
      <c r="BA812" s="109"/>
      <c r="BB812" s="109"/>
      <c r="BD812" s="10"/>
      <c r="BG812" s="109"/>
      <c r="BH812" s="109"/>
      <c r="BJ812" s="10"/>
      <c r="BM812" s="109"/>
      <c r="BN812" s="109"/>
      <c r="BP812" s="10"/>
      <c r="BS812" s="109"/>
      <c r="BT812" s="109"/>
      <c r="BV812" s="10"/>
      <c r="BY812" s="109"/>
      <c r="BZ812" s="109"/>
      <c r="CB812" s="10"/>
      <c r="CE812" s="109"/>
      <c r="CF812" s="109"/>
      <c r="CH812" s="10"/>
      <c r="CK812" s="109"/>
      <c r="CL812" s="109"/>
    </row>
    <row r="813" spans="1:90">
      <c r="A813" s="7" t="str">
        <f t="shared" si="121"/>
        <v>01610998</v>
      </c>
      <c r="B813" s="7" t="s">
        <v>2500</v>
      </c>
      <c r="C813" s="7" t="s">
        <v>2781</v>
      </c>
      <c r="D813" s="7">
        <v>804</v>
      </c>
      <c r="E813" s="7">
        <v>161</v>
      </c>
      <c r="F813" s="7" t="s">
        <v>2135</v>
      </c>
      <c r="G813" s="7">
        <v>998</v>
      </c>
      <c r="H813" s="7" t="s">
        <v>2135</v>
      </c>
      <c r="I813" s="37">
        <v>0</v>
      </c>
      <c r="J813" s="122">
        <v>0</v>
      </c>
      <c r="K813" s="123">
        <f t="shared" si="130"/>
        <v>0</v>
      </c>
      <c r="L813" s="122">
        <f>IF(K814&gt;0, K813/K814, 0)</f>
        <v>0</v>
      </c>
      <c r="M813" s="71"/>
      <c r="N813" s="10">
        <f>ROUND(M814*L813,0)</f>
        <v>0</v>
      </c>
      <c r="O813" s="70">
        <v>0</v>
      </c>
      <c r="P813" s="10">
        <f>N813-O813</f>
        <v>0</v>
      </c>
      <c r="Q813" s="46">
        <f t="shared" si="129"/>
        <v>0</v>
      </c>
      <c r="R813" s="10">
        <v>0</v>
      </c>
      <c r="S813" s="7">
        <f t="shared" si="122"/>
        <v>0</v>
      </c>
      <c r="T813" s="124">
        <f t="shared" si="123"/>
        <v>161</v>
      </c>
      <c r="U813" s="124">
        <f t="shared" si="124"/>
        <v>998</v>
      </c>
      <c r="V813" s="124">
        <f t="shared" si="125"/>
        <v>804</v>
      </c>
      <c r="W813" s="124">
        <f t="shared" si="126"/>
        <v>0</v>
      </c>
      <c r="X813" s="124">
        <f t="shared" si="127"/>
        <v>0</v>
      </c>
      <c r="Y813" s="264">
        <f t="shared" si="128"/>
        <v>804</v>
      </c>
      <c r="Z813" s="10">
        <v>161</v>
      </c>
      <c r="AA813" s="7">
        <v>998</v>
      </c>
      <c r="AB813" s="7">
        <v>804</v>
      </c>
      <c r="AC813" s="109">
        <v>0</v>
      </c>
      <c r="AD813" s="109">
        <v>0</v>
      </c>
      <c r="AE813" s="125"/>
      <c r="AF813" s="10"/>
      <c r="AI813" s="109"/>
      <c r="AJ813" s="109"/>
      <c r="AL813" s="10"/>
      <c r="AO813" s="109"/>
      <c r="AP813" s="109"/>
      <c r="AR813" s="10"/>
      <c r="AU813" s="109"/>
      <c r="AV813" s="109"/>
      <c r="AX813" s="10"/>
      <c r="BA813" s="109"/>
      <c r="BB813" s="109"/>
      <c r="BD813" s="10"/>
      <c r="BG813" s="109"/>
      <c r="BH813" s="109"/>
      <c r="BJ813" s="10"/>
      <c r="BM813" s="109"/>
      <c r="BN813" s="109"/>
      <c r="BP813" s="10"/>
      <c r="BS813" s="109"/>
      <c r="BT813" s="109"/>
      <c r="BV813" s="10"/>
      <c r="BY813" s="109"/>
      <c r="BZ813" s="109"/>
      <c r="CB813" s="10"/>
      <c r="CE813" s="109"/>
      <c r="CF813" s="109"/>
      <c r="CH813" s="10"/>
      <c r="CK813" s="109"/>
      <c r="CL813" s="109"/>
    </row>
    <row r="814" spans="1:90">
      <c r="A814" s="7" t="str">
        <f t="shared" si="121"/>
        <v>01610999</v>
      </c>
      <c r="B814" s="7" t="s">
        <v>2500</v>
      </c>
      <c r="C814" s="7" t="s">
        <v>2782</v>
      </c>
      <c r="D814" s="7">
        <v>805</v>
      </c>
      <c r="E814" s="11">
        <v>161</v>
      </c>
      <c r="F814" s="11" t="s">
        <v>1866</v>
      </c>
      <c r="G814" s="11">
        <v>999</v>
      </c>
      <c r="H814" s="11" t="s">
        <v>1132</v>
      </c>
      <c r="I814" s="105">
        <v>27123791.77</v>
      </c>
      <c r="J814" s="126">
        <v>1</v>
      </c>
      <c r="K814" s="127">
        <f>SUM(K810:K813)</f>
        <v>27107617.460779078</v>
      </c>
      <c r="L814" s="126">
        <f>SUM(L810:L813)</f>
        <v>1</v>
      </c>
      <c r="M814" s="105">
        <f>VLOOKUP(E814,town351,22)</f>
        <v>15438923</v>
      </c>
      <c r="N814" s="105">
        <f>SUM(N810:N813)</f>
        <v>15438923</v>
      </c>
      <c r="O814" s="128">
        <v>15449969</v>
      </c>
      <c r="P814" s="105">
        <f>SUM(P810:P813)</f>
        <v>-11046</v>
      </c>
      <c r="Q814" s="45">
        <f t="shared" si="129"/>
        <v>-7.1495289084398811E-2</v>
      </c>
      <c r="R814" s="105">
        <v>2651</v>
      </c>
      <c r="S814" s="7">
        <f t="shared" si="122"/>
        <v>0</v>
      </c>
      <c r="T814" s="124">
        <f t="shared" si="123"/>
        <v>161</v>
      </c>
      <c r="U814" s="124">
        <f t="shared" si="124"/>
        <v>999</v>
      </c>
      <c r="V814" s="124">
        <f t="shared" si="125"/>
        <v>805</v>
      </c>
      <c r="W814" s="124">
        <f t="shared" si="126"/>
        <v>2602</v>
      </c>
      <c r="X814" s="124">
        <f t="shared" si="127"/>
        <v>27107617.460779078</v>
      </c>
      <c r="Y814" s="264">
        <f t="shared" si="128"/>
        <v>805</v>
      </c>
      <c r="Z814" s="10">
        <v>161</v>
      </c>
      <c r="AA814" s="7">
        <v>999</v>
      </c>
      <c r="AB814" s="7">
        <v>805</v>
      </c>
      <c r="AC814" s="109">
        <v>2602</v>
      </c>
      <c r="AD814" s="109">
        <v>27107617.460779078</v>
      </c>
      <c r="AE814" s="125"/>
      <c r="AF814" s="10"/>
      <c r="AI814" s="109"/>
      <c r="AJ814" s="109"/>
      <c r="AL814" s="10"/>
      <c r="AO814" s="109"/>
      <c r="AP814" s="109"/>
      <c r="AR814" s="10"/>
      <c r="AU814" s="109"/>
      <c r="AV814" s="109"/>
      <c r="AX814" s="10"/>
      <c r="BA814" s="109"/>
      <c r="BB814" s="109"/>
      <c r="BD814" s="10"/>
      <c r="BG814" s="109"/>
      <c r="BH814" s="109"/>
      <c r="BJ814" s="10"/>
      <c r="BM814" s="109"/>
      <c r="BN814" s="109"/>
      <c r="BP814" s="10"/>
      <c r="BS814" s="109"/>
      <c r="BT814" s="109"/>
      <c r="BV814" s="10"/>
      <c r="BY814" s="109"/>
      <c r="BZ814" s="109"/>
      <c r="CB814" s="10"/>
      <c r="CE814" s="109"/>
      <c r="CF814" s="109"/>
      <c r="CH814" s="10"/>
      <c r="CK814" s="109"/>
      <c r="CL814" s="109"/>
    </row>
    <row r="815" spans="1:90">
      <c r="A815" s="7" t="str">
        <f t="shared" si="121"/>
        <v>01620162</v>
      </c>
      <c r="B815" s="7" t="s">
        <v>2501</v>
      </c>
      <c r="C815" s="7" t="s">
        <v>2501</v>
      </c>
      <c r="D815" s="7">
        <v>806</v>
      </c>
      <c r="E815" s="7">
        <v>162</v>
      </c>
      <c r="F815" s="7" t="s">
        <v>1867</v>
      </c>
      <c r="G815" s="7">
        <v>162</v>
      </c>
      <c r="H815" s="7" t="s">
        <v>1428</v>
      </c>
      <c r="I815" s="37">
        <v>15538424.619999999</v>
      </c>
      <c r="J815" s="122">
        <v>0.91765518810377289</v>
      </c>
      <c r="K815" s="123">
        <f>X815</f>
        <v>16554528.397230644</v>
      </c>
      <c r="L815" s="122">
        <f>IF(K819&gt;0, K815/K819, 0)</f>
        <v>0.92016551688295656</v>
      </c>
      <c r="M815" s="71"/>
      <c r="N815" s="10">
        <f>ROUND(M819*L815,0)</f>
        <v>9282023</v>
      </c>
      <c r="O815" s="70">
        <v>9187168</v>
      </c>
      <c r="P815" s="10">
        <f>N815-O815</f>
        <v>94855</v>
      </c>
      <c r="Q815" s="46">
        <f t="shared" si="129"/>
        <v>1.0324726836387448</v>
      </c>
      <c r="R815" s="10">
        <v>1632</v>
      </c>
      <c r="S815" s="7">
        <f t="shared" si="122"/>
        <v>0</v>
      </c>
      <c r="T815" s="124">
        <f t="shared" si="123"/>
        <v>162</v>
      </c>
      <c r="U815" s="124">
        <f t="shared" si="124"/>
        <v>162</v>
      </c>
      <c r="V815" s="124">
        <f t="shared" si="125"/>
        <v>806</v>
      </c>
      <c r="W815" s="124">
        <f t="shared" si="126"/>
        <v>1705</v>
      </c>
      <c r="X815" s="124">
        <f t="shared" si="127"/>
        <v>16554528.397230644</v>
      </c>
      <c r="Y815" s="264">
        <f t="shared" si="128"/>
        <v>806</v>
      </c>
      <c r="Z815" s="10">
        <v>162</v>
      </c>
      <c r="AA815" s="7">
        <v>162</v>
      </c>
      <c r="AB815" s="7">
        <v>806</v>
      </c>
      <c r="AC815" s="109">
        <v>1705</v>
      </c>
      <c r="AD815" s="109">
        <v>16554528.397230644</v>
      </c>
      <c r="AE815" s="125"/>
      <c r="AF815" s="10"/>
      <c r="AI815" s="109"/>
      <c r="AJ815" s="109"/>
      <c r="AL815" s="10"/>
      <c r="AO815" s="109"/>
      <c r="AP815" s="109"/>
      <c r="AR815" s="10"/>
      <c r="AU815" s="109"/>
      <c r="AV815" s="109"/>
      <c r="AX815" s="10"/>
      <c r="BA815" s="109"/>
      <c r="BB815" s="109"/>
      <c r="BD815" s="10"/>
      <c r="BG815" s="109"/>
      <c r="BH815" s="109"/>
      <c r="BJ815" s="10"/>
      <c r="BM815" s="109"/>
      <c r="BN815" s="109"/>
      <c r="BP815" s="10"/>
      <c r="BS815" s="109"/>
      <c r="BT815" s="109"/>
      <c r="BV815" s="10"/>
      <c r="BY815" s="109"/>
      <c r="BZ815" s="109"/>
      <c r="CB815" s="10"/>
      <c r="CE815" s="109"/>
      <c r="CF815" s="109"/>
      <c r="CH815" s="10"/>
      <c r="CK815" s="109"/>
      <c r="CL815" s="109"/>
    </row>
    <row r="816" spans="1:90">
      <c r="A816" s="7" t="str">
        <f t="shared" si="121"/>
        <v>01620832</v>
      </c>
      <c r="B816" s="7" t="s">
        <v>2501</v>
      </c>
      <c r="C816" s="7" t="s">
        <v>2765</v>
      </c>
      <c r="D816" s="7">
        <v>807</v>
      </c>
      <c r="E816" s="7">
        <v>162</v>
      </c>
      <c r="F816" s="7" t="s">
        <v>1867</v>
      </c>
      <c r="G816" s="7">
        <v>832</v>
      </c>
      <c r="H816" s="7" t="s">
        <v>1692</v>
      </c>
      <c r="I816" s="37">
        <v>1394324</v>
      </c>
      <c r="J816" s="122">
        <v>8.2344811896227166E-2</v>
      </c>
      <c r="K816" s="123">
        <f t="shared" si="130"/>
        <v>1436287.4869689725</v>
      </c>
      <c r="L816" s="122">
        <f>IF(K819&gt;0, K816/K819, 0)</f>
        <v>7.9834483117043512E-2</v>
      </c>
      <c r="M816" s="71"/>
      <c r="N816" s="10">
        <f>ROUND(M819*L816,0)</f>
        <v>805318</v>
      </c>
      <c r="O816" s="70">
        <v>824401</v>
      </c>
      <c r="P816" s="10">
        <f>N816-O816</f>
        <v>-19083</v>
      </c>
      <c r="Q816" s="46">
        <f t="shared" si="129"/>
        <v>-2.3147715735424872</v>
      </c>
      <c r="R816" s="10">
        <v>91</v>
      </c>
      <c r="S816" s="7">
        <f t="shared" si="122"/>
        <v>0</v>
      </c>
      <c r="T816" s="124">
        <f t="shared" si="123"/>
        <v>162</v>
      </c>
      <c r="U816" s="124">
        <f t="shared" si="124"/>
        <v>832</v>
      </c>
      <c r="V816" s="124">
        <f t="shared" si="125"/>
        <v>807</v>
      </c>
      <c r="W816" s="124">
        <f t="shared" si="126"/>
        <v>92.061538463839995</v>
      </c>
      <c r="X816" s="124">
        <f t="shared" si="127"/>
        <v>1436287.4869689725</v>
      </c>
      <c r="Y816" s="264">
        <f t="shared" si="128"/>
        <v>807</v>
      </c>
      <c r="Z816" s="10">
        <v>162</v>
      </c>
      <c r="AA816" s="7">
        <v>832</v>
      </c>
      <c r="AB816" s="7">
        <v>807</v>
      </c>
      <c r="AC816" s="109">
        <v>92.061538463839995</v>
      </c>
      <c r="AD816" s="109">
        <v>1436287.4869689725</v>
      </c>
      <c r="AE816" s="125"/>
      <c r="AF816" s="10"/>
      <c r="AI816" s="109"/>
      <c r="AJ816" s="109"/>
      <c r="AL816" s="10"/>
      <c r="AO816" s="109"/>
      <c r="AP816" s="109"/>
      <c r="AR816" s="10"/>
      <c r="AU816" s="109"/>
      <c r="AV816" s="109"/>
      <c r="AX816" s="10"/>
      <c r="BA816" s="109"/>
      <c r="BB816" s="109"/>
      <c r="BD816" s="10"/>
      <c r="BG816" s="109"/>
      <c r="BH816" s="109"/>
      <c r="BJ816" s="10"/>
      <c r="BM816" s="109"/>
      <c r="BN816" s="109"/>
      <c r="BP816" s="10"/>
      <c r="BS816" s="109"/>
      <c r="BT816" s="109"/>
      <c r="BV816" s="10"/>
      <c r="BY816" s="109"/>
      <c r="BZ816" s="109"/>
      <c r="CB816" s="10"/>
      <c r="CE816" s="109"/>
      <c r="CF816" s="109"/>
      <c r="CH816" s="10"/>
      <c r="CK816" s="109"/>
      <c r="CL816" s="109"/>
    </row>
    <row r="817" spans="1:90">
      <c r="A817" s="7" t="str">
        <f t="shared" si="121"/>
        <v>01620998</v>
      </c>
      <c r="B817" s="7" t="s">
        <v>2501</v>
      </c>
      <c r="C817" s="7" t="s">
        <v>2781</v>
      </c>
      <c r="D817" s="7">
        <v>808</v>
      </c>
      <c r="E817" s="7">
        <v>162</v>
      </c>
      <c r="F817" s="7" t="s">
        <v>2135</v>
      </c>
      <c r="G817" s="7">
        <v>998</v>
      </c>
      <c r="H817" s="7" t="s">
        <v>2135</v>
      </c>
      <c r="I817" s="37">
        <v>0</v>
      </c>
      <c r="J817" s="122">
        <v>0</v>
      </c>
      <c r="K817" s="123">
        <f t="shared" si="130"/>
        <v>0</v>
      </c>
      <c r="L817" s="122">
        <f>IF(K819&gt;0, K817/K819, 0)</f>
        <v>0</v>
      </c>
      <c r="M817" s="71"/>
      <c r="N817" s="10">
        <f>ROUND(M819*L817,0)</f>
        <v>0</v>
      </c>
      <c r="O817" s="70">
        <v>0</v>
      </c>
      <c r="P817" s="10">
        <f>N817-O817</f>
        <v>0</v>
      </c>
      <c r="Q817" s="46">
        <f t="shared" si="129"/>
        <v>0</v>
      </c>
      <c r="R817" s="10">
        <v>0</v>
      </c>
      <c r="S817" s="7">
        <f t="shared" si="122"/>
        <v>0</v>
      </c>
      <c r="T817" s="124">
        <f t="shared" si="123"/>
        <v>162</v>
      </c>
      <c r="U817" s="124">
        <f t="shared" si="124"/>
        <v>998</v>
      </c>
      <c r="V817" s="124">
        <f t="shared" si="125"/>
        <v>808</v>
      </c>
      <c r="W817" s="124">
        <f t="shared" si="126"/>
        <v>0</v>
      </c>
      <c r="X817" s="124">
        <f t="shared" si="127"/>
        <v>0</v>
      </c>
      <c r="Y817" s="264">
        <f t="shared" si="128"/>
        <v>808</v>
      </c>
      <c r="Z817" s="10">
        <v>162</v>
      </c>
      <c r="AA817" s="7">
        <v>998</v>
      </c>
      <c r="AB817" s="7">
        <v>808</v>
      </c>
      <c r="AC817" s="109">
        <v>0</v>
      </c>
      <c r="AD817" s="109">
        <v>0</v>
      </c>
      <c r="AE817" s="125"/>
      <c r="AF817" s="10"/>
      <c r="AI817" s="109"/>
      <c r="AJ817" s="109"/>
      <c r="AL817" s="10"/>
      <c r="AO817" s="109"/>
      <c r="AP817" s="109"/>
      <c r="AR817" s="10"/>
      <c r="AU817" s="109"/>
      <c r="AV817" s="109"/>
      <c r="AX817" s="10"/>
      <c r="BA817" s="109"/>
      <c r="BB817" s="109"/>
      <c r="BD817" s="10"/>
      <c r="BG817" s="109"/>
      <c r="BH817" s="109"/>
      <c r="BJ817" s="10"/>
      <c r="BM817" s="109"/>
      <c r="BN817" s="109"/>
      <c r="BP817" s="10"/>
      <c r="BS817" s="109"/>
      <c r="BT817" s="109"/>
      <c r="BV817" s="10"/>
      <c r="BY817" s="109"/>
      <c r="BZ817" s="109"/>
      <c r="CB817" s="10"/>
      <c r="CE817" s="109"/>
      <c r="CF817" s="109"/>
      <c r="CH817" s="10"/>
      <c r="CK817" s="109"/>
      <c r="CL817" s="109"/>
    </row>
    <row r="818" spans="1:90">
      <c r="A818" s="7" t="str">
        <f t="shared" si="121"/>
        <v>01620998</v>
      </c>
      <c r="B818" s="7" t="s">
        <v>2501</v>
      </c>
      <c r="C818" s="7" t="s">
        <v>2781</v>
      </c>
      <c r="D818" s="7">
        <v>809</v>
      </c>
      <c r="E818" s="7">
        <v>162</v>
      </c>
      <c r="F818" s="7" t="s">
        <v>2135</v>
      </c>
      <c r="G818" s="7">
        <v>998</v>
      </c>
      <c r="H818" s="7" t="s">
        <v>2135</v>
      </c>
      <c r="I818" s="37">
        <v>0</v>
      </c>
      <c r="J818" s="122">
        <v>0</v>
      </c>
      <c r="K818" s="123">
        <f t="shared" si="130"/>
        <v>0</v>
      </c>
      <c r="L818" s="122">
        <f>IF(K819&gt;0, K818/K819, 0)</f>
        <v>0</v>
      </c>
      <c r="M818" s="71"/>
      <c r="N818" s="10">
        <f>ROUND(M819*L818,0)</f>
        <v>0</v>
      </c>
      <c r="O818" s="70">
        <v>0</v>
      </c>
      <c r="P818" s="10">
        <f>N818-O818</f>
        <v>0</v>
      </c>
      <c r="Q818" s="46">
        <f t="shared" si="129"/>
        <v>0</v>
      </c>
      <c r="R818" s="10">
        <v>0</v>
      </c>
      <c r="S818" s="7">
        <f t="shared" si="122"/>
        <v>0</v>
      </c>
      <c r="T818" s="124">
        <f t="shared" si="123"/>
        <v>162</v>
      </c>
      <c r="U818" s="124">
        <f t="shared" si="124"/>
        <v>998</v>
      </c>
      <c r="V818" s="124">
        <f t="shared" si="125"/>
        <v>809</v>
      </c>
      <c r="W818" s="124">
        <f t="shared" si="126"/>
        <v>0</v>
      </c>
      <c r="X818" s="124">
        <f t="shared" si="127"/>
        <v>0</v>
      </c>
      <c r="Y818" s="264">
        <f t="shared" si="128"/>
        <v>809</v>
      </c>
      <c r="Z818" s="10">
        <v>162</v>
      </c>
      <c r="AA818" s="7">
        <v>998</v>
      </c>
      <c r="AB818" s="7">
        <v>809</v>
      </c>
      <c r="AC818" s="109">
        <v>0</v>
      </c>
      <c r="AD818" s="109">
        <v>0</v>
      </c>
      <c r="AE818" s="125"/>
      <c r="AF818" s="10"/>
      <c r="AI818" s="109"/>
      <c r="AJ818" s="109"/>
      <c r="AL818" s="10"/>
      <c r="AO818" s="109"/>
      <c r="AP818" s="109"/>
      <c r="AR818" s="10"/>
      <c r="AU818" s="109"/>
      <c r="AV818" s="109"/>
      <c r="AX818" s="10"/>
      <c r="BA818" s="109"/>
      <c r="BB818" s="109"/>
      <c r="BD818" s="10"/>
      <c r="BG818" s="109"/>
      <c r="BH818" s="109"/>
      <c r="BJ818" s="10"/>
      <c r="BM818" s="109"/>
      <c r="BN818" s="109"/>
      <c r="BP818" s="10"/>
      <c r="BS818" s="109"/>
      <c r="BT818" s="109"/>
      <c r="BV818" s="10"/>
      <c r="BY818" s="109"/>
      <c r="BZ818" s="109"/>
      <c r="CB818" s="10"/>
      <c r="CE818" s="109"/>
      <c r="CF818" s="109"/>
      <c r="CH818" s="10"/>
      <c r="CK818" s="109"/>
      <c r="CL818" s="109"/>
    </row>
    <row r="819" spans="1:90">
      <c r="A819" s="7" t="str">
        <f t="shared" si="121"/>
        <v>01620999</v>
      </c>
      <c r="B819" s="7" t="s">
        <v>2501</v>
      </c>
      <c r="C819" s="7" t="s">
        <v>2782</v>
      </c>
      <c r="D819" s="7">
        <v>810</v>
      </c>
      <c r="E819" s="11">
        <v>162</v>
      </c>
      <c r="F819" s="11" t="s">
        <v>1867</v>
      </c>
      <c r="G819" s="11">
        <v>999</v>
      </c>
      <c r="H819" s="11" t="s">
        <v>1132</v>
      </c>
      <c r="I819" s="105">
        <v>16932748.619999997</v>
      </c>
      <c r="J819" s="126">
        <v>1</v>
      </c>
      <c r="K819" s="127">
        <f>SUM(K815:K818)</f>
        <v>17990815.884199616</v>
      </c>
      <c r="L819" s="126">
        <f>SUM(L815:L818)</f>
        <v>1</v>
      </c>
      <c r="M819" s="105">
        <f>VLOOKUP(E819,town351,22)</f>
        <v>10087341</v>
      </c>
      <c r="N819" s="105">
        <f>SUM(N815:N818)</f>
        <v>10087341</v>
      </c>
      <c r="O819" s="128">
        <v>10011569</v>
      </c>
      <c r="P819" s="105">
        <f>SUM(P815:P818)</f>
        <v>75772</v>
      </c>
      <c r="Q819" s="45">
        <f t="shared" si="129"/>
        <v>0.75684440670588193</v>
      </c>
      <c r="R819" s="105">
        <v>1723</v>
      </c>
      <c r="S819" s="7">
        <f t="shared" si="122"/>
        <v>0</v>
      </c>
      <c r="T819" s="124">
        <f t="shared" si="123"/>
        <v>162</v>
      </c>
      <c r="U819" s="124">
        <f t="shared" si="124"/>
        <v>999</v>
      </c>
      <c r="V819" s="124">
        <f t="shared" si="125"/>
        <v>810</v>
      </c>
      <c r="W819" s="124">
        <f t="shared" si="126"/>
        <v>1797.06153846384</v>
      </c>
      <c r="X819" s="124">
        <f t="shared" si="127"/>
        <v>17990815.884199616</v>
      </c>
      <c r="Y819" s="264">
        <f t="shared" si="128"/>
        <v>810</v>
      </c>
      <c r="Z819" s="10">
        <v>162</v>
      </c>
      <c r="AA819" s="7">
        <v>999</v>
      </c>
      <c r="AB819" s="7">
        <v>810</v>
      </c>
      <c r="AC819" s="109">
        <v>1797.06153846384</v>
      </c>
      <c r="AD819" s="109">
        <v>17990815.884199616</v>
      </c>
      <c r="AE819" s="125"/>
      <c r="AF819" s="10"/>
      <c r="AI819" s="109"/>
      <c r="AJ819" s="109"/>
      <c r="AL819" s="10"/>
      <c r="AO819" s="109"/>
      <c r="AP819" s="109"/>
      <c r="AR819" s="10"/>
      <c r="AU819" s="109"/>
      <c r="AV819" s="109"/>
      <c r="AX819" s="10"/>
      <c r="BA819" s="109"/>
      <c r="BB819" s="109"/>
      <c r="BD819" s="10"/>
      <c r="BG819" s="109"/>
      <c r="BH819" s="109"/>
      <c r="BJ819" s="10"/>
      <c r="BM819" s="109"/>
      <c r="BN819" s="109"/>
      <c r="BP819" s="10"/>
      <c r="BS819" s="109"/>
      <c r="BT819" s="109"/>
      <c r="BV819" s="10"/>
      <c r="BY819" s="109"/>
      <c r="BZ819" s="109"/>
      <c r="CB819" s="10"/>
      <c r="CE819" s="109"/>
      <c r="CF819" s="109"/>
      <c r="CH819" s="10"/>
      <c r="CK819" s="109"/>
      <c r="CL819" s="109"/>
    </row>
    <row r="820" spans="1:90">
      <c r="A820" s="7" t="str">
        <f t="shared" si="121"/>
        <v>01630163</v>
      </c>
      <c r="B820" s="7" t="s">
        <v>2502</v>
      </c>
      <c r="C820" s="7" t="s">
        <v>2502</v>
      </c>
      <c r="D820" s="7">
        <v>811</v>
      </c>
      <c r="E820" s="7">
        <v>163</v>
      </c>
      <c r="F820" s="7" t="s">
        <v>1868</v>
      </c>
      <c r="G820" s="7">
        <v>163</v>
      </c>
      <c r="H820" s="7" t="s">
        <v>1429</v>
      </c>
      <c r="I820" s="37">
        <v>192172422.52999997</v>
      </c>
      <c r="J820" s="122">
        <v>1</v>
      </c>
      <c r="K820" s="123">
        <f>X820</f>
        <v>201554686.66682765</v>
      </c>
      <c r="L820" s="122">
        <f>IF(K824&gt;0, K820/K824, 0)</f>
        <v>1</v>
      </c>
      <c r="M820" s="71"/>
      <c r="N820" s="10">
        <f>ROUND(M824*L820,0)</f>
        <v>48112261</v>
      </c>
      <c r="O820" s="70">
        <v>46018423</v>
      </c>
      <c r="P820" s="10">
        <f>N820-O820</f>
        <v>2093838</v>
      </c>
      <c r="Q820" s="46">
        <f t="shared" si="129"/>
        <v>4.5499994643449648</v>
      </c>
      <c r="R820" s="10">
        <v>16463</v>
      </c>
      <c r="S820" s="7">
        <f t="shared" si="122"/>
        <v>0</v>
      </c>
      <c r="T820" s="124">
        <f t="shared" si="123"/>
        <v>163</v>
      </c>
      <c r="U820" s="124">
        <f t="shared" si="124"/>
        <v>163</v>
      </c>
      <c r="V820" s="124">
        <f t="shared" si="125"/>
        <v>811</v>
      </c>
      <c r="W820" s="124">
        <f t="shared" si="126"/>
        <v>16852</v>
      </c>
      <c r="X820" s="124">
        <f t="shared" si="127"/>
        <v>201554686.66682765</v>
      </c>
      <c r="Y820" s="264">
        <f t="shared" si="128"/>
        <v>811</v>
      </c>
      <c r="Z820" s="10">
        <v>163</v>
      </c>
      <c r="AA820" s="7">
        <v>163</v>
      </c>
      <c r="AB820" s="7">
        <v>811</v>
      </c>
      <c r="AC820" s="109">
        <v>16852</v>
      </c>
      <c r="AD820" s="109">
        <v>201554686.66682765</v>
      </c>
      <c r="AE820" s="125"/>
      <c r="AF820" s="10"/>
      <c r="AI820" s="109"/>
      <c r="AJ820" s="109"/>
      <c r="AL820" s="10"/>
      <c r="AO820" s="109"/>
      <c r="AP820" s="109"/>
      <c r="AR820" s="10"/>
      <c r="AU820" s="109"/>
      <c r="AV820" s="109"/>
      <c r="AX820" s="10"/>
      <c r="BA820" s="109"/>
      <c r="BB820" s="109"/>
      <c r="BD820" s="10"/>
      <c r="BG820" s="109"/>
      <c r="BH820" s="109"/>
      <c r="BJ820" s="10"/>
      <c r="BM820" s="109"/>
      <c r="BN820" s="109"/>
      <c r="BP820" s="10"/>
      <c r="BS820" s="109"/>
      <c r="BT820" s="109"/>
      <c r="BV820" s="10"/>
      <c r="BY820" s="109"/>
      <c r="BZ820" s="109"/>
      <c r="CB820" s="10"/>
      <c r="CE820" s="109"/>
      <c r="CF820" s="109"/>
      <c r="CH820" s="10"/>
      <c r="CK820" s="109"/>
      <c r="CL820" s="109"/>
    </row>
    <row r="821" spans="1:90">
      <c r="A821" s="7" t="str">
        <f t="shared" si="121"/>
        <v>01630998</v>
      </c>
      <c r="B821" s="7" t="s">
        <v>2502</v>
      </c>
      <c r="C821" s="7" t="s">
        <v>2781</v>
      </c>
      <c r="D821" s="7">
        <v>812</v>
      </c>
      <c r="E821" s="7">
        <v>163</v>
      </c>
      <c r="F821" s="7" t="s">
        <v>2135</v>
      </c>
      <c r="G821" s="7">
        <v>998</v>
      </c>
      <c r="I821" s="129">
        <v>0</v>
      </c>
      <c r="J821" s="130">
        <v>0</v>
      </c>
      <c r="K821" s="123">
        <f t="shared" si="130"/>
        <v>0</v>
      </c>
      <c r="L821" s="122">
        <f>IF(K824&gt;0, K821/K824, 0)</f>
        <v>0</v>
      </c>
      <c r="M821" s="71"/>
      <c r="N821" s="10">
        <f>ROUND(M824*L821,0)</f>
        <v>0</v>
      </c>
      <c r="O821" s="70">
        <v>0</v>
      </c>
      <c r="P821" s="10">
        <f>N821-O821</f>
        <v>0</v>
      </c>
      <c r="Q821" s="46">
        <f t="shared" si="129"/>
        <v>0</v>
      </c>
      <c r="R821" s="10">
        <v>0</v>
      </c>
      <c r="S821" s="7">
        <f t="shared" si="122"/>
        <v>0</v>
      </c>
      <c r="T821" s="124">
        <f t="shared" si="123"/>
        <v>163</v>
      </c>
      <c r="U821" s="124">
        <f t="shared" si="124"/>
        <v>998</v>
      </c>
      <c r="V821" s="124">
        <f t="shared" si="125"/>
        <v>812</v>
      </c>
      <c r="W821" s="124">
        <f t="shared" si="126"/>
        <v>0</v>
      </c>
      <c r="X821" s="124">
        <f t="shared" si="127"/>
        <v>0</v>
      </c>
      <c r="Y821" s="264">
        <f t="shared" si="128"/>
        <v>812</v>
      </c>
      <c r="Z821" s="10">
        <v>163</v>
      </c>
      <c r="AA821" s="7">
        <v>998</v>
      </c>
      <c r="AB821" s="7">
        <v>812</v>
      </c>
      <c r="AC821" s="109">
        <v>0</v>
      </c>
      <c r="AD821" s="109">
        <v>0</v>
      </c>
      <c r="AE821" s="125"/>
      <c r="AF821" s="10"/>
      <c r="AI821" s="109"/>
      <c r="AJ821" s="109"/>
      <c r="AL821" s="10"/>
      <c r="AO821" s="109"/>
      <c r="AP821" s="109"/>
      <c r="AR821" s="10"/>
      <c r="AU821" s="109"/>
      <c r="AV821" s="109"/>
      <c r="AX821" s="10"/>
      <c r="BA821" s="109"/>
      <c r="BB821" s="109"/>
      <c r="BD821" s="10"/>
      <c r="BG821" s="109"/>
      <c r="BH821" s="109"/>
      <c r="BJ821" s="10"/>
      <c r="BM821" s="109"/>
      <c r="BN821" s="109"/>
      <c r="BP821" s="10"/>
      <c r="BS821" s="109"/>
      <c r="BT821" s="109"/>
      <c r="BV821" s="10"/>
      <c r="BY821" s="109"/>
      <c r="BZ821" s="109"/>
      <c r="CB821" s="10"/>
      <c r="CE821" s="109"/>
      <c r="CF821" s="109"/>
      <c r="CH821" s="10"/>
      <c r="CK821" s="109"/>
      <c r="CL821" s="109"/>
    </row>
    <row r="822" spans="1:90">
      <c r="A822" s="7" t="str">
        <f t="shared" si="121"/>
        <v>01630998</v>
      </c>
      <c r="B822" s="7" t="s">
        <v>2502</v>
      </c>
      <c r="C822" s="7" t="s">
        <v>2781</v>
      </c>
      <c r="D822" s="7">
        <v>813</v>
      </c>
      <c r="E822" s="7">
        <v>163</v>
      </c>
      <c r="F822" s="7" t="s">
        <v>2135</v>
      </c>
      <c r="G822" s="7">
        <v>998</v>
      </c>
      <c r="H822" s="7" t="s">
        <v>2135</v>
      </c>
      <c r="I822" s="37">
        <v>0</v>
      </c>
      <c r="J822" s="122">
        <v>0</v>
      </c>
      <c r="K822" s="123">
        <f t="shared" si="130"/>
        <v>0</v>
      </c>
      <c r="L822" s="122">
        <f>IF(K824&gt;0, K822/K824, 0)</f>
        <v>0</v>
      </c>
      <c r="M822" s="71"/>
      <c r="N822" s="10">
        <f>ROUND(M824*L822,0)</f>
        <v>0</v>
      </c>
      <c r="O822" s="70">
        <v>0</v>
      </c>
      <c r="P822" s="10">
        <f>N822-O822</f>
        <v>0</v>
      </c>
      <c r="Q822" s="46">
        <f t="shared" si="129"/>
        <v>0</v>
      </c>
      <c r="R822" s="10">
        <v>0</v>
      </c>
      <c r="S822" s="7">
        <f t="shared" si="122"/>
        <v>0</v>
      </c>
      <c r="T822" s="124">
        <f t="shared" si="123"/>
        <v>163</v>
      </c>
      <c r="U822" s="124">
        <f t="shared" si="124"/>
        <v>998</v>
      </c>
      <c r="V822" s="124">
        <f t="shared" si="125"/>
        <v>813</v>
      </c>
      <c r="W822" s="124">
        <f t="shared" si="126"/>
        <v>0</v>
      </c>
      <c r="X822" s="124">
        <f t="shared" si="127"/>
        <v>0</v>
      </c>
      <c r="Y822" s="264">
        <f t="shared" si="128"/>
        <v>813</v>
      </c>
      <c r="Z822" s="10">
        <v>163</v>
      </c>
      <c r="AA822" s="7">
        <v>998</v>
      </c>
      <c r="AB822" s="7">
        <v>813</v>
      </c>
      <c r="AC822" s="109">
        <v>0</v>
      </c>
      <c r="AD822" s="109">
        <v>0</v>
      </c>
      <c r="AE822" s="125"/>
      <c r="AF822" s="10"/>
      <c r="AI822" s="109"/>
      <c r="AJ822" s="109"/>
      <c r="AL822" s="10"/>
      <c r="AO822" s="109"/>
      <c r="AP822" s="109"/>
      <c r="AR822" s="10"/>
      <c r="AU822" s="109"/>
      <c r="AV822" s="109"/>
      <c r="AX822" s="10"/>
      <c r="BA822" s="109"/>
      <c r="BB822" s="109"/>
      <c r="BD822" s="10"/>
      <c r="BG822" s="109"/>
      <c r="BH822" s="109"/>
      <c r="BJ822" s="10"/>
      <c r="BM822" s="109"/>
      <c r="BN822" s="109"/>
      <c r="BP822" s="10"/>
      <c r="BS822" s="109"/>
      <c r="BT822" s="109"/>
      <c r="BV822" s="10"/>
      <c r="BY822" s="109"/>
      <c r="BZ822" s="109"/>
      <c r="CB822" s="10"/>
      <c r="CE822" s="109"/>
      <c r="CF822" s="109"/>
      <c r="CH822" s="10"/>
      <c r="CK822" s="109"/>
      <c r="CL822" s="109"/>
    </row>
    <row r="823" spans="1:90">
      <c r="A823" s="7" t="str">
        <f t="shared" si="121"/>
        <v>01630998</v>
      </c>
      <c r="B823" s="7" t="s">
        <v>2502</v>
      </c>
      <c r="C823" s="7" t="s">
        <v>2781</v>
      </c>
      <c r="D823" s="7">
        <v>814</v>
      </c>
      <c r="E823" s="7">
        <v>163</v>
      </c>
      <c r="F823" s="7" t="s">
        <v>2135</v>
      </c>
      <c r="G823" s="7">
        <v>998</v>
      </c>
      <c r="H823" s="7" t="s">
        <v>2135</v>
      </c>
      <c r="I823" s="37">
        <v>0</v>
      </c>
      <c r="J823" s="122">
        <v>0</v>
      </c>
      <c r="K823" s="123">
        <f t="shared" si="130"/>
        <v>0</v>
      </c>
      <c r="L823" s="122">
        <f>IF(K824&gt;0, K823/K824, 0)</f>
        <v>0</v>
      </c>
      <c r="M823" s="71"/>
      <c r="N823" s="10">
        <f>ROUND(M824*L823,0)</f>
        <v>0</v>
      </c>
      <c r="O823" s="70">
        <v>0</v>
      </c>
      <c r="P823" s="10">
        <f>N823-O823</f>
        <v>0</v>
      </c>
      <c r="Q823" s="46">
        <f t="shared" si="129"/>
        <v>0</v>
      </c>
      <c r="R823" s="10">
        <v>0</v>
      </c>
      <c r="S823" s="7">
        <f t="shared" si="122"/>
        <v>0</v>
      </c>
      <c r="T823" s="124">
        <f t="shared" si="123"/>
        <v>163</v>
      </c>
      <c r="U823" s="124">
        <f t="shared" si="124"/>
        <v>998</v>
      </c>
      <c r="V823" s="124">
        <f t="shared" si="125"/>
        <v>814</v>
      </c>
      <c r="W823" s="124">
        <f t="shared" si="126"/>
        <v>0</v>
      </c>
      <c r="X823" s="124">
        <f t="shared" si="127"/>
        <v>0</v>
      </c>
      <c r="Y823" s="264">
        <f t="shared" si="128"/>
        <v>814</v>
      </c>
      <c r="Z823" s="10">
        <v>163</v>
      </c>
      <c r="AA823" s="7">
        <v>998</v>
      </c>
      <c r="AB823" s="7">
        <v>814</v>
      </c>
      <c r="AC823" s="109">
        <v>0</v>
      </c>
      <c r="AD823" s="109">
        <v>0</v>
      </c>
      <c r="AE823" s="125"/>
      <c r="AF823" s="10"/>
      <c r="AI823" s="109"/>
      <c r="AJ823" s="109"/>
      <c r="AL823" s="10"/>
      <c r="AO823" s="109"/>
      <c r="AP823" s="109"/>
      <c r="AR823" s="10"/>
      <c r="AU823" s="109"/>
      <c r="AV823" s="109"/>
      <c r="AX823" s="10"/>
      <c r="BA823" s="109"/>
      <c r="BB823" s="109"/>
      <c r="BD823" s="10"/>
      <c r="BG823" s="109"/>
      <c r="BH823" s="109"/>
      <c r="BJ823" s="10"/>
      <c r="BM823" s="109"/>
      <c r="BN823" s="109"/>
      <c r="BP823" s="10"/>
      <c r="BS823" s="109"/>
      <c r="BT823" s="109"/>
      <c r="BV823" s="10"/>
      <c r="BY823" s="109"/>
      <c r="BZ823" s="109"/>
      <c r="CB823" s="10"/>
      <c r="CE823" s="109"/>
      <c r="CF823" s="109"/>
      <c r="CH823" s="10"/>
      <c r="CK823" s="109"/>
      <c r="CL823" s="109"/>
    </row>
    <row r="824" spans="1:90">
      <c r="A824" s="7" t="str">
        <f t="shared" si="121"/>
        <v>01630999</v>
      </c>
      <c r="B824" s="7" t="s">
        <v>2502</v>
      </c>
      <c r="C824" s="7" t="s">
        <v>2782</v>
      </c>
      <c r="D824" s="7">
        <v>815</v>
      </c>
      <c r="E824" s="11">
        <v>163</v>
      </c>
      <c r="F824" s="11" t="s">
        <v>1868</v>
      </c>
      <c r="G824" s="11">
        <v>999</v>
      </c>
      <c r="H824" s="11" t="s">
        <v>1132</v>
      </c>
      <c r="I824" s="105">
        <v>192172422.52999997</v>
      </c>
      <c r="J824" s="126">
        <v>1</v>
      </c>
      <c r="K824" s="127">
        <f>SUM(K820:K823)</f>
        <v>201554686.66682765</v>
      </c>
      <c r="L824" s="126">
        <f>SUM(L820:L823)</f>
        <v>1</v>
      </c>
      <c r="M824" s="105">
        <f>VLOOKUP(E824,town351,22)</f>
        <v>48112261</v>
      </c>
      <c r="N824" s="105">
        <f>SUM(N820:N823)</f>
        <v>48112261</v>
      </c>
      <c r="O824" s="128">
        <v>46018423</v>
      </c>
      <c r="P824" s="105">
        <f>SUM(P820:P823)</f>
        <v>2093838</v>
      </c>
      <c r="Q824" s="45">
        <f t="shared" si="129"/>
        <v>4.5499994643449648</v>
      </c>
      <c r="R824" s="105">
        <v>16463</v>
      </c>
      <c r="S824" s="7">
        <f t="shared" si="122"/>
        <v>0</v>
      </c>
      <c r="T824" s="124">
        <f t="shared" si="123"/>
        <v>163</v>
      </c>
      <c r="U824" s="124">
        <f t="shared" si="124"/>
        <v>999</v>
      </c>
      <c r="V824" s="124">
        <f t="shared" si="125"/>
        <v>815</v>
      </c>
      <c r="W824" s="124">
        <f t="shared" si="126"/>
        <v>16852</v>
      </c>
      <c r="X824" s="124">
        <f t="shared" si="127"/>
        <v>201554686.66682765</v>
      </c>
      <c r="Y824" s="264">
        <f t="shared" si="128"/>
        <v>815</v>
      </c>
      <c r="Z824" s="10">
        <v>163</v>
      </c>
      <c r="AA824" s="7">
        <v>999</v>
      </c>
      <c r="AB824" s="7">
        <v>815</v>
      </c>
      <c r="AC824" s="109">
        <v>16852</v>
      </c>
      <c r="AD824" s="109">
        <v>201554686.66682765</v>
      </c>
      <c r="AE824" s="125"/>
      <c r="AF824" s="10"/>
      <c r="AI824" s="109"/>
      <c r="AJ824" s="109"/>
      <c r="AL824" s="10"/>
      <c r="AO824" s="109"/>
      <c r="AP824" s="109"/>
      <c r="AR824" s="10"/>
      <c r="AU824" s="109"/>
      <c r="AV824" s="109"/>
      <c r="AX824" s="10"/>
      <c r="BA824" s="109"/>
      <c r="BB824" s="109"/>
      <c r="BD824" s="10"/>
      <c r="BG824" s="109"/>
      <c r="BH824" s="109"/>
      <c r="BJ824" s="10"/>
      <c r="BM824" s="109"/>
      <c r="BN824" s="109"/>
      <c r="BP824" s="10"/>
      <c r="BS824" s="109"/>
      <c r="BT824" s="109"/>
      <c r="BV824" s="10"/>
      <c r="BY824" s="109"/>
      <c r="BZ824" s="109"/>
      <c r="CB824" s="10"/>
      <c r="CE824" s="109"/>
      <c r="CF824" s="109"/>
      <c r="CH824" s="10"/>
      <c r="CK824" s="109"/>
      <c r="CL824" s="109"/>
    </row>
    <row r="825" spans="1:90">
      <c r="A825" s="7" t="str">
        <f t="shared" si="121"/>
        <v>01640164</v>
      </c>
      <c r="B825" s="7" t="s">
        <v>2503</v>
      </c>
      <c r="C825" s="7" t="s">
        <v>2503</v>
      </c>
      <c r="D825" s="7">
        <v>816</v>
      </c>
      <c r="E825" s="7">
        <v>164</v>
      </c>
      <c r="F825" s="7" t="s">
        <v>1869</v>
      </c>
      <c r="G825" s="7">
        <v>164</v>
      </c>
      <c r="H825" s="7" t="s">
        <v>1430</v>
      </c>
      <c r="I825" s="37">
        <v>20021615.672320001</v>
      </c>
      <c r="J825" s="122">
        <v>0.98449356000027777</v>
      </c>
      <c r="K825" s="123">
        <f>X825</f>
        <v>21073446.154188275</v>
      </c>
      <c r="L825" s="122">
        <f>IF(K829&gt;0, K825/K829, 0)</f>
        <v>0.98439551335770048</v>
      </c>
      <c r="M825" s="71"/>
      <c r="N825" s="10">
        <f>ROUND(M829*L825,0)</f>
        <v>17422551</v>
      </c>
      <c r="O825" s="70">
        <v>16786039</v>
      </c>
      <c r="P825" s="10">
        <f>N825-O825</f>
        <v>636512</v>
      </c>
      <c r="Q825" s="46">
        <f t="shared" si="129"/>
        <v>3.7919130296313504</v>
      </c>
      <c r="R825" s="10">
        <v>2126</v>
      </c>
      <c r="S825" s="7">
        <f t="shared" si="122"/>
        <v>0</v>
      </c>
      <c r="T825" s="124">
        <f t="shared" si="123"/>
        <v>164</v>
      </c>
      <c r="U825" s="124">
        <f t="shared" si="124"/>
        <v>164</v>
      </c>
      <c r="V825" s="124">
        <f t="shared" si="125"/>
        <v>816</v>
      </c>
      <c r="W825" s="124">
        <f t="shared" si="126"/>
        <v>2191</v>
      </c>
      <c r="X825" s="124">
        <f t="shared" si="127"/>
        <v>21073446.154188275</v>
      </c>
      <c r="Y825" s="264">
        <f t="shared" si="128"/>
        <v>816</v>
      </c>
      <c r="Z825" s="10">
        <v>164</v>
      </c>
      <c r="AA825" s="7">
        <v>164</v>
      </c>
      <c r="AB825" s="7">
        <v>816</v>
      </c>
      <c r="AC825" s="109">
        <v>2191</v>
      </c>
      <c r="AD825" s="109">
        <v>21073446.154188275</v>
      </c>
      <c r="AE825" s="125"/>
      <c r="AF825" s="10"/>
      <c r="AI825" s="109"/>
      <c r="AJ825" s="109"/>
      <c r="AL825" s="10"/>
      <c r="AO825" s="109"/>
      <c r="AP825" s="109"/>
      <c r="AR825" s="10"/>
      <c r="AU825" s="109"/>
      <c r="AV825" s="109"/>
      <c r="AX825" s="10"/>
      <c r="BA825" s="109"/>
      <c r="BB825" s="109"/>
      <c r="BD825" s="10"/>
      <c r="BG825" s="109"/>
      <c r="BH825" s="109"/>
      <c r="BJ825" s="10"/>
      <c r="BM825" s="109"/>
      <c r="BN825" s="109"/>
      <c r="BP825" s="10"/>
      <c r="BS825" s="109"/>
      <c r="BT825" s="109"/>
      <c r="BV825" s="10"/>
      <c r="BY825" s="109"/>
      <c r="BZ825" s="109"/>
      <c r="CB825" s="10"/>
      <c r="CE825" s="109"/>
      <c r="CF825" s="109"/>
      <c r="CH825" s="10"/>
      <c r="CK825" s="109"/>
      <c r="CL825" s="109"/>
    </row>
    <row r="826" spans="1:90">
      <c r="A826" s="7" t="str">
        <f t="shared" si="121"/>
        <v>01640817</v>
      </c>
      <c r="B826" s="7" t="s">
        <v>2503</v>
      </c>
      <c r="C826" s="7" t="s">
        <v>2757</v>
      </c>
      <c r="D826" s="7">
        <v>817</v>
      </c>
      <c r="E826" s="7">
        <v>164</v>
      </c>
      <c r="F826" s="7" t="s">
        <v>1869</v>
      </c>
      <c r="G826" s="7">
        <v>817</v>
      </c>
      <c r="H826" s="7" t="s">
        <v>1684</v>
      </c>
      <c r="I826" s="37">
        <v>315354</v>
      </c>
      <c r="J826" s="122">
        <v>1.5506439999722193E-2</v>
      </c>
      <c r="K826" s="123">
        <f t="shared" si="130"/>
        <v>334053.0351449899</v>
      </c>
      <c r="L826" s="122">
        <f>IF(K829&gt;0, K826/K829, 0)</f>
        <v>1.5604486642299575E-2</v>
      </c>
      <c r="M826" s="71"/>
      <c r="N826" s="10">
        <f>ROUND(M829*L826,0)</f>
        <v>276180</v>
      </c>
      <c r="O826" s="70">
        <v>264391</v>
      </c>
      <c r="P826" s="10">
        <f>N826-O826</f>
        <v>11789</v>
      </c>
      <c r="Q826" s="46">
        <f t="shared" si="129"/>
        <v>4.4589263628489624</v>
      </c>
      <c r="R826" s="10">
        <v>20</v>
      </c>
      <c r="S826" s="7">
        <f t="shared" si="122"/>
        <v>0</v>
      </c>
      <c r="T826" s="124">
        <f t="shared" si="123"/>
        <v>164</v>
      </c>
      <c r="U826" s="124">
        <f t="shared" si="124"/>
        <v>817</v>
      </c>
      <c r="V826" s="124">
        <f t="shared" si="125"/>
        <v>817</v>
      </c>
      <c r="W826" s="124">
        <f t="shared" si="126"/>
        <v>20.999999998379998</v>
      </c>
      <c r="X826" s="124">
        <f t="shared" si="127"/>
        <v>334053.0351449899</v>
      </c>
      <c r="Y826" s="264">
        <f t="shared" si="128"/>
        <v>817</v>
      </c>
      <c r="Z826" s="10">
        <v>164</v>
      </c>
      <c r="AA826" s="7">
        <v>817</v>
      </c>
      <c r="AB826" s="7">
        <v>817</v>
      </c>
      <c r="AC826" s="109">
        <v>20.999999998379998</v>
      </c>
      <c r="AD826" s="109">
        <v>334053.0351449899</v>
      </c>
      <c r="AE826" s="125"/>
      <c r="AF826" s="10"/>
      <c r="AI826" s="109"/>
      <c r="AJ826" s="109"/>
      <c r="AL826" s="10"/>
      <c r="AO826" s="109"/>
      <c r="AP826" s="109"/>
      <c r="AR826" s="10"/>
      <c r="AU826" s="109"/>
      <c r="AV826" s="109"/>
      <c r="AX826" s="10"/>
      <c r="BA826" s="109"/>
      <c r="BB826" s="109"/>
      <c r="BD826" s="10"/>
      <c r="BG826" s="109"/>
      <c r="BH826" s="109"/>
      <c r="BJ826" s="10"/>
      <c r="BM826" s="109"/>
      <c r="BN826" s="109"/>
      <c r="BP826" s="10"/>
      <c r="BS826" s="109"/>
      <c r="BT826" s="109"/>
      <c r="BV826" s="10"/>
      <c r="BY826" s="109"/>
      <c r="BZ826" s="109"/>
      <c r="CB826" s="10"/>
      <c r="CE826" s="109"/>
      <c r="CF826" s="109"/>
      <c r="CH826" s="10"/>
      <c r="CK826" s="109"/>
      <c r="CL826" s="109"/>
    </row>
    <row r="827" spans="1:90">
      <c r="A827" s="7" t="str">
        <f t="shared" si="121"/>
        <v>01640998</v>
      </c>
      <c r="B827" s="7" t="s">
        <v>2503</v>
      </c>
      <c r="C827" s="7" t="s">
        <v>2781</v>
      </c>
      <c r="D827" s="7">
        <v>818</v>
      </c>
      <c r="E827" s="7">
        <v>164</v>
      </c>
      <c r="F827" s="7" t="s">
        <v>2135</v>
      </c>
      <c r="G827" s="7">
        <v>998</v>
      </c>
      <c r="I827" s="129">
        <v>0</v>
      </c>
      <c r="J827" s="130">
        <v>0</v>
      </c>
      <c r="K827" s="123">
        <f t="shared" si="130"/>
        <v>0</v>
      </c>
      <c r="L827" s="122">
        <f>IF(K829&gt;0, K827/K829, 0)</f>
        <v>0</v>
      </c>
      <c r="M827" s="71"/>
      <c r="N827" s="10">
        <f>ROUND(M829*L827,0)</f>
        <v>0</v>
      </c>
      <c r="O827" s="70">
        <v>0</v>
      </c>
      <c r="P827" s="10">
        <f>N827-O827</f>
        <v>0</v>
      </c>
      <c r="Q827" s="46">
        <f t="shared" si="129"/>
        <v>0</v>
      </c>
      <c r="R827" s="10">
        <v>0</v>
      </c>
      <c r="S827" s="7">
        <f t="shared" si="122"/>
        <v>0</v>
      </c>
      <c r="T827" s="124">
        <f t="shared" si="123"/>
        <v>164</v>
      </c>
      <c r="U827" s="124">
        <f t="shared" si="124"/>
        <v>998</v>
      </c>
      <c r="V827" s="124">
        <f t="shared" si="125"/>
        <v>818</v>
      </c>
      <c r="W827" s="124">
        <f t="shared" si="126"/>
        <v>0</v>
      </c>
      <c r="X827" s="124">
        <f t="shared" si="127"/>
        <v>0</v>
      </c>
      <c r="Y827" s="264">
        <f t="shared" si="128"/>
        <v>818</v>
      </c>
      <c r="Z827" s="10">
        <v>164</v>
      </c>
      <c r="AA827" s="7">
        <v>998</v>
      </c>
      <c r="AB827" s="7">
        <v>818</v>
      </c>
      <c r="AC827" s="109">
        <v>0</v>
      </c>
      <c r="AD827" s="109">
        <v>0</v>
      </c>
      <c r="AE827" s="125"/>
      <c r="AF827" s="10"/>
      <c r="AI827" s="109"/>
      <c r="AJ827" s="109"/>
      <c r="AL827" s="10"/>
      <c r="AO827" s="109"/>
      <c r="AP827" s="109"/>
      <c r="AR827" s="10"/>
      <c r="AU827" s="109"/>
      <c r="AV827" s="109"/>
      <c r="AX827" s="10"/>
      <c r="BA827" s="109"/>
      <c r="BB827" s="109"/>
      <c r="BD827" s="10"/>
      <c r="BG827" s="109"/>
      <c r="BH827" s="109"/>
      <c r="BJ827" s="10"/>
      <c r="BM827" s="109"/>
      <c r="BN827" s="109"/>
      <c r="BP827" s="10"/>
      <c r="BS827" s="109"/>
      <c r="BT827" s="109"/>
      <c r="BV827" s="10"/>
      <c r="BY827" s="109"/>
      <c r="BZ827" s="109"/>
      <c r="CB827" s="10"/>
      <c r="CE827" s="109"/>
      <c r="CF827" s="109"/>
      <c r="CH827" s="10"/>
      <c r="CK827" s="109"/>
      <c r="CL827" s="109"/>
    </row>
    <row r="828" spans="1:90">
      <c r="A828" s="7" t="str">
        <f t="shared" si="121"/>
        <v>01640998</v>
      </c>
      <c r="B828" s="7" t="s">
        <v>2503</v>
      </c>
      <c r="C828" s="7" t="s">
        <v>2781</v>
      </c>
      <c r="D828" s="7">
        <v>819</v>
      </c>
      <c r="E828" s="7">
        <v>164</v>
      </c>
      <c r="F828" s="7" t="s">
        <v>2135</v>
      </c>
      <c r="G828" s="7">
        <v>998</v>
      </c>
      <c r="H828" s="7" t="s">
        <v>2135</v>
      </c>
      <c r="I828" s="37">
        <v>0</v>
      </c>
      <c r="J828" s="122">
        <v>0</v>
      </c>
      <c r="K828" s="123">
        <f t="shared" si="130"/>
        <v>0</v>
      </c>
      <c r="L828" s="122">
        <f>IF(K829&gt;0, K828/K829, 0)</f>
        <v>0</v>
      </c>
      <c r="M828" s="71"/>
      <c r="N828" s="10">
        <f>ROUND(M829*L828,0)</f>
        <v>0</v>
      </c>
      <c r="O828" s="70">
        <v>0</v>
      </c>
      <c r="P828" s="10">
        <f>N828-O828</f>
        <v>0</v>
      </c>
      <c r="Q828" s="46">
        <f t="shared" si="129"/>
        <v>0</v>
      </c>
      <c r="R828" s="10">
        <v>0</v>
      </c>
      <c r="S828" s="7">
        <f t="shared" si="122"/>
        <v>0</v>
      </c>
      <c r="T828" s="124">
        <f t="shared" si="123"/>
        <v>164</v>
      </c>
      <c r="U828" s="124">
        <f t="shared" si="124"/>
        <v>998</v>
      </c>
      <c r="V828" s="124">
        <f t="shared" si="125"/>
        <v>819</v>
      </c>
      <c r="W828" s="124">
        <f t="shared" si="126"/>
        <v>0</v>
      </c>
      <c r="X828" s="124">
        <f t="shared" si="127"/>
        <v>0</v>
      </c>
      <c r="Y828" s="264">
        <f t="shared" si="128"/>
        <v>819</v>
      </c>
      <c r="Z828" s="10">
        <v>164</v>
      </c>
      <c r="AA828" s="7">
        <v>998</v>
      </c>
      <c r="AB828" s="7">
        <v>819</v>
      </c>
      <c r="AC828" s="109">
        <v>0</v>
      </c>
      <c r="AD828" s="109">
        <v>0</v>
      </c>
      <c r="AE828" s="125"/>
      <c r="AF828" s="10"/>
      <c r="AI828" s="109"/>
      <c r="AJ828" s="109"/>
      <c r="AL828" s="10"/>
      <c r="AO828" s="109"/>
      <c r="AP828" s="109"/>
      <c r="AR828" s="10"/>
      <c r="AU828" s="109"/>
      <c r="AV828" s="109"/>
      <c r="AX828" s="10"/>
      <c r="BA828" s="109"/>
      <c r="BB828" s="109"/>
      <c r="BD828" s="10"/>
      <c r="BG828" s="109"/>
      <c r="BH828" s="109"/>
      <c r="BJ828" s="10"/>
      <c r="BM828" s="109"/>
      <c r="BN828" s="109"/>
      <c r="BP828" s="10"/>
      <c r="BS828" s="109"/>
      <c r="BT828" s="109"/>
      <c r="BV828" s="10"/>
      <c r="BY828" s="109"/>
      <c r="BZ828" s="109"/>
      <c r="CB828" s="10"/>
      <c r="CE828" s="109"/>
      <c r="CF828" s="109"/>
      <c r="CH828" s="10"/>
      <c r="CK828" s="109"/>
      <c r="CL828" s="109"/>
    </row>
    <row r="829" spans="1:90">
      <c r="A829" s="7" t="str">
        <f t="shared" si="121"/>
        <v>01640999</v>
      </c>
      <c r="B829" s="7" t="s">
        <v>2503</v>
      </c>
      <c r="C829" s="7" t="s">
        <v>2782</v>
      </c>
      <c r="D829" s="7">
        <v>820</v>
      </c>
      <c r="E829" s="11">
        <v>164</v>
      </c>
      <c r="F829" s="11" t="s">
        <v>1869</v>
      </c>
      <c r="G829" s="11">
        <v>999</v>
      </c>
      <c r="H829" s="11" t="s">
        <v>1132</v>
      </c>
      <c r="I829" s="105">
        <v>20336969.672320001</v>
      </c>
      <c r="J829" s="126">
        <v>1</v>
      </c>
      <c r="K829" s="127">
        <f>SUM(K825:K828)</f>
        <v>21407499.189333264</v>
      </c>
      <c r="L829" s="126">
        <f>SUM(L825:L828)</f>
        <v>1</v>
      </c>
      <c r="M829" s="105">
        <f>VLOOKUP(E829,town351,22)</f>
        <v>17698731</v>
      </c>
      <c r="N829" s="105">
        <f>SUM(N825:N828)</f>
        <v>17698731</v>
      </c>
      <c r="O829" s="128">
        <v>17050430</v>
      </c>
      <c r="P829" s="105">
        <f>SUM(P825:P828)</f>
        <v>648301</v>
      </c>
      <c r="Q829" s="45">
        <f t="shared" si="129"/>
        <v>3.8022560134847039</v>
      </c>
      <c r="R829" s="105">
        <v>2146</v>
      </c>
      <c r="S829" s="7">
        <f t="shared" si="122"/>
        <v>0</v>
      </c>
      <c r="T829" s="124">
        <f t="shared" si="123"/>
        <v>164</v>
      </c>
      <c r="U829" s="124">
        <f t="shared" si="124"/>
        <v>999</v>
      </c>
      <c r="V829" s="124">
        <f t="shared" si="125"/>
        <v>820</v>
      </c>
      <c r="W829" s="124">
        <f t="shared" si="126"/>
        <v>2211.9999999983802</v>
      </c>
      <c r="X829" s="124">
        <f t="shared" si="127"/>
        <v>21407499.189333264</v>
      </c>
      <c r="Y829" s="264">
        <f t="shared" si="128"/>
        <v>820</v>
      </c>
      <c r="Z829" s="10">
        <v>164</v>
      </c>
      <c r="AA829" s="7">
        <v>999</v>
      </c>
      <c r="AB829" s="7">
        <v>820</v>
      </c>
      <c r="AC829" s="109">
        <v>2211.9999999983802</v>
      </c>
      <c r="AD829" s="109">
        <v>21407499.189333264</v>
      </c>
      <c r="AE829" s="125"/>
      <c r="AF829" s="10"/>
      <c r="AI829" s="109"/>
      <c r="AJ829" s="109"/>
      <c r="AL829" s="10"/>
      <c r="AO829" s="109"/>
      <c r="AP829" s="109"/>
      <c r="AR829" s="10"/>
      <c r="AU829" s="109"/>
      <c r="AV829" s="109"/>
      <c r="AX829" s="10"/>
      <c r="BA829" s="109"/>
      <c r="BB829" s="109"/>
      <c r="BD829" s="10"/>
      <c r="BG829" s="109"/>
      <c r="BH829" s="109"/>
      <c r="BJ829" s="10"/>
      <c r="BM829" s="109"/>
      <c r="BN829" s="109"/>
      <c r="BP829" s="10"/>
      <c r="BS829" s="109"/>
      <c r="BT829" s="109"/>
      <c r="BV829" s="10"/>
      <c r="BY829" s="109"/>
      <c r="BZ829" s="109"/>
      <c r="CB829" s="10"/>
      <c r="CE829" s="109"/>
      <c r="CF829" s="109"/>
      <c r="CH829" s="10"/>
      <c r="CK829" s="109"/>
      <c r="CL829" s="109"/>
    </row>
    <row r="830" spans="1:90">
      <c r="A830" s="7" t="str">
        <f t="shared" si="121"/>
        <v>01650165</v>
      </c>
      <c r="B830" s="7" t="s">
        <v>2504</v>
      </c>
      <c r="C830" s="7" t="s">
        <v>2504</v>
      </c>
      <c r="D830" s="7">
        <v>821</v>
      </c>
      <c r="E830" s="7">
        <v>165</v>
      </c>
      <c r="F830" s="7" t="s">
        <v>1870</v>
      </c>
      <c r="G830" s="7">
        <v>165</v>
      </c>
      <c r="H830" s="7" t="s">
        <v>1431</v>
      </c>
      <c r="I830" s="37">
        <v>84148786.035580009</v>
      </c>
      <c r="J830" s="122">
        <v>0.96844036903373165</v>
      </c>
      <c r="K830" s="123">
        <f>X830</f>
        <v>87320752.243724763</v>
      </c>
      <c r="L830" s="122">
        <f>IF(K834&gt;0, K830/K834, 0)</f>
        <v>0.96805394966905556</v>
      </c>
      <c r="M830" s="71"/>
      <c r="N830" s="10">
        <f>ROUND(M834*L830,0)</f>
        <v>38872647</v>
      </c>
      <c r="O830" s="70">
        <v>37450081</v>
      </c>
      <c r="P830" s="10">
        <f>N830-O830</f>
        <v>1422566</v>
      </c>
      <c r="Q830" s="46">
        <f t="shared" si="129"/>
        <v>3.7985658829416149</v>
      </c>
      <c r="R830" s="10">
        <v>7412</v>
      </c>
      <c r="S830" s="7">
        <f t="shared" si="122"/>
        <v>0</v>
      </c>
      <c r="T830" s="124">
        <f t="shared" si="123"/>
        <v>165</v>
      </c>
      <c r="U830" s="124">
        <f t="shared" si="124"/>
        <v>165</v>
      </c>
      <c r="V830" s="124">
        <f t="shared" si="125"/>
        <v>821</v>
      </c>
      <c r="W830" s="124">
        <f t="shared" si="126"/>
        <v>7529</v>
      </c>
      <c r="X830" s="124">
        <f t="shared" si="127"/>
        <v>87320752.243724763</v>
      </c>
      <c r="Y830" s="264">
        <f t="shared" si="128"/>
        <v>821</v>
      </c>
      <c r="Z830" s="10">
        <v>165</v>
      </c>
      <c r="AA830" s="7">
        <v>165</v>
      </c>
      <c r="AB830" s="7">
        <v>821</v>
      </c>
      <c r="AC830" s="109">
        <v>7529</v>
      </c>
      <c r="AD830" s="109">
        <v>87320752.243724763</v>
      </c>
      <c r="AE830" s="125"/>
      <c r="AF830" s="10"/>
      <c r="AI830" s="109"/>
      <c r="AJ830" s="109"/>
      <c r="AL830" s="10"/>
      <c r="AO830" s="109"/>
      <c r="AP830" s="109"/>
      <c r="AR830" s="10"/>
      <c r="AU830" s="109"/>
      <c r="AV830" s="109"/>
      <c r="AX830" s="10"/>
      <c r="BA830" s="109"/>
      <c r="BB830" s="109"/>
      <c r="BD830" s="10"/>
      <c r="BG830" s="109"/>
      <c r="BH830" s="109"/>
      <c r="BJ830" s="10"/>
      <c r="BM830" s="109"/>
      <c r="BN830" s="109"/>
      <c r="BP830" s="10"/>
      <c r="BS830" s="109"/>
      <c r="BT830" s="109"/>
      <c r="BV830" s="10"/>
      <c r="BY830" s="109"/>
      <c r="BZ830" s="109"/>
      <c r="CB830" s="10"/>
      <c r="CE830" s="109"/>
      <c r="CF830" s="109"/>
      <c r="CH830" s="10"/>
      <c r="CK830" s="109"/>
      <c r="CL830" s="109"/>
    </row>
    <row r="831" spans="1:90">
      <c r="A831" s="7" t="str">
        <f t="shared" si="121"/>
        <v>01650853</v>
      </c>
      <c r="B831" s="7" t="s">
        <v>2504</v>
      </c>
      <c r="C831" s="7" t="s">
        <v>2768</v>
      </c>
      <c r="D831" s="7">
        <v>822</v>
      </c>
      <c r="E831" s="7">
        <v>165</v>
      </c>
      <c r="F831" s="7" t="s">
        <v>1870</v>
      </c>
      <c r="G831" s="7">
        <v>853</v>
      </c>
      <c r="H831" s="7" t="s">
        <v>1695</v>
      </c>
      <c r="I831" s="37">
        <v>2742249</v>
      </c>
      <c r="J831" s="122">
        <v>3.1559630966268362E-2</v>
      </c>
      <c r="K831" s="123">
        <f t="shared" si="130"/>
        <v>2881609.1779467668</v>
      </c>
      <c r="L831" s="122">
        <f>IF(K834&gt;0, K831/K834, 0)</f>
        <v>3.1946050330944518E-2</v>
      </c>
      <c r="M831" s="71"/>
      <c r="N831" s="10">
        <f>ROUND(M834*L831,0)</f>
        <v>1282808</v>
      </c>
      <c r="O831" s="70">
        <v>1220427</v>
      </c>
      <c r="P831" s="10">
        <f>N831-O831</f>
        <v>62381</v>
      </c>
      <c r="Q831" s="46">
        <f t="shared" si="129"/>
        <v>5.111407728606463</v>
      </c>
      <c r="R831" s="10">
        <v>165</v>
      </c>
      <c r="S831" s="7">
        <f t="shared" si="122"/>
        <v>0</v>
      </c>
      <c r="T831" s="124">
        <f t="shared" si="123"/>
        <v>165</v>
      </c>
      <c r="U831" s="124">
        <f t="shared" si="124"/>
        <v>853</v>
      </c>
      <c r="V831" s="124">
        <f t="shared" si="125"/>
        <v>822</v>
      </c>
      <c r="W831" s="124">
        <f t="shared" si="126"/>
        <v>169.99999999625999</v>
      </c>
      <c r="X831" s="124">
        <f t="shared" si="127"/>
        <v>2881609.1779467668</v>
      </c>
      <c r="Y831" s="264">
        <f t="shared" si="128"/>
        <v>822</v>
      </c>
      <c r="Z831" s="10">
        <v>165</v>
      </c>
      <c r="AA831" s="7">
        <v>853</v>
      </c>
      <c r="AB831" s="7">
        <v>822</v>
      </c>
      <c r="AC831" s="109">
        <v>169.99999999625999</v>
      </c>
      <c r="AD831" s="109">
        <v>2881609.1779467668</v>
      </c>
      <c r="AE831" s="125"/>
      <c r="AF831" s="10"/>
      <c r="AI831" s="109"/>
      <c r="AJ831" s="109"/>
      <c r="AL831" s="10"/>
      <c r="AO831" s="109"/>
      <c r="AP831" s="109"/>
      <c r="AR831" s="10"/>
      <c r="AU831" s="109"/>
      <c r="AV831" s="109"/>
      <c r="AX831" s="10"/>
      <c r="BA831" s="109"/>
      <c r="BB831" s="109"/>
      <c r="BD831" s="10"/>
      <c r="BG831" s="109"/>
      <c r="BH831" s="109"/>
      <c r="BJ831" s="10"/>
      <c r="BM831" s="109"/>
      <c r="BN831" s="109"/>
      <c r="BP831" s="10"/>
      <c r="BS831" s="109"/>
      <c r="BT831" s="109"/>
      <c r="BV831" s="10"/>
      <c r="BY831" s="109"/>
      <c r="BZ831" s="109"/>
      <c r="CB831" s="10"/>
      <c r="CE831" s="109"/>
      <c r="CF831" s="109"/>
      <c r="CH831" s="10"/>
      <c r="CK831" s="109"/>
      <c r="CL831" s="109"/>
    </row>
    <row r="832" spans="1:90">
      <c r="A832" s="7" t="str">
        <f t="shared" si="121"/>
        <v>01650998</v>
      </c>
      <c r="B832" s="7" t="s">
        <v>2504</v>
      </c>
      <c r="C832" s="7" t="s">
        <v>2781</v>
      </c>
      <c r="D832" s="7">
        <v>823</v>
      </c>
      <c r="E832" s="7">
        <v>165</v>
      </c>
      <c r="F832" s="7" t="s">
        <v>2135</v>
      </c>
      <c r="G832" s="7">
        <v>998</v>
      </c>
      <c r="I832" s="129">
        <v>0</v>
      </c>
      <c r="J832" s="130">
        <v>0</v>
      </c>
      <c r="K832" s="123">
        <f t="shared" si="130"/>
        <v>0</v>
      </c>
      <c r="L832" s="122">
        <f>IF(K834&gt;0, K832/K834, 0)</f>
        <v>0</v>
      </c>
      <c r="M832" s="71"/>
      <c r="N832" s="10">
        <f>ROUND(M834*L832,0)</f>
        <v>0</v>
      </c>
      <c r="O832" s="70">
        <v>0</v>
      </c>
      <c r="P832" s="10">
        <f>N832-O832</f>
        <v>0</v>
      </c>
      <c r="Q832" s="46">
        <f t="shared" si="129"/>
        <v>0</v>
      </c>
      <c r="R832" s="10">
        <v>0</v>
      </c>
      <c r="S832" s="7">
        <f t="shared" si="122"/>
        <v>0</v>
      </c>
      <c r="T832" s="124">
        <f t="shared" si="123"/>
        <v>165</v>
      </c>
      <c r="U832" s="124">
        <f t="shared" si="124"/>
        <v>998</v>
      </c>
      <c r="V832" s="124">
        <f t="shared" si="125"/>
        <v>823</v>
      </c>
      <c r="W832" s="124">
        <f t="shared" si="126"/>
        <v>0</v>
      </c>
      <c r="X832" s="124">
        <f t="shared" si="127"/>
        <v>0</v>
      </c>
      <c r="Y832" s="264">
        <f t="shared" si="128"/>
        <v>823</v>
      </c>
      <c r="Z832" s="10">
        <v>165</v>
      </c>
      <c r="AA832" s="7">
        <v>998</v>
      </c>
      <c r="AB832" s="7">
        <v>823</v>
      </c>
      <c r="AC832" s="109">
        <v>0</v>
      </c>
      <c r="AD832" s="109">
        <v>0</v>
      </c>
      <c r="AE832" s="125"/>
      <c r="AF832" s="10"/>
      <c r="AI832" s="109"/>
      <c r="AJ832" s="109"/>
      <c r="AL832" s="10"/>
      <c r="AO832" s="109"/>
      <c r="AP832" s="109"/>
      <c r="AR832" s="10"/>
      <c r="AU832" s="109"/>
      <c r="AV832" s="109"/>
      <c r="AX832" s="10"/>
      <c r="BA832" s="109"/>
      <c r="BB832" s="109"/>
      <c r="BD832" s="10"/>
      <c r="BG832" s="109"/>
      <c r="BH832" s="109"/>
      <c r="BJ832" s="10"/>
      <c r="BM832" s="109"/>
      <c r="BN832" s="109"/>
      <c r="BP832" s="10"/>
      <c r="BS832" s="109"/>
      <c r="BT832" s="109"/>
      <c r="BV832" s="10"/>
      <c r="BY832" s="109"/>
      <c r="BZ832" s="109"/>
      <c r="CB832" s="10"/>
      <c r="CE832" s="109"/>
      <c r="CF832" s="109"/>
      <c r="CH832" s="10"/>
      <c r="CK832" s="109"/>
      <c r="CL832" s="109"/>
    </row>
    <row r="833" spans="1:90">
      <c r="A833" s="7" t="str">
        <f t="shared" si="121"/>
        <v>01650998</v>
      </c>
      <c r="B833" s="7" t="s">
        <v>2504</v>
      </c>
      <c r="C833" s="7" t="s">
        <v>2781</v>
      </c>
      <c r="D833" s="7">
        <v>824</v>
      </c>
      <c r="E833" s="7">
        <v>165</v>
      </c>
      <c r="F833" s="7" t="s">
        <v>2135</v>
      </c>
      <c r="G833" s="7">
        <v>998</v>
      </c>
      <c r="H833" s="7" t="s">
        <v>2135</v>
      </c>
      <c r="I833" s="37">
        <v>0</v>
      </c>
      <c r="J833" s="122">
        <v>0</v>
      </c>
      <c r="K833" s="123">
        <f t="shared" si="130"/>
        <v>0</v>
      </c>
      <c r="L833" s="122">
        <f>IF(K834&gt;0, K833/K834, 0)</f>
        <v>0</v>
      </c>
      <c r="M833" s="71"/>
      <c r="N833" s="10">
        <f>ROUND(M834*L833,0)</f>
        <v>0</v>
      </c>
      <c r="O833" s="70">
        <v>0</v>
      </c>
      <c r="P833" s="10">
        <f>N833-O833</f>
        <v>0</v>
      </c>
      <c r="Q833" s="46">
        <f t="shared" si="129"/>
        <v>0</v>
      </c>
      <c r="R833" s="10">
        <v>0</v>
      </c>
      <c r="S833" s="7">
        <f t="shared" si="122"/>
        <v>0</v>
      </c>
      <c r="T833" s="124">
        <f t="shared" si="123"/>
        <v>165</v>
      </c>
      <c r="U833" s="124">
        <f t="shared" si="124"/>
        <v>998</v>
      </c>
      <c r="V833" s="124">
        <f t="shared" si="125"/>
        <v>824</v>
      </c>
      <c r="W833" s="124">
        <f t="shared" si="126"/>
        <v>0</v>
      </c>
      <c r="X833" s="124">
        <f t="shared" si="127"/>
        <v>0</v>
      </c>
      <c r="Y833" s="264">
        <f t="shared" si="128"/>
        <v>824</v>
      </c>
      <c r="Z833" s="10">
        <v>165</v>
      </c>
      <c r="AA833" s="7">
        <v>998</v>
      </c>
      <c r="AB833" s="7">
        <v>824</v>
      </c>
      <c r="AC833" s="109">
        <v>0</v>
      </c>
      <c r="AD833" s="109">
        <v>0</v>
      </c>
      <c r="AE833" s="125"/>
      <c r="AF833" s="10"/>
      <c r="AI833" s="109"/>
      <c r="AJ833" s="109"/>
      <c r="AL833" s="10"/>
      <c r="AO833" s="109"/>
      <c r="AP833" s="109"/>
      <c r="AR833" s="10"/>
      <c r="AU833" s="109"/>
      <c r="AV833" s="109"/>
      <c r="AX833" s="10"/>
      <c r="BA833" s="109"/>
      <c r="BB833" s="109"/>
      <c r="BD833" s="10"/>
      <c r="BG833" s="109"/>
      <c r="BH833" s="109"/>
      <c r="BJ833" s="10"/>
      <c r="BM833" s="109"/>
      <c r="BN833" s="109"/>
      <c r="BP833" s="10"/>
      <c r="BS833" s="109"/>
      <c r="BT833" s="109"/>
      <c r="BV833" s="10"/>
      <c r="BY833" s="109"/>
      <c r="BZ833" s="109"/>
      <c r="CB833" s="10"/>
      <c r="CE833" s="109"/>
      <c r="CF833" s="109"/>
      <c r="CH833" s="10"/>
      <c r="CK833" s="109"/>
      <c r="CL833" s="109"/>
    </row>
    <row r="834" spans="1:90">
      <c r="A834" s="7" t="str">
        <f t="shared" si="121"/>
        <v>01650999</v>
      </c>
      <c r="B834" s="7" t="s">
        <v>2504</v>
      </c>
      <c r="C834" s="7" t="s">
        <v>2782</v>
      </c>
      <c r="D834" s="7">
        <v>825</v>
      </c>
      <c r="E834" s="11">
        <v>165</v>
      </c>
      <c r="F834" s="11" t="s">
        <v>1870</v>
      </c>
      <c r="G834" s="11">
        <v>999</v>
      </c>
      <c r="H834" s="11" t="s">
        <v>1132</v>
      </c>
      <c r="I834" s="105">
        <v>86891035.035580009</v>
      </c>
      <c r="J834" s="126">
        <v>1</v>
      </c>
      <c r="K834" s="127">
        <f>SUM(K830:K833)</f>
        <v>90202361.421671525</v>
      </c>
      <c r="L834" s="126">
        <f>SUM(L830:L833)</f>
        <v>1</v>
      </c>
      <c r="M834" s="105">
        <f>VLOOKUP(E834,town351,22)</f>
        <v>40155455</v>
      </c>
      <c r="N834" s="105">
        <f>SUM(N830:N833)</f>
        <v>40155455</v>
      </c>
      <c r="O834" s="128">
        <v>38670508</v>
      </c>
      <c r="P834" s="105">
        <f>SUM(P830:P833)</f>
        <v>1484947</v>
      </c>
      <c r="Q834" s="45">
        <f t="shared" si="129"/>
        <v>3.8399986884061623</v>
      </c>
      <c r="R834" s="105">
        <v>7577</v>
      </c>
      <c r="S834" s="7">
        <f t="shared" si="122"/>
        <v>0</v>
      </c>
      <c r="T834" s="124">
        <f t="shared" si="123"/>
        <v>165</v>
      </c>
      <c r="U834" s="124">
        <f t="shared" si="124"/>
        <v>999</v>
      </c>
      <c r="V834" s="124">
        <f t="shared" si="125"/>
        <v>825</v>
      </c>
      <c r="W834" s="124">
        <f t="shared" si="126"/>
        <v>7698.9999999962602</v>
      </c>
      <c r="X834" s="124">
        <f t="shared" si="127"/>
        <v>90202361.421671525</v>
      </c>
      <c r="Y834" s="264">
        <f t="shared" si="128"/>
        <v>825</v>
      </c>
      <c r="Z834" s="10">
        <v>165</v>
      </c>
      <c r="AA834" s="7">
        <v>999</v>
      </c>
      <c r="AB834" s="7">
        <v>825</v>
      </c>
      <c r="AC834" s="109">
        <v>7698.9999999962602</v>
      </c>
      <c r="AD834" s="109">
        <v>90202361.421671525</v>
      </c>
      <c r="AE834" s="125"/>
      <c r="AF834" s="10"/>
      <c r="AI834" s="109"/>
      <c r="AJ834" s="109"/>
      <c r="AL834" s="10"/>
      <c r="AO834" s="109"/>
      <c r="AP834" s="109"/>
      <c r="AR834" s="10"/>
      <c r="AU834" s="109"/>
      <c r="AV834" s="109"/>
      <c r="AX834" s="10"/>
      <c r="BA834" s="109"/>
      <c r="BB834" s="109"/>
      <c r="BD834" s="10"/>
      <c r="BG834" s="109"/>
      <c r="BH834" s="109"/>
      <c r="BJ834" s="10"/>
      <c r="BM834" s="109"/>
      <c r="BN834" s="109"/>
      <c r="BP834" s="10"/>
      <c r="BS834" s="109"/>
      <c r="BT834" s="109"/>
      <c r="BV834" s="10"/>
      <c r="BY834" s="109"/>
      <c r="BZ834" s="109"/>
      <c r="CB834" s="10"/>
      <c r="CE834" s="109"/>
      <c r="CF834" s="109"/>
      <c r="CH834" s="10"/>
      <c r="CK834" s="109"/>
      <c r="CL834" s="109"/>
    </row>
    <row r="835" spans="1:90">
      <c r="A835" s="7" t="str">
        <f t="shared" si="121"/>
        <v>01660166</v>
      </c>
      <c r="B835" s="7" t="s">
        <v>2505</v>
      </c>
      <c r="C835" s="7" t="s">
        <v>2505</v>
      </c>
      <c r="D835" s="7">
        <v>826</v>
      </c>
      <c r="E835" s="7">
        <v>166</v>
      </c>
      <c r="F835" s="7" t="s">
        <v>1871</v>
      </c>
      <c r="G835" s="7">
        <v>166</v>
      </c>
      <c r="H835" s="7" t="s">
        <v>1432</v>
      </c>
      <c r="I835" s="37">
        <v>0</v>
      </c>
      <c r="J835" s="122">
        <v>0</v>
      </c>
      <c r="K835" s="123">
        <f>X835</f>
        <v>0</v>
      </c>
      <c r="L835" s="122">
        <f>IF(K839&gt;0, K835/K839, 0)</f>
        <v>0</v>
      </c>
      <c r="M835" s="71"/>
      <c r="N835" s="10">
        <f>ROUND(M839*L835,0)</f>
        <v>0</v>
      </c>
      <c r="O835" s="70">
        <v>0</v>
      </c>
      <c r="P835" s="10">
        <f>N835-O835</f>
        <v>0</v>
      </c>
      <c r="Q835" s="46">
        <f t="shared" si="129"/>
        <v>0</v>
      </c>
      <c r="R835" s="10">
        <v>0</v>
      </c>
      <c r="S835" s="7">
        <f t="shared" si="122"/>
        <v>0</v>
      </c>
      <c r="T835" s="124">
        <f t="shared" si="123"/>
        <v>166</v>
      </c>
      <c r="U835" s="124">
        <f t="shared" si="124"/>
        <v>166</v>
      </c>
      <c r="V835" s="124">
        <f t="shared" si="125"/>
        <v>826</v>
      </c>
      <c r="W835" s="124">
        <f t="shared" si="126"/>
        <v>0</v>
      </c>
      <c r="X835" s="124">
        <f t="shared" si="127"/>
        <v>0</v>
      </c>
      <c r="Y835" s="264">
        <f t="shared" si="128"/>
        <v>826</v>
      </c>
      <c r="Z835" s="10">
        <v>166</v>
      </c>
      <c r="AA835" s="7">
        <v>166</v>
      </c>
      <c r="AB835" s="7">
        <v>826</v>
      </c>
      <c r="AC835" s="109">
        <v>0</v>
      </c>
      <c r="AD835" s="109">
        <v>0</v>
      </c>
      <c r="AE835" s="125"/>
      <c r="AF835" s="10"/>
      <c r="AI835" s="109"/>
      <c r="AJ835" s="109"/>
      <c r="AL835" s="10"/>
      <c r="AO835" s="109"/>
      <c r="AP835" s="109"/>
      <c r="AR835" s="10"/>
      <c r="AU835" s="109"/>
      <c r="AV835" s="109"/>
      <c r="AX835" s="10"/>
      <c r="BA835" s="109"/>
      <c r="BB835" s="109"/>
      <c r="BD835" s="10"/>
      <c r="BG835" s="109"/>
      <c r="BH835" s="109"/>
      <c r="BJ835" s="10"/>
      <c r="BM835" s="109"/>
      <c r="BN835" s="109"/>
      <c r="BP835" s="10"/>
      <c r="BS835" s="109"/>
      <c r="BT835" s="109"/>
      <c r="BV835" s="10"/>
      <c r="BY835" s="109"/>
      <c r="BZ835" s="109"/>
      <c r="CB835" s="10"/>
      <c r="CE835" s="109"/>
      <c r="CF835" s="109"/>
      <c r="CH835" s="10"/>
      <c r="CK835" s="109"/>
      <c r="CL835" s="109"/>
    </row>
    <row r="836" spans="1:90">
      <c r="A836" s="7" t="str">
        <f t="shared" si="121"/>
        <v>01660698</v>
      </c>
      <c r="B836" s="7" t="s">
        <v>2505</v>
      </c>
      <c r="C836" s="7" t="s">
        <v>2724</v>
      </c>
      <c r="D836" s="7">
        <v>827</v>
      </c>
      <c r="E836" s="7">
        <v>166</v>
      </c>
      <c r="F836" s="7" t="s">
        <v>1871</v>
      </c>
      <c r="G836" s="7">
        <v>698</v>
      </c>
      <c r="H836" s="7" t="s">
        <v>1651</v>
      </c>
      <c r="I836" s="37">
        <v>8186430</v>
      </c>
      <c r="J836" s="122">
        <v>0.99046141147977151</v>
      </c>
      <c r="K836" s="123">
        <f t="shared" si="130"/>
        <v>8176876.2828452475</v>
      </c>
      <c r="L836" s="122">
        <f>IF(K839&gt;0, K836/K839, 0)</f>
        <v>0.99227848945072084</v>
      </c>
      <c r="M836" s="71"/>
      <c r="N836" s="10">
        <f>ROUND(M839*L836,0)</f>
        <v>6797504</v>
      </c>
      <c r="O836" s="70">
        <v>6827603</v>
      </c>
      <c r="P836" s="10">
        <f>N836-O836</f>
        <v>-30099</v>
      </c>
      <c r="Q836" s="46">
        <f t="shared" si="129"/>
        <v>-0.44084285509863419</v>
      </c>
      <c r="R836" s="10">
        <v>863</v>
      </c>
      <c r="S836" s="7">
        <f t="shared" si="122"/>
        <v>0</v>
      </c>
      <c r="T836" s="124">
        <f t="shared" si="123"/>
        <v>166</v>
      </c>
      <c r="U836" s="124">
        <f t="shared" si="124"/>
        <v>698</v>
      </c>
      <c r="V836" s="124">
        <f t="shared" si="125"/>
        <v>827</v>
      </c>
      <c r="W836" s="124">
        <f t="shared" si="126"/>
        <v>846.86578171481995</v>
      </c>
      <c r="X836" s="124">
        <f t="shared" si="127"/>
        <v>8176876.2828452475</v>
      </c>
      <c r="Y836" s="264">
        <f t="shared" si="128"/>
        <v>827</v>
      </c>
      <c r="Z836" s="10">
        <v>166</v>
      </c>
      <c r="AA836" s="7">
        <v>698</v>
      </c>
      <c r="AB836" s="7">
        <v>827</v>
      </c>
      <c r="AC836" s="109">
        <v>846.86578171481995</v>
      </c>
      <c r="AD836" s="109">
        <v>8176876.2828452475</v>
      </c>
      <c r="AE836" s="125"/>
      <c r="AF836" s="10"/>
      <c r="AI836" s="109"/>
      <c r="AJ836" s="109"/>
      <c r="AL836" s="10"/>
      <c r="AO836" s="109"/>
      <c r="AP836" s="109"/>
      <c r="AR836" s="10"/>
      <c r="AU836" s="109"/>
      <c r="AV836" s="109"/>
      <c r="AX836" s="10"/>
      <c r="BA836" s="109"/>
      <c r="BB836" s="109"/>
      <c r="BD836" s="10"/>
      <c r="BG836" s="109"/>
      <c r="BH836" s="109"/>
      <c r="BJ836" s="10"/>
      <c r="BM836" s="109"/>
      <c r="BN836" s="109"/>
      <c r="BP836" s="10"/>
      <c r="BS836" s="109"/>
      <c r="BT836" s="109"/>
      <c r="BV836" s="10"/>
      <c r="BY836" s="109"/>
      <c r="BZ836" s="109"/>
      <c r="CB836" s="10"/>
      <c r="CE836" s="109"/>
      <c r="CF836" s="109"/>
      <c r="CH836" s="10"/>
      <c r="CK836" s="109"/>
      <c r="CL836" s="109"/>
    </row>
    <row r="837" spans="1:90">
      <c r="A837" s="7" t="str">
        <f t="shared" si="121"/>
        <v>01660817</v>
      </c>
      <c r="B837" s="7" t="s">
        <v>2505</v>
      </c>
      <c r="C837" s="7" t="s">
        <v>2757</v>
      </c>
      <c r="D837" s="7">
        <v>828</v>
      </c>
      <c r="E837" s="7">
        <v>166</v>
      </c>
      <c r="F837" s="7" t="s">
        <v>1871</v>
      </c>
      <c r="G837" s="7">
        <v>817</v>
      </c>
      <c r="H837" s="7" t="s">
        <v>1684</v>
      </c>
      <c r="I837" s="37">
        <v>78839</v>
      </c>
      <c r="J837" s="122">
        <v>9.5385885202284408E-3</v>
      </c>
      <c r="K837" s="123">
        <f t="shared" si="130"/>
        <v>63629.149628236111</v>
      </c>
      <c r="L837" s="122">
        <f>IF(K839&gt;0, K837/K839, 0)</f>
        <v>7.7215105492791456E-3</v>
      </c>
      <c r="M837" s="71"/>
      <c r="N837" s="10">
        <f>ROUND(M839*L837,0)</f>
        <v>52895</v>
      </c>
      <c r="O837" s="70">
        <v>65753</v>
      </c>
      <c r="P837" s="10">
        <f>N837-O837</f>
        <v>-12858</v>
      </c>
      <c r="Q837" s="46">
        <f t="shared" si="129"/>
        <v>-19.555001292716682</v>
      </c>
      <c r="R837" s="10">
        <v>5</v>
      </c>
      <c r="S837" s="7">
        <f t="shared" si="122"/>
        <v>0</v>
      </c>
      <c r="T837" s="124">
        <f t="shared" si="123"/>
        <v>166</v>
      </c>
      <c r="U837" s="124">
        <f t="shared" si="124"/>
        <v>817</v>
      </c>
      <c r="V837" s="124">
        <f t="shared" si="125"/>
        <v>828</v>
      </c>
      <c r="W837" s="124">
        <f t="shared" si="126"/>
        <v>4.0000000045199995</v>
      </c>
      <c r="X837" s="124">
        <f t="shared" si="127"/>
        <v>63629.149628236111</v>
      </c>
      <c r="Y837" s="264">
        <f t="shared" si="128"/>
        <v>828</v>
      </c>
      <c r="Z837" s="10">
        <v>166</v>
      </c>
      <c r="AA837" s="7">
        <v>817</v>
      </c>
      <c r="AB837" s="7">
        <v>828</v>
      </c>
      <c r="AC837" s="109">
        <v>4.0000000045199995</v>
      </c>
      <c r="AD837" s="109">
        <v>63629.149628236111</v>
      </c>
      <c r="AE837" s="125"/>
      <c r="AF837" s="10"/>
      <c r="AI837" s="109"/>
      <c r="AJ837" s="109"/>
      <c r="AL837" s="10"/>
      <c r="AO837" s="109"/>
      <c r="AP837" s="109"/>
      <c r="AR837" s="10"/>
      <c r="AU837" s="109"/>
      <c r="AV837" s="109"/>
      <c r="AX837" s="10"/>
      <c r="BA837" s="109"/>
      <c r="BB837" s="109"/>
      <c r="BD837" s="10"/>
      <c r="BG837" s="109"/>
      <c r="BH837" s="109"/>
      <c r="BJ837" s="10"/>
      <c r="BM837" s="109"/>
      <c r="BN837" s="109"/>
      <c r="BP837" s="10"/>
      <c r="BS837" s="109"/>
      <c r="BT837" s="109"/>
      <c r="BV837" s="10"/>
      <c r="BY837" s="109"/>
      <c r="BZ837" s="109"/>
      <c r="CB837" s="10"/>
      <c r="CE837" s="109"/>
      <c r="CF837" s="109"/>
      <c r="CH837" s="10"/>
      <c r="CK837" s="109"/>
      <c r="CL837" s="109"/>
    </row>
    <row r="838" spans="1:90">
      <c r="A838" s="7" t="str">
        <f t="shared" si="121"/>
        <v>01660998</v>
      </c>
      <c r="B838" s="7" t="s">
        <v>2505</v>
      </c>
      <c r="C838" s="7" t="s">
        <v>2781</v>
      </c>
      <c r="D838" s="7">
        <v>829</v>
      </c>
      <c r="E838" s="7">
        <v>166</v>
      </c>
      <c r="F838" s="7" t="s">
        <v>2135</v>
      </c>
      <c r="G838" s="7">
        <v>998</v>
      </c>
      <c r="H838" s="7" t="s">
        <v>2135</v>
      </c>
      <c r="I838" s="37">
        <v>0</v>
      </c>
      <c r="J838" s="122">
        <v>0</v>
      </c>
      <c r="K838" s="123">
        <f t="shared" si="130"/>
        <v>0</v>
      </c>
      <c r="L838" s="122">
        <f>IF(K839&gt;0, K838/K839, 0)</f>
        <v>0</v>
      </c>
      <c r="M838" s="71"/>
      <c r="N838" s="10">
        <f>ROUND(M839*L838,0)</f>
        <v>0</v>
      </c>
      <c r="O838" s="70">
        <v>0</v>
      </c>
      <c r="P838" s="10">
        <f>N838-O838</f>
        <v>0</v>
      </c>
      <c r="Q838" s="46">
        <f t="shared" si="129"/>
        <v>0</v>
      </c>
      <c r="R838" s="10">
        <v>0</v>
      </c>
      <c r="S838" s="7">
        <f t="shared" si="122"/>
        <v>0</v>
      </c>
      <c r="T838" s="124">
        <f t="shared" si="123"/>
        <v>166</v>
      </c>
      <c r="U838" s="124">
        <f t="shared" si="124"/>
        <v>998</v>
      </c>
      <c r="V838" s="124">
        <f t="shared" si="125"/>
        <v>829</v>
      </c>
      <c r="W838" s="124">
        <f t="shared" si="126"/>
        <v>0</v>
      </c>
      <c r="X838" s="124">
        <f t="shared" si="127"/>
        <v>0</v>
      </c>
      <c r="Y838" s="264">
        <f t="shared" si="128"/>
        <v>829</v>
      </c>
      <c r="Z838" s="10">
        <v>166</v>
      </c>
      <c r="AA838" s="7">
        <v>998</v>
      </c>
      <c r="AB838" s="7">
        <v>829</v>
      </c>
      <c r="AC838" s="109">
        <v>0</v>
      </c>
      <c r="AD838" s="109">
        <v>0</v>
      </c>
      <c r="AE838" s="125"/>
      <c r="AF838" s="10"/>
      <c r="AI838" s="109"/>
      <c r="AJ838" s="109"/>
      <c r="AL838" s="10"/>
      <c r="AO838" s="109"/>
      <c r="AP838" s="109"/>
      <c r="AR838" s="10"/>
      <c r="AU838" s="109"/>
      <c r="AV838" s="109"/>
      <c r="AX838" s="10"/>
      <c r="BA838" s="109"/>
      <c r="BB838" s="109"/>
      <c r="BD838" s="10"/>
      <c r="BG838" s="109"/>
      <c r="BH838" s="109"/>
      <c r="BJ838" s="10"/>
      <c r="BM838" s="109"/>
      <c r="BN838" s="109"/>
      <c r="BP838" s="10"/>
      <c r="BS838" s="109"/>
      <c r="BT838" s="109"/>
      <c r="BV838" s="10"/>
      <c r="BY838" s="109"/>
      <c r="BZ838" s="109"/>
      <c r="CB838" s="10"/>
      <c r="CE838" s="109"/>
      <c r="CF838" s="109"/>
      <c r="CH838" s="10"/>
      <c r="CK838" s="109"/>
      <c r="CL838" s="109"/>
    </row>
    <row r="839" spans="1:90">
      <c r="A839" s="7" t="str">
        <f t="shared" si="121"/>
        <v>01660999</v>
      </c>
      <c r="B839" s="7" t="s">
        <v>2505</v>
      </c>
      <c r="C839" s="7" t="s">
        <v>2782</v>
      </c>
      <c r="D839" s="7">
        <v>830</v>
      </c>
      <c r="E839" s="11">
        <v>166</v>
      </c>
      <c r="F839" s="11" t="s">
        <v>1871</v>
      </c>
      <c r="G839" s="11">
        <v>999</v>
      </c>
      <c r="H839" s="11" t="s">
        <v>1132</v>
      </c>
      <c r="I839" s="105">
        <v>8265269</v>
      </c>
      <c r="J839" s="126">
        <v>1</v>
      </c>
      <c r="K839" s="127">
        <f>SUM(K835:K838)</f>
        <v>8240505.4324734835</v>
      </c>
      <c r="L839" s="126">
        <f>SUM(L835:L838)</f>
        <v>1</v>
      </c>
      <c r="M839" s="105">
        <f>VLOOKUP(E839,town351,22)</f>
        <v>6850399</v>
      </c>
      <c r="N839" s="105">
        <f>SUM(N835:N838)</f>
        <v>6850399</v>
      </c>
      <c r="O839" s="128">
        <v>6893356</v>
      </c>
      <c r="P839" s="105">
        <f>SUM(P835:P838)</f>
        <v>-42957</v>
      </c>
      <c r="Q839" s="45">
        <f t="shared" si="129"/>
        <v>-0.62316526231925351</v>
      </c>
      <c r="R839" s="105">
        <v>868</v>
      </c>
      <c r="S839" s="7">
        <f t="shared" si="122"/>
        <v>0</v>
      </c>
      <c r="T839" s="124">
        <f t="shared" si="123"/>
        <v>166</v>
      </c>
      <c r="U839" s="124">
        <f t="shared" si="124"/>
        <v>999</v>
      </c>
      <c r="V839" s="124">
        <f t="shared" si="125"/>
        <v>830</v>
      </c>
      <c r="W839" s="124">
        <f t="shared" si="126"/>
        <v>850.86578171933991</v>
      </c>
      <c r="X839" s="124">
        <f t="shared" si="127"/>
        <v>8240505.4324734835</v>
      </c>
      <c r="Y839" s="264">
        <f t="shared" si="128"/>
        <v>830</v>
      </c>
      <c r="Z839" s="10">
        <v>166</v>
      </c>
      <c r="AA839" s="7">
        <v>999</v>
      </c>
      <c r="AB839" s="7">
        <v>830</v>
      </c>
      <c r="AC839" s="109">
        <v>850.86578171933991</v>
      </c>
      <c r="AD839" s="109">
        <v>8240505.4324734835</v>
      </c>
      <c r="AE839" s="125"/>
      <c r="AF839" s="10"/>
      <c r="AI839" s="109"/>
      <c r="AJ839" s="109"/>
      <c r="AL839" s="10"/>
      <c r="AO839" s="109"/>
      <c r="AP839" s="109"/>
      <c r="AR839" s="10"/>
      <c r="AU839" s="109"/>
      <c r="AV839" s="109"/>
      <c r="AX839" s="10"/>
      <c r="BA839" s="109"/>
      <c r="BB839" s="109"/>
      <c r="BD839" s="10"/>
      <c r="BG839" s="109"/>
      <c r="BH839" s="109"/>
      <c r="BJ839" s="10"/>
      <c r="BM839" s="109"/>
      <c r="BN839" s="109"/>
      <c r="BP839" s="10"/>
      <c r="BS839" s="109"/>
      <c r="BT839" s="109"/>
      <c r="BV839" s="10"/>
      <c r="BY839" s="109"/>
      <c r="BZ839" s="109"/>
      <c r="CB839" s="10"/>
      <c r="CE839" s="109"/>
      <c r="CF839" s="109"/>
      <c r="CH839" s="10"/>
      <c r="CK839" s="109"/>
      <c r="CL839" s="109"/>
    </row>
    <row r="840" spans="1:90">
      <c r="A840" s="7" t="str">
        <f t="shared" si="121"/>
        <v>01670167</v>
      </c>
      <c r="B840" s="7" t="s">
        <v>2506</v>
      </c>
      <c r="C840" s="7" t="s">
        <v>2506</v>
      </c>
      <c r="D840" s="7">
        <v>831</v>
      </c>
      <c r="E840" s="7">
        <v>167</v>
      </c>
      <c r="F840" s="7" t="s">
        <v>1872</v>
      </c>
      <c r="G840" s="7">
        <v>167</v>
      </c>
      <c r="H840" s="7" t="s">
        <v>1433</v>
      </c>
      <c r="I840" s="37">
        <v>40048769.469539993</v>
      </c>
      <c r="J840" s="122">
        <v>0.97203791800139261</v>
      </c>
      <c r="K840" s="123">
        <f>X840</f>
        <v>40453621.247440323</v>
      </c>
      <c r="L840" s="122">
        <f>IF(K844&gt;0, K840/K844, 0)</f>
        <v>0.97135422627034229</v>
      </c>
      <c r="M840" s="71"/>
      <c r="N840" s="10">
        <f>ROUND(M844*L840,0)</f>
        <v>27314680</v>
      </c>
      <c r="O840" s="70">
        <v>26489859</v>
      </c>
      <c r="P840" s="10">
        <f>N840-O840</f>
        <v>824821</v>
      </c>
      <c r="Q840" s="46">
        <f t="shared" si="129"/>
        <v>3.1137236328815492</v>
      </c>
      <c r="R840" s="10">
        <v>4034</v>
      </c>
      <c r="S840" s="7">
        <f t="shared" si="122"/>
        <v>0</v>
      </c>
      <c r="T840" s="124">
        <f t="shared" si="123"/>
        <v>167</v>
      </c>
      <c r="U840" s="124">
        <f t="shared" si="124"/>
        <v>167</v>
      </c>
      <c r="V840" s="124">
        <f t="shared" si="125"/>
        <v>831</v>
      </c>
      <c r="W840" s="124">
        <f t="shared" si="126"/>
        <v>3932</v>
      </c>
      <c r="X840" s="124">
        <f t="shared" si="127"/>
        <v>40453621.247440323</v>
      </c>
      <c r="Y840" s="264">
        <f t="shared" si="128"/>
        <v>831</v>
      </c>
      <c r="Z840" s="10">
        <v>167</v>
      </c>
      <c r="AA840" s="7">
        <v>167</v>
      </c>
      <c r="AB840" s="7">
        <v>831</v>
      </c>
      <c r="AC840" s="109">
        <v>3932</v>
      </c>
      <c r="AD840" s="109">
        <v>40453621.247440323</v>
      </c>
      <c r="AE840" s="125"/>
      <c r="AF840" s="10"/>
      <c r="AI840" s="109"/>
      <c r="AJ840" s="109"/>
      <c r="AL840" s="10"/>
      <c r="AO840" s="109"/>
      <c r="AP840" s="109"/>
      <c r="AR840" s="10"/>
      <c r="AU840" s="109"/>
      <c r="AV840" s="109"/>
      <c r="AX840" s="10"/>
      <c r="BA840" s="109"/>
      <c r="BB840" s="109"/>
      <c r="BD840" s="10"/>
      <c r="BG840" s="109"/>
      <c r="BH840" s="109"/>
      <c r="BJ840" s="10"/>
      <c r="BM840" s="109"/>
      <c r="BN840" s="109"/>
      <c r="BP840" s="10"/>
      <c r="BS840" s="109"/>
      <c r="BT840" s="109"/>
      <c r="BV840" s="10"/>
      <c r="BY840" s="109"/>
      <c r="BZ840" s="109"/>
      <c r="CB840" s="10"/>
      <c r="CE840" s="109"/>
      <c r="CF840" s="109"/>
      <c r="CH840" s="10"/>
      <c r="CK840" s="109"/>
      <c r="CL840" s="109"/>
    </row>
    <row r="841" spans="1:90">
      <c r="A841" s="7" t="str">
        <f t="shared" si="121"/>
        <v>01670872</v>
      </c>
      <c r="B841" s="7" t="s">
        <v>2506</v>
      </c>
      <c r="C841" s="7" t="s">
        <v>2772</v>
      </c>
      <c r="D841" s="7">
        <v>832</v>
      </c>
      <c r="E841" s="7">
        <v>167</v>
      </c>
      <c r="F841" s="7" t="s">
        <v>1872</v>
      </c>
      <c r="G841" s="7">
        <v>872</v>
      </c>
      <c r="H841" s="7" t="s">
        <v>1699</v>
      </c>
      <c r="I841" s="37">
        <v>1106097</v>
      </c>
      <c r="J841" s="122">
        <v>2.6846473417999277E-2</v>
      </c>
      <c r="K841" s="123">
        <f t="shared" si="130"/>
        <v>1146148.2842208585</v>
      </c>
      <c r="L841" s="122">
        <f>IF(K844&gt;0, K841/K844, 0)</f>
        <v>2.7520799015758737E-2</v>
      </c>
      <c r="M841" s="71"/>
      <c r="N841" s="10">
        <f>ROUND(M844*L841,0)</f>
        <v>773891</v>
      </c>
      <c r="O841" s="70">
        <v>731617</v>
      </c>
      <c r="P841" s="10">
        <f>N841-O841</f>
        <v>42274</v>
      </c>
      <c r="Q841" s="46">
        <f t="shared" si="129"/>
        <v>5.778159884201707</v>
      </c>
      <c r="R841" s="10">
        <v>69</v>
      </c>
      <c r="S841" s="7">
        <f t="shared" si="122"/>
        <v>0</v>
      </c>
      <c r="T841" s="124">
        <f t="shared" si="123"/>
        <v>167</v>
      </c>
      <c r="U841" s="124">
        <f t="shared" si="124"/>
        <v>872</v>
      </c>
      <c r="V841" s="124">
        <f t="shared" si="125"/>
        <v>832</v>
      </c>
      <c r="W841" s="124">
        <f t="shared" si="126"/>
        <v>70.139442228210001</v>
      </c>
      <c r="X841" s="124">
        <f t="shared" si="127"/>
        <v>1146148.2842208585</v>
      </c>
      <c r="Y841" s="264">
        <f t="shared" si="128"/>
        <v>832</v>
      </c>
      <c r="Z841" s="10">
        <v>167</v>
      </c>
      <c r="AA841" s="7">
        <v>872</v>
      </c>
      <c r="AB841" s="7">
        <v>832</v>
      </c>
      <c r="AC841" s="109">
        <v>70.139442228210001</v>
      </c>
      <c r="AD841" s="109">
        <v>1146148.2842208585</v>
      </c>
      <c r="AE841" s="125"/>
      <c r="AF841" s="10"/>
      <c r="AI841" s="109"/>
      <c r="AJ841" s="109"/>
      <c r="AL841" s="10"/>
      <c r="AO841" s="109"/>
      <c r="AP841" s="109"/>
      <c r="AR841" s="10"/>
      <c r="AU841" s="109"/>
      <c r="AV841" s="109"/>
      <c r="AX841" s="10"/>
      <c r="BA841" s="109"/>
      <c r="BB841" s="109"/>
      <c r="BD841" s="10"/>
      <c r="BG841" s="109"/>
      <c r="BH841" s="109"/>
      <c r="BJ841" s="10"/>
      <c r="BM841" s="109"/>
      <c r="BN841" s="109"/>
      <c r="BP841" s="10"/>
      <c r="BS841" s="109"/>
      <c r="BT841" s="109"/>
      <c r="BV841" s="10"/>
      <c r="BY841" s="109"/>
      <c r="BZ841" s="109"/>
      <c r="CB841" s="10"/>
      <c r="CE841" s="109"/>
      <c r="CF841" s="109"/>
      <c r="CH841" s="10"/>
      <c r="CK841" s="109"/>
      <c r="CL841" s="109"/>
    </row>
    <row r="842" spans="1:90">
      <c r="A842" s="7" t="str">
        <f t="shared" ref="A842:A905" si="131">B842&amp;C842</f>
        <v>01670910</v>
      </c>
      <c r="B842" s="7" t="s">
        <v>2506</v>
      </c>
      <c r="C842" s="7" t="s">
        <v>2778</v>
      </c>
      <c r="D842" s="7">
        <v>833</v>
      </c>
      <c r="E842" s="7">
        <v>167</v>
      </c>
      <c r="F842" s="7" t="s">
        <v>1872</v>
      </c>
      <c r="G842" s="7">
        <v>910</v>
      </c>
      <c r="H842" s="7" t="s">
        <v>1705</v>
      </c>
      <c r="I842" s="37">
        <v>45964</v>
      </c>
      <c r="J842" s="122">
        <v>1.1156085806081372E-3</v>
      </c>
      <c r="K842" s="123">
        <f t="shared" si="130"/>
        <v>46851.395462349632</v>
      </c>
      <c r="L842" s="122">
        <f>IF(K844&gt;0, K842/K844, 0)</f>
        <v>1.1249747138989696E-3</v>
      </c>
      <c r="M842" s="71"/>
      <c r="N842" s="10">
        <f>ROUND(M844*L842,0)</f>
        <v>31635</v>
      </c>
      <c r="O842" s="70">
        <v>30402</v>
      </c>
      <c r="P842" s="10">
        <f>N842-O842</f>
        <v>1233</v>
      </c>
      <c r="Q842" s="46">
        <f t="shared" si="129"/>
        <v>4.0556542332741268</v>
      </c>
      <c r="R842" s="10">
        <v>3</v>
      </c>
      <c r="S842" s="7">
        <f t="shared" ref="S842:S905" si="132">ABS(T842-E842)+ABS(U842-G842)</f>
        <v>0</v>
      </c>
      <c r="T842" s="124">
        <f t="shared" ref="T842:T905" si="133">VLOOKUP($D842, foundoptions, VLOOKUP($T$6, foundoptcell, 2, FALSE), FALSE)</f>
        <v>167</v>
      </c>
      <c r="U842" s="124">
        <f t="shared" ref="U842:U905" si="134">VLOOKUP($D842, foundoptions, VLOOKUP($T$6, foundoptcell, 2, FALSE)+1, FALSE)</f>
        <v>910</v>
      </c>
      <c r="V842" s="124">
        <f t="shared" ref="V842:V905" si="135">VLOOKUP($D842, foundoptions, VLOOKUP($T$6, foundoptcell, 2, FALSE)+2, FALSE)</f>
        <v>833</v>
      </c>
      <c r="W842" s="124">
        <f t="shared" ref="W842:W905" si="136">VLOOKUP($D842, foundoptions, VLOOKUP($T$6, foundoptcell, 2, FALSE)+3, FALSE)</f>
        <v>3.0000000008000001</v>
      </c>
      <c r="X842" s="124">
        <f t="shared" ref="X842:X905" si="137">VLOOKUP($D842, foundoptions, VLOOKUP($T$6, foundoptcell, 2, FALSE)+4, FALSE)</f>
        <v>46851.395462349632</v>
      </c>
      <c r="Y842" s="264">
        <f t="shared" si="128"/>
        <v>833</v>
      </c>
      <c r="Z842" s="10">
        <v>167</v>
      </c>
      <c r="AA842" s="7">
        <v>910</v>
      </c>
      <c r="AB842" s="7">
        <v>833</v>
      </c>
      <c r="AC842" s="109">
        <v>3.0000000008000001</v>
      </c>
      <c r="AD842" s="109">
        <v>46851.395462349632</v>
      </c>
      <c r="AE842" s="125"/>
      <c r="AF842" s="10"/>
      <c r="AI842" s="109"/>
      <c r="AJ842" s="109"/>
      <c r="AL842" s="10"/>
      <c r="AO842" s="109"/>
      <c r="AP842" s="109"/>
      <c r="AR842" s="10"/>
      <c r="AU842" s="109"/>
      <c r="AV842" s="109"/>
      <c r="AX842" s="10"/>
      <c r="BA842" s="109"/>
      <c r="BB842" s="109"/>
      <c r="BD842" s="10"/>
      <c r="BG842" s="109"/>
      <c r="BH842" s="109"/>
      <c r="BJ842" s="10"/>
      <c r="BM842" s="109"/>
      <c r="BN842" s="109"/>
      <c r="BP842" s="10"/>
      <c r="BS842" s="109"/>
      <c r="BT842" s="109"/>
      <c r="BV842" s="10"/>
      <c r="BY842" s="109"/>
      <c r="BZ842" s="109"/>
      <c r="CB842" s="10"/>
      <c r="CE842" s="109"/>
      <c r="CF842" s="109"/>
      <c r="CH842" s="10"/>
      <c r="CK842" s="109"/>
      <c r="CL842" s="109"/>
    </row>
    <row r="843" spans="1:90">
      <c r="A843" s="7" t="str">
        <f t="shared" si="131"/>
        <v>01670998</v>
      </c>
      <c r="B843" s="7" t="s">
        <v>2506</v>
      </c>
      <c r="C843" s="7" t="s">
        <v>2781</v>
      </c>
      <c r="D843" s="7">
        <v>834</v>
      </c>
      <c r="E843" s="7">
        <v>167</v>
      </c>
      <c r="F843" s="7" t="s">
        <v>2135</v>
      </c>
      <c r="G843" s="7">
        <v>998</v>
      </c>
      <c r="H843" s="7" t="s">
        <v>2135</v>
      </c>
      <c r="I843" s="37">
        <v>0</v>
      </c>
      <c r="J843" s="122">
        <v>0</v>
      </c>
      <c r="K843" s="123">
        <f t="shared" si="130"/>
        <v>0</v>
      </c>
      <c r="L843" s="122">
        <f>IF(K844&gt;0, K843/K844, 0)</f>
        <v>0</v>
      </c>
      <c r="M843" s="71"/>
      <c r="N843" s="10">
        <f>ROUND(M844*L843,0)</f>
        <v>0</v>
      </c>
      <c r="O843" s="70">
        <v>0</v>
      </c>
      <c r="P843" s="10">
        <f>N843-O843</f>
        <v>0</v>
      </c>
      <c r="Q843" s="46">
        <f t="shared" si="129"/>
        <v>0</v>
      </c>
      <c r="R843" s="10">
        <v>0</v>
      </c>
      <c r="S843" s="7">
        <f t="shared" si="132"/>
        <v>0</v>
      </c>
      <c r="T843" s="124">
        <f t="shared" si="133"/>
        <v>167</v>
      </c>
      <c r="U843" s="124">
        <f t="shared" si="134"/>
        <v>998</v>
      </c>
      <c r="V843" s="124">
        <f t="shared" si="135"/>
        <v>834</v>
      </c>
      <c r="W843" s="124">
        <f t="shared" si="136"/>
        <v>0</v>
      </c>
      <c r="X843" s="124">
        <f t="shared" si="137"/>
        <v>0</v>
      </c>
      <c r="Y843" s="264">
        <f t="shared" ref="Y843:Y906" si="138">D843</f>
        <v>834</v>
      </c>
      <c r="Z843" s="10">
        <v>167</v>
      </c>
      <c r="AA843" s="7">
        <v>998</v>
      </c>
      <c r="AB843" s="7">
        <v>834</v>
      </c>
      <c r="AC843" s="109">
        <v>0</v>
      </c>
      <c r="AD843" s="109">
        <v>0</v>
      </c>
      <c r="AE843" s="125"/>
      <c r="AF843" s="10"/>
      <c r="AI843" s="109"/>
      <c r="AJ843" s="109"/>
      <c r="AL843" s="10"/>
      <c r="AO843" s="109"/>
      <c r="AP843" s="109"/>
      <c r="AR843" s="10"/>
      <c r="AU843" s="109"/>
      <c r="AV843" s="109"/>
      <c r="AX843" s="10"/>
      <c r="BA843" s="109"/>
      <c r="BB843" s="109"/>
      <c r="BD843" s="10"/>
      <c r="BG843" s="109"/>
      <c r="BH843" s="109"/>
      <c r="BJ843" s="10"/>
      <c r="BM843" s="109"/>
      <c r="BN843" s="109"/>
      <c r="BP843" s="10"/>
      <c r="BS843" s="109"/>
      <c r="BT843" s="109"/>
      <c r="BV843" s="10"/>
      <c r="BY843" s="109"/>
      <c r="BZ843" s="109"/>
      <c r="CB843" s="10"/>
      <c r="CE843" s="109"/>
      <c r="CF843" s="109"/>
      <c r="CH843" s="10"/>
      <c r="CK843" s="109"/>
      <c r="CL843" s="109"/>
    </row>
    <row r="844" spans="1:90">
      <c r="A844" s="7" t="str">
        <f t="shared" si="131"/>
        <v>01670999</v>
      </c>
      <c r="B844" s="7" t="s">
        <v>2506</v>
      </c>
      <c r="C844" s="7" t="s">
        <v>2782</v>
      </c>
      <c r="D844" s="7">
        <v>835</v>
      </c>
      <c r="E844" s="11">
        <v>167</v>
      </c>
      <c r="F844" s="11" t="s">
        <v>1872</v>
      </c>
      <c r="G844" s="11">
        <v>999</v>
      </c>
      <c r="H844" s="11" t="s">
        <v>1132</v>
      </c>
      <c r="I844" s="105">
        <v>41200830.469539993</v>
      </c>
      <c r="J844" s="126">
        <v>1</v>
      </c>
      <c r="K844" s="127">
        <f>SUM(K840:K843)</f>
        <v>41646620.927123532</v>
      </c>
      <c r="L844" s="126">
        <f>SUM(L840:L843)</f>
        <v>1</v>
      </c>
      <c r="M844" s="105">
        <f>VLOOKUP(E844,town351,22)</f>
        <v>28120205</v>
      </c>
      <c r="N844" s="105">
        <f>SUM(N840:N843)</f>
        <v>28120206</v>
      </c>
      <c r="O844" s="128">
        <v>27251878</v>
      </c>
      <c r="P844" s="105">
        <f>SUM(P840:P843)</f>
        <v>868328</v>
      </c>
      <c r="Q844" s="45">
        <f t="shared" si="129"/>
        <v>3.1863051786742917</v>
      </c>
      <c r="R844" s="105">
        <v>4106</v>
      </c>
      <c r="S844" s="7">
        <f t="shared" si="132"/>
        <v>0</v>
      </c>
      <c r="T844" s="124">
        <f t="shared" si="133"/>
        <v>167</v>
      </c>
      <c r="U844" s="124">
        <f t="shared" si="134"/>
        <v>999</v>
      </c>
      <c r="V844" s="124">
        <f t="shared" si="135"/>
        <v>835</v>
      </c>
      <c r="W844" s="124">
        <f t="shared" si="136"/>
        <v>4005.13944222901</v>
      </c>
      <c r="X844" s="124">
        <f t="shared" si="137"/>
        <v>41646620.927123532</v>
      </c>
      <c r="Y844" s="264">
        <f t="shared" si="138"/>
        <v>835</v>
      </c>
      <c r="Z844" s="10">
        <v>167</v>
      </c>
      <c r="AA844" s="7">
        <v>999</v>
      </c>
      <c r="AB844" s="7">
        <v>835</v>
      </c>
      <c r="AC844" s="109">
        <v>4005.13944222901</v>
      </c>
      <c r="AD844" s="109">
        <v>41646620.927123532</v>
      </c>
      <c r="AE844" s="125"/>
      <c r="AF844" s="10"/>
      <c r="AI844" s="109"/>
      <c r="AJ844" s="109"/>
      <c r="AL844" s="10"/>
      <c r="AO844" s="109"/>
      <c r="AP844" s="109"/>
      <c r="AR844" s="10"/>
      <c r="AU844" s="109"/>
      <c r="AV844" s="109"/>
      <c r="AX844" s="10"/>
      <c r="BA844" s="109"/>
      <c r="BB844" s="109"/>
      <c r="BD844" s="10"/>
      <c r="BG844" s="109"/>
      <c r="BH844" s="109"/>
      <c r="BJ844" s="10"/>
      <c r="BM844" s="109"/>
      <c r="BN844" s="109"/>
      <c r="BP844" s="10"/>
      <c r="BS844" s="109"/>
      <c r="BT844" s="109"/>
      <c r="BV844" s="10"/>
      <c r="BY844" s="109"/>
      <c r="BZ844" s="109"/>
      <c r="CB844" s="10"/>
      <c r="CE844" s="109"/>
      <c r="CF844" s="109"/>
      <c r="CH844" s="10"/>
      <c r="CK844" s="109"/>
      <c r="CL844" s="109"/>
    </row>
    <row r="845" spans="1:90">
      <c r="A845" s="7" t="str">
        <f t="shared" si="131"/>
        <v>01680168</v>
      </c>
      <c r="B845" s="7" t="s">
        <v>2507</v>
      </c>
      <c r="C845" s="7" t="s">
        <v>2507</v>
      </c>
      <c r="D845" s="7">
        <v>836</v>
      </c>
      <c r="E845" s="7">
        <v>168</v>
      </c>
      <c r="F845" s="7" t="s">
        <v>1873</v>
      </c>
      <c r="G845" s="7">
        <v>168</v>
      </c>
      <c r="H845" s="7" t="s">
        <v>1434</v>
      </c>
      <c r="I845" s="37">
        <v>30713624.370000001</v>
      </c>
      <c r="J845" s="122">
        <v>0.99185287881328443</v>
      </c>
      <c r="K845" s="123">
        <f>X845</f>
        <v>30825074.044045713</v>
      </c>
      <c r="L845" s="122">
        <f>IF(K849&gt;0, K845/K849, 0)</f>
        <v>0.98978442980703962</v>
      </c>
      <c r="M845" s="71"/>
      <c r="N845" s="10">
        <f>ROUND(M849*L845,0)</f>
        <v>25552661</v>
      </c>
      <c r="O845" s="70">
        <v>25564980</v>
      </c>
      <c r="P845" s="10">
        <f>N845-O845</f>
        <v>-12319</v>
      </c>
      <c r="Q845" s="46">
        <f t="shared" si="129"/>
        <v>-4.8187012076676763E-2</v>
      </c>
      <c r="R845" s="10">
        <v>3283</v>
      </c>
      <c r="S845" s="7">
        <f t="shared" si="132"/>
        <v>0</v>
      </c>
      <c r="T845" s="124">
        <f t="shared" si="133"/>
        <v>168</v>
      </c>
      <c r="U845" s="124">
        <f t="shared" si="134"/>
        <v>168</v>
      </c>
      <c r="V845" s="124">
        <f t="shared" si="135"/>
        <v>836</v>
      </c>
      <c r="W845" s="124">
        <f t="shared" si="136"/>
        <v>3233</v>
      </c>
      <c r="X845" s="124">
        <f t="shared" si="137"/>
        <v>30825074.044045713</v>
      </c>
      <c r="Y845" s="264">
        <f t="shared" si="138"/>
        <v>836</v>
      </c>
      <c r="Z845" s="10">
        <v>168</v>
      </c>
      <c r="AA845" s="7">
        <v>168</v>
      </c>
      <c r="AB845" s="7">
        <v>836</v>
      </c>
      <c r="AC845" s="109">
        <v>3233</v>
      </c>
      <c r="AD845" s="109">
        <v>30825074.044045713</v>
      </c>
      <c r="AE845" s="125"/>
      <c r="AF845" s="10"/>
      <c r="AI845" s="109"/>
      <c r="AJ845" s="109"/>
      <c r="AL845" s="10"/>
      <c r="AO845" s="109"/>
      <c r="AP845" s="109"/>
      <c r="AR845" s="10"/>
      <c r="AU845" s="109"/>
      <c r="AV845" s="109"/>
      <c r="AX845" s="10"/>
      <c r="BA845" s="109"/>
      <c r="BB845" s="109"/>
      <c r="BD845" s="10"/>
      <c r="BG845" s="109"/>
      <c r="BH845" s="109"/>
      <c r="BJ845" s="10"/>
      <c r="BM845" s="109"/>
      <c r="BN845" s="109"/>
      <c r="BP845" s="10"/>
      <c r="BS845" s="109"/>
      <c r="BT845" s="109"/>
      <c r="BV845" s="10"/>
      <c r="BY845" s="109"/>
      <c r="BZ845" s="109"/>
      <c r="CB845" s="10"/>
      <c r="CE845" s="109"/>
      <c r="CF845" s="109"/>
      <c r="CH845" s="10"/>
      <c r="CK845" s="109"/>
      <c r="CL845" s="109"/>
    </row>
    <row r="846" spans="1:90">
      <c r="A846" s="7" t="str">
        <f t="shared" si="131"/>
        <v>01680817</v>
      </c>
      <c r="B846" s="7" t="s">
        <v>2507</v>
      </c>
      <c r="C846" s="7" t="s">
        <v>2757</v>
      </c>
      <c r="D846" s="7">
        <v>837</v>
      </c>
      <c r="E846" s="7">
        <v>168</v>
      </c>
      <c r="F846" s="7" t="s">
        <v>1873</v>
      </c>
      <c r="G846" s="7">
        <v>817</v>
      </c>
      <c r="H846" s="7" t="s">
        <v>1684</v>
      </c>
      <c r="I846" s="37">
        <v>252283</v>
      </c>
      <c r="J846" s="122">
        <v>8.1471211867156085E-3</v>
      </c>
      <c r="K846" s="123">
        <f t="shared" si="130"/>
        <v>318145.74781858083</v>
      </c>
      <c r="L846" s="122">
        <f>IF(K849&gt;0, K846/K849, 0)</f>
        <v>1.0215570192960322E-2</v>
      </c>
      <c r="M846" s="71"/>
      <c r="N846" s="10">
        <f>ROUND(M849*L846,0)</f>
        <v>263729</v>
      </c>
      <c r="O846" s="70">
        <v>209992</v>
      </c>
      <c r="P846" s="10">
        <f>N846-O846</f>
        <v>53737</v>
      </c>
      <c r="Q846" s="46">
        <f t="shared" si="129"/>
        <v>25.590022477046745</v>
      </c>
      <c r="R846" s="10">
        <v>16</v>
      </c>
      <c r="S846" s="7">
        <f t="shared" si="132"/>
        <v>0</v>
      </c>
      <c r="T846" s="124">
        <f t="shared" si="133"/>
        <v>168</v>
      </c>
      <c r="U846" s="124">
        <f t="shared" si="134"/>
        <v>817</v>
      </c>
      <c r="V846" s="124">
        <f t="shared" si="135"/>
        <v>837</v>
      </c>
      <c r="W846" s="124">
        <f t="shared" si="136"/>
        <v>20.00000000232</v>
      </c>
      <c r="X846" s="124">
        <f t="shared" si="137"/>
        <v>318145.74781858083</v>
      </c>
      <c r="Y846" s="264">
        <f t="shared" si="138"/>
        <v>837</v>
      </c>
      <c r="Z846" s="10">
        <v>168</v>
      </c>
      <c r="AA846" s="7">
        <v>817</v>
      </c>
      <c r="AB846" s="7">
        <v>837</v>
      </c>
      <c r="AC846" s="109">
        <v>20.00000000232</v>
      </c>
      <c r="AD846" s="109">
        <v>318145.74781858083</v>
      </c>
      <c r="AE846" s="125"/>
      <c r="AF846" s="10"/>
      <c r="AI846" s="109"/>
      <c r="AJ846" s="109"/>
      <c r="AL846" s="10"/>
      <c r="AO846" s="109"/>
      <c r="AP846" s="109"/>
      <c r="AR846" s="10"/>
      <c r="AU846" s="109"/>
      <c r="AV846" s="109"/>
      <c r="AX846" s="10"/>
      <c r="BA846" s="109"/>
      <c r="BB846" s="109"/>
      <c r="BD846" s="10"/>
      <c r="BG846" s="109"/>
      <c r="BH846" s="109"/>
      <c r="BJ846" s="10"/>
      <c r="BM846" s="109"/>
      <c r="BN846" s="109"/>
      <c r="BP846" s="10"/>
      <c r="BS846" s="109"/>
      <c r="BT846" s="109"/>
      <c r="BV846" s="10"/>
      <c r="BY846" s="109"/>
      <c r="BZ846" s="109"/>
      <c r="CB846" s="10"/>
      <c r="CE846" s="109"/>
      <c r="CF846" s="109"/>
      <c r="CH846" s="10"/>
      <c r="CK846" s="109"/>
      <c r="CL846" s="109"/>
    </row>
    <row r="847" spans="1:90">
      <c r="A847" s="7" t="str">
        <f t="shared" si="131"/>
        <v>01680998</v>
      </c>
      <c r="B847" s="7" t="s">
        <v>2507</v>
      </c>
      <c r="C847" s="7" t="s">
        <v>2781</v>
      </c>
      <c r="D847" s="7">
        <v>838</v>
      </c>
      <c r="E847" s="7">
        <v>168</v>
      </c>
      <c r="F847" s="7" t="s">
        <v>2135</v>
      </c>
      <c r="G847" s="7">
        <v>998</v>
      </c>
      <c r="I847" s="129">
        <v>0</v>
      </c>
      <c r="J847" s="130">
        <v>0</v>
      </c>
      <c r="K847" s="123">
        <f t="shared" si="130"/>
        <v>0</v>
      </c>
      <c r="L847" s="122">
        <f>IF(K849&gt;0, K847/K849, 0)</f>
        <v>0</v>
      </c>
      <c r="M847" s="71"/>
      <c r="N847" s="10">
        <f>ROUND(M849*L847,0)</f>
        <v>0</v>
      </c>
      <c r="O847" s="70">
        <v>0</v>
      </c>
      <c r="P847" s="10">
        <f>N847-O847</f>
        <v>0</v>
      </c>
      <c r="Q847" s="46">
        <f t="shared" si="129"/>
        <v>0</v>
      </c>
      <c r="R847" s="10">
        <v>0</v>
      </c>
      <c r="S847" s="7">
        <f t="shared" si="132"/>
        <v>0</v>
      </c>
      <c r="T847" s="124">
        <f t="shared" si="133"/>
        <v>168</v>
      </c>
      <c r="U847" s="124">
        <f t="shared" si="134"/>
        <v>998</v>
      </c>
      <c r="V847" s="124">
        <f t="shared" si="135"/>
        <v>838</v>
      </c>
      <c r="W847" s="124">
        <f t="shared" si="136"/>
        <v>0</v>
      </c>
      <c r="X847" s="124">
        <f t="shared" si="137"/>
        <v>0</v>
      </c>
      <c r="Y847" s="264">
        <f t="shared" si="138"/>
        <v>838</v>
      </c>
      <c r="Z847" s="10">
        <v>168</v>
      </c>
      <c r="AA847" s="7">
        <v>998</v>
      </c>
      <c r="AB847" s="7">
        <v>838</v>
      </c>
      <c r="AC847" s="109">
        <v>0</v>
      </c>
      <c r="AD847" s="109">
        <v>0</v>
      </c>
      <c r="AE847" s="125"/>
      <c r="AF847" s="10"/>
      <c r="AI847" s="109"/>
      <c r="AJ847" s="109"/>
      <c r="AL847" s="10"/>
      <c r="AO847" s="109"/>
      <c r="AP847" s="109"/>
      <c r="AR847" s="10"/>
      <c r="AU847" s="109"/>
      <c r="AV847" s="109"/>
      <c r="AX847" s="10"/>
      <c r="BA847" s="109"/>
      <c r="BB847" s="109"/>
      <c r="BD847" s="10"/>
      <c r="BG847" s="109"/>
      <c r="BH847" s="109"/>
      <c r="BJ847" s="10"/>
      <c r="BM847" s="109"/>
      <c r="BN847" s="109"/>
      <c r="BP847" s="10"/>
      <c r="BS847" s="109"/>
      <c r="BT847" s="109"/>
      <c r="BV847" s="10"/>
      <c r="BY847" s="109"/>
      <c r="BZ847" s="109"/>
      <c r="CB847" s="10"/>
      <c r="CE847" s="109"/>
      <c r="CF847" s="109"/>
      <c r="CH847" s="10"/>
      <c r="CK847" s="109"/>
      <c r="CL847" s="109"/>
    </row>
    <row r="848" spans="1:90">
      <c r="A848" s="7" t="str">
        <f t="shared" si="131"/>
        <v>01680998</v>
      </c>
      <c r="B848" s="7" t="s">
        <v>2507</v>
      </c>
      <c r="C848" s="7" t="s">
        <v>2781</v>
      </c>
      <c r="D848" s="7">
        <v>839</v>
      </c>
      <c r="E848" s="7">
        <v>168</v>
      </c>
      <c r="F848" s="7" t="s">
        <v>2135</v>
      </c>
      <c r="G848" s="7">
        <v>998</v>
      </c>
      <c r="H848" s="7" t="s">
        <v>2135</v>
      </c>
      <c r="I848" s="37">
        <v>0</v>
      </c>
      <c r="J848" s="122">
        <v>0</v>
      </c>
      <c r="K848" s="123">
        <f t="shared" si="130"/>
        <v>0</v>
      </c>
      <c r="L848" s="122">
        <f>IF(K849&gt;0, K848/K849, 0)</f>
        <v>0</v>
      </c>
      <c r="M848" s="71"/>
      <c r="N848" s="10">
        <f>ROUND(M849*L848,0)</f>
        <v>0</v>
      </c>
      <c r="O848" s="70">
        <v>0</v>
      </c>
      <c r="P848" s="10">
        <f>N848-O848</f>
        <v>0</v>
      </c>
      <c r="Q848" s="46">
        <f>IF(O848&gt;0,P848*100/O848,IF(P848&gt;0,100,0))</f>
        <v>0</v>
      </c>
      <c r="R848" s="10">
        <v>0</v>
      </c>
      <c r="S848" s="7">
        <f t="shared" si="132"/>
        <v>0</v>
      </c>
      <c r="T848" s="124">
        <f t="shared" si="133"/>
        <v>168</v>
      </c>
      <c r="U848" s="124">
        <f t="shared" si="134"/>
        <v>998</v>
      </c>
      <c r="V848" s="124">
        <f t="shared" si="135"/>
        <v>839</v>
      </c>
      <c r="W848" s="124">
        <f t="shared" si="136"/>
        <v>0</v>
      </c>
      <c r="X848" s="124">
        <f t="shared" si="137"/>
        <v>0</v>
      </c>
      <c r="Y848" s="264">
        <f t="shared" si="138"/>
        <v>839</v>
      </c>
      <c r="Z848" s="10">
        <v>168</v>
      </c>
      <c r="AA848" s="7">
        <v>998</v>
      </c>
      <c r="AB848" s="7">
        <v>839</v>
      </c>
      <c r="AC848" s="109">
        <v>0</v>
      </c>
      <c r="AD848" s="109">
        <v>0</v>
      </c>
      <c r="AE848" s="125"/>
      <c r="AF848" s="10"/>
      <c r="AI848" s="109"/>
      <c r="AJ848" s="109"/>
      <c r="AL848" s="10"/>
      <c r="AO848" s="109"/>
      <c r="AP848" s="109"/>
      <c r="AR848" s="10"/>
      <c r="AU848" s="109"/>
      <c r="AV848" s="109"/>
      <c r="AX848" s="10"/>
      <c r="BA848" s="109"/>
      <c r="BB848" s="109"/>
      <c r="BD848" s="10"/>
      <c r="BG848" s="109"/>
      <c r="BH848" s="109"/>
      <c r="BJ848" s="10"/>
      <c r="BM848" s="109"/>
      <c r="BN848" s="109"/>
      <c r="BP848" s="10"/>
      <c r="BS848" s="109"/>
      <c r="BT848" s="109"/>
      <c r="BV848" s="10"/>
      <c r="BY848" s="109"/>
      <c r="BZ848" s="109"/>
      <c r="CB848" s="10"/>
      <c r="CE848" s="109"/>
      <c r="CF848" s="109"/>
      <c r="CH848" s="10"/>
      <c r="CK848" s="109"/>
      <c r="CL848" s="109"/>
    </row>
    <row r="849" spans="1:90">
      <c r="A849" s="7" t="str">
        <f t="shared" si="131"/>
        <v>01680999</v>
      </c>
      <c r="B849" s="7" t="s">
        <v>2507</v>
      </c>
      <c r="C849" s="7" t="s">
        <v>2782</v>
      </c>
      <c r="D849" s="7">
        <v>840</v>
      </c>
      <c r="E849" s="11">
        <v>168</v>
      </c>
      <c r="F849" s="11" t="s">
        <v>1873</v>
      </c>
      <c r="G849" s="11">
        <v>999</v>
      </c>
      <c r="H849" s="11" t="s">
        <v>1132</v>
      </c>
      <c r="I849" s="105">
        <v>30965907.370000001</v>
      </c>
      <c r="J849" s="126">
        <v>1</v>
      </c>
      <c r="K849" s="127">
        <f>SUM(K845:K848)</f>
        <v>31143219.791864295</v>
      </c>
      <c r="L849" s="126">
        <f>SUM(L845:L848)</f>
        <v>1</v>
      </c>
      <c r="M849" s="105">
        <f>VLOOKUP(E849,town351,22)</f>
        <v>25816390</v>
      </c>
      <c r="N849" s="105">
        <f>SUM(N845:N848)</f>
        <v>25816390</v>
      </c>
      <c r="O849" s="128">
        <v>25774972</v>
      </c>
      <c r="P849" s="105">
        <f>SUM(P845:P848)</f>
        <v>41418</v>
      </c>
      <c r="Q849" s="45">
        <f t="shared" ref="Q849:Q911" si="139">IF(O849&gt;0,P849*100/O849,IF(P849&gt;0,100,0))</f>
        <v>0.16069076622081296</v>
      </c>
      <c r="R849" s="105">
        <v>3299</v>
      </c>
      <c r="S849" s="7">
        <f t="shared" si="132"/>
        <v>0</v>
      </c>
      <c r="T849" s="124">
        <f t="shared" si="133"/>
        <v>168</v>
      </c>
      <c r="U849" s="124">
        <f t="shared" si="134"/>
        <v>999</v>
      </c>
      <c r="V849" s="124">
        <f t="shared" si="135"/>
        <v>840</v>
      </c>
      <c r="W849" s="124">
        <f t="shared" si="136"/>
        <v>3253.0000000023201</v>
      </c>
      <c r="X849" s="124">
        <f t="shared" si="137"/>
        <v>31143219.791864295</v>
      </c>
      <c r="Y849" s="264">
        <f t="shared" si="138"/>
        <v>840</v>
      </c>
      <c r="Z849" s="10">
        <v>168</v>
      </c>
      <c r="AA849" s="7">
        <v>999</v>
      </c>
      <c r="AB849" s="7">
        <v>840</v>
      </c>
      <c r="AC849" s="109">
        <v>3253.0000000023201</v>
      </c>
      <c r="AD849" s="109">
        <v>31143219.791864295</v>
      </c>
      <c r="AE849" s="125"/>
      <c r="AF849" s="10"/>
      <c r="AI849" s="109"/>
      <c r="AJ849" s="109"/>
      <c r="AL849" s="10"/>
      <c r="AO849" s="109"/>
      <c r="AP849" s="109"/>
      <c r="AR849" s="10"/>
      <c r="AU849" s="109"/>
      <c r="AV849" s="109"/>
      <c r="AX849" s="10"/>
      <c r="BA849" s="109"/>
      <c r="BB849" s="109"/>
      <c r="BD849" s="10"/>
      <c r="BG849" s="109"/>
      <c r="BH849" s="109"/>
      <c r="BJ849" s="10"/>
      <c r="BM849" s="109"/>
      <c r="BN849" s="109"/>
      <c r="BP849" s="10"/>
      <c r="BS849" s="109"/>
      <c r="BT849" s="109"/>
      <c r="BV849" s="10"/>
      <c r="BY849" s="109"/>
      <c r="BZ849" s="109"/>
      <c r="CB849" s="10"/>
      <c r="CE849" s="109"/>
      <c r="CF849" s="109"/>
      <c r="CH849" s="10"/>
      <c r="CK849" s="109"/>
      <c r="CL849" s="109"/>
    </row>
    <row r="850" spans="1:90">
      <c r="A850" s="7" t="str">
        <f t="shared" si="131"/>
        <v>01690169</v>
      </c>
      <c r="B850" s="7" t="s">
        <v>2508</v>
      </c>
      <c r="C850" s="7" t="s">
        <v>2508</v>
      </c>
      <c r="D850" s="7">
        <v>841</v>
      </c>
      <c r="E850" s="7">
        <v>169</v>
      </c>
      <c r="F850" s="7" t="s">
        <v>1874</v>
      </c>
      <c r="G850" s="7">
        <v>169</v>
      </c>
      <c r="H850" s="7" t="s">
        <v>1435</v>
      </c>
      <c r="I850" s="37">
        <v>4098862.3900000006</v>
      </c>
      <c r="J850" s="122">
        <v>0.54455774387713707</v>
      </c>
      <c r="K850" s="123">
        <f>X850</f>
        <v>4343663.5149533721</v>
      </c>
      <c r="L850" s="122">
        <f>IF(K854&gt;0, K850/K854, 0)</f>
        <v>0.54293519567469239</v>
      </c>
      <c r="M850" s="71"/>
      <c r="N850" s="10">
        <f>ROUND(M854*L850,0)</f>
        <v>3510380</v>
      </c>
      <c r="O850" s="70">
        <v>3406086</v>
      </c>
      <c r="P850" s="10">
        <f>N850-O850</f>
        <v>104294</v>
      </c>
      <c r="Q850" s="46">
        <f t="shared" si="139"/>
        <v>3.061989626803316</v>
      </c>
      <c r="R850" s="10">
        <v>445</v>
      </c>
      <c r="S850" s="7">
        <f t="shared" si="132"/>
        <v>0</v>
      </c>
      <c r="T850" s="124">
        <f t="shared" si="133"/>
        <v>169</v>
      </c>
      <c r="U850" s="124">
        <f t="shared" si="134"/>
        <v>169</v>
      </c>
      <c r="V850" s="124">
        <f t="shared" si="135"/>
        <v>841</v>
      </c>
      <c r="W850" s="124">
        <f t="shared" si="136"/>
        <v>455</v>
      </c>
      <c r="X850" s="124">
        <f t="shared" si="137"/>
        <v>4343663.5149533721</v>
      </c>
      <c r="Y850" s="264">
        <f t="shared" si="138"/>
        <v>841</v>
      </c>
      <c r="Z850" s="10">
        <v>169</v>
      </c>
      <c r="AA850" s="7">
        <v>169</v>
      </c>
      <c r="AB850" s="7">
        <v>841</v>
      </c>
      <c r="AC850" s="109">
        <v>455</v>
      </c>
      <c r="AD850" s="109">
        <v>4343663.5149533721</v>
      </c>
      <c r="AE850" s="125"/>
      <c r="AF850" s="10"/>
      <c r="AI850" s="109"/>
      <c r="AJ850" s="109"/>
      <c r="AL850" s="10"/>
      <c r="AO850" s="109"/>
      <c r="AP850" s="109"/>
      <c r="AR850" s="10"/>
      <c r="AU850" s="109"/>
      <c r="AV850" s="109"/>
      <c r="AX850" s="10"/>
      <c r="BA850" s="109"/>
      <c r="BB850" s="109"/>
      <c r="BD850" s="10"/>
      <c r="BG850" s="109"/>
      <c r="BH850" s="109"/>
      <c r="BJ850" s="10"/>
      <c r="BM850" s="109"/>
      <c r="BN850" s="109"/>
      <c r="BP850" s="10"/>
      <c r="BS850" s="109"/>
      <c r="BT850" s="109"/>
      <c r="BV850" s="10"/>
      <c r="BY850" s="109"/>
      <c r="BZ850" s="109"/>
      <c r="CB850" s="10"/>
      <c r="CE850" s="109"/>
      <c r="CF850" s="109"/>
      <c r="CH850" s="10"/>
      <c r="CK850" s="109"/>
      <c r="CL850" s="109"/>
    </row>
    <row r="851" spans="1:90">
      <c r="A851" s="7" t="str">
        <f t="shared" si="131"/>
        <v>01690740</v>
      </c>
      <c r="B851" s="7" t="s">
        <v>2508</v>
      </c>
      <c r="C851" s="7" t="s">
        <v>2736</v>
      </c>
      <c r="D851" s="7">
        <v>842</v>
      </c>
      <c r="E851" s="7">
        <v>169</v>
      </c>
      <c r="F851" s="7" t="s">
        <v>1874</v>
      </c>
      <c r="G851" s="7">
        <v>740</v>
      </c>
      <c r="H851" s="7" t="s">
        <v>1663</v>
      </c>
      <c r="I851" s="37">
        <v>3147875</v>
      </c>
      <c r="J851" s="122">
        <v>0.41821352973190268</v>
      </c>
      <c r="K851" s="123">
        <f t="shared" si="130"/>
        <v>3373632.1570937792</v>
      </c>
      <c r="L851" s="122">
        <f>IF(K854&gt;0, K851/K854, 0)</f>
        <v>0.42168635508724667</v>
      </c>
      <c r="M851" s="71"/>
      <c r="N851" s="10">
        <f>ROUND(M854*L851,0)</f>
        <v>2726438</v>
      </c>
      <c r="O851" s="70">
        <v>2615831</v>
      </c>
      <c r="P851" s="10">
        <f>N851-O851</f>
        <v>110607</v>
      </c>
      <c r="Q851" s="46">
        <f t="shared" si="139"/>
        <v>4.2283694932891303</v>
      </c>
      <c r="R851" s="10">
        <v>324</v>
      </c>
      <c r="S851" s="7">
        <f t="shared" si="132"/>
        <v>0</v>
      </c>
      <c r="T851" s="124">
        <f t="shared" si="133"/>
        <v>169</v>
      </c>
      <c r="U851" s="124">
        <f t="shared" si="134"/>
        <v>740</v>
      </c>
      <c r="V851" s="124">
        <f t="shared" si="135"/>
        <v>842</v>
      </c>
      <c r="W851" s="124">
        <f t="shared" si="136"/>
        <v>341.99999999460005</v>
      </c>
      <c r="X851" s="124">
        <f t="shared" si="137"/>
        <v>3373632.1570937792</v>
      </c>
      <c r="Y851" s="264">
        <f t="shared" si="138"/>
        <v>842</v>
      </c>
      <c r="Z851" s="10">
        <v>169</v>
      </c>
      <c r="AA851" s="7">
        <v>740</v>
      </c>
      <c r="AB851" s="7">
        <v>842</v>
      </c>
      <c r="AC851" s="109">
        <v>341.99999999460005</v>
      </c>
      <c r="AD851" s="109">
        <v>3373632.1570937792</v>
      </c>
      <c r="AE851" s="125"/>
      <c r="AF851" s="10"/>
      <c r="AI851" s="109"/>
      <c r="AJ851" s="109"/>
      <c r="AL851" s="10"/>
      <c r="AO851" s="109"/>
      <c r="AP851" s="109"/>
      <c r="AR851" s="10"/>
      <c r="AU851" s="109"/>
      <c r="AV851" s="109"/>
      <c r="AX851" s="10"/>
      <c r="BA851" s="109"/>
      <c r="BB851" s="109"/>
      <c r="BD851" s="10"/>
      <c r="BG851" s="109"/>
      <c r="BH851" s="109"/>
      <c r="BJ851" s="10"/>
      <c r="BM851" s="109"/>
      <c r="BN851" s="109"/>
      <c r="BP851" s="10"/>
      <c r="BS851" s="109"/>
      <c r="BT851" s="109"/>
      <c r="BV851" s="10"/>
      <c r="BY851" s="109"/>
      <c r="BZ851" s="109"/>
      <c r="CB851" s="10"/>
      <c r="CE851" s="109"/>
      <c r="CF851" s="109"/>
      <c r="CH851" s="10"/>
      <c r="CK851" s="109"/>
      <c r="CL851" s="109"/>
    </row>
    <row r="852" spans="1:90">
      <c r="A852" s="7" t="str">
        <f t="shared" si="131"/>
        <v>01690879</v>
      </c>
      <c r="B852" s="7" t="s">
        <v>2508</v>
      </c>
      <c r="C852" s="7" t="s">
        <v>2776</v>
      </c>
      <c r="D852" s="7">
        <v>843</v>
      </c>
      <c r="E852" s="7">
        <v>169</v>
      </c>
      <c r="F852" s="7" t="s">
        <v>1874</v>
      </c>
      <c r="G852" s="7">
        <v>879</v>
      </c>
      <c r="H852" s="7" t="s">
        <v>1703</v>
      </c>
      <c r="I852" s="37">
        <v>280219</v>
      </c>
      <c r="J852" s="122">
        <v>3.7228726390960261E-2</v>
      </c>
      <c r="K852" s="123">
        <f t="shared" si="130"/>
        <v>283039.45000292471</v>
      </c>
      <c r="L852" s="122">
        <f>IF(K854&gt;0, K852/K854, 0)</f>
        <v>3.5378449238060945E-2</v>
      </c>
      <c r="M852" s="71"/>
      <c r="N852" s="10">
        <f>ROUND(M854*L852,0)</f>
        <v>228741</v>
      </c>
      <c r="O852" s="70">
        <v>232857</v>
      </c>
      <c r="P852" s="10">
        <f>N852-O852</f>
        <v>-4116</v>
      </c>
      <c r="Q852" s="46">
        <f t="shared" si="139"/>
        <v>-1.7676084463855499</v>
      </c>
      <c r="R852" s="10">
        <v>18</v>
      </c>
      <c r="S852" s="7">
        <f t="shared" si="132"/>
        <v>0</v>
      </c>
      <c r="T852" s="124">
        <f t="shared" si="133"/>
        <v>169</v>
      </c>
      <c r="U852" s="124">
        <f t="shared" si="134"/>
        <v>879</v>
      </c>
      <c r="V852" s="124">
        <f t="shared" si="135"/>
        <v>843</v>
      </c>
      <c r="W852" s="124">
        <f t="shared" si="136"/>
        <v>17.975675672480001</v>
      </c>
      <c r="X852" s="124">
        <f t="shared" si="137"/>
        <v>283039.45000292471</v>
      </c>
      <c r="Y852" s="264">
        <f t="shared" si="138"/>
        <v>843</v>
      </c>
      <c r="Z852" s="10">
        <v>169</v>
      </c>
      <c r="AA852" s="7">
        <v>879</v>
      </c>
      <c r="AB852" s="7">
        <v>843</v>
      </c>
      <c r="AC852" s="109">
        <v>17.975675672480001</v>
      </c>
      <c r="AD852" s="109">
        <v>283039.45000292471</v>
      </c>
      <c r="AE852" s="125"/>
      <c r="AF852" s="10"/>
      <c r="AI852" s="109"/>
      <c r="AJ852" s="109"/>
      <c r="AL852" s="10"/>
      <c r="AO852" s="109"/>
      <c r="AP852" s="109"/>
      <c r="AR852" s="10"/>
      <c r="AU852" s="109"/>
      <c r="AV852" s="109"/>
      <c r="AX852" s="10"/>
      <c r="BA852" s="109"/>
      <c r="BB852" s="109"/>
      <c r="BD852" s="10"/>
      <c r="BG852" s="109"/>
      <c r="BH852" s="109"/>
      <c r="BJ852" s="10"/>
      <c r="BM852" s="109"/>
      <c r="BN852" s="109"/>
      <c r="BP852" s="10"/>
      <c r="BS852" s="109"/>
      <c r="BT852" s="109"/>
      <c r="BV852" s="10"/>
      <c r="BY852" s="109"/>
      <c r="BZ852" s="109"/>
      <c r="CB852" s="10"/>
      <c r="CE852" s="109"/>
      <c r="CF852" s="109"/>
      <c r="CH852" s="10"/>
      <c r="CK852" s="109"/>
      <c r="CL852" s="109"/>
    </row>
    <row r="853" spans="1:90">
      <c r="A853" s="7" t="str">
        <f t="shared" si="131"/>
        <v>01690998</v>
      </c>
      <c r="B853" s="7" t="s">
        <v>2508</v>
      </c>
      <c r="C853" s="7" t="s">
        <v>2781</v>
      </c>
      <c r="D853" s="7">
        <v>844</v>
      </c>
      <c r="E853" s="7">
        <v>169</v>
      </c>
      <c r="F853" s="7" t="s">
        <v>2135</v>
      </c>
      <c r="G853" s="7">
        <v>998</v>
      </c>
      <c r="H853" s="7" t="s">
        <v>2135</v>
      </c>
      <c r="I853" s="37">
        <v>0</v>
      </c>
      <c r="J853" s="122">
        <v>0</v>
      </c>
      <c r="K853" s="123">
        <f t="shared" si="130"/>
        <v>0</v>
      </c>
      <c r="L853" s="122">
        <f>IF(K854&gt;0, K853/K854, 0)</f>
        <v>0</v>
      </c>
      <c r="M853" s="71"/>
      <c r="N853" s="10">
        <f>ROUND(M854*L853,0)</f>
        <v>0</v>
      </c>
      <c r="O853" s="70">
        <v>0</v>
      </c>
      <c r="P853" s="10">
        <f>N853-O853</f>
        <v>0</v>
      </c>
      <c r="Q853" s="46">
        <f t="shared" si="139"/>
        <v>0</v>
      </c>
      <c r="R853" s="10">
        <v>0</v>
      </c>
      <c r="S853" s="7">
        <f t="shared" si="132"/>
        <v>0</v>
      </c>
      <c r="T853" s="124">
        <f t="shared" si="133"/>
        <v>169</v>
      </c>
      <c r="U853" s="124">
        <f t="shared" si="134"/>
        <v>998</v>
      </c>
      <c r="V853" s="124">
        <f t="shared" si="135"/>
        <v>844</v>
      </c>
      <c r="W853" s="124">
        <f t="shared" si="136"/>
        <v>0</v>
      </c>
      <c r="X853" s="124">
        <f t="shared" si="137"/>
        <v>0</v>
      </c>
      <c r="Y853" s="264">
        <f t="shared" si="138"/>
        <v>844</v>
      </c>
      <c r="Z853" s="10">
        <v>169</v>
      </c>
      <c r="AA853" s="7">
        <v>998</v>
      </c>
      <c r="AB853" s="7">
        <v>844</v>
      </c>
      <c r="AC853" s="109">
        <v>0</v>
      </c>
      <c r="AD853" s="109">
        <v>0</v>
      </c>
      <c r="AE853" s="125"/>
      <c r="AF853" s="10"/>
      <c r="AI853" s="109"/>
      <c r="AJ853" s="109"/>
      <c r="AL853" s="10"/>
      <c r="AO853" s="109"/>
      <c r="AP853" s="109"/>
      <c r="AR853" s="10"/>
      <c r="AU853" s="109"/>
      <c r="AV853" s="109"/>
      <c r="AX853" s="10"/>
      <c r="BA853" s="109"/>
      <c r="BB853" s="109"/>
      <c r="BD853" s="10"/>
      <c r="BG853" s="109"/>
      <c r="BH853" s="109"/>
      <c r="BJ853" s="10"/>
      <c r="BM853" s="109"/>
      <c r="BN853" s="109"/>
      <c r="BP853" s="10"/>
      <c r="BS853" s="109"/>
      <c r="BT853" s="109"/>
      <c r="BV853" s="10"/>
      <c r="BY853" s="109"/>
      <c r="BZ853" s="109"/>
      <c r="CB853" s="10"/>
      <c r="CE853" s="109"/>
      <c r="CF853" s="109"/>
      <c r="CH853" s="10"/>
      <c r="CK853" s="109"/>
      <c r="CL853" s="109"/>
    </row>
    <row r="854" spans="1:90">
      <c r="A854" s="7" t="str">
        <f t="shared" si="131"/>
        <v>01690999</v>
      </c>
      <c r="B854" s="7" t="s">
        <v>2508</v>
      </c>
      <c r="C854" s="7" t="s">
        <v>2782</v>
      </c>
      <c r="D854" s="7">
        <v>845</v>
      </c>
      <c r="E854" s="11">
        <v>169</v>
      </c>
      <c r="F854" s="11" t="s">
        <v>1874</v>
      </c>
      <c r="G854" s="11">
        <v>999</v>
      </c>
      <c r="H854" s="11" t="s">
        <v>1132</v>
      </c>
      <c r="I854" s="105">
        <v>7526956.3900000006</v>
      </c>
      <c r="J854" s="126">
        <v>1</v>
      </c>
      <c r="K854" s="127">
        <f>SUM(K850:K853)</f>
        <v>8000335.1220500758</v>
      </c>
      <c r="L854" s="126">
        <f>SUM(L850:L853)</f>
        <v>1</v>
      </c>
      <c r="M854" s="105">
        <f>VLOOKUP(E854,town351,22)</f>
        <v>6465560</v>
      </c>
      <c r="N854" s="105">
        <f>SUM(N850:N853)</f>
        <v>6465559</v>
      </c>
      <c r="O854" s="128">
        <v>6254774</v>
      </c>
      <c r="P854" s="105">
        <f>SUM(P850:P853)</f>
        <v>210785</v>
      </c>
      <c r="Q854" s="45">
        <f t="shared" si="139"/>
        <v>3.3699858699930645</v>
      </c>
      <c r="R854" s="105">
        <v>787</v>
      </c>
      <c r="S854" s="7">
        <f t="shared" si="132"/>
        <v>0</v>
      </c>
      <c r="T854" s="124">
        <f t="shared" si="133"/>
        <v>169</v>
      </c>
      <c r="U854" s="124">
        <f t="shared" si="134"/>
        <v>999</v>
      </c>
      <c r="V854" s="124">
        <f t="shared" si="135"/>
        <v>845</v>
      </c>
      <c r="W854" s="124">
        <f t="shared" si="136"/>
        <v>814.97567566708005</v>
      </c>
      <c r="X854" s="124">
        <f t="shared" si="137"/>
        <v>8000335.1220500758</v>
      </c>
      <c r="Y854" s="264">
        <f t="shared" si="138"/>
        <v>845</v>
      </c>
      <c r="Z854" s="10">
        <v>169</v>
      </c>
      <c r="AA854" s="7">
        <v>999</v>
      </c>
      <c r="AB854" s="7">
        <v>845</v>
      </c>
      <c r="AC854" s="109">
        <v>814.97567566708005</v>
      </c>
      <c r="AD854" s="109">
        <v>8000335.1220500758</v>
      </c>
      <c r="AE854" s="125"/>
      <c r="AF854" s="10"/>
      <c r="AI854" s="109"/>
      <c r="AJ854" s="109"/>
      <c r="AL854" s="10"/>
      <c r="AO854" s="109"/>
      <c r="AP854" s="109"/>
      <c r="AR854" s="10"/>
      <c r="AU854" s="109"/>
      <c r="AV854" s="109"/>
      <c r="AX854" s="10"/>
      <c r="BA854" s="109"/>
      <c r="BB854" s="109"/>
      <c r="BD854" s="10"/>
      <c r="BG854" s="109"/>
      <c r="BH854" s="109"/>
      <c r="BJ854" s="10"/>
      <c r="BM854" s="109"/>
      <c r="BN854" s="109"/>
      <c r="BP854" s="10"/>
      <c r="BS854" s="109"/>
      <c r="BT854" s="109"/>
      <c r="BV854" s="10"/>
      <c r="BY854" s="109"/>
      <c r="BZ854" s="109"/>
      <c r="CB854" s="10"/>
      <c r="CE854" s="109"/>
      <c r="CF854" s="109"/>
      <c r="CH854" s="10"/>
      <c r="CK854" s="109"/>
      <c r="CL854" s="109"/>
    </row>
    <row r="855" spans="1:90">
      <c r="A855" s="7" t="str">
        <f t="shared" si="131"/>
        <v>01700170</v>
      </c>
      <c r="B855" s="7" t="s">
        <v>2509</v>
      </c>
      <c r="C855" s="7" t="s">
        <v>2509</v>
      </c>
      <c r="D855" s="7">
        <v>846</v>
      </c>
      <c r="E855" s="7">
        <v>170</v>
      </c>
      <c r="F855" s="7" t="s">
        <v>1875</v>
      </c>
      <c r="G855" s="7">
        <v>170</v>
      </c>
      <c r="H855" s="7" t="s">
        <v>1436</v>
      </c>
      <c r="I855" s="37">
        <v>54854523.918049991</v>
      </c>
      <c r="J855" s="122">
        <v>0.89071641989920469</v>
      </c>
      <c r="K855" s="123">
        <f>X855</f>
        <v>56761909.559497736</v>
      </c>
      <c r="L855" s="122">
        <f>IF(K859&gt;0, K855/K859, 0)</f>
        <v>0.88922921637247188</v>
      </c>
      <c r="M855" s="71"/>
      <c r="N855" s="10">
        <f>ROUND(M859*L855,0)</f>
        <v>32073087</v>
      </c>
      <c r="O855" s="70">
        <v>31931943</v>
      </c>
      <c r="P855" s="10">
        <f>N855-O855</f>
        <v>141144</v>
      </c>
      <c r="Q855" s="46">
        <f t="shared" si="139"/>
        <v>0.44201506936173601</v>
      </c>
      <c r="R855" s="10">
        <v>5023</v>
      </c>
      <c r="S855" s="7">
        <f t="shared" si="132"/>
        <v>0</v>
      </c>
      <c r="T855" s="124">
        <f t="shared" si="133"/>
        <v>170</v>
      </c>
      <c r="U855" s="124">
        <f t="shared" si="134"/>
        <v>170</v>
      </c>
      <c r="V855" s="124">
        <f t="shared" si="135"/>
        <v>846</v>
      </c>
      <c r="W855" s="124">
        <f t="shared" si="136"/>
        <v>5081</v>
      </c>
      <c r="X855" s="124">
        <f t="shared" si="137"/>
        <v>56761909.559497736</v>
      </c>
      <c r="Y855" s="264">
        <f t="shared" si="138"/>
        <v>846</v>
      </c>
      <c r="Z855" s="10">
        <v>170</v>
      </c>
      <c r="AA855" s="7">
        <v>170</v>
      </c>
      <c r="AB855" s="7">
        <v>846</v>
      </c>
      <c r="AC855" s="109">
        <v>5081</v>
      </c>
      <c r="AD855" s="109">
        <v>56761909.559497736</v>
      </c>
      <c r="AE855" s="125"/>
      <c r="AF855" s="10"/>
      <c r="AI855" s="109"/>
      <c r="AJ855" s="109"/>
      <c r="AL855" s="10"/>
      <c r="AO855" s="109"/>
      <c r="AP855" s="109"/>
      <c r="AR855" s="10"/>
      <c r="AU855" s="109"/>
      <c r="AV855" s="109"/>
      <c r="AX855" s="10"/>
      <c r="BA855" s="109"/>
      <c r="BB855" s="109"/>
      <c r="BD855" s="10"/>
      <c r="BG855" s="109"/>
      <c r="BH855" s="109"/>
      <c r="BJ855" s="10"/>
      <c r="BM855" s="109"/>
      <c r="BN855" s="109"/>
      <c r="BP855" s="10"/>
      <c r="BS855" s="109"/>
      <c r="BT855" s="109"/>
      <c r="BV855" s="10"/>
      <c r="BY855" s="109"/>
      <c r="BZ855" s="109"/>
      <c r="CB855" s="10"/>
      <c r="CE855" s="109"/>
      <c r="CF855" s="109"/>
      <c r="CH855" s="10"/>
      <c r="CK855" s="109"/>
      <c r="CL855" s="109"/>
    </row>
    <row r="856" spans="1:90">
      <c r="A856" s="7" t="str">
        <f t="shared" si="131"/>
        <v>01700801</v>
      </c>
      <c r="B856" s="7" t="s">
        <v>2509</v>
      </c>
      <c r="C856" s="7" t="s">
        <v>2752</v>
      </c>
      <c r="D856" s="7">
        <v>847</v>
      </c>
      <c r="E856" s="7">
        <v>170</v>
      </c>
      <c r="F856" s="7" t="s">
        <v>1875</v>
      </c>
      <c r="G856" s="7">
        <v>801</v>
      </c>
      <c r="H856" s="7" t="s">
        <v>1679</v>
      </c>
      <c r="I856" s="37">
        <v>6730199</v>
      </c>
      <c r="J856" s="122">
        <v>0.10928358010079529</v>
      </c>
      <c r="K856" s="123">
        <f t="shared" si="130"/>
        <v>7070799.1666647755</v>
      </c>
      <c r="L856" s="122">
        <f>IF(K859&gt;0, K856/K859, 0)</f>
        <v>0.11077078362752815</v>
      </c>
      <c r="M856" s="71"/>
      <c r="N856" s="10">
        <f>ROUND(M859*L856,0)</f>
        <v>3995326</v>
      </c>
      <c r="O856" s="70">
        <v>3917787</v>
      </c>
      <c r="P856" s="10">
        <f>N856-O856</f>
        <v>77539</v>
      </c>
      <c r="Q856" s="46">
        <f t="shared" si="139"/>
        <v>1.9791530269511843</v>
      </c>
      <c r="R856" s="10">
        <v>399</v>
      </c>
      <c r="S856" s="7">
        <f t="shared" si="132"/>
        <v>0</v>
      </c>
      <c r="T856" s="124">
        <f t="shared" si="133"/>
        <v>170</v>
      </c>
      <c r="U856" s="124">
        <f t="shared" si="134"/>
        <v>801</v>
      </c>
      <c r="V856" s="124">
        <f t="shared" si="135"/>
        <v>847</v>
      </c>
      <c r="W856" s="124">
        <f t="shared" si="136"/>
        <v>418.99999999711997</v>
      </c>
      <c r="X856" s="124">
        <f t="shared" si="137"/>
        <v>7070799.1666647755</v>
      </c>
      <c r="Y856" s="264">
        <f t="shared" si="138"/>
        <v>847</v>
      </c>
      <c r="Z856" s="10">
        <v>170</v>
      </c>
      <c r="AA856" s="7">
        <v>801</v>
      </c>
      <c r="AB856" s="7">
        <v>847</v>
      </c>
      <c r="AC856" s="109">
        <v>418.99999999711997</v>
      </c>
      <c r="AD856" s="109">
        <v>7070799.1666647755</v>
      </c>
      <c r="AE856" s="125"/>
      <c r="AF856" s="10"/>
      <c r="AI856" s="109"/>
      <c r="AJ856" s="109"/>
      <c r="AL856" s="10"/>
      <c r="AO856" s="109"/>
      <c r="AP856" s="109"/>
      <c r="AR856" s="10"/>
      <c r="AU856" s="109"/>
      <c r="AV856" s="109"/>
      <c r="AX856" s="10"/>
      <c r="BA856" s="109"/>
      <c r="BB856" s="109"/>
      <c r="BD856" s="10"/>
      <c r="BG856" s="109"/>
      <c r="BH856" s="109"/>
      <c r="BJ856" s="10"/>
      <c r="BM856" s="109"/>
      <c r="BN856" s="109"/>
      <c r="BP856" s="10"/>
      <c r="BS856" s="109"/>
      <c r="BT856" s="109"/>
      <c r="BV856" s="10"/>
      <c r="BY856" s="109"/>
      <c r="BZ856" s="109"/>
      <c r="CB856" s="10"/>
      <c r="CE856" s="109"/>
      <c r="CF856" s="109"/>
      <c r="CH856" s="10"/>
      <c r="CK856" s="109"/>
      <c r="CL856" s="109"/>
    </row>
    <row r="857" spans="1:90">
      <c r="A857" s="7" t="str">
        <f t="shared" si="131"/>
        <v>01700998</v>
      </c>
      <c r="B857" s="7" t="s">
        <v>2509</v>
      </c>
      <c r="C857" s="7" t="s">
        <v>2781</v>
      </c>
      <c r="D857" s="7">
        <v>848</v>
      </c>
      <c r="E857" s="7">
        <v>170</v>
      </c>
      <c r="F857" s="7" t="s">
        <v>2135</v>
      </c>
      <c r="G857" s="7">
        <v>998</v>
      </c>
      <c r="H857" s="7" t="s">
        <v>2135</v>
      </c>
      <c r="I857" s="37">
        <v>0</v>
      </c>
      <c r="J857" s="122">
        <v>0</v>
      </c>
      <c r="K857" s="123">
        <f t="shared" si="130"/>
        <v>0</v>
      </c>
      <c r="L857" s="122">
        <f>IF(K859&gt;0, K857/K859, 0)</f>
        <v>0</v>
      </c>
      <c r="M857" s="71"/>
      <c r="N857" s="10">
        <f>ROUND(M859*L857,0)</f>
        <v>0</v>
      </c>
      <c r="O857" s="70">
        <v>0</v>
      </c>
      <c r="P857" s="10">
        <f>N857-O857</f>
        <v>0</v>
      </c>
      <c r="Q857" s="46">
        <f t="shared" si="139"/>
        <v>0</v>
      </c>
      <c r="R857" s="10">
        <v>0</v>
      </c>
      <c r="S857" s="7">
        <f t="shared" si="132"/>
        <v>0</v>
      </c>
      <c r="T857" s="124">
        <f t="shared" si="133"/>
        <v>170</v>
      </c>
      <c r="U857" s="124">
        <f t="shared" si="134"/>
        <v>998</v>
      </c>
      <c r="V857" s="124">
        <f t="shared" si="135"/>
        <v>848</v>
      </c>
      <c r="W857" s="124">
        <f t="shared" si="136"/>
        <v>0</v>
      </c>
      <c r="X857" s="124">
        <f t="shared" si="137"/>
        <v>0</v>
      </c>
      <c r="Y857" s="264">
        <f t="shared" si="138"/>
        <v>848</v>
      </c>
      <c r="Z857" s="10">
        <v>170</v>
      </c>
      <c r="AA857" s="7">
        <v>998</v>
      </c>
      <c r="AB857" s="7">
        <v>848</v>
      </c>
      <c r="AC857" s="109">
        <v>0</v>
      </c>
      <c r="AD857" s="109">
        <v>0</v>
      </c>
      <c r="AE857" s="125"/>
      <c r="AF857" s="10"/>
      <c r="AI857" s="109"/>
      <c r="AJ857" s="109"/>
      <c r="AL857" s="10"/>
      <c r="AO857" s="109"/>
      <c r="AP857" s="109"/>
      <c r="AR857" s="10"/>
      <c r="AU857" s="109"/>
      <c r="AV857" s="109"/>
      <c r="AX857" s="10"/>
      <c r="BA857" s="109"/>
      <c r="BB857" s="109"/>
      <c r="BD857" s="10"/>
      <c r="BG857" s="109"/>
      <c r="BH857" s="109"/>
      <c r="BJ857" s="10"/>
      <c r="BM857" s="109"/>
      <c r="BN857" s="109"/>
      <c r="BP857" s="10"/>
      <c r="BS857" s="109"/>
      <c r="BT857" s="109"/>
      <c r="BV857" s="10"/>
      <c r="BY857" s="109"/>
      <c r="BZ857" s="109"/>
      <c r="CB857" s="10"/>
      <c r="CE857" s="109"/>
      <c r="CF857" s="109"/>
      <c r="CH857" s="10"/>
      <c r="CK857" s="109"/>
      <c r="CL857" s="109"/>
    </row>
    <row r="858" spans="1:90">
      <c r="A858" s="7" t="str">
        <f t="shared" si="131"/>
        <v>01700998</v>
      </c>
      <c r="B858" s="7" t="s">
        <v>2509</v>
      </c>
      <c r="C858" s="7" t="s">
        <v>2781</v>
      </c>
      <c r="D858" s="7">
        <v>849</v>
      </c>
      <c r="E858" s="7">
        <v>170</v>
      </c>
      <c r="F858" s="7" t="s">
        <v>2135</v>
      </c>
      <c r="G858" s="7">
        <v>998</v>
      </c>
      <c r="H858" s="7" t="s">
        <v>2135</v>
      </c>
      <c r="I858" s="37">
        <v>0</v>
      </c>
      <c r="J858" s="122">
        <v>0</v>
      </c>
      <c r="K858" s="123">
        <f t="shared" si="130"/>
        <v>0</v>
      </c>
      <c r="L858" s="122">
        <f>IF(K859&gt;0, K858/K859, 0)</f>
        <v>0</v>
      </c>
      <c r="M858" s="71"/>
      <c r="N858" s="10">
        <f>ROUND(M859*L858,0)</f>
        <v>0</v>
      </c>
      <c r="O858" s="70">
        <v>0</v>
      </c>
      <c r="P858" s="10">
        <f>N858-O858</f>
        <v>0</v>
      </c>
      <c r="Q858" s="46">
        <f t="shared" si="139"/>
        <v>0</v>
      </c>
      <c r="R858" s="10">
        <v>0</v>
      </c>
      <c r="S858" s="7">
        <f t="shared" si="132"/>
        <v>0</v>
      </c>
      <c r="T858" s="124">
        <f t="shared" si="133"/>
        <v>170</v>
      </c>
      <c r="U858" s="124">
        <f t="shared" si="134"/>
        <v>998</v>
      </c>
      <c r="V858" s="124">
        <f t="shared" si="135"/>
        <v>849</v>
      </c>
      <c r="W858" s="124">
        <f t="shared" si="136"/>
        <v>0</v>
      </c>
      <c r="X858" s="124">
        <f t="shared" si="137"/>
        <v>0</v>
      </c>
      <c r="Y858" s="264">
        <f t="shared" si="138"/>
        <v>849</v>
      </c>
      <c r="Z858" s="10">
        <v>170</v>
      </c>
      <c r="AA858" s="7">
        <v>998</v>
      </c>
      <c r="AB858" s="7">
        <v>849</v>
      </c>
      <c r="AC858" s="109">
        <v>0</v>
      </c>
      <c r="AD858" s="109">
        <v>0</v>
      </c>
      <c r="AE858" s="125"/>
      <c r="AF858" s="10"/>
      <c r="AI858" s="109"/>
      <c r="AJ858" s="109"/>
      <c r="AL858" s="10"/>
      <c r="AO858" s="109"/>
      <c r="AP858" s="109"/>
      <c r="AR858" s="10"/>
      <c r="AU858" s="109"/>
      <c r="AV858" s="109"/>
      <c r="AX858" s="10"/>
      <c r="BA858" s="109"/>
      <c r="BB858" s="109"/>
      <c r="BD858" s="10"/>
      <c r="BG858" s="109"/>
      <c r="BH858" s="109"/>
      <c r="BJ858" s="10"/>
      <c r="BM858" s="109"/>
      <c r="BN858" s="109"/>
      <c r="BP858" s="10"/>
      <c r="BS858" s="109"/>
      <c r="BT858" s="109"/>
      <c r="BV858" s="10"/>
      <c r="BY858" s="109"/>
      <c r="BZ858" s="109"/>
      <c r="CB858" s="10"/>
      <c r="CE858" s="109"/>
      <c r="CF858" s="109"/>
      <c r="CH858" s="10"/>
      <c r="CK858" s="109"/>
      <c r="CL858" s="109"/>
    </row>
    <row r="859" spans="1:90">
      <c r="A859" s="7" t="str">
        <f t="shared" si="131"/>
        <v>01700999</v>
      </c>
      <c r="B859" s="7" t="s">
        <v>2509</v>
      </c>
      <c r="C859" s="7" t="s">
        <v>2782</v>
      </c>
      <c r="D859" s="7">
        <v>850</v>
      </c>
      <c r="E859" s="11">
        <v>170</v>
      </c>
      <c r="F859" s="11" t="s">
        <v>1875</v>
      </c>
      <c r="G859" s="11">
        <v>999</v>
      </c>
      <c r="H859" s="11" t="s">
        <v>1132</v>
      </c>
      <c r="I859" s="105">
        <v>61584722.918049991</v>
      </c>
      <c r="J859" s="126">
        <v>1</v>
      </c>
      <c r="K859" s="127">
        <f>SUM(K855:K858)</f>
        <v>63832708.726162508</v>
      </c>
      <c r="L859" s="126">
        <f>SUM(L855:L858)</f>
        <v>1</v>
      </c>
      <c r="M859" s="105">
        <f>VLOOKUP(E859,town351,22)</f>
        <v>36068413</v>
      </c>
      <c r="N859" s="105">
        <f>SUM(N855:N858)</f>
        <v>36068413</v>
      </c>
      <c r="O859" s="128">
        <v>35849730</v>
      </c>
      <c r="P859" s="105">
        <f>SUM(P855:P858)</f>
        <v>218683</v>
      </c>
      <c r="Q859" s="45">
        <f t="shared" si="139"/>
        <v>0.60999901533428569</v>
      </c>
      <c r="R859" s="105">
        <v>5422</v>
      </c>
      <c r="S859" s="7">
        <f t="shared" si="132"/>
        <v>0</v>
      </c>
      <c r="T859" s="124">
        <f t="shared" si="133"/>
        <v>170</v>
      </c>
      <c r="U859" s="124">
        <f t="shared" si="134"/>
        <v>999</v>
      </c>
      <c r="V859" s="124">
        <f t="shared" si="135"/>
        <v>850</v>
      </c>
      <c r="W859" s="124">
        <f t="shared" si="136"/>
        <v>5499.9999999971196</v>
      </c>
      <c r="X859" s="124">
        <f t="shared" si="137"/>
        <v>63832708.726162508</v>
      </c>
      <c r="Y859" s="264">
        <f t="shared" si="138"/>
        <v>850</v>
      </c>
      <c r="Z859" s="10">
        <v>170</v>
      </c>
      <c r="AA859" s="7">
        <v>999</v>
      </c>
      <c r="AB859" s="7">
        <v>850</v>
      </c>
      <c r="AC859" s="109">
        <v>5499.9999999971196</v>
      </c>
      <c r="AD859" s="109">
        <v>63832708.726162508</v>
      </c>
      <c r="AE859" s="125"/>
      <c r="AF859" s="10"/>
      <c r="AI859" s="109"/>
      <c r="AJ859" s="109"/>
      <c r="AL859" s="10"/>
      <c r="AO859" s="109"/>
      <c r="AP859" s="109"/>
      <c r="AR859" s="10"/>
      <c r="AU859" s="109"/>
      <c r="AV859" s="109"/>
      <c r="AX859" s="10"/>
      <c r="BA859" s="109"/>
      <c r="BB859" s="109"/>
      <c r="BD859" s="10"/>
      <c r="BG859" s="109"/>
      <c r="BH859" s="109"/>
      <c r="BJ859" s="10"/>
      <c r="BM859" s="109"/>
      <c r="BN859" s="109"/>
      <c r="BP859" s="10"/>
      <c r="BS859" s="109"/>
      <c r="BT859" s="109"/>
      <c r="BV859" s="10"/>
      <c r="BY859" s="109"/>
      <c r="BZ859" s="109"/>
      <c r="CB859" s="10"/>
      <c r="CE859" s="109"/>
      <c r="CF859" s="109"/>
      <c r="CH859" s="10"/>
      <c r="CK859" s="109"/>
      <c r="CL859" s="109"/>
    </row>
    <row r="860" spans="1:90">
      <c r="A860" s="7" t="str">
        <f t="shared" si="131"/>
        <v>01710171</v>
      </c>
      <c r="B860" s="7" t="s">
        <v>2510</v>
      </c>
      <c r="C860" s="7" t="s">
        <v>2510</v>
      </c>
      <c r="D860" s="7">
        <v>851</v>
      </c>
      <c r="E860" s="7">
        <v>171</v>
      </c>
      <c r="F860" s="7" t="s">
        <v>1876</v>
      </c>
      <c r="G860" s="7">
        <v>171</v>
      </c>
      <c r="H860" s="7" t="s">
        <v>1437</v>
      </c>
      <c r="I860" s="37">
        <v>40243211.142080009</v>
      </c>
      <c r="J860" s="122">
        <v>1</v>
      </c>
      <c r="K860" s="123">
        <f t="shared" ref="K860:K923" si="140">X860</f>
        <v>41036767.216783047</v>
      </c>
      <c r="L860" s="122">
        <f>IF(K864&gt;0, K860/K864, 0)</f>
        <v>1</v>
      </c>
      <c r="M860" s="71"/>
      <c r="N860" s="10">
        <f>ROUND(M864*L860,0)</f>
        <v>33760457</v>
      </c>
      <c r="O860" s="70">
        <v>32421451</v>
      </c>
      <c r="P860" s="10">
        <f>N860-O860</f>
        <v>1339006</v>
      </c>
      <c r="Q860" s="46">
        <f t="shared" si="139"/>
        <v>4.1300002273186358</v>
      </c>
      <c r="R860" s="10">
        <v>4166</v>
      </c>
      <c r="S860" s="7">
        <f t="shared" si="132"/>
        <v>0</v>
      </c>
      <c r="T860" s="124">
        <f t="shared" si="133"/>
        <v>171</v>
      </c>
      <c r="U860" s="124">
        <f t="shared" si="134"/>
        <v>171</v>
      </c>
      <c r="V860" s="124">
        <f t="shared" si="135"/>
        <v>851</v>
      </c>
      <c r="W860" s="124">
        <f t="shared" si="136"/>
        <v>4128</v>
      </c>
      <c r="X860" s="124">
        <f t="shared" si="137"/>
        <v>41036767.216783047</v>
      </c>
      <c r="Y860" s="264">
        <f t="shared" si="138"/>
        <v>851</v>
      </c>
      <c r="Z860" s="10">
        <v>171</v>
      </c>
      <c r="AA860" s="7">
        <v>171</v>
      </c>
      <c r="AB860" s="7">
        <v>851</v>
      </c>
      <c r="AC860" s="109">
        <v>4128</v>
      </c>
      <c r="AD860" s="109">
        <v>41036767.216783047</v>
      </c>
      <c r="AE860" s="125"/>
      <c r="AF860" s="10"/>
      <c r="AI860" s="109"/>
      <c r="AJ860" s="109"/>
      <c r="AL860" s="10"/>
      <c r="AO860" s="109"/>
      <c r="AP860" s="109"/>
      <c r="AR860" s="10"/>
      <c r="AU860" s="109"/>
      <c r="AV860" s="109"/>
      <c r="AX860" s="10"/>
      <c r="BA860" s="109"/>
      <c r="BB860" s="109"/>
      <c r="BD860" s="10"/>
      <c r="BG860" s="109"/>
      <c r="BH860" s="109"/>
      <c r="BJ860" s="10"/>
      <c r="BM860" s="109"/>
      <c r="BN860" s="109"/>
      <c r="BP860" s="10"/>
      <c r="BS860" s="109"/>
      <c r="BT860" s="109"/>
      <c r="BV860" s="10"/>
      <c r="BY860" s="109"/>
      <c r="BZ860" s="109"/>
      <c r="CB860" s="10"/>
      <c r="CE860" s="109"/>
      <c r="CF860" s="109"/>
      <c r="CH860" s="10"/>
      <c r="CK860" s="109"/>
      <c r="CL860" s="109"/>
    </row>
    <row r="861" spans="1:90">
      <c r="A861" s="7" t="str">
        <f t="shared" si="131"/>
        <v>01710998</v>
      </c>
      <c r="B861" s="7" t="s">
        <v>2510</v>
      </c>
      <c r="C861" s="7" t="s">
        <v>2781</v>
      </c>
      <c r="D861" s="7">
        <v>852</v>
      </c>
      <c r="E861" s="7">
        <v>171</v>
      </c>
      <c r="F861" s="7" t="s">
        <v>2135</v>
      </c>
      <c r="G861" s="7">
        <v>998</v>
      </c>
      <c r="H861" s="7" t="s">
        <v>2135</v>
      </c>
      <c r="I861" s="37">
        <v>0</v>
      </c>
      <c r="J861" s="122">
        <v>0</v>
      </c>
      <c r="K861" s="123">
        <f t="shared" si="140"/>
        <v>0</v>
      </c>
      <c r="L861" s="122">
        <f>IF(K864&gt;0, K861/K864, 0)</f>
        <v>0</v>
      </c>
      <c r="M861" s="71"/>
      <c r="N861" s="10">
        <f>ROUND(M864*L861,0)</f>
        <v>0</v>
      </c>
      <c r="O861" s="70">
        <v>0</v>
      </c>
      <c r="P861" s="10">
        <f>N861-O861</f>
        <v>0</v>
      </c>
      <c r="Q861" s="46">
        <f t="shared" si="139"/>
        <v>0</v>
      </c>
      <c r="R861" s="10">
        <v>0</v>
      </c>
      <c r="S861" s="7">
        <f t="shared" si="132"/>
        <v>0</v>
      </c>
      <c r="T861" s="124">
        <f t="shared" si="133"/>
        <v>171</v>
      </c>
      <c r="U861" s="124">
        <f t="shared" si="134"/>
        <v>998</v>
      </c>
      <c r="V861" s="124">
        <f t="shared" si="135"/>
        <v>852</v>
      </c>
      <c r="W861" s="124">
        <f t="shared" si="136"/>
        <v>0</v>
      </c>
      <c r="X861" s="124">
        <f t="shared" si="137"/>
        <v>0</v>
      </c>
      <c r="Y861" s="264">
        <f t="shared" si="138"/>
        <v>852</v>
      </c>
      <c r="Z861" s="10">
        <v>171</v>
      </c>
      <c r="AA861" s="7">
        <v>998</v>
      </c>
      <c r="AB861" s="7">
        <v>852</v>
      </c>
      <c r="AC861" s="109">
        <v>0</v>
      </c>
      <c r="AD861" s="109">
        <v>0</v>
      </c>
      <c r="AE861" s="125"/>
      <c r="AF861" s="10"/>
      <c r="AI861" s="109"/>
      <c r="AJ861" s="109"/>
      <c r="AL861" s="10"/>
      <c r="AO861" s="109"/>
      <c r="AP861" s="109"/>
      <c r="AR861" s="10"/>
      <c r="AU861" s="109"/>
      <c r="AV861" s="109"/>
      <c r="AX861" s="10"/>
      <c r="BA861" s="109"/>
      <c r="BB861" s="109"/>
      <c r="BD861" s="10"/>
      <c r="BG861" s="109"/>
      <c r="BH861" s="109"/>
      <c r="BJ861" s="10"/>
      <c r="BM861" s="109"/>
      <c r="BN861" s="109"/>
      <c r="BP861" s="10"/>
      <c r="BS861" s="109"/>
      <c r="BT861" s="109"/>
      <c r="BV861" s="10"/>
      <c r="BY861" s="109"/>
      <c r="BZ861" s="109"/>
      <c r="CB861" s="10"/>
      <c r="CE861" s="109"/>
      <c r="CF861" s="109"/>
      <c r="CH861" s="10"/>
      <c r="CK861" s="109"/>
      <c r="CL861" s="109"/>
    </row>
    <row r="862" spans="1:90">
      <c r="A862" s="7" t="str">
        <f t="shared" si="131"/>
        <v>01710998</v>
      </c>
      <c r="B862" s="7" t="s">
        <v>2510</v>
      </c>
      <c r="C862" s="7" t="s">
        <v>2781</v>
      </c>
      <c r="D862" s="7">
        <v>853</v>
      </c>
      <c r="E862" s="7">
        <v>171</v>
      </c>
      <c r="F862" s="7" t="s">
        <v>2135</v>
      </c>
      <c r="G862" s="7">
        <v>998</v>
      </c>
      <c r="H862" s="7" t="s">
        <v>2135</v>
      </c>
      <c r="I862" s="37">
        <v>0</v>
      </c>
      <c r="J862" s="122">
        <v>0</v>
      </c>
      <c r="K862" s="123">
        <f t="shared" si="140"/>
        <v>0</v>
      </c>
      <c r="L862" s="122">
        <f>IF(K864&gt;0, K862/K864, 0)</f>
        <v>0</v>
      </c>
      <c r="M862" s="71"/>
      <c r="N862" s="10">
        <f>ROUND(M864*L862,0)</f>
        <v>0</v>
      </c>
      <c r="O862" s="70">
        <v>0</v>
      </c>
      <c r="P862" s="10">
        <f>N862-O862</f>
        <v>0</v>
      </c>
      <c r="Q862" s="46">
        <f t="shared" si="139"/>
        <v>0</v>
      </c>
      <c r="R862" s="10">
        <v>0</v>
      </c>
      <c r="S862" s="7">
        <f t="shared" si="132"/>
        <v>0</v>
      </c>
      <c r="T862" s="124">
        <f t="shared" si="133"/>
        <v>171</v>
      </c>
      <c r="U862" s="124">
        <f t="shared" si="134"/>
        <v>998</v>
      </c>
      <c r="V862" s="124">
        <f t="shared" si="135"/>
        <v>853</v>
      </c>
      <c r="W862" s="124">
        <f t="shared" si="136"/>
        <v>0</v>
      </c>
      <c r="X862" s="124">
        <f t="shared" si="137"/>
        <v>0</v>
      </c>
      <c r="Y862" s="264">
        <f t="shared" si="138"/>
        <v>853</v>
      </c>
      <c r="Z862" s="10">
        <v>171</v>
      </c>
      <c r="AA862" s="7">
        <v>998</v>
      </c>
      <c r="AB862" s="7">
        <v>853</v>
      </c>
      <c r="AC862" s="109">
        <v>0</v>
      </c>
      <c r="AD862" s="109">
        <v>0</v>
      </c>
      <c r="AE862" s="125"/>
      <c r="AF862" s="10"/>
      <c r="AI862" s="109"/>
      <c r="AJ862" s="109"/>
      <c r="AL862" s="10"/>
      <c r="AO862" s="109"/>
      <c r="AP862" s="109"/>
      <c r="AR862" s="10"/>
      <c r="AU862" s="109"/>
      <c r="AV862" s="109"/>
      <c r="AX862" s="10"/>
      <c r="BA862" s="109"/>
      <c r="BB862" s="109"/>
      <c r="BD862" s="10"/>
      <c r="BG862" s="109"/>
      <c r="BH862" s="109"/>
      <c r="BJ862" s="10"/>
      <c r="BM862" s="109"/>
      <c r="BN862" s="109"/>
      <c r="BP862" s="10"/>
      <c r="BS862" s="109"/>
      <c r="BT862" s="109"/>
      <c r="BV862" s="10"/>
      <c r="BY862" s="109"/>
      <c r="BZ862" s="109"/>
      <c r="CB862" s="10"/>
      <c r="CE862" s="109"/>
      <c r="CF862" s="109"/>
      <c r="CH862" s="10"/>
      <c r="CK862" s="109"/>
      <c r="CL862" s="109"/>
    </row>
    <row r="863" spans="1:90">
      <c r="A863" s="7" t="str">
        <f t="shared" si="131"/>
        <v>01710998</v>
      </c>
      <c r="B863" s="7" t="s">
        <v>2510</v>
      </c>
      <c r="C863" s="7" t="s">
        <v>2781</v>
      </c>
      <c r="D863" s="7">
        <v>854</v>
      </c>
      <c r="E863" s="7">
        <v>171</v>
      </c>
      <c r="F863" s="7" t="s">
        <v>2135</v>
      </c>
      <c r="G863" s="7">
        <v>998</v>
      </c>
      <c r="H863" s="7" t="s">
        <v>2135</v>
      </c>
      <c r="I863" s="37">
        <v>0</v>
      </c>
      <c r="J863" s="122">
        <v>0</v>
      </c>
      <c r="K863" s="123">
        <f t="shared" si="140"/>
        <v>0</v>
      </c>
      <c r="L863" s="122">
        <f>IF(K864&gt;0, K863/K864, 0)</f>
        <v>0</v>
      </c>
      <c r="M863" s="71"/>
      <c r="N863" s="10">
        <f>ROUND(M864*L863,0)</f>
        <v>0</v>
      </c>
      <c r="O863" s="70">
        <v>0</v>
      </c>
      <c r="P863" s="10">
        <f>N863-O863</f>
        <v>0</v>
      </c>
      <c r="Q863" s="46">
        <f t="shared" si="139"/>
        <v>0</v>
      </c>
      <c r="R863" s="10">
        <v>0</v>
      </c>
      <c r="S863" s="7">
        <f t="shared" si="132"/>
        <v>0</v>
      </c>
      <c r="T863" s="124">
        <f t="shared" si="133"/>
        <v>171</v>
      </c>
      <c r="U863" s="124">
        <f t="shared" si="134"/>
        <v>998</v>
      </c>
      <c r="V863" s="124">
        <f t="shared" si="135"/>
        <v>854</v>
      </c>
      <c r="W863" s="124">
        <f t="shared" si="136"/>
        <v>0</v>
      </c>
      <c r="X863" s="124">
        <f t="shared" si="137"/>
        <v>0</v>
      </c>
      <c r="Y863" s="264">
        <f t="shared" si="138"/>
        <v>854</v>
      </c>
      <c r="Z863" s="10">
        <v>171</v>
      </c>
      <c r="AA863" s="7">
        <v>998</v>
      </c>
      <c r="AB863" s="7">
        <v>854</v>
      </c>
      <c r="AC863" s="109">
        <v>0</v>
      </c>
      <c r="AD863" s="109">
        <v>0</v>
      </c>
      <c r="AE863" s="125"/>
      <c r="AF863" s="10"/>
      <c r="AI863" s="109"/>
      <c r="AJ863" s="109"/>
      <c r="AL863" s="10"/>
      <c r="AO863" s="109"/>
      <c r="AP863" s="109"/>
      <c r="AR863" s="10"/>
      <c r="AU863" s="109"/>
      <c r="AV863" s="109"/>
      <c r="AX863" s="10"/>
      <c r="BA863" s="109"/>
      <c r="BB863" s="109"/>
      <c r="BD863" s="10"/>
      <c r="BG863" s="109"/>
      <c r="BH863" s="109"/>
      <c r="BJ863" s="10"/>
      <c r="BM863" s="109"/>
      <c r="BN863" s="109"/>
      <c r="BP863" s="10"/>
      <c r="BS863" s="109"/>
      <c r="BT863" s="109"/>
      <c r="BV863" s="10"/>
      <c r="BY863" s="109"/>
      <c r="BZ863" s="109"/>
      <c r="CB863" s="10"/>
      <c r="CE863" s="109"/>
      <c r="CF863" s="109"/>
      <c r="CH863" s="10"/>
      <c r="CK863" s="109"/>
      <c r="CL863" s="109"/>
    </row>
    <row r="864" spans="1:90">
      <c r="A864" s="7" t="str">
        <f t="shared" si="131"/>
        <v>01710999</v>
      </c>
      <c r="B864" s="7" t="s">
        <v>2510</v>
      </c>
      <c r="C864" s="7" t="s">
        <v>2782</v>
      </c>
      <c r="D864" s="7">
        <v>855</v>
      </c>
      <c r="E864" s="11">
        <v>171</v>
      </c>
      <c r="F864" s="11" t="s">
        <v>1876</v>
      </c>
      <c r="G864" s="11">
        <v>999</v>
      </c>
      <c r="H864" s="11" t="s">
        <v>1132</v>
      </c>
      <c r="I864" s="105">
        <v>40243211.142080009</v>
      </c>
      <c r="J864" s="126">
        <v>1</v>
      </c>
      <c r="K864" s="127">
        <f>SUM(K860:K863)</f>
        <v>41036767.216783047</v>
      </c>
      <c r="L864" s="126">
        <f>SUM(L860:L863)</f>
        <v>1</v>
      </c>
      <c r="M864" s="105">
        <f>VLOOKUP(E864,town351,22)</f>
        <v>33760457</v>
      </c>
      <c r="N864" s="105">
        <f>SUM(N860:N863)</f>
        <v>33760457</v>
      </c>
      <c r="O864" s="128">
        <v>32421451</v>
      </c>
      <c r="P864" s="105">
        <f>SUM(P860:P863)</f>
        <v>1339006</v>
      </c>
      <c r="Q864" s="45">
        <f t="shared" si="139"/>
        <v>4.1300002273186358</v>
      </c>
      <c r="R864" s="105">
        <v>4166</v>
      </c>
      <c r="S864" s="7">
        <f t="shared" si="132"/>
        <v>0</v>
      </c>
      <c r="T864" s="124">
        <f t="shared" si="133"/>
        <v>171</v>
      </c>
      <c r="U864" s="124">
        <f t="shared" si="134"/>
        <v>999</v>
      </c>
      <c r="V864" s="124">
        <f t="shared" si="135"/>
        <v>855</v>
      </c>
      <c r="W864" s="124">
        <f t="shared" si="136"/>
        <v>4128</v>
      </c>
      <c r="X864" s="124">
        <f t="shared" si="137"/>
        <v>41036767.216783047</v>
      </c>
      <c r="Y864" s="264">
        <f t="shared" si="138"/>
        <v>855</v>
      </c>
      <c r="Z864" s="10">
        <v>171</v>
      </c>
      <c r="AA864" s="7">
        <v>999</v>
      </c>
      <c r="AB864" s="7">
        <v>855</v>
      </c>
      <c r="AC864" s="109">
        <v>4128</v>
      </c>
      <c r="AD864" s="109">
        <v>41036767.216783047</v>
      </c>
      <c r="AE864" s="125"/>
      <c r="AF864" s="10"/>
      <c r="AI864" s="109"/>
      <c r="AJ864" s="109"/>
      <c r="AL864" s="10"/>
      <c r="AO864" s="109"/>
      <c r="AP864" s="109"/>
      <c r="AR864" s="10"/>
      <c r="AU864" s="109"/>
      <c r="AV864" s="109"/>
      <c r="AX864" s="10"/>
      <c r="BA864" s="109"/>
      <c r="BB864" s="109"/>
      <c r="BD864" s="10"/>
      <c r="BG864" s="109"/>
      <c r="BH864" s="109"/>
      <c r="BJ864" s="10"/>
      <c r="BM864" s="109"/>
      <c r="BN864" s="109"/>
      <c r="BP864" s="10"/>
      <c r="BS864" s="109"/>
      <c r="BT864" s="109"/>
      <c r="BV864" s="10"/>
      <c r="BY864" s="109"/>
      <c r="BZ864" s="109"/>
      <c r="CB864" s="10"/>
      <c r="CE864" s="109"/>
      <c r="CF864" s="109"/>
      <c r="CH864" s="10"/>
      <c r="CK864" s="109"/>
      <c r="CL864" s="109"/>
    </row>
    <row r="865" spans="1:90">
      <c r="A865" s="7" t="str">
        <f t="shared" si="131"/>
        <v>01720172</v>
      </c>
      <c r="B865" s="7" t="s">
        <v>2511</v>
      </c>
      <c r="C865" s="7" t="s">
        <v>2511</v>
      </c>
      <c r="D865" s="7">
        <v>856</v>
      </c>
      <c r="E865" s="7">
        <v>172</v>
      </c>
      <c r="F865" s="7" t="s">
        <v>1877</v>
      </c>
      <c r="G865" s="7">
        <v>172</v>
      </c>
      <c r="H865" s="7" t="s">
        <v>1438</v>
      </c>
      <c r="I865" s="37">
        <v>16891753.790000003</v>
      </c>
      <c r="J865" s="122">
        <v>0.94717876234744391</v>
      </c>
      <c r="K865" s="123">
        <f>X865</f>
        <v>16431104.565356754</v>
      </c>
      <c r="L865" s="122">
        <f>IF(K869&gt;0, K865/K869, 0)</f>
        <v>0.94438987179308742</v>
      </c>
      <c r="M865" s="71"/>
      <c r="N865" s="10">
        <f>ROUND(M869*L865,0)</f>
        <v>13722805</v>
      </c>
      <c r="O865" s="70">
        <v>14087772</v>
      </c>
      <c r="P865" s="10">
        <f>N865-O865</f>
        <v>-364967</v>
      </c>
      <c r="Q865" s="46">
        <f t="shared" si="139"/>
        <v>-2.5906651527296156</v>
      </c>
      <c r="R865" s="10">
        <v>1663</v>
      </c>
      <c r="S865" s="7">
        <f t="shared" si="132"/>
        <v>0</v>
      </c>
      <c r="T865" s="124">
        <f t="shared" si="133"/>
        <v>172</v>
      </c>
      <c r="U865" s="124">
        <f t="shared" si="134"/>
        <v>172</v>
      </c>
      <c r="V865" s="124">
        <f t="shared" si="135"/>
        <v>856</v>
      </c>
      <c r="W865" s="124">
        <f t="shared" si="136"/>
        <v>1590</v>
      </c>
      <c r="X865" s="124">
        <f t="shared" si="137"/>
        <v>16431104.565356754</v>
      </c>
      <c r="Y865" s="264">
        <f t="shared" si="138"/>
        <v>856</v>
      </c>
      <c r="Z865" s="10">
        <v>172</v>
      </c>
      <c r="AA865" s="7">
        <v>172</v>
      </c>
      <c r="AB865" s="7">
        <v>856</v>
      </c>
      <c r="AC865" s="109">
        <v>1590</v>
      </c>
      <c r="AD865" s="109">
        <v>16431104.565356754</v>
      </c>
      <c r="AE865" s="125"/>
      <c r="AF865" s="10"/>
      <c r="AI865" s="109"/>
      <c r="AJ865" s="109"/>
      <c r="AL865" s="10"/>
      <c r="AO865" s="109"/>
      <c r="AP865" s="109"/>
      <c r="AR865" s="10"/>
      <c r="AU865" s="109"/>
      <c r="AV865" s="109"/>
      <c r="AX865" s="10"/>
      <c r="BA865" s="109"/>
      <c r="BB865" s="109"/>
      <c r="BD865" s="10"/>
      <c r="BG865" s="109"/>
      <c r="BH865" s="109"/>
      <c r="BJ865" s="10"/>
      <c r="BM865" s="109"/>
      <c r="BN865" s="109"/>
      <c r="BP865" s="10"/>
      <c r="BS865" s="109"/>
      <c r="BT865" s="109"/>
      <c r="BV865" s="10"/>
      <c r="BY865" s="109"/>
      <c r="BZ865" s="109"/>
      <c r="CB865" s="10"/>
      <c r="CE865" s="109"/>
      <c r="CF865" s="109"/>
      <c r="CH865" s="10"/>
      <c r="CK865" s="109"/>
      <c r="CL865" s="109"/>
    </row>
    <row r="866" spans="1:90">
      <c r="A866" s="7" t="str">
        <f t="shared" si="131"/>
        <v>01720815</v>
      </c>
      <c r="B866" s="7" t="s">
        <v>2511</v>
      </c>
      <c r="C866" s="7" t="s">
        <v>2756</v>
      </c>
      <c r="D866" s="7">
        <v>857</v>
      </c>
      <c r="E866" s="7">
        <v>172</v>
      </c>
      <c r="F866" s="7" t="s">
        <v>1877</v>
      </c>
      <c r="G866" s="7">
        <v>815</v>
      </c>
      <c r="H866" s="7" t="s">
        <v>1683</v>
      </c>
      <c r="I866" s="37">
        <v>942001</v>
      </c>
      <c r="J866" s="122">
        <v>5.2821237652556051E-2</v>
      </c>
      <c r="K866" s="123">
        <f t="shared" si="140"/>
        <v>967540.90524688875</v>
      </c>
      <c r="L866" s="122">
        <f>IF(K869&gt;0, K866/K869, 0)</f>
        <v>5.5610128206912662E-2</v>
      </c>
      <c r="M866" s="71"/>
      <c r="N866" s="10">
        <f>ROUND(M869*L866,0)</f>
        <v>808063</v>
      </c>
      <c r="O866" s="70">
        <v>785632</v>
      </c>
      <c r="P866" s="10">
        <f>N866-O866</f>
        <v>22431</v>
      </c>
      <c r="Q866" s="46">
        <f t="shared" si="139"/>
        <v>2.8551535578998819</v>
      </c>
      <c r="R866" s="10">
        <v>59</v>
      </c>
      <c r="S866" s="7">
        <f t="shared" si="132"/>
        <v>0</v>
      </c>
      <c r="T866" s="124">
        <f t="shared" si="133"/>
        <v>172</v>
      </c>
      <c r="U866" s="124">
        <f t="shared" si="134"/>
        <v>815</v>
      </c>
      <c r="V866" s="124">
        <f t="shared" si="135"/>
        <v>857</v>
      </c>
      <c r="W866" s="124">
        <f t="shared" si="136"/>
        <v>59.00000000048</v>
      </c>
      <c r="X866" s="124">
        <f t="shared" si="137"/>
        <v>967540.90524688875</v>
      </c>
      <c r="Y866" s="264">
        <f t="shared" si="138"/>
        <v>857</v>
      </c>
      <c r="Z866" s="10">
        <v>172</v>
      </c>
      <c r="AA866" s="7">
        <v>815</v>
      </c>
      <c r="AB866" s="7">
        <v>857</v>
      </c>
      <c r="AC866" s="109">
        <v>59.00000000048</v>
      </c>
      <c r="AD866" s="109">
        <v>967540.90524688875</v>
      </c>
      <c r="AE866" s="125"/>
      <c r="AF866" s="10"/>
      <c r="AI866" s="109"/>
      <c r="AJ866" s="109"/>
      <c r="AL866" s="10"/>
      <c r="AO866" s="109"/>
      <c r="AP866" s="109"/>
      <c r="AR866" s="10"/>
      <c r="AU866" s="109"/>
      <c r="AV866" s="109"/>
      <c r="AX866" s="10"/>
      <c r="BA866" s="109"/>
      <c r="BB866" s="109"/>
      <c r="BD866" s="10"/>
      <c r="BG866" s="109"/>
      <c r="BH866" s="109"/>
      <c r="BJ866" s="10"/>
      <c r="BM866" s="109"/>
      <c r="BN866" s="109"/>
      <c r="BP866" s="10"/>
      <c r="BS866" s="109"/>
      <c r="BT866" s="109"/>
      <c r="BV866" s="10"/>
      <c r="BY866" s="109"/>
      <c r="BZ866" s="109"/>
      <c r="CB866" s="10"/>
      <c r="CE866" s="109"/>
      <c r="CF866" s="109"/>
      <c r="CH866" s="10"/>
      <c r="CK866" s="109"/>
      <c r="CL866" s="109"/>
    </row>
    <row r="867" spans="1:90">
      <c r="A867" s="7" t="str">
        <f t="shared" si="131"/>
        <v>01720998</v>
      </c>
      <c r="B867" s="7" t="s">
        <v>2511</v>
      </c>
      <c r="C867" s="7" t="s">
        <v>2781</v>
      </c>
      <c r="D867" s="7">
        <v>858</v>
      </c>
      <c r="E867" s="7">
        <v>172</v>
      </c>
      <c r="F867" s="7" t="s">
        <v>2135</v>
      </c>
      <c r="G867" s="7">
        <v>998</v>
      </c>
      <c r="H867" s="7" t="s">
        <v>2135</v>
      </c>
      <c r="I867" s="37">
        <v>0</v>
      </c>
      <c r="J867" s="122">
        <v>0</v>
      </c>
      <c r="K867" s="123">
        <f t="shared" si="140"/>
        <v>0</v>
      </c>
      <c r="L867" s="122">
        <f>IF(K869&gt;0, K867/K869, 0)</f>
        <v>0</v>
      </c>
      <c r="M867" s="71"/>
      <c r="N867" s="10">
        <f>ROUND(M869*L867,0)</f>
        <v>0</v>
      </c>
      <c r="O867" s="70">
        <v>0</v>
      </c>
      <c r="P867" s="10">
        <f>N867-O867</f>
        <v>0</v>
      </c>
      <c r="Q867" s="46">
        <f t="shared" si="139"/>
        <v>0</v>
      </c>
      <c r="R867" s="10">
        <v>0</v>
      </c>
      <c r="S867" s="7">
        <f t="shared" si="132"/>
        <v>0</v>
      </c>
      <c r="T867" s="124">
        <f t="shared" si="133"/>
        <v>172</v>
      </c>
      <c r="U867" s="124">
        <f t="shared" si="134"/>
        <v>998</v>
      </c>
      <c r="V867" s="124">
        <f t="shared" si="135"/>
        <v>858</v>
      </c>
      <c r="W867" s="124">
        <f t="shared" si="136"/>
        <v>0</v>
      </c>
      <c r="X867" s="124">
        <f t="shared" si="137"/>
        <v>0</v>
      </c>
      <c r="Y867" s="264">
        <f t="shared" si="138"/>
        <v>858</v>
      </c>
      <c r="Z867" s="10">
        <v>172</v>
      </c>
      <c r="AA867" s="7">
        <v>998</v>
      </c>
      <c r="AB867" s="7">
        <v>858</v>
      </c>
      <c r="AC867" s="109">
        <v>0</v>
      </c>
      <c r="AD867" s="109">
        <v>0</v>
      </c>
      <c r="AE867" s="125"/>
      <c r="AF867" s="10"/>
      <c r="AI867" s="109"/>
      <c r="AJ867" s="109"/>
      <c r="AL867" s="10"/>
      <c r="AO867" s="109"/>
      <c r="AP867" s="109"/>
      <c r="AR867" s="10"/>
      <c r="AU867" s="109"/>
      <c r="AV867" s="109"/>
      <c r="AX867" s="10"/>
      <c r="BA867" s="109"/>
      <c r="BB867" s="109"/>
      <c r="BD867" s="10"/>
      <c r="BG867" s="109"/>
      <c r="BH867" s="109"/>
      <c r="BJ867" s="10"/>
      <c r="BM867" s="109"/>
      <c r="BN867" s="109"/>
      <c r="BP867" s="10"/>
      <c r="BS867" s="109"/>
      <c r="BT867" s="109"/>
      <c r="BV867" s="10"/>
      <c r="BY867" s="109"/>
      <c r="BZ867" s="109"/>
      <c r="CB867" s="10"/>
      <c r="CE867" s="109"/>
      <c r="CF867" s="109"/>
      <c r="CH867" s="10"/>
      <c r="CK867" s="109"/>
      <c r="CL867" s="109"/>
    </row>
    <row r="868" spans="1:90">
      <c r="A868" s="7" t="str">
        <f t="shared" si="131"/>
        <v>01720998</v>
      </c>
      <c r="B868" s="7" t="s">
        <v>2511</v>
      </c>
      <c r="C868" s="7" t="s">
        <v>2781</v>
      </c>
      <c r="D868" s="7">
        <v>859</v>
      </c>
      <c r="E868" s="7">
        <v>172</v>
      </c>
      <c r="F868" s="7" t="s">
        <v>2135</v>
      </c>
      <c r="G868" s="7">
        <v>998</v>
      </c>
      <c r="H868" s="7" t="s">
        <v>2135</v>
      </c>
      <c r="I868" s="37">
        <v>0</v>
      </c>
      <c r="J868" s="122">
        <v>0</v>
      </c>
      <c r="K868" s="123">
        <f t="shared" si="140"/>
        <v>0</v>
      </c>
      <c r="L868" s="122">
        <f>IF(K869&gt;0, K868/K869, 0)</f>
        <v>0</v>
      </c>
      <c r="M868" s="71"/>
      <c r="N868" s="10">
        <f>ROUND(M869*L868,0)</f>
        <v>0</v>
      </c>
      <c r="O868" s="70">
        <v>0</v>
      </c>
      <c r="P868" s="10">
        <f>N868-O868</f>
        <v>0</v>
      </c>
      <c r="Q868" s="46">
        <f t="shared" si="139"/>
        <v>0</v>
      </c>
      <c r="R868" s="10">
        <v>0</v>
      </c>
      <c r="S868" s="7">
        <f t="shared" si="132"/>
        <v>0</v>
      </c>
      <c r="T868" s="124">
        <f t="shared" si="133"/>
        <v>172</v>
      </c>
      <c r="U868" s="124">
        <f t="shared" si="134"/>
        <v>998</v>
      </c>
      <c r="V868" s="124">
        <f t="shared" si="135"/>
        <v>859</v>
      </c>
      <c r="W868" s="124">
        <f t="shared" si="136"/>
        <v>0</v>
      </c>
      <c r="X868" s="124">
        <f t="shared" si="137"/>
        <v>0</v>
      </c>
      <c r="Y868" s="264">
        <f t="shared" si="138"/>
        <v>859</v>
      </c>
      <c r="Z868" s="10">
        <v>172</v>
      </c>
      <c r="AA868" s="7">
        <v>998</v>
      </c>
      <c r="AB868" s="7">
        <v>859</v>
      </c>
      <c r="AC868" s="109">
        <v>0</v>
      </c>
      <c r="AD868" s="109">
        <v>0</v>
      </c>
      <c r="AE868" s="125"/>
      <c r="AF868" s="10"/>
      <c r="AI868" s="109"/>
      <c r="AJ868" s="109"/>
      <c r="AL868" s="10"/>
      <c r="AO868" s="109"/>
      <c r="AP868" s="109"/>
      <c r="AR868" s="10"/>
      <c r="AU868" s="109"/>
      <c r="AV868" s="109"/>
      <c r="AX868" s="10"/>
      <c r="BA868" s="109"/>
      <c r="BB868" s="109"/>
      <c r="BD868" s="10"/>
      <c r="BG868" s="109"/>
      <c r="BH868" s="109"/>
      <c r="BJ868" s="10"/>
      <c r="BM868" s="109"/>
      <c r="BN868" s="109"/>
      <c r="BP868" s="10"/>
      <c r="BS868" s="109"/>
      <c r="BT868" s="109"/>
      <c r="BV868" s="10"/>
      <c r="BY868" s="109"/>
      <c r="BZ868" s="109"/>
      <c r="CB868" s="10"/>
      <c r="CE868" s="109"/>
      <c r="CF868" s="109"/>
      <c r="CH868" s="10"/>
      <c r="CK868" s="109"/>
      <c r="CL868" s="109"/>
    </row>
    <row r="869" spans="1:90">
      <c r="A869" s="7" t="str">
        <f t="shared" si="131"/>
        <v>01720999</v>
      </c>
      <c r="B869" s="7" t="s">
        <v>2511</v>
      </c>
      <c r="C869" s="7" t="s">
        <v>2782</v>
      </c>
      <c r="D869" s="7">
        <v>860</v>
      </c>
      <c r="E869" s="11">
        <v>172</v>
      </c>
      <c r="F869" s="11" t="s">
        <v>1877</v>
      </c>
      <c r="G869" s="11">
        <v>999</v>
      </c>
      <c r="H869" s="11" t="s">
        <v>1132</v>
      </c>
      <c r="I869" s="105">
        <v>17833754.790000003</v>
      </c>
      <c r="J869" s="126">
        <v>1</v>
      </c>
      <c r="K869" s="127">
        <f>SUM(K865:K868)</f>
        <v>17398645.470603641</v>
      </c>
      <c r="L869" s="126">
        <f>SUM(L865:L868)</f>
        <v>1</v>
      </c>
      <c r="M869" s="105">
        <f>VLOOKUP(E869,town351,22)</f>
        <v>14530868</v>
      </c>
      <c r="N869" s="105">
        <f>SUM(N865:N868)</f>
        <v>14530868</v>
      </c>
      <c r="O869" s="128">
        <v>14873404</v>
      </c>
      <c r="P869" s="105">
        <f>SUM(P865:P868)</f>
        <v>-342536</v>
      </c>
      <c r="Q869" s="45">
        <f t="shared" si="139"/>
        <v>-2.3030101246493406</v>
      </c>
      <c r="R869" s="105">
        <v>1722</v>
      </c>
      <c r="S869" s="7">
        <f t="shared" si="132"/>
        <v>0</v>
      </c>
      <c r="T869" s="124">
        <f t="shared" si="133"/>
        <v>172</v>
      </c>
      <c r="U869" s="124">
        <f t="shared" si="134"/>
        <v>999</v>
      </c>
      <c r="V869" s="124">
        <f t="shared" si="135"/>
        <v>860</v>
      </c>
      <c r="W869" s="124">
        <f t="shared" si="136"/>
        <v>1649.00000000048</v>
      </c>
      <c r="X869" s="124">
        <f t="shared" si="137"/>
        <v>17398645.470603641</v>
      </c>
      <c r="Y869" s="264">
        <f t="shared" si="138"/>
        <v>860</v>
      </c>
      <c r="Z869" s="10">
        <v>172</v>
      </c>
      <c r="AA869" s="7">
        <v>999</v>
      </c>
      <c r="AB869" s="7">
        <v>860</v>
      </c>
      <c r="AC869" s="109">
        <v>1649.00000000048</v>
      </c>
      <c r="AD869" s="109">
        <v>17398645.470603641</v>
      </c>
      <c r="AE869" s="125"/>
      <c r="AF869" s="10"/>
      <c r="AI869" s="109"/>
      <c r="AJ869" s="109"/>
      <c r="AL869" s="10"/>
      <c r="AO869" s="109"/>
      <c r="AP869" s="109"/>
      <c r="AR869" s="10"/>
      <c r="AU869" s="109"/>
      <c r="AV869" s="109"/>
      <c r="AX869" s="10"/>
      <c r="BA869" s="109"/>
      <c r="BB869" s="109"/>
      <c r="BD869" s="10"/>
      <c r="BG869" s="109"/>
      <c r="BH869" s="109"/>
      <c r="BJ869" s="10"/>
      <c r="BM869" s="109"/>
      <c r="BN869" s="109"/>
      <c r="BP869" s="10"/>
      <c r="BS869" s="109"/>
      <c r="BT869" s="109"/>
      <c r="BV869" s="10"/>
      <c r="BY869" s="109"/>
      <c r="BZ869" s="109"/>
      <c r="CB869" s="10"/>
      <c r="CE869" s="109"/>
      <c r="CF869" s="109"/>
      <c r="CH869" s="10"/>
      <c r="CK869" s="109"/>
      <c r="CL869" s="109"/>
    </row>
    <row r="870" spans="1:90">
      <c r="A870" s="7" t="str">
        <f t="shared" si="131"/>
        <v>01730173</v>
      </c>
      <c r="B870" s="7" t="s">
        <v>2512</v>
      </c>
      <c r="C870" s="7" t="s">
        <v>2512</v>
      </c>
      <c r="D870" s="7">
        <v>861</v>
      </c>
      <c r="E870" s="7">
        <v>173</v>
      </c>
      <c r="F870" s="7" t="s">
        <v>1878</v>
      </c>
      <c r="G870" s="7">
        <v>173</v>
      </c>
      <c r="H870" s="7" t="s">
        <v>1439</v>
      </c>
      <c r="I870" s="37">
        <v>4517988.9499999983</v>
      </c>
      <c r="J870" s="122">
        <v>0.50659835032537825</v>
      </c>
      <c r="K870" s="123">
        <f>X870</f>
        <v>4222689.9150018794</v>
      </c>
      <c r="L870" s="122">
        <f>IF(K874&gt;0, K870/K874, 0)</f>
        <v>0.48234725850425059</v>
      </c>
      <c r="M870" s="71"/>
      <c r="N870" s="10">
        <f>ROUND(M874*L870,0)</f>
        <v>3517981</v>
      </c>
      <c r="O870" s="70">
        <v>3760023</v>
      </c>
      <c r="P870" s="10">
        <f>N870-O870</f>
        <v>-242042</v>
      </c>
      <c r="Q870" s="46">
        <f t="shared" si="139"/>
        <v>-6.4372478572604477</v>
      </c>
      <c r="R870" s="10">
        <v>490</v>
      </c>
      <c r="S870" s="7">
        <f t="shared" si="132"/>
        <v>0</v>
      </c>
      <c r="T870" s="124">
        <f t="shared" si="133"/>
        <v>173</v>
      </c>
      <c r="U870" s="124">
        <f t="shared" si="134"/>
        <v>173</v>
      </c>
      <c r="V870" s="124">
        <f t="shared" si="135"/>
        <v>861</v>
      </c>
      <c r="W870" s="124">
        <f t="shared" si="136"/>
        <v>451</v>
      </c>
      <c r="X870" s="124">
        <f t="shared" si="137"/>
        <v>4222689.9150018794</v>
      </c>
      <c r="Y870" s="264">
        <f t="shared" si="138"/>
        <v>861</v>
      </c>
      <c r="Z870" s="10">
        <v>173</v>
      </c>
      <c r="AA870" s="7">
        <v>173</v>
      </c>
      <c r="AB870" s="7">
        <v>861</v>
      </c>
      <c r="AC870" s="109">
        <v>451</v>
      </c>
      <c r="AD870" s="109">
        <v>4222689.9150018794</v>
      </c>
      <c r="AE870" s="125"/>
      <c r="AF870" s="10"/>
      <c r="AI870" s="109"/>
      <c r="AJ870" s="109"/>
      <c r="AL870" s="10"/>
      <c r="AO870" s="109"/>
      <c r="AP870" s="109"/>
      <c r="AR870" s="10"/>
      <c r="AU870" s="109"/>
      <c r="AV870" s="109"/>
      <c r="AX870" s="10"/>
      <c r="BA870" s="109"/>
      <c r="BB870" s="109"/>
      <c r="BD870" s="10"/>
      <c r="BG870" s="109"/>
      <c r="BH870" s="109"/>
      <c r="BJ870" s="10"/>
      <c r="BM870" s="109"/>
      <c r="BN870" s="109"/>
      <c r="BP870" s="10"/>
      <c r="BS870" s="109"/>
      <c r="BT870" s="109"/>
      <c r="BV870" s="10"/>
      <c r="BY870" s="109"/>
      <c r="BZ870" s="109"/>
      <c r="CB870" s="10"/>
      <c r="CE870" s="109"/>
      <c r="CF870" s="109"/>
      <c r="CH870" s="10"/>
      <c r="CK870" s="109"/>
      <c r="CL870" s="109"/>
    </row>
    <row r="871" spans="1:90">
      <c r="A871" s="7" t="str">
        <f t="shared" si="131"/>
        <v>01730740</v>
      </c>
      <c r="B871" s="7" t="s">
        <v>2512</v>
      </c>
      <c r="C871" s="7" t="s">
        <v>2736</v>
      </c>
      <c r="D871" s="7">
        <v>862</v>
      </c>
      <c r="E871" s="7">
        <v>173</v>
      </c>
      <c r="F871" s="7" t="s">
        <v>1878</v>
      </c>
      <c r="G871" s="7">
        <v>740</v>
      </c>
      <c r="H871" s="7" t="s">
        <v>1663</v>
      </c>
      <c r="I871" s="37">
        <v>3876550</v>
      </c>
      <c r="J871" s="122">
        <v>0.43467433335662448</v>
      </c>
      <c r="K871" s="123">
        <f t="shared" si="140"/>
        <v>4034548.398441724</v>
      </c>
      <c r="L871" s="122">
        <f>IF(K874&gt;0, K871/K874, 0)</f>
        <v>0.4608563258167192</v>
      </c>
      <c r="M871" s="71"/>
      <c r="N871" s="10">
        <f>ROUND(M874*L871,0)</f>
        <v>3361238</v>
      </c>
      <c r="O871" s="70">
        <v>3226196</v>
      </c>
      <c r="P871" s="10">
        <f>N871-O871</f>
        <v>135042</v>
      </c>
      <c r="Q871" s="46">
        <f t="shared" si="139"/>
        <v>4.1857965232118568</v>
      </c>
      <c r="R871" s="10">
        <v>399</v>
      </c>
      <c r="S871" s="7">
        <f t="shared" si="132"/>
        <v>0</v>
      </c>
      <c r="T871" s="124">
        <f t="shared" si="133"/>
        <v>173</v>
      </c>
      <c r="U871" s="124">
        <f t="shared" si="134"/>
        <v>740</v>
      </c>
      <c r="V871" s="124">
        <f t="shared" si="135"/>
        <v>862</v>
      </c>
      <c r="W871" s="124">
        <f t="shared" si="136"/>
        <v>408.9999999982</v>
      </c>
      <c r="X871" s="124">
        <f t="shared" si="137"/>
        <v>4034548.398441724</v>
      </c>
      <c r="Y871" s="264">
        <f t="shared" si="138"/>
        <v>862</v>
      </c>
      <c r="Z871" s="10">
        <v>173</v>
      </c>
      <c r="AA871" s="7">
        <v>740</v>
      </c>
      <c r="AB871" s="7">
        <v>862</v>
      </c>
      <c r="AC871" s="109">
        <v>408.9999999982</v>
      </c>
      <c r="AD871" s="109">
        <v>4034548.398441724</v>
      </c>
      <c r="AE871" s="125"/>
      <c r="AF871" s="10"/>
      <c r="AI871" s="109"/>
      <c r="AJ871" s="109"/>
      <c r="AL871" s="10"/>
      <c r="AO871" s="109"/>
      <c r="AP871" s="109"/>
      <c r="AR871" s="10"/>
      <c r="AU871" s="109"/>
      <c r="AV871" s="109"/>
      <c r="AX871" s="10"/>
      <c r="BA871" s="109"/>
      <c r="BB871" s="109"/>
      <c r="BD871" s="10"/>
      <c r="BG871" s="109"/>
      <c r="BH871" s="109"/>
      <c r="BJ871" s="10"/>
      <c r="BM871" s="109"/>
      <c r="BN871" s="109"/>
      <c r="BP871" s="10"/>
      <c r="BS871" s="109"/>
      <c r="BT871" s="109"/>
      <c r="BV871" s="10"/>
      <c r="BY871" s="109"/>
      <c r="BZ871" s="109"/>
      <c r="CB871" s="10"/>
      <c r="CE871" s="109"/>
      <c r="CF871" s="109"/>
      <c r="CH871" s="10"/>
      <c r="CK871" s="109"/>
      <c r="CL871" s="109"/>
    </row>
    <row r="872" spans="1:90">
      <c r="A872" s="7" t="str">
        <f t="shared" si="131"/>
        <v>01730855</v>
      </c>
      <c r="B872" s="7" t="s">
        <v>2512</v>
      </c>
      <c r="C872" s="7" t="s">
        <v>2769</v>
      </c>
      <c r="D872" s="7">
        <v>863</v>
      </c>
      <c r="E872" s="7">
        <v>173</v>
      </c>
      <c r="F872" s="7" t="s">
        <v>1878</v>
      </c>
      <c r="G872" s="7">
        <v>855</v>
      </c>
      <c r="H872" s="7" t="s">
        <v>1696</v>
      </c>
      <c r="I872" s="37">
        <v>523747</v>
      </c>
      <c r="J872" s="122">
        <v>5.8727316317997186E-2</v>
      </c>
      <c r="K872" s="123">
        <f t="shared" si="140"/>
        <v>497221.96502124873</v>
      </c>
      <c r="L872" s="122">
        <f>IF(K874&gt;0, K872/K874, 0)</f>
        <v>5.6796415679030259E-2</v>
      </c>
      <c r="M872" s="71"/>
      <c r="N872" s="10">
        <f>ROUND(M874*L872,0)</f>
        <v>414242</v>
      </c>
      <c r="O872" s="70">
        <v>435880</v>
      </c>
      <c r="P872" s="10">
        <f>N872-O872</f>
        <v>-21638</v>
      </c>
      <c r="Q872" s="46">
        <f t="shared" si="139"/>
        <v>-4.9642103331192073</v>
      </c>
      <c r="R872" s="10">
        <v>34</v>
      </c>
      <c r="S872" s="7">
        <f t="shared" si="132"/>
        <v>0</v>
      </c>
      <c r="T872" s="124">
        <f t="shared" si="133"/>
        <v>173</v>
      </c>
      <c r="U872" s="124">
        <f t="shared" si="134"/>
        <v>855</v>
      </c>
      <c r="V872" s="124">
        <f t="shared" si="135"/>
        <v>863</v>
      </c>
      <c r="W872" s="124">
        <f t="shared" si="136"/>
        <v>32.0000000004</v>
      </c>
      <c r="X872" s="124">
        <f t="shared" si="137"/>
        <v>497221.96502124873</v>
      </c>
      <c r="Y872" s="264">
        <f t="shared" si="138"/>
        <v>863</v>
      </c>
      <c r="Z872" s="10">
        <v>173</v>
      </c>
      <c r="AA872" s="7">
        <v>855</v>
      </c>
      <c r="AB872" s="7">
        <v>863</v>
      </c>
      <c r="AC872" s="109">
        <v>32.0000000004</v>
      </c>
      <c r="AD872" s="109">
        <v>497221.96502124873</v>
      </c>
      <c r="AE872" s="125"/>
      <c r="AF872" s="10"/>
      <c r="AI872" s="109"/>
      <c r="AJ872" s="109"/>
      <c r="AL872" s="10"/>
      <c r="AO872" s="109"/>
      <c r="AP872" s="109"/>
      <c r="AR872" s="10"/>
      <c r="AU872" s="109"/>
      <c r="AV872" s="109"/>
      <c r="AX872" s="10"/>
      <c r="BA872" s="109"/>
      <c r="BB872" s="109"/>
      <c r="BD872" s="10"/>
      <c r="BG872" s="109"/>
      <c r="BH872" s="109"/>
      <c r="BJ872" s="10"/>
      <c r="BM872" s="109"/>
      <c r="BN872" s="109"/>
      <c r="BP872" s="10"/>
      <c r="BS872" s="109"/>
      <c r="BT872" s="109"/>
      <c r="BV872" s="10"/>
      <c r="BY872" s="109"/>
      <c r="BZ872" s="109"/>
      <c r="CB872" s="10"/>
      <c r="CE872" s="109"/>
      <c r="CF872" s="109"/>
      <c r="CH872" s="10"/>
      <c r="CK872" s="109"/>
      <c r="CL872" s="109"/>
    </row>
    <row r="873" spans="1:90">
      <c r="A873" s="7" t="str">
        <f t="shared" si="131"/>
        <v>01730998</v>
      </c>
      <c r="B873" s="7" t="s">
        <v>2512</v>
      </c>
      <c r="C873" s="7" t="s">
        <v>2781</v>
      </c>
      <c r="D873" s="7">
        <v>864</v>
      </c>
      <c r="E873" s="7">
        <v>173</v>
      </c>
      <c r="F873" s="7" t="s">
        <v>2135</v>
      </c>
      <c r="G873" s="7">
        <v>998</v>
      </c>
      <c r="H873" s="7" t="s">
        <v>2135</v>
      </c>
      <c r="I873" s="37">
        <v>0</v>
      </c>
      <c r="J873" s="122">
        <v>0</v>
      </c>
      <c r="K873" s="123">
        <f t="shared" si="140"/>
        <v>0</v>
      </c>
      <c r="L873" s="122">
        <f>IF(K874&gt;0, K873/K874, 0)</f>
        <v>0</v>
      </c>
      <c r="M873" s="71"/>
      <c r="N873" s="10">
        <f>ROUND(M874*L873,0)</f>
        <v>0</v>
      </c>
      <c r="O873" s="70">
        <v>0</v>
      </c>
      <c r="P873" s="10">
        <f>N873-O873</f>
        <v>0</v>
      </c>
      <c r="Q873" s="46">
        <f t="shared" si="139"/>
        <v>0</v>
      </c>
      <c r="R873" s="10">
        <v>0</v>
      </c>
      <c r="S873" s="7">
        <f t="shared" si="132"/>
        <v>0</v>
      </c>
      <c r="T873" s="124">
        <f t="shared" si="133"/>
        <v>173</v>
      </c>
      <c r="U873" s="124">
        <f t="shared" si="134"/>
        <v>998</v>
      </c>
      <c r="V873" s="124">
        <f t="shared" si="135"/>
        <v>864</v>
      </c>
      <c r="W873" s="124">
        <f t="shared" si="136"/>
        <v>0</v>
      </c>
      <c r="X873" s="124">
        <f t="shared" si="137"/>
        <v>0</v>
      </c>
      <c r="Y873" s="264">
        <f t="shared" si="138"/>
        <v>864</v>
      </c>
      <c r="Z873" s="10">
        <v>173</v>
      </c>
      <c r="AA873" s="7">
        <v>998</v>
      </c>
      <c r="AB873" s="7">
        <v>864</v>
      </c>
      <c r="AC873" s="109">
        <v>0</v>
      </c>
      <c r="AD873" s="109">
        <v>0</v>
      </c>
      <c r="AE873" s="125"/>
      <c r="AF873" s="10"/>
      <c r="AI873" s="109"/>
      <c r="AJ873" s="109"/>
      <c r="AL873" s="10"/>
      <c r="AO873" s="109"/>
      <c r="AP873" s="109"/>
      <c r="AR873" s="10"/>
      <c r="AU873" s="109"/>
      <c r="AV873" s="109"/>
      <c r="AX873" s="10"/>
      <c r="BA873" s="109"/>
      <c r="BB873" s="109"/>
      <c r="BD873" s="10"/>
      <c r="BG873" s="109"/>
      <c r="BH873" s="109"/>
      <c r="BJ873" s="10"/>
      <c r="BM873" s="109"/>
      <c r="BN873" s="109"/>
      <c r="BP873" s="10"/>
      <c r="BS873" s="109"/>
      <c r="BT873" s="109"/>
      <c r="BV873" s="10"/>
      <c r="BY873" s="109"/>
      <c r="BZ873" s="109"/>
      <c r="CB873" s="10"/>
      <c r="CE873" s="109"/>
      <c r="CF873" s="109"/>
      <c r="CH873" s="10"/>
      <c r="CK873" s="109"/>
      <c r="CL873" s="109"/>
    </row>
    <row r="874" spans="1:90">
      <c r="A874" s="7" t="str">
        <f t="shared" si="131"/>
        <v>01730999</v>
      </c>
      <c r="B874" s="7" t="s">
        <v>2512</v>
      </c>
      <c r="C874" s="7" t="s">
        <v>2782</v>
      </c>
      <c r="D874" s="7">
        <v>865</v>
      </c>
      <c r="E874" s="11">
        <v>173</v>
      </c>
      <c r="F874" s="11" t="s">
        <v>1878</v>
      </c>
      <c r="G874" s="11">
        <v>999</v>
      </c>
      <c r="H874" s="11" t="s">
        <v>1132</v>
      </c>
      <c r="I874" s="105">
        <v>8918285.9499999993</v>
      </c>
      <c r="J874" s="126">
        <v>0.99999999999999989</v>
      </c>
      <c r="K874" s="127">
        <f>SUM(K870:K873)</f>
        <v>8754460.2784648519</v>
      </c>
      <c r="L874" s="126">
        <f>SUM(L870:L873)</f>
        <v>1</v>
      </c>
      <c r="M874" s="105">
        <f>VLOOKUP(E874,town351,22)</f>
        <v>7293461</v>
      </c>
      <c r="N874" s="105">
        <f>SUM(N870:N873)</f>
        <v>7293461</v>
      </c>
      <c r="O874" s="128">
        <v>7422099</v>
      </c>
      <c r="P874" s="105">
        <f>SUM(P870:P873)</f>
        <v>-128638</v>
      </c>
      <c r="Q874" s="45">
        <f t="shared" si="139"/>
        <v>-1.7331754804132902</v>
      </c>
      <c r="R874" s="105">
        <v>923</v>
      </c>
      <c r="S874" s="7">
        <f t="shared" si="132"/>
        <v>0</v>
      </c>
      <c r="T874" s="124">
        <f t="shared" si="133"/>
        <v>173</v>
      </c>
      <c r="U874" s="124">
        <f t="shared" si="134"/>
        <v>999</v>
      </c>
      <c r="V874" s="124">
        <f t="shared" si="135"/>
        <v>865</v>
      </c>
      <c r="W874" s="124">
        <f t="shared" si="136"/>
        <v>891.99999999859995</v>
      </c>
      <c r="X874" s="124">
        <f t="shared" si="137"/>
        <v>8754460.2784648519</v>
      </c>
      <c r="Y874" s="264">
        <f t="shared" si="138"/>
        <v>865</v>
      </c>
      <c r="Z874" s="10">
        <v>173</v>
      </c>
      <c r="AA874" s="7">
        <v>999</v>
      </c>
      <c r="AB874" s="7">
        <v>865</v>
      </c>
      <c r="AC874" s="109">
        <v>891.99999999859995</v>
      </c>
      <c r="AD874" s="109">
        <v>8754460.2784648519</v>
      </c>
      <c r="AE874" s="125"/>
      <c r="AF874" s="10"/>
      <c r="AI874" s="109"/>
      <c r="AJ874" s="109"/>
      <c r="AL874" s="10"/>
      <c r="AO874" s="109"/>
      <c r="AP874" s="109"/>
      <c r="AR874" s="10"/>
      <c r="AU874" s="109"/>
      <c r="AV874" s="109"/>
      <c r="AX874" s="10"/>
      <c r="BA874" s="109"/>
      <c r="BB874" s="109"/>
      <c r="BD874" s="10"/>
      <c r="BG874" s="109"/>
      <c r="BH874" s="109"/>
      <c r="BJ874" s="10"/>
      <c r="BM874" s="109"/>
      <c r="BN874" s="109"/>
      <c r="BP874" s="10"/>
      <c r="BS874" s="109"/>
      <c r="BT874" s="109"/>
      <c r="BV874" s="10"/>
      <c r="BY874" s="109"/>
      <c r="BZ874" s="109"/>
      <c r="CB874" s="10"/>
      <c r="CE874" s="109"/>
      <c r="CF874" s="109"/>
      <c r="CH874" s="10"/>
      <c r="CK874" s="109"/>
      <c r="CL874" s="109"/>
    </row>
    <row r="875" spans="1:90">
      <c r="A875" s="7" t="str">
        <f t="shared" si="131"/>
        <v>01740174</v>
      </c>
      <c r="B875" s="7" t="s">
        <v>2513</v>
      </c>
      <c r="C875" s="7" t="s">
        <v>2513</v>
      </c>
      <c r="D875" s="7">
        <v>866</v>
      </c>
      <c r="E875" s="7">
        <v>174</v>
      </c>
      <c r="F875" s="7" t="s">
        <v>1879</v>
      </c>
      <c r="G875" s="7">
        <v>174</v>
      </c>
      <c r="H875" s="7" t="s">
        <v>1440</v>
      </c>
      <c r="I875" s="37">
        <v>14059518.789270002</v>
      </c>
      <c r="J875" s="122">
        <v>0.93389497719814674</v>
      </c>
      <c r="K875" s="123">
        <f>X875</f>
        <v>14745073.193424072</v>
      </c>
      <c r="L875" s="122">
        <f>IF(K879&gt;0, K875/K879, 0)</f>
        <v>0.94179532904634655</v>
      </c>
      <c r="M875" s="71"/>
      <c r="N875" s="10">
        <f>ROUND(M879*L875,0)</f>
        <v>9744969</v>
      </c>
      <c r="O875" s="70">
        <v>9349998</v>
      </c>
      <c r="P875" s="10">
        <f>N875-O875</f>
        <v>394971</v>
      </c>
      <c r="Q875" s="46">
        <f t="shared" si="139"/>
        <v>4.2242896736448499</v>
      </c>
      <c r="R875" s="10">
        <v>1405</v>
      </c>
      <c r="S875" s="7">
        <f t="shared" si="132"/>
        <v>0</v>
      </c>
      <c r="T875" s="124">
        <f t="shared" si="133"/>
        <v>174</v>
      </c>
      <c r="U875" s="124">
        <f t="shared" si="134"/>
        <v>174</v>
      </c>
      <c r="V875" s="124">
        <f t="shared" si="135"/>
        <v>866</v>
      </c>
      <c r="W875" s="124">
        <f t="shared" si="136"/>
        <v>1429</v>
      </c>
      <c r="X875" s="124">
        <f t="shared" si="137"/>
        <v>14745073.193424072</v>
      </c>
      <c r="Y875" s="264">
        <f t="shared" si="138"/>
        <v>866</v>
      </c>
      <c r="Z875" s="10">
        <v>174</v>
      </c>
      <c r="AA875" s="7">
        <v>174</v>
      </c>
      <c r="AB875" s="7">
        <v>866</v>
      </c>
      <c r="AC875" s="109">
        <v>1429</v>
      </c>
      <c r="AD875" s="109">
        <v>14745073.193424072</v>
      </c>
      <c r="AE875" s="125"/>
      <c r="AF875" s="10"/>
      <c r="AI875" s="109"/>
      <c r="AJ875" s="109"/>
      <c r="AL875" s="10"/>
      <c r="AO875" s="109"/>
      <c r="AP875" s="109"/>
      <c r="AR875" s="10"/>
      <c r="AU875" s="109"/>
      <c r="AV875" s="109"/>
      <c r="AX875" s="10"/>
      <c r="BA875" s="109"/>
      <c r="BB875" s="109"/>
      <c r="BD875" s="10"/>
      <c r="BG875" s="109"/>
      <c r="BH875" s="109"/>
      <c r="BJ875" s="10"/>
      <c r="BM875" s="109"/>
      <c r="BN875" s="109"/>
      <c r="BP875" s="10"/>
      <c r="BS875" s="109"/>
      <c r="BT875" s="109"/>
      <c r="BV875" s="10"/>
      <c r="BY875" s="109"/>
      <c r="BZ875" s="109"/>
      <c r="CB875" s="10"/>
      <c r="CE875" s="109"/>
      <c r="CF875" s="109"/>
      <c r="CH875" s="10"/>
      <c r="CK875" s="109"/>
      <c r="CL875" s="109"/>
    </row>
    <row r="876" spans="1:90">
      <c r="A876" s="7" t="str">
        <f t="shared" si="131"/>
        <v>01740801</v>
      </c>
      <c r="B876" s="7" t="s">
        <v>2513</v>
      </c>
      <c r="C876" s="7" t="s">
        <v>2752</v>
      </c>
      <c r="D876" s="7">
        <v>867</v>
      </c>
      <c r="E876" s="7">
        <v>174</v>
      </c>
      <c r="F876" s="7" t="s">
        <v>1879</v>
      </c>
      <c r="G876" s="7">
        <v>801</v>
      </c>
      <c r="H876" s="7" t="s">
        <v>1679</v>
      </c>
      <c r="I876" s="37">
        <v>995192</v>
      </c>
      <c r="J876" s="122">
        <v>6.6105022801853278E-2</v>
      </c>
      <c r="K876" s="123">
        <f t="shared" si="140"/>
        <v>911272.44629661064</v>
      </c>
      <c r="L876" s="122">
        <f>IF(K879&gt;0, K876/K879, 0)</f>
        <v>5.8204670953653538E-2</v>
      </c>
      <c r="M876" s="71"/>
      <c r="N876" s="10">
        <f>ROUND(M879*L876,0)</f>
        <v>602257</v>
      </c>
      <c r="O876" s="70">
        <v>661832</v>
      </c>
      <c r="P876" s="10">
        <f>N876-O876</f>
        <v>-59575</v>
      </c>
      <c r="Q876" s="46">
        <f t="shared" si="139"/>
        <v>-9.0015290889530881</v>
      </c>
      <c r="R876" s="10">
        <v>59</v>
      </c>
      <c r="S876" s="7">
        <f t="shared" si="132"/>
        <v>0</v>
      </c>
      <c r="T876" s="124">
        <f t="shared" si="133"/>
        <v>174</v>
      </c>
      <c r="U876" s="124">
        <f t="shared" si="134"/>
        <v>801</v>
      </c>
      <c r="V876" s="124">
        <f t="shared" si="135"/>
        <v>867</v>
      </c>
      <c r="W876" s="124">
        <f t="shared" si="136"/>
        <v>53.999999999399996</v>
      </c>
      <c r="X876" s="124">
        <f t="shared" si="137"/>
        <v>911272.44629661064</v>
      </c>
      <c r="Y876" s="264">
        <f t="shared" si="138"/>
        <v>867</v>
      </c>
      <c r="Z876" s="10">
        <v>174</v>
      </c>
      <c r="AA876" s="7">
        <v>801</v>
      </c>
      <c r="AB876" s="7">
        <v>867</v>
      </c>
      <c r="AC876" s="109">
        <v>53.999999999399996</v>
      </c>
      <c r="AD876" s="109">
        <v>911272.44629661064</v>
      </c>
      <c r="AE876" s="125"/>
      <c r="AF876" s="10"/>
      <c r="AI876" s="109"/>
      <c r="AJ876" s="109"/>
      <c r="AL876" s="10"/>
      <c r="AO876" s="109"/>
      <c r="AP876" s="109"/>
      <c r="AR876" s="10"/>
      <c r="AU876" s="109"/>
      <c r="AV876" s="109"/>
      <c r="AX876" s="10"/>
      <c r="BA876" s="109"/>
      <c r="BB876" s="109"/>
      <c r="BD876" s="10"/>
      <c r="BG876" s="109"/>
      <c r="BH876" s="109"/>
      <c r="BJ876" s="10"/>
      <c r="BM876" s="109"/>
      <c r="BN876" s="109"/>
      <c r="BP876" s="10"/>
      <c r="BS876" s="109"/>
      <c r="BT876" s="109"/>
      <c r="BV876" s="10"/>
      <c r="BY876" s="109"/>
      <c r="BZ876" s="109"/>
      <c r="CB876" s="10"/>
      <c r="CE876" s="109"/>
      <c r="CF876" s="109"/>
      <c r="CH876" s="10"/>
      <c r="CK876" s="109"/>
      <c r="CL876" s="109"/>
    </row>
    <row r="877" spans="1:90">
      <c r="A877" s="7" t="str">
        <f t="shared" si="131"/>
        <v>01740998</v>
      </c>
      <c r="B877" s="7" t="s">
        <v>2513</v>
      </c>
      <c r="C877" s="7" t="s">
        <v>2781</v>
      </c>
      <c r="D877" s="7">
        <v>868</v>
      </c>
      <c r="E877" s="7">
        <v>174</v>
      </c>
      <c r="F877" s="7" t="s">
        <v>2135</v>
      </c>
      <c r="G877" s="7">
        <v>998</v>
      </c>
      <c r="H877" s="7" t="s">
        <v>2135</v>
      </c>
      <c r="I877" s="37">
        <v>0</v>
      </c>
      <c r="J877" s="122">
        <v>0</v>
      </c>
      <c r="K877" s="123">
        <f t="shared" si="140"/>
        <v>0</v>
      </c>
      <c r="L877" s="122">
        <f>IF(K879&gt;0, K877/K879, 0)</f>
        <v>0</v>
      </c>
      <c r="M877" s="71"/>
      <c r="N877" s="10">
        <f>ROUND(M879*L877,0)</f>
        <v>0</v>
      </c>
      <c r="O877" s="70">
        <v>0</v>
      </c>
      <c r="P877" s="10">
        <f>N877-O877</f>
        <v>0</v>
      </c>
      <c r="Q877" s="46">
        <f t="shared" si="139"/>
        <v>0</v>
      </c>
      <c r="R877" s="10">
        <v>0</v>
      </c>
      <c r="S877" s="7">
        <f t="shared" si="132"/>
        <v>0</v>
      </c>
      <c r="T877" s="124">
        <f t="shared" si="133"/>
        <v>174</v>
      </c>
      <c r="U877" s="124">
        <f t="shared" si="134"/>
        <v>998</v>
      </c>
      <c r="V877" s="124">
        <f t="shared" si="135"/>
        <v>868</v>
      </c>
      <c r="W877" s="124">
        <f t="shared" si="136"/>
        <v>0</v>
      </c>
      <c r="X877" s="124">
        <f t="shared" si="137"/>
        <v>0</v>
      </c>
      <c r="Y877" s="264">
        <f t="shared" si="138"/>
        <v>868</v>
      </c>
      <c r="Z877" s="10">
        <v>174</v>
      </c>
      <c r="AA877" s="7">
        <v>998</v>
      </c>
      <c r="AB877" s="7">
        <v>868</v>
      </c>
      <c r="AC877" s="109">
        <v>0</v>
      </c>
      <c r="AD877" s="109">
        <v>0</v>
      </c>
      <c r="AE877" s="125"/>
      <c r="AF877" s="10"/>
      <c r="AI877" s="109"/>
      <c r="AJ877" s="109"/>
      <c r="AL877" s="10"/>
      <c r="AO877" s="109"/>
      <c r="AP877" s="109"/>
      <c r="AR877" s="10"/>
      <c r="AU877" s="109"/>
      <c r="AV877" s="109"/>
      <c r="AX877" s="10"/>
      <c r="BA877" s="109"/>
      <c r="BB877" s="109"/>
      <c r="BD877" s="10"/>
      <c r="BG877" s="109"/>
      <c r="BH877" s="109"/>
      <c r="BJ877" s="10"/>
      <c r="BM877" s="109"/>
      <c r="BN877" s="109"/>
      <c r="BP877" s="10"/>
      <c r="BS877" s="109"/>
      <c r="BT877" s="109"/>
      <c r="BV877" s="10"/>
      <c r="BY877" s="109"/>
      <c r="BZ877" s="109"/>
      <c r="CB877" s="10"/>
      <c r="CE877" s="109"/>
      <c r="CF877" s="109"/>
      <c r="CH877" s="10"/>
      <c r="CK877" s="109"/>
      <c r="CL877" s="109"/>
    </row>
    <row r="878" spans="1:90">
      <c r="A878" s="7" t="str">
        <f t="shared" si="131"/>
        <v>01740998</v>
      </c>
      <c r="B878" s="7" t="s">
        <v>2513</v>
      </c>
      <c r="C878" s="7" t="s">
        <v>2781</v>
      </c>
      <c r="D878" s="7">
        <v>869</v>
      </c>
      <c r="E878" s="7">
        <v>174</v>
      </c>
      <c r="F878" s="7" t="s">
        <v>2135</v>
      </c>
      <c r="G878" s="7">
        <v>998</v>
      </c>
      <c r="H878" s="7" t="s">
        <v>2135</v>
      </c>
      <c r="I878" s="37">
        <v>0</v>
      </c>
      <c r="J878" s="122">
        <v>0</v>
      </c>
      <c r="K878" s="123">
        <f t="shared" si="140"/>
        <v>0</v>
      </c>
      <c r="L878" s="122">
        <f>IF(K879&gt;0, K878/K879, 0)</f>
        <v>0</v>
      </c>
      <c r="M878" s="71"/>
      <c r="N878" s="10">
        <f>ROUND(M879*L878,0)</f>
        <v>0</v>
      </c>
      <c r="O878" s="70">
        <v>0</v>
      </c>
      <c r="P878" s="10">
        <f>N878-O878</f>
        <v>0</v>
      </c>
      <c r="Q878" s="46">
        <f t="shared" si="139"/>
        <v>0</v>
      </c>
      <c r="R878" s="10">
        <v>0</v>
      </c>
      <c r="S878" s="7">
        <f t="shared" si="132"/>
        <v>0</v>
      </c>
      <c r="T878" s="124">
        <f t="shared" si="133"/>
        <v>174</v>
      </c>
      <c r="U878" s="124">
        <f t="shared" si="134"/>
        <v>998</v>
      </c>
      <c r="V878" s="124">
        <f t="shared" si="135"/>
        <v>869</v>
      </c>
      <c r="W878" s="124">
        <f t="shared" si="136"/>
        <v>0</v>
      </c>
      <c r="X878" s="124">
        <f t="shared" si="137"/>
        <v>0</v>
      </c>
      <c r="Y878" s="264">
        <f t="shared" si="138"/>
        <v>869</v>
      </c>
      <c r="Z878" s="10">
        <v>174</v>
      </c>
      <c r="AA878" s="7">
        <v>998</v>
      </c>
      <c r="AB878" s="7">
        <v>869</v>
      </c>
      <c r="AC878" s="109">
        <v>0</v>
      </c>
      <c r="AD878" s="109">
        <v>0</v>
      </c>
      <c r="AE878" s="125"/>
      <c r="AF878" s="10"/>
      <c r="AI878" s="109"/>
      <c r="AJ878" s="109"/>
      <c r="AL878" s="10"/>
      <c r="AO878" s="109"/>
      <c r="AP878" s="109"/>
      <c r="AR878" s="10"/>
      <c r="AU878" s="109"/>
      <c r="AV878" s="109"/>
      <c r="AX878" s="10"/>
      <c r="BA878" s="109"/>
      <c r="BB878" s="109"/>
      <c r="BD878" s="10"/>
      <c r="BG878" s="109"/>
      <c r="BH878" s="109"/>
      <c r="BJ878" s="10"/>
      <c r="BM878" s="109"/>
      <c r="BN878" s="109"/>
      <c r="BP878" s="10"/>
      <c r="BS878" s="109"/>
      <c r="BT878" s="109"/>
      <c r="BV878" s="10"/>
      <c r="BY878" s="109"/>
      <c r="BZ878" s="109"/>
      <c r="CB878" s="10"/>
      <c r="CE878" s="109"/>
      <c r="CF878" s="109"/>
      <c r="CH878" s="10"/>
      <c r="CK878" s="109"/>
      <c r="CL878" s="109"/>
    </row>
    <row r="879" spans="1:90">
      <c r="A879" s="7" t="str">
        <f t="shared" si="131"/>
        <v>01740999</v>
      </c>
      <c r="B879" s="7" t="s">
        <v>2513</v>
      </c>
      <c r="C879" s="7" t="s">
        <v>2782</v>
      </c>
      <c r="D879" s="7">
        <v>870</v>
      </c>
      <c r="E879" s="11">
        <v>174</v>
      </c>
      <c r="F879" s="11" t="s">
        <v>1879</v>
      </c>
      <c r="G879" s="11">
        <v>999</v>
      </c>
      <c r="H879" s="11" t="s">
        <v>1132</v>
      </c>
      <c r="I879" s="105">
        <v>15054710.789270002</v>
      </c>
      <c r="J879" s="126">
        <v>1</v>
      </c>
      <c r="K879" s="127">
        <f>SUM(K875:K878)</f>
        <v>15656345.639720682</v>
      </c>
      <c r="L879" s="126">
        <f>SUM(L875:L878)</f>
        <v>1</v>
      </c>
      <c r="M879" s="105">
        <f>VLOOKUP(E879,town351,22)</f>
        <v>10347226</v>
      </c>
      <c r="N879" s="105">
        <f>SUM(N875:N878)</f>
        <v>10347226</v>
      </c>
      <c r="O879" s="128">
        <v>10011830</v>
      </c>
      <c r="P879" s="105">
        <f>SUM(P875:P878)</f>
        <v>335396</v>
      </c>
      <c r="Q879" s="45">
        <f t="shared" si="139"/>
        <v>3.3499969536038865</v>
      </c>
      <c r="R879" s="105">
        <v>1464</v>
      </c>
      <c r="S879" s="7">
        <f t="shared" si="132"/>
        <v>0</v>
      </c>
      <c r="T879" s="124">
        <f t="shared" si="133"/>
        <v>174</v>
      </c>
      <c r="U879" s="124">
        <f t="shared" si="134"/>
        <v>999</v>
      </c>
      <c r="V879" s="124">
        <f t="shared" si="135"/>
        <v>870</v>
      </c>
      <c r="W879" s="124">
        <f t="shared" si="136"/>
        <v>1482.9999999994</v>
      </c>
      <c r="X879" s="124">
        <f t="shared" si="137"/>
        <v>15656345.639720682</v>
      </c>
      <c r="Y879" s="264">
        <f t="shared" si="138"/>
        <v>870</v>
      </c>
      <c r="Z879" s="10">
        <v>174</v>
      </c>
      <c r="AA879" s="7">
        <v>999</v>
      </c>
      <c r="AB879" s="7">
        <v>870</v>
      </c>
      <c r="AC879" s="109">
        <v>1482.9999999994</v>
      </c>
      <c r="AD879" s="109">
        <v>15656345.639720682</v>
      </c>
      <c r="AE879" s="125"/>
      <c r="AF879" s="10"/>
      <c r="AI879" s="109"/>
      <c r="AJ879" s="109"/>
      <c r="AL879" s="10"/>
      <c r="AO879" s="109"/>
      <c r="AP879" s="109"/>
      <c r="AR879" s="10"/>
      <c r="AU879" s="109"/>
      <c r="AV879" s="109"/>
      <c r="AX879" s="10"/>
      <c r="BA879" s="109"/>
      <c r="BB879" s="109"/>
      <c r="BD879" s="10"/>
      <c r="BG879" s="109"/>
      <c r="BH879" s="109"/>
      <c r="BJ879" s="10"/>
      <c r="BM879" s="109"/>
      <c r="BN879" s="109"/>
      <c r="BP879" s="10"/>
      <c r="BS879" s="109"/>
      <c r="BT879" s="109"/>
      <c r="BV879" s="10"/>
      <c r="BY879" s="109"/>
      <c r="BZ879" s="109"/>
      <c r="CB879" s="10"/>
      <c r="CE879" s="109"/>
      <c r="CF879" s="109"/>
      <c r="CH879" s="10"/>
      <c r="CK879" s="109"/>
      <c r="CL879" s="109"/>
    </row>
    <row r="880" spans="1:90">
      <c r="A880" s="7" t="str">
        <f t="shared" si="131"/>
        <v>01750175</v>
      </c>
      <c r="B880" s="7" t="s">
        <v>2514</v>
      </c>
      <c r="C880" s="7" t="s">
        <v>2514</v>
      </c>
      <c r="D880" s="7">
        <v>871</v>
      </c>
      <c r="E880" s="7">
        <v>175</v>
      </c>
      <c r="F880" s="7" t="s">
        <v>1880</v>
      </c>
      <c r="G880" s="7">
        <v>175</v>
      </c>
      <c r="H880" s="7" t="s">
        <v>1441</v>
      </c>
      <c r="I880" s="37">
        <v>23253777.20984</v>
      </c>
      <c r="J880" s="122">
        <v>0.99182954774947507</v>
      </c>
      <c r="K880" s="123">
        <f>X880</f>
        <v>23865982.219953917</v>
      </c>
      <c r="L880" s="122">
        <f>IF(K884&gt;0, K880/K884, 0)</f>
        <v>0.99180964145149975</v>
      </c>
      <c r="M880" s="71"/>
      <c r="N880" s="10">
        <f>ROUND(M884*L880,0)</f>
        <v>19763909</v>
      </c>
      <c r="O880" s="70">
        <v>19507465</v>
      </c>
      <c r="P880" s="10">
        <f>N880-O880</f>
        <v>256444</v>
      </c>
      <c r="Q880" s="46">
        <f t="shared" si="139"/>
        <v>1.3145941822784253</v>
      </c>
      <c r="R880" s="10">
        <v>2495</v>
      </c>
      <c r="S880" s="7">
        <f t="shared" si="132"/>
        <v>0</v>
      </c>
      <c r="T880" s="124">
        <f t="shared" si="133"/>
        <v>175</v>
      </c>
      <c r="U880" s="124">
        <f t="shared" si="134"/>
        <v>175</v>
      </c>
      <c r="V880" s="124">
        <f t="shared" si="135"/>
        <v>871</v>
      </c>
      <c r="W880" s="124">
        <f t="shared" si="136"/>
        <v>2490</v>
      </c>
      <c r="X880" s="124">
        <f t="shared" si="137"/>
        <v>23865982.219953917</v>
      </c>
      <c r="Y880" s="264">
        <f t="shared" si="138"/>
        <v>871</v>
      </c>
      <c r="Z880" s="10">
        <v>175</v>
      </c>
      <c r="AA880" s="7">
        <v>175</v>
      </c>
      <c r="AB880" s="7">
        <v>871</v>
      </c>
      <c r="AC880" s="109">
        <v>2490</v>
      </c>
      <c r="AD880" s="109">
        <v>23865982.219953917</v>
      </c>
      <c r="AE880" s="125"/>
      <c r="AF880" s="10"/>
      <c r="AI880" s="109"/>
      <c r="AJ880" s="109"/>
      <c r="AL880" s="10"/>
      <c r="AO880" s="109"/>
      <c r="AP880" s="109"/>
      <c r="AR880" s="10"/>
      <c r="AU880" s="109"/>
      <c r="AV880" s="109"/>
      <c r="AX880" s="10"/>
      <c r="BA880" s="109"/>
      <c r="BB880" s="109"/>
      <c r="BD880" s="10"/>
      <c r="BG880" s="109"/>
      <c r="BH880" s="109"/>
      <c r="BJ880" s="10"/>
      <c r="BM880" s="109"/>
      <c r="BN880" s="109"/>
      <c r="BP880" s="10"/>
      <c r="BS880" s="109"/>
      <c r="BT880" s="109"/>
      <c r="BV880" s="10"/>
      <c r="BY880" s="109"/>
      <c r="BZ880" s="109"/>
      <c r="CB880" s="10"/>
      <c r="CE880" s="109"/>
      <c r="CF880" s="109"/>
      <c r="CH880" s="10"/>
      <c r="CK880" s="109"/>
      <c r="CL880" s="109"/>
    </row>
    <row r="881" spans="1:90">
      <c r="A881" s="7" t="str">
        <f t="shared" si="131"/>
        <v>01750878</v>
      </c>
      <c r="B881" s="7" t="s">
        <v>2514</v>
      </c>
      <c r="C881" s="7" t="s">
        <v>2775</v>
      </c>
      <c r="D881" s="7">
        <v>872</v>
      </c>
      <c r="E881" s="7">
        <v>175</v>
      </c>
      <c r="F881" s="7" t="s">
        <v>1880</v>
      </c>
      <c r="G881" s="7">
        <v>878</v>
      </c>
      <c r="H881" s="7" t="s">
        <v>1702</v>
      </c>
      <c r="I881" s="37">
        <v>143147</v>
      </c>
      <c r="J881" s="122">
        <v>6.1055639688340768E-3</v>
      </c>
      <c r="K881" s="123">
        <f t="shared" si="140"/>
        <v>180612.85218544785</v>
      </c>
      <c r="L881" s="122">
        <f>IF(K884&gt;0, K881/K884, 0)</f>
        <v>7.5058116827813361E-3</v>
      </c>
      <c r="M881" s="71"/>
      <c r="N881" s="10">
        <f>ROUND(M884*L881,0)</f>
        <v>149569</v>
      </c>
      <c r="O881" s="70">
        <v>120085</v>
      </c>
      <c r="P881" s="10">
        <f>N881-O881</f>
        <v>29484</v>
      </c>
      <c r="Q881" s="46">
        <f t="shared" si="139"/>
        <v>24.552608568930342</v>
      </c>
      <c r="R881" s="10">
        <v>9</v>
      </c>
      <c r="S881" s="7">
        <f t="shared" si="132"/>
        <v>0</v>
      </c>
      <c r="T881" s="124">
        <f t="shared" si="133"/>
        <v>175</v>
      </c>
      <c r="U881" s="124">
        <f t="shared" si="134"/>
        <v>878</v>
      </c>
      <c r="V881" s="124">
        <f t="shared" si="135"/>
        <v>872</v>
      </c>
      <c r="W881" s="124">
        <f t="shared" si="136"/>
        <v>10.999999999169999</v>
      </c>
      <c r="X881" s="124">
        <f t="shared" si="137"/>
        <v>180612.85218544785</v>
      </c>
      <c r="Y881" s="264">
        <f t="shared" si="138"/>
        <v>872</v>
      </c>
      <c r="Z881" s="10">
        <v>175</v>
      </c>
      <c r="AA881" s="7">
        <v>878</v>
      </c>
      <c r="AB881" s="7">
        <v>872</v>
      </c>
      <c r="AC881" s="109">
        <v>10.999999999169999</v>
      </c>
      <c r="AD881" s="109">
        <v>180612.85218544785</v>
      </c>
      <c r="AE881" s="125"/>
      <c r="AF881" s="10"/>
      <c r="AI881" s="109"/>
      <c r="AJ881" s="109"/>
      <c r="AL881" s="10"/>
      <c r="AO881" s="109"/>
      <c r="AP881" s="109"/>
      <c r="AR881" s="10"/>
      <c r="AU881" s="109"/>
      <c r="AV881" s="109"/>
      <c r="AX881" s="10"/>
      <c r="BA881" s="109"/>
      <c r="BB881" s="109"/>
      <c r="BD881" s="10"/>
      <c r="BG881" s="109"/>
      <c r="BH881" s="109"/>
      <c r="BJ881" s="10"/>
      <c r="BM881" s="109"/>
      <c r="BN881" s="109"/>
      <c r="BP881" s="10"/>
      <c r="BS881" s="109"/>
      <c r="BT881" s="109"/>
      <c r="BV881" s="10"/>
      <c r="BY881" s="109"/>
      <c r="BZ881" s="109"/>
      <c r="CB881" s="10"/>
      <c r="CE881" s="109"/>
      <c r="CF881" s="109"/>
      <c r="CH881" s="10"/>
      <c r="CK881" s="109"/>
      <c r="CL881" s="109"/>
    </row>
    <row r="882" spans="1:90">
      <c r="A882" s="7" t="str">
        <f t="shared" si="131"/>
        <v>01750915</v>
      </c>
      <c r="B882" s="7" t="s">
        <v>2514</v>
      </c>
      <c r="C882" s="7" t="s">
        <v>2779</v>
      </c>
      <c r="D882" s="7">
        <v>873</v>
      </c>
      <c r="E882" s="7">
        <v>175</v>
      </c>
      <c r="F882" s="7" t="s">
        <v>1880</v>
      </c>
      <c r="G882" s="7">
        <v>915</v>
      </c>
      <c r="H882" s="7" t="s">
        <v>1706</v>
      </c>
      <c r="I882" s="37">
        <v>48412</v>
      </c>
      <c r="J882" s="122">
        <v>2.0648882816908165E-3</v>
      </c>
      <c r="K882" s="123">
        <f t="shared" si="140"/>
        <v>16472.297347367301</v>
      </c>
      <c r="L882" s="122">
        <f>IF(K884&gt;0, K882/K884, 0)</f>
        <v>6.8454686571900068E-4</v>
      </c>
      <c r="M882" s="71"/>
      <c r="N882" s="10">
        <f>ROUND(M884*L882,0)</f>
        <v>13641</v>
      </c>
      <c r="O882" s="70">
        <v>40613</v>
      </c>
      <c r="P882" s="10">
        <f>N882-O882</f>
        <v>-26972</v>
      </c>
      <c r="Q882" s="46">
        <f t="shared" si="139"/>
        <v>-66.412232536379975</v>
      </c>
      <c r="R882" s="10">
        <v>3</v>
      </c>
      <c r="S882" s="7">
        <f t="shared" si="132"/>
        <v>0</v>
      </c>
      <c r="T882" s="124">
        <f t="shared" si="133"/>
        <v>175</v>
      </c>
      <c r="U882" s="124">
        <f t="shared" si="134"/>
        <v>915</v>
      </c>
      <c r="V882" s="124">
        <f t="shared" si="135"/>
        <v>873</v>
      </c>
      <c r="W882" s="124">
        <f t="shared" si="136"/>
        <v>0.9999999998100001</v>
      </c>
      <c r="X882" s="124">
        <f t="shared" si="137"/>
        <v>16472.297347367301</v>
      </c>
      <c r="Y882" s="264">
        <f t="shared" si="138"/>
        <v>873</v>
      </c>
      <c r="Z882" s="10">
        <v>175</v>
      </c>
      <c r="AA882" s="7">
        <v>915</v>
      </c>
      <c r="AB882" s="7">
        <v>873</v>
      </c>
      <c r="AC882" s="109">
        <v>0.9999999998100001</v>
      </c>
      <c r="AD882" s="109">
        <v>16472.297347367301</v>
      </c>
      <c r="AE882" s="125"/>
      <c r="AF882" s="10"/>
      <c r="AI882" s="109"/>
      <c r="AJ882" s="109"/>
      <c r="AL882" s="10"/>
      <c r="AO882" s="109"/>
      <c r="AP882" s="109"/>
      <c r="AR882" s="10"/>
      <c r="AU882" s="109"/>
      <c r="AV882" s="109"/>
      <c r="AX882" s="10"/>
      <c r="BA882" s="109"/>
      <c r="BB882" s="109"/>
      <c r="BD882" s="10"/>
      <c r="BG882" s="109"/>
      <c r="BH882" s="109"/>
      <c r="BJ882" s="10"/>
      <c r="BM882" s="109"/>
      <c r="BN882" s="109"/>
      <c r="BP882" s="10"/>
      <c r="BS882" s="109"/>
      <c r="BT882" s="109"/>
      <c r="BV882" s="10"/>
      <c r="BY882" s="109"/>
      <c r="BZ882" s="109"/>
      <c r="CB882" s="10"/>
      <c r="CE882" s="109"/>
      <c r="CF882" s="109"/>
      <c r="CH882" s="10"/>
      <c r="CK882" s="109"/>
      <c r="CL882" s="109"/>
    </row>
    <row r="883" spans="1:90">
      <c r="A883" s="7" t="str">
        <f t="shared" si="131"/>
        <v>01750998</v>
      </c>
      <c r="B883" s="7" t="s">
        <v>2514</v>
      </c>
      <c r="C883" s="7" t="s">
        <v>2781</v>
      </c>
      <c r="D883" s="7">
        <v>874</v>
      </c>
      <c r="E883" s="7">
        <v>175</v>
      </c>
      <c r="F883" s="7" t="s">
        <v>2135</v>
      </c>
      <c r="G883" s="7">
        <v>998</v>
      </c>
      <c r="H883" s="7" t="s">
        <v>2135</v>
      </c>
      <c r="I883" s="37">
        <v>0</v>
      </c>
      <c r="J883" s="122">
        <v>0</v>
      </c>
      <c r="K883" s="123">
        <f t="shared" si="140"/>
        <v>0</v>
      </c>
      <c r="L883" s="122">
        <f>IF(K884&gt;0, K883/K884, 0)</f>
        <v>0</v>
      </c>
      <c r="M883" s="71"/>
      <c r="N883" s="10">
        <f>ROUND(M884*L883,0)</f>
        <v>0</v>
      </c>
      <c r="O883" s="70">
        <v>0</v>
      </c>
      <c r="P883" s="10">
        <f>N883-O883</f>
        <v>0</v>
      </c>
      <c r="Q883" s="46">
        <f t="shared" si="139"/>
        <v>0</v>
      </c>
      <c r="R883" s="10">
        <v>0</v>
      </c>
      <c r="S883" s="7">
        <f t="shared" si="132"/>
        <v>0</v>
      </c>
      <c r="T883" s="124">
        <f t="shared" si="133"/>
        <v>175</v>
      </c>
      <c r="U883" s="124">
        <f t="shared" si="134"/>
        <v>998</v>
      </c>
      <c r="V883" s="124">
        <f t="shared" si="135"/>
        <v>874</v>
      </c>
      <c r="W883" s="124">
        <f t="shared" si="136"/>
        <v>0</v>
      </c>
      <c r="X883" s="124">
        <f t="shared" si="137"/>
        <v>0</v>
      </c>
      <c r="Y883" s="264">
        <f t="shared" si="138"/>
        <v>874</v>
      </c>
      <c r="Z883" s="10">
        <v>175</v>
      </c>
      <c r="AA883" s="7">
        <v>998</v>
      </c>
      <c r="AB883" s="7">
        <v>874</v>
      </c>
      <c r="AC883" s="109">
        <v>0</v>
      </c>
      <c r="AD883" s="109">
        <v>0</v>
      </c>
      <c r="AE883" s="125"/>
      <c r="AF883" s="10"/>
      <c r="AI883" s="109"/>
      <c r="AJ883" s="109"/>
      <c r="AL883" s="10"/>
      <c r="AO883" s="109"/>
      <c r="AP883" s="109"/>
      <c r="AR883" s="10"/>
      <c r="AU883" s="109"/>
      <c r="AV883" s="109"/>
      <c r="AX883" s="10"/>
      <c r="BA883" s="109"/>
      <c r="BB883" s="109"/>
      <c r="BD883" s="10"/>
      <c r="BG883" s="109"/>
      <c r="BH883" s="109"/>
      <c r="BJ883" s="10"/>
      <c r="BM883" s="109"/>
      <c r="BN883" s="109"/>
      <c r="BP883" s="10"/>
      <c r="BS883" s="109"/>
      <c r="BT883" s="109"/>
      <c r="BV883" s="10"/>
      <c r="BY883" s="109"/>
      <c r="BZ883" s="109"/>
      <c r="CB883" s="10"/>
      <c r="CE883" s="109"/>
      <c r="CF883" s="109"/>
      <c r="CH883" s="10"/>
      <c r="CK883" s="109"/>
      <c r="CL883" s="109"/>
    </row>
    <row r="884" spans="1:90">
      <c r="A884" s="7" t="str">
        <f t="shared" si="131"/>
        <v>01750999</v>
      </c>
      <c r="B884" s="7" t="s">
        <v>2514</v>
      </c>
      <c r="C884" s="7" t="s">
        <v>2782</v>
      </c>
      <c r="D884" s="7">
        <v>875</v>
      </c>
      <c r="E884" s="11">
        <v>175</v>
      </c>
      <c r="F884" s="11" t="s">
        <v>1880</v>
      </c>
      <c r="G884" s="11">
        <v>999</v>
      </c>
      <c r="H884" s="11" t="s">
        <v>1132</v>
      </c>
      <c r="I884" s="105">
        <v>23445336.20984</v>
      </c>
      <c r="J884" s="126">
        <v>1</v>
      </c>
      <c r="K884" s="127">
        <f>SUM(K880:K883)</f>
        <v>24063067.369486731</v>
      </c>
      <c r="L884" s="126">
        <f>SUM(L880:L883)</f>
        <v>1</v>
      </c>
      <c r="M884" s="105">
        <f>VLOOKUP(E884,town351,22)</f>
        <v>19927119</v>
      </c>
      <c r="N884" s="105">
        <f>SUM(N880:N883)</f>
        <v>19927119</v>
      </c>
      <c r="O884" s="128">
        <v>19668163</v>
      </c>
      <c r="P884" s="105">
        <f>SUM(P880:P883)</f>
        <v>258956</v>
      </c>
      <c r="Q884" s="45">
        <f t="shared" si="139"/>
        <v>1.3166252486315067</v>
      </c>
      <c r="R884" s="105">
        <v>2507</v>
      </c>
      <c r="S884" s="7">
        <f t="shared" si="132"/>
        <v>0</v>
      </c>
      <c r="T884" s="124">
        <f t="shared" si="133"/>
        <v>175</v>
      </c>
      <c r="U884" s="124">
        <f t="shared" si="134"/>
        <v>999</v>
      </c>
      <c r="V884" s="124">
        <f t="shared" si="135"/>
        <v>875</v>
      </c>
      <c r="W884" s="124">
        <f t="shared" si="136"/>
        <v>2501.99999999898</v>
      </c>
      <c r="X884" s="124">
        <f t="shared" si="137"/>
        <v>24063067.369486731</v>
      </c>
      <c r="Y884" s="264">
        <f t="shared" si="138"/>
        <v>875</v>
      </c>
      <c r="Z884" s="10">
        <v>175</v>
      </c>
      <c r="AA884" s="7">
        <v>999</v>
      </c>
      <c r="AB884" s="7">
        <v>875</v>
      </c>
      <c r="AC884" s="109">
        <v>2501.99999999898</v>
      </c>
      <c r="AD884" s="109">
        <v>24063067.369486731</v>
      </c>
      <c r="AE884" s="125"/>
      <c r="AF884" s="10"/>
      <c r="AI884" s="109"/>
      <c r="AJ884" s="109"/>
      <c r="AL884" s="10"/>
      <c r="AO884" s="109"/>
      <c r="AP884" s="109"/>
      <c r="AR884" s="10"/>
      <c r="AU884" s="109"/>
      <c r="AV884" s="109"/>
      <c r="AX884" s="10"/>
      <c r="BA884" s="109"/>
      <c r="BB884" s="109"/>
      <c r="BD884" s="10"/>
      <c r="BG884" s="109"/>
      <c r="BH884" s="109"/>
      <c r="BJ884" s="10"/>
      <c r="BM884" s="109"/>
      <c r="BN884" s="109"/>
      <c r="BP884" s="10"/>
      <c r="BS884" s="109"/>
      <c r="BT884" s="109"/>
      <c r="BV884" s="10"/>
      <c r="BY884" s="109"/>
      <c r="BZ884" s="109"/>
      <c r="CB884" s="10"/>
      <c r="CE884" s="109"/>
      <c r="CF884" s="109"/>
      <c r="CH884" s="10"/>
      <c r="CK884" s="109"/>
      <c r="CL884" s="109"/>
    </row>
    <row r="885" spans="1:90">
      <c r="A885" s="7" t="str">
        <f t="shared" si="131"/>
        <v>01760176</v>
      </c>
      <c r="B885" s="7" t="s">
        <v>2515</v>
      </c>
      <c r="C885" s="7" t="s">
        <v>2515</v>
      </c>
      <c r="D885" s="7">
        <v>876</v>
      </c>
      <c r="E885" s="7">
        <v>176</v>
      </c>
      <c r="F885" s="7" t="s">
        <v>1881</v>
      </c>
      <c r="G885" s="7">
        <v>176</v>
      </c>
      <c r="H885" s="7" t="s">
        <v>1442</v>
      </c>
      <c r="I885" s="37">
        <v>53575422.423319995</v>
      </c>
      <c r="J885" s="122">
        <v>1</v>
      </c>
      <c r="K885" s="123">
        <f>X885</f>
        <v>54710623.722724512</v>
      </c>
      <c r="L885" s="122">
        <f>IF(K889&gt;0, K885/K889, 0)</f>
        <v>1</v>
      </c>
      <c r="M885" s="71"/>
      <c r="N885" s="10">
        <f>ROUND(M889*L885,0)</f>
        <v>45337673</v>
      </c>
      <c r="O885" s="70">
        <v>44545699</v>
      </c>
      <c r="P885" s="10">
        <f>N885-O885</f>
        <v>791974</v>
      </c>
      <c r="Q885" s="46">
        <f t="shared" si="139"/>
        <v>1.7778910596957969</v>
      </c>
      <c r="R885" s="10">
        <v>4817</v>
      </c>
      <c r="S885" s="7">
        <f t="shared" si="132"/>
        <v>0</v>
      </c>
      <c r="T885" s="124">
        <f t="shared" si="133"/>
        <v>176</v>
      </c>
      <c r="U885" s="124">
        <f t="shared" si="134"/>
        <v>176</v>
      </c>
      <c r="V885" s="124">
        <f t="shared" si="135"/>
        <v>876</v>
      </c>
      <c r="W885" s="124">
        <f t="shared" si="136"/>
        <v>4847</v>
      </c>
      <c r="X885" s="124">
        <f t="shared" si="137"/>
        <v>54710623.722724512</v>
      </c>
      <c r="Y885" s="264">
        <f t="shared" si="138"/>
        <v>876</v>
      </c>
      <c r="Z885" s="10">
        <v>176</v>
      </c>
      <c r="AA885" s="7">
        <v>176</v>
      </c>
      <c r="AB885" s="7">
        <v>876</v>
      </c>
      <c r="AC885" s="109">
        <v>4847</v>
      </c>
      <c r="AD885" s="109">
        <v>54710623.722724512</v>
      </c>
      <c r="AE885" s="125"/>
      <c r="AF885" s="10"/>
      <c r="AI885" s="109"/>
      <c r="AJ885" s="109"/>
      <c r="AL885" s="10"/>
      <c r="AO885" s="109"/>
      <c r="AP885" s="109"/>
      <c r="AR885" s="10"/>
      <c r="AU885" s="109"/>
      <c r="AV885" s="109"/>
      <c r="AX885" s="10"/>
      <c r="BA885" s="109"/>
      <c r="BB885" s="109"/>
      <c r="BD885" s="10"/>
      <c r="BG885" s="109"/>
      <c r="BH885" s="109"/>
      <c r="BJ885" s="10"/>
      <c r="BM885" s="109"/>
      <c r="BN885" s="109"/>
      <c r="BP885" s="10"/>
      <c r="BS885" s="109"/>
      <c r="BT885" s="109"/>
      <c r="BV885" s="10"/>
      <c r="BY885" s="109"/>
      <c r="BZ885" s="109"/>
      <c r="CB885" s="10"/>
      <c r="CE885" s="109"/>
      <c r="CF885" s="109"/>
      <c r="CH885" s="10"/>
      <c r="CK885" s="109"/>
      <c r="CL885" s="109"/>
    </row>
    <row r="886" spans="1:90">
      <c r="A886" s="7" t="str">
        <f t="shared" si="131"/>
        <v>01760998</v>
      </c>
      <c r="B886" s="7" t="s">
        <v>2515</v>
      </c>
      <c r="C886" s="7" t="s">
        <v>2781</v>
      </c>
      <c r="D886" s="7">
        <v>877</v>
      </c>
      <c r="E886" s="7">
        <v>176</v>
      </c>
      <c r="F886" s="7" t="s">
        <v>2135</v>
      </c>
      <c r="G886" s="7">
        <v>998</v>
      </c>
      <c r="I886" s="129">
        <v>0</v>
      </c>
      <c r="J886" s="130">
        <v>0</v>
      </c>
      <c r="K886" s="123">
        <f t="shared" si="140"/>
        <v>0</v>
      </c>
      <c r="L886" s="122">
        <f>IF(K889&gt;0, K886/K889, 0)</f>
        <v>0</v>
      </c>
      <c r="M886" s="71"/>
      <c r="N886" s="10">
        <f>ROUND(M889*L886,0)</f>
        <v>0</v>
      </c>
      <c r="O886" s="70">
        <v>0</v>
      </c>
      <c r="P886" s="10">
        <f>N886-O886</f>
        <v>0</v>
      </c>
      <c r="Q886" s="46">
        <f t="shared" si="139"/>
        <v>0</v>
      </c>
      <c r="R886" s="10">
        <v>0</v>
      </c>
      <c r="S886" s="7">
        <f t="shared" si="132"/>
        <v>0</v>
      </c>
      <c r="T886" s="124">
        <f t="shared" si="133"/>
        <v>176</v>
      </c>
      <c r="U886" s="124">
        <f t="shared" si="134"/>
        <v>998</v>
      </c>
      <c r="V886" s="124">
        <f t="shared" si="135"/>
        <v>877</v>
      </c>
      <c r="W886" s="124">
        <f t="shared" si="136"/>
        <v>0</v>
      </c>
      <c r="X886" s="124">
        <f t="shared" si="137"/>
        <v>0</v>
      </c>
      <c r="Y886" s="264">
        <f t="shared" si="138"/>
        <v>877</v>
      </c>
      <c r="Z886" s="10">
        <v>176</v>
      </c>
      <c r="AA886" s="7">
        <v>998</v>
      </c>
      <c r="AB886" s="7">
        <v>877</v>
      </c>
      <c r="AC886" s="109">
        <v>0</v>
      </c>
      <c r="AD886" s="109">
        <v>0</v>
      </c>
      <c r="AE886" s="125"/>
      <c r="AF886" s="10"/>
      <c r="AI886" s="109"/>
      <c r="AJ886" s="109"/>
      <c r="AL886" s="10"/>
      <c r="AO886" s="109"/>
      <c r="AP886" s="109"/>
      <c r="AR886" s="10"/>
      <c r="AU886" s="109"/>
      <c r="AV886" s="109"/>
      <c r="AX886" s="10"/>
      <c r="BA886" s="109"/>
      <c r="BB886" s="109"/>
      <c r="BD886" s="10"/>
      <c r="BG886" s="109"/>
      <c r="BH886" s="109"/>
      <c r="BJ886" s="10"/>
      <c r="BM886" s="109"/>
      <c r="BN886" s="109"/>
      <c r="BP886" s="10"/>
      <c r="BS886" s="109"/>
      <c r="BT886" s="109"/>
      <c r="BV886" s="10"/>
      <c r="BY886" s="109"/>
      <c r="BZ886" s="109"/>
      <c r="CB886" s="10"/>
      <c r="CE886" s="109"/>
      <c r="CF886" s="109"/>
      <c r="CH886" s="10"/>
      <c r="CK886" s="109"/>
      <c r="CL886" s="109"/>
    </row>
    <row r="887" spans="1:90">
      <c r="A887" s="7" t="str">
        <f t="shared" si="131"/>
        <v>01760998</v>
      </c>
      <c r="B887" s="7" t="s">
        <v>2515</v>
      </c>
      <c r="C887" s="7" t="s">
        <v>2781</v>
      </c>
      <c r="D887" s="7">
        <v>878</v>
      </c>
      <c r="E887" s="7">
        <v>176</v>
      </c>
      <c r="F887" s="7" t="s">
        <v>2135</v>
      </c>
      <c r="G887" s="7">
        <v>998</v>
      </c>
      <c r="H887" s="7" t="s">
        <v>2135</v>
      </c>
      <c r="I887" s="37">
        <v>0</v>
      </c>
      <c r="J887" s="122">
        <v>0</v>
      </c>
      <c r="K887" s="123">
        <f t="shared" si="140"/>
        <v>0</v>
      </c>
      <c r="L887" s="122">
        <f>IF(K889&gt;0, K887/K889, 0)</f>
        <v>0</v>
      </c>
      <c r="M887" s="71"/>
      <c r="N887" s="10">
        <f>ROUND(M889*L887,0)</f>
        <v>0</v>
      </c>
      <c r="O887" s="70">
        <v>0</v>
      </c>
      <c r="P887" s="10">
        <f>N887-O887</f>
        <v>0</v>
      </c>
      <c r="Q887" s="46">
        <f t="shared" si="139"/>
        <v>0</v>
      </c>
      <c r="R887" s="10">
        <v>0</v>
      </c>
      <c r="S887" s="7">
        <f t="shared" si="132"/>
        <v>0</v>
      </c>
      <c r="T887" s="124">
        <f t="shared" si="133"/>
        <v>176</v>
      </c>
      <c r="U887" s="124">
        <f t="shared" si="134"/>
        <v>998</v>
      </c>
      <c r="V887" s="124">
        <f t="shared" si="135"/>
        <v>878</v>
      </c>
      <c r="W887" s="124">
        <f t="shared" si="136"/>
        <v>0</v>
      </c>
      <c r="X887" s="124">
        <f t="shared" si="137"/>
        <v>0</v>
      </c>
      <c r="Y887" s="264">
        <f t="shared" si="138"/>
        <v>878</v>
      </c>
      <c r="Z887" s="10">
        <v>176</v>
      </c>
      <c r="AA887" s="7">
        <v>998</v>
      </c>
      <c r="AB887" s="7">
        <v>878</v>
      </c>
      <c r="AC887" s="109">
        <v>0</v>
      </c>
      <c r="AD887" s="109">
        <v>0</v>
      </c>
      <c r="AE887" s="125"/>
      <c r="AF887" s="10"/>
      <c r="AI887" s="109"/>
      <c r="AJ887" s="109"/>
      <c r="AL887" s="10"/>
      <c r="AO887" s="109"/>
      <c r="AP887" s="109"/>
      <c r="AR887" s="10"/>
      <c r="AU887" s="109"/>
      <c r="AV887" s="109"/>
      <c r="AX887" s="10"/>
      <c r="BA887" s="109"/>
      <c r="BB887" s="109"/>
      <c r="BD887" s="10"/>
      <c r="BG887" s="109"/>
      <c r="BH887" s="109"/>
      <c r="BJ887" s="10"/>
      <c r="BM887" s="109"/>
      <c r="BN887" s="109"/>
      <c r="BP887" s="10"/>
      <c r="BS887" s="109"/>
      <c r="BT887" s="109"/>
      <c r="BV887" s="10"/>
      <c r="BY887" s="109"/>
      <c r="BZ887" s="109"/>
      <c r="CB887" s="10"/>
      <c r="CE887" s="109"/>
      <c r="CF887" s="109"/>
      <c r="CH887" s="10"/>
      <c r="CK887" s="109"/>
      <c r="CL887" s="109"/>
    </row>
    <row r="888" spans="1:90">
      <c r="A888" s="7" t="str">
        <f t="shared" si="131"/>
        <v>01760998</v>
      </c>
      <c r="B888" s="7" t="s">
        <v>2515</v>
      </c>
      <c r="C888" s="7" t="s">
        <v>2781</v>
      </c>
      <c r="D888" s="7">
        <v>879</v>
      </c>
      <c r="E888" s="7">
        <v>176</v>
      </c>
      <c r="F888" s="7" t="s">
        <v>2135</v>
      </c>
      <c r="G888" s="7">
        <v>998</v>
      </c>
      <c r="H888" s="7" t="s">
        <v>2135</v>
      </c>
      <c r="I888" s="37">
        <v>0</v>
      </c>
      <c r="J888" s="122">
        <v>0</v>
      </c>
      <c r="K888" s="123">
        <f t="shared" si="140"/>
        <v>0</v>
      </c>
      <c r="L888" s="122">
        <f>IF(K889&gt;0, K888/K889, 0)</f>
        <v>0</v>
      </c>
      <c r="M888" s="71"/>
      <c r="N888" s="10">
        <f>ROUND(M889*L888,0)</f>
        <v>0</v>
      </c>
      <c r="O888" s="70">
        <v>0</v>
      </c>
      <c r="P888" s="10">
        <f>N888-O888</f>
        <v>0</v>
      </c>
      <c r="Q888" s="46">
        <f t="shared" si="139"/>
        <v>0</v>
      </c>
      <c r="R888" s="10">
        <v>0</v>
      </c>
      <c r="S888" s="7">
        <f t="shared" si="132"/>
        <v>0</v>
      </c>
      <c r="T888" s="124">
        <f t="shared" si="133"/>
        <v>176</v>
      </c>
      <c r="U888" s="124">
        <f t="shared" si="134"/>
        <v>998</v>
      </c>
      <c r="V888" s="124">
        <f t="shared" si="135"/>
        <v>879</v>
      </c>
      <c r="W888" s="124">
        <f t="shared" si="136"/>
        <v>0</v>
      </c>
      <c r="X888" s="124">
        <f t="shared" si="137"/>
        <v>0</v>
      </c>
      <c r="Y888" s="264">
        <f t="shared" si="138"/>
        <v>879</v>
      </c>
      <c r="Z888" s="10">
        <v>176</v>
      </c>
      <c r="AA888" s="7">
        <v>998</v>
      </c>
      <c r="AB888" s="7">
        <v>879</v>
      </c>
      <c r="AC888" s="109">
        <v>0</v>
      </c>
      <c r="AD888" s="109">
        <v>0</v>
      </c>
      <c r="AE888" s="125"/>
      <c r="AF888" s="10"/>
      <c r="AI888" s="109"/>
      <c r="AJ888" s="109"/>
      <c r="AL888" s="10"/>
      <c r="AO888" s="109"/>
      <c r="AP888" s="109"/>
      <c r="AR888" s="10"/>
      <c r="AU888" s="109"/>
      <c r="AV888" s="109"/>
      <c r="AX888" s="10"/>
      <c r="BA888" s="109"/>
      <c r="BB888" s="109"/>
      <c r="BD888" s="10"/>
      <c r="BG888" s="109"/>
      <c r="BH888" s="109"/>
      <c r="BJ888" s="10"/>
      <c r="BM888" s="109"/>
      <c r="BN888" s="109"/>
      <c r="BP888" s="10"/>
      <c r="BS888" s="109"/>
      <c r="BT888" s="109"/>
      <c r="BV888" s="10"/>
      <c r="BY888" s="109"/>
      <c r="BZ888" s="109"/>
      <c r="CB888" s="10"/>
      <c r="CE888" s="109"/>
      <c r="CF888" s="109"/>
      <c r="CH888" s="10"/>
      <c r="CK888" s="109"/>
      <c r="CL888" s="109"/>
    </row>
    <row r="889" spans="1:90">
      <c r="A889" s="7" t="str">
        <f t="shared" si="131"/>
        <v>01760999</v>
      </c>
      <c r="B889" s="7" t="s">
        <v>2515</v>
      </c>
      <c r="C889" s="7" t="s">
        <v>2782</v>
      </c>
      <c r="D889" s="7">
        <v>880</v>
      </c>
      <c r="E889" s="11">
        <v>176</v>
      </c>
      <c r="F889" s="11" t="s">
        <v>1881</v>
      </c>
      <c r="G889" s="11">
        <v>999</v>
      </c>
      <c r="H889" s="11" t="s">
        <v>1132</v>
      </c>
      <c r="I889" s="105">
        <v>53575422.423319995</v>
      </c>
      <c r="J889" s="126">
        <v>1</v>
      </c>
      <c r="K889" s="127">
        <f>SUM(K885:K888)</f>
        <v>54710623.722724512</v>
      </c>
      <c r="L889" s="126">
        <f>SUM(L885:L888)</f>
        <v>1</v>
      </c>
      <c r="M889" s="105">
        <f>VLOOKUP(E889,town351,22)</f>
        <v>45337673</v>
      </c>
      <c r="N889" s="105">
        <f>SUM(N885:N888)</f>
        <v>45337673</v>
      </c>
      <c r="O889" s="128">
        <v>44545699</v>
      </c>
      <c r="P889" s="105">
        <f>SUM(P885:P888)</f>
        <v>791974</v>
      </c>
      <c r="Q889" s="45">
        <f t="shared" si="139"/>
        <v>1.7778910596957969</v>
      </c>
      <c r="R889" s="105">
        <v>4817</v>
      </c>
      <c r="S889" s="7">
        <f t="shared" si="132"/>
        <v>0</v>
      </c>
      <c r="T889" s="124">
        <f t="shared" si="133"/>
        <v>176</v>
      </c>
      <c r="U889" s="124">
        <f t="shared" si="134"/>
        <v>999</v>
      </c>
      <c r="V889" s="124">
        <f t="shared" si="135"/>
        <v>880</v>
      </c>
      <c r="W889" s="124">
        <f t="shared" si="136"/>
        <v>4847</v>
      </c>
      <c r="X889" s="124">
        <f t="shared" si="137"/>
        <v>54710623.722724512</v>
      </c>
      <c r="Y889" s="264">
        <f t="shared" si="138"/>
        <v>880</v>
      </c>
      <c r="Z889" s="10">
        <v>176</v>
      </c>
      <c r="AA889" s="7">
        <v>999</v>
      </c>
      <c r="AB889" s="7">
        <v>880</v>
      </c>
      <c r="AC889" s="109">
        <v>4847</v>
      </c>
      <c r="AD889" s="109">
        <v>54710623.722724512</v>
      </c>
      <c r="AE889" s="125"/>
      <c r="AF889" s="10"/>
      <c r="AI889" s="109"/>
      <c r="AJ889" s="109"/>
      <c r="AL889" s="10"/>
      <c r="AO889" s="109"/>
      <c r="AP889" s="109"/>
      <c r="AR889" s="10"/>
      <c r="AU889" s="109"/>
      <c r="AV889" s="109"/>
      <c r="AX889" s="10"/>
      <c r="BA889" s="109"/>
      <c r="BB889" s="109"/>
      <c r="BD889" s="10"/>
      <c r="BG889" s="109"/>
      <c r="BH889" s="109"/>
      <c r="BJ889" s="10"/>
      <c r="BM889" s="109"/>
      <c r="BN889" s="109"/>
      <c r="BP889" s="10"/>
      <c r="BS889" s="109"/>
      <c r="BT889" s="109"/>
      <c r="BV889" s="10"/>
      <c r="BY889" s="109"/>
      <c r="BZ889" s="109"/>
      <c r="CB889" s="10"/>
      <c r="CE889" s="109"/>
      <c r="CF889" s="109"/>
      <c r="CH889" s="10"/>
      <c r="CK889" s="109"/>
      <c r="CL889" s="109"/>
    </row>
    <row r="890" spans="1:90">
      <c r="A890" s="7" t="str">
        <f t="shared" si="131"/>
        <v>01770177</v>
      </c>
      <c r="B890" s="7" t="s">
        <v>2516</v>
      </c>
      <c r="C890" s="7" t="s">
        <v>2516</v>
      </c>
      <c r="D890" s="7">
        <v>881</v>
      </c>
      <c r="E890" s="7">
        <v>177</v>
      </c>
      <c r="F890" s="7" t="s">
        <v>1882</v>
      </c>
      <c r="G890" s="7">
        <v>177</v>
      </c>
      <c r="H890" s="7" t="s">
        <v>1443</v>
      </c>
      <c r="I890" s="37">
        <v>21801549.408149999</v>
      </c>
      <c r="J890" s="122">
        <v>0.94805551197714077</v>
      </c>
      <c r="K890" s="123">
        <f>X890</f>
        <v>22011641.938089047</v>
      </c>
      <c r="L890" s="122">
        <f>IF(K894&gt;0, K890/K894, 0)</f>
        <v>0.95103441982345671</v>
      </c>
      <c r="M890" s="71"/>
      <c r="N890" s="10">
        <f>ROUND(M894*L890,0)</f>
        <v>14975709</v>
      </c>
      <c r="O890" s="70">
        <v>14412519</v>
      </c>
      <c r="P890" s="10">
        <f>N890-O890</f>
        <v>563190</v>
      </c>
      <c r="Q890" s="46">
        <f t="shared" si="139"/>
        <v>3.9076444582657617</v>
      </c>
      <c r="R890" s="10">
        <v>2290</v>
      </c>
      <c r="S890" s="7">
        <f t="shared" si="132"/>
        <v>0</v>
      </c>
      <c r="T890" s="124">
        <f t="shared" si="133"/>
        <v>177</v>
      </c>
      <c r="U890" s="124">
        <f t="shared" si="134"/>
        <v>177</v>
      </c>
      <c r="V890" s="124">
        <f t="shared" si="135"/>
        <v>881</v>
      </c>
      <c r="W890" s="124">
        <f t="shared" si="136"/>
        <v>2248</v>
      </c>
      <c r="X890" s="124">
        <f t="shared" si="137"/>
        <v>22011641.938089047</v>
      </c>
      <c r="Y890" s="264">
        <f t="shared" si="138"/>
        <v>881</v>
      </c>
      <c r="Z890" s="10">
        <v>177</v>
      </c>
      <c r="AA890" s="7">
        <v>177</v>
      </c>
      <c r="AB890" s="7">
        <v>881</v>
      </c>
      <c r="AC890" s="109">
        <v>2248</v>
      </c>
      <c r="AD890" s="109">
        <v>22011641.938089047</v>
      </c>
      <c r="AE890" s="125"/>
      <c r="AF890" s="10"/>
      <c r="AI890" s="109"/>
      <c r="AJ890" s="109"/>
      <c r="AL890" s="10"/>
      <c r="AO890" s="109"/>
      <c r="AP890" s="109"/>
      <c r="AR890" s="10"/>
      <c r="AU890" s="109"/>
      <c r="AV890" s="109"/>
      <c r="AX890" s="10"/>
      <c r="BA890" s="109"/>
      <c r="BB890" s="109"/>
      <c r="BD890" s="10"/>
      <c r="BG890" s="109"/>
      <c r="BH890" s="109"/>
      <c r="BJ890" s="10"/>
      <c r="BM890" s="109"/>
      <c r="BN890" s="109"/>
      <c r="BP890" s="10"/>
      <c r="BS890" s="109"/>
      <c r="BT890" s="109"/>
      <c r="BV890" s="10"/>
      <c r="BY890" s="109"/>
      <c r="BZ890" s="109"/>
      <c r="CB890" s="10"/>
      <c r="CE890" s="109"/>
      <c r="CF890" s="109"/>
      <c r="CH890" s="10"/>
      <c r="CK890" s="109"/>
      <c r="CL890" s="109"/>
    </row>
    <row r="891" spans="1:90">
      <c r="A891" s="7" t="str">
        <f t="shared" si="131"/>
        <v>01770878</v>
      </c>
      <c r="B891" s="7" t="s">
        <v>2516</v>
      </c>
      <c r="C891" s="7" t="s">
        <v>2775</v>
      </c>
      <c r="D891" s="7">
        <v>882</v>
      </c>
      <c r="E891" s="7">
        <v>177</v>
      </c>
      <c r="F891" s="7" t="s">
        <v>1882</v>
      </c>
      <c r="G891" s="7">
        <v>878</v>
      </c>
      <c r="H891" s="7" t="s">
        <v>1702</v>
      </c>
      <c r="I891" s="37">
        <v>1081558</v>
      </c>
      <c r="J891" s="122">
        <v>4.7032300513451544E-2</v>
      </c>
      <c r="K891" s="123">
        <f t="shared" si="140"/>
        <v>1017999.7124185996</v>
      </c>
      <c r="L891" s="122">
        <f>IF(K894&gt;0, K891/K894, 0)</f>
        <v>4.3983668669676693E-2</v>
      </c>
      <c r="M891" s="71"/>
      <c r="N891" s="10">
        <f>ROUND(M894*L891,0)</f>
        <v>692600</v>
      </c>
      <c r="O891" s="70">
        <v>714994</v>
      </c>
      <c r="P891" s="10">
        <f>N891-O891</f>
        <v>-22394</v>
      </c>
      <c r="Q891" s="46">
        <f t="shared" si="139"/>
        <v>-3.1320542550007411</v>
      </c>
      <c r="R891" s="10">
        <v>68</v>
      </c>
      <c r="S891" s="7">
        <f t="shared" si="132"/>
        <v>0</v>
      </c>
      <c r="T891" s="124">
        <f t="shared" si="133"/>
        <v>177</v>
      </c>
      <c r="U891" s="124">
        <f t="shared" si="134"/>
        <v>878</v>
      </c>
      <c r="V891" s="124">
        <f t="shared" si="135"/>
        <v>882</v>
      </c>
      <c r="W891" s="124">
        <f t="shared" si="136"/>
        <v>62.000000001450005</v>
      </c>
      <c r="X891" s="124">
        <f t="shared" si="137"/>
        <v>1017999.7124185996</v>
      </c>
      <c r="Y891" s="264">
        <f t="shared" si="138"/>
        <v>882</v>
      </c>
      <c r="Z891" s="10">
        <v>177</v>
      </c>
      <c r="AA891" s="7">
        <v>878</v>
      </c>
      <c r="AB891" s="7">
        <v>882</v>
      </c>
      <c r="AC891" s="109">
        <v>62.000000001450005</v>
      </c>
      <c r="AD891" s="109">
        <v>1017999.7124185996</v>
      </c>
      <c r="AE891" s="125"/>
      <c r="AF891" s="10"/>
      <c r="AI891" s="109"/>
      <c r="AJ891" s="109"/>
      <c r="AL891" s="10"/>
      <c r="AO891" s="109"/>
      <c r="AP891" s="109"/>
      <c r="AR891" s="10"/>
      <c r="AU891" s="109"/>
      <c r="AV891" s="109"/>
      <c r="AX891" s="10"/>
      <c r="BA891" s="109"/>
      <c r="BB891" s="109"/>
      <c r="BD891" s="10"/>
      <c r="BG891" s="109"/>
      <c r="BH891" s="109"/>
      <c r="BJ891" s="10"/>
      <c r="BM891" s="109"/>
      <c r="BN891" s="109"/>
      <c r="BP891" s="10"/>
      <c r="BS891" s="109"/>
      <c r="BT891" s="109"/>
      <c r="BV891" s="10"/>
      <c r="BY891" s="109"/>
      <c r="BZ891" s="109"/>
      <c r="CB891" s="10"/>
      <c r="CE891" s="109"/>
      <c r="CF891" s="109"/>
      <c r="CH891" s="10"/>
      <c r="CK891" s="109"/>
      <c r="CL891" s="109"/>
    </row>
    <row r="892" spans="1:90">
      <c r="A892" s="7" t="str">
        <f t="shared" si="131"/>
        <v>01770915</v>
      </c>
      <c r="B892" s="7" t="s">
        <v>2516</v>
      </c>
      <c r="C892" s="7" t="s">
        <v>2779</v>
      </c>
      <c r="D892" s="7">
        <v>883</v>
      </c>
      <c r="E892" s="7">
        <v>177</v>
      </c>
      <c r="F892" s="7" t="s">
        <v>1882</v>
      </c>
      <c r="G892" s="7">
        <v>915</v>
      </c>
      <c r="H892" s="7" t="s">
        <v>1706</v>
      </c>
      <c r="I892" s="37">
        <v>112961</v>
      </c>
      <c r="J892" s="122">
        <v>4.9121875094077245E-3</v>
      </c>
      <c r="K892" s="123">
        <f t="shared" si="140"/>
        <v>115306.0814315711</v>
      </c>
      <c r="L892" s="122">
        <f>IF(K894&gt;0, K892/K894, 0)</f>
        <v>4.9819115068664745E-3</v>
      </c>
      <c r="M892" s="71"/>
      <c r="N892" s="10">
        <f>ROUND(M894*L892,0)</f>
        <v>78449</v>
      </c>
      <c r="O892" s="70">
        <v>74676</v>
      </c>
      <c r="P892" s="10">
        <f>N892-O892</f>
        <v>3773</v>
      </c>
      <c r="Q892" s="46">
        <f t="shared" si="139"/>
        <v>5.0524934383202096</v>
      </c>
      <c r="R892" s="10">
        <v>7</v>
      </c>
      <c r="S892" s="7">
        <f t="shared" si="132"/>
        <v>0</v>
      </c>
      <c r="T892" s="124">
        <f t="shared" si="133"/>
        <v>177</v>
      </c>
      <c r="U892" s="124">
        <f t="shared" si="134"/>
        <v>915</v>
      </c>
      <c r="V892" s="124">
        <f t="shared" si="135"/>
        <v>883</v>
      </c>
      <c r="W892" s="124">
        <f t="shared" si="136"/>
        <v>6.9999999986699999</v>
      </c>
      <c r="X892" s="124">
        <f t="shared" si="137"/>
        <v>115306.0814315711</v>
      </c>
      <c r="Y892" s="264">
        <f t="shared" si="138"/>
        <v>883</v>
      </c>
      <c r="Z892" s="10">
        <v>177</v>
      </c>
      <c r="AA892" s="7">
        <v>915</v>
      </c>
      <c r="AB892" s="7">
        <v>883</v>
      </c>
      <c r="AC892" s="109">
        <v>6.9999999986699999</v>
      </c>
      <c r="AD892" s="109">
        <v>115306.0814315711</v>
      </c>
      <c r="AE892" s="125"/>
      <c r="AF892" s="10"/>
      <c r="AI892" s="109"/>
      <c r="AJ892" s="109"/>
      <c r="AL892" s="10"/>
      <c r="AO892" s="109"/>
      <c r="AP892" s="109"/>
      <c r="AR892" s="10"/>
      <c r="AU892" s="109"/>
      <c r="AV892" s="109"/>
      <c r="AX892" s="10"/>
      <c r="BA892" s="109"/>
      <c r="BB892" s="109"/>
      <c r="BD892" s="10"/>
      <c r="BG892" s="109"/>
      <c r="BH892" s="109"/>
      <c r="BJ892" s="10"/>
      <c r="BM892" s="109"/>
      <c r="BN892" s="109"/>
      <c r="BP892" s="10"/>
      <c r="BS892" s="109"/>
      <c r="BT892" s="109"/>
      <c r="BV892" s="10"/>
      <c r="BY892" s="109"/>
      <c r="BZ892" s="109"/>
      <c r="CB892" s="10"/>
      <c r="CE892" s="109"/>
      <c r="CF892" s="109"/>
      <c r="CH892" s="10"/>
      <c r="CK892" s="109"/>
      <c r="CL892" s="109"/>
    </row>
    <row r="893" spans="1:90">
      <c r="A893" s="7" t="str">
        <f t="shared" si="131"/>
        <v>01770998</v>
      </c>
      <c r="B893" s="7" t="s">
        <v>2516</v>
      </c>
      <c r="C893" s="7" t="s">
        <v>2781</v>
      </c>
      <c r="D893" s="7">
        <v>884</v>
      </c>
      <c r="E893" s="7">
        <v>177</v>
      </c>
      <c r="F893" s="7" t="s">
        <v>2135</v>
      </c>
      <c r="G893" s="7">
        <v>998</v>
      </c>
      <c r="H893" s="7" t="s">
        <v>2135</v>
      </c>
      <c r="I893" s="37">
        <v>0</v>
      </c>
      <c r="J893" s="122">
        <v>0</v>
      </c>
      <c r="K893" s="123">
        <f t="shared" si="140"/>
        <v>0</v>
      </c>
      <c r="L893" s="122">
        <f>IF(K894&gt;0, K893/K894, 0)</f>
        <v>0</v>
      </c>
      <c r="M893" s="71"/>
      <c r="N893" s="10">
        <f>ROUND(M894*L893,0)</f>
        <v>0</v>
      </c>
      <c r="O893" s="70">
        <v>0</v>
      </c>
      <c r="P893" s="10">
        <f>N893-O893</f>
        <v>0</v>
      </c>
      <c r="Q893" s="46">
        <f t="shared" si="139"/>
        <v>0</v>
      </c>
      <c r="R893" s="10">
        <v>0</v>
      </c>
      <c r="S893" s="7">
        <f t="shared" si="132"/>
        <v>0</v>
      </c>
      <c r="T893" s="124">
        <f t="shared" si="133"/>
        <v>177</v>
      </c>
      <c r="U893" s="124">
        <f t="shared" si="134"/>
        <v>998</v>
      </c>
      <c r="V893" s="124">
        <f t="shared" si="135"/>
        <v>884</v>
      </c>
      <c r="W893" s="124">
        <f t="shared" si="136"/>
        <v>0</v>
      </c>
      <c r="X893" s="124">
        <f t="shared" si="137"/>
        <v>0</v>
      </c>
      <c r="Y893" s="264">
        <f t="shared" si="138"/>
        <v>884</v>
      </c>
      <c r="Z893" s="10">
        <v>177</v>
      </c>
      <c r="AA893" s="7">
        <v>998</v>
      </c>
      <c r="AB893" s="7">
        <v>884</v>
      </c>
      <c r="AC893" s="109">
        <v>0</v>
      </c>
      <c r="AD893" s="109">
        <v>0</v>
      </c>
      <c r="AE893" s="125"/>
      <c r="AF893" s="10"/>
      <c r="AI893" s="109"/>
      <c r="AJ893" s="109"/>
      <c r="AL893" s="10"/>
      <c r="AO893" s="109"/>
      <c r="AP893" s="109"/>
      <c r="AR893" s="10"/>
      <c r="AU893" s="109"/>
      <c r="AV893" s="109"/>
      <c r="AX893" s="10"/>
      <c r="BA893" s="109"/>
      <c r="BB893" s="109"/>
      <c r="BD893" s="10"/>
      <c r="BG893" s="109"/>
      <c r="BH893" s="109"/>
      <c r="BJ893" s="10"/>
      <c r="BM893" s="109"/>
      <c r="BN893" s="109"/>
      <c r="BP893" s="10"/>
      <c r="BS893" s="109"/>
      <c r="BT893" s="109"/>
      <c r="BV893" s="10"/>
      <c r="BY893" s="109"/>
      <c r="BZ893" s="109"/>
      <c r="CB893" s="10"/>
      <c r="CE893" s="109"/>
      <c r="CF893" s="109"/>
      <c r="CH893" s="10"/>
      <c r="CK893" s="109"/>
      <c r="CL893" s="109"/>
    </row>
    <row r="894" spans="1:90">
      <c r="A894" s="7" t="str">
        <f t="shared" si="131"/>
        <v>01770999</v>
      </c>
      <c r="B894" s="7" t="s">
        <v>2516</v>
      </c>
      <c r="C894" s="7" t="s">
        <v>2782</v>
      </c>
      <c r="D894" s="7">
        <v>885</v>
      </c>
      <c r="E894" s="11">
        <v>177</v>
      </c>
      <c r="F894" s="11" t="s">
        <v>1882</v>
      </c>
      <c r="G894" s="11">
        <v>999</v>
      </c>
      <c r="H894" s="11" t="s">
        <v>1132</v>
      </c>
      <c r="I894" s="105">
        <v>22996068.408149999</v>
      </c>
      <c r="J894" s="126">
        <v>1</v>
      </c>
      <c r="K894" s="127">
        <f>SUM(K890:K893)</f>
        <v>23144947.731939219</v>
      </c>
      <c r="L894" s="126">
        <f>SUM(L890:L893)</f>
        <v>0.99999999999999989</v>
      </c>
      <c r="M894" s="105">
        <f>VLOOKUP(E894,town351,22)</f>
        <v>15746758</v>
      </c>
      <c r="N894" s="105">
        <f>SUM(N890:N893)</f>
        <v>15746758</v>
      </c>
      <c r="O894" s="128">
        <v>15202189</v>
      </c>
      <c r="P894" s="105">
        <f>SUM(P890:P893)</f>
        <v>544569</v>
      </c>
      <c r="Q894" s="45">
        <f t="shared" si="139"/>
        <v>3.5821749091528856</v>
      </c>
      <c r="R894" s="105">
        <v>2365</v>
      </c>
      <c r="S894" s="7">
        <f t="shared" si="132"/>
        <v>0</v>
      </c>
      <c r="T894" s="124">
        <f t="shared" si="133"/>
        <v>177</v>
      </c>
      <c r="U894" s="124">
        <f t="shared" si="134"/>
        <v>999</v>
      </c>
      <c r="V894" s="124">
        <f t="shared" si="135"/>
        <v>885</v>
      </c>
      <c r="W894" s="124">
        <f t="shared" si="136"/>
        <v>2317.0000000001201</v>
      </c>
      <c r="X894" s="124">
        <f t="shared" si="137"/>
        <v>23144947.731939219</v>
      </c>
      <c r="Y894" s="264">
        <f t="shared" si="138"/>
        <v>885</v>
      </c>
      <c r="Z894" s="10">
        <v>177</v>
      </c>
      <c r="AA894" s="7">
        <v>999</v>
      </c>
      <c r="AB894" s="7">
        <v>885</v>
      </c>
      <c r="AC894" s="109">
        <v>2317.0000000001201</v>
      </c>
      <c r="AD894" s="109">
        <v>23144947.731939219</v>
      </c>
      <c r="AE894" s="125"/>
      <c r="AF894" s="10"/>
      <c r="AI894" s="109"/>
      <c r="AJ894" s="109"/>
      <c r="AL894" s="10"/>
      <c r="AO894" s="109"/>
      <c r="AP894" s="109"/>
      <c r="AR894" s="10"/>
      <c r="AU894" s="109"/>
      <c r="AV894" s="109"/>
      <c r="AX894" s="10"/>
      <c r="BA894" s="109"/>
      <c r="BB894" s="109"/>
      <c r="BD894" s="10"/>
      <c r="BG894" s="109"/>
      <c r="BH894" s="109"/>
      <c r="BJ894" s="10"/>
      <c r="BM894" s="109"/>
      <c r="BN894" s="109"/>
      <c r="BP894" s="10"/>
      <c r="BS894" s="109"/>
      <c r="BT894" s="109"/>
      <c r="BV894" s="10"/>
      <c r="BY894" s="109"/>
      <c r="BZ894" s="109"/>
      <c r="CB894" s="10"/>
      <c r="CE894" s="109"/>
      <c r="CF894" s="109"/>
      <c r="CH894" s="10"/>
      <c r="CK894" s="109"/>
      <c r="CL894" s="109"/>
    </row>
    <row r="895" spans="1:90">
      <c r="A895" s="7" t="str">
        <f t="shared" si="131"/>
        <v>01780178</v>
      </c>
      <c r="B895" s="7" t="s">
        <v>2517</v>
      </c>
      <c r="C895" s="7" t="s">
        <v>2517</v>
      </c>
      <c r="D895" s="7">
        <v>886</v>
      </c>
      <c r="E895" s="7">
        <v>178</v>
      </c>
      <c r="F895" s="7" t="s">
        <v>1883</v>
      </c>
      <c r="G895" s="7">
        <v>178</v>
      </c>
      <c r="H895" s="7" t="s">
        <v>1444</v>
      </c>
      <c r="I895" s="37">
        <v>36017412.116479993</v>
      </c>
      <c r="J895" s="122">
        <v>0.97305978761236134</v>
      </c>
      <c r="K895" s="123">
        <f>X895</f>
        <v>37544107.266331017</v>
      </c>
      <c r="L895" s="122">
        <f>IF(K899&gt;0, K895/K899, 0)</f>
        <v>0.97792404479456263</v>
      </c>
      <c r="M895" s="71"/>
      <c r="N895" s="10">
        <f>ROUND(M899*L895,0)</f>
        <v>31014280</v>
      </c>
      <c r="O895" s="70">
        <v>29811821</v>
      </c>
      <c r="P895" s="10">
        <f>N895-O895</f>
        <v>1202459</v>
      </c>
      <c r="Q895" s="46">
        <f t="shared" si="139"/>
        <v>4.0334973163833236</v>
      </c>
      <c r="R895" s="10">
        <v>3736</v>
      </c>
      <c r="S895" s="7">
        <f t="shared" si="132"/>
        <v>0</v>
      </c>
      <c r="T895" s="124">
        <f t="shared" si="133"/>
        <v>178</v>
      </c>
      <c r="U895" s="124">
        <f t="shared" si="134"/>
        <v>178</v>
      </c>
      <c r="V895" s="124">
        <f t="shared" si="135"/>
        <v>886</v>
      </c>
      <c r="W895" s="124">
        <f t="shared" si="136"/>
        <v>3799</v>
      </c>
      <c r="X895" s="124">
        <f t="shared" si="137"/>
        <v>37544107.266331017</v>
      </c>
      <c r="Y895" s="264">
        <f t="shared" si="138"/>
        <v>886</v>
      </c>
      <c r="Z895" s="10">
        <v>178</v>
      </c>
      <c r="AA895" s="7">
        <v>178</v>
      </c>
      <c r="AB895" s="7">
        <v>886</v>
      </c>
      <c r="AC895" s="109">
        <v>3799</v>
      </c>
      <c r="AD895" s="109">
        <v>37544107.266331017</v>
      </c>
      <c r="AE895" s="125"/>
      <c r="AF895" s="10"/>
      <c r="AI895" s="109"/>
      <c r="AJ895" s="109"/>
      <c r="AL895" s="10"/>
      <c r="AO895" s="109"/>
      <c r="AP895" s="109"/>
      <c r="AR895" s="10"/>
      <c r="AU895" s="109"/>
      <c r="AV895" s="109"/>
      <c r="AX895" s="10"/>
      <c r="BA895" s="109"/>
      <c r="BB895" s="109"/>
      <c r="BD895" s="10"/>
      <c r="BG895" s="109"/>
      <c r="BH895" s="109"/>
      <c r="BJ895" s="10"/>
      <c r="BM895" s="109"/>
      <c r="BN895" s="109"/>
      <c r="BP895" s="10"/>
      <c r="BS895" s="109"/>
      <c r="BT895" s="109"/>
      <c r="BV895" s="10"/>
      <c r="BY895" s="109"/>
      <c r="BZ895" s="109"/>
      <c r="CB895" s="10"/>
      <c r="CE895" s="109"/>
      <c r="CF895" s="109"/>
      <c r="CH895" s="10"/>
      <c r="CK895" s="109"/>
      <c r="CL895" s="109"/>
    </row>
    <row r="896" spans="1:90">
      <c r="A896" s="7" t="str">
        <f t="shared" si="131"/>
        <v>01780853</v>
      </c>
      <c r="B896" s="7" t="s">
        <v>2517</v>
      </c>
      <c r="C896" s="7" t="s">
        <v>2768</v>
      </c>
      <c r="D896" s="7">
        <v>887</v>
      </c>
      <c r="E896" s="7">
        <v>178</v>
      </c>
      <c r="F896" s="7" t="s">
        <v>1883</v>
      </c>
      <c r="G896" s="7">
        <v>853</v>
      </c>
      <c r="H896" s="7" t="s">
        <v>1695</v>
      </c>
      <c r="I896" s="37">
        <v>997181</v>
      </c>
      <c r="J896" s="122">
        <v>2.6940212387638687E-2</v>
      </c>
      <c r="K896" s="123">
        <f t="shared" si="140"/>
        <v>847532.11116081383</v>
      </c>
      <c r="L896" s="122">
        <f>IF(K899&gt;0, K896/K899, 0)</f>
        <v>2.2075955205437335E-2</v>
      </c>
      <c r="M896" s="71"/>
      <c r="N896" s="10">
        <f>ROUND(M899*L896,0)</f>
        <v>700126</v>
      </c>
      <c r="O896" s="70">
        <v>825372</v>
      </c>
      <c r="P896" s="10">
        <f>N896-O896</f>
        <v>-125246</v>
      </c>
      <c r="Q896" s="46">
        <f t="shared" si="139"/>
        <v>-15.174491017383676</v>
      </c>
      <c r="R896" s="10">
        <v>60</v>
      </c>
      <c r="S896" s="7">
        <f t="shared" si="132"/>
        <v>0</v>
      </c>
      <c r="T896" s="124">
        <f t="shared" si="133"/>
        <v>178</v>
      </c>
      <c r="U896" s="124">
        <f t="shared" si="134"/>
        <v>853</v>
      </c>
      <c r="V896" s="124">
        <f t="shared" si="135"/>
        <v>887</v>
      </c>
      <c r="W896" s="124">
        <f t="shared" si="136"/>
        <v>49.999999998900002</v>
      </c>
      <c r="X896" s="124">
        <f t="shared" si="137"/>
        <v>847532.11116081383</v>
      </c>
      <c r="Y896" s="264">
        <f t="shared" si="138"/>
        <v>887</v>
      </c>
      <c r="Z896" s="10">
        <v>178</v>
      </c>
      <c r="AA896" s="7">
        <v>853</v>
      </c>
      <c r="AB896" s="7">
        <v>887</v>
      </c>
      <c r="AC896" s="109">
        <v>49.999999998900002</v>
      </c>
      <c r="AD896" s="109">
        <v>847532.11116081383</v>
      </c>
      <c r="AE896" s="125"/>
      <c r="AF896" s="10"/>
      <c r="AI896" s="109"/>
      <c r="AJ896" s="109"/>
      <c r="AL896" s="10"/>
      <c r="AO896" s="109"/>
      <c r="AP896" s="109"/>
      <c r="AR896" s="10"/>
      <c r="AU896" s="109"/>
      <c r="AV896" s="109"/>
      <c r="AX896" s="10"/>
      <c r="BA896" s="109"/>
      <c r="BB896" s="109"/>
      <c r="BD896" s="10"/>
      <c r="BG896" s="109"/>
      <c r="BH896" s="109"/>
      <c r="BJ896" s="10"/>
      <c r="BM896" s="109"/>
      <c r="BN896" s="109"/>
      <c r="BP896" s="10"/>
      <c r="BS896" s="109"/>
      <c r="BT896" s="109"/>
      <c r="BV896" s="10"/>
      <c r="BY896" s="109"/>
      <c r="BZ896" s="109"/>
      <c r="CB896" s="10"/>
      <c r="CE896" s="109"/>
      <c r="CF896" s="109"/>
      <c r="CH896" s="10"/>
      <c r="CK896" s="109"/>
      <c r="CL896" s="109"/>
    </row>
    <row r="897" spans="1:90">
      <c r="A897" s="7" t="str">
        <f t="shared" si="131"/>
        <v>01780998</v>
      </c>
      <c r="B897" s="7" t="s">
        <v>2517</v>
      </c>
      <c r="C897" s="7" t="s">
        <v>2781</v>
      </c>
      <c r="D897" s="7">
        <v>888</v>
      </c>
      <c r="E897" s="7">
        <v>178</v>
      </c>
      <c r="F897" s="7" t="s">
        <v>2135</v>
      </c>
      <c r="G897" s="7">
        <v>998</v>
      </c>
      <c r="I897" s="129">
        <v>0</v>
      </c>
      <c r="J897" s="130">
        <v>0</v>
      </c>
      <c r="K897" s="123">
        <f t="shared" si="140"/>
        <v>0</v>
      </c>
      <c r="L897" s="122">
        <f>IF(K899&gt;0, K897/K899, 0)</f>
        <v>0</v>
      </c>
      <c r="M897" s="71"/>
      <c r="N897" s="10">
        <f>ROUND(M899*L897,0)</f>
        <v>0</v>
      </c>
      <c r="O897" s="70">
        <v>0</v>
      </c>
      <c r="P897" s="10">
        <f>N897-O897</f>
        <v>0</v>
      </c>
      <c r="Q897" s="46">
        <f t="shared" si="139"/>
        <v>0</v>
      </c>
      <c r="R897" s="10">
        <v>0</v>
      </c>
      <c r="S897" s="7">
        <f t="shared" si="132"/>
        <v>0</v>
      </c>
      <c r="T897" s="124">
        <f t="shared" si="133"/>
        <v>178</v>
      </c>
      <c r="U897" s="124">
        <f t="shared" si="134"/>
        <v>998</v>
      </c>
      <c r="V897" s="124">
        <f t="shared" si="135"/>
        <v>888</v>
      </c>
      <c r="W897" s="124">
        <f t="shared" si="136"/>
        <v>0</v>
      </c>
      <c r="X897" s="124">
        <f t="shared" si="137"/>
        <v>0</v>
      </c>
      <c r="Y897" s="264">
        <f t="shared" si="138"/>
        <v>888</v>
      </c>
      <c r="Z897" s="10">
        <v>178</v>
      </c>
      <c r="AA897" s="7">
        <v>998</v>
      </c>
      <c r="AB897" s="7">
        <v>888</v>
      </c>
      <c r="AC897" s="109">
        <v>0</v>
      </c>
      <c r="AD897" s="109">
        <v>0</v>
      </c>
      <c r="AE897" s="125"/>
      <c r="AF897" s="10"/>
      <c r="AI897" s="109"/>
      <c r="AJ897" s="109"/>
      <c r="AL897" s="10"/>
      <c r="AO897" s="109"/>
      <c r="AP897" s="109"/>
      <c r="AR897" s="10"/>
      <c r="AU897" s="109"/>
      <c r="AV897" s="109"/>
      <c r="AX897" s="10"/>
      <c r="BA897" s="109"/>
      <c r="BB897" s="109"/>
      <c r="BD897" s="10"/>
      <c r="BG897" s="109"/>
      <c r="BH897" s="109"/>
      <c r="BJ897" s="10"/>
      <c r="BM897" s="109"/>
      <c r="BN897" s="109"/>
      <c r="BP897" s="10"/>
      <c r="BS897" s="109"/>
      <c r="BT897" s="109"/>
      <c r="BV897" s="10"/>
      <c r="BY897" s="109"/>
      <c r="BZ897" s="109"/>
      <c r="CB897" s="10"/>
      <c r="CE897" s="109"/>
      <c r="CF897" s="109"/>
      <c r="CH897" s="10"/>
      <c r="CK897" s="109"/>
      <c r="CL897" s="109"/>
    </row>
    <row r="898" spans="1:90">
      <c r="A898" s="7" t="str">
        <f t="shared" si="131"/>
        <v>01780998</v>
      </c>
      <c r="B898" s="7" t="s">
        <v>2517</v>
      </c>
      <c r="C898" s="7" t="s">
        <v>2781</v>
      </c>
      <c r="D898" s="7">
        <v>889</v>
      </c>
      <c r="E898" s="7">
        <v>178</v>
      </c>
      <c r="F898" s="7" t="s">
        <v>2135</v>
      </c>
      <c r="G898" s="7">
        <v>998</v>
      </c>
      <c r="H898" s="7" t="s">
        <v>2135</v>
      </c>
      <c r="I898" s="37">
        <v>0</v>
      </c>
      <c r="J898" s="122">
        <v>0</v>
      </c>
      <c r="K898" s="123">
        <f t="shared" si="140"/>
        <v>0</v>
      </c>
      <c r="L898" s="122">
        <f>IF(K899&gt;0, K898/K899, 0)</f>
        <v>0</v>
      </c>
      <c r="M898" s="71"/>
      <c r="N898" s="10">
        <f>ROUND(M899*L898,0)</f>
        <v>0</v>
      </c>
      <c r="O898" s="70">
        <v>0</v>
      </c>
      <c r="P898" s="10">
        <f>N898-O898</f>
        <v>0</v>
      </c>
      <c r="Q898" s="46">
        <f t="shared" si="139"/>
        <v>0</v>
      </c>
      <c r="R898" s="10">
        <v>0</v>
      </c>
      <c r="S898" s="7">
        <f t="shared" si="132"/>
        <v>0</v>
      </c>
      <c r="T898" s="124">
        <f t="shared" si="133"/>
        <v>178</v>
      </c>
      <c r="U898" s="124">
        <f t="shared" si="134"/>
        <v>998</v>
      </c>
      <c r="V898" s="124">
        <f t="shared" si="135"/>
        <v>889</v>
      </c>
      <c r="W898" s="124">
        <f t="shared" si="136"/>
        <v>0</v>
      </c>
      <c r="X898" s="124">
        <f t="shared" si="137"/>
        <v>0</v>
      </c>
      <c r="Y898" s="264">
        <f t="shared" si="138"/>
        <v>889</v>
      </c>
      <c r="Z898" s="10">
        <v>178</v>
      </c>
      <c r="AA898" s="7">
        <v>998</v>
      </c>
      <c r="AB898" s="7">
        <v>889</v>
      </c>
      <c r="AC898" s="109">
        <v>0</v>
      </c>
      <c r="AD898" s="109">
        <v>0</v>
      </c>
      <c r="AE898" s="125"/>
      <c r="AF898" s="10"/>
      <c r="AI898" s="109"/>
      <c r="AJ898" s="109"/>
      <c r="AL898" s="10"/>
      <c r="AO898" s="109"/>
      <c r="AP898" s="109"/>
      <c r="AR898" s="10"/>
      <c r="AU898" s="109"/>
      <c r="AV898" s="109"/>
      <c r="AX898" s="10"/>
      <c r="BA898" s="109"/>
      <c r="BB898" s="109"/>
      <c r="BD898" s="10"/>
      <c r="BG898" s="109"/>
      <c r="BH898" s="109"/>
      <c r="BJ898" s="10"/>
      <c r="BM898" s="109"/>
      <c r="BN898" s="109"/>
      <c r="BP898" s="10"/>
      <c r="BS898" s="109"/>
      <c r="BT898" s="109"/>
      <c r="BV898" s="10"/>
      <c r="BY898" s="109"/>
      <c r="BZ898" s="109"/>
      <c r="CB898" s="10"/>
      <c r="CE898" s="109"/>
      <c r="CF898" s="109"/>
      <c r="CH898" s="10"/>
      <c r="CK898" s="109"/>
      <c r="CL898" s="109"/>
    </row>
    <row r="899" spans="1:90">
      <c r="A899" s="7" t="str">
        <f t="shared" si="131"/>
        <v>01780999</v>
      </c>
      <c r="B899" s="7" t="s">
        <v>2517</v>
      </c>
      <c r="C899" s="7" t="s">
        <v>2782</v>
      </c>
      <c r="D899" s="7">
        <v>890</v>
      </c>
      <c r="E899" s="11">
        <v>178</v>
      </c>
      <c r="F899" s="11" t="s">
        <v>1883</v>
      </c>
      <c r="G899" s="11">
        <v>999</v>
      </c>
      <c r="H899" s="11" t="s">
        <v>1132</v>
      </c>
      <c r="I899" s="105">
        <v>37014593.116479993</v>
      </c>
      <c r="J899" s="126">
        <v>1</v>
      </c>
      <c r="K899" s="127">
        <f>SUM(K895:K898)</f>
        <v>38391639.377491832</v>
      </c>
      <c r="L899" s="126">
        <f>SUM(L895:L898)</f>
        <v>1</v>
      </c>
      <c r="M899" s="105">
        <f>VLOOKUP(E899,town351,22)</f>
        <v>31714406</v>
      </c>
      <c r="N899" s="105">
        <f>SUM(N895:N898)</f>
        <v>31714406</v>
      </c>
      <c r="O899" s="128">
        <v>30637193</v>
      </c>
      <c r="P899" s="105">
        <f>SUM(P895:P898)</f>
        <v>1077213</v>
      </c>
      <c r="Q899" s="45">
        <f t="shared" si="139"/>
        <v>3.5160303360689733</v>
      </c>
      <c r="R899" s="105">
        <v>3796</v>
      </c>
      <c r="S899" s="7">
        <f t="shared" si="132"/>
        <v>0</v>
      </c>
      <c r="T899" s="124">
        <f t="shared" si="133"/>
        <v>178</v>
      </c>
      <c r="U899" s="124">
        <f t="shared" si="134"/>
        <v>999</v>
      </c>
      <c r="V899" s="124">
        <f t="shared" si="135"/>
        <v>890</v>
      </c>
      <c r="W899" s="124">
        <f t="shared" si="136"/>
        <v>3848.9999999989</v>
      </c>
      <c r="X899" s="124">
        <f t="shared" si="137"/>
        <v>38391639.377491832</v>
      </c>
      <c r="Y899" s="264">
        <f t="shared" si="138"/>
        <v>890</v>
      </c>
      <c r="Z899" s="10">
        <v>178</v>
      </c>
      <c r="AA899" s="7">
        <v>999</v>
      </c>
      <c r="AB899" s="7">
        <v>890</v>
      </c>
      <c r="AC899" s="109">
        <v>3848.9999999989</v>
      </c>
      <c r="AD899" s="109">
        <v>38391639.377491832</v>
      </c>
      <c r="AE899" s="125"/>
      <c r="AF899" s="10"/>
      <c r="AI899" s="109"/>
      <c r="AJ899" s="109"/>
      <c r="AL899" s="10"/>
      <c r="AO899" s="109"/>
      <c r="AP899" s="109"/>
      <c r="AR899" s="10"/>
      <c r="AU899" s="109"/>
      <c r="AV899" s="109"/>
      <c r="AX899" s="10"/>
      <c r="BA899" s="109"/>
      <c r="BB899" s="109"/>
      <c r="BD899" s="10"/>
      <c r="BG899" s="109"/>
      <c r="BH899" s="109"/>
      <c r="BJ899" s="10"/>
      <c r="BM899" s="109"/>
      <c r="BN899" s="109"/>
      <c r="BP899" s="10"/>
      <c r="BS899" s="109"/>
      <c r="BT899" s="109"/>
      <c r="BV899" s="10"/>
      <c r="BY899" s="109"/>
      <c r="BZ899" s="109"/>
      <c r="CB899" s="10"/>
      <c r="CE899" s="109"/>
      <c r="CF899" s="109"/>
      <c r="CH899" s="10"/>
      <c r="CK899" s="109"/>
      <c r="CL899" s="109"/>
    </row>
    <row r="900" spans="1:90">
      <c r="A900" s="7" t="str">
        <f t="shared" si="131"/>
        <v>01790179</v>
      </c>
      <c r="B900" s="7" t="s">
        <v>2518</v>
      </c>
      <c r="C900" s="7" t="s">
        <v>2518</v>
      </c>
      <c r="D900" s="7">
        <v>891</v>
      </c>
      <c r="E900" s="7">
        <v>179</v>
      </c>
      <c r="F900" s="7" t="s">
        <v>1884</v>
      </c>
      <c r="G900" s="7">
        <v>179</v>
      </c>
      <c r="H900" s="7" t="s">
        <v>1445</v>
      </c>
      <c r="I900" s="37">
        <v>53506.747079999994</v>
      </c>
      <c r="J900" s="122">
        <v>5.1254767650093418E-3</v>
      </c>
      <c r="K900" s="123">
        <f>X900</f>
        <v>94454.384875126823</v>
      </c>
      <c r="L900" s="122">
        <f>IF(K904&gt;0, K900/K904, 0)</f>
        <v>9.1490118288499594E-3</v>
      </c>
      <c r="M900" s="71"/>
      <c r="N900" s="10">
        <f>ROUND(M904*L900,0)</f>
        <v>67071</v>
      </c>
      <c r="O900" s="70">
        <v>35758</v>
      </c>
      <c r="P900" s="10">
        <f>N900-O900</f>
        <v>31313</v>
      </c>
      <c r="Q900" s="46">
        <f t="shared" si="139"/>
        <v>87.569215280496678</v>
      </c>
      <c r="R900" s="10">
        <v>4</v>
      </c>
      <c r="S900" s="7">
        <f t="shared" si="132"/>
        <v>0</v>
      </c>
      <c r="T900" s="124">
        <f t="shared" si="133"/>
        <v>179</v>
      </c>
      <c r="U900" s="124">
        <f t="shared" si="134"/>
        <v>179</v>
      </c>
      <c r="V900" s="124">
        <f t="shared" si="135"/>
        <v>891</v>
      </c>
      <c r="W900" s="124">
        <f t="shared" si="136"/>
        <v>7</v>
      </c>
      <c r="X900" s="124">
        <f t="shared" si="137"/>
        <v>94454.384875126823</v>
      </c>
      <c r="Y900" s="264">
        <f t="shared" si="138"/>
        <v>891</v>
      </c>
      <c r="Z900" s="10">
        <v>179</v>
      </c>
      <c r="AA900" s="7">
        <v>179</v>
      </c>
      <c r="AB900" s="7">
        <v>891</v>
      </c>
      <c r="AC900" s="109">
        <v>7</v>
      </c>
      <c r="AD900" s="109">
        <v>94454.384875126823</v>
      </c>
      <c r="AE900" s="125"/>
      <c r="AF900" s="10"/>
      <c r="AI900" s="109"/>
      <c r="AJ900" s="109"/>
      <c r="AL900" s="10"/>
      <c r="AO900" s="109"/>
      <c r="AP900" s="109"/>
      <c r="AR900" s="10"/>
      <c r="AU900" s="109"/>
      <c r="AV900" s="109"/>
      <c r="AX900" s="10"/>
      <c r="BA900" s="109"/>
      <c r="BB900" s="109"/>
      <c r="BD900" s="10"/>
      <c r="BG900" s="109"/>
      <c r="BH900" s="109"/>
      <c r="BJ900" s="10"/>
      <c r="BM900" s="109"/>
      <c r="BN900" s="109"/>
      <c r="BP900" s="10"/>
      <c r="BS900" s="109"/>
      <c r="BT900" s="109"/>
      <c r="BV900" s="10"/>
      <c r="BY900" s="109"/>
      <c r="BZ900" s="109"/>
      <c r="CB900" s="10"/>
      <c r="CE900" s="109"/>
      <c r="CF900" s="109"/>
      <c r="CH900" s="10"/>
      <c r="CK900" s="109"/>
      <c r="CL900" s="109"/>
    </row>
    <row r="901" spans="1:90">
      <c r="A901" s="7" t="str">
        <f t="shared" si="131"/>
        <v>01790710</v>
      </c>
      <c r="B901" s="7" t="s">
        <v>2518</v>
      </c>
      <c r="C901" s="7" t="s">
        <v>2727</v>
      </c>
      <c r="D901" s="7">
        <v>892</v>
      </c>
      <c r="E901" s="7">
        <v>179</v>
      </c>
      <c r="F901" s="7" t="s">
        <v>1884</v>
      </c>
      <c r="G901" s="7">
        <v>710</v>
      </c>
      <c r="H901" s="7" t="s">
        <v>1654</v>
      </c>
      <c r="I901" s="37">
        <v>9196732</v>
      </c>
      <c r="J901" s="122">
        <v>0.8809662099163047</v>
      </c>
      <c r="K901" s="123">
        <f t="shared" si="140"/>
        <v>8915844.5501409452</v>
      </c>
      <c r="L901" s="122">
        <f>IF(K904&gt;0, K901/K904, 0)</f>
        <v>0.86360381639526751</v>
      </c>
      <c r="M901" s="71"/>
      <c r="N901" s="10">
        <f>ROUND(M904*L901,0)</f>
        <v>6331069</v>
      </c>
      <c r="O901" s="70">
        <v>6146129</v>
      </c>
      <c r="P901" s="10">
        <f>N901-O901</f>
        <v>184940</v>
      </c>
      <c r="Q901" s="46">
        <f t="shared" si="139"/>
        <v>3.0090484596076652</v>
      </c>
      <c r="R901" s="10">
        <v>994</v>
      </c>
      <c r="S901" s="7">
        <f t="shared" si="132"/>
        <v>0</v>
      </c>
      <c r="T901" s="124">
        <f t="shared" si="133"/>
        <v>179</v>
      </c>
      <c r="U901" s="124">
        <f t="shared" si="134"/>
        <v>710</v>
      </c>
      <c r="V901" s="124">
        <f t="shared" si="135"/>
        <v>892</v>
      </c>
      <c r="W901" s="124">
        <f t="shared" si="136"/>
        <v>945.52835407867997</v>
      </c>
      <c r="X901" s="124">
        <f t="shared" si="137"/>
        <v>8915844.5501409452</v>
      </c>
      <c r="Y901" s="264">
        <f t="shared" si="138"/>
        <v>892</v>
      </c>
      <c r="Z901" s="10">
        <v>179</v>
      </c>
      <c r="AA901" s="7">
        <v>710</v>
      </c>
      <c r="AB901" s="7">
        <v>892</v>
      </c>
      <c r="AC901" s="109">
        <v>945.52835407867997</v>
      </c>
      <c r="AD901" s="109">
        <v>8915844.5501409452</v>
      </c>
      <c r="AE901" s="125"/>
      <c r="AF901" s="10"/>
      <c r="AI901" s="109"/>
      <c r="AJ901" s="109"/>
      <c r="AL901" s="10"/>
      <c r="AO901" s="109"/>
      <c r="AP901" s="109"/>
      <c r="AR901" s="10"/>
      <c r="AU901" s="109"/>
      <c r="AV901" s="109"/>
      <c r="AX901" s="10"/>
      <c r="BA901" s="109"/>
      <c r="BB901" s="109"/>
      <c r="BD901" s="10"/>
      <c r="BG901" s="109"/>
      <c r="BH901" s="109"/>
      <c r="BJ901" s="10"/>
      <c r="BM901" s="109"/>
      <c r="BN901" s="109"/>
      <c r="BP901" s="10"/>
      <c r="BS901" s="109"/>
      <c r="BT901" s="109"/>
      <c r="BV901" s="10"/>
      <c r="BY901" s="109"/>
      <c r="BZ901" s="109"/>
      <c r="CB901" s="10"/>
      <c r="CE901" s="109"/>
      <c r="CF901" s="109"/>
      <c r="CH901" s="10"/>
      <c r="CK901" s="109"/>
      <c r="CL901" s="109"/>
    </row>
    <row r="902" spans="1:90">
      <c r="A902" s="7" t="str">
        <f t="shared" si="131"/>
        <v>01790805</v>
      </c>
      <c r="B902" s="7" t="s">
        <v>2518</v>
      </c>
      <c r="C902" s="7" t="s">
        <v>2753</v>
      </c>
      <c r="D902" s="7">
        <v>893</v>
      </c>
      <c r="E902" s="7">
        <v>179</v>
      </c>
      <c r="F902" s="7" t="s">
        <v>1884</v>
      </c>
      <c r="G902" s="7">
        <v>805</v>
      </c>
      <c r="H902" s="7" t="s">
        <v>1680</v>
      </c>
      <c r="I902" s="37">
        <v>1189131</v>
      </c>
      <c r="J902" s="122">
        <v>0.11390831331868595</v>
      </c>
      <c r="K902" s="123">
        <f t="shared" si="140"/>
        <v>1313699.617186022</v>
      </c>
      <c r="L902" s="122">
        <f>IF(K904&gt;0, K902/K904, 0)</f>
        <v>0.12724717177588249</v>
      </c>
      <c r="M902" s="71"/>
      <c r="N902" s="10">
        <f>ROUND(M904*L902,0)</f>
        <v>932847</v>
      </c>
      <c r="O902" s="70">
        <v>794690</v>
      </c>
      <c r="P902" s="10">
        <f>N902-O902</f>
        <v>138157</v>
      </c>
      <c r="Q902" s="46">
        <f t="shared" si="139"/>
        <v>17.385018057355698</v>
      </c>
      <c r="R902" s="10">
        <v>80</v>
      </c>
      <c r="S902" s="7">
        <f t="shared" si="132"/>
        <v>0</v>
      </c>
      <c r="T902" s="124">
        <f t="shared" si="133"/>
        <v>179</v>
      </c>
      <c r="U902" s="124">
        <f t="shared" si="134"/>
        <v>805</v>
      </c>
      <c r="V902" s="124">
        <f t="shared" si="135"/>
        <v>893</v>
      </c>
      <c r="W902" s="124">
        <f t="shared" si="136"/>
        <v>87.000000003959997</v>
      </c>
      <c r="X902" s="124">
        <f t="shared" si="137"/>
        <v>1313699.617186022</v>
      </c>
      <c r="Y902" s="264">
        <f t="shared" si="138"/>
        <v>893</v>
      </c>
      <c r="Z902" s="10">
        <v>179</v>
      </c>
      <c r="AA902" s="7">
        <v>805</v>
      </c>
      <c r="AB902" s="7">
        <v>893</v>
      </c>
      <c r="AC902" s="109">
        <v>87.000000003959997</v>
      </c>
      <c r="AD902" s="109">
        <v>1313699.617186022</v>
      </c>
      <c r="AE902" s="125"/>
      <c r="AF902" s="10"/>
      <c r="AI902" s="109"/>
      <c r="AJ902" s="109"/>
      <c r="AL902" s="10"/>
      <c r="AO902" s="109"/>
      <c r="AP902" s="109"/>
      <c r="AR902" s="10"/>
      <c r="AU902" s="109"/>
      <c r="AV902" s="109"/>
      <c r="AX902" s="10"/>
      <c r="BA902" s="109"/>
      <c r="BB902" s="109"/>
      <c r="BD902" s="10"/>
      <c r="BG902" s="109"/>
      <c r="BH902" s="109"/>
      <c r="BJ902" s="10"/>
      <c r="BM902" s="109"/>
      <c r="BN902" s="109"/>
      <c r="BP902" s="10"/>
      <c r="BS902" s="109"/>
      <c r="BT902" s="109"/>
      <c r="BV902" s="10"/>
      <c r="BY902" s="109"/>
      <c r="BZ902" s="109"/>
      <c r="CB902" s="10"/>
      <c r="CE902" s="109"/>
      <c r="CF902" s="109"/>
      <c r="CH902" s="10"/>
      <c r="CK902" s="109"/>
      <c r="CL902" s="109"/>
    </row>
    <row r="903" spans="1:90">
      <c r="A903" s="7" t="str">
        <f t="shared" si="131"/>
        <v>01790998</v>
      </c>
      <c r="B903" s="7" t="s">
        <v>2518</v>
      </c>
      <c r="C903" s="7" t="s">
        <v>2781</v>
      </c>
      <c r="D903" s="7">
        <v>894</v>
      </c>
      <c r="E903" s="7">
        <v>179</v>
      </c>
      <c r="F903" s="7" t="s">
        <v>2135</v>
      </c>
      <c r="G903" s="7">
        <v>998</v>
      </c>
      <c r="H903" s="7" t="s">
        <v>2135</v>
      </c>
      <c r="I903" s="37">
        <v>0</v>
      </c>
      <c r="J903" s="122">
        <v>0</v>
      </c>
      <c r="K903" s="123">
        <f t="shared" si="140"/>
        <v>0</v>
      </c>
      <c r="L903" s="122">
        <f>IF(K904&gt;0, K903/K904, 0)</f>
        <v>0</v>
      </c>
      <c r="M903" s="71"/>
      <c r="N903" s="10">
        <f>ROUND(M904*L903,0)</f>
        <v>0</v>
      </c>
      <c r="O903" s="70">
        <v>0</v>
      </c>
      <c r="P903" s="10">
        <f>N903-O903</f>
        <v>0</v>
      </c>
      <c r="Q903" s="46">
        <f t="shared" si="139"/>
        <v>0</v>
      </c>
      <c r="R903" s="10">
        <v>0</v>
      </c>
      <c r="S903" s="7">
        <f t="shared" si="132"/>
        <v>0</v>
      </c>
      <c r="T903" s="124">
        <f t="shared" si="133"/>
        <v>179</v>
      </c>
      <c r="U903" s="124">
        <f t="shared" si="134"/>
        <v>998</v>
      </c>
      <c r="V903" s="124">
        <f t="shared" si="135"/>
        <v>894</v>
      </c>
      <c r="W903" s="124">
        <f t="shared" si="136"/>
        <v>0</v>
      </c>
      <c r="X903" s="124">
        <f t="shared" si="137"/>
        <v>0</v>
      </c>
      <c r="Y903" s="264">
        <f t="shared" si="138"/>
        <v>894</v>
      </c>
      <c r="Z903" s="10">
        <v>179</v>
      </c>
      <c r="AA903" s="7">
        <v>998</v>
      </c>
      <c r="AB903" s="7">
        <v>894</v>
      </c>
      <c r="AC903" s="109">
        <v>0</v>
      </c>
      <c r="AD903" s="109">
        <v>0</v>
      </c>
      <c r="AE903" s="125"/>
      <c r="AF903" s="10"/>
      <c r="AI903" s="109"/>
      <c r="AJ903" s="109"/>
      <c r="AL903" s="10"/>
      <c r="AO903" s="109"/>
      <c r="AP903" s="109"/>
      <c r="AR903" s="10"/>
      <c r="AU903" s="109"/>
      <c r="AV903" s="109"/>
      <c r="AX903" s="10"/>
      <c r="BA903" s="109"/>
      <c r="BB903" s="109"/>
      <c r="BD903" s="10"/>
      <c r="BG903" s="109"/>
      <c r="BH903" s="109"/>
      <c r="BJ903" s="10"/>
      <c r="BM903" s="109"/>
      <c r="BN903" s="109"/>
      <c r="BP903" s="10"/>
      <c r="BS903" s="109"/>
      <c r="BT903" s="109"/>
      <c r="BV903" s="10"/>
      <c r="BY903" s="109"/>
      <c r="BZ903" s="109"/>
      <c r="CB903" s="10"/>
      <c r="CE903" s="109"/>
      <c r="CF903" s="109"/>
      <c r="CH903" s="10"/>
      <c r="CK903" s="109"/>
      <c r="CL903" s="109"/>
    </row>
    <row r="904" spans="1:90">
      <c r="A904" s="7" t="str">
        <f t="shared" si="131"/>
        <v>01790999</v>
      </c>
      <c r="B904" s="7" t="s">
        <v>2518</v>
      </c>
      <c r="C904" s="7" t="s">
        <v>2782</v>
      </c>
      <c r="D904" s="7">
        <v>895</v>
      </c>
      <c r="E904" s="11">
        <v>179</v>
      </c>
      <c r="F904" s="11" t="s">
        <v>1884</v>
      </c>
      <c r="G904" s="11">
        <v>999</v>
      </c>
      <c r="H904" s="11" t="s">
        <v>1132</v>
      </c>
      <c r="I904" s="105">
        <v>10439369.74708</v>
      </c>
      <c r="J904" s="126">
        <v>1</v>
      </c>
      <c r="K904" s="127">
        <f>SUM(K900:K903)</f>
        <v>10323998.552202094</v>
      </c>
      <c r="L904" s="126">
        <f>SUM(L900:L903)</f>
        <v>1</v>
      </c>
      <c r="M904" s="105">
        <f>VLOOKUP(E904,town351,22)</f>
        <v>7330988</v>
      </c>
      <c r="N904" s="105">
        <f>SUM(N900:N903)</f>
        <v>7330987</v>
      </c>
      <c r="O904" s="128">
        <v>6976577</v>
      </c>
      <c r="P904" s="105">
        <f>SUM(P900:P903)</f>
        <v>354410</v>
      </c>
      <c r="Q904" s="45">
        <f t="shared" si="139"/>
        <v>5.0799984003616672</v>
      </c>
      <c r="R904" s="105">
        <v>1078</v>
      </c>
      <c r="S904" s="7">
        <f t="shared" si="132"/>
        <v>0</v>
      </c>
      <c r="T904" s="124">
        <f t="shared" si="133"/>
        <v>179</v>
      </c>
      <c r="U904" s="124">
        <f t="shared" si="134"/>
        <v>999</v>
      </c>
      <c r="V904" s="124">
        <f t="shared" si="135"/>
        <v>895</v>
      </c>
      <c r="W904" s="124">
        <f t="shared" si="136"/>
        <v>1039.5283540826399</v>
      </c>
      <c r="X904" s="124">
        <f t="shared" si="137"/>
        <v>10323998.552202094</v>
      </c>
      <c r="Y904" s="264">
        <f t="shared" si="138"/>
        <v>895</v>
      </c>
      <c r="Z904" s="10">
        <v>179</v>
      </c>
      <c r="AA904" s="7">
        <v>999</v>
      </c>
      <c r="AB904" s="7">
        <v>895</v>
      </c>
      <c r="AC904" s="109">
        <v>1039.5283540826399</v>
      </c>
      <c r="AD904" s="109">
        <v>10323998.552202094</v>
      </c>
      <c r="AE904" s="125"/>
      <c r="AF904" s="10"/>
      <c r="AI904" s="109"/>
      <c r="AJ904" s="109"/>
      <c r="AL904" s="10"/>
      <c r="AO904" s="109"/>
      <c r="AP904" s="109"/>
      <c r="AR904" s="10"/>
      <c r="AU904" s="109"/>
      <c r="AV904" s="109"/>
      <c r="AX904" s="10"/>
      <c r="BA904" s="109"/>
      <c r="BB904" s="109"/>
      <c r="BD904" s="10"/>
      <c r="BG904" s="109"/>
      <c r="BH904" s="109"/>
      <c r="BJ904" s="10"/>
      <c r="BM904" s="109"/>
      <c r="BN904" s="109"/>
      <c r="BP904" s="10"/>
      <c r="BS904" s="109"/>
      <c r="BT904" s="109"/>
      <c r="BV904" s="10"/>
      <c r="BY904" s="109"/>
      <c r="BZ904" s="109"/>
      <c r="CB904" s="10"/>
      <c r="CE904" s="109"/>
      <c r="CF904" s="109"/>
      <c r="CH904" s="10"/>
      <c r="CK904" s="109"/>
      <c r="CL904" s="109"/>
    </row>
    <row r="905" spans="1:90">
      <c r="A905" s="7" t="str">
        <f t="shared" si="131"/>
        <v>01800180</v>
      </c>
      <c r="B905" s="7" t="s">
        <v>2519</v>
      </c>
      <c r="C905" s="7" t="s">
        <v>2519</v>
      </c>
      <c r="D905" s="7">
        <v>896</v>
      </c>
      <c r="E905" s="7">
        <v>180</v>
      </c>
      <c r="F905" s="7" t="s">
        <v>1885</v>
      </c>
      <c r="G905" s="7">
        <v>180</v>
      </c>
      <c r="H905" s="7" t="s">
        <v>1446</v>
      </c>
      <c r="I905" s="37">
        <v>52683.680000000008</v>
      </c>
      <c r="J905" s="122">
        <v>5.7497141266767901E-3</v>
      </c>
      <c r="K905" s="123">
        <f>X905</f>
        <v>80501.000061537285</v>
      </c>
      <c r="L905" s="122">
        <f>IF(K909&gt;0, K905/K909, 0)</f>
        <v>8.7434190379987835E-3</v>
      </c>
      <c r="M905" s="71"/>
      <c r="N905" s="10">
        <f>ROUND(M909*L905,0)</f>
        <v>51057</v>
      </c>
      <c r="O905" s="70">
        <v>33389</v>
      </c>
      <c r="P905" s="10">
        <f>N905-O905</f>
        <v>17668</v>
      </c>
      <c r="Q905" s="46">
        <f t="shared" si="139"/>
        <v>52.915630896403009</v>
      </c>
      <c r="R905" s="10">
        <v>4</v>
      </c>
      <c r="S905" s="7">
        <f t="shared" si="132"/>
        <v>0</v>
      </c>
      <c r="T905" s="124">
        <f t="shared" si="133"/>
        <v>180</v>
      </c>
      <c r="U905" s="124">
        <f t="shared" si="134"/>
        <v>180</v>
      </c>
      <c r="V905" s="124">
        <f t="shared" si="135"/>
        <v>896</v>
      </c>
      <c r="W905" s="124">
        <f t="shared" si="136"/>
        <v>6</v>
      </c>
      <c r="X905" s="124">
        <f t="shared" si="137"/>
        <v>80501.000061537285</v>
      </c>
      <c r="Y905" s="264">
        <f t="shared" si="138"/>
        <v>896</v>
      </c>
      <c r="Z905" s="10">
        <v>180</v>
      </c>
      <c r="AA905" s="7">
        <v>180</v>
      </c>
      <c r="AB905" s="7">
        <v>896</v>
      </c>
      <c r="AC905" s="109">
        <v>6</v>
      </c>
      <c r="AD905" s="109">
        <v>80501.000061537285</v>
      </c>
      <c r="AE905" s="125"/>
      <c r="AF905" s="10"/>
      <c r="AI905" s="109"/>
      <c r="AJ905" s="109"/>
      <c r="AL905" s="10"/>
      <c r="AO905" s="109"/>
      <c r="AP905" s="109"/>
      <c r="AR905" s="10"/>
      <c r="AU905" s="109"/>
      <c r="AV905" s="109"/>
      <c r="AX905" s="10"/>
      <c r="BA905" s="109"/>
      <c r="BB905" s="109"/>
      <c r="BD905" s="10"/>
      <c r="BG905" s="109"/>
      <c r="BH905" s="109"/>
      <c r="BJ905" s="10"/>
      <c r="BM905" s="109"/>
      <c r="BN905" s="109"/>
      <c r="BP905" s="10"/>
      <c r="BS905" s="109"/>
      <c r="BT905" s="109"/>
      <c r="BV905" s="10"/>
      <c r="BY905" s="109"/>
      <c r="BZ905" s="109"/>
      <c r="CB905" s="10"/>
      <c r="CE905" s="109"/>
      <c r="CF905" s="109"/>
      <c r="CH905" s="10"/>
      <c r="CK905" s="109"/>
      <c r="CL905" s="109"/>
    </row>
    <row r="906" spans="1:90">
      <c r="A906" s="7" t="str">
        <f t="shared" ref="A906:A969" si="141">B906&amp;C906</f>
        <v>01800745</v>
      </c>
      <c r="B906" s="7" t="s">
        <v>2519</v>
      </c>
      <c r="C906" s="7" t="s">
        <v>2737</v>
      </c>
      <c r="D906" s="7">
        <v>897</v>
      </c>
      <c r="E906" s="7">
        <v>180</v>
      </c>
      <c r="F906" s="7" t="s">
        <v>1885</v>
      </c>
      <c r="G906" s="7">
        <v>745</v>
      </c>
      <c r="H906" s="7" t="s">
        <v>1664</v>
      </c>
      <c r="I906" s="37">
        <v>7957730</v>
      </c>
      <c r="J906" s="122">
        <v>0.86847905456262142</v>
      </c>
      <c r="K906" s="123">
        <f t="shared" si="140"/>
        <v>8017012.7587499311</v>
      </c>
      <c r="L906" s="122">
        <f>IF(K909&gt;0, K906/K909, 0)</f>
        <v>0.8707482134277813</v>
      </c>
      <c r="M906" s="71"/>
      <c r="N906" s="10">
        <f>ROUND(M909*L906,0)</f>
        <v>5084712</v>
      </c>
      <c r="O906" s="70">
        <v>5043254</v>
      </c>
      <c r="P906" s="10">
        <f>N906-O906</f>
        <v>41458</v>
      </c>
      <c r="Q906" s="46">
        <f t="shared" si="139"/>
        <v>0.82204862178268234</v>
      </c>
      <c r="R906" s="10">
        <v>856</v>
      </c>
      <c r="S906" s="7">
        <f t="shared" ref="S906:S969" si="142">ABS(T906-E906)+ABS(U906-G906)</f>
        <v>0</v>
      </c>
      <c r="T906" s="124">
        <f t="shared" ref="T906:T969" si="143">VLOOKUP($D906, foundoptions, VLOOKUP($T$6, foundoptcell, 2, FALSE), FALSE)</f>
        <v>180</v>
      </c>
      <c r="U906" s="124">
        <f t="shared" ref="U906:U969" si="144">VLOOKUP($D906, foundoptions, VLOOKUP($T$6, foundoptcell, 2, FALSE)+1, FALSE)</f>
        <v>745</v>
      </c>
      <c r="V906" s="124">
        <f t="shared" ref="V906:V969" si="145">VLOOKUP($D906, foundoptions, VLOOKUP($T$6, foundoptcell, 2, FALSE)+2, FALSE)</f>
        <v>897</v>
      </c>
      <c r="W906" s="124">
        <f t="shared" ref="W906:W969" si="146">VLOOKUP($D906, foundoptions, VLOOKUP($T$6, foundoptcell, 2, FALSE)+3, FALSE)</f>
        <v>843.9831932855401</v>
      </c>
      <c r="X906" s="124">
        <f t="shared" ref="X906:X969" si="147">VLOOKUP($D906, foundoptions, VLOOKUP($T$6, foundoptcell, 2, FALSE)+4, FALSE)</f>
        <v>8017012.7587499311</v>
      </c>
      <c r="Y906" s="264">
        <f t="shared" si="138"/>
        <v>897</v>
      </c>
      <c r="Z906" s="10">
        <v>180</v>
      </c>
      <c r="AA906" s="7">
        <v>745</v>
      </c>
      <c r="AB906" s="7">
        <v>897</v>
      </c>
      <c r="AC906" s="109">
        <v>843.9831932855401</v>
      </c>
      <c r="AD906" s="109">
        <v>8017012.7587499311</v>
      </c>
      <c r="AE906" s="125"/>
      <c r="AF906" s="10"/>
      <c r="AI906" s="109"/>
      <c r="AJ906" s="109"/>
      <c r="AL906" s="10"/>
      <c r="AO906" s="109"/>
      <c r="AP906" s="109"/>
      <c r="AR906" s="10"/>
      <c r="AU906" s="109"/>
      <c r="AV906" s="109"/>
      <c r="AX906" s="10"/>
      <c r="BA906" s="109"/>
      <c r="BB906" s="109"/>
      <c r="BD906" s="10"/>
      <c r="BG906" s="109"/>
      <c r="BH906" s="109"/>
      <c r="BJ906" s="10"/>
      <c r="BM906" s="109"/>
      <c r="BN906" s="109"/>
      <c r="BP906" s="10"/>
      <c r="BS906" s="109"/>
      <c r="BT906" s="109"/>
      <c r="BV906" s="10"/>
      <c r="BY906" s="109"/>
      <c r="BZ906" s="109"/>
      <c r="CB906" s="10"/>
      <c r="CE906" s="109"/>
      <c r="CF906" s="109"/>
      <c r="CH906" s="10"/>
      <c r="CK906" s="109"/>
      <c r="CL906" s="109"/>
    </row>
    <row r="907" spans="1:90">
      <c r="A907" s="7" t="str">
        <f t="shared" si="141"/>
        <v>01800885</v>
      </c>
      <c r="B907" s="7" t="s">
        <v>2519</v>
      </c>
      <c r="C907" s="7" t="s">
        <v>2777</v>
      </c>
      <c r="D907" s="7">
        <v>898</v>
      </c>
      <c r="E907" s="7">
        <v>180</v>
      </c>
      <c r="F907" s="7" t="s">
        <v>1885</v>
      </c>
      <c r="G907" s="7">
        <v>885</v>
      </c>
      <c r="H907" s="7" t="s">
        <v>1704</v>
      </c>
      <c r="I907" s="37">
        <v>1152421</v>
      </c>
      <c r="J907" s="122">
        <v>0.12577123131070178</v>
      </c>
      <c r="K907" s="123">
        <f t="shared" si="140"/>
        <v>1109525.2395118426</v>
      </c>
      <c r="L907" s="122">
        <f>IF(K909&gt;0, K907/K909, 0)</f>
        <v>0.12050836753422005</v>
      </c>
      <c r="M907" s="71"/>
      <c r="N907" s="10">
        <f>ROUND(M909*L907,0)</f>
        <v>703705</v>
      </c>
      <c r="O907" s="70">
        <v>730353</v>
      </c>
      <c r="P907" s="10">
        <f>N907-O907</f>
        <v>-26648</v>
      </c>
      <c r="Q907" s="46">
        <f t="shared" si="139"/>
        <v>-3.6486466133499826</v>
      </c>
      <c r="R907" s="10">
        <v>73</v>
      </c>
      <c r="S907" s="7">
        <f t="shared" si="142"/>
        <v>0</v>
      </c>
      <c r="T907" s="124">
        <f t="shared" si="143"/>
        <v>180</v>
      </c>
      <c r="U907" s="124">
        <f t="shared" si="144"/>
        <v>885</v>
      </c>
      <c r="V907" s="124">
        <f t="shared" si="145"/>
        <v>898</v>
      </c>
      <c r="W907" s="124">
        <f t="shared" si="146"/>
        <v>68.943856796079999</v>
      </c>
      <c r="X907" s="124">
        <f t="shared" si="147"/>
        <v>1109525.2395118426</v>
      </c>
      <c r="Y907" s="264">
        <f t="shared" ref="Y907:Y970" si="148">D907</f>
        <v>898</v>
      </c>
      <c r="Z907" s="10">
        <v>180</v>
      </c>
      <c r="AA907" s="7">
        <v>885</v>
      </c>
      <c r="AB907" s="7">
        <v>898</v>
      </c>
      <c r="AC907" s="109">
        <v>68.943856796079999</v>
      </c>
      <c r="AD907" s="109">
        <v>1109525.2395118426</v>
      </c>
      <c r="AE907" s="125"/>
      <c r="AF907" s="10"/>
      <c r="AI907" s="109"/>
      <c r="AJ907" s="109"/>
      <c r="AL907" s="10"/>
      <c r="AO907" s="109"/>
      <c r="AP907" s="109"/>
      <c r="AR907" s="10"/>
      <c r="AU907" s="109"/>
      <c r="AV907" s="109"/>
      <c r="AX907" s="10"/>
      <c r="BA907" s="109"/>
      <c r="BB907" s="109"/>
      <c r="BD907" s="10"/>
      <c r="BG907" s="109"/>
      <c r="BH907" s="109"/>
      <c r="BJ907" s="10"/>
      <c r="BM907" s="109"/>
      <c r="BN907" s="109"/>
      <c r="BP907" s="10"/>
      <c r="BS907" s="109"/>
      <c r="BT907" s="109"/>
      <c r="BV907" s="10"/>
      <c r="BY907" s="109"/>
      <c r="BZ907" s="109"/>
      <c r="CB907" s="10"/>
      <c r="CE907" s="109"/>
      <c r="CF907" s="109"/>
      <c r="CH907" s="10"/>
      <c r="CK907" s="109"/>
      <c r="CL907" s="109"/>
    </row>
    <row r="908" spans="1:90">
      <c r="A908" s="7" t="str">
        <f t="shared" si="141"/>
        <v>01800998</v>
      </c>
      <c r="B908" s="7" t="s">
        <v>2519</v>
      </c>
      <c r="C908" s="7" t="s">
        <v>2781</v>
      </c>
      <c r="D908" s="7">
        <v>899</v>
      </c>
      <c r="E908" s="7">
        <v>180</v>
      </c>
      <c r="F908" s="7" t="s">
        <v>2135</v>
      </c>
      <c r="G908" s="7">
        <v>998</v>
      </c>
      <c r="I908" s="129">
        <v>0</v>
      </c>
      <c r="J908" s="130">
        <v>0</v>
      </c>
      <c r="K908" s="123">
        <f t="shared" si="140"/>
        <v>0</v>
      </c>
      <c r="L908" s="122">
        <f>IF(K909&gt;0, K908/K909, 0)</f>
        <v>0</v>
      </c>
      <c r="M908" s="71"/>
      <c r="N908" s="10">
        <f>ROUND(M909*L908,0)</f>
        <v>0</v>
      </c>
      <c r="O908" s="70">
        <v>0</v>
      </c>
      <c r="P908" s="10">
        <f>N908-O908</f>
        <v>0</v>
      </c>
      <c r="Q908" s="46">
        <f t="shared" si="139"/>
        <v>0</v>
      </c>
      <c r="R908" s="10">
        <v>0</v>
      </c>
      <c r="S908" s="7">
        <f t="shared" si="142"/>
        <v>0</v>
      </c>
      <c r="T908" s="124">
        <f t="shared" si="143"/>
        <v>180</v>
      </c>
      <c r="U908" s="124">
        <f t="shared" si="144"/>
        <v>998</v>
      </c>
      <c r="V908" s="124">
        <f t="shared" si="145"/>
        <v>899</v>
      </c>
      <c r="W908" s="124">
        <f t="shared" si="146"/>
        <v>0</v>
      </c>
      <c r="X908" s="124">
        <f t="shared" si="147"/>
        <v>0</v>
      </c>
      <c r="Y908" s="264">
        <f t="shared" si="148"/>
        <v>899</v>
      </c>
      <c r="Z908" s="10">
        <v>180</v>
      </c>
      <c r="AA908" s="7">
        <v>998</v>
      </c>
      <c r="AB908" s="7">
        <v>899</v>
      </c>
      <c r="AC908" s="109">
        <v>0</v>
      </c>
      <c r="AD908" s="109">
        <v>0</v>
      </c>
      <c r="AE908" s="125"/>
      <c r="AF908" s="10"/>
      <c r="AI908" s="109"/>
      <c r="AJ908" s="109"/>
      <c r="AL908" s="10"/>
      <c r="AO908" s="109"/>
      <c r="AP908" s="109"/>
      <c r="AR908" s="10"/>
      <c r="AU908" s="109"/>
      <c r="AV908" s="109"/>
      <c r="AX908" s="10"/>
      <c r="BA908" s="109"/>
      <c r="BB908" s="109"/>
      <c r="BD908" s="10"/>
      <c r="BG908" s="109"/>
      <c r="BH908" s="109"/>
      <c r="BJ908" s="10"/>
      <c r="BM908" s="109"/>
      <c r="BN908" s="109"/>
      <c r="BP908" s="10"/>
      <c r="BS908" s="109"/>
      <c r="BT908" s="109"/>
      <c r="BV908" s="10"/>
      <c r="BY908" s="109"/>
      <c r="BZ908" s="109"/>
      <c r="CB908" s="10"/>
      <c r="CE908" s="109"/>
      <c r="CF908" s="109"/>
      <c r="CH908" s="10"/>
      <c r="CK908" s="109"/>
      <c r="CL908" s="109"/>
    </row>
    <row r="909" spans="1:90">
      <c r="A909" s="7" t="str">
        <f t="shared" si="141"/>
        <v>01800999</v>
      </c>
      <c r="B909" s="7" t="s">
        <v>2519</v>
      </c>
      <c r="C909" s="7" t="s">
        <v>2782</v>
      </c>
      <c r="D909" s="7">
        <v>900</v>
      </c>
      <c r="E909" s="11">
        <v>180</v>
      </c>
      <c r="F909" s="11" t="s">
        <v>1885</v>
      </c>
      <c r="G909" s="11">
        <v>999</v>
      </c>
      <c r="H909" s="11" t="s">
        <v>1132</v>
      </c>
      <c r="I909" s="105">
        <v>9162834.6799999997</v>
      </c>
      <c r="J909" s="126">
        <v>1</v>
      </c>
      <c r="K909" s="127">
        <f>SUM(K905:K908)</f>
        <v>9207038.9983233102</v>
      </c>
      <c r="L909" s="126">
        <f>SUM(L905:L908)</f>
        <v>1.0000000000000002</v>
      </c>
      <c r="M909" s="105">
        <f>VLOOKUP(E909,town351,22)</f>
        <v>5839474</v>
      </c>
      <c r="N909" s="105">
        <f>SUM(N905:N908)</f>
        <v>5839474</v>
      </c>
      <c r="O909" s="128">
        <v>5806996</v>
      </c>
      <c r="P909" s="105">
        <f>SUM(P905:P908)</f>
        <v>32478</v>
      </c>
      <c r="Q909" s="45">
        <f t="shared" si="139"/>
        <v>0.55929089670459564</v>
      </c>
      <c r="R909" s="105">
        <v>933</v>
      </c>
      <c r="S909" s="7">
        <f t="shared" si="142"/>
        <v>0</v>
      </c>
      <c r="T909" s="124">
        <f t="shared" si="143"/>
        <v>180</v>
      </c>
      <c r="U909" s="124">
        <f t="shared" si="144"/>
        <v>999</v>
      </c>
      <c r="V909" s="124">
        <f t="shared" si="145"/>
        <v>900</v>
      </c>
      <c r="W909" s="124">
        <f t="shared" si="146"/>
        <v>918.92705008162011</v>
      </c>
      <c r="X909" s="124">
        <f t="shared" si="147"/>
        <v>9207038.9983233102</v>
      </c>
      <c r="Y909" s="264">
        <f t="shared" si="148"/>
        <v>900</v>
      </c>
      <c r="Z909" s="10">
        <v>180</v>
      </c>
      <c r="AA909" s="7">
        <v>999</v>
      </c>
      <c r="AB909" s="7">
        <v>900</v>
      </c>
      <c r="AC909" s="109">
        <v>918.92705008162011</v>
      </c>
      <c r="AD909" s="109">
        <v>9207038.9983233102</v>
      </c>
      <c r="AE909" s="125"/>
      <c r="AF909" s="10"/>
      <c r="AI909" s="109"/>
      <c r="AJ909" s="109"/>
      <c r="AL909" s="10"/>
      <c r="AO909" s="109"/>
      <c r="AP909" s="109"/>
      <c r="AR909" s="10"/>
      <c r="AU909" s="109"/>
      <c r="AV909" s="109"/>
      <c r="AX909" s="10"/>
      <c r="BA909" s="109"/>
      <c r="BB909" s="109"/>
      <c r="BD909" s="10"/>
      <c r="BG909" s="109"/>
      <c r="BH909" s="109"/>
      <c r="BJ909" s="10"/>
      <c r="BM909" s="109"/>
      <c r="BN909" s="109"/>
      <c r="BP909" s="10"/>
      <c r="BS909" s="109"/>
      <c r="BT909" s="109"/>
      <c r="BV909" s="10"/>
      <c r="BY909" s="109"/>
      <c r="BZ909" s="109"/>
      <c r="CB909" s="10"/>
      <c r="CE909" s="109"/>
      <c r="CF909" s="109"/>
      <c r="CH909" s="10"/>
      <c r="CK909" s="109"/>
      <c r="CL909" s="109"/>
    </row>
    <row r="910" spans="1:90">
      <c r="A910" s="7" t="str">
        <f t="shared" si="141"/>
        <v>01810181</v>
      </c>
      <c r="B910" s="7" t="s">
        <v>2520</v>
      </c>
      <c r="C910" s="7" t="s">
        <v>2520</v>
      </c>
      <c r="D910" s="7">
        <v>901</v>
      </c>
      <c r="E910" s="7">
        <v>181</v>
      </c>
      <c r="F910" s="7" t="s">
        <v>1886</v>
      </c>
      <c r="G910" s="7">
        <v>181</v>
      </c>
      <c r="H910" s="7" t="s">
        <v>1447</v>
      </c>
      <c r="I910" s="37">
        <v>76096298.539999992</v>
      </c>
      <c r="J910" s="122">
        <v>0.92203869646731373</v>
      </c>
      <c r="K910" s="123">
        <f>X910</f>
        <v>76802334.286958128</v>
      </c>
      <c r="L910" s="122">
        <f>IF(K914&gt;0, K910/K914, 0)</f>
        <v>0.92791840236815837</v>
      </c>
      <c r="M910" s="71"/>
      <c r="N910" s="10">
        <f>ROUND(M914*L910,0)</f>
        <v>35661626</v>
      </c>
      <c r="O910" s="70">
        <v>34166160</v>
      </c>
      <c r="P910" s="10">
        <f>N910-O910</f>
        <v>1495466</v>
      </c>
      <c r="Q910" s="46">
        <f t="shared" si="139"/>
        <v>4.3770385668158198</v>
      </c>
      <c r="R910" s="10">
        <v>7155</v>
      </c>
      <c r="S910" s="7">
        <f t="shared" si="142"/>
        <v>0</v>
      </c>
      <c r="T910" s="124">
        <f t="shared" si="143"/>
        <v>181</v>
      </c>
      <c r="U910" s="124">
        <f t="shared" si="144"/>
        <v>181</v>
      </c>
      <c r="V910" s="124">
        <f t="shared" si="145"/>
        <v>901</v>
      </c>
      <c r="W910" s="124">
        <f t="shared" si="146"/>
        <v>7088</v>
      </c>
      <c r="X910" s="124">
        <f t="shared" si="147"/>
        <v>76802334.286958128</v>
      </c>
      <c r="Y910" s="264">
        <f t="shared" si="148"/>
        <v>901</v>
      </c>
      <c r="Z910" s="10">
        <v>181</v>
      </c>
      <c r="AA910" s="7">
        <v>181</v>
      </c>
      <c r="AB910" s="7">
        <v>901</v>
      </c>
      <c r="AC910" s="109">
        <v>7088</v>
      </c>
      <c r="AD910" s="109">
        <v>76802334.286958128</v>
      </c>
      <c r="AE910" s="125"/>
      <c r="AF910" s="10"/>
      <c r="AI910" s="109"/>
      <c r="AJ910" s="109"/>
      <c r="AL910" s="10"/>
      <c r="AO910" s="109"/>
      <c r="AP910" s="109"/>
      <c r="AR910" s="10"/>
      <c r="AU910" s="109"/>
      <c r="AV910" s="109"/>
      <c r="AX910" s="10"/>
      <c r="BA910" s="109"/>
      <c r="BB910" s="109"/>
      <c r="BD910" s="10"/>
      <c r="BG910" s="109"/>
      <c r="BH910" s="109"/>
      <c r="BJ910" s="10"/>
      <c r="BM910" s="109"/>
      <c r="BN910" s="109"/>
      <c r="BP910" s="10"/>
      <c r="BS910" s="109"/>
      <c r="BT910" s="109"/>
      <c r="BV910" s="10"/>
      <c r="BY910" s="109"/>
      <c r="BZ910" s="109"/>
      <c r="CB910" s="10"/>
      <c r="CE910" s="109"/>
      <c r="CF910" s="109"/>
      <c r="CH910" s="10"/>
      <c r="CK910" s="109"/>
      <c r="CL910" s="109"/>
    </row>
    <row r="911" spans="1:90">
      <c r="A911" s="7" t="str">
        <f t="shared" si="141"/>
        <v>01810823</v>
      </c>
      <c r="B911" s="7" t="s">
        <v>2520</v>
      </c>
      <c r="C911" s="7" t="s">
        <v>2760</v>
      </c>
      <c r="D911" s="7">
        <v>902</v>
      </c>
      <c r="E911" s="7">
        <v>181</v>
      </c>
      <c r="F911" s="7" t="s">
        <v>1886</v>
      </c>
      <c r="G911" s="7">
        <v>823</v>
      </c>
      <c r="H911" s="7" t="s">
        <v>1687</v>
      </c>
      <c r="I911" s="37">
        <v>6434184</v>
      </c>
      <c r="J911" s="122">
        <v>7.7961303532686224E-2</v>
      </c>
      <c r="K911" s="123">
        <f t="shared" si="140"/>
        <v>5966079.4991564965</v>
      </c>
      <c r="L911" s="122">
        <f>IF(K914&gt;0, K911/K914, 0)</f>
        <v>7.2081597631841743E-2</v>
      </c>
      <c r="M911" s="71"/>
      <c r="N911" s="10">
        <f>ROUND(M914*L911,0)</f>
        <v>2770230</v>
      </c>
      <c r="O911" s="70">
        <v>2888857</v>
      </c>
      <c r="P911" s="10">
        <f>N911-O911</f>
        <v>-118627</v>
      </c>
      <c r="Q911" s="46">
        <f t="shared" si="139"/>
        <v>-4.106364558716475</v>
      </c>
      <c r="R911" s="10">
        <v>360</v>
      </c>
      <c r="S911" s="7">
        <f t="shared" si="142"/>
        <v>0</v>
      </c>
      <c r="T911" s="124">
        <f t="shared" si="143"/>
        <v>181</v>
      </c>
      <c r="U911" s="124">
        <f t="shared" si="144"/>
        <v>823</v>
      </c>
      <c r="V911" s="124">
        <f t="shared" si="145"/>
        <v>902</v>
      </c>
      <c r="W911" s="124">
        <f t="shared" si="146"/>
        <v>328.99999999850002</v>
      </c>
      <c r="X911" s="124">
        <f t="shared" si="147"/>
        <v>5966079.4991564965</v>
      </c>
      <c r="Y911" s="264">
        <f t="shared" si="148"/>
        <v>902</v>
      </c>
      <c r="Z911" s="10">
        <v>181</v>
      </c>
      <c r="AA911" s="7">
        <v>823</v>
      </c>
      <c r="AB911" s="7">
        <v>902</v>
      </c>
      <c r="AC911" s="109">
        <v>328.99999999850002</v>
      </c>
      <c r="AD911" s="109">
        <v>5966079.4991564965</v>
      </c>
      <c r="AE911" s="125"/>
      <c r="AF911" s="10"/>
      <c r="AI911" s="109"/>
      <c r="AJ911" s="109"/>
      <c r="AL911" s="10"/>
      <c r="AO911" s="109"/>
      <c r="AP911" s="109"/>
      <c r="AR911" s="10"/>
      <c r="AU911" s="109"/>
      <c r="AV911" s="109"/>
      <c r="AX911" s="10"/>
      <c r="BA911" s="109"/>
      <c r="BB911" s="109"/>
      <c r="BD911" s="10"/>
      <c r="BG911" s="109"/>
      <c r="BH911" s="109"/>
      <c r="BJ911" s="10"/>
      <c r="BM911" s="109"/>
      <c r="BN911" s="109"/>
      <c r="BP911" s="10"/>
      <c r="BS911" s="109"/>
      <c r="BT911" s="109"/>
      <c r="BV911" s="10"/>
      <c r="BY911" s="109"/>
      <c r="BZ911" s="109"/>
      <c r="CB911" s="10"/>
      <c r="CE911" s="109"/>
      <c r="CF911" s="109"/>
      <c r="CH911" s="10"/>
      <c r="CK911" s="109"/>
      <c r="CL911" s="109"/>
    </row>
    <row r="912" spans="1:90">
      <c r="A912" s="7" t="str">
        <f t="shared" si="141"/>
        <v>01810998</v>
      </c>
      <c r="B912" s="7" t="s">
        <v>2520</v>
      </c>
      <c r="C912" s="7" t="s">
        <v>2781</v>
      </c>
      <c r="D912" s="7">
        <v>903</v>
      </c>
      <c r="E912" s="7">
        <v>181</v>
      </c>
      <c r="F912" s="7" t="s">
        <v>2135</v>
      </c>
      <c r="G912" s="7">
        <v>998</v>
      </c>
      <c r="I912" s="129">
        <v>0</v>
      </c>
      <c r="J912" s="130">
        <v>0</v>
      </c>
      <c r="K912" s="123">
        <f t="shared" si="140"/>
        <v>0</v>
      </c>
      <c r="L912" s="122">
        <f>IF(K914&gt;0, K912/K914, 0)</f>
        <v>0</v>
      </c>
      <c r="M912" s="71"/>
      <c r="N912" s="10">
        <f>ROUND(M914*L912,0)</f>
        <v>0</v>
      </c>
      <c r="O912" s="70">
        <v>0</v>
      </c>
      <c r="P912" s="10">
        <f>N912-O912</f>
        <v>0</v>
      </c>
      <c r="Q912" s="46">
        <f>IF(O912&gt;0,P912*100/O912,IF(P912&gt;0,100,0))</f>
        <v>0</v>
      </c>
      <c r="R912" s="10">
        <v>0</v>
      </c>
      <c r="S912" s="7">
        <f t="shared" si="142"/>
        <v>0</v>
      </c>
      <c r="T912" s="124">
        <f t="shared" si="143"/>
        <v>181</v>
      </c>
      <c r="U912" s="124">
        <f t="shared" si="144"/>
        <v>998</v>
      </c>
      <c r="V912" s="124">
        <f t="shared" si="145"/>
        <v>903</v>
      </c>
      <c r="W912" s="124">
        <f t="shared" si="146"/>
        <v>0</v>
      </c>
      <c r="X912" s="124">
        <f t="shared" si="147"/>
        <v>0</v>
      </c>
      <c r="Y912" s="264">
        <f t="shared" si="148"/>
        <v>903</v>
      </c>
      <c r="Z912" s="10">
        <v>181</v>
      </c>
      <c r="AA912" s="7">
        <v>998</v>
      </c>
      <c r="AB912" s="7">
        <v>903</v>
      </c>
      <c r="AC912" s="109">
        <v>0</v>
      </c>
      <c r="AD912" s="109">
        <v>0</v>
      </c>
      <c r="AE912" s="125"/>
      <c r="AF912" s="10"/>
      <c r="AI912" s="109"/>
      <c r="AJ912" s="109"/>
      <c r="AL912" s="10"/>
      <c r="AO912" s="109"/>
      <c r="AP912" s="109"/>
      <c r="AR912" s="10"/>
      <c r="AU912" s="109"/>
      <c r="AV912" s="109"/>
      <c r="AX912" s="10"/>
      <c r="BA912" s="109"/>
      <c r="BB912" s="109"/>
      <c r="BD912" s="10"/>
      <c r="BG912" s="109"/>
      <c r="BH912" s="109"/>
      <c r="BJ912" s="10"/>
      <c r="BM912" s="109"/>
      <c r="BN912" s="109"/>
      <c r="BP912" s="10"/>
      <c r="BS912" s="109"/>
      <c r="BT912" s="109"/>
      <c r="BV912" s="10"/>
      <c r="BY912" s="109"/>
      <c r="BZ912" s="109"/>
      <c r="CB912" s="10"/>
      <c r="CE912" s="109"/>
      <c r="CF912" s="109"/>
      <c r="CH912" s="10"/>
      <c r="CK912" s="109"/>
      <c r="CL912" s="109"/>
    </row>
    <row r="913" spans="1:90">
      <c r="A913" s="7" t="str">
        <f t="shared" si="141"/>
        <v>01810998</v>
      </c>
      <c r="B913" s="7" t="s">
        <v>2520</v>
      </c>
      <c r="C913" s="7" t="s">
        <v>2781</v>
      </c>
      <c r="D913" s="7">
        <v>904</v>
      </c>
      <c r="E913" s="7">
        <v>181</v>
      </c>
      <c r="F913" s="7" t="s">
        <v>2135</v>
      </c>
      <c r="G913" s="7">
        <v>998</v>
      </c>
      <c r="H913" s="7" t="s">
        <v>2135</v>
      </c>
      <c r="I913" s="37">
        <v>0</v>
      </c>
      <c r="J913" s="122">
        <v>0</v>
      </c>
      <c r="K913" s="123">
        <f t="shared" si="140"/>
        <v>0</v>
      </c>
      <c r="L913" s="122">
        <f>IF(K914&gt;0, K913/K914, 0)</f>
        <v>0</v>
      </c>
      <c r="M913" s="71"/>
      <c r="N913" s="10">
        <f>ROUND(M914*L913,0)</f>
        <v>0</v>
      </c>
      <c r="O913" s="70">
        <v>0</v>
      </c>
      <c r="P913" s="10">
        <f>N913-O913</f>
        <v>0</v>
      </c>
      <c r="Q913" s="46">
        <f>IF(O913&gt;0,P913*100/O913,IF(P913&gt;0,100,0))</f>
        <v>0</v>
      </c>
      <c r="R913" s="10">
        <v>0</v>
      </c>
      <c r="S913" s="7">
        <f t="shared" si="142"/>
        <v>0</v>
      </c>
      <c r="T913" s="124">
        <f t="shared" si="143"/>
        <v>181</v>
      </c>
      <c r="U913" s="124">
        <f t="shared" si="144"/>
        <v>998</v>
      </c>
      <c r="V913" s="124">
        <f t="shared" si="145"/>
        <v>904</v>
      </c>
      <c r="W913" s="124">
        <f t="shared" si="146"/>
        <v>0</v>
      </c>
      <c r="X913" s="124">
        <f t="shared" si="147"/>
        <v>0</v>
      </c>
      <c r="Y913" s="264">
        <f t="shared" si="148"/>
        <v>904</v>
      </c>
      <c r="Z913" s="10">
        <v>181</v>
      </c>
      <c r="AA913" s="7">
        <v>998</v>
      </c>
      <c r="AB913" s="7">
        <v>904</v>
      </c>
      <c r="AC913" s="109">
        <v>0</v>
      </c>
      <c r="AD913" s="109">
        <v>0</v>
      </c>
      <c r="AE913" s="125"/>
      <c r="AF913" s="10"/>
      <c r="AI913" s="109"/>
      <c r="AJ913" s="109"/>
      <c r="AL913" s="10"/>
      <c r="AO913" s="109"/>
      <c r="AP913" s="109"/>
      <c r="AR913" s="10"/>
      <c r="AU913" s="109"/>
      <c r="AV913" s="109"/>
      <c r="AX913" s="10"/>
      <c r="BA913" s="109"/>
      <c r="BB913" s="109"/>
      <c r="BD913" s="10"/>
      <c r="BG913" s="109"/>
      <c r="BH913" s="109"/>
      <c r="BJ913" s="10"/>
      <c r="BM913" s="109"/>
      <c r="BN913" s="109"/>
      <c r="BP913" s="10"/>
      <c r="BS913" s="109"/>
      <c r="BT913" s="109"/>
      <c r="BV913" s="10"/>
      <c r="BY913" s="109"/>
      <c r="BZ913" s="109"/>
      <c r="CB913" s="10"/>
      <c r="CE913" s="109"/>
      <c r="CF913" s="109"/>
      <c r="CH913" s="10"/>
      <c r="CK913" s="109"/>
      <c r="CL913" s="109"/>
    </row>
    <row r="914" spans="1:90">
      <c r="A914" s="7" t="str">
        <f t="shared" si="141"/>
        <v>01810999</v>
      </c>
      <c r="B914" s="7" t="s">
        <v>2520</v>
      </c>
      <c r="C914" s="7" t="s">
        <v>2782</v>
      </c>
      <c r="D914" s="7">
        <v>905</v>
      </c>
      <c r="E914" s="11">
        <v>181</v>
      </c>
      <c r="F914" s="11" t="s">
        <v>1886</v>
      </c>
      <c r="G914" s="11">
        <v>999</v>
      </c>
      <c r="H914" s="11" t="s">
        <v>1132</v>
      </c>
      <c r="I914" s="105">
        <v>82530482.539999992</v>
      </c>
      <c r="J914" s="126">
        <v>1</v>
      </c>
      <c r="K914" s="127">
        <f>SUM(K910:K913)</f>
        <v>82768413.786114618</v>
      </c>
      <c r="L914" s="126">
        <f>SUM(L910:L913)</f>
        <v>1</v>
      </c>
      <c r="M914" s="105">
        <f>VLOOKUP(E914,town351,22)</f>
        <v>38431856</v>
      </c>
      <c r="N914" s="105">
        <f>SUM(N910:N913)</f>
        <v>38431856</v>
      </c>
      <c r="O914" s="128">
        <v>37055017</v>
      </c>
      <c r="P914" s="105">
        <f>SUM(P910:P913)</f>
        <v>1376839</v>
      </c>
      <c r="Q914" s="45">
        <f t="shared" ref="Q914:Q975" si="149">IF(O914&gt;0,P914*100/O914,IF(P914&gt;0,100,0))</f>
        <v>3.71566149868451</v>
      </c>
      <c r="R914" s="105">
        <v>7515</v>
      </c>
      <c r="S914" s="7">
        <f t="shared" si="142"/>
        <v>0</v>
      </c>
      <c r="T914" s="124">
        <f t="shared" si="143"/>
        <v>181</v>
      </c>
      <c r="U914" s="124">
        <f t="shared" si="144"/>
        <v>999</v>
      </c>
      <c r="V914" s="124">
        <f t="shared" si="145"/>
        <v>905</v>
      </c>
      <c r="W914" s="124">
        <f t="shared" si="146"/>
        <v>7416.9999999985002</v>
      </c>
      <c r="X914" s="124">
        <f t="shared" si="147"/>
        <v>82768413.786114618</v>
      </c>
      <c r="Y914" s="264">
        <f t="shared" si="148"/>
        <v>905</v>
      </c>
      <c r="Z914" s="10">
        <v>181</v>
      </c>
      <c r="AA914" s="7">
        <v>999</v>
      </c>
      <c r="AB914" s="7">
        <v>905</v>
      </c>
      <c r="AC914" s="109">
        <v>7416.9999999985002</v>
      </c>
      <c r="AD914" s="109">
        <v>82768413.786114618</v>
      </c>
      <c r="AE914" s="125"/>
      <c r="AF914" s="10"/>
      <c r="AI914" s="109"/>
      <c r="AJ914" s="109"/>
      <c r="AL914" s="10"/>
      <c r="AO914" s="109"/>
      <c r="AP914" s="109"/>
      <c r="AR914" s="10"/>
      <c r="AU914" s="109"/>
      <c r="AV914" s="109"/>
      <c r="AX914" s="10"/>
      <c r="BA914" s="109"/>
      <c r="BB914" s="109"/>
      <c r="BD914" s="10"/>
      <c r="BG914" s="109"/>
      <c r="BH914" s="109"/>
      <c r="BJ914" s="10"/>
      <c r="BM914" s="109"/>
      <c r="BN914" s="109"/>
      <c r="BP914" s="10"/>
      <c r="BS914" s="109"/>
      <c r="BT914" s="109"/>
      <c r="BV914" s="10"/>
      <c r="BY914" s="109"/>
      <c r="BZ914" s="109"/>
      <c r="CB914" s="10"/>
      <c r="CE914" s="109"/>
      <c r="CF914" s="109"/>
      <c r="CH914" s="10"/>
      <c r="CK914" s="109"/>
      <c r="CL914" s="109"/>
    </row>
    <row r="915" spans="1:90">
      <c r="A915" s="7" t="str">
        <f t="shared" si="141"/>
        <v>01820182</v>
      </c>
      <c r="B915" s="7" t="s">
        <v>2521</v>
      </c>
      <c r="C915" s="7" t="s">
        <v>2521</v>
      </c>
      <c r="D915" s="7">
        <v>906</v>
      </c>
      <c r="E915" s="7">
        <v>182</v>
      </c>
      <c r="F915" s="7" t="s">
        <v>1887</v>
      </c>
      <c r="G915" s="7">
        <v>182</v>
      </c>
      <c r="H915" s="7" t="s">
        <v>1448</v>
      </c>
      <c r="I915" s="37">
        <v>31055481.599999998</v>
      </c>
      <c r="J915" s="122">
        <v>0.87060698820780502</v>
      </c>
      <c r="K915" s="123">
        <f>X915</f>
        <v>29289460.260108851</v>
      </c>
      <c r="L915" s="122">
        <f>IF(K919&gt;0, K915/K919, 0)</f>
        <v>0.86105976405363349</v>
      </c>
      <c r="M915" s="71"/>
      <c r="N915" s="10">
        <f>ROUND(M919*L915,0)</f>
        <v>15577573</v>
      </c>
      <c r="O915" s="70">
        <v>15735683</v>
      </c>
      <c r="P915" s="10">
        <f>N915-O915</f>
        <v>-158110</v>
      </c>
      <c r="Q915" s="46">
        <f t="shared" si="149"/>
        <v>-1.0047863826438292</v>
      </c>
      <c r="R915" s="10">
        <v>3096</v>
      </c>
      <c r="S915" s="7">
        <f t="shared" si="142"/>
        <v>0</v>
      </c>
      <c r="T915" s="124">
        <f t="shared" si="143"/>
        <v>182</v>
      </c>
      <c r="U915" s="124">
        <f t="shared" si="144"/>
        <v>182</v>
      </c>
      <c r="V915" s="124">
        <f t="shared" si="145"/>
        <v>906</v>
      </c>
      <c r="W915" s="124">
        <f t="shared" si="146"/>
        <v>2870</v>
      </c>
      <c r="X915" s="124">
        <f t="shared" si="147"/>
        <v>29289460.260108851</v>
      </c>
      <c r="Y915" s="264">
        <f t="shared" si="148"/>
        <v>906</v>
      </c>
      <c r="Z915" s="10">
        <v>182</v>
      </c>
      <c r="AA915" s="7">
        <v>182</v>
      </c>
      <c r="AB915" s="7">
        <v>906</v>
      </c>
      <c r="AC915" s="109">
        <v>2870</v>
      </c>
      <c r="AD915" s="109">
        <v>29289460.260108851</v>
      </c>
      <c r="AE915" s="125"/>
      <c r="AF915" s="10"/>
      <c r="AI915" s="109"/>
      <c r="AJ915" s="109"/>
      <c r="AL915" s="10"/>
      <c r="AO915" s="109"/>
      <c r="AP915" s="109"/>
      <c r="AR915" s="10"/>
      <c r="AU915" s="109"/>
      <c r="AV915" s="109"/>
      <c r="AX915" s="10"/>
      <c r="BA915" s="109"/>
      <c r="BB915" s="109"/>
      <c r="BD915" s="10"/>
      <c r="BG915" s="109"/>
      <c r="BH915" s="109"/>
      <c r="BJ915" s="10"/>
      <c r="BM915" s="109"/>
      <c r="BN915" s="109"/>
      <c r="BP915" s="10"/>
      <c r="BS915" s="109"/>
      <c r="BT915" s="109"/>
      <c r="BV915" s="10"/>
      <c r="BY915" s="109"/>
      <c r="BZ915" s="109"/>
      <c r="CB915" s="10"/>
      <c r="CE915" s="109"/>
      <c r="CF915" s="109"/>
      <c r="CH915" s="10"/>
      <c r="CK915" s="109"/>
      <c r="CL915" s="109"/>
    </row>
    <row r="916" spans="1:90">
      <c r="A916" s="7" t="str">
        <f t="shared" si="141"/>
        <v>01820810</v>
      </c>
      <c r="B916" s="7" t="s">
        <v>2521</v>
      </c>
      <c r="C916" s="7" t="s">
        <v>2755</v>
      </c>
      <c r="D916" s="7">
        <v>907</v>
      </c>
      <c r="E916" s="7">
        <v>182</v>
      </c>
      <c r="F916" s="7" t="s">
        <v>1887</v>
      </c>
      <c r="G916" s="7">
        <v>810</v>
      </c>
      <c r="H916" s="7" t="s">
        <v>1682</v>
      </c>
      <c r="I916" s="37">
        <v>4615587</v>
      </c>
      <c r="J916" s="122">
        <v>0.12939301179219512</v>
      </c>
      <c r="K916" s="123">
        <f t="shared" si="140"/>
        <v>4726134.804073561</v>
      </c>
      <c r="L916" s="122">
        <f>IF(K919&gt;0, K916/K919, 0)</f>
        <v>0.1389402359463664</v>
      </c>
      <c r="M916" s="71"/>
      <c r="N916" s="10">
        <f>ROUND(M919*L916,0)</f>
        <v>2513590</v>
      </c>
      <c r="O916" s="70">
        <v>2338699</v>
      </c>
      <c r="P916" s="10">
        <f>N916-O916</f>
        <v>174891</v>
      </c>
      <c r="Q916" s="46">
        <f t="shared" si="149"/>
        <v>7.4781320725753933</v>
      </c>
      <c r="R916" s="10">
        <v>299</v>
      </c>
      <c r="S916" s="7">
        <f t="shared" si="142"/>
        <v>0</v>
      </c>
      <c r="T916" s="124">
        <f t="shared" si="143"/>
        <v>182</v>
      </c>
      <c r="U916" s="124">
        <f t="shared" si="144"/>
        <v>810</v>
      </c>
      <c r="V916" s="124">
        <f t="shared" si="145"/>
        <v>907</v>
      </c>
      <c r="W916" s="124">
        <f t="shared" si="146"/>
        <v>298.78244561763</v>
      </c>
      <c r="X916" s="124">
        <f t="shared" si="147"/>
        <v>4726134.804073561</v>
      </c>
      <c r="Y916" s="264">
        <f t="shared" si="148"/>
        <v>907</v>
      </c>
      <c r="Z916" s="10">
        <v>182</v>
      </c>
      <c r="AA916" s="7">
        <v>810</v>
      </c>
      <c r="AB916" s="7">
        <v>907</v>
      </c>
      <c r="AC916" s="109">
        <v>298.78244561763</v>
      </c>
      <c r="AD916" s="109">
        <v>4726134.804073561</v>
      </c>
      <c r="AE916" s="125"/>
      <c r="AF916" s="10"/>
      <c r="AI916" s="109"/>
      <c r="AJ916" s="109"/>
      <c r="AL916" s="10"/>
      <c r="AO916" s="109"/>
      <c r="AP916" s="109"/>
      <c r="AR916" s="10"/>
      <c r="AU916" s="109"/>
      <c r="AV916" s="109"/>
      <c r="AX916" s="10"/>
      <c r="BA916" s="109"/>
      <c r="BB916" s="109"/>
      <c r="BD916" s="10"/>
      <c r="BG916" s="109"/>
      <c r="BH916" s="109"/>
      <c r="BJ916" s="10"/>
      <c r="BM916" s="109"/>
      <c r="BN916" s="109"/>
      <c r="BP916" s="10"/>
      <c r="BS916" s="109"/>
      <c r="BT916" s="109"/>
      <c r="BV916" s="10"/>
      <c r="BY916" s="109"/>
      <c r="BZ916" s="109"/>
      <c r="CB916" s="10"/>
      <c r="CE916" s="109"/>
      <c r="CF916" s="109"/>
      <c r="CH916" s="10"/>
      <c r="CK916" s="109"/>
      <c r="CL916" s="109"/>
    </row>
    <row r="917" spans="1:90">
      <c r="A917" s="7" t="str">
        <f t="shared" si="141"/>
        <v>01820998</v>
      </c>
      <c r="B917" s="7" t="s">
        <v>2521</v>
      </c>
      <c r="C917" s="7" t="s">
        <v>2781</v>
      </c>
      <c r="D917" s="7">
        <v>908</v>
      </c>
      <c r="E917" s="7">
        <v>182</v>
      </c>
      <c r="F917" s="7" t="s">
        <v>2135</v>
      </c>
      <c r="G917" s="7">
        <v>998</v>
      </c>
      <c r="H917" s="7" t="s">
        <v>2135</v>
      </c>
      <c r="I917" s="37">
        <v>0</v>
      </c>
      <c r="J917" s="122">
        <v>0</v>
      </c>
      <c r="K917" s="123">
        <f t="shared" si="140"/>
        <v>0</v>
      </c>
      <c r="L917" s="122">
        <f>IF(K919&gt;0, K917/K919, 0)</f>
        <v>0</v>
      </c>
      <c r="M917" s="71"/>
      <c r="N917" s="10">
        <f>ROUND(M919*L917,0)</f>
        <v>0</v>
      </c>
      <c r="O917" s="70">
        <v>0</v>
      </c>
      <c r="P917" s="10">
        <f>N917-O917</f>
        <v>0</v>
      </c>
      <c r="Q917" s="46">
        <f t="shared" si="149"/>
        <v>0</v>
      </c>
      <c r="R917" s="10">
        <v>0</v>
      </c>
      <c r="S917" s="7">
        <f t="shared" si="142"/>
        <v>0</v>
      </c>
      <c r="T917" s="124">
        <f t="shared" si="143"/>
        <v>182</v>
      </c>
      <c r="U917" s="124">
        <f t="shared" si="144"/>
        <v>998</v>
      </c>
      <c r="V917" s="124">
        <f t="shared" si="145"/>
        <v>908</v>
      </c>
      <c r="W917" s="124">
        <f t="shared" si="146"/>
        <v>0</v>
      </c>
      <c r="X917" s="124">
        <f t="shared" si="147"/>
        <v>0</v>
      </c>
      <c r="Y917" s="264">
        <f t="shared" si="148"/>
        <v>908</v>
      </c>
      <c r="Z917" s="10">
        <v>182</v>
      </c>
      <c r="AA917" s="7">
        <v>998</v>
      </c>
      <c r="AB917" s="7">
        <v>908</v>
      </c>
      <c r="AC917" s="109">
        <v>0</v>
      </c>
      <c r="AD917" s="109">
        <v>0</v>
      </c>
      <c r="AE917" s="125"/>
      <c r="AF917" s="10"/>
      <c r="AI917" s="109"/>
      <c r="AJ917" s="109"/>
      <c r="AL917" s="10"/>
      <c r="AO917" s="109"/>
      <c r="AP917" s="109"/>
      <c r="AR917" s="10"/>
      <c r="AU917" s="109"/>
      <c r="AV917" s="109"/>
      <c r="AX917" s="10"/>
      <c r="BA917" s="109"/>
      <c r="BB917" s="109"/>
      <c r="BD917" s="10"/>
      <c r="BG917" s="109"/>
      <c r="BH917" s="109"/>
      <c r="BJ917" s="10"/>
      <c r="BM917" s="109"/>
      <c r="BN917" s="109"/>
      <c r="BP917" s="10"/>
      <c r="BS917" s="109"/>
      <c r="BT917" s="109"/>
      <c r="BV917" s="10"/>
      <c r="BY917" s="109"/>
      <c r="BZ917" s="109"/>
      <c r="CB917" s="10"/>
      <c r="CE917" s="109"/>
      <c r="CF917" s="109"/>
      <c r="CH917" s="10"/>
      <c r="CK917" s="109"/>
      <c r="CL917" s="109"/>
    </row>
    <row r="918" spans="1:90">
      <c r="A918" s="7" t="str">
        <f t="shared" si="141"/>
        <v>01820998</v>
      </c>
      <c r="B918" s="7" t="s">
        <v>2521</v>
      </c>
      <c r="C918" s="7" t="s">
        <v>2781</v>
      </c>
      <c r="D918" s="7">
        <v>909</v>
      </c>
      <c r="E918" s="7">
        <v>182</v>
      </c>
      <c r="F918" s="7" t="s">
        <v>2135</v>
      </c>
      <c r="G918" s="7">
        <v>998</v>
      </c>
      <c r="H918" s="7" t="s">
        <v>2135</v>
      </c>
      <c r="I918" s="37">
        <v>0</v>
      </c>
      <c r="J918" s="122">
        <v>0</v>
      </c>
      <c r="K918" s="123">
        <f t="shared" si="140"/>
        <v>0</v>
      </c>
      <c r="L918" s="122">
        <f>IF(K919&gt;0, K918/K919, 0)</f>
        <v>0</v>
      </c>
      <c r="M918" s="71"/>
      <c r="N918" s="10">
        <f>ROUND(M919*L918,0)</f>
        <v>0</v>
      </c>
      <c r="O918" s="70">
        <v>0</v>
      </c>
      <c r="P918" s="10">
        <f>N918-O918</f>
        <v>0</v>
      </c>
      <c r="Q918" s="46">
        <f t="shared" si="149"/>
        <v>0</v>
      </c>
      <c r="R918" s="10">
        <v>0</v>
      </c>
      <c r="S918" s="7">
        <f t="shared" si="142"/>
        <v>0</v>
      </c>
      <c r="T918" s="124">
        <f t="shared" si="143"/>
        <v>182</v>
      </c>
      <c r="U918" s="124">
        <f t="shared" si="144"/>
        <v>998</v>
      </c>
      <c r="V918" s="124">
        <f t="shared" si="145"/>
        <v>909</v>
      </c>
      <c r="W918" s="124">
        <f t="shared" si="146"/>
        <v>0</v>
      </c>
      <c r="X918" s="124">
        <f t="shared" si="147"/>
        <v>0</v>
      </c>
      <c r="Y918" s="264">
        <f t="shared" si="148"/>
        <v>909</v>
      </c>
      <c r="Z918" s="10">
        <v>182</v>
      </c>
      <c r="AA918" s="7">
        <v>998</v>
      </c>
      <c r="AB918" s="7">
        <v>909</v>
      </c>
      <c r="AC918" s="109">
        <v>0</v>
      </c>
      <c r="AD918" s="109">
        <v>0</v>
      </c>
      <c r="AE918" s="125"/>
      <c r="AF918" s="10"/>
      <c r="AI918" s="109"/>
      <c r="AJ918" s="109"/>
      <c r="AL918" s="10"/>
      <c r="AO918" s="109"/>
      <c r="AP918" s="109"/>
      <c r="AR918" s="10"/>
      <c r="AU918" s="109"/>
      <c r="AV918" s="109"/>
      <c r="AX918" s="10"/>
      <c r="BA918" s="109"/>
      <c r="BB918" s="109"/>
      <c r="BD918" s="10"/>
      <c r="BG918" s="109"/>
      <c r="BH918" s="109"/>
      <c r="BJ918" s="10"/>
      <c r="BM918" s="109"/>
      <c r="BN918" s="109"/>
      <c r="BP918" s="10"/>
      <c r="BS918" s="109"/>
      <c r="BT918" s="109"/>
      <c r="BV918" s="10"/>
      <c r="BY918" s="109"/>
      <c r="BZ918" s="109"/>
      <c r="CB918" s="10"/>
      <c r="CE918" s="109"/>
      <c r="CF918" s="109"/>
      <c r="CH918" s="10"/>
      <c r="CK918" s="109"/>
      <c r="CL918" s="109"/>
    </row>
    <row r="919" spans="1:90">
      <c r="A919" s="7" t="str">
        <f t="shared" si="141"/>
        <v>01820999</v>
      </c>
      <c r="B919" s="7" t="s">
        <v>2521</v>
      </c>
      <c r="C919" s="7" t="s">
        <v>2782</v>
      </c>
      <c r="D919" s="7">
        <v>910</v>
      </c>
      <c r="E919" s="11">
        <v>182</v>
      </c>
      <c r="F919" s="11" t="s">
        <v>1887</v>
      </c>
      <c r="G919" s="11">
        <v>999</v>
      </c>
      <c r="H919" s="11" t="s">
        <v>1132</v>
      </c>
      <c r="I919" s="105">
        <v>35671068.599999994</v>
      </c>
      <c r="J919" s="126">
        <v>1.0000000000000002</v>
      </c>
      <c r="K919" s="127">
        <f>SUM(K915:K918)</f>
        <v>34015595.064182416</v>
      </c>
      <c r="L919" s="126">
        <f>SUM(L915:L918)</f>
        <v>0.99999999999999989</v>
      </c>
      <c r="M919" s="105">
        <f>VLOOKUP(E919,town351,22)</f>
        <v>18091163</v>
      </c>
      <c r="N919" s="105">
        <f>SUM(N915:N918)</f>
        <v>18091163</v>
      </c>
      <c r="O919" s="128">
        <v>18074382</v>
      </c>
      <c r="P919" s="105">
        <f>SUM(P915:P918)</f>
        <v>16781</v>
      </c>
      <c r="Q919" s="45">
        <f t="shared" si="149"/>
        <v>9.2844114946779369E-2</v>
      </c>
      <c r="R919" s="105">
        <v>3395</v>
      </c>
      <c r="S919" s="7">
        <f t="shared" si="142"/>
        <v>0</v>
      </c>
      <c r="T919" s="124">
        <f t="shared" si="143"/>
        <v>182</v>
      </c>
      <c r="U919" s="124">
        <f t="shared" si="144"/>
        <v>999</v>
      </c>
      <c r="V919" s="124">
        <f t="shared" si="145"/>
        <v>910</v>
      </c>
      <c r="W919" s="124">
        <f t="shared" si="146"/>
        <v>3168.7824456176299</v>
      </c>
      <c r="X919" s="124">
        <f t="shared" si="147"/>
        <v>34015595.064182416</v>
      </c>
      <c r="Y919" s="264">
        <f t="shared" si="148"/>
        <v>910</v>
      </c>
      <c r="Z919" s="10">
        <v>182</v>
      </c>
      <c r="AA919" s="7">
        <v>999</v>
      </c>
      <c r="AB919" s="7">
        <v>910</v>
      </c>
      <c r="AC919" s="109">
        <v>3168.7824456176299</v>
      </c>
      <c r="AD919" s="109">
        <v>34015595.064182416</v>
      </c>
      <c r="AE919" s="125"/>
      <c r="AF919" s="10"/>
      <c r="AI919" s="109"/>
      <c r="AJ919" s="109"/>
      <c r="AL919" s="10"/>
      <c r="AO919" s="109"/>
      <c r="AP919" s="109"/>
      <c r="AR919" s="10"/>
      <c r="AU919" s="109"/>
      <c r="AV919" s="109"/>
      <c r="AX919" s="10"/>
      <c r="BA919" s="109"/>
      <c r="BB919" s="109"/>
      <c r="BD919" s="10"/>
      <c r="BG919" s="109"/>
      <c r="BH919" s="109"/>
      <c r="BJ919" s="10"/>
      <c r="BM919" s="109"/>
      <c r="BN919" s="109"/>
      <c r="BP919" s="10"/>
      <c r="BS919" s="109"/>
      <c r="BT919" s="109"/>
      <c r="BV919" s="10"/>
      <c r="BY919" s="109"/>
      <c r="BZ919" s="109"/>
      <c r="CB919" s="10"/>
      <c r="CE919" s="109"/>
      <c r="CF919" s="109"/>
      <c r="CH919" s="10"/>
      <c r="CK919" s="109"/>
      <c r="CL919" s="109"/>
    </row>
    <row r="920" spans="1:90">
      <c r="A920" s="7" t="str">
        <f t="shared" si="141"/>
        <v>01830183</v>
      </c>
      <c r="B920" s="7" t="s">
        <v>2522</v>
      </c>
      <c r="C920" s="7" t="s">
        <v>2522</v>
      </c>
      <c r="D920" s="7">
        <v>911</v>
      </c>
      <c r="E920" s="7">
        <v>183</v>
      </c>
      <c r="F920" s="7" t="s">
        <v>1888</v>
      </c>
      <c r="G920" s="7">
        <v>183</v>
      </c>
      <c r="H920" s="7" t="s">
        <v>1449</v>
      </c>
      <c r="I920" s="37">
        <v>26341.840000000004</v>
      </c>
      <c r="J920" s="122">
        <v>6.011540621483244E-2</v>
      </c>
      <c r="K920" s="123">
        <f>X920</f>
        <v>53667.33337435819</v>
      </c>
      <c r="L920" s="122">
        <f>IF(K924&gt;0, K920/K924, 0)</f>
        <v>0.12405871115637339</v>
      </c>
      <c r="M920" s="71"/>
      <c r="N920" s="10">
        <f>ROUND(M924*L920,0)</f>
        <v>44587</v>
      </c>
      <c r="O920" s="70">
        <v>21863</v>
      </c>
      <c r="P920" s="10">
        <f>N920-O920</f>
        <v>22724</v>
      </c>
      <c r="Q920" s="46">
        <f t="shared" si="149"/>
        <v>103.93816036225587</v>
      </c>
      <c r="R920" s="10">
        <v>2</v>
      </c>
      <c r="S920" s="7">
        <f t="shared" si="142"/>
        <v>0</v>
      </c>
      <c r="T920" s="124">
        <f t="shared" si="143"/>
        <v>183</v>
      </c>
      <c r="U920" s="124">
        <f t="shared" si="144"/>
        <v>183</v>
      </c>
      <c r="V920" s="124">
        <f t="shared" si="145"/>
        <v>911</v>
      </c>
      <c r="W920" s="124">
        <f t="shared" si="146"/>
        <v>4</v>
      </c>
      <c r="X920" s="124">
        <f t="shared" si="147"/>
        <v>53667.33337435819</v>
      </c>
      <c r="Y920" s="264">
        <f t="shared" si="148"/>
        <v>911</v>
      </c>
      <c r="Z920" s="10">
        <v>183</v>
      </c>
      <c r="AA920" s="7">
        <v>183</v>
      </c>
      <c r="AB920" s="7">
        <v>911</v>
      </c>
      <c r="AC920" s="109">
        <v>4</v>
      </c>
      <c r="AD920" s="109">
        <v>53667.33337435819</v>
      </c>
      <c r="AE920" s="125"/>
      <c r="AF920" s="10"/>
      <c r="AI920" s="109"/>
      <c r="AJ920" s="109"/>
      <c r="AL920" s="10"/>
      <c r="AO920" s="109"/>
      <c r="AP920" s="109"/>
      <c r="AR920" s="10"/>
      <c r="AU920" s="109"/>
      <c r="AV920" s="109"/>
      <c r="AX920" s="10"/>
      <c r="BA920" s="109"/>
      <c r="BB920" s="109"/>
      <c r="BD920" s="10"/>
      <c r="BG920" s="109"/>
      <c r="BH920" s="109"/>
      <c r="BJ920" s="10"/>
      <c r="BM920" s="109"/>
      <c r="BN920" s="109"/>
      <c r="BP920" s="10"/>
      <c r="BS920" s="109"/>
      <c r="BT920" s="109"/>
      <c r="BV920" s="10"/>
      <c r="BY920" s="109"/>
      <c r="BZ920" s="109"/>
      <c r="CB920" s="10"/>
      <c r="CE920" s="109"/>
      <c r="CF920" s="109"/>
      <c r="CH920" s="10"/>
      <c r="CK920" s="109"/>
      <c r="CL920" s="109"/>
    </row>
    <row r="921" spans="1:90">
      <c r="A921" s="7" t="str">
        <f t="shared" si="141"/>
        <v>01830672</v>
      </c>
      <c r="B921" s="7" t="s">
        <v>2522</v>
      </c>
      <c r="C921" s="7" t="s">
        <v>2715</v>
      </c>
      <c r="D921" s="7">
        <v>912</v>
      </c>
      <c r="E921" s="7">
        <v>183</v>
      </c>
      <c r="F921" s="7" t="s">
        <v>1888</v>
      </c>
      <c r="G921" s="7">
        <v>672</v>
      </c>
      <c r="H921" s="7" t="s">
        <v>1642</v>
      </c>
      <c r="I921" s="37">
        <v>411846</v>
      </c>
      <c r="J921" s="122">
        <v>0.93988459378516753</v>
      </c>
      <c r="K921" s="123">
        <f t="shared" si="140"/>
        <v>378928.9178208654</v>
      </c>
      <c r="L921" s="122">
        <f>IF(K924&gt;0, K921/K924, 0)</f>
        <v>0.87594128884362665</v>
      </c>
      <c r="M921" s="71"/>
      <c r="N921" s="10">
        <f>ROUND(M924*L921,0)</f>
        <v>314813</v>
      </c>
      <c r="O921" s="70">
        <v>341820</v>
      </c>
      <c r="P921" s="10">
        <f>N921-O921</f>
        <v>-27007</v>
      </c>
      <c r="Q921" s="46">
        <f t="shared" si="149"/>
        <v>-7.900942016265871</v>
      </c>
      <c r="R921" s="10">
        <v>40</v>
      </c>
      <c r="S921" s="7">
        <f t="shared" si="142"/>
        <v>0</v>
      </c>
      <c r="T921" s="124">
        <f t="shared" si="143"/>
        <v>183</v>
      </c>
      <c r="U921" s="124">
        <f t="shared" si="144"/>
        <v>672</v>
      </c>
      <c r="V921" s="124">
        <f t="shared" si="145"/>
        <v>912</v>
      </c>
      <c r="W921" s="124">
        <f t="shared" si="146"/>
        <v>36.298773693599998</v>
      </c>
      <c r="X921" s="124">
        <f t="shared" si="147"/>
        <v>378928.9178208654</v>
      </c>
      <c r="Y921" s="264">
        <f t="shared" si="148"/>
        <v>912</v>
      </c>
      <c r="Z921" s="10">
        <v>183</v>
      </c>
      <c r="AA921" s="7">
        <v>672</v>
      </c>
      <c r="AB921" s="7">
        <v>912</v>
      </c>
      <c r="AC921" s="109">
        <v>36.298773693599998</v>
      </c>
      <c r="AD921" s="109">
        <v>378928.9178208654</v>
      </c>
      <c r="AE921" s="125"/>
      <c r="AF921" s="10"/>
      <c r="AI921" s="109"/>
      <c r="AJ921" s="109"/>
      <c r="AL921" s="10"/>
      <c r="AO921" s="109"/>
      <c r="AP921" s="109"/>
      <c r="AR921" s="10"/>
      <c r="AU921" s="109"/>
      <c r="AV921" s="109"/>
      <c r="AX921" s="10"/>
      <c r="BA921" s="109"/>
      <c r="BB921" s="109"/>
      <c r="BD921" s="10"/>
      <c r="BG921" s="109"/>
      <c r="BH921" s="109"/>
      <c r="BJ921" s="10"/>
      <c r="BM921" s="109"/>
      <c r="BN921" s="109"/>
      <c r="BP921" s="10"/>
      <c r="BS921" s="109"/>
      <c r="BT921" s="109"/>
      <c r="BV921" s="10"/>
      <c r="BY921" s="109"/>
      <c r="BZ921" s="109"/>
      <c r="CB921" s="10"/>
      <c r="CE921" s="109"/>
      <c r="CF921" s="109"/>
      <c r="CH921" s="10"/>
      <c r="CK921" s="109"/>
      <c r="CL921" s="109"/>
    </row>
    <row r="922" spans="1:90">
      <c r="A922" s="7" t="str">
        <f t="shared" si="141"/>
        <v>01830998</v>
      </c>
      <c r="B922" s="7" t="s">
        <v>2522</v>
      </c>
      <c r="C922" s="7" t="s">
        <v>2781</v>
      </c>
      <c r="D922" s="7">
        <v>913</v>
      </c>
      <c r="E922" s="7">
        <v>183</v>
      </c>
      <c r="F922" s="7" t="s">
        <v>2135</v>
      </c>
      <c r="G922" s="7">
        <v>998</v>
      </c>
      <c r="H922" s="7" t="s">
        <v>2135</v>
      </c>
      <c r="I922" s="37">
        <v>0</v>
      </c>
      <c r="J922" s="122">
        <v>0</v>
      </c>
      <c r="K922" s="123">
        <f t="shared" si="140"/>
        <v>0</v>
      </c>
      <c r="L922" s="122">
        <f>IF(K924&gt;0, K922/K924, 0)</f>
        <v>0</v>
      </c>
      <c r="M922" s="71"/>
      <c r="N922" s="10">
        <f>ROUND(M924*L922,0)</f>
        <v>0</v>
      </c>
      <c r="O922" s="70">
        <v>0</v>
      </c>
      <c r="P922" s="10">
        <f>N922-O922</f>
        <v>0</v>
      </c>
      <c r="Q922" s="46">
        <f t="shared" si="149"/>
        <v>0</v>
      </c>
      <c r="R922" s="10">
        <v>0</v>
      </c>
      <c r="S922" s="7">
        <f t="shared" si="142"/>
        <v>0</v>
      </c>
      <c r="T922" s="124">
        <f t="shared" si="143"/>
        <v>183</v>
      </c>
      <c r="U922" s="124">
        <f t="shared" si="144"/>
        <v>998</v>
      </c>
      <c r="V922" s="124">
        <f t="shared" si="145"/>
        <v>913</v>
      </c>
      <c r="W922" s="124">
        <f t="shared" si="146"/>
        <v>0</v>
      </c>
      <c r="X922" s="124">
        <f t="shared" si="147"/>
        <v>0</v>
      </c>
      <c r="Y922" s="264">
        <f t="shared" si="148"/>
        <v>913</v>
      </c>
      <c r="Z922" s="10">
        <v>183</v>
      </c>
      <c r="AA922" s="7">
        <v>998</v>
      </c>
      <c r="AB922" s="7">
        <v>913</v>
      </c>
      <c r="AC922" s="109">
        <v>0</v>
      </c>
      <c r="AD922" s="109">
        <v>0</v>
      </c>
      <c r="AE922" s="125"/>
      <c r="AF922" s="10"/>
      <c r="AI922" s="109"/>
      <c r="AJ922" s="109"/>
      <c r="AL922" s="10"/>
      <c r="AO922" s="109"/>
      <c r="AP922" s="109"/>
      <c r="AR922" s="10"/>
      <c r="AU922" s="109"/>
      <c r="AV922" s="109"/>
      <c r="AX922" s="10"/>
      <c r="BA922" s="109"/>
      <c r="BB922" s="109"/>
      <c r="BD922" s="10"/>
      <c r="BG922" s="109"/>
      <c r="BH922" s="109"/>
      <c r="BJ922" s="10"/>
      <c r="BM922" s="109"/>
      <c r="BN922" s="109"/>
      <c r="BP922" s="10"/>
      <c r="BS922" s="109"/>
      <c r="BT922" s="109"/>
      <c r="BV922" s="10"/>
      <c r="BY922" s="109"/>
      <c r="BZ922" s="109"/>
      <c r="CB922" s="10"/>
      <c r="CE922" s="109"/>
      <c r="CF922" s="109"/>
      <c r="CH922" s="10"/>
      <c r="CK922" s="109"/>
      <c r="CL922" s="109"/>
    </row>
    <row r="923" spans="1:90">
      <c r="A923" s="7" t="str">
        <f t="shared" si="141"/>
        <v>01830998</v>
      </c>
      <c r="B923" s="7" t="s">
        <v>2522</v>
      </c>
      <c r="C923" s="7" t="s">
        <v>2781</v>
      </c>
      <c r="D923" s="7">
        <v>914</v>
      </c>
      <c r="E923" s="7">
        <v>183</v>
      </c>
      <c r="F923" s="7" t="s">
        <v>2135</v>
      </c>
      <c r="G923" s="7">
        <v>998</v>
      </c>
      <c r="H923" s="7" t="s">
        <v>2135</v>
      </c>
      <c r="I923" s="37">
        <v>0</v>
      </c>
      <c r="J923" s="122">
        <v>0</v>
      </c>
      <c r="K923" s="123">
        <f t="shared" si="140"/>
        <v>0</v>
      </c>
      <c r="L923" s="122">
        <f>IF(K924&gt;0, K923/K924, 0)</f>
        <v>0</v>
      </c>
      <c r="M923" s="71"/>
      <c r="N923" s="10">
        <f>ROUND(M924*L923,0)</f>
        <v>0</v>
      </c>
      <c r="O923" s="70">
        <v>0</v>
      </c>
      <c r="P923" s="10">
        <f>N923-O923</f>
        <v>0</v>
      </c>
      <c r="Q923" s="46">
        <f t="shared" si="149"/>
        <v>0</v>
      </c>
      <c r="R923" s="10">
        <v>0</v>
      </c>
      <c r="S923" s="7">
        <f t="shared" si="142"/>
        <v>0</v>
      </c>
      <c r="T923" s="124">
        <f t="shared" si="143"/>
        <v>183</v>
      </c>
      <c r="U923" s="124">
        <f t="shared" si="144"/>
        <v>998</v>
      </c>
      <c r="V923" s="124">
        <f t="shared" si="145"/>
        <v>914</v>
      </c>
      <c r="W923" s="124">
        <f t="shared" si="146"/>
        <v>0</v>
      </c>
      <c r="X923" s="124">
        <f t="shared" si="147"/>
        <v>0</v>
      </c>
      <c r="Y923" s="264">
        <f t="shared" si="148"/>
        <v>914</v>
      </c>
      <c r="Z923" s="10">
        <v>183</v>
      </c>
      <c r="AA923" s="7">
        <v>998</v>
      </c>
      <c r="AB923" s="7">
        <v>914</v>
      </c>
      <c r="AC923" s="109">
        <v>0</v>
      </c>
      <c r="AD923" s="109">
        <v>0</v>
      </c>
      <c r="AE923" s="125"/>
      <c r="AF923" s="10"/>
      <c r="AI923" s="109"/>
      <c r="AJ923" s="109"/>
      <c r="AL923" s="10"/>
      <c r="AO923" s="109"/>
      <c r="AP923" s="109"/>
      <c r="AR923" s="10"/>
      <c r="AU923" s="109"/>
      <c r="AV923" s="109"/>
      <c r="AX923" s="10"/>
      <c r="BA923" s="109"/>
      <c r="BB923" s="109"/>
      <c r="BD923" s="10"/>
      <c r="BG923" s="109"/>
      <c r="BH923" s="109"/>
      <c r="BJ923" s="10"/>
      <c r="BM923" s="109"/>
      <c r="BN923" s="109"/>
      <c r="BP923" s="10"/>
      <c r="BS923" s="109"/>
      <c r="BT923" s="109"/>
      <c r="BV923" s="10"/>
      <c r="BY923" s="109"/>
      <c r="BZ923" s="109"/>
      <c r="CB923" s="10"/>
      <c r="CE923" s="109"/>
      <c r="CF923" s="109"/>
      <c r="CH923" s="10"/>
      <c r="CK923" s="109"/>
      <c r="CL923" s="109"/>
    </row>
    <row r="924" spans="1:90">
      <c r="A924" s="7" t="str">
        <f t="shared" si="141"/>
        <v>01830999</v>
      </c>
      <c r="B924" s="7" t="s">
        <v>2522</v>
      </c>
      <c r="C924" s="7" t="s">
        <v>2782</v>
      </c>
      <c r="D924" s="7">
        <v>915</v>
      </c>
      <c r="E924" s="11">
        <v>183</v>
      </c>
      <c r="F924" s="11" t="s">
        <v>1888</v>
      </c>
      <c r="G924" s="11">
        <v>999</v>
      </c>
      <c r="H924" s="11" t="s">
        <v>1132</v>
      </c>
      <c r="I924" s="105">
        <v>438187.84</v>
      </c>
      <c r="J924" s="126">
        <v>1</v>
      </c>
      <c r="K924" s="127">
        <f>SUM(K920:K923)</f>
        <v>432596.25119522359</v>
      </c>
      <c r="L924" s="126">
        <f>SUM(L920:L923)</f>
        <v>1</v>
      </c>
      <c r="M924" s="105">
        <f>VLOOKUP(E924,town351,22)</f>
        <v>359400</v>
      </c>
      <c r="N924" s="105">
        <f>SUM(N920:N923)</f>
        <v>359400</v>
      </c>
      <c r="O924" s="128">
        <v>363683</v>
      </c>
      <c r="P924" s="105">
        <f>SUM(P920:P923)</f>
        <v>-4283</v>
      </c>
      <c r="Q924" s="45">
        <f t="shared" si="149"/>
        <v>-1.177673963314205</v>
      </c>
      <c r="R924" s="105">
        <v>42</v>
      </c>
      <c r="S924" s="7">
        <f t="shared" si="142"/>
        <v>0</v>
      </c>
      <c r="T924" s="124">
        <f t="shared" si="143"/>
        <v>183</v>
      </c>
      <c r="U924" s="124">
        <f t="shared" si="144"/>
        <v>999</v>
      </c>
      <c r="V924" s="124">
        <f t="shared" si="145"/>
        <v>915</v>
      </c>
      <c r="W924" s="124">
        <f t="shared" si="146"/>
        <v>40.298773693599998</v>
      </c>
      <c r="X924" s="124">
        <f t="shared" si="147"/>
        <v>432596.25119522359</v>
      </c>
      <c r="Y924" s="264">
        <f t="shared" si="148"/>
        <v>915</v>
      </c>
      <c r="Z924" s="10">
        <v>183</v>
      </c>
      <c r="AA924" s="7">
        <v>999</v>
      </c>
      <c r="AB924" s="7">
        <v>915</v>
      </c>
      <c r="AC924" s="109">
        <v>40.298773693599998</v>
      </c>
      <c r="AD924" s="109">
        <v>432596.25119522359</v>
      </c>
      <c r="AE924" s="125"/>
      <c r="AF924" s="10"/>
      <c r="AI924" s="109"/>
      <c r="AJ924" s="109"/>
      <c r="AL924" s="10"/>
      <c r="AO924" s="109"/>
      <c r="AP924" s="109"/>
      <c r="AR924" s="10"/>
      <c r="AU924" s="109"/>
      <c r="AV924" s="109"/>
      <c r="AX924" s="10"/>
      <c r="BA924" s="109"/>
      <c r="BB924" s="109"/>
      <c r="BD924" s="10"/>
      <c r="BG924" s="109"/>
      <c r="BH924" s="109"/>
      <c r="BJ924" s="10"/>
      <c r="BM924" s="109"/>
      <c r="BN924" s="109"/>
      <c r="BP924" s="10"/>
      <c r="BS924" s="109"/>
      <c r="BT924" s="109"/>
      <c r="BV924" s="10"/>
      <c r="BY924" s="109"/>
      <c r="BZ924" s="109"/>
      <c r="CB924" s="10"/>
      <c r="CE924" s="109"/>
      <c r="CF924" s="109"/>
      <c r="CH924" s="10"/>
      <c r="CK924" s="109"/>
      <c r="CL924" s="109"/>
    </row>
    <row r="925" spans="1:90">
      <c r="A925" s="7" t="str">
        <f t="shared" si="141"/>
        <v>01840184</v>
      </c>
      <c r="B925" s="7" t="s">
        <v>2523</v>
      </c>
      <c r="C925" s="7" t="s">
        <v>2523</v>
      </c>
      <c r="D925" s="7">
        <v>916</v>
      </c>
      <c r="E925" s="7">
        <v>184</v>
      </c>
      <c r="F925" s="7" t="s">
        <v>1889</v>
      </c>
      <c r="G925" s="7">
        <v>184</v>
      </c>
      <c r="H925" s="7" t="s">
        <v>1450</v>
      </c>
      <c r="I925" s="37">
        <v>6306838.4600999998</v>
      </c>
      <c r="J925" s="122">
        <v>0.45527777353184468</v>
      </c>
      <c r="K925" s="123">
        <f t="shared" ref="K925:K988" si="150">X925</f>
        <v>6172360.6719304342</v>
      </c>
      <c r="L925" s="122">
        <f>IF(K929&gt;0, K925/K929, 0)</f>
        <v>0.45653555243316307</v>
      </c>
      <c r="M925" s="71"/>
      <c r="N925" s="10">
        <f>ROUND(M929*L925,0)</f>
        <v>5171627</v>
      </c>
      <c r="O925" s="70">
        <v>5269521</v>
      </c>
      <c r="P925" s="10">
        <f>N925-O925</f>
        <v>-97894</v>
      </c>
      <c r="Q925" s="46">
        <f t="shared" si="149"/>
        <v>-1.8577400109042168</v>
      </c>
      <c r="R925" s="10">
        <v>686</v>
      </c>
      <c r="S925" s="7">
        <f t="shared" si="142"/>
        <v>0</v>
      </c>
      <c r="T925" s="124">
        <f t="shared" si="143"/>
        <v>184</v>
      </c>
      <c r="U925" s="124">
        <f t="shared" si="144"/>
        <v>184</v>
      </c>
      <c r="V925" s="124">
        <f t="shared" si="145"/>
        <v>916</v>
      </c>
      <c r="W925" s="124">
        <f t="shared" si="146"/>
        <v>666</v>
      </c>
      <c r="X925" s="124">
        <f t="shared" si="147"/>
        <v>6172360.6719304342</v>
      </c>
      <c r="Y925" s="264">
        <f t="shared" si="148"/>
        <v>916</v>
      </c>
      <c r="Z925" s="10">
        <v>184</v>
      </c>
      <c r="AA925" s="7">
        <v>184</v>
      </c>
      <c r="AB925" s="7">
        <v>916</v>
      </c>
      <c r="AC925" s="109">
        <v>666</v>
      </c>
      <c r="AD925" s="109">
        <v>6172360.6719304342</v>
      </c>
      <c r="AE925" s="125"/>
      <c r="AF925" s="10"/>
      <c r="AI925" s="109"/>
      <c r="AJ925" s="109"/>
      <c r="AL925" s="10"/>
      <c r="AO925" s="109"/>
      <c r="AP925" s="109"/>
      <c r="AR925" s="10"/>
      <c r="AU925" s="109"/>
      <c r="AV925" s="109"/>
      <c r="AX925" s="10"/>
      <c r="BA925" s="109"/>
      <c r="BB925" s="109"/>
      <c r="BD925" s="10"/>
      <c r="BG925" s="109"/>
      <c r="BH925" s="109"/>
      <c r="BJ925" s="10"/>
      <c r="BM925" s="109"/>
      <c r="BN925" s="109"/>
      <c r="BP925" s="10"/>
      <c r="BS925" s="109"/>
      <c r="BT925" s="109"/>
      <c r="BV925" s="10"/>
      <c r="BY925" s="109"/>
      <c r="BZ925" s="109"/>
      <c r="CB925" s="10"/>
      <c r="CE925" s="109"/>
      <c r="CF925" s="109"/>
      <c r="CH925" s="10"/>
      <c r="CK925" s="109"/>
      <c r="CL925" s="109"/>
    </row>
    <row r="926" spans="1:90">
      <c r="A926" s="7" t="str">
        <f t="shared" si="141"/>
        <v>01840705</v>
      </c>
      <c r="B926" s="7" t="s">
        <v>2523</v>
      </c>
      <c r="C926" s="7" t="s">
        <v>2726</v>
      </c>
      <c r="D926" s="7">
        <v>917</v>
      </c>
      <c r="E926" s="7">
        <v>184</v>
      </c>
      <c r="F926" s="7" t="s">
        <v>1889</v>
      </c>
      <c r="G926" s="7">
        <v>705</v>
      </c>
      <c r="H926" s="7" t="s">
        <v>1653</v>
      </c>
      <c r="I926" s="37">
        <v>6978250</v>
      </c>
      <c r="J926" s="122">
        <v>0.50374559983548728</v>
      </c>
      <c r="K926" s="123">
        <f t="shared" si="150"/>
        <v>6743162.413892379</v>
      </c>
      <c r="L926" s="122">
        <f>IF(K929&gt;0, K926/K929, 0)</f>
        <v>0.49875461616699168</v>
      </c>
      <c r="M926" s="71"/>
      <c r="N926" s="10">
        <f>ROUND(M929*L926,0)</f>
        <v>5649884</v>
      </c>
      <c r="O926" s="70">
        <v>5830502</v>
      </c>
      <c r="P926" s="10">
        <f>N926-O926</f>
        <v>-180618</v>
      </c>
      <c r="Q926" s="46">
        <f t="shared" si="149"/>
        <v>-3.0978121609425742</v>
      </c>
      <c r="R926" s="10">
        <v>710</v>
      </c>
      <c r="S926" s="7">
        <f t="shared" si="142"/>
        <v>0</v>
      </c>
      <c r="T926" s="124">
        <f t="shared" si="143"/>
        <v>184</v>
      </c>
      <c r="U926" s="124">
        <f t="shared" si="144"/>
        <v>705</v>
      </c>
      <c r="V926" s="124">
        <f t="shared" si="145"/>
        <v>917</v>
      </c>
      <c r="W926" s="124">
        <f t="shared" si="146"/>
        <v>668.3551302553401</v>
      </c>
      <c r="X926" s="124">
        <f t="shared" si="147"/>
        <v>6743162.413892379</v>
      </c>
      <c r="Y926" s="264">
        <f t="shared" si="148"/>
        <v>917</v>
      </c>
      <c r="Z926" s="10">
        <v>184</v>
      </c>
      <c r="AA926" s="7">
        <v>705</v>
      </c>
      <c r="AB926" s="7">
        <v>917</v>
      </c>
      <c r="AC926" s="109">
        <v>668.3551302553401</v>
      </c>
      <c r="AD926" s="109">
        <v>6743162.413892379</v>
      </c>
      <c r="AE926" s="125"/>
      <c r="AF926" s="10"/>
      <c r="AI926" s="109"/>
      <c r="AJ926" s="109"/>
      <c r="AL926" s="10"/>
      <c r="AO926" s="109"/>
      <c r="AP926" s="109"/>
      <c r="AR926" s="10"/>
      <c r="AU926" s="109"/>
      <c r="AV926" s="109"/>
      <c r="AX926" s="10"/>
      <c r="BA926" s="109"/>
      <c r="BB926" s="109"/>
      <c r="BD926" s="10"/>
      <c r="BG926" s="109"/>
      <c r="BH926" s="109"/>
      <c r="BJ926" s="10"/>
      <c r="BM926" s="109"/>
      <c r="BN926" s="109"/>
      <c r="BP926" s="10"/>
      <c r="BS926" s="109"/>
      <c r="BT926" s="109"/>
      <c r="BV926" s="10"/>
      <c r="BY926" s="109"/>
      <c r="BZ926" s="109"/>
      <c r="CB926" s="10"/>
      <c r="CE926" s="109"/>
      <c r="CF926" s="109"/>
      <c r="CH926" s="10"/>
      <c r="CK926" s="109"/>
      <c r="CL926" s="109"/>
    </row>
    <row r="927" spans="1:90">
      <c r="A927" s="7" t="str">
        <f t="shared" si="141"/>
        <v>01840817</v>
      </c>
      <c r="B927" s="7" t="s">
        <v>2523</v>
      </c>
      <c r="C927" s="7" t="s">
        <v>2757</v>
      </c>
      <c r="D927" s="7">
        <v>918</v>
      </c>
      <c r="E927" s="7">
        <v>184</v>
      </c>
      <c r="F927" s="7" t="s">
        <v>1889</v>
      </c>
      <c r="G927" s="7">
        <v>817</v>
      </c>
      <c r="H927" s="7" t="s">
        <v>1684</v>
      </c>
      <c r="I927" s="37">
        <v>567638</v>
      </c>
      <c r="J927" s="122">
        <v>4.0976626632668121E-2</v>
      </c>
      <c r="K927" s="123">
        <f t="shared" si="150"/>
        <v>604476.92082304356</v>
      </c>
      <c r="L927" s="122">
        <f>IF(K929&gt;0, K927/K929, 0)</f>
        <v>4.4709831399845301E-2</v>
      </c>
      <c r="M927" s="71"/>
      <c r="N927" s="10">
        <f>ROUND(M929*L927,0)</f>
        <v>506472</v>
      </c>
      <c r="O927" s="70">
        <v>474276</v>
      </c>
      <c r="P927" s="10">
        <f>N927-O927</f>
        <v>32196</v>
      </c>
      <c r="Q927" s="46">
        <f t="shared" si="149"/>
        <v>6.7884522936011944</v>
      </c>
      <c r="R927" s="10">
        <v>36</v>
      </c>
      <c r="S927" s="7">
        <f t="shared" si="142"/>
        <v>0</v>
      </c>
      <c r="T927" s="124">
        <f t="shared" si="143"/>
        <v>184</v>
      </c>
      <c r="U927" s="124">
        <f t="shared" si="144"/>
        <v>817</v>
      </c>
      <c r="V927" s="124">
        <f t="shared" si="145"/>
        <v>918</v>
      </c>
      <c r="W927" s="124">
        <f t="shared" si="146"/>
        <v>38.000000002379998</v>
      </c>
      <c r="X927" s="124">
        <f t="shared" si="147"/>
        <v>604476.92082304356</v>
      </c>
      <c r="Y927" s="264">
        <f t="shared" si="148"/>
        <v>918</v>
      </c>
      <c r="Z927" s="10">
        <v>184</v>
      </c>
      <c r="AA927" s="7">
        <v>817</v>
      </c>
      <c r="AB927" s="7">
        <v>918</v>
      </c>
      <c r="AC927" s="109">
        <v>38.000000002379998</v>
      </c>
      <c r="AD927" s="109">
        <v>604476.92082304356</v>
      </c>
      <c r="AE927" s="125"/>
      <c r="AF927" s="10"/>
      <c r="AI927" s="109"/>
      <c r="AJ927" s="109"/>
      <c r="AL927" s="10"/>
      <c r="AO927" s="109"/>
      <c r="AP927" s="109"/>
      <c r="AR927" s="10"/>
      <c r="AU927" s="109"/>
      <c r="AV927" s="109"/>
      <c r="AX927" s="10"/>
      <c r="BA927" s="109"/>
      <c r="BB927" s="109"/>
      <c r="BD927" s="10"/>
      <c r="BG927" s="109"/>
      <c r="BH927" s="109"/>
      <c r="BJ927" s="10"/>
      <c r="BM927" s="109"/>
      <c r="BN927" s="109"/>
      <c r="BP927" s="10"/>
      <c r="BS927" s="109"/>
      <c r="BT927" s="109"/>
      <c r="BV927" s="10"/>
      <c r="BY927" s="109"/>
      <c r="BZ927" s="109"/>
      <c r="CB927" s="10"/>
      <c r="CE927" s="109"/>
      <c r="CF927" s="109"/>
      <c r="CH927" s="10"/>
      <c r="CK927" s="109"/>
      <c r="CL927" s="109"/>
    </row>
    <row r="928" spans="1:90">
      <c r="A928" s="7" t="str">
        <f t="shared" si="141"/>
        <v>01840998</v>
      </c>
      <c r="B928" s="7" t="s">
        <v>2523</v>
      </c>
      <c r="C928" s="7" t="s">
        <v>2781</v>
      </c>
      <c r="D928" s="7">
        <v>919</v>
      </c>
      <c r="E928" s="7">
        <v>184</v>
      </c>
      <c r="F928" s="7" t="s">
        <v>2135</v>
      </c>
      <c r="G928" s="7">
        <v>998</v>
      </c>
      <c r="H928" s="7" t="s">
        <v>2135</v>
      </c>
      <c r="I928" s="37">
        <v>0</v>
      </c>
      <c r="J928" s="122">
        <v>0</v>
      </c>
      <c r="K928" s="123">
        <f t="shared" si="150"/>
        <v>0</v>
      </c>
      <c r="L928" s="122">
        <f>IF(K929&gt;0, K928/K929, 0)</f>
        <v>0</v>
      </c>
      <c r="M928" s="71"/>
      <c r="N928" s="10">
        <f>ROUND(M929*L928,0)</f>
        <v>0</v>
      </c>
      <c r="O928" s="70">
        <v>0</v>
      </c>
      <c r="P928" s="10">
        <f>N928-O928</f>
        <v>0</v>
      </c>
      <c r="Q928" s="46">
        <f t="shared" si="149"/>
        <v>0</v>
      </c>
      <c r="R928" s="10">
        <v>0</v>
      </c>
      <c r="S928" s="7">
        <f t="shared" si="142"/>
        <v>0</v>
      </c>
      <c r="T928" s="124">
        <f t="shared" si="143"/>
        <v>184</v>
      </c>
      <c r="U928" s="124">
        <f t="shared" si="144"/>
        <v>998</v>
      </c>
      <c r="V928" s="124">
        <f t="shared" si="145"/>
        <v>919</v>
      </c>
      <c r="W928" s="124">
        <f t="shared" si="146"/>
        <v>0</v>
      </c>
      <c r="X928" s="124">
        <f t="shared" si="147"/>
        <v>0</v>
      </c>
      <c r="Y928" s="264">
        <f t="shared" si="148"/>
        <v>919</v>
      </c>
      <c r="Z928" s="10">
        <v>184</v>
      </c>
      <c r="AA928" s="7">
        <v>998</v>
      </c>
      <c r="AB928" s="7">
        <v>919</v>
      </c>
      <c r="AC928" s="109">
        <v>0</v>
      </c>
      <c r="AD928" s="109">
        <v>0</v>
      </c>
      <c r="AE928" s="125"/>
      <c r="AF928" s="10"/>
      <c r="AI928" s="109"/>
      <c r="AJ928" s="109"/>
      <c r="AL928" s="10"/>
      <c r="AO928" s="109"/>
      <c r="AP928" s="109"/>
      <c r="AR928" s="10"/>
      <c r="AU928" s="109"/>
      <c r="AV928" s="109"/>
      <c r="AX928" s="10"/>
      <c r="BA928" s="109"/>
      <c r="BB928" s="109"/>
      <c r="BD928" s="10"/>
      <c r="BG928" s="109"/>
      <c r="BH928" s="109"/>
      <c r="BJ928" s="10"/>
      <c r="BM928" s="109"/>
      <c r="BN928" s="109"/>
      <c r="BP928" s="10"/>
      <c r="BS928" s="109"/>
      <c r="BT928" s="109"/>
      <c r="BV928" s="10"/>
      <c r="BY928" s="109"/>
      <c r="BZ928" s="109"/>
      <c r="CB928" s="10"/>
      <c r="CE928" s="109"/>
      <c r="CF928" s="109"/>
      <c r="CH928" s="10"/>
      <c r="CK928" s="109"/>
      <c r="CL928" s="109"/>
    </row>
    <row r="929" spans="1:90">
      <c r="A929" s="7" t="str">
        <f t="shared" si="141"/>
        <v>01840999</v>
      </c>
      <c r="B929" s="7" t="s">
        <v>2523</v>
      </c>
      <c r="C929" s="7" t="s">
        <v>2782</v>
      </c>
      <c r="D929" s="7">
        <v>920</v>
      </c>
      <c r="E929" s="11">
        <v>184</v>
      </c>
      <c r="F929" s="11" t="s">
        <v>1889</v>
      </c>
      <c r="G929" s="11">
        <v>999</v>
      </c>
      <c r="H929" s="11" t="s">
        <v>1132</v>
      </c>
      <c r="I929" s="105">
        <v>13852726.460099999</v>
      </c>
      <c r="J929" s="126">
        <v>1</v>
      </c>
      <c r="K929" s="127">
        <f>SUM(K925:K928)</f>
        <v>13520000.006645856</v>
      </c>
      <c r="L929" s="126">
        <f>SUM(L925:L928)</f>
        <v>1</v>
      </c>
      <c r="M929" s="105">
        <f>VLOOKUP(E929,town351,22)</f>
        <v>11327984</v>
      </c>
      <c r="N929" s="105">
        <f>SUM(N925:N928)</f>
        <v>11327983</v>
      </c>
      <c r="O929" s="128">
        <v>11574299</v>
      </c>
      <c r="P929" s="105">
        <f>SUM(P925:P928)</f>
        <v>-246316</v>
      </c>
      <c r="Q929" s="45">
        <f t="shared" si="149"/>
        <v>-2.1281288827945435</v>
      </c>
      <c r="R929" s="105">
        <v>1432</v>
      </c>
      <c r="S929" s="7">
        <f t="shared" si="142"/>
        <v>0</v>
      </c>
      <c r="T929" s="124">
        <f t="shared" si="143"/>
        <v>184</v>
      </c>
      <c r="U929" s="124">
        <f t="shared" si="144"/>
        <v>999</v>
      </c>
      <c r="V929" s="124">
        <f t="shared" si="145"/>
        <v>920</v>
      </c>
      <c r="W929" s="124">
        <f t="shared" si="146"/>
        <v>1372.35513025772</v>
      </c>
      <c r="X929" s="124">
        <f t="shared" si="147"/>
        <v>13520000.006645856</v>
      </c>
      <c r="Y929" s="264">
        <f t="shared" si="148"/>
        <v>920</v>
      </c>
      <c r="Z929" s="10">
        <v>184</v>
      </c>
      <c r="AA929" s="7">
        <v>999</v>
      </c>
      <c r="AB929" s="7">
        <v>920</v>
      </c>
      <c r="AC929" s="109">
        <v>1372.35513025772</v>
      </c>
      <c r="AD929" s="109">
        <v>13520000.006645856</v>
      </c>
      <c r="AE929" s="125"/>
      <c r="AF929" s="10"/>
      <c r="AI929" s="109"/>
      <c r="AJ929" s="109"/>
      <c r="AL929" s="10"/>
      <c r="AO929" s="109"/>
      <c r="AP929" s="109"/>
      <c r="AR929" s="10"/>
      <c r="AU929" s="109"/>
      <c r="AV929" s="109"/>
      <c r="AX929" s="10"/>
      <c r="BA929" s="109"/>
      <c r="BB929" s="109"/>
      <c r="BD929" s="10"/>
      <c r="BG929" s="109"/>
      <c r="BH929" s="109"/>
      <c r="BJ929" s="10"/>
      <c r="BM929" s="109"/>
      <c r="BN929" s="109"/>
      <c r="BP929" s="10"/>
      <c r="BS929" s="109"/>
      <c r="BT929" s="109"/>
      <c r="BV929" s="10"/>
      <c r="BY929" s="109"/>
      <c r="BZ929" s="109"/>
      <c r="CB929" s="10"/>
      <c r="CE929" s="109"/>
      <c r="CF929" s="109"/>
      <c r="CH929" s="10"/>
      <c r="CK929" s="109"/>
      <c r="CL929" s="109"/>
    </row>
    <row r="930" spans="1:90">
      <c r="A930" s="7" t="str">
        <f t="shared" si="141"/>
        <v>01850185</v>
      </c>
      <c r="B930" s="7" t="s">
        <v>2524</v>
      </c>
      <c r="C930" s="7" t="s">
        <v>2524</v>
      </c>
      <c r="D930" s="7">
        <v>921</v>
      </c>
      <c r="E930" s="7">
        <v>185</v>
      </c>
      <c r="F930" s="7" t="s">
        <v>1890</v>
      </c>
      <c r="G930" s="7">
        <v>185</v>
      </c>
      <c r="H930" s="7" t="s">
        <v>1451</v>
      </c>
      <c r="I930" s="37">
        <v>45013216.029600002</v>
      </c>
      <c r="J930" s="122">
        <v>0.94595959844497945</v>
      </c>
      <c r="K930" s="123">
        <f>X930</f>
        <v>46388900.526972406</v>
      </c>
      <c r="L930" s="122">
        <f>IF(K934&gt;0, K930/K934, 0)</f>
        <v>0.95020280007097224</v>
      </c>
      <c r="M930" s="71"/>
      <c r="N930" s="10">
        <f>ROUND(M934*L930,0)</f>
        <v>23243232</v>
      </c>
      <c r="O930" s="70">
        <v>22766643</v>
      </c>
      <c r="P930" s="10">
        <f>N930-O930</f>
        <v>476589</v>
      </c>
      <c r="Q930" s="46">
        <f t="shared" si="149"/>
        <v>2.0933652800722529</v>
      </c>
      <c r="R930" s="10">
        <v>4187</v>
      </c>
      <c r="S930" s="7">
        <f t="shared" si="142"/>
        <v>0</v>
      </c>
      <c r="T930" s="124">
        <f t="shared" si="143"/>
        <v>185</v>
      </c>
      <c r="U930" s="124">
        <f t="shared" si="144"/>
        <v>185</v>
      </c>
      <c r="V930" s="124">
        <f t="shared" si="145"/>
        <v>921</v>
      </c>
      <c r="W930" s="124">
        <f t="shared" si="146"/>
        <v>4244</v>
      </c>
      <c r="X930" s="124">
        <f t="shared" si="147"/>
        <v>46388900.526972406</v>
      </c>
      <c r="Y930" s="264">
        <f t="shared" si="148"/>
        <v>921</v>
      </c>
      <c r="Z930" s="10">
        <v>185</v>
      </c>
      <c r="AA930" s="7">
        <v>185</v>
      </c>
      <c r="AB930" s="7">
        <v>921</v>
      </c>
      <c r="AC930" s="109">
        <v>4244</v>
      </c>
      <c r="AD930" s="109">
        <v>46388900.526972406</v>
      </c>
      <c r="AE930" s="125"/>
      <c r="AF930" s="10"/>
      <c r="AI930" s="109"/>
      <c r="AJ930" s="109"/>
      <c r="AL930" s="10"/>
      <c r="AO930" s="109"/>
      <c r="AP930" s="109"/>
      <c r="AR930" s="10"/>
      <c r="AU930" s="109"/>
      <c r="AV930" s="109"/>
      <c r="AX930" s="10"/>
      <c r="BA930" s="109"/>
      <c r="BB930" s="109"/>
      <c r="BD930" s="10"/>
      <c r="BG930" s="109"/>
      <c r="BH930" s="109"/>
      <c r="BJ930" s="10"/>
      <c r="BM930" s="109"/>
      <c r="BN930" s="109"/>
      <c r="BP930" s="10"/>
      <c r="BS930" s="109"/>
      <c r="BT930" s="109"/>
      <c r="BV930" s="10"/>
      <c r="BY930" s="109"/>
      <c r="BZ930" s="109"/>
      <c r="CB930" s="10"/>
      <c r="CE930" s="109"/>
      <c r="CF930" s="109"/>
      <c r="CH930" s="10"/>
      <c r="CK930" s="109"/>
      <c r="CL930" s="109"/>
    </row>
    <row r="931" spans="1:90">
      <c r="A931" s="7" t="str">
        <f t="shared" si="141"/>
        <v>01850805</v>
      </c>
      <c r="B931" s="7" t="s">
        <v>2524</v>
      </c>
      <c r="C931" s="7" t="s">
        <v>2753</v>
      </c>
      <c r="D931" s="7">
        <v>922</v>
      </c>
      <c r="E931" s="7">
        <v>185</v>
      </c>
      <c r="F931" s="7" t="s">
        <v>1890</v>
      </c>
      <c r="G931" s="7">
        <v>805</v>
      </c>
      <c r="H931" s="7" t="s">
        <v>1680</v>
      </c>
      <c r="I931" s="37">
        <v>2571497</v>
      </c>
      <c r="J931" s="122">
        <v>5.4040401555020497E-2</v>
      </c>
      <c r="K931" s="123">
        <f t="shared" si="150"/>
        <v>2431099.2914953372</v>
      </c>
      <c r="L931" s="122">
        <f>IF(K934&gt;0, K931/K934, 0)</f>
        <v>4.9797199929027758E-2</v>
      </c>
      <c r="M931" s="71"/>
      <c r="N931" s="10">
        <f>ROUND(M934*L931,0)</f>
        <v>1218106</v>
      </c>
      <c r="O931" s="70">
        <v>1300604</v>
      </c>
      <c r="P931" s="10">
        <f>N931-O931</f>
        <v>-82498</v>
      </c>
      <c r="Q931" s="46">
        <f t="shared" si="149"/>
        <v>-6.3430529200279251</v>
      </c>
      <c r="R931" s="10">
        <v>173</v>
      </c>
      <c r="S931" s="7">
        <f t="shared" si="142"/>
        <v>0</v>
      </c>
      <c r="T931" s="124">
        <f t="shared" si="143"/>
        <v>185</v>
      </c>
      <c r="U931" s="124">
        <f t="shared" si="144"/>
        <v>805</v>
      </c>
      <c r="V931" s="124">
        <f t="shared" si="145"/>
        <v>922</v>
      </c>
      <c r="W931" s="124">
        <f t="shared" si="146"/>
        <v>161.00000000211</v>
      </c>
      <c r="X931" s="124">
        <f t="shared" si="147"/>
        <v>2431099.2914953372</v>
      </c>
      <c r="Y931" s="264">
        <f t="shared" si="148"/>
        <v>922</v>
      </c>
      <c r="Z931" s="10">
        <v>185</v>
      </c>
      <c r="AA931" s="7">
        <v>805</v>
      </c>
      <c r="AB931" s="7">
        <v>922</v>
      </c>
      <c r="AC931" s="109">
        <v>161.00000000211</v>
      </c>
      <c r="AD931" s="109">
        <v>2431099.2914953372</v>
      </c>
      <c r="AE931" s="125"/>
      <c r="AF931" s="10"/>
      <c r="AI931" s="109"/>
      <c r="AJ931" s="109"/>
      <c r="AL931" s="10"/>
      <c r="AO931" s="109"/>
      <c r="AP931" s="109"/>
      <c r="AR931" s="10"/>
      <c r="AU931" s="109"/>
      <c r="AV931" s="109"/>
      <c r="AX931" s="10"/>
      <c r="BA931" s="109"/>
      <c r="BB931" s="109"/>
      <c r="BD931" s="10"/>
      <c r="BG931" s="109"/>
      <c r="BH931" s="109"/>
      <c r="BJ931" s="10"/>
      <c r="BM931" s="109"/>
      <c r="BN931" s="109"/>
      <c r="BP931" s="10"/>
      <c r="BS931" s="109"/>
      <c r="BT931" s="109"/>
      <c r="BV931" s="10"/>
      <c r="BY931" s="109"/>
      <c r="BZ931" s="109"/>
      <c r="CB931" s="10"/>
      <c r="CE931" s="109"/>
      <c r="CF931" s="109"/>
      <c r="CH931" s="10"/>
      <c r="CK931" s="109"/>
      <c r="CL931" s="109"/>
    </row>
    <row r="932" spans="1:90">
      <c r="A932" s="7" t="str">
        <f t="shared" si="141"/>
        <v>01850998</v>
      </c>
      <c r="B932" s="7" t="s">
        <v>2524</v>
      </c>
      <c r="C932" s="7" t="s">
        <v>2781</v>
      </c>
      <c r="D932" s="7">
        <v>923</v>
      </c>
      <c r="E932" s="7">
        <v>185</v>
      </c>
      <c r="F932" s="7" t="s">
        <v>2135</v>
      </c>
      <c r="G932" s="7">
        <v>998</v>
      </c>
      <c r="H932" s="7" t="s">
        <v>2135</v>
      </c>
      <c r="I932" s="37">
        <v>0</v>
      </c>
      <c r="J932" s="122">
        <v>0</v>
      </c>
      <c r="K932" s="123">
        <f t="shared" si="150"/>
        <v>0</v>
      </c>
      <c r="L932" s="122">
        <f>IF(K934&gt;0, K932/K934, 0)</f>
        <v>0</v>
      </c>
      <c r="M932" s="71"/>
      <c r="N932" s="10">
        <f>ROUND(M934*L932,0)</f>
        <v>0</v>
      </c>
      <c r="O932" s="70">
        <v>0</v>
      </c>
      <c r="P932" s="10">
        <f>N932-O932</f>
        <v>0</v>
      </c>
      <c r="Q932" s="46">
        <f t="shared" si="149"/>
        <v>0</v>
      </c>
      <c r="R932" s="10">
        <v>0</v>
      </c>
      <c r="S932" s="7">
        <f t="shared" si="142"/>
        <v>0</v>
      </c>
      <c r="T932" s="124">
        <f t="shared" si="143"/>
        <v>185</v>
      </c>
      <c r="U932" s="124">
        <f t="shared" si="144"/>
        <v>998</v>
      </c>
      <c r="V932" s="124">
        <f t="shared" si="145"/>
        <v>923</v>
      </c>
      <c r="W932" s="124">
        <f t="shared" si="146"/>
        <v>0</v>
      </c>
      <c r="X932" s="124">
        <f t="shared" si="147"/>
        <v>0</v>
      </c>
      <c r="Y932" s="264">
        <f t="shared" si="148"/>
        <v>923</v>
      </c>
      <c r="Z932" s="10">
        <v>185</v>
      </c>
      <c r="AA932" s="7">
        <v>998</v>
      </c>
      <c r="AB932" s="7">
        <v>923</v>
      </c>
      <c r="AC932" s="109">
        <v>0</v>
      </c>
      <c r="AD932" s="109">
        <v>0</v>
      </c>
      <c r="AE932" s="125"/>
      <c r="AF932" s="10"/>
      <c r="AI932" s="109"/>
      <c r="AJ932" s="109"/>
      <c r="AL932" s="10"/>
      <c r="AO932" s="109"/>
      <c r="AP932" s="109"/>
      <c r="AR932" s="10"/>
      <c r="AU932" s="109"/>
      <c r="AV932" s="109"/>
      <c r="AX932" s="10"/>
      <c r="BA932" s="109"/>
      <c r="BB932" s="109"/>
      <c r="BD932" s="10"/>
      <c r="BG932" s="109"/>
      <c r="BH932" s="109"/>
      <c r="BJ932" s="10"/>
      <c r="BM932" s="109"/>
      <c r="BN932" s="109"/>
      <c r="BP932" s="10"/>
      <c r="BS932" s="109"/>
      <c r="BT932" s="109"/>
      <c r="BV932" s="10"/>
      <c r="BY932" s="109"/>
      <c r="BZ932" s="109"/>
      <c r="CB932" s="10"/>
      <c r="CE932" s="109"/>
      <c r="CF932" s="109"/>
      <c r="CH932" s="10"/>
      <c r="CK932" s="109"/>
      <c r="CL932" s="109"/>
    </row>
    <row r="933" spans="1:90">
      <c r="A933" s="7" t="str">
        <f t="shared" si="141"/>
        <v>01850998</v>
      </c>
      <c r="B933" s="7" t="s">
        <v>2524</v>
      </c>
      <c r="C933" s="7" t="s">
        <v>2781</v>
      </c>
      <c r="D933" s="7">
        <v>924</v>
      </c>
      <c r="E933" s="7">
        <v>185</v>
      </c>
      <c r="F933" s="7" t="s">
        <v>2135</v>
      </c>
      <c r="G933" s="7">
        <v>998</v>
      </c>
      <c r="H933" s="7" t="s">
        <v>2135</v>
      </c>
      <c r="I933" s="37">
        <v>0</v>
      </c>
      <c r="J933" s="122">
        <v>0</v>
      </c>
      <c r="K933" s="123">
        <f t="shared" si="150"/>
        <v>0</v>
      </c>
      <c r="L933" s="122">
        <f>IF(K934&gt;0, K933/K934, 0)</f>
        <v>0</v>
      </c>
      <c r="M933" s="71"/>
      <c r="N933" s="10">
        <f>ROUND(M934*L933,0)</f>
        <v>0</v>
      </c>
      <c r="O933" s="70">
        <v>0</v>
      </c>
      <c r="P933" s="10">
        <f>N933-O933</f>
        <v>0</v>
      </c>
      <c r="Q933" s="46">
        <f t="shared" si="149"/>
        <v>0</v>
      </c>
      <c r="R933" s="10">
        <v>0</v>
      </c>
      <c r="S933" s="7">
        <f t="shared" si="142"/>
        <v>0</v>
      </c>
      <c r="T933" s="124">
        <f t="shared" si="143"/>
        <v>185</v>
      </c>
      <c r="U933" s="124">
        <f t="shared" si="144"/>
        <v>998</v>
      </c>
      <c r="V933" s="124">
        <f t="shared" si="145"/>
        <v>924</v>
      </c>
      <c r="W933" s="124">
        <f t="shared" si="146"/>
        <v>0</v>
      </c>
      <c r="X933" s="124">
        <f t="shared" si="147"/>
        <v>0</v>
      </c>
      <c r="Y933" s="264">
        <f t="shared" si="148"/>
        <v>924</v>
      </c>
      <c r="Z933" s="10">
        <v>185</v>
      </c>
      <c r="AA933" s="7">
        <v>998</v>
      </c>
      <c r="AB933" s="7">
        <v>924</v>
      </c>
      <c r="AC933" s="109">
        <v>0</v>
      </c>
      <c r="AD933" s="109">
        <v>0</v>
      </c>
      <c r="AE933" s="125"/>
      <c r="AF933" s="10"/>
      <c r="AI933" s="109"/>
      <c r="AJ933" s="109"/>
      <c r="AL933" s="10"/>
      <c r="AO933" s="109"/>
      <c r="AP933" s="109"/>
      <c r="AR933" s="10"/>
      <c r="AU933" s="109"/>
      <c r="AV933" s="109"/>
      <c r="AX933" s="10"/>
      <c r="BA933" s="109"/>
      <c r="BB933" s="109"/>
      <c r="BD933" s="10"/>
      <c r="BG933" s="109"/>
      <c r="BH933" s="109"/>
      <c r="BJ933" s="10"/>
      <c r="BM933" s="109"/>
      <c r="BN933" s="109"/>
      <c r="BP933" s="10"/>
      <c r="BS933" s="109"/>
      <c r="BT933" s="109"/>
      <c r="BV933" s="10"/>
      <c r="BY933" s="109"/>
      <c r="BZ933" s="109"/>
      <c r="CB933" s="10"/>
      <c r="CE933" s="109"/>
      <c r="CF933" s="109"/>
      <c r="CH933" s="10"/>
      <c r="CK933" s="109"/>
      <c r="CL933" s="109"/>
    </row>
    <row r="934" spans="1:90">
      <c r="A934" s="7" t="str">
        <f t="shared" si="141"/>
        <v>01850999</v>
      </c>
      <c r="B934" s="7" t="s">
        <v>2524</v>
      </c>
      <c r="C934" s="7" t="s">
        <v>2782</v>
      </c>
      <c r="D934" s="7">
        <v>925</v>
      </c>
      <c r="E934" s="11">
        <v>185</v>
      </c>
      <c r="F934" s="11" t="s">
        <v>1890</v>
      </c>
      <c r="G934" s="11">
        <v>999</v>
      </c>
      <c r="H934" s="11" t="s">
        <v>1132</v>
      </c>
      <c r="I934" s="105">
        <v>47584713.029600002</v>
      </c>
      <c r="J934" s="126">
        <v>1</v>
      </c>
      <c r="K934" s="127">
        <f>SUM(K930:K933)</f>
        <v>48819999.818467744</v>
      </c>
      <c r="L934" s="126">
        <f>SUM(L930:L933)</f>
        <v>1</v>
      </c>
      <c r="M934" s="105">
        <f>VLOOKUP(E934,town351,22)</f>
        <v>24461338</v>
      </c>
      <c r="N934" s="105">
        <f>SUM(N930:N933)</f>
        <v>24461338</v>
      </c>
      <c r="O934" s="128">
        <v>24067247</v>
      </c>
      <c r="P934" s="105">
        <f>SUM(P930:P933)</f>
        <v>394091</v>
      </c>
      <c r="Q934" s="45">
        <f t="shared" si="149"/>
        <v>1.6374577449593632</v>
      </c>
      <c r="R934" s="105">
        <v>4360</v>
      </c>
      <c r="S934" s="7">
        <f t="shared" si="142"/>
        <v>0</v>
      </c>
      <c r="T934" s="124">
        <f t="shared" si="143"/>
        <v>185</v>
      </c>
      <c r="U934" s="124">
        <f t="shared" si="144"/>
        <v>999</v>
      </c>
      <c r="V934" s="124">
        <f t="shared" si="145"/>
        <v>925</v>
      </c>
      <c r="W934" s="124">
        <f t="shared" si="146"/>
        <v>4405.00000000211</v>
      </c>
      <c r="X934" s="124">
        <f t="shared" si="147"/>
        <v>48819999.818467744</v>
      </c>
      <c r="Y934" s="264">
        <f t="shared" si="148"/>
        <v>925</v>
      </c>
      <c r="Z934" s="10">
        <v>185</v>
      </c>
      <c r="AA934" s="7">
        <v>999</v>
      </c>
      <c r="AB934" s="7">
        <v>925</v>
      </c>
      <c r="AC934" s="109">
        <v>4405.00000000211</v>
      </c>
      <c r="AD934" s="109">
        <v>48819999.818467744</v>
      </c>
      <c r="AE934" s="125"/>
      <c r="AF934" s="10"/>
      <c r="AI934" s="109"/>
      <c r="AJ934" s="109"/>
      <c r="AL934" s="10"/>
      <c r="AO934" s="109"/>
      <c r="AP934" s="109"/>
      <c r="AR934" s="10"/>
      <c r="AU934" s="109"/>
      <c r="AV934" s="109"/>
      <c r="AX934" s="10"/>
      <c r="BA934" s="109"/>
      <c r="BB934" s="109"/>
      <c r="BD934" s="10"/>
      <c r="BG934" s="109"/>
      <c r="BH934" s="109"/>
      <c r="BJ934" s="10"/>
      <c r="BM934" s="109"/>
      <c r="BN934" s="109"/>
      <c r="BP934" s="10"/>
      <c r="BS934" s="109"/>
      <c r="BT934" s="109"/>
      <c r="BV934" s="10"/>
      <c r="BY934" s="109"/>
      <c r="BZ934" s="109"/>
      <c r="CB934" s="10"/>
      <c r="CE934" s="109"/>
      <c r="CF934" s="109"/>
      <c r="CH934" s="10"/>
      <c r="CK934" s="109"/>
      <c r="CL934" s="109"/>
    </row>
    <row r="935" spans="1:90">
      <c r="A935" s="7" t="str">
        <f t="shared" si="141"/>
        <v>01860186</v>
      </c>
      <c r="B935" s="7" t="s">
        <v>2525</v>
      </c>
      <c r="C935" s="7" t="s">
        <v>2525</v>
      </c>
      <c r="D935" s="7">
        <v>926</v>
      </c>
      <c r="E935" s="7">
        <v>186</v>
      </c>
      <c r="F935" s="7" t="s">
        <v>1891</v>
      </c>
      <c r="G935" s="7">
        <v>186</v>
      </c>
      <c r="H935" s="7" t="s">
        <v>1452</v>
      </c>
      <c r="I935" s="37">
        <v>17429845.489999998</v>
      </c>
      <c r="J935" s="122">
        <v>0.94747943906408605</v>
      </c>
      <c r="K935" s="123">
        <f>X935</f>
        <v>17780962.153000448</v>
      </c>
      <c r="L935" s="122">
        <f>IF(K939&gt;0, K935/K939, 0)</f>
        <v>0.94313392187063627</v>
      </c>
      <c r="M935" s="71"/>
      <c r="N935" s="10">
        <f>ROUND(M939*L935,0)</f>
        <v>10630390</v>
      </c>
      <c r="O935" s="70">
        <v>10473626</v>
      </c>
      <c r="P935" s="10">
        <f>N935-O935</f>
        <v>156764</v>
      </c>
      <c r="Q935" s="46">
        <f t="shared" si="149"/>
        <v>1.4967500271634675</v>
      </c>
      <c r="R935" s="10">
        <v>1753</v>
      </c>
      <c r="S935" s="7">
        <f t="shared" si="142"/>
        <v>0</v>
      </c>
      <c r="T935" s="124">
        <f t="shared" si="143"/>
        <v>186</v>
      </c>
      <c r="U935" s="124">
        <f t="shared" si="144"/>
        <v>186</v>
      </c>
      <c r="V935" s="124">
        <f t="shared" si="145"/>
        <v>926</v>
      </c>
      <c r="W935" s="124">
        <f t="shared" si="146"/>
        <v>1748</v>
      </c>
      <c r="X935" s="124">
        <f t="shared" si="147"/>
        <v>17780962.153000448</v>
      </c>
      <c r="Y935" s="264">
        <f t="shared" si="148"/>
        <v>926</v>
      </c>
      <c r="Z935" s="10">
        <v>186</v>
      </c>
      <c r="AA935" s="7">
        <v>186</v>
      </c>
      <c r="AB935" s="7">
        <v>926</v>
      </c>
      <c r="AC935" s="109">
        <v>1748</v>
      </c>
      <c r="AD935" s="109">
        <v>17780962.153000448</v>
      </c>
      <c r="AE935" s="125"/>
      <c r="AF935" s="10"/>
      <c r="AI935" s="109"/>
      <c r="AJ935" s="109"/>
      <c r="AL935" s="10"/>
      <c r="AO935" s="109"/>
      <c r="AP935" s="109"/>
      <c r="AR935" s="10"/>
      <c r="AU935" s="109"/>
      <c r="AV935" s="109"/>
      <c r="AX935" s="10"/>
      <c r="BA935" s="109"/>
      <c r="BB935" s="109"/>
      <c r="BD935" s="10"/>
      <c r="BG935" s="109"/>
      <c r="BH935" s="109"/>
      <c r="BJ935" s="10"/>
      <c r="BM935" s="109"/>
      <c r="BN935" s="109"/>
      <c r="BP935" s="10"/>
      <c r="BS935" s="109"/>
      <c r="BT935" s="109"/>
      <c r="BV935" s="10"/>
      <c r="BY935" s="109"/>
      <c r="BZ935" s="109"/>
      <c r="CB935" s="10"/>
      <c r="CE935" s="109"/>
      <c r="CF935" s="109"/>
      <c r="CH935" s="10"/>
      <c r="CK935" s="109"/>
      <c r="CL935" s="109"/>
    </row>
    <row r="936" spans="1:90">
      <c r="A936" s="7" t="str">
        <f t="shared" si="141"/>
        <v>01860805</v>
      </c>
      <c r="B936" s="7" t="s">
        <v>2525</v>
      </c>
      <c r="C936" s="7" t="s">
        <v>2753</v>
      </c>
      <c r="D936" s="7">
        <v>927</v>
      </c>
      <c r="E936" s="7">
        <v>186</v>
      </c>
      <c r="F936" s="7" t="s">
        <v>1891</v>
      </c>
      <c r="G936" s="7">
        <v>805</v>
      </c>
      <c r="H936" s="7" t="s">
        <v>1680</v>
      </c>
      <c r="I936" s="37">
        <v>966169</v>
      </c>
      <c r="J936" s="122">
        <v>5.2520560935913903E-2</v>
      </c>
      <c r="K936" s="123">
        <f t="shared" si="150"/>
        <v>1072099.6876056297</v>
      </c>
      <c r="L936" s="122">
        <f>IF(K939&gt;0, K936/K939, 0)</f>
        <v>5.6866078129363645E-2</v>
      </c>
      <c r="M936" s="71"/>
      <c r="N936" s="10">
        <f>ROUND(M939*L936,0)</f>
        <v>640957</v>
      </c>
      <c r="O936" s="70">
        <v>580573</v>
      </c>
      <c r="P936" s="10">
        <f>N936-O936</f>
        <v>60384</v>
      </c>
      <c r="Q936" s="46">
        <f t="shared" si="149"/>
        <v>10.400759249913447</v>
      </c>
      <c r="R936" s="10">
        <v>65</v>
      </c>
      <c r="S936" s="7">
        <f t="shared" si="142"/>
        <v>0</v>
      </c>
      <c r="T936" s="124">
        <f t="shared" si="143"/>
        <v>186</v>
      </c>
      <c r="U936" s="124">
        <f t="shared" si="144"/>
        <v>805</v>
      </c>
      <c r="V936" s="124">
        <f t="shared" si="145"/>
        <v>927</v>
      </c>
      <c r="W936" s="124">
        <f t="shared" si="146"/>
        <v>71.000000004360004</v>
      </c>
      <c r="X936" s="124">
        <f t="shared" si="147"/>
        <v>1072099.6876056297</v>
      </c>
      <c r="Y936" s="264">
        <f t="shared" si="148"/>
        <v>927</v>
      </c>
      <c r="Z936" s="10">
        <v>186</v>
      </c>
      <c r="AA936" s="7">
        <v>805</v>
      </c>
      <c r="AB936" s="7">
        <v>927</v>
      </c>
      <c r="AC936" s="109">
        <v>71.000000004360004</v>
      </c>
      <c r="AD936" s="109">
        <v>1072099.6876056297</v>
      </c>
      <c r="AE936" s="125"/>
      <c r="AF936" s="10"/>
      <c r="AI936" s="109"/>
      <c r="AJ936" s="109"/>
      <c r="AL936" s="10"/>
      <c r="AO936" s="109"/>
      <c r="AP936" s="109"/>
      <c r="AR936" s="10"/>
      <c r="AU936" s="109"/>
      <c r="AV936" s="109"/>
      <c r="AX936" s="10"/>
      <c r="BA936" s="109"/>
      <c r="BB936" s="109"/>
      <c r="BD936" s="10"/>
      <c r="BG936" s="109"/>
      <c r="BH936" s="109"/>
      <c r="BJ936" s="10"/>
      <c r="BM936" s="109"/>
      <c r="BN936" s="109"/>
      <c r="BP936" s="10"/>
      <c r="BS936" s="109"/>
      <c r="BT936" s="109"/>
      <c r="BV936" s="10"/>
      <c r="BY936" s="109"/>
      <c r="BZ936" s="109"/>
      <c r="CB936" s="10"/>
      <c r="CE936" s="109"/>
      <c r="CF936" s="109"/>
      <c r="CH936" s="10"/>
      <c r="CK936" s="109"/>
      <c r="CL936" s="109"/>
    </row>
    <row r="937" spans="1:90">
      <c r="A937" s="7" t="str">
        <f t="shared" si="141"/>
        <v>01860998</v>
      </c>
      <c r="B937" s="7" t="s">
        <v>2525</v>
      </c>
      <c r="C937" s="7" t="s">
        <v>2781</v>
      </c>
      <c r="D937" s="7">
        <v>928</v>
      </c>
      <c r="E937" s="7">
        <v>186</v>
      </c>
      <c r="F937" s="7" t="s">
        <v>2135</v>
      </c>
      <c r="G937" s="7">
        <v>998</v>
      </c>
      <c r="H937" s="7" t="s">
        <v>2135</v>
      </c>
      <c r="I937" s="37">
        <v>0</v>
      </c>
      <c r="J937" s="122">
        <v>0</v>
      </c>
      <c r="K937" s="123">
        <f t="shared" si="150"/>
        <v>0</v>
      </c>
      <c r="L937" s="122">
        <f>IF(K939&gt;0, K937/K939, 0)</f>
        <v>0</v>
      </c>
      <c r="M937" s="71"/>
      <c r="N937" s="10">
        <f>ROUND(M939*L937,0)</f>
        <v>0</v>
      </c>
      <c r="O937" s="70">
        <v>0</v>
      </c>
      <c r="P937" s="10">
        <f>N937-O937</f>
        <v>0</v>
      </c>
      <c r="Q937" s="46">
        <f t="shared" si="149"/>
        <v>0</v>
      </c>
      <c r="R937" s="10">
        <v>0</v>
      </c>
      <c r="S937" s="7">
        <f t="shared" si="142"/>
        <v>0</v>
      </c>
      <c r="T937" s="124">
        <f t="shared" si="143"/>
        <v>186</v>
      </c>
      <c r="U937" s="124">
        <f t="shared" si="144"/>
        <v>998</v>
      </c>
      <c r="V937" s="124">
        <f t="shared" si="145"/>
        <v>928</v>
      </c>
      <c r="W937" s="124">
        <f t="shared" si="146"/>
        <v>0</v>
      </c>
      <c r="X937" s="124">
        <f t="shared" si="147"/>
        <v>0</v>
      </c>
      <c r="Y937" s="264">
        <f t="shared" si="148"/>
        <v>928</v>
      </c>
      <c r="Z937" s="10">
        <v>186</v>
      </c>
      <c r="AA937" s="7">
        <v>998</v>
      </c>
      <c r="AB937" s="7">
        <v>928</v>
      </c>
      <c r="AC937" s="109">
        <v>0</v>
      </c>
      <c r="AD937" s="109">
        <v>0</v>
      </c>
      <c r="AE937" s="125"/>
      <c r="AF937" s="10"/>
      <c r="AI937" s="109"/>
      <c r="AJ937" s="109"/>
      <c r="AL937" s="10"/>
      <c r="AO937" s="109"/>
      <c r="AP937" s="109"/>
      <c r="AR937" s="10"/>
      <c r="AU937" s="109"/>
      <c r="AV937" s="109"/>
      <c r="AX937" s="10"/>
      <c r="BA937" s="109"/>
      <c r="BB937" s="109"/>
      <c r="BD937" s="10"/>
      <c r="BG937" s="109"/>
      <c r="BH937" s="109"/>
      <c r="BJ937" s="10"/>
      <c r="BM937" s="109"/>
      <c r="BN937" s="109"/>
      <c r="BP937" s="10"/>
      <c r="BS937" s="109"/>
      <c r="BT937" s="109"/>
      <c r="BV937" s="10"/>
      <c r="BY937" s="109"/>
      <c r="BZ937" s="109"/>
      <c r="CB937" s="10"/>
      <c r="CE937" s="109"/>
      <c r="CF937" s="109"/>
      <c r="CH937" s="10"/>
      <c r="CK937" s="109"/>
      <c r="CL937" s="109"/>
    </row>
    <row r="938" spans="1:90">
      <c r="A938" s="7" t="str">
        <f t="shared" si="141"/>
        <v>01860998</v>
      </c>
      <c r="B938" s="7" t="s">
        <v>2525</v>
      </c>
      <c r="C938" s="7" t="s">
        <v>2781</v>
      </c>
      <c r="D938" s="7">
        <v>929</v>
      </c>
      <c r="E938" s="7">
        <v>186</v>
      </c>
      <c r="F938" s="7" t="s">
        <v>2135</v>
      </c>
      <c r="G938" s="7">
        <v>998</v>
      </c>
      <c r="H938" s="7" t="s">
        <v>2135</v>
      </c>
      <c r="I938" s="37">
        <v>0</v>
      </c>
      <c r="J938" s="122">
        <v>0</v>
      </c>
      <c r="K938" s="123">
        <f t="shared" si="150"/>
        <v>0</v>
      </c>
      <c r="L938" s="122">
        <f>IF(K939&gt;0, K938/K939, 0)</f>
        <v>0</v>
      </c>
      <c r="M938" s="71"/>
      <c r="N938" s="10">
        <f>ROUND(M939*L938,0)</f>
        <v>0</v>
      </c>
      <c r="O938" s="70">
        <v>0</v>
      </c>
      <c r="P938" s="10">
        <f>N938-O938</f>
        <v>0</v>
      </c>
      <c r="Q938" s="46">
        <f t="shared" si="149"/>
        <v>0</v>
      </c>
      <c r="R938" s="10">
        <v>0</v>
      </c>
      <c r="S938" s="7">
        <f t="shared" si="142"/>
        <v>0</v>
      </c>
      <c r="T938" s="124">
        <f t="shared" si="143"/>
        <v>186</v>
      </c>
      <c r="U938" s="124">
        <f t="shared" si="144"/>
        <v>998</v>
      </c>
      <c r="V938" s="124">
        <f t="shared" si="145"/>
        <v>929</v>
      </c>
      <c r="W938" s="124">
        <f t="shared" si="146"/>
        <v>0</v>
      </c>
      <c r="X938" s="124">
        <f t="shared" si="147"/>
        <v>0</v>
      </c>
      <c r="Y938" s="264">
        <f t="shared" si="148"/>
        <v>929</v>
      </c>
      <c r="Z938" s="10">
        <v>186</v>
      </c>
      <c r="AA938" s="7">
        <v>998</v>
      </c>
      <c r="AB938" s="7">
        <v>929</v>
      </c>
      <c r="AC938" s="109">
        <v>0</v>
      </c>
      <c r="AD938" s="109">
        <v>0</v>
      </c>
      <c r="AE938" s="125"/>
      <c r="AF938" s="10"/>
      <c r="AI938" s="109"/>
      <c r="AJ938" s="109"/>
      <c r="AL938" s="10"/>
      <c r="AO938" s="109"/>
      <c r="AP938" s="109"/>
      <c r="AR938" s="10"/>
      <c r="AU938" s="109"/>
      <c r="AV938" s="109"/>
      <c r="AX938" s="10"/>
      <c r="BA938" s="109"/>
      <c r="BB938" s="109"/>
      <c r="BD938" s="10"/>
      <c r="BG938" s="109"/>
      <c r="BH938" s="109"/>
      <c r="BJ938" s="10"/>
      <c r="BM938" s="109"/>
      <c r="BN938" s="109"/>
      <c r="BP938" s="10"/>
      <c r="BS938" s="109"/>
      <c r="BT938" s="109"/>
      <c r="BV938" s="10"/>
      <c r="BY938" s="109"/>
      <c r="BZ938" s="109"/>
      <c r="CB938" s="10"/>
      <c r="CE938" s="109"/>
      <c r="CF938" s="109"/>
      <c r="CH938" s="10"/>
      <c r="CK938" s="109"/>
      <c r="CL938" s="109"/>
    </row>
    <row r="939" spans="1:90">
      <c r="A939" s="7" t="str">
        <f t="shared" si="141"/>
        <v>01860999</v>
      </c>
      <c r="B939" s="7" t="s">
        <v>2525</v>
      </c>
      <c r="C939" s="7" t="s">
        <v>2782</v>
      </c>
      <c r="D939" s="7">
        <v>930</v>
      </c>
      <c r="E939" s="11">
        <v>186</v>
      </c>
      <c r="F939" s="11" t="s">
        <v>1891</v>
      </c>
      <c r="G939" s="11">
        <v>999</v>
      </c>
      <c r="H939" s="11" t="s">
        <v>1132</v>
      </c>
      <c r="I939" s="105">
        <v>18396014.489999998</v>
      </c>
      <c r="J939" s="126">
        <v>1</v>
      </c>
      <c r="K939" s="127">
        <f>SUM(K935:K938)</f>
        <v>18853061.840606079</v>
      </c>
      <c r="L939" s="126">
        <f>SUM(L935:L938)</f>
        <v>0.99999999999999989</v>
      </c>
      <c r="M939" s="105">
        <f>VLOOKUP(E939,town351,22)</f>
        <v>11271347</v>
      </c>
      <c r="N939" s="105">
        <f>SUM(N935:N938)</f>
        <v>11271347</v>
      </c>
      <c r="O939" s="128">
        <v>11054199</v>
      </c>
      <c r="P939" s="105">
        <f>SUM(P935:P938)</f>
        <v>217148</v>
      </c>
      <c r="Q939" s="45">
        <f t="shared" si="149"/>
        <v>1.9643938018485103</v>
      </c>
      <c r="R939" s="105">
        <v>1818</v>
      </c>
      <c r="S939" s="7">
        <f t="shared" si="142"/>
        <v>0</v>
      </c>
      <c r="T939" s="124">
        <f t="shared" si="143"/>
        <v>186</v>
      </c>
      <c r="U939" s="124">
        <f t="shared" si="144"/>
        <v>999</v>
      </c>
      <c r="V939" s="124">
        <f t="shared" si="145"/>
        <v>930</v>
      </c>
      <c r="W939" s="124">
        <f t="shared" si="146"/>
        <v>1819.0000000043601</v>
      </c>
      <c r="X939" s="124">
        <f t="shared" si="147"/>
        <v>18853061.840606079</v>
      </c>
      <c r="Y939" s="264">
        <f t="shared" si="148"/>
        <v>930</v>
      </c>
      <c r="Z939" s="10">
        <v>186</v>
      </c>
      <c r="AA939" s="7">
        <v>999</v>
      </c>
      <c r="AB939" s="7">
        <v>930</v>
      </c>
      <c r="AC939" s="109">
        <v>1819.0000000043601</v>
      </c>
      <c r="AD939" s="109">
        <v>18853061.840606079</v>
      </c>
      <c r="AE939" s="125"/>
      <c r="AF939" s="10"/>
      <c r="AI939" s="109"/>
      <c r="AJ939" s="109"/>
      <c r="AL939" s="10"/>
      <c r="AO939" s="109"/>
      <c r="AP939" s="109"/>
      <c r="AR939" s="10"/>
      <c r="AU939" s="109"/>
      <c r="AV939" s="109"/>
      <c r="AX939" s="10"/>
      <c r="BA939" s="109"/>
      <c r="BB939" s="109"/>
      <c r="BD939" s="10"/>
      <c r="BG939" s="109"/>
      <c r="BH939" s="109"/>
      <c r="BJ939" s="10"/>
      <c r="BM939" s="109"/>
      <c r="BN939" s="109"/>
      <c r="BP939" s="10"/>
      <c r="BS939" s="109"/>
      <c r="BT939" s="109"/>
      <c r="BV939" s="10"/>
      <c r="BY939" s="109"/>
      <c r="BZ939" s="109"/>
      <c r="CB939" s="10"/>
      <c r="CE939" s="109"/>
      <c r="CF939" s="109"/>
      <c r="CH939" s="10"/>
      <c r="CK939" s="109"/>
      <c r="CL939" s="109"/>
    </row>
    <row r="940" spans="1:90">
      <c r="A940" s="7" t="str">
        <f t="shared" si="141"/>
        <v>01870187</v>
      </c>
      <c r="B940" s="7" t="s">
        <v>2526</v>
      </c>
      <c r="C940" s="7" t="s">
        <v>2526</v>
      </c>
      <c r="D940" s="7">
        <v>931</v>
      </c>
      <c r="E940" s="7">
        <v>187</v>
      </c>
      <c r="F940" s="7" t="s">
        <v>1892</v>
      </c>
      <c r="G940" s="7">
        <v>187</v>
      </c>
      <c r="H940" s="7" t="s">
        <v>1453</v>
      </c>
      <c r="I940" s="37">
        <v>11856222.087119998</v>
      </c>
      <c r="J940" s="122">
        <v>0.95504562955318095</v>
      </c>
      <c r="K940" s="123">
        <f>X940</f>
        <v>11737004.51467457</v>
      </c>
      <c r="L940" s="122">
        <f>IF(K944&gt;0, K940/K944, 0)</f>
        <v>0.95077843317045219</v>
      </c>
      <c r="M940" s="71"/>
      <c r="N940" s="10">
        <f>ROUND(M944*L940,0)</f>
        <v>8397650</v>
      </c>
      <c r="O940" s="70">
        <v>8128057</v>
      </c>
      <c r="P940" s="10">
        <f>N940-O940</f>
        <v>269593</v>
      </c>
      <c r="Q940" s="46">
        <f t="shared" si="149"/>
        <v>3.3168197516331395</v>
      </c>
      <c r="R940" s="10">
        <v>1241</v>
      </c>
      <c r="S940" s="7">
        <f t="shared" si="142"/>
        <v>0</v>
      </c>
      <c r="T940" s="124">
        <f t="shared" si="143"/>
        <v>187</v>
      </c>
      <c r="U940" s="124">
        <f t="shared" si="144"/>
        <v>187</v>
      </c>
      <c r="V940" s="124">
        <f t="shared" si="145"/>
        <v>931</v>
      </c>
      <c r="W940" s="124">
        <f t="shared" si="146"/>
        <v>1199</v>
      </c>
      <c r="X940" s="124">
        <f t="shared" si="147"/>
        <v>11737004.51467457</v>
      </c>
      <c r="Y940" s="264">
        <f t="shared" si="148"/>
        <v>931</v>
      </c>
      <c r="Z940" s="10">
        <v>187</v>
      </c>
      <c r="AA940" s="7">
        <v>187</v>
      </c>
      <c r="AB940" s="7">
        <v>931</v>
      </c>
      <c r="AC940" s="109">
        <v>1199</v>
      </c>
      <c r="AD940" s="109">
        <v>11737004.51467457</v>
      </c>
      <c r="AE940" s="125"/>
      <c r="AF940" s="10"/>
      <c r="AI940" s="109"/>
      <c r="AJ940" s="109"/>
      <c r="AL940" s="10"/>
      <c r="AO940" s="109"/>
      <c r="AP940" s="109"/>
      <c r="AR940" s="10"/>
      <c r="AU940" s="109"/>
      <c r="AV940" s="109"/>
      <c r="AX940" s="10"/>
      <c r="BA940" s="109"/>
      <c r="BB940" s="109"/>
      <c r="BD940" s="10"/>
      <c r="BG940" s="109"/>
      <c r="BH940" s="109"/>
      <c r="BJ940" s="10"/>
      <c r="BM940" s="109"/>
      <c r="BN940" s="109"/>
      <c r="BP940" s="10"/>
      <c r="BS940" s="109"/>
      <c r="BT940" s="109"/>
      <c r="BV940" s="10"/>
      <c r="BY940" s="109"/>
      <c r="BZ940" s="109"/>
      <c r="CB940" s="10"/>
      <c r="CE940" s="109"/>
      <c r="CF940" s="109"/>
      <c r="CH940" s="10"/>
      <c r="CK940" s="109"/>
      <c r="CL940" s="109"/>
    </row>
    <row r="941" spans="1:90">
      <c r="A941" s="7" t="str">
        <f t="shared" si="141"/>
        <v>01870878</v>
      </c>
      <c r="B941" s="7" t="s">
        <v>2526</v>
      </c>
      <c r="C941" s="7" t="s">
        <v>2775</v>
      </c>
      <c r="D941" s="7">
        <v>932</v>
      </c>
      <c r="E941" s="7">
        <v>187</v>
      </c>
      <c r="F941" s="7" t="s">
        <v>1892</v>
      </c>
      <c r="G941" s="7">
        <v>878</v>
      </c>
      <c r="H941" s="7" t="s">
        <v>1702</v>
      </c>
      <c r="I941" s="37">
        <v>461253</v>
      </c>
      <c r="J941" s="122">
        <v>3.7154977237382349E-2</v>
      </c>
      <c r="K941" s="123">
        <f t="shared" si="150"/>
        <v>574677.25698244653</v>
      </c>
      <c r="L941" s="122">
        <f>IF(K944&gt;0, K941/K944, 0)</f>
        <v>4.6552827110982284E-2</v>
      </c>
      <c r="M941" s="71"/>
      <c r="N941" s="10">
        <f>ROUND(M944*L941,0)</f>
        <v>411173</v>
      </c>
      <c r="O941" s="70">
        <v>316213</v>
      </c>
      <c r="P941" s="10">
        <f>N941-O941</f>
        <v>94960</v>
      </c>
      <c r="Q941" s="46">
        <f t="shared" si="149"/>
        <v>30.0303909073947</v>
      </c>
      <c r="R941" s="10">
        <v>29</v>
      </c>
      <c r="S941" s="7">
        <f t="shared" si="142"/>
        <v>0</v>
      </c>
      <c r="T941" s="124">
        <f t="shared" si="143"/>
        <v>187</v>
      </c>
      <c r="U941" s="124">
        <f t="shared" si="144"/>
        <v>878</v>
      </c>
      <c r="V941" s="124">
        <f t="shared" si="145"/>
        <v>932</v>
      </c>
      <c r="W941" s="124">
        <f t="shared" si="146"/>
        <v>34.999999999110003</v>
      </c>
      <c r="X941" s="124">
        <f t="shared" si="147"/>
        <v>574677.25698244653</v>
      </c>
      <c r="Y941" s="264">
        <f t="shared" si="148"/>
        <v>932</v>
      </c>
      <c r="Z941" s="10">
        <v>187</v>
      </c>
      <c r="AA941" s="7">
        <v>878</v>
      </c>
      <c r="AB941" s="7">
        <v>932</v>
      </c>
      <c r="AC941" s="109">
        <v>34.999999999110003</v>
      </c>
      <c r="AD941" s="109">
        <v>574677.25698244653</v>
      </c>
      <c r="AE941" s="125"/>
      <c r="AF941" s="10"/>
      <c r="AI941" s="109"/>
      <c r="AJ941" s="109"/>
      <c r="AL941" s="10"/>
      <c r="AO941" s="109"/>
      <c r="AP941" s="109"/>
      <c r="AR941" s="10"/>
      <c r="AU941" s="109"/>
      <c r="AV941" s="109"/>
      <c r="AX941" s="10"/>
      <c r="BA941" s="109"/>
      <c r="BB941" s="109"/>
      <c r="BD941" s="10"/>
      <c r="BG941" s="109"/>
      <c r="BH941" s="109"/>
      <c r="BJ941" s="10"/>
      <c r="BM941" s="109"/>
      <c r="BN941" s="109"/>
      <c r="BP941" s="10"/>
      <c r="BS941" s="109"/>
      <c r="BT941" s="109"/>
      <c r="BV941" s="10"/>
      <c r="BY941" s="109"/>
      <c r="BZ941" s="109"/>
      <c r="CB941" s="10"/>
      <c r="CE941" s="109"/>
      <c r="CF941" s="109"/>
      <c r="CH941" s="10"/>
      <c r="CK941" s="109"/>
      <c r="CL941" s="109"/>
    </row>
    <row r="942" spans="1:90">
      <c r="A942" s="7" t="str">
        <f t="shared" si="141"/>
        <v>01870915</v>
      </c>
      <c r="B942" s="7" t="s">
        <v>2526</v>
      </c>
      <c r="C942" s="7" t="s">
        <v>2779</v>
      </c>
      <c r="D942" s="7">
        <v>933</v>
      </c>
      <c r="E942" s="7">
        <v>187</v>
      </c>
      <c r="F942" s="7" t="s">
        <v>1892</v>
      </c>
      <c r="G942" s="7">
        <v>915</v>
      </c>
      <c r="H942" s="7" t="s">
        <v>1706</v>
      </c>
      <c r="I942" s="37">
        <v>96824</v>
      </c>
      <c r="J942" s="122">
        <v>7.7993932094367049E-3</v>
      </c>
      <c r="K942" s="123">
        <f t="shared" si="150"/>
        <v>32944.594694734602</v>
      </c>
      <c r="L942" s="122">
        <f>IF(K944&gt;0, K942/K944, 0)</f>
        <v>2.6687397185655628E-3</v>
      </c>
      <c r="M942" s="71"/>
      <c r="N942" s="10">
        <f>ROUND(M944*L942,0)</f>
        <v>23571</v>
      </c>
      <c r="O942" s="70">
        <v>66378</v>
      </c>
      <c r="P942" s="10">
        <f>N942-O942</f>
        <v>-42807</v>
      </c>
      <c r="Q942" s="46">
        <f t="shared" si="149"/>
        <v>-64.489740576697102</v>
      </c>
      <c r="R942" s="10">
        <v>6</v>
      </c>
      <c r="S942" s="7">
        <f t="shared" si="142"/>
        <v>0</v>
      </c>
      <c r="T942" s="124">
        <f t="shared" si="143"/>
        <v>187</v>
      </c>
      <c r="U942" s="124">
        <f t="shared" si="144"/>
        <v>915</v>
      </c>
      <c r="V942" s="124">
        <f t="shared" si="145"/>
        <v>933</v>
      </c>
      <c r="W942" s="124">
        <f t="shared" si="146"/>
        <v>1.9999999996200002</v>
      </c>
      <c r="X942" s="124">
        <f t="shared" si="147"/>
        <v>32944.594694734602</v>
      </c>
      <c r="Y942" s="264">
        <f t="shared" si="148"/>
        <v>933</v>
      </c>
      <c r="Z942" s="10">
        <v>187</v>
      </c>
      <c r="AA942" s="7">
        <v>915</v>
      </c>
      <c r="AB942" s="7">
        <v>933</v>
      </c>
      <c r="AC942" s="109">
        <v>1.9999999996200002</v>
      </c>
      <c r="AD942" s="109">
        <v>32944.594694734602</v>
      </c>
      <c r="AE942" s="125"/>
      <c r="AF942" s="10"/>
      <c r="AI942" s="109"/>
      <c r="AJ942" s="109"/>
      <c r="AL942" s="10"/>
      <c r="AO942" s="109"/>
      <c r="AP942" s="109"/>
      <c r="AR942" s="10"/>
      <c r="AU942" s="109"/>
      <c r="AV942" s="109"/>
      <c r="AX942" s="10"/>
      <c r="BA942" s="109"/>
      <c r="BB942" s="109"/>
      <c r="BD942" s="10"/>
      <c r="BG942" s="109"/>
      <c r="BH942" s="109"/>
      <c r="BJ942" s="10"/>
      <c r="BM942" s="109"/>
      <c r="BN942" s="109"/>
      <c r="BP942" s="10"/>
      <c r="BS942" s="109"/>
      <c r="BT942" s="109"/>
      <c r="BV942" s="10"/>
      <c r="BY942" s="109"/>
      <c r="BZ942" s="109"/>
      <c r="CB942" s="10"/>
      <c r="CE942" s="109"/>
      <c r="CF942" s="109"/>
      <c r="CH942" s="10"/>
      <c r="CK942" s="109"/>
      <c r="CL942" s="109"/>
    </row>
    <row r="943" spans="1:90">
      <c r="A943" s="7" t="str">
        <f t="shared" si="141"/>
        <v>01870998</v>
      </c>
      <c r="B943" s="7" t="s">
        <v>2526</v>
      </c>
      <c r="C943" s="7" t="s">
        <v>2781</v>
      </c>
      <c r="D943" s="7">
        <v>934</v>
      </c>
      <c r="E943" s="7">
        <v>187</v>
      </c>
      <c r="F943" s="7" t="s">
        <v>2135</v>
      </c>
      <c r="G943" s="7">
        <v>998</v>
      </c>
      <c r="H943" s="7" t="s">
        <v>2135</v>
      </c>
      <c r="I943" s="37">
        <v>0</v>
      </c>
      <c r="J943" s="122">
        <v>0</v>
      </c>
      <c r="K943" s="123">
        <f t="shared" si="150"/>
        <v>0</v>
      </c>
      <c r="L943" s="122">
        <f>IF(K944&gt;0, K943/K944, 0)</f>
        <v>0</v>
      </c>
      <c r="M943" s="71"/>
      <c r="N943" s="10">
        <f>ROUND(M944*L943,0)</f>
        <v>0</v>
      </c>
      <c r="O943" s="70">
        <v>0</v>
      </c>
      <c r="P943" s="10">
        <f>N943-O943</f>
        <v>0</v>
      </c>
      <c r="Q943" s="46">
        <f t="shared" si="149"/>
        <v>0</v>
      </c>
      <c r="R943" s="10">
        <v>0</v>
      </c>
      <c r="S943" s="7">
        <f t="shared" si="142"/>
        <v>0</v>
      </c>
      <c r="T943" s="124">
        <f t="shared" si="143"/>
        <v>187</v>
      </c>
      <c r="U943" s="124">
        <f t="shared" si="144"/>
        <v>998</v>
      </c>
      <c r="V943" s="124">
        <f t="shared" si="145"/>
        <v>934</v>
      </c>
      <c r="W943" s="124">
        <f t="shared" si="146"/>
        <v>0</v>
      </c>
      <c r="X943" s="124">
        <f t="shared" si="147"/>
        <v>0</v>
      </c>
      <c r="Y943" s="264">
        <f t="shared" si="148"/>
        <v>934</v>
      </c>
      <c r="Z943" s="10">
        <v>187</v>
      </c>
      <c r="AA943" s="7">
        <v>998</v>
      </c>
      <c r="AB943" s="7">
        <v>934</v>
      </c>
      <c r="AC943" s="109">
        <v>0</v>
      </c>
      <c r="AD943" s="109">
        <v>0</v>
      </c>
      <c r="AE943" s="125"/>
      <c r="AF943" s="10"/>
      <c r="AI943" s="109"/>
      <c r="AJ943" s="109"/>
      <c r="AL943" s="10"/>
      <c r="AO943" s="109"/>
      <c r="AP943" s="109"/>
      <c r="AR943" s="10"/>
      <c r="AU943" s="109"/>
      <c r="AV943" s="109"/>
      <c r="AX943" s="10"/>
      <c r="BA943" s="109"/>
      <c r="BB943" s="109"/>
      <c r="BD943" s="10"/>
      <c r="BG943" s="109"/>
      <c r="BH943" s="109"/>
      <c r="BJ943" s="10"/>
      <c r="BM943" s="109"/>
      <c r="BN943" s="109"/>
      <c r="BP943" s="10"/>
      <c r="BS943" s="109"/>
      <c r="BT943" s="109"/>
      <c r="BV943" s="10"/>
      <c r="BY943" s="109"/>
      <c r="BZ943" s="109"/>
      <c r="CB943" s="10"/>
      <c r="CE943" s="109"/>
      <c r="CF943" s="109"/>
      <c r="CH943" s="10"/>
      <c r="CK943" s="109"/>
      <c r="CL943" s="109"/>
    </row>
    <row r="944" spans="1:90">
      <c r="A944" s="7" t="str">
        <f t="shared" si="141"/>
        <v>01870999</v>
      </c>
      <c r="B944" s="7" t="s">
        <v>2526</v>
      </c>
      <c r="C944" s="7" t="s">
        <v>2782</v>
      </c>
      <c r="D944" s="7">
        <v>935</v>
      </c>
      <c r="E944" s="11">
        <v>187</v>
      </c>
      <c r="F944" s="11" t="s">
        <v>1892</v>
      </c>
      <c r="G944" s="11">
        <v>999</v>
      </c>
      <c r="H944" s="11" t="s">
        <v>1132</v>
      </c>
      <c r="I944" s="105">
        <v>12414299.087119998</v>
      </c>
      <c r="J944" s="126">
        <v>1</v>
      </c>
      <c r="K944" s="127">
        <f>SUM(K940:K943)</f>
        <v>12344626.366351752</v>
      </c>
      <c r="L944" s="126">
        <f>SUM(L940:L943)</f>
        <v>1</v>
      </c>
      <c r="M944" s="105">
        <f>VLOOKUP(E944,town351,22)</f>
        <v>8832394</v>
      </c>
      <c r="N944" s="105">
        <f>SUM(N940:N943)</f>
        <v>8832394</v>
      </c>
      <c r="O944" s="128">
        <v>8510648</v>
      </c>
      <c r="P944" s="105">
        <f>SUM(P940:P943)</f>
        <v>321746</v>
      </c>
      <c r="Q944" s="45">
        <f t="shared" si="149"/>
        <v>3.780511190217243</v>
      </c>
      <c r="R944" s="105">
        <v>1276</v>
      </c>
      <c r="S944" s="7">
        <f t="shared" si="142"/>
        <v>0</v>
      </c>
      <c r="T944" s="124">
        <f t="shared" si="143"/>
        <v>187</v>
      </c>
      <c r="U944" s="124">
        <f t="shared" si="144"/>
        <v>999</v>
      </c>
      <c r="V944" s="124">
        <f t="shared" si="145"/>
        <v>935</v>
      </c>
      <c r="W944" s="124">
        <f t="shared" si="146"/>
        <v>1235.9999999987301</v>
      </c>
      <c r="X944" s="124">
        <f t="shared" si="147"/>
        <v>12344626.366351752</v>
      </c>
      <c r="Y944" s="264">
        <f t="shared" si="148"/>
        <v>935</v>
      </c>
      <c r="Z944" s="10">
        <v>187</v>
      </c>
      <c r="AA944" s="7">
        <v>999</v>
      </c>
      <c r="AB944" s="7">
        <v>935</v>
      </c>
      <c r="AC944" s="109">
        <v>1235.9999999987301</v>
      </c>
      <c r="AD944" s="109">
        <v>12344626.366351752</v>
      </c>
      <c r="AE944" s="125"/>
      <c r="AF944" s="10"/>
      <c r="AI944" s="109"/>
      <c r="AJ944" s="109"/>
      <c r="AL944" s="10"/>
      <c r="AO944" s="109"/>
      <c r="AP944" s="109"/>
      <c r="AR944" s="10"/>
      <c r="AU944" s="109"/>
      <c r="AV944" s="109"/>
      <c r="AX944" s="10"/>
      <c r="BA944" s="109"/>
      <c r="BB944" s="109"/>
      <c r="BD944" s="10"/>
      <c r="BG944" s="109"/>
      <c r="BH944" s="109"/>
      <c r="BJ944" s="10"/>
      <c r="BM944" s="109"/>
      <c r="BN944" s="109"/>
      <c r="BP944" s="10"/>
      <c r="BS944" s="109"/>
      <c r="BT944" s="109"/>
      <c r="BV944" s="10"/>
      <c r="BY944" s="109"/>
      <c r="BZ944" s="109"/>
      <c r="CB944" s="10"/>
      <c r="CE944" s="109"/>
      <c r="CF944" s="109"/>
      <c r="CH944" s="10"/>
      <c r="CK944" s="109"/>
      <c r="CL944" s="109"/>
    </row>
    <row r="945" spans="1:90">
      <c r="A945" s="7" t="str">
        <f t="shared" si="141"/>
        <v>01880188</v>
      </c>
      <c r="B945" s="7" t="s">
        <v>2527</v>
      </c>
      <c r="C945" s="7" t="s">
        <v>2527</v>
      </c>
      <c r="D945" s="7">
        <v>936</v>
      </c>
      <c r="E945" s="7">
        <v>188</v>
      </c>
      <c r="F945" s="7" t="s">
        <v>1893</v>
      </c>
      <c r="G945" s="7">
        <v>188</v>
      </c>
      <c r="H945" s="7" t="s">
        <v>1454</v>
      </c>
      <c r="I945" s="37">
        <v>118538.28</v>
      </c>
      <c r="J945" s="122">
        <v>2.133446444951366E-2</v>
      </c>
      <c r="K945" s="123">
        <f>X945</f>
        <v>93917.833405126818</v>
      </c>
      <c r="L945" s="122">
        <f>IF(K949&gt;0, K945/K949, 0)</f>
        <v>1.7072923414547844E-2</v>
      </c>
      <c r="M945" s="71"/>
      <c r="N945" s="10">
        <f>ROUND(M949*L945,0)</f>
        <v>39748</v>
      </c>
      <c r="O945" s="70">
        <v>48101</v>
      </c>
      <c r="P945" s="10">
        <f>N945-O945</f>
        <v>-8353</v>
      </c>
      <c r="Q945" s="46">
        <f t="shared" si="149"/>
        <v>-17.365543335897382</v>
      </c>
      <c r="R945" s="10">
        <v>9</v>
      </c>
      <c r="S945" s="7">
        <f t="shared" si="142"/>
        <v>0</v>
      </c>
      <c r="T945" s="124">
        <f t="shared" si="143"/>
        <v>188</v>
      </c>
      <c r="U945" s="124">
        <f t="shared" si="144"/>
        <v>188</v>
      </c>
      <c r="V945" s="124">
        <f t="shared" si="145"/>
        <v>936</v>
      </c>
      <c r="W945" s="124">
        <f t="shared" si="146"/>
        <v>7</v>
      </c>
      <c r="X945" s="124">
        <f t="shared" si="147"/>
        <v>93917.833405126818</v>
      </c>
      <c r="Y945" s="264">
        <f t="shared" si="148"/>
        <v>936</v>
      </c>
      <c r="Z945" s="10">
        <v>188</v>
      </c>
      <c r="AA945" s="7">
        <v>188</v>
      </c>
      <c r="AB945" s="7">
        <v>936</v>
      </c>
      <c r="AC945" s="109">
        <v>7</v>
      </c>
      <c r="AD945" s="109">
        <v>93917.833405126818</v>
      </c>
      <c r="AE945" s="125"/>
      <c r="AF945" s="10"/>
      <c r="AI945" s="109"/>
      <c r="AJ945" s="109"/>
      <c r="AL945" s="10"/>
      <c r="AO945" s="109"/>
      <c r="AP945" s="109"/>
      <c r="AR945" s="10"/>
      <c r="AU945" s="109"/>
      <c r="AV945" s="109"/>
      <c r="AX945" s="10"/>
      <c r="BA945" s="109"/>
      <c r="BB945" s="109"/>
      <c r="BD945" s="10"/>
      <c r="BG945" s="109"/>
      <c r="BH945" s="109"/>
      <c r="BJ945" s="10"/>
      <c r="BM945" s="109"/>
      <c r="BN945" s="109"/>
      <c r="BP945" s="10"/>
      <c r="BS945" s="109"/>
      <c r="BT945" s="109"/>
      <c r="BV945" s="10"/>
      <c r="BY945" s="109"/>
      <c r="BZ945" s="109"/>
      <c r="CB945" s="10"/>
      <c r="CE945" s="109"/>
      <c r="CF945" s="109"/>
      <c r="CH945" s="10"/>
      <c r="CK945" s="109"/>
      <c r="CL945" s="109"/>
    </row>
    <row r="946" spans="1:90">
      <c r="A946" s="7" t="str">
        <f t="shared" si="141"/>
        <v>01880622</v>
      </c>
      <c r="B946" s="7" t="s">
        <v>2527</v>
      </c>
      <c r="C946" s="7" t="s">
        <v>2702</v>
      </c>
      <c r="D946" s="7">
        <v>937</v>
      </c>
      <c r="E946" s="7">
        <v>188</v>
      </c>
      <c r="F946" s="7" t="s">
        <v>1893</v>
      </c>
      <c r="G946" s="7">
        <v>622</v>
      </c>
      <c r="H946" s="7" t="s">
        <v>1629</v>
      </c>
      <c r="I946" s="37">
        <v>4783627</v>
      </c>
      <c r="J946" s="122">
        <v>0.86095496046706321</v>
      </c>
      <c r="K946" s="123">
        <f t="shared" si="150"/>
        <v>4787963.7034962215</v>
      </c>
      <c r="L946" s="122">
        <f>IF(K949&gt;0, K946/K949, 0)</f>
        <v>0.87038355398181011</v>
      </c>
      <c r="M946" s="71"/>
      <c r="N946" s="10">
        <f>ROUND(M949*L946,0)</f>
        <v>2026345</v>
      </c>
      <c r="O946" s="70">
        <v>1941114</v>
      </c>
      <c r="P946" s="10">
        <f>N946-O946</f>
        <v>85231</v>
      </c>
      <c r="Q946" s="46">
        <f t="shared" si="149"/>
        <v>4.3908291836543345</v>
      </c>
      <c r="R946" s="10">
        <v>496</v>
      </c>
      <c r="S946" s="7">
        <f t="shared" si="142"/>
        <v>0</v>
      </c>
      <c r="T946" s="124">
        <f t="shared" si="143"/>
        <v>188</v>
      </c>
      <c r="U946" s="124">
        <f t="shared" si="144"/>
        <v>622</v>
      </c>
      <c r="V946" s="124">
        <f t="shared" si="145"/>
        <v>937</v>
      </c>
      <c r="W946" s="124">
        <f t="shared" si="146"/>
        <v>481.54730472909995</v>
      </c>
      <c r="X946" s="124">
        <f t="shared" si="147"/>
        <v>4787963.7034962215</v>
      </c>
      <c r="Y946" s="264">
        <f t="shared" si="148"/>
        <v>937</v>
      </c>
      <c r="Z946" s="10">
        <v>188</v>
      </c>
      <c r="AA946" s="7">
        <v>622</v>
      </c>
      <c r="AB946" s="7">
        <v>937</v>
      </c>
      <c r="AC946" s="109">
        <v>481.54730472909995</v>
      </c>
      <c r="AD946" s="109">
        <v>4787963.7034962215</v>
      </c>
      <c r="AE946" s="125"/>
      <c r="AF946" s="10"/>
      <c r="AI946" s="109"/>
      <c r="AJ946" s="109"/>
      <c r="AL946" s="10"/>
      <c r="AO946" s="109"/>
      <c r="AP946" s="109"/>
      <c r="AR946" s="10"/>
      <c r="AU946" s="109"/>
      <c r="AV946" s="109"/>
      <c r="AX946" s="10"/>
      <c r="BA946" s="109"/>
      <c r="BB946" s="109"/>
      <c r="BD946" s="10"/>
      <c r="BG946" s="109"/>
      <c r="BH946" s="109"/>
      <c r="BJ946" s="10"/>
      <c r="BM946" s="109"/>
      <c r="BN946" s="109"/>
      <c r="BP946" s="10"/>
      <c r="BS946" s="109"/>
      <c r="BT946" s="109"/>
      <c r="BV946" s="10"/>
      <c r="BY946" s="109"/>
      <c r="BZ946" s="109"/>
      <c r="CB946" s="10"/>
      <c r="CE946" s="109"/>
      <c r="CF946" s="109"/>
      <c r="CH946" s="10"/>
      <c r="CK946" s="109"/>
      <c r="CL946" s="109"/>
    </row>
    <row r="947" spans="1:90">
      <c r="A947" s="7" t="str">
        <f t="shared" si="141"/>
        <v>01880805</v>
      </c>
      <c r="B947" s="7" t="s">
        <v>2527</v>
      </c>
      <c r="C947" s="7" t="s">
        <v>2753</v>
      </c>
      <c r="D947" s="7">
        <v>938</v>
      </c>
      <c r="E947" s="7">
        <v>188</v>
      </c>
      <c r="F947" s="7" t="s">
        <v>1893</v>
      </c>
      <c r="G947" s="7">
        <v>805</v>
      </c>
      <c r="H947" s="7" t="s">
        <v>1680</v>
      </c>
      <c r="I947" s="37">
        <v>654022</v>
      </c>
      <c r="J947" s="122">
        <v>0.11771057508342303</v>
      </c>
      <c r="K947" s="123">
        <f t="shared" si="150"/>
        <v>619099.81964239397</v>
      </c>
      <c r="L947" s="122">
        <f>IF(K949&gt;0, K947/K949, 0)</f>
        <v>0.11254352260364202</v>
      </c>
      <c r="M947" s="71"/>
      <c r="N947" s="10">
        <f>ROUND(M949*L947,0)</f>
        <v>262013</v>
      </c>
      <c r="O947" s="70">
        <v>265391</v>
      </c>
      <c r="P947" s="10">
        <f>N947-O947</f>
        <v>-3378</v>
      </c>
      <c r="Q947" s="46">
        <f t="shared" si="149"/>
        <v>-1.2728389432949874</v>
      </c>
      <c r="R947" s="10">
        <v>44</v>
      </c>
      <c r="S947" s="7">
        <f t="shared" si="142"/>
        <v>0</v>
      </c>
      <c r="T947" s="124">
        <f t="shared" si="143"/>
        <v>188</v>
      </c>
      <c r="U947" s="124">
        <f t="shared" si="144"/>
        <v>805</v>
      </c>
      <c r="V947" s="124">
        <f t="shared" si="145"/>
        <v>938</v>
      </c>
      <c r="W947" s="124">
        <f t="shared" si="146"/>
        <v>41.000000005109996</v>
      </c>
      <c r="X947" s="124">
        <f t="shared" si="147"/>
        <v>619099.81964239397</v>
      </c>
      <c r="Y947" s="264">
        <f t="shared" si="148"/>
        <v>938</v>
      </c>
      <c r="Z947" s="10">
        <v>188</v>
      </c>
      <c r="AA947" s="7">
        <v>805</v>
      </c>
      <c r="AB947" s="7">
        <v>938</v>
      </c>
      <c r="AC947" s="109">
        <v>41.000000005109996</v>
      </c>
      <c r="AD947" s="109">
        <v>619099.81964239397</v>
      </c>
      <c r="AE947" s="125"/>
      <c r="AF947" s="10"/>
      <c r="AI947" s="109"/>
      <c r="AJ947" s="109"/>
      <c r="AL947" s="10"/>
      <c r="AO947" s="109"/>
      <c r="AP947" s="109"/>
      <c r="AR947" s="10"/>
      <c r="AU947" s="109"/>
      <c r="AV947" s="109"/>
      <c r="AX947" s="10"/>
      <c r="BA947" s="109"/>
      <c r="BB947" s="109"/>
      <c r="BD947" s="10"/>
      <c r="BG947" s="109"/>
      <c r="BH947" s="109"/>
      <c r="BJ947" s="10"/>
      <c r="BM947" s="109"/>
      <c r="BN947" s="109"/>
      <c r="BP947" s="10"/>
      <c r="BS947" s="109"/>
      <c r="BT947" s="109"/>
      <c r="BV947" s="10"/>
      <c r="BY947" s="109"/>
      <c r="BZ947" s="109"/>
      <c r="CB947" s="10"/>
      <c r="CE947" s="109"/>
      <c r="CF947" s="109"/>
      <c r="CH947" s="10"/>
      <c r="CK947" s="109"/>
      <c r="CL947" s="109"/>
    </row>
    <row r="948" spans="1:90">
      <c r="A948" s="7" t="str">
        <f t="shared" si="141"/>
        <v>01880998</v>
      </c>
      <c r="B948" s="7" t="s">
        <v>2527</v>
      </c>
      <c r="C948" s="7" t="s">
        <v>2781</v>
      </c>
      <c r="D948" s="7">
        <v>939</v>
      </c>
      <c r="E948" s="7">
        <v>188</v>
      </c>
      <c r="F948" s="7" t="s">
        <v>2135</v>
      </c>
      <c r="G948" s="7">
        <v>998</v>
      </c>
      <c r="H948" s="7" t="s">
        <v>2135</v>
      </c>
      <c r="I948" s="37">
        <v>0</v>
      </c>
      <c r="J948" s="122">
        <v>0</v>
      </c>
      <c r="K948" s="123">
        <f t="shared" si="150"/>
        <v>0</v>
      </c>
      <c r="L948" s="122">
        <f>IF(K949&gt;0, K948/K949, 0)</f>
        <v>0</v>
      </c>
      <c r="M948" s="71"/>
      <c r="N948" s="10">
        <f>ROUND(M949*L948,0)</f>
        <v>0</v>
      </c>
      <c r="O948" s="70">
        <v>0</v>
      </c>
      <c r="P948" s="10">
        <f>N948-O948</f>
        <v>0</v>
      </c>
      <c r="Q948" s="46">
        <f t="shared" si="149"/>
        <v>0</v>
      </c>
      <c r="R948" s="10">
        <v>0</v>
      </c>
      <c r="S948" s="7">
        <f t="shared" si="142"/>
        <v>0</v>
      </c>
      <c r="T948" s="124">
        <f t="shared" si="143"/>
        <v>188</v>
      </c>
      <c r="U948" s="124">
        <f t="shared" si="144"/>
        <v>998</v>
      </c>
      <c r="V948" s="124">
        <f t="shared" si="145"/>
        <v>939</v>
      </c>
      <c r="W948" s="124">
        <f t="shared" si="146"/>
        <v>0</v>
      </c>
      <c r="X948" s="124">
        <f t="shared" si="147"/>
        <v>0</v>
      </c>
      <c r="Y948" s="264">
        <f t="shared" si="148"/>
        <v>939</v>
      </c>
      <c r="Z948" s="10">
        <v>188</v>
      </c>
      <c r="AA948" s="7">
        <v>998</v>
      </c>
      <c r="AB948" s="7">
        <v>939</v>
      </c>
      <c r="AC948" s="109">
        <v>0</v>
      </c>
      <c r="AD948" s="109">
        <v>0</v>
      </c>
      <c r="AE948" s="125"/>
      <c r="AF948" s="10"/>
      <c r="AI948" s="109"/>
      <c r="AJ948" s="109"/>
      <c r="AL948" s="10"/>
      <c r="AO948" s="109"/>
      <c r="AP948" s="109"/>
      <c r="AR948" s="10"/>
      <c r="AU948" s="109"/>
      <c r="AV948" s="109"/>
      <c r="AX948" s="10"/>
      <c r="BA948" s="109"/>
      <c r="BB948" s="109"/>
      <c r="BD948" s="10"/>
      <c r="BG948" s="109"/>
      <c r="BH948" s="109"/>
      <c r="BJ948" s="10"/>
      <c r="BM948" s="109"/>
      <c r="BN948" s="109"/>
      <c r="BP948" s="10"/>
      <c r="BS948" s="109"/>
      <c r="BT948" s="109"/>
      <c r="BV948" s="10"/>
      <c r="BY948" s="109"/>
      <c r="BZ948" s="109"/>
      <c r="CB948" s="10"/>
      <c r="CE948" s="109"/>
      <c r="CF948" s="109"/>
      <c r="CH948" s="10"/>
      <c r="CK948" s="109"/>
      <c r="CL948" s="109"/>
    </row>
    <row r="949" spans="1:90">
      <c r="A949" s="7" t="str">
        <f t="shared" si="141"/>
        <v>01880999</v>
      </c>
      <c r="B949" s="7" t="s">
        <v>2527</v>
      </c>
      <c r="C949" s="7" t="s">
        <v>2782</v>
      </c>
      <c r="D949" s="7">
        <v>940</v>
      </c>
      <c r="E949" s="11">
        <v>188</v>
      </c>
      <c r="F949" s="11" t="s">
        <v>1893</v>
      </c>
      <c r="G949" s="11">
        <v>999</v>
      </c>
      <c r="H949" s="11" t="s">
        <v>1132</v>
      </c>
      <c r="I949" s="105">
        <v>5556187.2800000003</v>
      </c>
      <c r="J949" s="126">
        <v>1</v>
      </c>
      <c r="K949" s="127">
        <f>SUM(K945:K948)</f>
        <v>5500981.3565437421</v>
      </c>
      <c r="L949" s="126">
        <f>SUM(L945:L948)</f>
        <v>0.99999999999999989</v>
      </c>
      <c r="M949" s="105">
        <f>VLOOKUP(E949,town351,22)</f>
        <v>2328106</v>
      </c>
      <c r="N949" s="105">
        <f>SUM(N945:N948)</f>
        <v>2328106</v>
      </c>
      <c r="O949" s="128">
        <v>2254606</v>
      </c>
      <c r="P949" s="105">
        <f>SUM(P945:P948)</f>
        <v>73500</v>
      </c>
      <c r="Q949" s="45">
        <f t="shared" si="149"/>
        <v>3.2599930985724335</v>
      </c>
      <c r="R949" s="105">
        <v>549</v>
      </c>
      <c r="S949" s="7">
        <f t="shared" si="142"/>
        <v>0</v>
      </c>
      <c r="T949" s="124">
        <f t="shared" si="143"/>
        <v>188</v>
      </c>
      <c r="U949" s="124">
        <f t="shared" si="144"/>
        <v>999</v>
      </c>
      <c r="V949" s="124">
        <f t="shared" si="145"/>
        <v>940</v>
      </c>
      <c r="W949" s="124">
        <f t="shared" si="146"/>
        <v>529.54730473421</v>
      </c>
      <c r="X949" s="124">
        <f t="shared" si="147"/>
        <v>5500981.3565437421</v>
      </c>
      <c r="Y949" s="264">
        <f t="shared" si="148"/>
        <v>940</v>
      </c>
      <c r="Z949" s="10">
        <v>188</v>
      </c>
      <c r="AA949" s="7">
        <v>999</v>
      </c>
      <c r="AB949" s="7">
        <v>940</v>
      </c>
      <c r="AC949" s="109">
        <v>529.54730473421</v>
      </c>
      <c r="AD949" s="109">
        <v>5500981.3565437421</v>
      </c>
      <c r="AE949" s="125"/>
      <c r="AF949" s="10"/>
      <c r="AI949" s="109"/>
      <c r="AJ949" s="109"/>
      <c r="AL949" s="10"/>
      <c r="AO949" s="109"/>
      <c r="AP949" s="109"/>
      <c r="AR949" s="10"/>
      <c r="AU949" s="109"/>
      <c r="AV949" s="109"/>
      <c r="AX949" s="10"/>
      <c r="BA949" s="109"/>
      <c r="BB949" s="109"/>
      <c r="BD949" s="10"/>
      <c r="BG949" s="109"/>
      <c r="BH949" s="109"/>
      <c r="BJ949" s="10"/>
      <c r="BM949" s="109"/>
      <c r="BN949" s="109"/>
      <c r="BP949" s="10"/>
      <c r="BS949" s="109"/>
      <c r="BT949" s="109"/>
      <c r="BV949" s="10"/>
      <c r="BY949" s="109"/>
      <c r="BZ949" s="109"/>
      <c r="CB949" s="10"/>
      <c r="CE949" s="109"/>
      <c r="CF949" s="109"/>
      <c r="CH949" s="10"/>
      <c r="CK949" s="109"/>
      <c r="CL949" s="109"/>
    </row>
    <row r="950" spans="1:90">
      <c r="A950" s="7" t="str">
        <f t="shared" si="141"/>
        <v>01890189</v>
      </c>
      <c r="B950" s="7" t="s">
        <v>2528</v>
      </c>
      <c r="C950" s="7" t="s">
        <v>2528</v>
      </c>
      <c r="D950" s="7">
        <v>941</v>
      </c>
      <c r="E950" s="7">
        <v>189</v>
      </c>
      <c r="F950" s="7" t="s">
        <v>1894</v>
      </c>
      <c r="G950" s="7">
        <v>189</v>
      </c>
      <c r="H950" s="7" t="s">
        <v>1455</v>
      </c>
      <c r="I950" s="37">
        <v>37238061.294160001</v>
      </c>
      <c r="J950" s="122">
        <v>0.97624497199107951</v>
      </c>
      <c r="K950" s="123">
        <f>X950</f>
        <v>39699383.469837926</v>
      </c>
      <c r="L950" s="122">
        <f>IF(K954&gt;0, K950/K954, 0)</f>
        <v>0.97927705334419246</v>
      </c>
      <c r="M950" s="71"/>
      <c r="N950" s="10">
        <f>ROUND(M954*L950,0)</f>
        <v>32142381</v>
      </c>
      <c r="O950" s="70">
        <v>30828228</v>
      </c>
      <c r="P950" s="10">
        <f>N950-O950</f>
        <v>1314153</v>
      </c>
      <c r="Q950" s="46">
        <f t="shared" si="149"/>
        <v>4.2628236692683084</v>
      </c>
      <c r="R950" s="10">
        <v>3917</v>
      </c>
      <c r="S950" s="7">
        <f t="shared" si="142"/>
        <v>0</v>
      </c>
      <c r="T950" s="124">
        <f t="shared" si="143"/>
        <v>189</v>
      </c>
      <c r="U950" s="124">
        <f t="shared" si="144"/>
        <v>189</v>
      </c>
      <c r="V950" s="124">
        <f t="shared" si="145"/>
        <v>941</v>
      </c>
      <c r="W950" s="124">
        <f t="shared" si="146"/>
        <v>4093</v>
      </c>
      <c r="X950" s="124">
        <f t="shared" si="147"/>
        <v>39699383.469837926</v>
      </c>
      <c r="Y950" s="264">
        <f t="shared" si="148"/>
        <v>941</v>
      </c>
      <c r="Z950" s="10">
        <v>189</v>
      </c>
      <c r="AA950" s="7">
        <v>189</v>
      </c>
      <c r="AB950" s="7">
        <v>941</v>
      </c>
      <c r="AC950" s="109">
        <v>4093</v>
      </c>
      <c r="AD950" s="109">
        <v>39699383.469837926</v>
      </c>
      <c r="AE950" s="125"/>
      <c r="AF950" s="10"/>
      <c r="AI950" s="109"/>
      <c r="AJ950" s="109"/>
      <c r="AL950" s="10"/>
      <c r="AO950" s="109"/>
      <c r="AP950" s="109"/>
      <c r="AR950" s="10"/>
      <c r="AU950" s="109"/>
      <c r="AV950" s="109"/>
      <c r="AX950" s="10"/>
      <c r="BA950" s="109"/>
      <c r="BB950" s="109"/>
      <c r="BD950" s="10"/>
      <c r="BG950" s="109"/>
      <c r="BH950" s="109"/>
      <c r="BJ950" s="10"/>
      <c r="BM950" s="109"/>
      <c r="BN950" s="109"/>
      <c r="BP950" s="10"/>
      <c r="BS950" s="109"/>
      <c r="BT950" s="109"/>
      <c r="BV950" s="10"/>
      <c r="BY950" s="109"/>
      <c r="BZ950" s="109"/>
      <c r="CB950" s="10"/>
      <c r="CE950" s="109"/>
      <c r="CF950" s="109"/>
      <c r="CH950" s="10"/>
      <c r="CK950" s="109"/>
      <c r="CL950" s="109"/>
    </row>
    <row r="951" spans="1:90">
      <c r="A951" s="7" t="str">
        <f t="shared" si="141"/>
        <v>01890806</v>
      </c>
      <c r="B951" s="7" t="s">
        <v>2528</v>
      </c>
      <c r="C951" s="7" t="s">
        <v>2754</v>
      </c>
      <c r="D951" s="7">
        <v>942</v>
      </c>
      <c r="E951" s="7">
        <v>189</v>
      </c>
      <c r="F951" s="7" t="s">
        <v>1894</v>
      </c>
      <c r="G951" s="7">
        <v>806</v>
      </c>
      <c r="H951" s="7" t="s">
        <v>1681</v>
      </c>
      <c r="I951" s="37">
        <v>825429</v>
      </c>
      <c r="J951" s="122">
        <v>2.1639711708407353E-2</v>
      </c>
      <c r="K951" s="123">
        <f t="shared" si="150"/>
        <v>741263.71754156472</v>
      </c>
      <c r="L951" s="122">
        <f>IF(K954&gt;0, K951/K954, 0)</f>
        <v>1.828498292968651E-2</v>
      </c>
      <c r="M951" s="71"/>
      <c r="N951" s="10">
        <f>ROUND(M954*L951,0)</f>
        <v>600160</v>
      </c>
      <c r="O951" s="70">
        <v>683347</v>
      </c>
      <c r="P951" s="10">
        <f>N951-O951</f>
        <v>-83187</v>
      </c>
      <c r="Q951" s="46">
        <f t="shared" si="149"/>
        <v>-12.173463847796215</v>
      </c>
      <c r="R951" s="10">
        <v>51</v>
      </c>
      <c r="S951" s="7">
        <f t="shared" si="142"/>
        <v>0</v>
      </c>
      <c r="T951" s="124">
        <f t="shared" si="143"/>
        <v>189</v>
      </c>
      <c r="U951" s="124">
        <f t="shared" si="144"/>
        <v>806</v>
      </c>
      <c r="V951" s="124">
        <f t="shared" si="145"/>
        <v>942</v>
      </c>
      <c r="W951" s="124">
        <f t="shared" si="146"/>
        <v>44.999999999289997</v>
      </c>
      <c r="X951" s="124">
        <f t="shared" si="147"/>
        <v>741263.71754156472</v>
      </c>
      <c r="Y951" s="264">
        <f t="shared" si="148"/>
        <v>942</v>
      </c>
      <c r="Z951" s="10">
        <v>189</v>
      </c>
      <c r="AA951" s="7">
        <v>806</v>
      </c>
      <c r="AB951" s="7">
        <v>942</v>
      </c>
      <c r="AC951" s="109">
        <v>44.999999999289997</v>
      </c>
      <c r="AD951" s="109">
        <v>741263.71754156472</v>
      </c>
      <c r="AE951" s="125"/>
      <c r="AF951" s="10"/>
      <c r="AI951" s="109"/>
      <c r="AJ951" s="109"/>
      <c r="AL951" s="10"/>
      <c r="AO951" s="109"/>
      <c r="AP951" s="109"/>
      <c r="AR951" s="10"/>
      <c r="AU951" s="109"/>
      <c r="AV951" s="109"/>
      <c r="AX951" s="10"/>
      <c r="BA951" s="109"/>
      <c r="BB951" s="109"/>
      <c r="BD951" s="10"/>
      <c r="BG951" s="109"/>
      <c r="BH951" s="109"/>
      <c r="BJ951" s="10"/>
      <c r="BM951" s="109"/>
      <c r="BN951" s="109"/>
      <c r="BP951" s="10"/>
      <c r="BS951" s="109"/>
      <c r="BT951" s="109"/>
      <c r="BV951" s="10"/>
      <c r="BY951" s="109"/>
      <c r="BZ951" s="109"/>
      <c r="CB951" s="10"/>
      <c r="CE951" s="109"/>
      <c r="CF951" s="109"/>
      <c r="CH951" s="10"/>
      <c r="CK951" s="109"/>
      <c r="CL951" s="109"/>
    </row>
    <row r="952" spans="1:90">
      <c r="A952" s="7" t="str">
        <f t="shared" si="141"/>
        <v>01890915</v>
      </c>
      <c r="B952" s="7" t="s">
        <v>2528</v>
      </c>
      <c r="C952" s="7" t="s">
        <v>2779</v>
      </c>
      <c r="D952" s="7">
        <v>943</v>
      </c>
      <c r="E952" s="7">
        <v>189</v>
      </c>
      <c r="F952" s="7" t="s">
        <v>1894</v>
      </c>
      <c r="G952" s="7">
        <v>915</v>
      </c>
      <c r="H952" s="7" t="s">
        <v>1706</v>
      </c>
      <c r="I952" s="37">
        <v>80687</v>
      </c>
      <c r="J952" s="122">
        <v>2.1153163005131438E-3</v>
      </c>
      <c r="K952" s="123">
        <f t="shared" si="150"/>
        <v>98833.784084203813</v>
      </c>
      <c r="L952" s="122">
        <f>IF(K954&gt;0, K952/K954, 0)</f>
        <v>2.4379637261210691E-3</v>
      </c>
      <c r="M952" s="71"/>
      <c r="N952" s="10">
        <f>ROUND(M954*L952,0)</f>
        <v>80020</v>
      </c>
      <c r="O952" s="70">
        <v>66798</v>
      </c>
      <c r="P952" s="10">
        <f>N952-O952</f>
        <v>13222</v>
      </c>
      <c r="Q952" s="46">
        <f t="shared" si="149"/>
        <v>19.794005808557142</v>
      </c>
      <c r="R952" s="10">
        <v>5</v>
      </c>
      <c r="S952" s="7">
        <f t="shared" si="142"/>
        <v>0</v>
      </c>
      <c r="T952" s="124">
        <f t="shared" si="143"/>
        <v>189</v>
      </c>
      <c r="U952" s="124">
        <f t="shared" si="144"/>
        <v>915</v>
      </c>
      <c r="V952" s="124">
        <f t="shared" si="145"/>
        <v>943</v>
      </c>
      <c r="W952" s="124">
        <f t="shared" si="146"/>
        <v>5.9999999988599999</v>
      </c>
      <c r="X952" s="124">
        <f t="shared" si="147"/>
        <v>98833.784084203813</v>
      </c>
      <c r="Y952" s="264">
        <f t="shared" si="148"/>
        <v>943</v>
      </c>
      <c r="Z952" s="10">
        <v>189</v>
      </c>
      <c r="AA952" s="7">
        <v>915</v>
      </c>
      <c r="AB952" s="7">
        <v>943</v>
      </c>
      <c r="AC952" s="109">
        <v>5.9999999988599999</v>
      </c>
      <c r="AD952" s="109">
        <v>98833.784084203813</v>
      </c>
      <c r="AE952" s="125"/>
      <c r="AF952" s="10"/>
      <c r="AI952" s="109"/>
      <c r="AJ952" s="109"/>
      <c r="AL952" s="10"/>
      <c r="AO952" s="109"/>
      <c r="AP952" s="109"/>
      <c r="AR952" s="10"/>
      <c r="AU952" s="109"/>
      <c r="AV952" s="109"/>
      <c r="AX952" s="10"/>
      <c r="BA952" s="109"/>
      <c r="BB952" s="109"/>
      <c r="BD952" s="10"/>
      <c r="BG952" s="109"/>
      <c r="BH952" s="109"/>
      <c r="BJ952" s="10"/>
      <c r="BM952" s="109"/>
      <c r="BN952" s="109"/>
      <c r="BP952" s="10"/>
      <c r="BS952" s="109"/>
      <c r="BT952" s="109"/>
      <c r="BV952" s="10"/>
      <c r="BY952" s="109"/>
      <c r="BZ952" s="109"/>
      <c r="CB952" s="10"/>
      <c r="CE952" s="109"/>
      <c r="CF952" s="109"/>
      <c r="CH952" s="10"/>
      <c r="CK952" s="109"/>
      <c r="CL952" s="109"/>
    </row>
    <row r="953" spans="1:90">
      <c r="A953" s="7" t="str">
        <f t="shared" si="141"/>
        <v>01890998</v>
      </c>
      <c r="B953" s="7" t="s">
        <v>2528</v>
      </c>
      <c r="C953" s="7" t="s">
        <v>2781</v>
      </c>
      <c r="D953" s="7">
        <v>944</v>
      </c>
      <c r="E953" s="7">
        <v>189</v>
      </c>
      <c r="F953" s="7" t="s">
        <v>2135</v>
      </c>
      <c r="G953" s="7">
        <v>998</v>
      </c>
      <c r="H953" s="7" t="s">
        <v>2135</v>
      </c>
      <c r="I953" s="37">
        <v>0</v>
      </c>
      <c r="J953" s="122">
        <v>0</v>
      </c>
      <c r="K953" s="123">
        <f t="shared" si="150"/>
        <v>0</v>
      </c>
      <c r="L953" s="122">
        <f>IF(K954&gt;0, K953/K954, 0)</f>
        <v>0</v>
      </c>
      <c r="M953" s="71"/>
      <c r="N953" s="10">
        <f>ROUND(M954*L953,0)</f>
        <v>0</v>
      </c>
      <c r="O953" s="70">
        <v>0</v>
      </c>
      <c r="P953" s="10">
        <f>N953-O953</f>
        <v>0</v>
      </c>
      <c r="Q953" s="46">
        <f t="shared" si="149"/>
        <v>0</v>
      </c>
      <c r="R953" s="10">
        <v>0</v>
      </c>
      <c r="S953" s="7">
        <f t="shared" si="142"/>
        <v>0</v>
      </c>
      <c r="T953" s="124">
        <f t="shared" si="143"/>
        <v>189</v>
      </c>
      <c r="U953" s="124">
        <f t="shared" si="144"/>
        <v>998</v>
      </c>
      <c r="V953" s="124">
        <f t="shared" si="145"/>
        <v>944</v>
      </c>
      <c r="W953" s="124">
        <f t="shared" si="146"/>
        <v>0</v>
      </c>
      <c r="X953" s="124">
        <f t="shared" si="147"/>
        <v>0</v>
      </c>
      <c r="Y953" s="264">
        <f t="shared" si="148"/>
        <v>944</v>
      </c>
      <c r="Z953" s="10">
        <v>189</v>
      </c>
      <c r="AA953" s="7">
        <v>998</v>
      </c>
      <c r="AB953" s="7">
        <v>944</v>
      </c>
      <c r="AC953" s="109">
        <v>0</v>
      </c>
      <c r="AD953" s="109">
        <v>0</v>
      </c>
      <c r="AE953" s="125"/>
      <c r="AF953" s="10"/>
      <c r="AI953" s="109"/>
      <c r="AJ953" s="109"/>
      <c r="AL953" s="10"/>
      <c r="AO953" s="109"/>
      <c r="AP953" s="109"/>
      <c r="AR953" s="10"/>
      <c r="AU953" s="109"/>
      <c r="AV953" s="109"/>
      <c r="AX953" s="10"/>
      <c r="BA953" s="109"/>
      <c r="BB953" s="109"/>
      <c r="BD953" s="10"/>
      <c r="BG953" s="109"/>
      <c r="BH953" s="109"/>
      <c r="BJ953" s="10"/>
      <c r="BM953" s="109"/>
      <c r="BN953" s="109"/>
      <c r="BP953" s="10"/>
      <c r="BS953" s="109"/>
      <c r="BT953" s="109"/>
      <c r="BV953" s="10"/>
      <c r="BY953" s="109"/>
      <c r="BZ953" s="109"/>
      <c r="CB953" s="10"/>
      <c r="CE953" s="109"/>
      <c r="CF953" s="109"/>
      <c r="CH953" s="10"/>
      <c r="CK953" s="109"/>
      <c r="CL953" s="109"/>
    </row>
    <row r="954" spans="1:90">
      <c r="A954" s="7" t="str">
        <f t="shared" si="141"/>
        <v>01890999</v>
      </c>
      <c r="B954" s="7" t="s">
        <v>2528</v>
      </c>
      <c r="C954" s="7" t="s">
        <v>2782</v>
      </c>
      <c r="D954" s="7">
        <v>945</v>
      </c>
      <c r="E954" s="11">
        <v>189</v>
      </c>
      <c r="F954" s="11" t="s">
        <v>1894</v>
      </c>
      <c r="G954" s="11">
        <v>999</v>
      </c>
      <c r="H954" s="11" t="s">
        <v>1132</v>
      </c>
      <c r="I954" s="105">
        <v>38144177.294160001</v>
      </c>
      <c r="J954" s="126">
        <v>1</v>
      </c>
      <c r="K954" s="127">
        <f>SUM(K950:K953)</f>
        <v>40539480.971463695</v>
      </c>
      <c r="L954" s="126">
        <f>SUM(L950:L953)</f>
        <v>1</v>
      </c>
      <c r="M954" s="105">
        <f>VLOOKUP(E954,town351,22)</f>
        <v>32822561</v>
      </c>
      <c r="N954" s="105">
        <f>SUM(N950:N953)</f>
        <v>32822561</v>
      </c>
      <c r="O954" s="128">
        <v>31578373</v>
      </c>
      <c r="P954" s="105">
        <f>SUM(P950:P953)</f>
        <v>1244188</v>
      </c>
      <c r="Q954" s="45">
        <f t="shared" si="149"/>
        <v>3.9400003287059788</v>
      </c>
      <c r="R954" s="105">
        <v>3973</v>
      </c>
      <c r="S954" s="7">
        <f t="shared" si="142"/>
        <v>0</v>
      </c>
      <c r="T954" s="124">
        <f t="shared" si="143"/>
        <v>189</v>
      </c>
      <c r="U954" s="124">
        <f t="shared" si="144"/>
        <v>999</v>
      </c>
      <c r="V954" s="124">
        <f t="shared" si="145"/>
        <v>945</v>
      </c>
      <c r="W954" s="124">
        <f t="shared" si="146"/>
        <v>4143.9999999981501</v>
      </c>
      <c r="X954" s="124">
        <f t="shared" si="147"/>
        <v>40539480.971463695</v>
      </c>
      <c r="Y954" s="264">
        <f t="shared" si="148"/>
        <v>945</v>
      </c>
      <c r="Z954" s="10">
        <v>189</v>
      </c>
      <c r="AA954" s="7">
        <v>999</v>
      </c>
      <c r="AB954" s="7">
        <v>945</v>
      </c>
      <c r="AC954" s="109">
        <v>4143.9999999981501</v>
      </c>
      <c r="AD954" s="109">
        <v>40539480.971463695</v>
      </c>
      <c r="AE954" s="125"/>
      <c r="AF954" s="10"/>
      <c r="AI954" s="109"/>
      <c r="AJ954" s="109"/>
      <c r="AL954" s="10"/>
      <c r="AO954" s="109"/>
      <c r="AP954" s="109"/>
      <c r="AR954" s="10"/>
      <c r="AU954" s="109"/>
      <c r="AV954" s="109"/>
      <c r="AX954" s="10"/>
      <c r="BA954" s="109"/>
      <c r="BB954" s="109"/>
      <c r="BD954" s="10"/>
      <c r="BG954" s="109"/>
      <c r="BH954" s="109"/>
      <c r="BJ954" s="10"/>
      <c r="BM954" s="109"/>
      <c r="BN954" s="109"/>
      <c r="BP954" s="10"/>
      <c r="BS954" s="109"/>
      <c r="BT954" s="109"/>
      <c r="BV954" s="10"/>
      <c r="BY954" s="109"/>
      <c r="BZ954" s="109"/>
      <c r="CB954" s="10"/>
      <c r="CE954" s="109"/>
      <c r="CF954" s="109"/>
      <c r="CH954" s="10"/>
      <c r="CK954" s="109"/>
      <c r="CL954" s="109"/>
    </row>
    <row r="955" spans="1:90">
      <c r="A955" s="7" t="str">
        <f t="shared" si="141"/>
        <v>01900190</v>
      </c>
      <c r="B955" s="7" t="s">
        <v>2529</v>
      </c>
      <c r="C955" s="7" t="s">
        <v>2529</v>
      </c>
      <c r="D955" s="7">
        <v>946</v>
      </c>
      <c r="E955" s="7">
        <v>190</v>
      </c>
      <c r="F955" s="7" t="s">
        <v>1895</v>
      </c>
      <c r="G955" s="7">
        <v>190</v>
      </c>
      <c r="H955" s="7" t="s">
        <v>1456</v>
      </c>
      <c r="I955" s="37">
        <v>64197.68</v>
      </c>
      <c r="J955" s="122">
        <v>0.50333483137046564</v>
      </c>
      <c r="K955" s="123">
        <f>X955</f>
        <v>70057.67309236154</v>
      </c>
      <c r="L955" s="122">
        <f>IF(K959&gt;0, K955/K959, 0)</f>
        <v>0.42062527504518715</v>
      </c>
      <c r="M955" s="71"/>
      <c r="N955" s="10">
        <f>ROUND(M959*L955,0)</f>
        <v>39434</v>
      </c>
      <c r="O955" s="70">
        <v>43424</v>
      </c>
      <c r="P955" s="10">
        <f>N955-O955</f>
        <v>-3990</v>
      </c>
      <c r="Q955" s="46">
        <f t="shared" si="149"/>
        <v>-9.1884672070744298</v>
      </c>
      <c r="R955" s="10">
        <v>9</v>
      </c>
      <c r="S955" s="7">
        <f t="shared" si="142"/>
        <v>0</v>
      </c>
      <c r="T955" s="124">
        <f t="shared" si="143"/>
        <v>190</v>
      </c>
      <c r="U955" s="124">
        <f t="shared" si="144"/>
        <v>190</v>
      </c>
      <c r="V955" s="124">
        <f t="shared" si="145"/>
        <v>946</v>
      </c>
      <c r="W955" s="124">
        <f t="shared" si="146"/>
        <v>10</v>
      </c>
      <c r="X955" s="124">
        <f t="shared" si="147"/>
        <v>70057.67309236154</v>
      </c>
      <c r="Y955" s="264">
        <f t="shared" si="148"/>
        <v>946</v>
      </c>
      <c r="Z955" s="10">
        <v>190</v>
      </c>
      <c r="AA955" s="7">
        <v>190</v>
      </c>
      <c r="AB955" s="7">
        <v>946</v>
      </c>
      <c r="AC955" s="109">
        <v>10</v>
      </c>
      <c r="AD955" s="109">
        <v>70057.67309236154</v>
      </c>
      <c r="AE955" s="125"/>
      <c r="AF955" s="10"/>
      <c r="AI955" s="109"/>
      <c r="AJ955" s="109"/>
      <c r="AL955" s="10"/>
      <c r="AO955" s="109"/>
      <c r="AP955" s="109"/>
      <c r="AR955" s="10"/>
      <c r="AU955" s="109"/>
      <c r="AV955" s="109"/>
      <c r="AX955" s="10"/>
      <c r="BA955" s="109"/>
      <c r="BB955" s="109"/>
      <c r="BD955" s="10"/>
      <c r="BG955" s="109"/>
      <c r="BH955" s="109"/>
      <c r="BJ955" s="10"/>
      <c r="BM955" s="109"/>
      <c r="BN955" s="109"/>
      <c r="BP955" s="10"/>
      <c r="BS955" s="109"/>
      <c r="BT955" s="109"/>
      <c r="BV955" s="10"/>
      <c r="BY955" s="109"/>
      <c r="BZ955" s="109"/>
      <c r="CB955" s="10"/>
      <c r="CE955" s="109"/>
      <c r="CF955" s="109"/>
      <c r="CH955" s="10"/>
      <c r="CK955" s="109"/>
      <c r="CL955" s="109"/>
    </row>
    <row r="956" spans="1:90">
      <c r="A956" s="7" t="str">
        <f t="shared" si="141"/>
        <v>01900851</v>
      </c>
      <c r="B956" s="7" t="s">
        <v>2529</v>
      </c>
      <c r="C956" s="7" t="s">
        <v>2766</v>
      </c>
      <c r="D956" s="7">
        <v>947</v>
      </c>
      <c r="E956" s="7">
        <v>190</v>
      </c>
      <c r="F956" s="7" t="s">
        <v>1895</v>
      </c>
      <c r="G956" s="7">
        <v>851</v>
      </c>
      <c r="H956" s="7" t="s">
        <v>1693</v>
      </c>
      <c r="I956" s="37">
        <v>63347</v>
      </c>
      <c r="J956" s="122">
        <v>0.49666516862953441</v>
      </c>
      <c r="K956" s="123">
        <f t="shared" si="150"/>
        <v>96498.350163338793</v>
      </c>
      <c r="L956" s="122">
        <f>IF(K959&gt;0, K956/K959, 0)</f>
        <v>0.5793747249548129</v>
      </c>
      <c r="M956" s="71"/>
      <c r="N956" s="10">
        <f>ROUND(M959*L956,0)</f>
        <v>54318</v>
      </c>
      <c r="O956" s="70">
        <v>42848</v>
      </c>
      <c r="P956" s="10">
        <f>N956-O956</f>
        <v>11470</v>
      </c>
      <c r="Q956" s="46">
        <f t="shared" si="149"/>
        <v>26.769044062733382</v>
      </c>
      <c r="R956" s="10">
        <v>4</v>
      </c>
      <c r="S956" s="7">
        <f t="shared" si="142"/>
        <v>0</v>
      </c>
      <c r="T956" s="124">
        <f t="shared" si="143"/>
        <v>190</v>
      </c>
      <c r="U956" s="124">
        <f t="shared" si="144"/>
        <v>851</v>
      </c>
      <c r="V956" s="124">
        <f t="shared" si="145"/>
        <v>947</v>
      </c>
      <c r="W956" s="124">
        <f t="shared" si="146"/>
        <v>6.0000000014400001</v>
      </c>
      <c r="X956" s="124">
        <f t="shared" si="147"/>
        <v>96498.350163338793</v>
      </c>
      <c r="Y956" s="264">
        <f t="shared" si="148"/>
        <v>947</v>
      </c>
      <c r="Z956" s="10">
        <v>190</v>
      </c>
      <c r="AA956" s="7">
        <v>851</v>
      </c>
      <c r="AB956" s="7">
        <v>947</v>
      </c>
      <c r="AC956" s="109">
        <v>6.0000000014400001</v>
      </c>
      <c r="AD956" s="109">
        <v>96498.350163338793</v>
      </c>
      <c r="AE956" s="125"/>
      <c r="AF956" s="10"/>
      <c r="AI956" s="109"/>
      <c r="AJ956" s="109"/>
      <c r="AL956" s="10"/>
      <c r="AO956" s="109"/>
      <c r="AP956" s="109"/>
      <c r="AR956" s="10"/>
      <c r="AU956" s="109"/>
      <c r="AV956" s="109"/>
      <c r="AX956" s="10"/>
      <c r="BA956" s="109"/>
      <c r="BB956" s="109"/>
      <c r="BD956" s="10"/>
      <c r="BG956" s="109"/>
      <c r="BH956" s="109"/>
      <c r="BJ956" s="10"/>
      <c r="BM956" s="109"/>
      <c r="BN956" s="109"/>
      <c r="BP956" s="10"/>
      <c r="BS956" s="109"/>
      <c r="BT956" s="109"/>
      <c r="BV956" s="10"/>
      <c r="BY956" s="109"/>
      <c r="BZ956" s="109"/>
      <c r="CB956" s="10"/>
      <c r="CE956" s="109"/>
      <c r="CF956" s="109"/>
      <c r="CH956" s="10"/>
      <c r="CK956" s="109"/>
      <c r="CL956" s="109"/>
    </row>
    <row r="957" spans="1:90">
      <c r="A957" s="7" t="str">
        <f t="shared" si="141"/>
        <v>01900998</v>
      </c>
      <c r="B957" s="7" t="s">
        <v>2529</v>
      </c>
      <c r="C957" s="7" t="s">
        <v>2781</v>
      </c>
      <c r="D957" s="7">
        <v>948</v>
      </c>
      <c r="E957" s="7">
        <v>190</v>
      </c>
      <c r="F957" s="7" t="s">
        <v>2135</v>
      </c>
      <c r="G957" s="7">
        <v>998</v>
      </c>
      <c r="H957" s="7" t="s">
        <v>2135</v>
      </c>
      <c r="I957" s="37">
        <v>0</v>
      </c>
      <c r="J957" s="122">
        <v>0</v>
      </c>
      <c r="K957" s="123">
        <f t="shared" si="150"/>
        <v>0</v>
      </c>
      <c r="L957" s="122">
        <f>IF(K959&gt;0, K957/K959, 0)</f>
        <v>0</v>
      </c>
      <c r="M957" s="71"/>
      <c r="N957" s="10">
        <f>ROUND(M959*L957,0)</f>
        <v>0</v>
      </c>
      <c r="O957" s="70">
        <v>0</v>
      </c>
      <c r="P957" s="10">
        <f>N957-O957</f>
        <v>0</v>
      </c>
      <c r="Q957" s="46">
        <f t="shared" si="149"/>
        <v>0</v>
      </c>
      <c r="R957" s="10">
        <v>0</v>
      </c>
      <c r="S957" s="7">
        <f t="shared" si="142"/>
        <v>0</v>
      </c>
      <c r="T957" s="124">
        <f t="shared" si="143"/>
        <v>190</v>
      </c>
      <c r="U957" s="124">
        <f t="shared" si="144"/>
        <v>998</v>
      </c>
      <c r="V957" s="124">
        <f t="shared" si="145"/>
        <v>948</v>
      </c>
      <c r="W957" s="124">
        <f t="shared" si="146"/>
        <v>0</v>
      </c>
      <c r="X957" s="124">
        <f t="shared" si="147"/>
        <v>0</v>
      </c>
      <c r="Y957" s="264">
        <f t="shared" si="148"/>
        <v>948</v>
      </c>
      <c r="Z957" s="10">
        <v>190</v>
      </c>
      <c r="AA957" s="7">
        <v>998</v>
      </c>
      <c r="AB957" s="7">
        <v>948</v>
      </c>
      <c r="AC957" s="109">
        <v>0</v>
      </c>
      <c r="AD957" s="109">
        <v>0</v>
      </c>
      <c r="AE957" s="125"/>
      <c r="AF957" s="10"/>
      <c r="AI957" s="109"/>
      <c r="AJ957" s="109"/>
      <c r="AL957" s="10"/>
      <c r="AO957" s="109"/>
      <c r="AP957" s="109"/>
      <c r="AR957" s="10"/>
      <c r="AU957" s="109"/>
      <c r="AV957" s="109"/>
      <c r="AX957" s="10"/>
      <c r="BA957" s="109"/>
      <c r="BB957" s="109"/>
      <c r="BD957" s="10"/>
      <c r="BG957" s="109"/>
      <c r="BH957" s="109"/>
      <c r="BJ957" s="10"/>
      <c r="BM957" s="109"/>
      <c r="BN957" s="109"/>
      <c r="BP957" s="10"/>
      <c r="BS957" s="109"/>
      <c r="BT957" s="109"/>
      <c r="BV957" s="10"/>
      <c r="BY957" s="109"/>
      <c r="BZ957" s="109"/>
      <c r="CB957" s="10"/>
      <c r="CE957" s="109"/>
      <c r="CF957" s="109"/>
      <c r="CH957" s="10"/>
      <c r="CK957" s="109"/>
      <c r="CL957" s="109"/>
    </row>
    <row r="958" spans="1:90">
      <c r="A958" s="7" t="str">
        <f t="shared" si="141"/>
        <v>01900998</v>
      </c>
      <c r="B958" s="7" t="s">
        <v>2529</v>
      </c>
      <c r="C958" s="7" t="s">
        <v>2781</v>
      </c>
      <c r="D958" s="7">
        <v>949</v>
      </c>
      <c r="E958" s="7">
        <v>190</v>
      </c>
      <c r="F958" s="7" t="s">
        <v>2135</v>
      </c>
      <c r="G958" s="7">
        <v>998</v>
      </c>
      <c r="H958" s="7" t="s">
        <v>2135</v>
      </c>
      <c r="I958" s="37">
        <v>0</v>
      </c>
      <c r="J958" s="122">
        <v>0</v>
      </c>
      <c r="K958" s="123">
        <f t="shared" si="150"/>
        <v>0</v>
      </c>
      <c r="L958" s="122">
        <f>IF(K959&gt;0, K958/K959, 0)</f>
        <v>0</v>
      </c>
      <c r="M958" s="71"/>
      <c r="N958" s="10">
        <f>ROUND(M959*L958,0)</f>
        <v>0</v>
      </c>
      <c r="O958" s="70">
        <v>0</v>
      </c>
      <c r="P958" s="10">
        <f>N958-O958</f>
        <v>0</v>
      </c>
      <c r="Q958" s="46">
        <f t="shared" si="149"/>
        <v>0</v>
      </c>
      <c r="R958" s="10">
        <v>0</v>
      </c>
      <c r="S958" s="7">
        <f t="shared" si="142"/>
        <v>0</v>
      </c>
      <c r="T958" s="124">
        <f t="shared" si="143"/>
        <v>190</v>
      </c>
      <c r="U958" s="124">
        <f t="shared" si="144"/>
        <v>998</v>
      </c>
      <c r="V958" s="124">
        <f t="shared" si="145"/>
        <v>949</v>
      </c>
      <c r="W958" s="124">
        <f t="shared" si="146"/>
        <v>0</v>
      </c>
      <c r="X958" s="124">
        <f t="shared" si="147"/>
        <v>0</v>
      </c>
      <c r="Y958" s="264">
        <f t="shared" si="148"/>
        <v>949</v>
      </c>
      <c r="Z958" s="10">
        <v>190</v>
      </c>
      <c r="AA958" s="7">
        <v>998</v>
      </c>
      <c r="AB958" s="7">
        <v>949</v>
      </c>
      <c r="AC958" s="109">
        <v>0</v>
      </c>
      <c r="AD958" s="109">
        <v>0</v>
      </c>
      <c r="AE958" s="125"/>
      <c r="AF958" s="10"/>
      <c r="AI958" s="109"/>
      <c r="AJ958" s="109"/>
      <c r="AL958" s="10"/>
      <c r="AO958" s="109"/>
      <c r="AP958" s="109"/>
      <c r="AR958" s="10"/>
      <c r="AU958" s="109"/>
      <c r="AV958" s="109"/>
      <c r="AX958" s="10"/>
      <c r="BA958" s="109"/>
      <c r="BB958" s="109"/>
      <c r="BD958" s="10"/>
      <c r="BG958" s="109"/>
      <c r="BH958" s="109"/>
      <c r="BJ958" s="10"/>
      <c r="BM958" s="109"/>
      <c r="BN958" s="109"/>
      <c r="BP958" s="10"/>
      <c r="BS958" s="109"/>
      <c r="BT958" s="109"/>
      <c r="BV958" s="10"/>
      <c r="BY958" s="109"/>
      <c r="BZ958" s="109"/>
      <c r="CB958" s="10"/>
      <c r="CE958" s="109"/>
      <c r="CF958" s="109"/>
      <c r="CH958" s="10"/>
      <c r="CK958" s="109"/>
      <c r="CL958" s="109"/>
    </row>
    <row r="959" spans="1:90">
      <c r="A959" s="7" t="str">
        <f t="shared" si="141"/>
        <v>01900999</v>
      </c>
      <c r="B959" s="7" t="s">
        <v>2529</v>
      </c>
      <c r="C959" s="7" t="s">
        <v>2782</v>
      </c>
      <c r="D959" s="7">
        <v>950</v>
      </c>
      <c r="E959" s="11">
        <v>190</v>
      </c>
      <c r="F959" s="11" t="s">
        <v>1895</v>
      </c>
      <c r="G959" s="11">
        <v>999</v>
      </c>
      <c r="H959" s="11" t="s">
        <v>1132</v>
      </c>
      <c r="I959" s="105">
        <v>127544.68</v>
      </c>
      <c r="J959" s="126">
        <v>1</v>
      </c>
      <c r="K959" s="127">
        <f>SUM(K955:K958)</f>
        <v>166556.02325570033</v>
      </c>
      <c r="L959" s="126">
        <f>SUM(L955:L958)</f>
        <v>1</v>
      </c>
      <c r="M959" s="105">
        <f>VLOOKUP(E959,town351,22)</f>
        <v>93752</v>
      </c>
      <c r="N959" s="105">
        <f>SUM(N955:N958)</f>
        <v>93752</v>
      </c>
      <c r="O959" s="128">
        <v>86272</v>
      </c>
      <c r="P959" s="105">
        <f>SUM(P955:P958)</f>
        <v>7480</v>
      </c>
      <c r="Q959" s="45">
        <f t="shared" si="149"/>
        <v>8.6702522255192882</v>
      </c>
      <c r="R959" s="105">
        <v>13</v>
      </c>
      <c r="S959" s="7">
        <f t="shared" si="142"/>
        <v>0</v>
      </c>
      <c r="T959" s="124">
        <f t="shared" si="143"/>
        <v>190</v>
      </c>
      <c r="U959" s="124">
        <f t="shared" si="144"/>
        <v>999</v>
      </c>
      <c r="V959" s="124">
        <f t="shared" si="145"/>
        <v>950</v>
      </c>
      <c r="W959" s="124">
        <f t="shared" si="146"/>
        <v>16.00000000144</v>
      </c>
      <c r="X959" s="124">
        <f t="shared" si="147"/>
        <v>166556.02325570033</v>
      </c>
      <c r="Y959" s="264">
        <f t="shared" si="148"/>
        <v>950</v>
      </c>
      <c r="Z959" s="10">
        <v>190</v>
      </c>
      <c r="AA959" s="7">
        <v>999</v>
      </c>
      <c r="AB959" s="7">
        <v>950</v>
      </c>
      <c r="AC959" s="109">
        <v>16.00000000144</v>
      </c>
      <c r="AD959" s="109">
        <v>166556.02325570033</v>
      </c>
      <c r="AE959" s="125"/>
      <c r="AF959" s="10"/>
      <c r="AI959" s="109"/>
      <c r="AJ959" s="109"/>
      <c r="AL959" s="10"/>
      <c r="AO959" s="109"/>
      <c r="AP959" s="109"/>
      <c r="AR959" s="10"/>
      <c r="AU959" s="109"/>
      <c r="AV959" s="109"/>
      <c r="AX959" s="10"/>
      <c r="BA959" s="109"/>
      <c r="BB959" s="109"/>
      <c r="BD959" s="10"/>
      <c r="BG959" s="109"/>
      <c r="BH959" s="109"/>
      <c r="BJ959" s="10"/>
      <c r="BM959" s="109"/>
      <c r="BN959" s="109"/>
      <c r="BP959" s="10"/>
      <c r="BS959" s="109"/>
      <c r="BT959" s="109"/>
      <c r="BV959" s="10"/>
      <c r="BY959" s="109"/>
      <c r="BZ959" s="109"/>
      <c r="CB959" s="10"/>
      <c r="CE959" s="109"/>
      <c r="CF959" s="109"/>
      <c r="CH959" s="10"/>
      <c r="CK959" s="109"/>
      <c r="CL959" s="109"/>
    </row>
    <row r="960" spans="1:90">
      <c r="A960" s="7" t="str">
        <f t="shared" si="141"/>
        <v>01910191</v>
      </c>
      <c r="B960" s="7" t="s">
        <v>2530</v>
      </c>
      <c r="C960" s="7" t="s">
        <v>2530</v>
      </c>
      <c r="D960" s="7">
        <v>951</v>
      </c>
      <c r="E960" s="7">
        <v>191</v>
      </c>
      <c r="F960" s="7" t="s">
        <v>1896</v>
      </c>
      <c r="G960" s="7">
        <v>191</v>
      </c>
      <c r="H960" s="7" t="s">
        <v>1457</v>
      </c>
      <c r="I960" s="37">
        <v>10115062.609999999</v>
      </c>
      <c r="J960" s="122">
        <v>0.86011591598630555</v>
      </c>
      <c r="K960" s="123">
        <f>X960</f>
        <v>9765311.1307165027</v>
      </c>
      <c r="L960" s="122">
        <f>IF(K964&gt;0, K960/K964, 0)</f>
        <v>0.85661632153883283</v>
      </c>
      <c r="M960" s="71"/>
      <c r="N960" s="10">
        <f>ROUND(M964*L960,0)</f>
        <v>5261486</v>
      </c>
      <c r="O960" s="70">
        <v>5426446</v>
      </c>
      <c r="P960" s="10">
        <f>N960-O960</f>
        <v>-164960</v>
      </c>
      <c r="Q960" s="46">
        <f t="shared" si="149"/>
        <v>-3.0399270535448064</v>
      </c>
      <c r="R960" s="10">
        <v>1028</v>
      </c>
      <c r="S960" s="7">
        <f t="shared" si="142"/>
        <v>0</v>
      </c>
      <c r="T960" s="124">
        <f t="shared" si="143"/>
        <v>191</v>
      </c>
      <c r="U960" s="124">
        <f t="shared" si="144"/>
        <v>191</v>
      </c>
      <c r="V960" s="124">
        <f t="shared" si="145"/>
        <v>951</v>
      </c>
      <c r="W960" s="124">
        <f t="shared" si="146"/>
        <v>967</v>
      </c>
      <c r="X960" s="124">
        <f t="shared" si="147"/>
        <v>9765311.1307165027</v>
      </c>
      <c r="Y960" s="264">
        <f t="shared" si="148"/>
        <v>951</v>
      </c>
      <c r="Z960" s="10">
        <v>191</v>
      </c>
      <c r="AA960" s="7">
        <v>191</v>
      </c>
      <c r="AB960" s="7">
        <v>951</v>
      </c>
      <c r="AC960" s="109">
        <v>967</v>
      </c>
      <c r="AD960" s="109">
        <v>9765311.1307165027</v>
      </c>
      <c r="AE960" s="125"/>
      <c r="AF960" s="10"/>
      <c r="AI960" s="109"/>
      <c r="AJ960" s="109"/>
      <c r="AL960" s="10"/>
      <c r="AO960" s="109"/>
      <c r="AP960" s="109"/>
      <c r="AR960" s="10"/>
      <c r="AU960" s="109"/>
      <c r="AV960" s="109"/>
      <c r="AX960" s="10"/>
      <c r="BA960" s="109"/>
      <c r="BB960" s="109"/>
      <c r="BD960" s="10"/>
      <c r="BG960" s="109"/>
      <c r="BH960" s="109"/>
      <c r="BJ960" s="10"/>
      <c r="BM960" s="109"/>
      <c r="BN960" s="109"/>
      <c r="BP960" s="10"/>
      <c r="BS960" s="109"/>
      <c r="BT960" s="109"/>
      <c r="BV960" s="10"/>
      <c r="BY960" s="109"/>
      <c r="BZ960" s="109"/>
      <c r="CB960" s="10"/>
      <c r="CE960" s="109"/>
      <c r="CF960" s="109"/>
      <c r="CH960" s="10"/>
      <c r="CK960" s="109"/>
      <c r="CL960" s="109"/>
    </row>
    <row r="961" spans="1:90">
      <c r="A961" s="7" t="str">
        <f t="shared" si="141"/>
        <v>01910860</v>
      </c>
      <c r="B961" s="7" t="s">
        <v>2530</v>
      </c>
      <c r="C961" s="7" t="s">
        <v>2770</v>
      </c>
      <c r="D961" s="7">
        <v>952</v>
      </c>
      <c r="E961" s="7">
        <v>191</v>
      </c>
      <c r="F961" s="7" t="s">
        <v>1896</v>
      </c>
      <c r="G961" s="7">
        <v>860</v>
      </c>
      <c r="H961" s="7" t="s">
        <v>1697</v>
      </c>
      <c r="I961" s="37">
        <v>1645053</v>
      </c>
      <c r="J961" s="122">
        <v>0.13988408401369448</v>
      </c>
      <c r="K961" s="123">
        <f t="shared" si="150"/>
        <v>1634554.6962315703</v>
      </c>
      <c r="L961" s="122">
        <f>IF(K964&gt;0, K961/K964, 0)</f>
        <v>0.1433836784611672</v>
      </c>
      <c r="M961" s="71"/>
      <c r="N961" s="10">
        <f>ROUND(M964*L961,0)</f>
        <v>880687</v>
      </c>
      <c r="O961" s="70">
        <v>882524</v>
      </c>
      <c r="P961" s="10">
        <f>N961-O961</f>
        <v>-1837</v>
      </c>
      <c r="Q961" s="46">
        <f t="shared" si="149"/>
        <v>-0.20815297940905855</v>
      </c>
      <c r="R961" s="10">
        <v>102</v>
      </c>
      <c r="S961" s="7">
        <f t="shared" si="142"/>
        <v>0</v>
      </c>
      <c r="T961" s="124">
        <f t="shared" si="143"/>
        <v>191</v>
      </c>
      <c r="U961" s="124">
        <f t="shared" si="144"/>
        <v>860</v>
      </c>
      <c r="V961" s="124">
        <f t="shared" si="145"/>
        <v>952</v>
      </c>
      <c r="W961" s="124">
        <f t="shared" si="146"/>
        <v>98.999999999850004</v>
      </c>
      <c r="X961" s="124">
        <f t="shared" si="147"/>
        <v>1634554.6962315703</v>
      </c>
      <c r="Y961" s="264">
        <f t="shared" si="148"/>
        <v>952</v>
      </c>
      <c r="Z961" s="10">
        <v>191</v>
      </c>
      <c r="AA961" s="7">
        <v>860</v>
      </c>
      <c r="AB961" s="7">
        <v>952</v>
      </c>
      <c r="AC961" s="109">
        <v>98.999999999850004</v>
      </c>
      <c r="AD961" s="109">
        <v>1634554.6962315703</v>
      </c>
      <c r="AE961" s="125"/>
      <c r="AF961" s="10"/>
      <c r="AI961" s="109"/>
      <c r="AJ961" s="109"/>
      <c r="AL961" s="10"/>
      <c r="AO961" s="109"/>
      <c r="AP961" s="109"/>
      <c r="AR961" s="10"/>
      <c r="AU961" s="109"/>
      <c r="AV961" s="109"/>
      <c r="AX961" s="10"/>
      <c r="BA961" s="109"/>
      <c r="BB961" s="109"/>
      <c r="BD961" s="10"/>
      <c r="BG961" s="109"/>
      <c r="BH961" s="109"/>
      <c r="BJ961" s="10"/>
      <c r="BM961" s="109"/>
      <c r="BN961" s="109"/>
      <c r="BP961" s="10"/>
      <c r="BS961" s="109"/>
      <c r="BT961" s="109"/>
      <c r="BV961" s="10"/>
      <c r="BY961" s="109"/>
      <c r="BZ961" s="109"/>
      <c r="CB961" s="10"/>
      <c r="CE961" s="109"/>
      <c r="CF961" s="109"/>
      <c r="CH961" s="10"/>
      <c r="CK961" s="109"/>
      <c r="CL961" s="109"/>
    </row>
    <row r="962" spans="1:90">
      <c r="A962" s="7" t="str">
        <f t="shared" si="141"/>
        <v>01910998</v>
      </c>
      <c r="B962" s="7" t="s">
        <v>2530</v>
      </c>
      <c r="C962" s="7" t="s">
        <v>2781</v>
      </c>
      <c r="D962" s="7">
        <v>953</v>
      </c>
      <c r="E962" s="7">
        <v>191</v>
      </c>
      <c r="F962" s="7" t="s">
        <v>2135</v>
      </c>
      <c r="G962" s="7">
        <v>998</v>
      </c>
      <c r="H962" s="7" t="s">
        <v>2135</v>
      </c>
      <c r="I962" s="37">
        <v>0</v>
      </c>
      <c r="J962" s="122">
        <v>0</v>
      </c>
      <c r="K962" s="123">
        <f t="shared" si="150"/>
        <v>0</v>
      </c>
      <c r="L962" s="122">
        <f>IF(K964&gt;0, K962/K964, 0)</f>
        <v>0</v>
      </c>
      <c r="M962" s="71"/>
      <c r="N962" s="10">
        <f>ROUND(M964*L962,0)</f>
        <v>0</v>
      </c>
      <c r="O962" s="70">
        <v>0</v>
      </c>
      <c r="P962" s="10">
        <f>N962-O962</f>
        <v>0</v>
      </c>
      <c r="Q962" s="46">
        <f t="shared" si="149"/>
        <v>0</v>
      </c>
      <c r="R962" s="10">
        <v>0</v>
      </c>
      <c r="S962" s="7">
        <f t="shared" si="142"/>
        <v>0</v>
      </c>
      <c r="T962" s="124">
        <f t="shared" si="143"/>
        <v>191</v>
      </c>
      <c r="U962" s="124">
        <f t="shared" si="144"/>
        <v>998</v>
      </c>
      <c r="V962" s="124">
        <f t="shared" si="145"/>
        <v>953</v>
      </c>
      <c r="W962" s="124">
        <f t="shared" si="146"/>
        <v>0</v>
      </c>
      <c r="X962" s="124">
        <f t="shared" si="147"/>
        <v>0</v>
      </c>
      <c r="Y962" s="264">
        <f t="shared" si="148"/>
        <v>953</v>
      </c>
      <c r="Z962" s="10">
        <v>191</v>
      </c>
      <c r="AA962" s="7">
        <v>998</v>
      </c>
      <c r="AB962" s="7">
        <v>953</v>
      </c>
      <c r="AC962" s="109">
        <v>0</v>
      </c>
      <c r="AD962" s="109">
        <v>0</v>
      </c>
      <c r="AE962" s="125"/>
      <c r="AF962" s="10"/>
      <c r="AI962" s="109"/>
      <c r="AJ962" s="109"/>
      <c r="AL962" s="10"/>
      <c r="AO962" s="109"/>
      <c r="AP962" s="109"/>
      <c r="AR962" s="10"/>
      <c r="AU962" s="109"/>
      <c r="AV962" s="109"/>
      <c r="AX962" s="10"/>
      <c r="BA962" s="109"/>
      <c r="BB962" s="109"/>
      <c r="BD962" s="10"/>
      <c r="BG962" s="109"/>
      <c r="BH962" s="109"/>
      <c r="BJ962" s="10"/>
      <c r="BM962" s="109"/>
      <c r="BN962" s="109"/>
      <c r="BP962" s="10"/>
      <c r="BS962" s="109"/>
      <c r="BT962" s="109"/>
      <c r="BV962" s="10"/>
      <c r="BY962" s="109"/>
      <c r="BZ962" s="109"/>
      <c r="CB962" s="10"/>
      <c r="CE962" s="109"/>
      <c r="CF962" s="109"/>
      <c r="CH962" s="10"/>
      <c r="CK962" s="109"/>
      <c r="CL962" s="109"/>
    </row>
    <row r="963" spans="1:90">
      <c r="A963" s="7" t="str">
        <f t="shared" si="141"/>
        <v>01910998</v>
      </c>
      <c r="B963" s="7" t="s">
        <v>2530</v>
      </c>
      <c r="C963" s="7" t="s">
        <v>2781</v>
      </c>
      <c r="D963" s="7">
        <v>954</v>
      </c>
      <c r="E963" s="7">
        <v>191</v>
      </c>
      <c r="F963" s="7" t="s">
        <v>2135</v>
      </c>
      <c r="G963" s="7">
        <v>998</v>
      </c>
      <c r="H963" s="7" t="s">
        <v>2135</v>
      </c>
      <c r="I963" s="37">
        <v>0</v>
      </c>
      <c r="J963" s="122">
        <v>0</v>
      </c>
      <c r="K963" s="123">
        <f t="shared" si="150"/>
        <v>0</v>
      </c>
      <c r="L963" s="122">
        <f>IF(K964&gt;0, K963/K964, 0)</f>
        <v>0</v>
      </c>
      <c r="M963" s="71"/>
      <c r="N963" s="10">
        <f>ROUND(M964*L963,0)</f>
        <v>0</v>
      </c>
      <c r="O963" s="70">
        <v>0</v>
      </c>
      <c r="P963" s="10">
        <f>N963-O963</f>
        <v>0</v>
      </c>
      <c r="Q963" s="46">
        <f t="shared" si="149"/>
        <v>0</v>
      </c>
      <c r="R963" s="10">
        <v>0</v>
      </c>
      <c r="S963" s="7">
        <f t="shared" si="142"/>
        <v>0</v>
      </c>
      <c r="T963" s="124">
        <f t="shared" si="143"/>
        <v>191</v>
      </c>
      <c r="U963" s="124">
        <f t="shared" si="144"/>
        <v>998</v>
      </c>
      <c r="V963" s="124">
        <f t="shared" si="145"/>
        <v>954</v>
      </c>
      <c r="W963" s="124">
        <f t="shared" si="146"/>
        <v>0</v>
      </c>
      <c r="X963" s="124">
        <f t="shared" si="147"/>
        <v>0</v>
      </c>
      <c r="Y963" s="264">
        <f t="shared" si="148"/>
        <v>954</v>
      </c>
      <c r="Z963" s="10">
        <v>191</v>
      </c>
      <c r="AA963" s="7">
        <v>998</v>
      </c>
      <c r="AB963" s="7">
        <v>954</v>
      </c>
      <c r="AC963" s="109">
        <v>0</v>
      </c>
      <c r="AD963" s="109">
        <v>0</v>
      </c>
      <c r="AE963" s="125"/>
      <c r="AF963" s="10"/>
      <c r="AI963" s="109"/>
      <c r="AJ963" s="109"/>
      <c r="AL963" s="10"/>
      <c r="AO963" s="109"/>
      <c r="AP963" s="109"/>
      <c r="AR963" s="10"/>
      <c r="AU963" s="109"/>
      <c r="AV963" s="109"/>
      <c r="AX963" s="10"/>
      <c r="BA963" s="109"/>
      <c r="BB963" s="109"/>
      <c r="BD963" s="10"/>
      <c r="BG963" s="109"/>
      <c r="BH963" s="109"/>
      <c r="BJ963" s="10"/>
      <c r="BM963" s="109"/>
      <c r="BN963" s="109"/>
      <c r="BP963" s="10"/>
      <c r="BS963" s="109"/>
      <c r="BT963" s="109"/>
      <c r="BV963" s="10"/>
      <c r="BY963" s="109"/>
      <c r="BZ963" s="109"/>
      <c r="CB963" s="10"/>
      <c r="CE963" s="109"/>
      <c r="CF963" s="109"/>
      <c r="CH963" s="10"/>
      <c r="CK963" s="109"/>
      <c r="CL963" s="109"/>
    </row>
    <row r="964" spans="1:90">
      <c r="A964" s="7" t="str">
        <f t="shared" si="141"/>
        <v>01910999</v>
      </c>
      <c r="B964" s="7" t="s">
        <v>2530</v>
      </c>
      <c r="C964" s="7" t="s">
        <v>2782</v>
      </c>
      <c r="D964" s="7">
        <v>955</v>
      </c>
      <c r="E964" s="11">
        <v>191</v>
      </c>
      <c r="F964" s="11" t="s">
        <v>1896</v>
      </c>
      <c r="G964" s="11">
        <v>999</v>
      </c>
      <c r="H964" s="11" t="s">
        <v>1132</v>
      </c>
      <c r="I964" s="105">
        <v>11760115.609999999</v>
      </c>
      <c r="J964" s="126">
        <v>1</v>
      </c>
      <c r="K964" s="127">
        <f>SUM(K960:K963)</f>
        <v>11399865.826948073</v>
      </c>
      <c r="L964" s="126">
        <f>SUM(L960:L963)</f>
        <v>1</v>
      </c>
      <c r="M964" s="105">
        <f>VLOOKUP(E964,town351,22)</f>
        <v>6142173</v>
      </c>
      <c r="N964" s="105">
        <f>SUM(N960:N963)</f>
        <v>6142173</v>
      </c>
      <c r="O964" s="128">
        <v>6308970</v>
      </c>
      <c r="P964" s="105">
        <f>SUM(P960:P963)</f>
        <v>-166797</v>
      </c>
      <c r="Q964" s="45">
        <f t="shared" si="149"/>
        <v>-2.6438071507710452</v>
      </c>
      <c r="R964" s="105">
        <v>1130</v>
      </c>
      <c r="S964" s="7">
        <f t="shared" si="142"/>
        <v>0</v>
      </c>
      <c r="T964" s="124">
        <f t="shared" si="143"/>
        <v>191</v>
      </c>
      <c r="U964" s="124">
        <f t="shared" si="144"/>
        <v>999</v>
      </c>
      <c r="V964" s="124">
        <f t="shared" si="145"/>
        <v>955</v>
      </c>
      <c r="W964" s="124">
        <f t="shared" si="146"/>
        <v>1065.9999999998499</v>
      </c>
      <c r="X964" s="124">
        <f t="shared" si="147"/>
        <v>11399865.826948073</v>
      </c>
      <c r="Y964" s="264">
        <f t="shared" si="148"/>
        <v>955</v>
      </c>
      <c r="Z964" s="10">
        <v>191</v>
      </c>
      <c r="AA964" s="7">
        <v>999</v>
      </c>
      <c r="AB964" s="7">
        <v>955</v>
      </c>
      <c r="AC964" s="109">
        <v>1065.9999999998499</v>
      </c>
      <c r="AD964" s="109">
        <v>11399865.826948073</v>
      </c>
      <c r="AE964" s="125"/>
      <c r="AF964" s="10"/>
      <c r="AI964" s="109"/>
      <c r="AJ964" s="109"/>
      <c r="AL964" s="10"/>
      <c r="AO964" s="109"/>
      <c r="AP964" s="109"/>
      <c r="AR964" s="10"/>
      <c r="AU964" s="109"/>
      <c r="AV964" s="109"/>
      <c r="AX964" s="10"/>
      <c r="BA964" s="109"/>
      <c r="BB964" s="109"/>
      <c r="BD964" s="10"/>
      <c r="BG964" s="109"/>
      <c r="BH964" s="109"/>
      <c r="BJ964" s="10"/>
      <c r="BM964" s="109"/>
      <c r="BN964" s="109"/>
      <c r="BP964" s="10"/>
      <c r="BS964" s="109"/>
      <c r="BT964" s="109"/>
      <c r="BV964" s="10"/>
      <c r="BY964" s="109"/>
      <c r="BZ964" s="109"/>
      <c r="CB964" s="10"/>
      <c r="CE964" s="109"/>
      <c r="CF964" s="109"/>
      <c r="CH964" s="10"/>
      <c r="CK964" s="109"/>
      <c r="CL964" s="109"/>
    </row>
    <row r="965" spans="1:90">
      <c r="A965" s="7" t="str">
        <f t="shared" si="141"/>
        <v>01920192</v>
      </c>
      <c r="B965" s="7" t="s">
        <v>2531</v>
      </c>
      <c r="C965" s="7" t="s">
        <v>2531</v>
      </c>
      <c r="D965" s="7">
        <v>956</v>
      </c>
      <c r="E965" s="7">
        <v>192</v>
      </c>
      <c r="F965" s="7" t="s">
        <v>1897</v>
      </c>
      <c r="G965" s="7">
        <v>192</v>
      </c>
      <c r="H965" s="7" t="s">
        <v>1458</v>
      </c>
      <c r="I965" s="37">
        <v>0</v>
      </c>
      <c r="J965" s="122">
        <v>0</v>
      </c>
      <c r="K965" s="123">
        <f>X965</f>
        <v>0</v>
      </c>
      <c r="L965" s="122">
        <f>IF(K969&gt;0, K965/K969, 0)</f>
        <v>0</v>
      </c>
      <c r="M965" s="71"/>
      <c r="N965" s="10">
        <f>ROUND(M969*L965,0)</f>
        <v>0</v>
      </c>
      <c r="O965" s="70">
        <v>0</v>
      </c>
      <c r="P965" s="10">
        <f>N965-O965</f>
        <v>0</v>
      </c>
      <c r="Q965" s="46">
        <f t="shared" si="149"/>
        <v>0</v>
      </c>
      <c r="R965" s="10">
        <v>0</v>
      </c>
      <c r="S965" s="7">
        <f t="shared" si="142"/>
        <v>0</v>
      </c>
      <c r="T965" s="124">
        <f t="shared" si="143"/>
        <v>192</v>
      </c>
      <c r="U965" s="124">
        <f t="shared" si="144"/>
        <v>192</v>
      </c>
      <c r="V965" s="124">
        <f t="shared" si="145"/>
        <v>956</v>
      </c>
      <c r="W965" s="124">
        <f t="shared" si="146"/>
        <v>0</v>
      </c>
      <c r="X965" s="124">
        <f t="shared" si="147"/>
        <v>0</v>
      </c>
      <c r="Y965" s="264">
        <f t="shared" si="148"/>
        <v>956</v>
      </c>
      <c r="Z965" s="10">
        <v>192</v>
      </c>
      <c r="AA965" s="7">
        <v>192</v>
      </c>
      <c r="AB965" s="7">
        <v>956</v>
      </c>
      <c r="AC965" s="109">
        <v>0</v>
      </c>
      <c r="AD965" s="109">
        <v>0</v>
      </c>
      <c r="AE965" s="125"/>
      <c r="AF965" s="10"/>
      <c r="AI965" s="109"/>
      <c r="AJ965" s="109"/>
      <c r="AL965" s="10"/>
      <c r="AO965" s="109"/>
      <c r="AP965" s="109"/>
      <c r="AR965" s="10"/>
      <c r="AU965" s="109"/>
      <c r="AV965" s="109"/>
      <c r="AX965" s="10"/>
      <c r="BA965" s="109"/>
      <c r="BB965" s="109"/>
      <c r="BD965" s="10"/>
      <c r="BG965" s="109"/>
      <c r="BH965" s="109"/>
      <c r="BJ965" s="10"/>
      <c r="BM965" s="109"/>
      <c r="BN965" s="109"/>
      <c r="BP965" s="10"/>
      <c r="BS965" s="109"/>
      <c r="BT965" s="109"/>
      <c r="BV965" s="10"/>
      <c r="BY965" s="109"/>
      <c r="BZ965" s="109"/>
      <c r="CB965" s="10"/>
      <c r="CE965" s="109"/>
      <c r="CF965" s="109"/>
      <c r="CH965" s="10"/>
      <c r="CK965" s="109"/>
      <c r="CL965" s="109"/>
    </row>
    <row r="966" spans="1:90">
      <c r="A966" s="7" t="str">
        <f t="shared" si="141"/>
        <v>01920674</v>
      </c>
      <c r="B966" s="7" t="s">
        <v>2531</v>
      </c>
      <c r="C966" s="7" t="s">
        <v>2717</v>
      </c>
      <c r="D966" s="7">
        <v>957</v>
      </c>
      <c r="E966" s="7">
        <v>192</v>
      </c>
      <c r="F966" s="7" t="s">
        <v>1897</v>
      </c>
      <c r="G966" s="7">
        <v>674</v>
      </c>
      <c r="H966" s="7" t="s">
        <v>1644</v>
      </c>
      <c r="I966" s="37">
        <v>9695520</v>
      </c>
      <c r="J966" s="122">
        <v>0.91433822343662208</v>
      </c>
      <c r="K966" s="123">
        <f t="shared" si="150"/>
        <v>9962441.3282840066</v>
      </c>
      <c r="L966" s="122">
        <f>IF(K969&gt;0, K966/K969, 0)</f>
        <v>0.91062822209965022</v>
      </c>
      <c r="M966" s="71"/>
      <c r="N966" s="10">
        <f>ROUND(M969*L966,0)</f>
        <v>5043982</v>
      </c>
      <c r="O966" s="70">
        <v>5078697</v>
      </c>
      <c r="P966" s="10">
        <f>N966-O966</f>
        <v>-34715</v>
      </c>
      <c r="Q966" s="46">
        <f t="shared" si="149"/>
        <v>-0.68354146742757049</v>
      </c>
      <c r="R966" s="10">
        <v>929</v>
      </c>
      <c r="S966" s="7">
        <f t="shared" si="142"/>
        <v>0</v>
      </c>
      <c r="T966" s="124">
        <f t="shared" si="143"/>
        <v>192</v>
      </c>
      <c r="U966" s="124">
        <f t="shared" si="144"/>
        <v>674</v>
      </c>
      <c r="V966" s="124">
        <f t="shared" si="145"/>
        <v>957</v>
      </c>
      <c r="W966" s="124">
        <f t="shared" si="146"/>
        <v>925.40639268923996</v>
      </c>
      <c r="X966" s="124">
        <f t="shared" si="147"/>
        <v>9962441.3282840066</v>
      </c>
      <c r="Y966" s="264">
        <f t="shared" si="148"/>
        <v>957</v>
      </c>
      <c r="Z966" s="10">
        <v>192</v>
      </c>
      <c r="AA966" s="7">
        <v>674</v>
      </c>
      <c r="AB966" s="7">
        <v>957</v>
      </c>
      <c r="AC966" s="109">
        <v>925.40639268923996</v>
      </c>
      <c r="AD966" s="109">
        <v>9962441.3282840066</v>
      </c>
      <c r="AE966" s="125"/>
      <c r="AF966" s="10"/>
      <c r="AI966" s="109"/>
      <c r="AJ966" s="109"/>
      <c r="AL966" s="10"/>
      <c r="AO966" s="109"/>
      <c r="AP966" s="109"/>
      <c r="AR966" s="10"/>
      <c r="AU966" s="109"/>
      <c r="AV966" s="109"/>
      <c r="AX966" s="10"/>
      <c r="BA966" s="109"/>
      <c r="BB966" s="109"/>
      <c r="BD966" s="10"/>
      <c r="BG966" s="109"/>
      <c r="BH966" s="109"/>
      <c r="BJ966" s="10"/>
      <c r="BM966" s="109"/>
      <c r="BN966" s="109"/>
      <c r="BP966" s="10"/>
      <c r="BS966" s="109"/>
      <c r="BT966" s="109"/>
      <c r="BV966" s="10"/>
      <c r="BY966" s="109"/>
      <c r="BZ966" s="109"/>
      <c r="CB966" s="10"/>
      <c r="CE966" s="109"/>
      <c r="CF966" s="109"/>
      <c r="CH966" s="10"/>
      <c r="CK966" s="109"/>
      <c r="CL966" s="109"/>
    </row>
    <row r="967" spans="1:90">
      <c r="A967" s="7" t="str">
        <f t="shared" si="141"/>
        <v>01920818</v>
      </c>
      <c r="B967" s="7" t="s">
        <v>2531</v>
      </c>
      <c r="C967" s="7" t="s">
        <v>2758</v>
      </c>
      <c r="D967" s="7">
        <v>958</v>
      </c>
      <c r="E967" s="7">
        <v>192</v>
      </c>
      <c r="F967" s="7" t="s">
        <v>1897</v>
      </c>
      <c r="G967" s="7">
        <v>818</v>
      </c>
      <c r="H967" s="7" t="s">
        <v>1685</v>
      </c>
      <c r="I967" s="37">
        <v>908346</v>
      </c>
      <c r="J967" s="122">
        <v>8.5661776563377923E-2</v>
      </c>
      <c r="K967" s="123">
        <f t="shared" si="150"/>
        <v>977743.79502948292</v>
      </c>
      <c r="L967" s="122">
        <f>IF(K969&gt;0, K967/K969, 0)</f>
        <v>8.9371777900349683E-2</v>
      </c>
      <c r="M967" s="71"/>
      <c r="N967" s="10">
        <f>ROUND(M969*L967,0)</f>
        <v>495032</v>
      </c>
      <c r="O967" s="70">
        <v>475809</v>
      </c>
      <c r="P967" s="10">
        <f>N967-O967</f>
        <v>19223</v>
      </c>
      <c r="Q967" s="46">
        <f t="shared" si="149"/>
        <v>4.0400664972709635</v>
      </c>
      <c r="R967" s="10">
        <v>56</v>
      </c>
      <c r="S967" s="7">
        <f t="shared" si="142"/>
        <v>0</v>
      </c>
      <c r="T967" s="124">
        <f t="shared" si="143"/>
        <v>192</v>
      </c>
      <c r="U967" s="124">
        <f t="shared" si="144"/>
        <v>818</v>
      </c>
      <c r="V967" s="124">
        <f t="shared" si="145"/>
        <v>958</v>
      </c>
      <c r="W967" s="124">
        <f t="shared" si="146"/>
        <v>59.000000001050005</v>
      </c>
      <c r="X967" s="124">
        <f t="shared" si="147"/>
        <v>977743.79502948292</v>
      </c>
      <c r="Y967" s="264">
        <f t="shared" si="148"/>
        <v>958</v>
      </c>
      <c r="Z967" s="10">
        <v>192</v>
      </c>
      <c r="AA967" s="7">
        <v>818</v>
      </c>
      <c r="AB967" s="7">
        <v>958</v>
      </c>
      <c r="AC967" s="109">
        <v>59.000000001050005</v>
      </c>
      <c r="AD967" s="109">
        <v>977743.79502948292</v>
      </c>
      <c r="AE967" s="125"/>
      <c r="AF967" s="10"/>
      <c r="AI967" s="109"/>
      <c r="AJ967" s="109"/>
      <c r="AL967" s="10"/>
      <c r="AO967" s="109"/>
      <c r="AP967" s="109"/>
      <c r="AR967" s="10"/>
      <c r="AU967" s="109"/>
      <c r="AV967" s="109"/>
      <c r="AX967" s="10"/>
      <c r="BA967" s="109"/>
      <c r="BB967" s="109"/>
      <c r="BD967" s="10"/>
      <c r="BG967" s="109"/>
      <c r="BH967" s="109"/>
      <c r="BJ967" s="10"/>
      <c r="BM967" s="109"/>
      <c r="BN967" s="109"/>
      <c r="BP967" s="10"/>
      <c r="BS967" s="109"/>
      <c r="BT967" s="109"/>
      <c r="BV967" s="10"/>
      <c r="BY967" s="109"/>
      <c r="BZ967" s="109"/>
      <c r="CB967" s="10"/>
      <c r="CE967" s="109"/>
      <c r="CF967" s="109"/>
      <c r="CH967" s="10"/>
      <c r="CK967" s="109"/>
      <c r="CL967" s="109"/>
    </row>
    <row r="968" spans="1:90">
      <c r="A968" s="7" t="str">
        <f t="shared" si="141"/>
        <v>01920998</v>
      </c>
      <c r="B968" s="7" t="s">
        <v>2531</v>
      </c>
      <c r="C968" s="7" t="s">
        <v>2781</v>
      </c>
      <c r="D968" s="7">
        <v>959</v>
      </c>
      <c r="E968" s="7">
        <v>192</v>
      </c>
      <c r="F968" s="7" t="s">
        <v>2135</v>
      </c>
      <c r="G968" s="7">
        <v>998</v>
      </c>
      <c r="H968" s="7" t="s">
        <v>2135</v>
      </c>
      <c r="I968" s="37">
        <v>0</v>
      </c>
      <c r="J968" s="122">
        <v>0</v>
      </c>
      <c r="K968" s="123">
        <f t="shared" si="150"/>
        <v>0</v>
      </c>
      <c r="L968" s="122">
        <f>IF(K969&gt;0, K968/K969, 0)</f>
        <v>0</v>
      </c>
      <c r="M968" s="71"/>
      <c r="N968" s="10">
        <f>ROUND(M969*L968,0)</f>
        <v>0</v>
      </c>
      <c r="O968" s="70">
        <v>0</v>
      </c>
      <c r="P968" s="10">
        <f>N968-O968</f>
        <v>0</v>
      </c>
      <c r="Q968" s="46">
        <f t="shared" si="149"/>
        <v>0</v>
      </c>
      <c r="R968" s="10">
        <v>0</v>
      </c>
      <c r="S968" s="7">
        <f t="shared" si="142"/>
        <v>0</v>
      </c>
      <c r="T968" s="124">
        <f t="shared" si="143"/>
        <v>192</v>
      </c>
      <c r="U968" s="124">
        <f t="shared" si="144"/>
        <v>998</v>
      </c>
      <c r="V968" s="124">
        <f t="shared" si="145"/>
        <v>959</v>
      </c>
      <c r="W968" s="124">
        <f t="shared" si="146"/>
        <v>0</v>
      </c>
      <c r="X968" s="124">
        <f t="shared" si="147"/>
        <v>0</v>
      </c>
      <c r="Y968" s="264">
        <f t="shared" si="148"/>
        <v>959</v>
      </c>
      <c r="Z968" s="10">
        <v>192</v>
      </c>
      <c r="AA968" s="7">
        <v>998</v>
      </c>
      <c r="AB968" s="7">
        <v>959</v>
      </c>
      <c r="AC968" s="109">
        <v>0</v>
      </c>
      <c r="AD968" s="109">
        <v>0</v>
      </c>
      <c r="AE968" s="125"/>
      <c r="AF968" s="10"/>
      <c r="AI968" s="109"/>
      <c r="AJ968" s="109"/>
      <c r="AL968" s="10"/>
      <c r="AO968" s="109"/>
      <c r="AP968" s="109"/>
      <c r="AR968" s="10"/>
      <c r="AU968" s="109"/>
      <c r="AV968" s="109"/>
      <c r="AX968" s="10"/>
      <c r="BA968" s="109"/>
      <c r="BB968" s="109"/>
      <c r="BD968" s="10"/>
      <c r="BG968" s="109"/>
      <c r="BH968" s="109"/>
      <c r="BJ968" s="10"/>
      <c r="BM968" s="109"/>
      <c r="BN968" s="109"/>
      <c r="BP968" s="10"/>
      <c r="BS968" s="109"/>
      <c r="BT968" s="109"/>
      <c r="BV968" s="10"/>
      <c r="BY968" s="109"/>
      <c r="BZ968" s="109"/>
      <c r="CB968" s="10"/>
      <c r="CE968" s="109"/>
      <c r="CF968" s="109"/>
      <c r="CH968" s="10"/>
      <c r="CK968" s="109"/>
      <c r="CL968" s="109"/>
    </row>
    <row r="969" spans="1:90">
      <c r="A969" s="7" t="str">
        <f t="shared" si="141"/>
        <v>01920999</v>
      </c>
      <c r="B969" s="7" t="s">
        <v>2531</v>
      </c>
      <c r="C969" s="7" t="s">
        <v>2782</v>
      </c>
      <c r="D969" s="7">
        <v>960</v>
      </c>
      <c r="E969" s="11">
        <v>192</v>
      </c>
      <c r="F969" s="11" t="s">
        <v>1897</v>
      </c>
      <c r="G969" s="11">
        <v>999</v>
      </c>
      <c r="H969" s="11" t="s">
        <v>1132</v>
      </c>
      <c r="I969" s="105">
        <v>10603866</v>
      </c>
      <c r="J969" s="126">
        <v>1</v>
      </c>
      <c r="K969" s="127">
        <f>SUM(K965:K968)</f>
        <v>10940185.12331349</v>
      </c>
      <c r="L969" s="126">
        <f>SUM(L965:L968)</f>
        <v>0.99999999999999989</v>
      </c>
      <c r="M969" s="105">
        <f>VLOOKUP(E969,town351,22)</f>
        <v>5539014</v>
      </c>
      <c r="N969" s="105">
        <f>SUM(N965:N968)</f>
        <v>5539014</v>
      </c>
      <c r="O969" s="128">
        <v>5554506</v>
      </c>
      <c r="P969" s="105">
        <f>SUM(P965:P968)</f>
        <v>-15492</v>
      </c>
      <c r="Q969" s="45">
        <f t="shared" si="149"/>
        <v>-0.27890869142998498</v>
      </c>
      <c r="R969" s="105">
        <v>985</v>
      </c>
      <c r="S969" s="7">
        <f t="shared" si="142"/>
        <v>0</v>
      </c>
      <c r="T969" s="124">
        <f t="shared" si="143"/>
        <v>192</v>
      </c>
      <c r="U969" s="124">
        <f t="shared" si="144"/>
        <v>999</v>
      </c>
      <c r="V969" s="124">
        <f t="shared" si="145"/>
        <v>960</v>
      </c>
      <c r="W969" s="124">
        <f t="shared" si="146"/>
        <v>984.40639269028998</v>
      </c>
      <c r="X969" s="124">
        <f t="shared" si="147"/>
        <v>10940185.12331349</v>
      </c>
      <c r="Y969" s="264">
        <f t="shared" si="148"/>
        <v>960</v>
      </c>
      <c r="Z969" s="10">
        <v>192</v>
      </c>
      <c r="AA969" s="7">
        <v>999</v>
      </c>
      <c r="AB969" s="7">
        <v>960</v>
      </c>
      <c r="AC969" s="109">
        <v>984.40639269028998</v>
      </c>
      <c r="AD969" s="109">
        <v>10940185.12331349</v>
      </c>
      <c r="AE969" s="125"/>
      <c r="AF969" s="10"/>
      <c r="AI969" s="109"/>
      <c r="AJ969" s="109"/>
      <c r="AL969" s="10"/>
      <c r="AO969" s="109"/>
      <c r="AP969" s="109"/>
      <c r="AR969" s="10"/>
      <c r="AU969" s="109"/>
      <c r="AV969" s="109"/>
      <c r="AX969" s="10"/>
      <c r="BA969" s="109"/>
      <c r="BB969" s="109"/>
      <c r="BD969" s="10"/>
      <c r="BG969" s="109"/>
      <c r="BH969" s="109"/>
      <c r="BJ969" s="10"/>
      <c r="BM969" s="109"/>
      <c r="BN969" s="109"/>
      <c r="BP969" s="10"/>
      <c r="BS969" s="109"/>
      <c r="BT969" s="109"/>
      <c r="BV969" s="10"/>
      <c r="BY969" s="109"/>
      <c r="BZ969" s="109"/>
      <c r="CB969" s="10"/>
      <c r="CE969" s="109"/>
      <c r="CF969" s="109"/>
      <c r="CH969" s="10"/>
      <c r="CK969" s="109"/>
      <c r="CL969" s="109"/>
    </row>
    <row r="970" spans="1:90">
      <c r="A970" s="7" t="str">
        <f t="shared" ref="A970:A1033" si="151">B970&amp;C970</f>
        <v>01930193</v>
      </c>
      <c r="B970" s="7" t="s">
        <v>2532</v>
      </c>
      <c r="C970" s="7" t="s">
        <v>2532</v>
      </c>
      <c r="D970" s="7">
        <v>961</v>
      </c>
      <c r="E970" s="7">
        <v>193</v>
      </c>
      <c r="F970" s="7" t="s">
        <v>1898</v>
      </c>
      <c r="G970" s="7">
        <v>193</v>
      </c>
      <c r="H970" s="7" t="s">
        <v>1459</v>
      </c>
      <c r="I970" s="37">
        <v>0</v>
      </c>
      <c r="J970" s="122">
        <v>0</v>
      </c>
      <c r="K970" s="123">
        <f>X970</f>
        <v>0</v>
      </c>
      <c r="L970" s="122">
        <f>IF(K974&gt;0, K970/K974, 0)</f>
        <v>0</v>
      </c>
      <c r="M970" s="71"/>
      <c r="N970" s="10">
        <f>ROUND(M974*L970,0)</f>
        <v>0</v>
      </c>
      <c r="O970" s="70">
        <v>0</v>
      </c>
      <c r="P970" s="10">
        <f>N970-O970</f>
        <v>0</v>
      </c>
      <c r="Q970" s="46">
        <f t="shared" si="149"/>
        <v>0</v>
      </c>
      <c r="R970" s="10">
        <v>0</v>
      </c>
      <c r="S970" s="7">
        <f t="shared" ref="S970:S1033" si="152">ABS(T970-E970)+ABS(U970-G970)</f>
        <v>0</v>
      </c>
      <c r="T970" s="124">
        <f t="shared" ref="T970:T1033" si="153">VLOOKUP($D970, foundoptions, VLOOKUP($T$6, foundoptcell, 2, FALSE), FALSE)</f>
        <v>193</v>
      </c>
      <c r="U970" s="124">
        <f t="shared" ref="U970:U1033" si="154">VLOOKUP($D970, foundoptions, VLOOKUP($T$6, foundoptcell, 2, FALSE)+1, FALSE)</f>
        <v>193</v>
      </c>
      <c r="V970" s="124">
        <f t="shared" ref="V970:V1033" si="155">VLOOKUP($D970, foundoptions, VLOOKUP($T$6, foundoptcell, 2, FALSE)+2, FALSE)</f>
        <v>961</v>
      </c>
      <c r="W970" s="124">
        <f t="shared" ref="W970:W1033" si="156">VLOOKUP($D970, foundoptions, VLOOKUP($T$6, foundoptcell, 2, FALSE)+3, FALSE)</f>
        <v>0</v>
      </c>
      <c r="X970" s="124">
        <f t="shared" ref="X970:X1033" si="157">VLOOKUP($D970, foundoptions, VLOOKUP($T$6, foundoptcell, 2, FALSE)+4, FALSE)</f>
        <v>0</v>
      </c>
      <c r="Y970" s="264">
        <f t="shared" si="148"/>
        <v>961</v>
      </c>
      <c r="Z970" s="10">
        <v>193</v>
      </c>
      <c r="AA970" s="7">
        <v>193</v>
      </c>
      <c r="AB970" s="7">
        <v>961</v>
      </c>
      <c r="AC970" s="109">
        <v>0</v>
      </c>
      <c r="AD970" s="109">
        <v>0</v>
      </c>
      <c r="AE970" s="125"/>
      <c r="AF970" s="10"/>
      <c r="AI970" s="109"/>
      <c r="AJ970" s="109"/>
      <c r="AL970" s="10"/>
      <c r="AO970" s="109"/>
      <c r="AP970" s="109"/>
      <c r="AR970" s="10"/>
      <c r="AU970" s="109"/>
      <c r="AV970" s="109"/>
      <c r="AX970" s="10"/>
      <c r="BA970" s="109"/>
      <c r="BB970" s="109"/>
      <c r="BD970" s="10"/>
      <c r="BG970" s="109"/>
      <c r="BH970" s="109"/>
      <c r="BJ970" s="10"/>
      <c r="BM970" s="109"/>
      <c r="BN970" s="109"/>
      <c r="BP970" s="10"/>
      <c r="BS970" s="109"/>
      <c r="BT970" s="109"/>
      <c r="BV970" s="10"/>
      <c r="BY970" s="109"/>
      <c r="BZ970" s="109"/>
      <c r="CB970" s="10"/>
      <c r="CE970" s="109"/>
      <c r="CF970" s="109"/>
      <c r="CH970" s="10"/>
      <c r="CK970" s="109"/>
      <c r="CL970" s="109"/>
    </row>
    <row r="971" spans="1:90">
      <c r="A971" s="7" t="str">
        <f t="shared" si="151"/>
        <v>01930765</v>
      </c>
      <c r="B971" s="7" t="s">
        <v>2532</v>
      </c>
      <c r="C971" s="7" t="s">
        <v>2743</v>
      </c>
      <c r="D971" s="7">
        <v>962</v>
      </c>
      <c r="E971" s="7">
        <v>193</v>
      </c>
      <c r="F971" s="7" t="s">
        <v>1898</v>
      </c>
      <c r="G971" s="7">
        <v>765</v>
      </c>
      <c r="H971" s="7" t="s">
        <v>1670</v>
      </c>
      <c r="I971" s="37">
        <v>896576</v>
      </c>
      <c r="J971" s="122">
        <v>1</v>
      </c>
      <c r="K971" s="123">
        <f t="shared" si="150"/>
        <v>856769.42753290886</v>
      </c>
      <c r="L971" s="122">
        <f>IF(K974&gt;0, K971/K974, 0)</f>
        <v>1</v>
      </c>
      <c r="M971" s="71"/>
      <c r="N971" s="10">
        <f>ROUND(M974*L971,0)</f>
        <v>712010</v>
      </c>
      <c r="O971" s="70">
        <v>718629</v>
      </c>
      <c r="P971" s="10">
        <f>N971-O971</f>
        <v>-6619</v>
      </c>
      <c r="Q971" s="46">
        <f t="shared" si="149"/>
        <v>-0.92105940617481341</v>
      </c>
      <c r="R971" s="10">
        <v>86</v>
      </c>
      <c r="S971" s="7">
        <f t="shared" si="152"/>
        <v>0</v>
      </c>
      <c r="T971" s="124">
        <f t="shared" si="153"/>
        <v>193</v>
      </c>
      <c r="U971" s="124">
        <f t="shared" si="154"/>
        <v>765</v>
      </c>
      <c r="V971" s="124">
        <f t="shared" si="155"/>
        <v>962</v>
      </c>
      <c r="W971" s="124">
        <f t="shared" si="156"/>
        <v>80.565982407740009</v>
      </c>
      <c r="X971" s="124">
        <f t="shared" si="157"/>
        <v>856769.42753290886</v>
      </c>
      <c r="Y971" s="264">
        <f t="shared" ref="Y971:Y1034" si="158">D971</f>
        <v>962</v>
      </c>
      <c r="Z971" s="10">
        <v>193</v>
      </c>
      <c r="AA971" s="7">
        <v>765</v>
      </c>
      <c r="AB971" s="7">
        <v>962</v>
      </c>
      <c r="AC971" s="109">
        <v>80.565982407740009</v>
      </c>
      <c r="AD971" s="109">
        <v>856769.42753290886</v>
      </c>
      <c r="AE971" s="125"/>
      <c r="AF971" s="10"/>
      <c r="AI971" s="109"/>
      <c r="AJ971" s="109"/>
      <c r="AL971" s="10"/>
      <c r="AO971" s="109"/>
      <c r="AP971" s="109"/>
      <c r="AR971" s="10"/>
      <c r="AU971" s="109"/>
      <c r="AV971" s="109"/>
      <c r="AX971" s="10"/>
      <c r="BA971" s="109"/>
      <c r="BB971" s="109"/>
      <c r="BD971" s="10"/>
      <c r="BG971" s="109"/>
      <c r="BH971" s="109"/>
      <c r="BJ971" s="10"/>
      <c r="BM971" s="109"/>
      <c r="BN971" s="109"/>
      <c r="BP971" s="10"/>
      <c r="BS971" s="109"/>
      <c r="BT971" s="109"/>
      <c r="BV971" s="10"/>
      <c r="BY971" s="109"/>
      <c r="BZ971" s="109"/>
      <c r="CB971" s="10"/>
      <c r="CE971" s="109"/>
      <c r="CF971" s="109"/>
      <c r="CH971" s="10"/>
      <c r="CK971" s="109"/>
      <c r="CL971" s="109"/>
    </row>
    <row r="972" spans="1:90">
      <c r="A972" s="7" t="str">
        <f t="shared" si="151"/>
        <v>01930998</v>
      </c>
      <c r="B972" s="7" t="s">
        <v>2532</v>
      </c>
      <c r="C972" s="7" t="s">
        <v>2781</v>
      </c>
      <c r="D972" s="7">
        <v>963</v>
      </c>
      <c r="E972" s="7">
        <v>193</v>
      </c>
      <c r="F972" s="7" t="s">
        <v>2135</v>
      </c>
      <c r="G972" s="7">
        <v>998</v>
      </c>
      <c r="H972" s="7" t="s">
        <v>2135</v>
      </c>
      <c r="I972" s="37">
        <v>0</v>
      </c>
      <c r="J972" s="122">
        <v>0</v>
      </c>
      <c r="K972" s="123">
        <f t="shared" si="150"/>
        <v>0</v>
      </c>
      <c r="L972" s="122">
        <f>IF(K974&gt;0, K972/K974, 0)</f>
        <v>0</v>
      </c>
      <c r="M972" s="71"/>
      <c r="N972" s="10">
        <f>ROUND(M974*L972,0)</f>
        <v>0</v>
      </c>
      <c r="O972" s="70">
        <v>0</v>
      </c>
      <c r="P972" s="10">
        <f>N972-O972</f>
        <v>0</v>
      </c>
      <c r="Q972" s="46">
        <f t="shared" si="149"/>
        <v>0</v>
      </c>
      <c r="R972" s="10">
        <v>0</v>
      </c>
      <c r="S972" s="7">
        <f t="shared" si="152"/>
        <v>0</v>
      </c>
      <c r="T972" s="124">
        <f t="shared" si="153"/>
        <v>193</v>
      </c>
      <c r="U972" s="124">
        <f t="shared" si="154"/>
        <v>998</v>
      </c>
      <c r="V972" s="124">
        <f t="shared" si="155"/>
        <v>963</v>
      </c>
      <c r="W972" s="124">
        <f t="shared" si="156"/>
        <v>0</v>
      </c>
      <c r="X972" s="124">
        <f t="shared" si="157"/>
        <v>0</v>
      </c>
      <c r="Y972" s="264">
        <f t="shared" si="158"/>
        <v>963</v>
      </c>
      <c r="Z972" s="10">
        <v>193</v>
      </c>
      <c r="AA972" s="7">
        <v>998</v>
      </c>
      <c r="AB972" s="7">
        <v>963</v>
      </c>
      <c r="AC972" s="109">
        <v>0</v>
      </c>
      <c r="AD972" s="109">
        <v>0</v>
      </c>
      <c r="AE972" s="125"/>
      <c r="AF972" s="10"/>
      <c r="AI972" s="109"/>
      <c r="AJ972" s="109"/>
      <c r="AL972" s="10"/>
      <c r="AO972" s="109"/>
      <c r="AP972" s="109"/>
      <c r="AR972" s="10"/>
      <c r="AU972" s="109"/>
      <c r="AV972" s="109"/>
      <c r="AX972" s="10"/>
      <c r="BA972" s="109"/>
      <c r="BB972" s="109"/>
      <c r="BD972" s="10"/>
      <c r="BG972" s="109"/>
      <c r="BH972" s="109"/>
      <c r="BJ972" s="10"/>
      <c r="BM972" s="109"/>
      <c r="BN972" s="109"/>
      <c r="BP972" s="10"/>
      <c r="BS972" s="109"/>
      <c r="BT972" s="109"/>
      <c r="BV972" s="10"/>
      <c r="BY972" s="109"/>
      <c r="BZ972" s="109"/>
      <c r="CB972" s="10"/>
      <c r="CE972" s="109"/>
      <c r="CF972" s="109"/>
      <c r="CH972" s="10"/>
      <c r="CK972" s="109"/>
      <c r="CL972" s="109"/>
    </row>
    <row r="973" spans="1:90">
      <c r="A973" s="7" t="str">
        <f t="shared" si="151"/>
        <v>01930998</v>
      </c>
      <c r="B973" s="7" t="s">
        <v>2532</v>
      </c>
      <c r="C973" s="7" t="s">
        <v>2781</v>
      </c>
      <c r="D973" s="7">
        <v>964</v>
      </c>
      <c r="E973" s="7">
        <v>193</v>
      </c>
      <c r="F973" s="7" t="s">
        <v>2135</v>
      </c>
      <c r="G973" s="7">
        <v>998</v>
      </c>
      <c r="H973" s="7" t="s">
        <v>2135</v>
      </c>
      <c r="I973" s="37">
        <v>0</v>
      </c>
      <c r="J973" s="122">
        <v>0</v>
      </c>
      <c r="K973" s="123">
        <f t="shared" si="150"/>
        <v>0</v>
      </c>
      <c r="L973" s="122">
        <f>IF(K974&gt;0, K973/K974, 0)</f>
        <v>0</v>
      </c>
      <c r="M973" s="71"/>
      <c r="N973" s="10">
        <f>ROUND(M974*L973,0)</f>
        <v>0</v>
      </c>
      <c r="O973" s="70">
        <v>0</v>
      </c>
      <c r="P973" s="10">
        <f>N973-O973</f>
        <v>0</v>
      </c>
      <c r="Q973" s="46">
        <f t="shared" si="149"/>
        <v>0</v>
      </c>
      <c r="R973" s="10">
        <v>0</v>
      </c>
      <c r="S973" s="7">
        <f t="shared" si="152"/>
        <v>0</v>
      </c>
      <c r="T973" s="124">
        <f t="shared" si="153"/>
        <v>193</v>
      </c>
      <c r="U973" s="124">
        <f t="shared" si="154"/>
        <v>998</v>
      </c>
      <c r="V973" s="124">
        <f t="shared" si="155"/>
        <v>964</v>
      </c>
      <c r="W973" s="124">
        <f t="shared" si="156"/>
        <v>0</v>
      </c>
      <c r="X973" s="124">
        <f t="shared" si="157"/>
        <v>0</v>
      </c>
      <c r="Y973" s="264">
        <f t="shared" si="158"/>
        <v>964</v>
      </c>
      <c r="Z973" s="10">
        <v>193</v>
      </c>
      <c r="AA973" s="7">
        <v>998</v>
      </c>
      <c r="AB973" s="7">
        <v>964</v>
      </c>
      <c r="AC973" s="109">
        <v>0</v>
      </c>
      <c r="AD973" s="109">
        <v>0</v>
      </c>
      <c r="AE973" s="125"/>
      <c r="AF973" s="10"/>
      <c r="AI973" s="109"/>
      <c r="AJ973" s="109"/>
      <c r="AL973" s="10"/>
      <c r="AO973" s="109"/>
      <c r="AP973" s="109"/>
      <c r="AR973" s="10"/>
      <c r="AU973" s="109"/>
      <c r="AV973" s="109"/>
      <c r="AX973" s="10"/>
      <c r="BA973" s="109"/>
      <c r="BB973" s="109"/>
      <c r="BD973" s="10"/>
      <c r="BG973" s="109"/>
      <c r="BH973" s="109"/>
      <c r="BJ973" s="10"/>
      <c r="BM973" s="109"/>
      <c r="BN973" s="109"/>
      <c r="BP973" s="10"/>
      <c r="BS973" s="109"/>
      <c r="BT973" s="109"/>
      <c r="BV973" s="10"/>
      <c r="BY973" s="109"/>
      <c r="BZ973" s="109"/>
      <c r="CB973" s="10"/>
      <c r="CE973" s="109"/>
      <c r="CF973" s="109"/>
      <c r="CH973" s="10"/>
      <c r="CK973" s="109"/>
      <c r="CL973" s="109"/>
    </row>
    <row r="974" spans="1:90">
      <c r="A974" s="7" t="str">
        <f t="shared" si="151"/>
        <v>01930999</v>
      </c>
      <c r="B974" s="7" t="s">
        <v>2532</v>
      </c>
      <c r="C974" s="7" t="s">
        <v>2782</v>
      </c>
      <c r="D974" s="7">
        <v>965</v>
      </c>
      <c r="E974" s="11">
        <v>193</v>
      </c>
      <c r="F974" s="11" t="s">
        <v>1898</v>
      </c>
      <c r="G974" s="11">
        <v>999</v>
      </c>
      <c r="H974" s="11" t="s">
        <v>1132</v>
      </c>
      <c r="I974" s="105">
        <v>896576</v>
      </c>
      <c r="J974" s="126">
        <v>1</v>
      </c>
      <c r="K974" s="127">
        <f>SUM(K970:K973)</f>
        <v>856769.42753290886</v>
      </c>
      <c r="L974" s="126">
        <f>SUM(L970:L973)</f>
        <v>1</v>
      </c>
      <c r="M974" s="105">
        <f>VLOOKUP(E974,town351,22)</f>
        <v>712010</v>
      </c>
      <c r="N974" s="105">
        <f>SUM(N970:N973)</f>
        <v>712010</v>
      </c>
      <c r="O974" s="128">
        <v>718629</v>
      </c>
      <c r="P974" s="105">
        <f>SUM(P970:P973)</f>
        <v>-6619</v>
      </c>
      <c r="Q974" s="45">
        <f t="shared" si="149"/>
        <v>-0.92105940617481341</v>
      </c>
      <c r="R974" s="105">
        <v>86</v>
      </c>
      <c r="S974" s="7">
        <f t="shared" si="152"/>
        <v>0</v>
      </c>
      <c r="T974" s="124">
        <f t="shared" si="153"/>
        <v>193</v>
      </c>
      <c r="U974" s="124">
        <f t="shared" si="154"/>
        <v>999</v>
      </c>
      <c r="V974" s="124">
        <f t="shared" si="155"/>
        <v>965</v>
      </c>
      <c r="W974" s="124">
        <f t="shared" si="156"/>
        <v>80.565982407740009</v>
      </c>
      <c r="X974" s="124">
        <f t="shared" si="157"/>
        <v>856769.42753290886</v>
      </c>
      <c r="Y974" s="264">
        <f t="shared" si="158"/>
        <v>965</v>
      </c>
      <c r="Z974" s="10">
        <v>193</v>
      </c>
      <c r="AA974" s="7">
        <v>999</v>
      </c>
      <c r="AB974" s="7">
        <v>965</v>
      </c>
      <c r="AC974" s="109">
        <v>80.565982407740009</v>
      </c>
      <c r="AD974" s="109">
        <v>856769.42753290886</v>
      </c>
      <c r="AE974" s="125"/>
      <c r="AF974" s="10"/>
      <c r="AI974" s="109"/>
      <c r="AJ974" s="109"/>
      <c r="AL974" s="10"/>
      <c r="AO974" s="109"/>
      <c r="AP974" s="109"/>
      <c r="AR974" s="10"/>
      <c r="AU974" s="109"/>
      <c r="AV974" s="109"/>
      <c r="AX974" s="10"/>
      <c r="BA974" s="109"/>
      <c r="BB974" s="109"/>
      <c r="BD974" s="10"/>
      <c r="BG974" s="109"/>
      <c r="BH974" s="109"/>
      <c r="BJ974" s="10"/>
      <c r="BM974" s="109"/>
      <c r="BN974" s="109"/>
      <c r="BP974" s="10"/>
      <c r="BS974" s="109"/>
      <c r="BT974" s="109"/>
      <c r="BV974" s="10"/>
      <c r="BY974" s="109"/>
      <c r="BZ974" s="109"/>
      <c r="CB974" s="10"/>
      <c r="CE974" s="109"/>
      <c r="CF974" s="109"/>
      <c r="CH974" s="10"/>
      <c r="CK974" s="109"/>
      <c r="CL974" s="109"/>
    </row>
    <row r="975" spans="1:90">
      <c r="A975" s="7" t="str">
        <f t="shared" si="151"/>
        <v>01940194</v>
      </c>
      <c r="B975" s="7" t="s">
        <v>2533</v>
      </c>
      <c r="C975" s="7" t="s">
        <v>2533</v>
      </c>
      <c r="D975" s="7">
        <v>966</v>
      </c>
      <c r="E975" s="7">
        <v>194</v>
      </c>
      <c r="F975" s="7" t="s">
        <v>1899</v>
      </c>
      <c r="G975" s="7">
        <v>194</v>
      </c>
      <c r="H975" s="7" t="s">
        <v>1460</v>
      </c>
      <c r="I975" s="37">
        <v>65854.600000000006</v>
      </c>
      <c r="J975" s="122">
        <v>7.9412104477565151E-2</v>
      </c>
      <c r="K975" s="123">
        <f>X975</f>
        <v>80501.000061537285</v>
      </c>
      <c r="L975" s="122">
        <f>IF(K979&gt;0, K975/K979, 0)</f>
        <v>0.10226865591636028</v>
      </c>
      <c r="M975" s="71"/>
      <c r="N975" s="10">
        <f>ROUND(M979*L975,0)</f>
        <v>67534</v>
      </c>
      <c r="O975" s="70">
        <v>55442</v>
      </c>
      <c r="P975" s="10">
        <f>N975-O975</f>
        <v>12092</v>
      </c>
      <c r="Q975" s="46">
        <f t="shared" si="149"/>
        <v>21.810180007936221</v>
      </c>
      <c r="R975" s="10">
        <v>5</v>
      </c>
      <c r="S975" s="7">
        <f t="shared" si="152"/>
        <v>0</v>
      </c>
      <c r="T975" s="124">
        <f t="shared" si="153"/>
        <v>194</v>
      </c>
      <c r="U975" s="124">
        <f t="shared" si="154"/>
        <v>194</v>
      </c>
      <c r="V975" s="124">
        <f t="shared" si="155"/>
        <v>966</v>
      </c>
      <c r="W975" s="124">
        <f t="shared" si="156"/>
        <v>6</v>
      </c>
      <c r="X975" s="124">
        <f t="shared" si="157"/>
        <v>80501.000061537285</v>
      </c>
      <c r="Y975" s="264">
        <f t="shared" si="158"/>
        <v>966</v>
      </c>
      <c r="Z975" s="10">
        <v>194</v>
      </c>
      <c r="AA975" s="7">
        <v>194</v>
      </c>
      <c r="AB975" s="7">
        <v>966</v>
      </c>
      <c r="AC975" s="109">
        <v>6</v>
      </c>
      <c r="AD975" s="109">
        <v>80501.000061537285</v>
      </c>
      <c r="AE975" s="125"/>
      <c r="AF975" s="10"/>
      <c r="AI975" s="109"/>
      <c r="AJ975" s="109"/>
      <c r="AL975" s="10"/>
      <c r="AO975" s="109"/>
      <c r="AP975" s="109"/>
      <c r="AR975" s="10"/>
      <c r="AU975" s="109"/>
      <c r="AV975" s="109"/>
      <c r="AX975" s="10"/>
      <c r="BA975" s="109"/>
      <c r="BB975" s="109"/>
      <c r="BD975" s="10"/>
      <c r="BG975" s="109"/>
      <c r="BH975" s="109"/>
      <c r="BJ975" s="10"/>
      <c r="BM975" s="109"/>
      <c r="BN975" s="109"/>
      <c r="BP975" s="10"/>
      <c r="BS975" s="109"/>
      <c r="BT975" s="109"/>
      <c r="BV975" s="10"/>
      <c r="BY975" s="109"/>
      <c r="BZ975" s="109"/>
      <c r="CB975" s="10"/>
      <c r="CE975" s="109"/>
      <c r="CF975" s="109"/>
      <c r="CH975" s="10"/>
      <c r="CK975" s="109"/>
      <c r="CL975" s="109"/>
    </row>
    <row r="976" spans="1:90">
      <c r="A976" s="7" t="str">
        <f t="shared" si="151"/>
        <v>01940672</v>
      </c>
      <c r="B976" s="7" t="s">
        <v>2533</v>
      </c>
      <c r="C976" s="7" t="s">
        <v>2715</v>
      </c>
      <c r="D976" s="7">
        <v>967</v>
      </c>
      <c r="E976" s="7">
        <v>194</v>
      </c>
      <c r="F976" s="7" t="s">
        <v>1899</v>
      </c>
      <c r="G976" s="7">
        <v>672</v>
      </c>
      <c r="H976" s="7" t="s">
        <v>1642</v>
      </c>
      <c r="I976" s="37">
        <v>763422</v>
      </c>
      <c r="J976" s="122">
        <v>0.92058789552243492</v>
      </c>
      <c r="K976" s="123">
        <f t="shared" si="150"/>
        <v>706651.22502856737</v>
      </c>
      <c r="L976" s="122">
        <f>IF(K979&gt;0, K976/K979, 0)</f>
        <v>0.89773134408363975</v>
      </c>
      <c r="M976" s="71"/>
      <c r="N976" s="10">
        <f>ROUND(M979*L976,0)</f>
        <v>592824</v>
      </c>
      <c r="O976" s="70">
        <v>642712</v>
      </c>
      <c r="P976" s="10">
        <f>N976-O976</f>
        <v>-49888</v>
      </c>
      <c r="Q976" s="46">
        <f>IF(O976&gt;0,P976*100/O976,IF(P976&gt;0,100,0))</f>
        <v>-7.7621080670658085</v>
      </c>
      <c r="R976" s="10">
        <v>74</v>
      </c>
      <c r="S976" s="7">
        <f t="shared" si="152"/>
        <v>0</v>
      </c>
      <c r="T976" s="124">
        <f t="shared" si="153"/>
        <v>194</v>
      </c>
      <c r="U976" s="124">
        <f t="shared" si="154"/>
        <v>672</v>
      </c>
      <c r="V976" s="124">
        <f t="shared" si="155"/>
        <v>967</v>
      </c>
      <c r="W976" s="124">
        <f t="shared" si="156"/>
        <v>67.6923076896</v>
      </c>
      <c r="X976" s="124">
        <f t="shared" si="157"/>
        <v>706651.22502856737</v>
      </c>
      <c r="Y976" s="264">
        <f t="shared" si="158"/>
        <v>967</v>
      </c>
      <c r="Z976" s="10">
        <v>194</v>
      </c>
      <c r="AA976" s="7">
        <v>672</v>
      </c>
      <c r="AB976" s="7">
        <v>967</v>
      </c>
      <c r="AC976" s="109">
        <v>67.6923076896</v>
      </c>
      <c r="AD976" s="109">
        <v>706651.22502856737</v>
      </c>
      <c r="AE976" s="125"/>
      <c r="AF976" s="10"/>
      <c r="AI976" s="109"/>
      <c r="AJ976" s="109"/>
      <c r="AL976" s="10"/>
      <c r="AO976" s="109"/>
      <c r="AP976" s="109"/>
      <c r="AR976" s="10"/>
      <c r="AU976" s="109"/>
      <c r="AV976" s="109"/>
      <c r="AX976" s="10"/>
      <c r="BA976" s="109"/>
      <c r="BB976" s="109"/>
      <c r="BD976" s="10"/>
      <c r="BG976" s="109"/>
      <c r="BH976" s="109"/>
      <c r="BJ976" s="10"/>
      <c r="BM976" s="109"/>
      <c r="BN976" s="109"/>
      <c r="BP976" s="10"/>
      <c r="BS976" s="109"/>
      <c r="BT976" s="109"/>
      <c r="BV976" s="10"/>
      <c r="BY976" s="109"/>
      <c r="BZ976" s="109"/>
      <c r="CB976" s="10"/>
      <c r="CE976" s="109"/>
      <c r="CF976" s="109"/>
      <c r="CH976" s="10"/>
      <c r="CK976" s="109"/>
      <c r="CL976" s="109"/>
    </row>
    <row r="977" spans="1:90">
      <c r="A977" s="7" t="str">
        <f t="shared" si="151"/>
        <v>01940998</v>
      </c>
      <c r="B977" s="7" t="s">
        <v>2533</v>
      </c>
      <c r="C977" s="7" t="s">
        <v>2781</v>
      </c>
      <c r="D977" s="7">
        <v>968</v>
      </c>
      <c r="E977" s="7">
        <v>194</v>
      </c>
      <c r="F977" s="7" t="s">
        <v>2135</v>
      </c>
      <c r="G977" s="7">
        <v>998</v>
      </c>
      <c r="H977" s="7" t="s">
        <v>2135</v>
      </c>
      <c r="I977" s="37">
        <v>0</v>
      </c>
      <c r="J977" s="122">
        <v>0</v>
      </c>
      <c r="K977" s="123">
        <f t="shared" si="150"/>
        <v>0</v>
      </c>
      <c r="L977" s="122">
        <f>IF(K979&gt;0, K977/K979, 0)</f>
        <v>0</v>
      </c>
      <c r="M977" s="71"/>
      <c r="N977" s="10">
        <f>ROUND(M979*L977,0)</f>
        <v>0</v>
      </c>
      <c r="O977" s="70">
        <v>0</v>
      </c>
      <c r="P977" s="10">
        <f>N977-O977</f>
        <v>0</v>
      </c>
      <c r="Q977" s="46">
        <f>IF(O977&gt;0,P977*100/O977,IF(P977&gt;0,100,0))</f>
        <v>0</v>
      </c>
      <c r="R977" s="10">
        <v>0</v>
      </c>
      <c r="S977" s="7">
        <f t="shared" si="152"/>
        <v>0</v>
      </c>
      <c r="T977" s="124">
        <f t="shared" si="153"/>
        <v>194</v>
      </c>
      <c r="U977" s="124">
        <f t="shared" si="154"/>
        <v>998</v>
      </c>
      <c r="V977" s="124">
        <f t="shared" si="155"/>
        <v>968</v>
      </c>
      <c r="W977" s="124">
        <f t="shared" si="156"/>
        <v>0</v>
      </c>
      <c r="X977" s="124">
        <f t="shared" si="157"/>
        <v>0</v>
      </c>
      <c r="Y977" s="264">
        <f t="shared" si="158"/>
        <v>968</v>
      </c>
      <c r="Z977" s="10">
        <v>194</v>
      </c>
      <c r="AA977" s="7">
        <v>998</v>
      </c>
      <c r="AB977" s="7">
        <v>968</v>
      </c>
      <c r="AC977" s="109">
        <v>0</v>
      </c>
      <c r="AD977" s="109">
        <v>0</v>
      </c>
      <c r="AE977" s="125"/>
      <c r="AF977" s="10"/>
      <c r="AI977" s="109"/>
      <c r="AJ977" s="109"/>
      <c r="AL977" s="10"/>
      <c r="AO977" s="109"/>
      <c r="AP977" s="109"/>
      <c r="AR977" s="10"/>
      <c r="AU977" s="109"/>
      <c r="AV977" s="109"/>
      <c r="AX977" s="10"/>
      <c r="BA977" s="109"/>
      <c r="BB977" s="109"/>
      <c r="BD977" s="10"/>
      <c r="BG977" s="109"/>
      <c r="BH977" s="109"/>
      <c r="BJ977" s="10"/>
      <c r="BM977" s="109"/>
      <c r="BN977" s="109"/>
      <c r="BP977" s="10"/>
      <c r="BS977" s="109"/>
      <c r="BT977" s="109"/>
      <c r="BV977" s="10"/>
      <c r="BY977" s="109"/>
      <c r="BZ977" s="109"/>
      <c r="CB977" s="10"/>
      <c r="CE977" s="109"/>
      <c r="CF977" s="109"/>
      <c r="CH977" s="10"/>
      <c r="CK977" s="109"/>
      <c r="CL977" s="109"/>
    </row>
    <row r="978" spans="1:90">
      <c r="A978" s="7" t="str">
        <f t="shared" si="151"/>
        <v>01940998</v>
      </c>
      <c r="B978" s="7" t="s">
        <v>2533</v>
      </c>
      <c r="C978" s="7" t="s">
        <v>2781</v>
      </c>
      <c r="D978" s="7">
        <v>969</v>
      </c>
      <c r="E978" s="7">
        <v>194</v>
      </c>
      <c r="F978" s="7" t="s">
        <v>2135</v>
      </c>
      <c r="G978" s="7">
        <v>998</v>
      </c>
      <c r="H978" s="7" t="s">
        <v>2135</v>
      </c>
      <c r="I978" s="37">
        <v>0</v>
      </c>
      <c r="J978" s="122">
        <v>0</v>
      </c>
      <c r="K978" s="123">
        <f t="shared" si="150"/>
        <v>0</v>
      </c>
      <c r="L978" s="122">
        <f>IF(K979&gt;0, K978/K979, 0)</f>
        <v>0</v>
      </c>
      <c r="M978" s="71"/>
      <c r="N978" s="10">
        <f>ROUND(M979*L978,0)</f>
        <v>0</v>
      </c>
      <c r="O978" s="70">
        <v>0</v>
      </c>
      <c r="P978" s="10">
        <f>N978-O978</f>
        <v>0</v>
      </c>
      <c r="Q978" s="46">
        <f>IF(O978&gt;0,P978*100/O978,IF(P978&gt;0,100,0))</f>
        <v>0</v>
      </c>
      <c r="R978" s="10">
        <v>0</v>
      </c>
      <c r="S978" s="7">
        <f t="shared" si="152"/>
        <v>0</v>
      </c>
      <c r="T978" s="124">
        <f t="shared" si="153"/>
        <v>194</v>
      </c>
      <c r="U978" s="124">
        <f t="shared" si="154"/>
        <v>998</v>
      </c>
      <c r="V978" s="124">
        <f t="shared" si="155"/>
        <v>969</v>
      </c>
      <c r="W978" s="124">
        <f t="shared" si="156"/>
        <v>0</v>
      </c>
      <c r="X978" s="124">
        <f t="shared" si="157"/>
        <v>0</v>
      </c>
      <c r="Y978" s="264">
        <f t="shared" si="158"/>
        <v>969</v>
      </c>
      <c r="Z978" s="10">
        <v>194</v>
      </c>
      <c r="AA978" s="7">
        <v>998</v>
      </c>
      <c r="AB978" s="7">
        <v>969</v>
      </c>
      <c r="AC978" s="109">
        <v>0</v>
      </c>
      <c r="AD978" s="109">
        <v>0</v>
      </c>
      <c r="AE978" s="125"/>
      <c r="AF978" s="10"/>
      <c r="AI978" s="109"/>
      <c r="AJ978" s="109"/>
      <c r="AL978" s="10"/>
      <c r="AO978" s="109"/>
      <c r="AP978" s="109"/>
      <c r="AR978" s="10"/>
      <c r="AU978" s="109"/>
      <c r="AV978" s="109"/>
      <c r="AX978" s="10"/>
      <c r="BA978" s="109"/>
      <c r="BB978" s="109"/>
      <c r="BD978" s="10"/>
      <c r="BG978" s="109"/>
      <c r="BH978" s="109"/>
      <c r="BJ978" s="10"/>
      <c r="BM978" s="109"/>
      <c r="BN978" s="109"/>
      <c r="BP978" s="10"/>
      <c r="BS978" s="109"/>
      <c r="BT978" s="109"/>
      <c r="BV978" s="10"/>
      <c r="BY978" s="109"/>
      <c r="BZ978" s="109"/>
      <c r="CB978" s="10"/>
      <c r="CE978" s="109"/>
      <c r="CF978" s="109"/>
      <c r="CH978" s="10"/>
      <c r="CK978" s="109"/>
      <c r="CL978" s="109"/>
    </row>
    <row r="979" spans="1:90">
      <c r="A979" s="7" t="str">
        <f t="shared" si="151"/>
        <v>01940999</v>
      </c>
      <c r="B979" s="7" t="s">
        <v>2533</v>
      </c>
      <c r="C979" s="7" t="s">
        <v>2782</v>
      </c>
      <c r="D979" s="7">
        <v>970</v>
      </c>
      <c r="E979" s="11">
        <v>194</v>
      </c>
      <c r="F979" s="11" t="s">
        <v>1899</v>
      </c>
      <c r="G979" s="11">
        <v>999</v>
      </c>
      <c r="H979" s="11" t="s">
        <v>1132</v>
      </c>
      <c r="I979" s="105">
        <v>829276.6</v>
      </c>
      <c r="J979" s="126">
        <v>1</v>
      </c>
      <c r="K979" s="127">
        <f>SUM(K975:K978)</f>
        <v>787152.22509010462</v>
      </c>
      <c r="L979" s="126">
        <f>SUM(L975:L978)</f>
        <v>1</v>
      </c>
      <c r="M979" s="105">
        <f>VLOOKUP(E979,town351,22)</f>
        <v>660358</v>
      </c>
      <c r="N979" s="105">
        <f>SUM(N975:N978)</f>
        <v>660358</v>
      </c>
      <c r="O979" s="128">
        <v>698154</v>
      </c>
      <c r="P979" s="105">
        <f>SUM(P975:P978)</f>
        <v>-37796</v>
      </c>
      <c r="Q979" s="45">
        <f t="shared" ref="Q979:Q1039" si="159">IF(O979&gt;0,P979*100/O979,IF(P979&gt;0,100,0))</f>
        <v>-5.4137052856533083</v>
      </c>
      <c r="R979" s="105">
        <v>79</v>
      </c>
      <c r="S979" s="7">
        <f t="shared" si="152"/>
        <v>0</v>
      </c>
      <c r="T979" s="124">
        <f t="shared" si="153"/>
        <v>194</v>
      </c>
      <c r="U979" s="124">
        <f t="shared" si="154"/>
        <v>999</v>
      </c>
      <c r="V979" s="124">
        <f t="shared" si="155"/>
        <v>970</v>
      </c>
      <c r="W979" s="124">
        <f t="shared" si="156"/>
        <v>73.6923076896</v>
      </c>
      <c r="X979" s="124">
        <f t="shared" si="157"/>
        <v>787152.22509010462</v>
      </c>
      <c r="Y979" s="264">
        <f t="shared" si="158"/>
        <v>970</v>
      </c>
      <c r="Z979" s="10">
        <v>194</v>
      </c>
      <c r="AA979" s="7">
        <v>999</v>
      </c>
      <c r="AB979" s="7">
        <v>970</v>
      </c>
      <c r="AC979" s="109">
        <v>73.6923076896</v>
      </c>
      <c r="AD979" s="109">
        <v>787152.22509010462</v>
      </c>
      <c r="AE979" s="125"/>
      <c r="AF979" s="10"/>
      <c r="AI979" s="109"/>
      <c r="AJ979" s="109"/>
      <c r="AL979" s="10"/>
      <c r="AO979" s="109"/>
      <c r="AP979" s="109"/>
      <c r="AR979" s="10"/>
      <c r="AU979" s="109"/>
      <c r="AV979" s="109"/>
      <c r="AX979" s="10"/>
      <c r="BA979" s="109"/>
      <c r="BB979" s="109"/>
      <c r="BD979" s="10"/>
      <c r="BG979" s="109"/>
      <c r="BH979" s="109"/>
      <c r="BJ979" s="10"/>
      <c r="BM979" s="109"/>
      <c r="BN979" s="109"/>
      <c r="BP979" s="10"/>
      <c r="BS979" s="109"/>
      <c r="BT979" s="109"/>
      <c r="BV979" s="10"/>
      <c r="BY979" s="109"/>
      <c r="BZ979" s="109"/>
      <c r="CB979" s="10"/>
      <c r="CE979" s="109"/>
      <c r="CF979" s="109"/>
      <c r="CH979" s="10"/>
      <c r="CK979" s="109"/>
      <c r="CL979" s="109"/>
    </row>
    <row r="980" spans="1:90">
      <c r="A980" s="7" t="str">
        <f t="shared" si="151"/>
        <v>01950195</v>
      </c>
      <c r="B980" s="7" t="s">
        <v>2534</v>
      </c>
      <c r="C980" s="7" t="s">
        <v>2534</v>
      </c>
      <c r="D980" s="7">
        <v>971</v>
      </c>
      <c r="E980" s="7">
        <v>195</v>
      </c>
      <c r="F980" s="7" t="s">
        <v>1900</v>
      </c>
      <c r="G980" s="7">
        <v>195</v>
      </c>
      <c r="H980" s="7" t="s">
        <v>1461</v>
      </c>
      <c r="I980" s="37">
        <v>57421.64</v>
      </c>
      <c r="J980" s="122">
        <v>1</v>
      </c>
      <c r="K980" s="123">
        <f>X980</f>
        <v>32643.359126604621</v>
      </c>
      <c r="L980" s="122">
        <f>IF(K984&gt;0, K980/K984, 0)</f>
        <v>1</v>
      </c>
      <c r="M980" s="71"/>
      <c r="N980" s="10">
        <f>ROUND(M984*L980,0)</f>
        <v>29379</v>
      </c>
      <c r="O980" s="70">
        <v>51679</v>
      </c>
      <c r="P980" s="10">
        <f>N980-O980</f>
        <v>-22300</v>
      </c>
      <c r="Q980" s="46">
        <f t="shared" si="159"/>
        <v>-43.150989763733818</v>
      </c>
      <c r="R980" s="10">
        <v>7</v>
      </c>
      <c r="S980" s="7">
        <f t="shared" si="152"/>
        <v>0</v>
      </c>
      <c r="T980" s="124">
        <f t="shared" si="153"/>
        <v>195</v>
      </c>
      <c r="U980" s="124">
        <f t="shared" si="154"/>
        <v>195</v>
      </c>
      <c r="V980" s="124">
        <f t="shared" si="155"/>
        <v>971</v>
      </c>
      <c r="W980" s="124">
        <f t="shared" si="156"/>
        <v>4</v>
      </c>
      <c r="X980" s="124">
        <f t="shared" si="157"/>
        <v>32643.359126604621</v>
      </c>
      <c r="Y980" s="264">
        <f t="shared" si="158"/>
        <v>971</v>
      </c>
      <c r="Z980" s="10">
        <v>195</v>
      </c>
      <c r="AA980" s="7">
        <v>195</v>
      </c>
      <c r="AB980" s="7">
        <v>971</v>
      </c>
      <c r="AC980" s="109">
        <v>4</v>
      </c>
      <c r="AD980" s="109">
        <v>32643.359126604621</v>
      </c>
      <c r="AE980" s="125"/>
      <c r="AF980" s="10"/>
      <c r="AI980" s="109"/>
      <c r="AJ980" s="109"/>
      <c r="AL980" s="10"/>
      <c r="AO980" s="109"/>
      <c r="AP980" s="109"/>
      <c r="AR980" s="10"/>
      <c r="AU980" s="109"/>
      <c r="AV980" s="109"/>
      <c r="AX980" s="10"/>
      <c r="BA980" s="109"/>
      <c r="BB980" s="109"/>
      <c r="BD980" s="10"/>
      <c r="BG980" s="109"/>
      <c r="BH980" s="109"/>
      <c r="BJ980" s="10"/>
      <c r="BM980" s="109"/>
      <c r="BN980" s="109"/>
      <c r="BP980" s="10"/>
      <c r="BS980" s="109"/>
      <c r="BT980" s="109"/>
      <c r="BV980" s="10"/>
      <c r="BY980" s="109"/>
      <c r="BZ980" s="109"/>
      <c r="CB980" s="10"/>
      <c r="CE980" s="109"/>
      <c r="CF980" s="109"/>
      <c r="CH980" s="10"/>
      <c r="CK980" s="109"/>
      <c r="CL980" s="109"/>
    </row>
    <row r="981" spans="1:90">
      <c r="A981" s="7" t="str">
        <f t="shared" si="151"/>
        <v>01950998</v>
      </c>
      <c r="B981" s="7" t="s">
        <v>2534</v>
      </c>
      <c r="C981" s="7" t="s">
        <v>2781</v>
      </c>
      <c r="D981" s="7">
        <v>972</v>
      </c>
      <c r="E981" s="7">
        <v>195</v>
      </c>
      <c r="F981" s="7" t="s">
        <v>2135</v>
      </c>
      <c r="G981" s="7">
        <v>998</v>
      </c>
      <c r="H981" s="7" t="s">
        <v>2135</v>
      </c>
      <c r="I981" s="37">
        <v>0</v>
      </c>
      <c r="J981" s="122">
        <v>0</v>
      </c>
      <c r="K981" s="123">
        <f t="shared" si="150"/>
        <v>0</v>
      </c>
      <c r="L981" s="122">
        <f>IF(K984&gt;0, K981/K984, 0)</f>
        <v>0</v>
      </c>
      <c r="M981" s="71"/>
      <c r="N981" s="10">
        <f>ROUND(M984*L981,0)</f>
        <v>0</v>
      </c>
      <c r="O981" s="70">
        <v>0</v>
      </c>
      <c r="P981" s="10">
        <f>N981-O981</f>
        <v>0</v>
      </c>
      <c r="Q981" s="46">
        <f t="shared" si="159"/>
        <v>0</v>
      </c>
      <c r="R981" s="10">
        <v>0</v>
      </c>
      <c r="S981" s="7">
        <f t="shared" si="152"/>
        <v>0</v>
      </c>
      <c r="T981" s="124">
        <f t="shared" si="153"/>
        <v>195</v>
      </c>
      <c r="U981" s="124">
        <f t="shared" si="154"/>
        <v>998</v>
      </c>
      <c r="V981" s="124">
        <f t="shared" si="155"/>
        <v>972</v>
      </c>
      <c r="W981" s="124">
        <f t="shared" si="156"/>
        <v>0</v>
      </c>
      <c r="X981" s="124">
        <f t="shared" si="157"/>
        <v>0</v>
      </c>
      <c r="Y981" s="264">
        <f t="shared" si="158"/>
        <v>972</v>
      </c>
      <c r="Z981" s="10">
        <v>195</v>
      </c>
      <c r="AA981" s="7">
        <v>998</v>
      </c>
      <c r="AB981" s="7">
        <v>972</v>
      </c>
      <c r="AC981" s="109">
        <v>0</v>
      </c>
      <c r="AD981" s="109">
        <v>0</v>
      </c>
      <c r="AE981" s="125"/>
      <c r="AF981" s="10"/>
      <c r="AI981" s="109"/>
      <c r="AJ981" s="109"/>
      <c r="AL981" s="10"/>
      <c r="AO981" s="109"/>
      <c r="AP981" s="109"/>
      <c r="AR981" s="10"/>
      <c r="AU981" s="109"/>
      <c r="AV981" s="109"/>
      <c r="AX981" s="10"/>
      <c r="BA981" s="109"/>
      <c r="BB981" s="109"/>
      <c r="BD981" s="10"/>
      <c r="BG981" s="109"/>
      <c r="BH981" s="109"/>
      <c r="BJ981" s="10"/>
      <c r="BM981" s="109"/>
      <c r="BN981" s="109"/>
      <c r="BP981" s="10"/>
      <c r="BS981" s="109"/>
      <c r="BT981" s="109"/>
      <c r="BV981" s="10"/>
      <c r="BY981" s="109"/>
      <c r="BZ981" s="109"/>
      <c r="CB981" s="10"/>
      <c r="CE981" s="109"/>
      <c r="CF981" s="109"/>
      <c r="CH981" s="10"/>
      <c r="CK981" s="109"/>
      <c r="CL981" s="109"/>
    </row>
    <row r="982" spans="1:90">
      <c r="A982" s="7" t="str">
        <f t="shared" si="151"/>
        <v>01950998</v>
      </c>
      <c r="B982" s="7" t="s">
        <v>2534</v>
      </c>
      <c r="C982" s="7" t="s">
        <v>2781</v>
      </c>
      <c r="D982" s="7">
        <v>973</v>
      </c>
      <c r="E982" s="7">
        <v>195</v>
      </c>
      <c r="F982" s="7" t="s">
        <v>2135</v>
      </c>
      <c r="G982" s="7">
        <v>998</v>
      </c>
      <c r="H982" s="7" t="s">
        <v>2135</v>
      </c>
      <c r="I982" s="37">
        <v>0</v>
      </c>
      <c r="J982" s="122">
        <v>0</v>
      </c>
      <c r="K982" s="123">
        <f t="shared" si="150"/>
        <v>0</v>
      </c>
      <c r="L982" s="122">
        <f>IF(K984&gt;0, K982/K984, 0)</f>
        <v>0</v>
      </c>
      <c r="M982" s="71"/>
      <c r="N982" s="10">
        <f>ROUND(M984*L982,0)</f>
        <v>0</v>
      </c>
      <c r="O982" s="70">
        <v>0</v>
      </c>
      <c r="P982" s="10">
        <f>N982-O982</f>
        <v>0</v>
      </c>
      <c r="Q982" s="46">
        <f t="shared" si="159"/>
        <v>0</v>
      </c>
      <c r="R982" s="10">
        <v>0</v>
      </c>
      <c r="S982" s="7">
        <f t="shared" si="152"/>
        <v>0</v>
      </c>
      <c r="T982" s="124">
        <f t="shared" si="153"/>
        <v>195</v>
      </c>
      <c r="U982" s="124">
        <f t="shared" si="154"/>
        <v>998</v>
      </c>
      <c r="V982" s="124">
        <f t="shared" si="155"/>
        <v>973</v>
      </c>
      <c r="W982" s="124">
        <f t="shared" si="156"/>
        <v>0</v>
      </c>
      <c r="X982" s="124">
        <f t="shared" si="157"/>
        <v>0</v>
      </c>
      <c r="Y982" s="264">
        <f t="shared" si="158"/>
        <v>973</v>
      </c>
      <c r="Z982" s="10">
        <v>195</v>
      </c>
      <c r="AA982" s="7">
        <v>998</v>
      </c>
      <c r="AB982" s="7">
        <v>973</v>
      </c>
      <c r="AC982" s="109">
        <v>0</v>
      </c>
      <c r="AD982" s="109">
        <v>0</v>
      </c>
      <c r="AE982" s="125"/>
      <c r="AF982" s="10"/>
      <c r="AI982" s="109"/>
      <c r="AJ982" s="109"/>
      <c r="AL982" s="10"/>
      <c r="AO982" s="109"/>
      <c r="AP982" s="109"/>
      <c r="AR982" s="10"/>
      <c r="AU982" s="109"/>
      <c r="AV982" s="109"/>
      <c r="AX982" s="10"/>
      <c r="BA982" s="109"/>
      <c r="BB982" s="109"/>
      <c r="BD982" s="10"/>
      <c r="BG982" s="109"/>
      <c r="BH982" s="109"/>
      <c r="BJ982" s="10"/>
      <c r="BM982" s="109"/>
      <c r="BN982" s="109"/>
      <c r="BP982" s="10"/>
      <c r="BS982" s="109"/>
      <c r="BT982" s="109"/>
      <c r="BV982" s="10"/>
      <c r="BY982" s="109"/>
      <c r="BZ982" s="109"/>
      <c r="CB982" s="10"/>
      <c r="CE982" s="109"/>
      <c r="CF982" s="109"/>
      <c r="CH982" s="10"/>
      <c r="CK982" s="109"/>
      <c r="CL982" s="109"/>
    </row>
    <row r="983" spans="1:90">
      <c r="A983" s="7" t="str">
        <f t="shared" si="151"/>
        <v>01950998</v>
      </c>
      <c r="B983" s="7" t="s">
        <v>2534</v>
      </c>
      <c r="C983" s="7" t="s">
        <v>2781</v>
      </c>
      <c r="D983" s="7">
        <v>974</v>
      </c>
      <c r="E983" s="7">
        <v>195</v>
      </c>
      <c r="F983" s="7" t="s">
        <v>2135</v>
      </c>
      <c r="G983" s="7">
        <v>998</v>
      </c>
      <c r="H983" s="7" t="s">
        <v>2135</v>
      </c>
      <c r="I983" s="37">
        <v>0</v>
      </c>
      <c r="J983" s="122">
        <v>0</v>
      </c>
      <c r="K983" s="123">
        <f t="shared" si="150"/>
        <v>0</v>
      </c>
      <c r="L983" s="122">
        <f>IF(K984&gt;0, K983/K984, 0)</f>
        <v>0</v>
      </c>
      <c r="M983" s="71"/>
      <c r="N983" s="10">
        <f>ROUND(M984*L983,0)</f>
        <v>0</v>
      </c>
      <c r="O983" s="70">
        <v>0</v>
      </c>
      <c r="P983" s="10">
        <f>N983-O983</f>
        <v>0</v>
      </c>
      <c r="Q983" s="46">
        <f t="shared" si="159"/>
        <v>0</v>
      </c>
      <c r="R983" s="10">
        <v>0</v>
      </c>
      <c r="S983" s="7">
        <f t="shared" si="152"/>
        <v>0</v>
      </c>
      <c r="T983" s="124">
        <f t="shared" si="153"/>
        <v>195</v>
      </c>
      <c r="U983" s="124">
        <f t="shared" si="154"/>
        <v>998</v>
      </c>
      <c r="V983" s="124">
        <f t="shared" si="155"/>
        <v>974</v>
      </c>
      <c r="W983" s="124">
        <f t="shared" si="156"/>
        <v>0</v>
      </c>
      <c r="X983" s="124">
        <f t="shared" si="157"/>
        <v>0</v>
      </c>
      <c r="Y983" s="264">
        <f t="shared" si="158"/>
        <v>974</v>
      </c>
      <c r="Z983" s="10">
        <v>195</v>
      </c>
      <c r="AA983" s="7">
        <v>998</v>
      </c>
      <c r="AB983" s="7">
        <v>974</v>
      </c>
      <c r="AC983" s="109">
        <v>0</v>
      </c>
      <c r="AD983" s="109">
        <v>0</v>
      </c>
      <c r="AE983" s="125"/>
      <c r="AF983" s="10"/>
      <c r="AI983" s="109"/>
      <c r="AJ983" s="109"/>
      <c r="AL983" s="10"/>
      <c r="AO983" s="109"/>
      <c r="AP983" s="109"/>
      <c r="AR983" s="10"/>
      <c r="AU983" s="109"/>
      <c r="AV983" s="109"/>
      <c r="AX983" s="10"/>
      <c r="BA983" s="109"/>
      <c r="BB983" s="109"/>
      <c r="BD983" s="10"/>
      <c r="BG983" s="109"/>
      <c r="BH983" s="109"/>
      <c r="BJ983" s="10"/>
      <c r="BM983" s="109"/>
      <c r="BN983" s="109"/>
      <c r="BP983" s="10"/>
      <c r="BS983" s="109"/>
      <c r="BT983" s="109"/>
      <c r="BV983" s="10"/>
      <c r="BY983" s="109"/>
      <c r="BZ983" s="109"/>
      <c r="CB983" s="10"/>
      <c r="CE983" s="109"/>
      <c r="CF983" s="109"/>
      <c r="CH983" s="10"/>
      <c r="CK983" s="109"/>
      <c r="CL983" s="109"/>
    </row>
    <row r="984" spans="1:90">
      <c r="A984" s="7" t="str">
        <f t="shared" si="151"/>
        <v>01950999</v>
      </c>
      <c r="B984" s="7" t="s">
        <v>2534</v>
      </c>
      <c r="C984" s="7" t="s">
        <v>2782</v>
      </c>
      <c r="D984" s="7">
        <v>975</v>
      </c>
      <c r="E984" s="11">
        <v>195</v>
      </c>
      <c r="F984" s="11" t="s">
        <v>1900</v>
      </c>
      <c r="G984" s="11">
        <v>999</v>
      </c>
      <c r="H984" s="11" t="s">
        <v>1132</v>
      </c>
      <c r="I984" s="105">
        <v>57421.64</v>
      </c>
      <c r="J984" s="126">
        <v>1</v>
      </c>
      <c r="K984" s="127">
        <f>SUM(K980:K983)</f>
        <v>32643.359126604621</v>
      </c>
      <c r="L984" s="126">
        <f>SUM(L980:L983)</f>
        <v>1</v>
      </c>
      <c r="M984" s="105">
        <f>VLOOKUP(E984,town351,22)</f>
        <v>29379.023213944158</v>
      </c>
      <c r="N984" s="105">
        <f>SUM(N980:N983)</f>
        <v>29379</v>
      </c>
      <c r="O984" s="128">
        <v>51679</v>
      </c>
      <c r="P984" s="105">
        <f>SUM(P980:P983)</f>
        <v>-22300</v>
      </c>
      <c r="Q984" s="45">
        <f t="shared" si="159"/>
        <v>-43.150989763733818</v>
      </c>
      <c r="R984" s="105">
        <v>7</v>
      </c>
      <c r="S984" s="7">
        <f t="shared" si="152"/>
        <v>0</v>
      </c>
      <c r="T984" s="124">
        <f t="shared" si="153"/>
        <v>195</v>
      </c>
      <c r="U984" s="124">
        <f t="shared" si="154"/>
        <v>999</v>
      </c>
      <c r="V984" s="124">
        <f t="shared" si="155"/>
        <v>975</v>
      </c>
      <c r="W984" s="124">
        <f t="shared" si="156"/>
        <v>4</v>
      </c>
      <c r="X984" s="124">
        <f t="shared" si="157"/>
        <v>32643.359126604621</v>
      </c>
      <c r="Y984" s="264">
        <f t="shared" si="158"/>
        <v>975</v>
      </c>
      <c r="Z984" s="10">
        <v>195</v>
      </c>
      <c r="AA984" s="7">
        <v>999</v>
      </c>
      <c r="AB984" s="7">
        <v>975</v>
      </c>
      <c r="AC984" s="109">
        <v>4</v>
      </c>
      <c r="AD984" s="109">
        <v>32643.359126604621</v>
      </c>
      <c r="AE984" s="125"/>
      <c r="AF984" s="10"/>
      <c r="AI984" s="109"/>
      <c r="AJ984" s="109"/>
      <c r="AL984" s="10"/>
      <c r="AO984" s="109"/>
      <c r="AP984" s="109"/>
      <c r="AR984" s="10"/>
      <c r="AU984" s="109"/>
      <c r="AV984" s="109"/>
      <c r="AX984" s="10"/>
      <c r="BA984" s="109"/>
      <c r="BB984" s="109"/>
      <c r="BD984" s="10"/>
      <c r="BG984" s="109"/>
      <c r="BH984" s="109"/>
      <c r="BJ984" s="10"/>
      <c r="BM984" s="109"/>
      <c r="BN984" s="109"/>
      <c r="BP984" s="10"/>
      <c r="BS984" s="109"/>
      <c r="BT984" s="109"/>
      <c r="BV984" s="10"/>
      <c r="BY984" s="109"/>
      <c r="BZ984" s="109"/>
      <c r="CB984" s="10"/>
      <c r="CE984" s="109"/>
      <c r="CF984" s="109"/>
      <c r="CH984" s="10"/>
      <c r="CK984" s="109"/>
      <c r="CL984" s="109"/>
    </row>
    <row r="985" spans="1:90">
      <c r="A985" s="7" t="str">
        <f t="shared" si="151"/>
        <v>01960196</v>
      </c>
      <c r="B985" s="7" t="s">
        <v>2535</v>
      </c>
      <c r="C985" s="7" t="s">
        <v>2535</v>
      </c>
      <c r="D985" s="7">
        <v>976</v>
      </c>
      <c r="E985" s="7">
        <v>196</v>
      </c>
      <c r="F985" s="7" t="s">
        <v>1901</v>
      </c>
      <c r="G985" s="7">
        <v>196</v>
      </c>
      <c r="H985" s="7" t="s">
        <v>1462</v>
      </c>
      <c r="I985" s="37">
        <v>2541982.4700000002</v>
      </c>
      <c r="J985" s="122">
        <v>0.97578898063846653</v>
      </c>
      <c r="K985" s="123">
        <f>X985</f>
        <v>2576635.3961993451</v>
      </c>
      <c r="L985" s="122">
        <f>IF(K989&gt;0, K985/K989, 0)</f>
        <v>0.9642811009788157</v>
      </c>
      <c r="M985" s="71"/>
      <c r="N985" s="10">
        <f>ROUND(M989*L985,0)</f>
        <v>2132494</v>
      </c>
      <c r="O985" s="70">
        <v>2138805</v>
      </c>
      <c r="P985" s="10">
        <f>N985-O985</f>
        <v>-6311</v>
      </c>
      <c r="Q985" s="46">
        <f t="shared" si="159"/>
        <v>-0.29507131318656915</v>
      </c>
      <c r="R985" s="10">
        <v>272</v>
      </c>
      <c r="S985" s="7">
        <f t="shared" si="152"/>
        <v>0</v>
      </c>
      <c r="T985" s="124">
        <f t="shared" si="153"/>
        <v>196</v>
      </c>
      <c r="U985" s="124">
        <f t="shared" si="154"/>
        <v>196</v>
      </c>
      <c r="V985" s="124">
        <f t="shared" si="155"/>
        <v>976</v>
      </c>
      <c r="W985" s="124">
        <f t="shared" si="156"/>
        <v>270</v>
      </c>
      <c r="X985" s="124">
        <f t="shared" si="157"/>
        <v>2576635.3961993451</v>
      </c>
      <c r="Y985" s="264">
        <f t="shared" si="158"/>
        <v>976</v>
      </c>
      <c r="Z985" s="10">
        <v>196</v>
      </c>
      <c r="AA985" s="7">
        <v>196</v>
      </c>
      <c r="AB985" s="7">
        <v>976</v>
      </c>
      <c r="AC985" s="109">
        <v>270</v>
      </c>
      <c r="AD985" s="109">
        <v>2576635.3961993451</v>
      </c>
      <c r="AE985" s="125"/>
      <c r="AF985" s="10"/>
      <c r="AI985" s="109"/>
      <c r="AJ985" s="109"/>
      <c r="AL985" s="10"/>
      <c r="AO985" s="109"/>
      <c r="AP985" s="109"/>
      <c r="AR985" s="10"/>
      <c r="AU985" s="109"/>
      <c r="AV985" s="109"/>
      <c r="AX985" s="10"/>
      <c r="BA985" s="109"/>
      <c r="BB985" s="109"/>
      <c r="BD985" s="10"/>
      <c r="BG985" s="109"/>
      <c r="BH985" s="109"/>
      <c r="BJ985" s="10"/>
      <c r="BM985" s="109"/>
      <c r="BN985" s="109"/>
      <c r="BP985" s="10"/>
      <c r="BS985" s="109"/>
      <c r="BT985" s="109"/>
      <c r="BV985" s="10"/>
      <c r="BY985" s="109"/>
      <c r="BZ985" s="109"/>
      <c r="CB985" s="10"/>
      <c r="CE985" s="109"/>
      <c r="CF985" s="109"/>
      <c r="CH985" s="10"/>
      <c r="CK985" s="109"/>
      <c r="CL985" s="109"/>
    </row>
    <row r="986" spans="1:90">
      <c r="A986" s="7" t="str">
        <f t="shared" si="151"/>
        <v>01960817</v>
      </c>
      <c r="B986" s="7" t="s">
        <v>2535</v>
      </c>
      <c r="C986" s="7" t="s">
        <v>2757</v>
      </c>
      <c r="D986" s="7">
        <v>977</v>
      </c>
      <c r="E986" s="7">
        <v>196</v>
      </c>
      <c r="F986" s="7" t="s">
        <v>1901</v>
      </c>
      <c r="G986" s="7">
        <v>817</v>
      </c>
      <c r="H986" s="7" t="s">
        <v>1684</v>
      </c>
      <c r="I986" s="37">
        <v>63071</v>
      </c>
      <c r="J986" s="122">
        <v>2.4211019361533487E-2</v>
      </c>
      <c r="K986" s="123">
        <f t="shared" si="150"/>
        <v>95443.724281054296</v>
      </c>
      <c r="L986" s="122">
        <f>IF(K989&gt;0, K986/K989, 0)</f>
        <v>3.5718899021184282E-2</v>
      </c>
      <c r="M986" s="71"/>
      <c r="N986" s="10">
        <f>ROUND(M989*L986,0)</f>
        <v>78992</v>
      </c>
      <c r="O986" s="70">
        <v>53067</v>
      </c>
      <c r="P986" s="10">
        <f>N986-O986</f>
        <v>25925</v>
      </c>
      <c r="Q986" s="46">
        <f t="shared" si="159"/>
        <v>48.853336348389774</v>
      </c>
      <c r="R986" s="10">
        <v>4</v>
      </c>
      <c r="S986" s="7">
        <f t="shared" si="152"/>
        <v>0</v>
      </c>
      <c r="T986" s="124">
        <f t="shared" si="153"/>
        <v>196</v>
      </c>
      <c r="U986" s="124">
        <f t="shared" si="154"/>
        <v>817</v>
      </c>
      <c r="V986" s="124">
        <f t="shared" si="155"/>
        <v>977</v>
      </c>
      <c r="W986" s="124">
        <f t="shared" si="156"/>
        <v>5.9999999966400006</v>
      </c>
      <c r="X986" s="124">
        <f t="shared" si="157"/>
        <v>95443.724281054296</v>
      </c>
      <c r="Y986" s="264">
        <f t="shared" si="158"/>
        <v>977</v>
      </c>
      <c r="Z986" s="10">
        <v>196</v>
      </c>
      <c r="AA986" s="7">
        <v>817</v>
      </c>
      <c r="AB986" s="7">
        <v>977</v>
      </c>
      <c r="AC986" s="109">
        <v>5.9999999966400006</v>
      </c>
      <c r="AD986" s="109">
        <v>95443.724281054296</v>
      </c>
      <c r="AE986" s="125"/>
      <c r="AF986" s="10"/>
      <c r="AI986" s="109"/>
      <c r="AJ986" s="109"/>
      <c r="AL986" s="10"/>
      <c r="AO986" s="109"/>
      <c r="AP986" s="109"/>
      <c r="AR986" s="10"/>
      <c r="AU986" s="109"/>
      <c r="AV986" s="109"/>
      <c r="AX986" s="10"/>
      <c r="BA986" s="109"/>
      <c r="BB986" s="109"/>
      <c r="BD986" s="10"/>
      <c r="BG986" s="109"/>
      <c r="BH986" s="109"/>
      <c r="BJ986" s="10"/>
      <c r="BM986" s="109"/>
      <c r="BN986" s="109"/>
      <c r="BP986" s="10"/>
      <c r="BS986" s="109"/>
      <c r="BT986" s="109"/>
      <c r="BV986" s="10"/>
      <c r="BY986" s="109"/>
      <c r="BZ986" s="109"/>
      <c r="CB986" s="10"/>
      <c r="CE986" s="109"/>
      <c r="CF986" s="109"/>
      <c r="CH986" s="10"/>
      <c r="CK986" s="109"/>
      <c r="CL986" s="109"/>
    </row>
    <row r="987" spans="1:90">
      <c r="A987" s="7" t="str">
        <f t="shared" si="151"/>
        <v>01960998</v>
      </c>
      <c r="B987" s="7" t="s">
        <v>2535</v>
      </c>
      <c r="C987" s="7" t="s">
        <v>2781</v>
      </c>
      <c r="D987" s="7">
        <v>978</v>
      </c>
      <c r="E987" s="7">
        <v>196</v>
      </c>
      <c r="F987" s="7" t="s">
        <v>2135</v>
      </c>
      <c r="G987" s="7">
        <v>998</v>
      </c>
      <c r="I987" s="129">
        <v>0</v>
      </c>
      <c r="J987" s="130">
        <v>0</v>
      </c>
      <c r="K987" s="123">
        <f t="shared" si="150"/>
        <v>0</v>
      </c>
      <c r="L987" s="122">
        <f>IF(K989&gt;0, K987/K989, 0)</f>
        <v>0</v>
      </c>
      <c r="M987" s="71"/>
      <c r="N987" s="10">
        <f>ROUND(M989*L987,0)</f>
        <v>0</v>
      </c>
      <c r="O987" s="70">
        <v>0</v>
      </c>
      <c r="P987" s="10">
        <f>N987-O987</f>
        <v>0</v>
      </c>
      <c r="Q987" s="46">
        <f t="shared" si="159"/>
        <v>0</v>
      </c>
      <c r="R987" s="10">
        <v>0</v>
      </c>
      <c r="S987" s="7">
        <f t="shared" si="152"/>
        <v>0</v>
      </c>
      <c r="T987" s="124">
        <f t="shared" si="153"/>
        <v>196</v>
      </c>
      <c r="U987" s="124">
        <f t="shared" si="154"/>
        <v>998</v>
      </c>
      <c r="V987" s="124">
        <f t="shared" si="155"/>
        <v>978</v>
      </c>
      <c r="W987" s="124">
        <f t="shared" si="156"/>
        <v>0</v>
      </c>
      <c r="X987" s="124">
        <f t="shared" si="157"/>
        <v>0</v>
      </c>
      <c r="Y987" s="264">
        <f t="shared" si="158"/>
        <v>978</v>
      </c>
      <c r="Z987" s="10">
        <v>196</v>
      </c>
      <c r="AA987" s="7">
        <v>998</v>
      </c>
      <c r="AB987" s="7">
        <v>978</v>
      </c>
      <c r="AC987" s="109">
        <v>0</v>
      </c>
      <c r="AD987" s="109">
        <v>0</v>
      </c>
      <c r="AE987" s="125"/>
      <c r="AF987" s="10"/>
      <c r="AI987" s="109"/>
      <c r="AJ987" s="109"/>
      <c r="AL987" s="10"/>
      <c r="AO987" s="109"/>
      <c r="AP987" s="109"/>
      <c r="AR987" s="10"/>
      <c r="AU987" s="109"/>
      <c r="AV987" s="109"/>
      <c r="AX987" s="10"/>
      <c r="BA987" s="109"/>
      <c r="BB987" s="109"/>
      <c r="BD987" s="10"/>
      <c r="BG987" s="109"/>
      <c r="BH987" s="109"/>
      <c r="BJ987" s="10"/>
      <c r="BM987" s="109"/>
      <c r="BN987" s="109"/>
      <c r="BP987" s="10"/>
      <c r="BS987" s="109"/>
      <c r="BT987" s="109"/>
      <c r="BV987" s="10"/>
      <c r="BY987" s="109"/>
      <c r="BZ987" s="109"/>
      <c r="CB987" s="10"/>
      <c r="CE987" s="109"/>
      <c r="CF987" s="109"/>
      <c r="CH987" s="10"/>
      <c r="CK987" s="109"/>
      <c r="CL987" s="109"/>
    </row>
    <row r="988" spans="1:90">
      <c r="A988" s="7" t="str">
        <f t="shared" si="151"/>
        <v>01960998</v>
      </c>
      <c r="B988" s="7" t="s">
        <v>2535</v>
      </c>
      <c r="C988" s="7" t="s">
        <v>2781</v>
      </c>
      <c r="D988" s="7">
        <v>979</v>
      </c>
      <c r="E988" s="7">
        <v>196</v>
      </c>
      <c r="F988" s="7" t="s">
        <v>2135</v>
      </c>
      <c r="G988" s="7">
        <v>998</v>
      </c>
      <c r="H988" s="7" t="s">
        <v>2135</v>
      </c>
      <c r="I988" s="37">
        <v>0</v>
      </c>
      <c r="J988" s="122">
        <v>0</v>
      </c>
      <c r="K988" s="123">
        <f t="shared" si="150"/>
        <v>0</v>
      </c>
      <c r="L988" s="122">
        <f>IF(K989&gt;0, K988/K989, 0)</f>
        <v>0</v>
      </c>
      <c r="M988" s="71"/>
      <c r="N988" s="10">
        <f>ROUND(M989*L988,0)</f>
        <v>0</v>
      </c>
      <c r="O988" s="70">
        <v>0</v>
      </c>
      <c r="P988" s="10">
        <f>N988-O988</f>
        <v>0</v>
      </c>
      <c r="Q988" s="46">
        <f t="shared" si="159"/>
        <v>0</v>
      </c>
      <c r="R988" s="10">
        <v>0</v>
      </c>
      <c r="S988" s="7">
        <f t="shared" si="152"/>
        <v>0</v>
      </c>
      <c r="T988" s="124">
        <f t="shared" si="153"/>
        <v>196</v>
      </c>
      <c r="U988" s="124">
        <f t="shared" si="154"/>
        <v>998</v>
      </c>
      <c r="V988" s="124">
        <f t="shared" si="155"/>
        <v>979</v>
      </c>
      <c r="W988" s="124">
        <f t="shared" si="156"/>
        <v>0</v>
      </c>
      <c r="X988" s="124">
        <f t="shared" si="157"/>
        <v>0</v>
      </c>
      <c r="Y988" s="264">
        <f t="shared" si="158"/>
        <v>979</v>
      </c>
      <c r="Z988" s="10">
        <v>196</v>
      </c>
      <c r="AA988" s="7">
        <v>998</v>
      </c>
      <c r="AB988" s="7">
        <v>979</v>
      </c>
      <c r="AC988" s="109">
        <v>0</v>
      </c>
      <c r="AD988" s="109">
        <v>0</v>
      </c>
      <c r="AE988" s="125"/>
      <c r="AF988" s="10"/>
      <c r="AI988" s="109"/>
      <c r="AJ988" s="109"/>
      <c r="AL988" s="10"/>
      <c r="AO988" s="109"/>
      <c r="AP988" s="109"/>
      <c r="AR988" s="10"/>
      <c r="AU988" s="109"/>
      <c r="AV988" s="109"/>
      <c r="AX988" s="10"/>
      <c r="BA988" s="109"/>
      <c r="BB988" s="109"/>
      <c r="BD988" s="10"/>
      <c r="BG988" s="109"/>
      <c r="BH988" s="109"/>
      <c r="BJ988" s="10"/>
      <c r="BM988" s="109"/>
      <c r="BN988" s="109"/>
      <c r="BP988" s="10"/>
      <c r="BS988" s="109"/>
      <c r="BT988" s="109"/>
      <c r="BV988" s="10"/>
      <c r="BY988" s="109"/>
      <c r="BZ988" s="109"/>
      <c r="CB988" s="10"/>
      <c r="CE988" s="109"/>
      <c r="CF988" s="109"/>
      <c r="CH988" s="10"/>
      <c r="CK988" s="109"/>
      <c r="CL988" s="109"/>
    </row>
    <row r="989" spans="1:90">
      <c r="A989" s="7" t="str">
        <f t="shared" si="151"/>
        <v>01960999</v>
      </c>
      <c r="B989" s="7" t="s">
        <v>2535</v>
      </c>
      <c r="C989" s="7" t="s">
        <v>2782</v>
      </c>
      <c r="D989" s="7">
        <v>980</v>
      </c>
      <c r="E989" s="11">
        <v>196</v>
      </c>
      <c r="F989" s="11" t="s">
        <v>1901</v>
      </c>
      <c r="G989" s="11">
        <v>999</v>
      </c>
      <c r="H989" s="11" t="s">
        <v>1132</v>
      </c>
      <c r="I989" s="105">
        <v>2605053.4700000002</v>
      </c>
      <c r="J989" s="126">
        <v>1</v>
      </c>
      <c r="K989" s="127">
        <f>SUM(K985:K988)</f>
        <v>2672079.1204803996</v>
      </c>
      <c r="L989" s="126">
        <f>SUM(L985:L988)</f>
        <v>1</v>
      </c>
      <c r="M989" s="105">
        <f>VLOOKUP(E989,town351,22)</f>
        <v>2211486</v>
      </c>
      <c r="N989" s="105">
        <f>SUM(N985:N988)</f>
        <v>2211486</v>
      </c>
      <c r="O989" s="128">
        <v>2191872</v>
      </c>
      <c r="P989" s="105">
        <f>SUM(P985:P988)</f>
        <v>19614</v>
      </c>
      <c r="Q989" s="45">
        <f t="shared" si="159"/>
        <v>0.8948515241765943</v>
      </c>
      <c r="R989" s="105">
        <v>276</v>
      </c>
      <c r="S989" s="7">
        <f t="shared" si="152"/>
        <v>0</v>
      </c>
      <c r="T989" s="124">
        <f t="shared" si="153"/>
        <v>196</v>
      </c>
      <c r="U989" s="124">
        <f t="shared" si="154"/>
        <v>999</v>
      </c>
      <c r="V989" s="124">
        <f t="shared" si="155"/>
        <v>980</v>
      </c>
      <c r="W989" s="124">
        <f t="shared" si="156"/>
        <v>275.99999999663999</v>
      </c>
      <c r="X989" s="124">
        <f t="shared" si="157"/>
        <v>2672079.1204803996</v>
      </c>
      <c r="Y989" s="264">
        <f t="shared" si="158"/>
        <v>980</v>
      </c>
      <c r="Z989" s="10">
        <v>196</v>
      </c>
      <c r="AA989" s="7">
        <v>999</v>
      </c>
      <c r="AB989" s="7">
        <v>980</v>
      </c>
      <c r="AC989" s="109">
        <v>275.99999999663999</v>
      </c>
      <c r="AD989" s="109">
        <v>2672079.1204803996</v>
      </c>
      <c r="AE989" s="125"/>
      <c r="AF989" s="10"/>
      <c r="AI989" s="109"/>
      <c r="AJ989" s="109"/>
      <c r="AL989" s="10"/>
      <c r="AO989" s="109"/>
      <c r="AP989" s="109"/>
      <c r="AR989" s="10"/>
      <c r="AU989" s="109"/>
      <c r="AV989" s="109"/>
      <c r="AX989" s="10"/>
      <c r="BA989" s="109"/>
      <c r="BB989" s="109"/>
      <c r="BD989" s="10"/>
      <c r="BG989" s="109"/>
      <c r="BH989" s="109"/>
      <c r="BJ989" s="10"/>
      <c r="BM989" s="109"/>
      <c r="BN989" s="109"/>
      <c r="BP989" s="10"/>
      <c r="BS989" s="109"/>
      <c r="BT989" s="109"/>
      <c r="BV989" s="10"/>
      <c r="BY989" s="109"/>
      <c r="BZ989" s="109"/>
      <c r="CB989" s="10"/>
      <c r="CE989" s="109"/>
      <c r="CF989" s="109"/>
      <c r="CH989" s="10"/>
      <c r="CK989" s="109"/>
      <c r="CL989" s="109"/>
    </row>
    <row r="990" spans="1:90">
      <c r="A990" s="7" t="str">
        <f t="shared" si="151"/>
        <v>01970197</v>
      </c>
      <c r="B990" s="7" t="s">
        <v>2536</v>
      </c>
      <c r="C990" s="7" t="s">
        <v>2536</v>
      </c>
      <c r="D990" s="7">
        <v>981</v>
      </c>
      <c r="E990" s="7">
        <v>197</v>
      </c>
      <c r="F990" s="7" t="s">
        <v>1902</v>
      </c>
      <c r="G990" s="7">
        <v>197</v>
      </c>
      <c r="H990" s="7" t="s">
        <v>1463</v>
      </c>
      <c r="I990" s="37">
        <v>15743715.589999998</v>
      </c>
      <c r="J990" s="122">
        <v>1</v>
      </c>
      <c r="K990" s="123">
        <f t="shared" ref="K990:K1053" si="160">X990</f>
        <v>16351990.158213655</v>
      </c>
      <c r="L990" s="122">
        <f>IF(K994&gt;0, K990/K994, 0)</f>
        <v>1</v>
      </c>
      <c r="M990" s="71"/>
      <c r="N990" s="10">
        <f>ROUND(M994*L990,0)</f>
        <v>13342499</v>
      </c>
      <c r="O990" s="70">
        <v>12702303</v>
      </c>
      <c r="P990" s="10">
        <f>N990-O990</f>
        <v>640196</v>
      </c>
      <c r="Q990" s="46">
        <f t="shared" si="159"/>
        <v>5.0399994394717238</v>
      </c>
      <c r="R990" s="10">
        <v>1566</v>
      </c>
      <c r="S990" s="7">
        <f t="shared" si="152"/>
        <v>0</v>
      </c>
      <c r="T990" s="124">
        <f t="shared" si="153"/>
        <v>197</v>
      </c>
      <c r="U990" s="124">
        <f t="shared" si="154"/>
        <v>197</v>
      </c>
      <c r="V990" s="124">
        <f t="shared" si="155"/>
        <v>981</v>
      </c>
      <c r="W990" s="124">
        <f t="shared" si="156"/>
        <v>1583</v>
      </c>
      <c r="X990" s="124">
        <f t="shared" si="157"/>
        <v>16351990.158213655</v>
      </c>
      <c r="Y990" s="264">
        <f t="shared" si="158"/>
        <v>981</v>
      </c>
      <c r="Z990" s="10">
        <v>197</v>
      </c>
      <c r="AA990" s="7">
        <v>197</v>
      </c>
      <c r="AB990" s="7">
        <v>981</v>
      </c>
      <c r="AC990" s="109">
        <v>1583</v>
      </c>
      <c r="AD990" s="109">
        <v>16351990.158213655</v>
      </c>
      <c r="AE990" s="125"/>
      <c r="AF990" s="10"/>
      <c r="AI990" s="109"/>
      <c r="AJ990" s="109"/>
      <c r="AL990" s="10"/>
      <c r="AO990" s="109"/>
      <c r="AP990" s="109"/>
      <c r="AR990" s="10"/>
      <c r="AU990" s="109"/>
      <c r="AV990" s="109"/>
      <c r="AX990" s="10"/>
      <c r="BA990" s="109"/>
      <c r="BB990" s="109"/>
      <c r="BD990" s="10"/>
      <c r="BG990" s="109"/>
      <c r="BH990" s="109"/>
      <c r="BJ990" s="10"/>
      <c r="BM990" s="109"/>
      <c r="BN990" s="109"/>
      <c r="BP990" s="10"/>
      <c r="BS990" s="109"/>
      <c r="BT990" s="109"/>
      <c r="BV990" s="10"/>
      <c r="BY990" s="109"/>
      <c r="BZ990" s="109"/>
      <c r="CB990" s="10"/>
      <c r="CE990" s="109"/>
      <c r="CF990" s="109"/>
      <c r="CH990" s="10"/>
      <c r="CK990" s="109"/>
      <c r="CL990" s="109"/>
    </row>
    <row r="991" spans="1:90">
      <c r="A991" s="7" t="str">
        <f t="shared" si="151"/>
        <v>01970998</v>
      </c>
      <c r="B991" s="7" t="s">
        <v>2536</v>
      </c>
      <c r="C991" s="7" t="s">
        <v>2781</v>
      </c>
      <c r="D991" s="7">
        <v>982</v>
      </c>
      <c r="E991" s="7">
        <v>197</v>
      </c>
      <c r="F991" s="7" t="s">
        <v>2135</v>
      </c>
      <c r="G991" s="7">
        <v>998</v>
      </c>
      <c r="H991" s="7" t="s">
        <v>2135</v>
      </c>
      <c r="I991" s="37">
        <v>0</v>
      </c>
      <c r="J991" s="122">
        <v>0</v>
      </c>
      <c r="K991" s="123">
        <f t="shared" si="160"/>
        <v>0</v>
      </c>
      <c r="L991" s="122">
        <f>IF(K994&gt;0, K991/K994, 0)</f>
        <v>0</v>
      </c>
      <c r="M991" s="71"/>
      <c r="N991" s="10">
        <f>ROUND(M994*L991,0)</f>
        <v>0</v>
      </c>
      <c r="O991" s="70">
        <v>0</v>
      </c>
      <c r="P991" s="10">
        <f>N991-O991</f>
        <v>0</v>
      </c>
      <c r="Q991" s="46">
        <f t="shared" si="159"/>
        <v>0</v>
      </c>
      <c r="R991" s="10">
        <v>0</v>
      </c>
      <c r="S991" s="7">
        <f t="shared" si="152"/>
        <v>0</v>
      </c>
      <c r="T991" s="124">
        <f t="shared" si="153"/>
        <v>197</v>
      </c>
      <c r="U991" s="124">
        <f t="shared" si="154"/>
        <v>998</v>
      </c>
      <c r="V991" s="124">
        <f t="shared" si="155"/>
        <v>982</v>
      </c>
      <c r="W991" s="124">
        <f t="shared" si="156"/>
        <v>0</v>
      </c>
      <c r="X991" s="124">
        <f t="shared" si="157"/>
        <v>0</v>
      </c>
      <c r="Y991" s="264">
        <f t="shared" si="158"/>
        <v>982</v>
      </c>
      <c r="Z991" s="10">
        <v>197</v>
      </c>
      <c r="AA991" s="7">
        <v>998</v>
      </c>
      <c r="AB991" s="7">
        <v>982</v>
      </c>
      <c r="AC991" s="109">
        <v>0</v>
      </c>
      <c r="AD991" s="109">
        <v>0</v>
      </c>
      <c r="AE991" s="125"/>
      <c r="AF991" s="10"/>
      <c r="AI991" s="109"/>
      <c r="AJ991" s="109"/>
      <c r="AL991" s="10"/>
      <c r="AO991" s="109"/>
      <c r="AP991" s="109"/>
      <c r="AR991" s="10"/>
      <c r="AU991" s="109"/>
      <c r="AV991" s="109"/>
      <c r="AX991" s="10"/>
      <c r="BA991" s="109"/>
      <c r="BB991" s="109"/>
      <c r="BD991" s="10"/>
      <c r="BG991" s="109"/>
      <c r="BH991" s="109"/>
      <c r="BJ991" s="10"/>
      <c r="BM991" s="109"/>
      <c r="BN991" s="109"/>
      <c r="BP991" s="10"/>
      <c r="BS991" s="109"/>
      <c r="BT991" s="109"/>
      <c r="BV991" s="10"/>
      <c r="BY991" s="109"/>
      <c r="BZ991" s="109"/>
      <c r="CB991" s="10"/>
      <c r="CE991" s="109"/>
      <c r="CF991" s="109"/>
      <c r="CH991" s="10"/>
      <c r="CK991" s="109"/>
      <c r="CL991" s="109"/>
    </row>
    <row r="992" spans="1:90">
      <c r="A992" s="7" t="str">
        <f t="shared" si="151"/>
        <v>01970998</v>
      </c>
      <c r="B992" s="7" t="s">
        <v>2536</v>
      </c>
      <c r="C992" s="7" t="s">
        <v>2781</v>
      </c>
      <c r="D992" s="7">
        <v>983</v>
      </c>
      <c r="E992" s="7">
        <v>197</v>
      </c>
      <c r="F992" s="7" t="s">
        <v>2135</v>
      </c>
      <c r="G992" s="7">
        <v>998</v>
      </c>
      <c r="H992" s="7" t="s">
        <v>2135</v>
      </c>
      <c r="I992" s="37">
        <v>0</v>
      </c>
      <c r="J992" s="122">
        <v>0</v>
      </c>
      <c r="K992" s="123">
        <f t="shared" si="160"/>
        <v>0</v>
      </c>
      <c r="L992" s="122">
        <f>IF(K994&gt;0, K992/K994, 0)</f>
        <v>0</v>
      </c>
      <c r="M992" s="71"/>
      <c r="N992" s="10">
        <f>ROUND(M994*L992,0)</f>
        <v>0</v>
      </c>
      <c r="O992" s="70">
        <v>0</v>
      </c>
      <c r="P992" s="10">
        <f>N992-O992</f>
        <v>0</v>
      </c>
      <c r="Q992" s="46">
        <f t="shared" si="159"/>
        <v>0</v>
      </c>
      <c r="R992" s="10">
        <v>0</v>
      </c>
      <c r="S992" s="7">
        <f t="shared" si="152"/>
        <v>0</v>
      </c>
      <c r="T992" s="124">
        <f t="shared" si="153"/>
        <v>197</v>
      </c>
      <c r="U992" s="124">
        <f t="shared" si="154"/>
        <v>998</v>
      </c>
      <c r="V992" s="124">
        <f t="shared" si="155"/>
        <v>983</v>
      </c>
      <c r="W992" s="124">
        <f t="shared" si="156"/>
        <v>0</v>
      </c>
      <c r="X992" s="124">
        <f t="shared" si="157"/>
        <v>0</v>
      </c>
      <c r="Y992" s="264">
        <f t="shared" si="158"/>
        <v>983</v>
      </c>
      <c r="Z992" s="10">
        <v>197</v>
      </c>
      <c r="AA992" s="7">
        <v>998</v>
      </c>
      <c r="AB992" s="7">
        <v>983</v>
      </c>
      <c r="AC992" s="109">
        <v>0</v>
      </c>
      <c r="AD992" s="109">
        <v>0</v>
      </c>
      <c r="AE992" s="125"/>
      <c r="AF992" s="10"/>
      <c r="AI992" s="109"/>
      <c r="AJ992" s="109"/>
      <c r="AL992" s="10"/>
      <c r="AO992" s="109"/>
      <c r="AP992" s="109"/>
      <c r="AR992" s="10"/>
      <c r="AU992" s="109"/>
      <c r="AV992" s="109"/>
      <c r="AX992" s="10"/>
      <c r="BA992" s="109"/>
      <c r="BB992" s="109"/>
      <c r="BD992" s="10"/>
      <c r="BG992" s="109"/>
      <c r="BH992" s="109"/>
      <c r="BJ992" s="10"/>
      <c r="BM992" s="109"/>
      <c r="BN992" s="109"/>
      <c r="BP992" s="10"/>
      <c r="BS992" s="109"/>
      <c r="BT992" s="109"/>
      <c r="BV992" s="10"/>
      <c r="BY992" s="109"/>
      <c r="BZ992" s="109"/>
      <c r="CB992" s="10"/>
      <c r="CE992" s="109"/>
      <c r="CF992" s="109"/>
      <c r="CH992" s="10"/>
      <c r="CK992" s="109"/>
      <c r="CL992" s="109"/>
    </row>
    <row r="993" spans="1:90">
      <c r="A993" s="7" t="str">
        <f t="shared" si="151"/>
        <v>01970998</v>
      </c>
      <c r="B993" s="7" t="s">
        <v>2536</v>
      </c>
      <c r="C993" s="7" t="s">
        <v>2781</v>
      </c>
      <c r="D993" s="7">
        <v>984</v>
      </c>
      <c r="E993" s="7">
        <v>197</v>
      </c>
      <c r="F993" s="7" t="s">
        <v>2135</v>
      </c>
      <c r="G993" s="7">
        <v>998</v>
      </c>
      <c r="H993" s="7" t="s">
        <v>2135</v>
      </c>
      <c r="I993" s="37">
        <v>0</v>
      </c>
      <c r="J993" s="122">
        <v>0</v>
      </c>
      <c r="K993" s="123">
        <f t="shared" si="160"/>
        <v>0</v>
      </c>
      <c r="L993" s="122">
        <f>IF(K994&gt;0, K993/K994, 0)</f>
        <v>0</v>
      </c>
      <c r="M993" s="71"/>
      <c r="N993" s="10">
        <f>ROUND(M994*L993,0)</f>
        <v>0</v>
      </c>
      <c r="O993" s="70">
        <v>0</v>
      </c>
      <c r="P993" s="10">
        <f>N993-O993</f>
        <v>0</v>
      </c>
      <c r="Q993" s="46">
        <f t="shared" si="159"/>
        <v>0</v>
      </c>
      <c r="R993" s="10">
        <v>0</v>
      </c>
      <c r="S993" s="7">
        <f t="shared" si="152"/>
        <v>0</v>
      </c>
      <c r="T993" s="124">
        <f t="shared" si="153"/>
        <v>197</v>
      </c>
      <c r="U993" s="124">
        <f t="shared" si="154"/>
        <v>998</v>
      </c>
      <c r="V993" s="124">
        <f t="shared" si="155"/>
        <v>984</v>
      </c>
      <c r="W993" s="124">
        <f t="shared" si="156"/>
        <v>0</v>
      </c>
      <c r="X993" s="124">
        <f t="shared" si="157"/>
        <v>0</v>
      </c>
      <c r="Y993" s="264">
        <f t="shared" si="158"/>
        <v>984</v>
      </c>
      <c r="Z993" s="10">
        <v>197</v>
      </c>
      <c r="AA993" s="7">
        <v>998</v>
      </c>
      <c r="AB993" s="7">
        <v>984</v>
      </c>
      <c r="AC993" s="109">
        <v>0</v>
      </c>
      <c r="AD993" s="109">
        <v>0</v>
      </c>
      <c r="AE993" s="125"/>
      <c r="AF993" s="10"/>
      <c r="AI993" s="109"/>
      <c r="AJ993" s="109"/>
      <c r="AL993" s="10"/>
      <c r="AO993" s="109"/>
      <c r="AP993" s="109"/>
      <c r="AR993" s="10"/>
      <c r="AU993" s="109"/>
      <c r="AV993" s="109"/>
      <c r="AX993" s="10"/>
      <c r="BA993" s="109"/>
      <c r="BB993" s="109"/>
      <c r="BD993" s="10"/>
      <c r="BG993" s="109"/>
      <c r="BH993" s="109"/>
      <c r="BJ993" s="10"/>
      <c r="BM993" s="109"/>
      <c r="BN993" s="109"/>
      <c r="BP993" s="10"/>
      <c r="BS993" s="109"/>
      <c r="BT993" s="109"/>
      <c r="BV993" s="10"/>
      <c r="BY993" s="109"/>
      <c r="BZ993" s="109"/>
      <c r="CB993" s="10"/>
      <c r="CE993" s="109"/>
      <c r="CF993" s="109"/>
      <c r="CH993" s="10"/>
      <c r="CK993" s="109"/>
      <c r="CL993" s="109"/>
    </row>
    <row r="994" spans="1:90">
      <c r="A994" s="7" t="str">
        <f t="shared" si="151"/>
        <v>01970999</v>
      </c>
      <c r="B994" s="7" t="s">
        <v>2536</v>
      </c>
      <c r="C994" s="7" t="s">
        <v>2782</v>
      </c>
      <c r="D994" s="7">
        <v>985</v>
      </c>
      <c r="E994" s="11">
        <v>197</v>
      </c>
      <c r="F994" s="11" t="s">
        <v>1902</v>
      </c>
      <c r="G994" s="11">
        <v>999</v>
      </c>
      <c r="H994" s="11" t="s">
        <v>1132</v>
      </c>
      <c r="I994" s="105">
        <v>15743715.589999998</v>
      </c>
      <c r="J994" s="126">
        <v>1</v>
      </c>
      <c r="K994" s="127">
        <f>SUM(K990:K993)</f>
        <v>16351990.158213655</v>
      </c>
      <c r="L994" s="126">
        <f>SUM(L990:L993)</f>
        <v>1</v>
      </c>
      <c r="M994" s="105">
        <f>VLOOKUP(E994,town351,22)</f>
        <v>13342499</v>
      </c>
      <c r="N994" s="105">
        <f>SUM(N990:N993)</f>
        <v>13342499</v>
      </c>
      <c r="O994" s="128">
        <v>12702303</v>
      </c>
      <c r="P994" s="105">
        <f>SUM(P990:P993)</f>
        <v>640196</v>
      </c>
      <c r="Q994" s="45">
        <f t="shared" si="159"/>
        <v>5.0399994394717238</v>
      </c>
      <c r="R994" s="105">
        <v>1566</v>
      </c>
      <c r="S994" s="7">
        <f t="shared" si="152"/>
        <v>0</v>
      </c>
      <c r="T994" s="124">
        <f t="shared" si="153"/>
        <v>197</v>
      </c>
      <c r="U994" s="124">
        <f t="shared" si="154"/>
        <v>999</v>
      </c>
      <c r="V994" s="124">
        <f t="shared" si="155"/>
        <v>985</v>
      </c>
      <c r="W994" s="124">
        <f t="shared" si="156"/>
        <v>1583</v>
      </c>
      <c r="X994" s="124">
        <f t="shared" si="157"/>
        <v>16351990.158213655</v>
      </c>
      <c r="Y994" s="264">
        <f t="shared" si="158"/>
        <v>985</v>
      </c>
      <c r="Z994" s="10">
        <v>197</v>
      </c>
      <c r="AA994" s="7">
        <v>999</v>
      </c>
      <c r="AB994" s="7">
        <v>985</v>
      </c>
      <c r="AC994" s="109">
        <v>1583</v>
      </c>
      <c r="AD994" s="109">
        <v>16351990.158213655</v>
      </c>
      <c r="AE994" s="125"/>
      <c r="AF994" s="10"/>
      <c r="AI994" s="109"/>
      <c r="AJ994" s="109"/>
      <c r="AL994" s="10"/>
      <c r="AO994" s="109"/>
      <c r="AP994" s="109"/>
      <c r="AR994" s="10"/>
      <c r="AU994" s="109"/>
      <c r="AV994" s="109"/>
      <c r="AX994" s="10"/>
      <c r="BA994" s="109"/>
      <c r="BB994" s="109"/>
      <c r="BD994" s="10"/>
      <c r="BG994" s="109"/>
      <c r="BH994" s="109"/>
      <c r="BJ994" s="10"/>
      <c r="BM994" s="109"/>
      <c r="BN994" s="109"/>
      <c r="BP994" s="10"/>
      <c r="BS994" s="109"/>
      <c r="BT994" s="109"/>
      <c r="BV994" s="10"/>
      <c r="BY994" s="109"/>
      <c r="BZ994" s="109"/>
      <c r="CB994" s="10"/>
      <c r="CE994" s="109"/>
      <c r="CF994" s="109"/>
      <c r="CH994" s="10"/>
      <c r="CK994" s="109"/>
      <c r="CL994" s="109"/>
    </row>
    <row r="995" spans="1:90">
      <c r="A995" s="7" t="str">
        <f t="shared" si="151"/>
        <v>01980198</v>
      </c>
      <c r="B995" s="7" t="s">
        <v>2537</v>
      </c>
      <c r="C995" s="7" t="s">
        <v>2537</v>
      </c>
      <c r="D995" s="7">
        <v>986</v>
      </c>
      <c r="E995" s="7">
        <v>198</v>
      </c>
      <c r="F995" s="7" t="s">
        <v>1903</v>
      </c>
      <c r="G995" s="7">
        <v>198</v>
      </c>
      <c r="H995" s="7" t="s">
        <v>1464</v>
      </c>
      <c r="I995" s="37">
        <v>52558195.004939988</v>
      </c>
      <c r="J995" s="122">
        <v>0.97799735548525091</v>
      </c>
      <c r="K995" s="123">
        <f>X995</f>
        <v>53048542.559902228</v>
      </c>
      <c r="L995" s="122">
        <f>IF(K999&gt;0, K995/K999, 0)</f>
        <v>0.97959744194701071</v>
      </c>
      <c r="M995" s="71"/>
      <c r="N995" s="10">
        <f>ROUND(M999*L995,0)</f>
        <v>43988233</v>
      </c>
      <c r="O995" s="70">
        <v>43516697</v>
      </c>
      <c r="P995" s="10">
        <f>N995-O995</f>
        <v>471536</v>
      </c>
      <c r="Q995" s="46">
        <f t="shared" si="159"/>
        <v>1.0835748862097692</v>
      </c>
      <c r="R995" s="10">
        <v>5476</v>
      </c>
      <c r="S995" s="7">
        <f t="shared" si="152"/>
        <v>0</v>
      </c>
      <c r="T995" s="124">
        <f t="shared" si="153"/>
        <v>198</v>
      </c>
      <c r="U995" s="124">
        <f t="shared" si="154"/>
        <v>198</v>
      </c>
      <c r="V995" s="124">
        <f t="shared" si="155"/>
        <v>986</v>
      </c>
      <c r="W995" s="124">
        <f t="shared" si="156"/>
        <v>5466</v>
      </c>
      <c r="X995" s="124">
        <f t="shared" si="157"/>
        <v>53048542.559902228</v>
      </c>
      <c r="Y995" s="264">
        <f t="shared" si="158"/>
        <v>986</v>
      </c>
      <c r="Z995" s="10">
        <v>198</v>
      </c>
      <c r="AA995" s="7">
        <v>198</v>
      </c>
      <c r="AB995" s="7">
        <v>986</v>
      </c>
      <c r="AC995" s="109">
        <v>5466</v>
      </c>
      <c r="AD995" s="109">
        <v>53048542.559902228</v>
      </c>
      <c r="AE995" s="125"/>
      <c r="AF995" s="10"/>
      <c r="AI995" s="109"/>
      <c r="AJ995" s="109"/>
      <c r="AL995" s="10"/>
      <c r="AO995" s="109"/>
      <c r="AP995" s="109"/>
      <c r="AR995" s="10"/>
      <c r="AU995" s="109"/>
      <c r="AV995" s="109"/>
      <c r="AX995" s="10"/>
      <c r="BA995" s="109"/>
      <c r="BB995" s="109"/>
      <c r="BD995" s="10"/>
      <c r="BG995" s="109"/>
      <c r="BH995" s="109"/>
      <c r="BJ995" s="10"/>
      <c r="BM995" s="109"/>
      <c r="BN995" s="109"/>
      <c r="BP995" s="10"/>
      <c r="BS995" s="109"/>
      <c r="BT995" s="109"/>
      <c r="BV995" s="10"/>
      <c r="BY995" s="109"/>
      <c r="BZ995" s="109"/>
      <c r="CB995" s="10"/>
      <c r="CE995" s="109"/>
      <c r="CF995" s="109"/>
      <c r="CH995" s="10"/>
      <c r="CK995" s="109"/>
      <c r="CL995" s="109"/>
    </row>
    <row r="996" spans="1:90">
      <c r="A996" s="7" t="str">
        <f t="shared" si="151"/>
        <v>01980829</v>
      </c>
      <c r="B996" s="7" t="s">
        <v>2537</v>
      </c>
      <c r="C996" s="7" t="s">
        <v>2763</v>
      </c>
      <c r="D996" s="7">
        <v>987</v>
      </c>
      <c r="E996" s="7">
        <v>198</v>
      </c>
      <c r="F996" s="7" t="s">
        <v>1903</v>
      </c>
      <c r="G996" s="7">
        <v>829</v>
      </c>
      <c r="H996" s="7" t="s">
        <v>1690</v>
      </c>
      <c r="I996" s="37">
        <v>1182436</v>
      </c>
      <c r="J996" s="122">
        <v>2.2002644514749134E-2</v>
      </c>
      <c r="K996" s="123">
        <f t="shared" si="160"/>
        <v>1104868.1048550806</v>
      </c>
      <c r="L996" s="122">
        <f>IF(K999&gt;0, K996/K999, 0)</f>
        <v>2.0402558052989295E-2</v>
      </c>
      <c r="M996" s="71"/>
      <c r="N996" s="10">
        <f>ROUND(M999*L996,0)</f>
        <v>916165</v>
      </c>
      <c r="O996" s="70">
        <v>979024</v>
      </c>
      <c r="P996" s="10">
        <f>N996-O996</f>
        <v>-62859</v>
      </c>
      <c r="Q996" s="46">
        <f t="shared" si="159"/>
        <v>-6.4205780450734613</v>
      </c>
      <c r="R996" s="10">
        <v>70</v>
      </c>
      <c r="S996" s="7">
        <f t="shared" si="152"/>
        <v>0</v>
      </c>
      <c r="T996" s="124">
        <f t="shared" si="153"/>
        <v>198</v>
      </c>
      <c r="U996" s="124">
        <f t="shared" si="154"/>
        <v>829</v>
      </c>
      <c r="V996" s="124">
        <f t="shared" si="155"/>
        <v>987</v>
      </c>
      <c r="W996" s="124">
        <f t="shared" si="156"/>
        <v>65.000000003560004</v>
      </c>
      <c r="X996" s="124">
        <f t="shared" si="157"/>
        <v>1104868.1048550806</v>
      </c>
      <c r="Y996" s="264">
        <f t="shared" si="158"/>
        <v>987</v>
      </c>
      <c r="Z996" s="10">
        <v>198</v>
      </c>
      <c r="AA996" s="7">
        <v>829</v>
      </c>
      <c r="AB996" s="7">
        <v>987</v>
      </c>
      <c r="AC996" s="109">
        <v>65.000000003560004</v>
      </c>
      <c r="AD996" s="109">
        <v>1104868.1048550806</v>
      </c>
      <c r="AE996" s="125"/>
      <c r="AF996" s="10"/>
      <c r="AI996" s="109"/>
      <c r="AJ996" s="109"/>
      <c r="AL996" s="10"/>
      <c r="AO996" s="109"/>
      <c r="AP996" s="109"/>
      <c r="AR996" s="10"/>
      <c r="AU996" s="109"/>
      <c r="AV996" s="109"/>
      <c r="AX996" s="10"/>
      <c r="BA996" s="109"/>
      <c r="BB996" s="109"/>
      <c r="BD996" s="10"/>
      <c r="BG996" s="109"/>
      <c r="BH996" s="109"/>
      <c r="BJ996" s="10"/>
      <c r="BM996" s="109"/>
      <c r="BN996" s="109"/>
      <c r="BP996" s="10"/>
      <c r="BS996" s="109"/>
      <c r="BT996" s="109"/>
      <c r="BV996" s="10"/>
      <c r="BY996" s="109"/>
      <c r="BZ996" s="109"/>
      <c r="CB996" s="10"/>
      <c r="CE996" s="109"/>
      <c r="CF996" s="109"/>
      <c r="CH996" s="10"/>
      <c r="CK996" s="109"/>
      <c r="CL996" s="109"/>
    </row>
    <row r="997" spans="1:90">
      <c r="A997" s="7" t="str">
        <f t="shared" si="151"/>
        <v>01980998</v>
      </c>
      <c r="B997" s="7" t="s">
        <v>2537</v>
      </c>
      <c r="C997" s="7" t="s">
        <v>2781</v>
      </c>
      <c r="D997" s="7">
        <v>988</v>
      </c>
      <c r="E997" s="7">
        <v>198</v>
      </c>
      <c r="F997" s="7" t="s">
        <v>2135</v>
      </c>
      <c r="G997" s="7">
        <v>998</v>
      </c>
      <c r="H997" s="7" t="s">
        <v>2135</v>
      </c>
      <c r="I997" s="37">
        <v>0</v>
      </c>
      <c r="J997" s="122">
        <v>0</v>
      </c>
      <c r="K997" s="123">
        <f t="shared" si="160"/>
        <v>0</v>
      </c>
      <c r="L997" s="122">
        <f>IF(K999&gt;0, K997/K999, 0)</f>
        <v>0</v>
      </c>
      <c r="M997" s="71"/>
      <c r="N997" s="10">
        <f>ROUND(M999*L997,0)</f>
        <v>0</v>
      </c>
      <c r="O997" s="70">
        <v>0</v>
      </c>
      <c r="P997" s="10">
        <f>N997-O997</f>
        <v>0</v>
      </c>
      <c r="Q997" s="46">
        <f t="shared" si="159"/>
        <v>0</v>
      </c>
      <c r="R997" s="10">
        <v>0</v>
      </c>
      <c r="S997" s="7">
        <f t="shared" si="152"/>
        <v>0</v>
      </c>
      <c r="T997" s="124">
        <f t="shared" si="153"/>
        <v>198</v>
      </c>
      <c r="U997" s="124">
        <f t="shared" si="154"/>
        <v>998</v>
      </c>
      <c r="V997" s="124">
        <f t="shared" si="155"/>
        <v>988</v>
      </c>
      <c r="W997" s="124">
        <f t="shared" si="156"/>
        <v>0</v>
      </c>
      <c r="X997" s="124">
        <f t="shared" si="157"/>
        <v>0</v>
      </c>
      <c r="Y997" s="264">
        <f t="shared" si="158"/>
        <v>988</v>
      </c>
      <c r="Z997" s="10">
        <v>198</v>
      </c>
      <c r="AA997" s="7">
        <v>998</v>
      </c>
      <c r="AB997" s="7">
        <v>988</v>
      </c>
      <c r="AC997" s="109">
        <v>0</v>
      </c>
      <c r="AD997" s="109">
        <v>0</v>
      </c>
      <c r="AE997" s="125"/>
      <c r="AF997" s="10"/>
      <c r="AI997" s="109"/>
      <c r="AJ997" s="109"/>
      <c r="AL997" s="10"/>
      <c r="AO997" s="109"/>
      <c r="AP997" s="109"/>
      <c r="AR997" s="10"/>
      <c r="AU997" s="109"/>
      <c r="AV997" s="109"/>
      <c r="AX997" s="10"/>
      <c r="BA997" s="109"/>
      <c r="BB997" s="109"/>
      <c r="BD997" s="10"/>
      <c r="BG997" s="109"/>
      <c r="BH997" s="109"/>
      <c r="BJ997" s="10"/>
      <c r="BM997" s="109"/>
      <c r="BN997" s="109"/>
      <c r="BP997" s="10"/>
      <c r="BS997" s="109"/>
      <c r="BT997" s="109"/>
      <c r="BV997" s="10"/>
      <c r="BY997" s="109"/>
      <c r="BZ997" s="109"/>
      <c r="CB997" s="10"/>
      <c r="CE997" s="109"/>
      <c r="CF997" s="109"/>
      <c r="CH997" s="10"/>
      <c r="CK997" s="109"/>
      <c r="CL997" s="109"/>
    </row>
    <row r="998" spans="1:90">
      <c r="A998" s="7" t="str">
        <f t="shared" si="151"/>
        <v>01980998</v>
      </c>
      <c r="B998" s="7" t="s">
        <v>2537</v>
      </c>
      <c r="C998" s="7" t="s">
        <v>2781</v>
      </c>
      <c r="D998" s="7">
        <v>989</v>
      </c>
      <c r="E998" s="7">
        <v>198</v>
      </c>
      <c r="F998" s="7" t="s">
        <v>2135</v>
      </c>
      <c r="G998" s="7">
        <v>998</v>
      </c>
      <c r="H998" s="7" t="s">
        <v>2135</v>
      </c>
      <c r="I998" s="37">
        <v>0</v>
      </c>
      <c r="J998" s="122">
        <v>0</v>
      </c>
      <c r="K998" s="123">
        <f t="shared" si="160"/>
        <v>0</v>
      </c>
      <c r="L998" s="122">
        <f>IF(K999&gt;0, K998/K999, 0)</f>
        <v>0</v>
      </c>
      <c r="M998" s="71"/>
      <c r="N998" s="10">
        <f>ROUND(M999*L998,0)</f>
        <v>0</v>
      </c>
      <c r="O998" s="70">
        <v>0</v>
      </c>
      <c r="P998" s="10">
        <f>N998-O998</f>
        <v>0</v>
      </c>
      <c r="Q998" s="46">
        <f t="shared" si="159"/>
        <v>0</v>
      </c>
      <c r="R998" s="10">
        <v>0</v>
      </c>
      <c r="S998" s="7">
        <f t="shared" si="152"/>
        <v>0</v>
      </c>
      <c r="T998" s="124">
        <f t="shared" si="153"/>
        <v>198</v>
      </c>
      <c r="U998" s="124">
        <f t="shared" si="154"/>
        <v>998</v>
      </c>
      <c r="V998" s="124">
        <f t="shared" si="155"/>
        <v>989</v>
      </c>
      <c r="W998" s="124">
        <f t="shared" si="156"/>
        <v>0</v>
      </c>
      <c r="X998" s="124">
        <f t="shared" si="157"/>
        <v>0</v>
      </c>
      <c r="Y998" s="264">
        <f t="shared" si="158"/>
        <v>989</v>
      </c>
      <c r="Z998" s="10">
        <v>198</v>
      </c>
      <c r="AA998" s="7">
        <v>998</v>
      </c>
      <c r="AB998" s="7">
        <v>989</v>
      </c>
      <c r="AC998" s="109">
        <v>0</v>
      </c>
      <c r="AD998" s="109">
        <v>0</v>
      </c>
      <c r="AE998" s="125"/>
      <c r="AF998" s="10"/>
      <c r="AI998" s="109"/>
      <c r="AJ998" s="109"/>
      <c r="AL998" s="10"/>
      <c r="AO998" s="109"/>
      <c r="AP998" s="109"/>
      <c r="AR998" s="10"/>
      <c r="AU998" s="109"/>
      <c r="AV998" s="109"/>
      <c r="AX998" s="10"/>
      <c r="BA998" s="109"/>
      <c r="BB998" s="109"/>
      <c r="BD998" s="10"/>
      <c r="BG998" s="109"/>
      <c r="BH998" s="109"/>
      <c r="BJ998" s="10"/>
      <c r="BM998" s="109"/>
      <c r="BN998" s="109"/>
      <c r="BP998" s="10"/>
      <c r="BS998" s="109"/>
      <c r="BT998" s="109"/>
      <c r="BV998" s="10"/>
      <c r="BY998" s="109"/>
      <c r="BZ998" s="109"/>
      <c r="CB998" s="10"/>
      <c r="CE998" s="109"/>
      <c r="CF998" s="109"/>
      <c r="CH998" s="10"/>
      <c r="CK998" s="109"/>
      <c r="CL998" s="109"/>
    </row>
    <row r="999" spans="1:90">
      <c r="A999" s="7" t="str">
        <f t="shared" si="151"/>
        <v>01980999</v>
      </c>
      <c r="B999" s="7" t="s">
        <v>2537</v>
      </c>
      <c r="C999" s="7" t="s">
        <v>2782</v>
      </c>
      <c r="D999" s="7">
        <v>990</v>
      </c>
      <c r="E999" s="11">
        <v>198</v>
      </c>
      <c r="F999" s="11" t="s">
        <v>1903</v>
      </c>
      <c r="G999" s="11">
        <v>999</v>
      </c>
      <c r="H999" s="11" t="s">
        <v>1132</v>
      </c>
      <c r="I999" s="105">
        <v>53740631.004939988</v>
      </c>
      <c r="J999" s="126">
        <v>1</v>
      </c>
      <c r="K999" s="127">
        <f>SUM(K995:K998)</f>
        <v>54153410.664757311</v>
      </c>
      <c r="L999" s="126">
        <f>SUM(L995:L998)</f>
        <v>1</v>
      </c>
      <c r="M999" s="105">
        <f>VLOOKUP(E999,town351,22)</f>
        <v>44904398</v>
      </c>
      <c r="N999" s="105">
        <f>SUM(N995:N998)</f>
        <v>44904398</v>
      </c>
      <c r="O999" s="128">
        <v>44495721</v>
      </c>
      <c r="P999" s="105">
        <f>SUM(P995:P998)</f>
        <v>408677</v>
      </c>
      <c r="Q999" s="45">
        <f t="shared" si="159"/>
        <v>0.91846359788169296</v>
      </c>
      <c r="R999" s="105">
        <v>5546</v>
      </c>
      <c r="S999" s="7">
        <f t="shared" si="152"/>
        <v>0</v>
      </c>
      <c r="T999" s="124">
        <f t="shared" si="153"/>
        <v>198</v>
      </c>
      <c r="U999" s="124">
        <f t="shared" si="154"/>
        <v>999</v>
      </c>
      <c r="V999" s="124">
        <f t="shared" si="155"/>
        <v>990</v>
      </c>
      <c r="W999" s="124">
        <f t="shared" si="156"/>
        <v>5531.0000000035598</v>
      </c>
      <c r="X999" s="124">
        <f t="shared" si="157"/>
        <v>54153410.664757311</v>
      </c>
      <c r="Y999" s="264">
        <f t="shared" si="158"/>
        <v>990</v>
      </c>
      <c r="Z999" s="10">
        <v>198</v>
      </c>
      <c r="AA999" s="7">
        <v>999</v>
      </c>
      <c r="AB999" s="7">
        <v>990</v>
      </c>
      <c r="AC999" s="109">
        <v>5531.0000000035598</v>
      </c>
      <c r="AD999" s="109">
        <v>54153410.664757311</v>
      </c>
      <c r="AE999" s="125"/>
      <c r="AF999" s="10"/>
      <c r="AI999" s="109"/>
      <c r="AJ999" s="109"/>
      <c r="AL999" s="10"/>
      <c r="AO999" s="109"/>
      <c r="AP999" s="109"/>
      <c r="AR999" s="10"/>
      <c r="AU999" s="109"/>
      <c r="AV999" s="109"/>
      <c r="AX999" s="10"/>
      <c r="BA999" s="109"/>
      <c r="BB999" s="109"/>
      <c r="BD999" s="10"/>
      <c r="BG999" s="109"/>
      <c r="BH999" s="109"/>
      <c r="BJ999" s="10"/>
      <c r="BM999" s="109"/>
      <c r="BN999" s="109"/>
      <c r="BP999" s="10"/>
      <c r="BS999" s="109"/>
      <c r="BT999" s="109"/>
      <c r="BV999" s="10"/>
      <c r="BY999" s="109"/>
      <c r="BZ999" s="109"/>
      <c r="CB999" s="10"/>
      <c r="CE999" s="109"/>
      <c r="CF999" s="109"/>
      <c r="CH999" s="10"/>
      <c r="CK999" s="109"/>
      <c r="CL999" s="109"/>
    </row>
    <row r="1000" spans="1:90">
      <c r="A1000" s="7" t="str">
        <f t="shared" si="151"/>
        <v>01990199</v>
      </c>
      <c r="B1000" s="7" t="s">
        <v>2538</v>
      </c>
      <c r="C1000" s="7" t="s">
        <v>2538</v>
      </c>
      <c r="D1000" s="7">
        <v>991</v>
      </c>
      <c r="E1000" s="7">
        <v>199</v>
      </c>
      <c r="F1000" s="7" t="s">
        <v>1904</v>
      </c>
      <c r="G1000" s="7">
        <v>199</v>
      </c>
      <c r="H1000" s="7" t="s">
        <v>1465</v>
      </c>
      <c r="I1000" s="37">
        <v>52228570.584080003</v>
      </c>
      <c r="J1000" s="122">
        <v>0.9895826476011943</v>
      </c>
      <c r="K1000" s="123">
        <f>X1000</f>
        <v>54000176.557778552</v>
      </c>
      <c r="L1000" s="122">
        <f>IF(K1004&gt;0, K1000/K1004, 0)</f>
        <v>0.99141171839970943</v>
      </c>
      <c r="M1000" s="71"/>
      <c r="N1000" s="10">
        <f>ROUND(M1004*L1000,0)</f>
        <v>44833817</v>
      </c>
      <c r="O1000" s="70">
        <v>43661684</v>
      </c>
      <c r="P1000" s="10">
        <f>N1000-O1000</f>
        <v>1172133</v>
      </c>
      <c r="Q1000" s="46">
        <f t="shared" si="159"/>
        <v>2.6845803748659809</v>
      </c>
      <c r="R1000" s="10">
        <v>5411</v>
      </c>
      <c r="S1000" s="7">
        <f t="shared" si="152"/>
        <v>0</v>
      </c>
      <c r="T1000" s="124">
        <f t="shared" si="153"/>
        <v>199</v>
      </c>
      <c r="U1000" s="124">
        <f t="shared" si="154"/>
        <v>199</v>
      </c>
      <c r="V1000" s="124">
        <f t="shared" si="155"/>
        <v>991</v>
      </c>
      <c r="W1000" s="124">
        <f t="shared" si="156"/>
        <v>5447</v>
      </c>
      <c r="X1000" s="124">
        <f t="shared" si="157"/>
        <v>54000176.557778552</v>
      </c>
      <c r="Y1000" s="264">
        <f t="shared" si="158"/>
        <v>991</v>
      </c>
      <c r="Z1000" s="10">
        <v>199</v>
      </c>
      <c r="AA1000" s="7">
        <v>199</v>
      </c>
      <c r="AB1000" s="7">
        <v>991</v>
      </c>
      <c r="AC1000" s="109">
        <v>5447</v>
      </c>
      <c r="AD1000" s="109">
        <v>54000176.557778552</v>
      </c>
      <c r="AE1000" s="125"/>
      <c r="AF1000" s="10"/>
      <c r="AI1000" s="109"/>
      <c r="AJ1000" s="109"/>
      <c r="AL1000" s="10"/>
      <c r="AO1000" s="109"/>
      <c r="AP1000" s="109"/>
      <c r="AR1000" s="10"/>
      <c r="AU1000" s="109"/>
      <c r="AV1000" s="109"/>
      <c r="AX1000" s="10"/>
      <c r="BA1000" s="109"/>
      <c r="BB1000" s="109"/>
      <c r="BD1000" s="10"/>
      <c r="BG1000" s="109"/>
      <c r="BH1000" s="109"/>
      <c r="BJ1000" s="10"/>
      <c r="BM1000" s="109"/>
      <c r="BN1000" s="109"/>
      <c r="BP1000" s="10"/>
      <c r="BS1000" s="109"/>
      <c r="BT1000" s="109"/>
      <c r="BV1000" s="10"/>
      <c r="BY1000" s="109"/>
      <c r="BZ1000" s="109"/>
      <c r="CB1000" s="10"/>
      <c r="CE1000" s="109"/>
      <c r="CF1000" s="109"/>
      <c r="CH1000" s="10"/>
      <c r="CK1000" s="109"/>
      <c r="CL1000" s="109"/>
    </row>
    <row r="1001" spans="1:90">
      <c r="A1001" s="7" t="str">
        <f t="shared" si="151"/>
        <v>01990830</v>
      </c>
      <c r="B1001" s="7" t="s">
        <v>2538</v>
      </c>
      <c r="C1001" s="7" t="s">
        <v>2764</v>
      </c>
      <c r="D1001" s="7">
        <v>992</v>
      </c>
      <c r="E1001" s="7">
        <v>199</v>
      </c>
      <c r="F1001" s="7" t="s">
        <v>1904</v>
      </c>
      <c r="G1001" s="7">
        <v>830</v>
      </c>
      <c r="H1001" s="7" t="s">
        <v>1691</v>
      </c>
      <c r="I1001" s="37">
        <v>436850</v>
      </c>
      <c r="J1001" s="122">
        <v>8.2770632006603784E-3</v>
      </c>
      <c r="K1001" s="123">
        <f t="shared" si="160"/>
        <v>385424.71564153221</v>
      </c>
      <c r="L1001" s="122">
        <f>IF(K1004&gt;0, K1001/K1004, 0)</f>
        <v>7.0761727832322876E-3</v>
      </c>
      <c r="M1001" s="71"/>
      <c r="N1001" s="10">
        <f>ROUND(M1004*L1001,0)</f>
        <v>320000</v>
      </c>
      <c r="O1001" s="70">
        <v>365195</v>
      </c>
      <c r="P1001" s="10">
        <f>N1001-O1001</f>
        <v>-45195</v>
      </c>
      <c r="Q1001" s="46">
        <f t="shared" si="159"/>
        <v>-12.375580169498487</v>
      </c>
      <c r="R1001" s="10">
        <v>25</v>
      </c>
      <c r="S1001" s="7">
        <f t="shared" si="152"/>
        <v>0</v>
      </c>
      <c r="T1001" s="124">
        <f t="shared" si="153"/>
        <v>199</v>
      </c>
      <c r="U1001" s="124">
        <f t="shared" si="154"/>
        <v>830</v>
      </c>
      <c r="V1001" s="124">
        <f t="shared" si="155"/>
        <v>992</v>
      </c>
      <c r="W1001" s="124">
        <f t="shared" si="156"/>
        <v>21.060869566120001</v>
      </c>
      <c r="X1001" s="124">
        <f t="shared" si="157"/>
        <v>385424.71564153221</v>
      </c>
      <c r="Y1001" s="264">
        <f t="shared" si="158"/>
        <v>992</v>
      </c>
      <c r="Z1001" s="10">
        <v>199</v>
      </c>
      <c r="AA1001" s="7">
        <v>830</v>
      </c>
      <c r="AB1001" s="7">
        <v>992</v>
      </c>
      <c r="AC1001" s="109">
        <v>21.060869566120001</v>
      </c>
      <c r="AD1001" s="109">
        <v>385424.71564153221</v>
      </c>
      <c r="AE1001" s="125"/>
      <c r="AF1001" s="10"/>
      <c r="AI1001" s="109"/>
      <c r="AJ1001" s="109"/>
      <c r="AL1001" s="10"/>
      <c r="AO1001" s="109"/>
      <c r="AP1001" s="109"/>
      <c r="AR1001" s="10"/>
      <c r="AU1001" s="109"/>
      <c r="AV1001" s="109"/>
      <c r="AX1001" s="10"/>
      <c r="BA1001" s="109"/>
      <c r="BB1001" s="109"/>
      <c r="BD1001" s="10"/>
      <c r="BG1001" s="109"/>
      <c r="BH1001" s="109"/>
      <c r="BJ1001" s="10"/>
      <c r="BM1001" s="109"/>
      <c r="BN1001" s="109"/>
      <c r="BP1001" s="10"/>
      <c r="BS1001" s="109"/>
      <c r="BT1001" s="109"/>
      <c r="BV1001" s="10"/>
      <c r="BY1001" s="109"/>
      <c r="BZ1001" s="109"/>
      <c r="CB1001" s="10"/>
      <c r="CE1001" s="109"/>
      <c r="CF1001" s="109"/>
      <c r="CH1001" s="10"/>
      <c r="CK1001" s="109"/>
      <c r="CL1001" s="109"/>
    </row>
    <row r="1002" spans="1:90">
      <c r="A1002" s="7" t="str">
        <f t="shared" si="151"/>
        <v>01990915</v>
      </c>
      <c r="B1002" s="7" t="s">
        <v>2538</v>
      </c>
      <c r="C1002" s="7" t="s">
        <v>2779</v>
      </c>
      <c r="D1002" s="7">
        <v>993</v>
      </c>
      <c r="E1002" s="7">
        <v>199</v>
      </c>
      <c r="F1002" s="7" t="s">
        <v>1904</v>
      </c>
      <c r="G1002" s="7">
        <v>915</v>
      </c>
      <c r="H1002" s="7" t="s">
        <v>1706</v>
      </c>
      <c r="I1002" s="37">
        <v>112961</v>
      </c>
      <c r="J1002" s="122">
        <v>2.1402891981453518E-3</v>
      </c>
      <c r="K1002" s="123">
        <f t="shared" si="160"/>
        <v>82361.486736836508</v>
      </c>
      <c r="L1002" s="122">
        <f>IF(K1004&gt;0, K1002/K1004, 0)</f>
        <v>1.5121088170583015E-3</v>
      </c>
      <c r="M1002" s="71"/>
      <c r="N1002" s="10">
        <f>ROUND(M1004*L1002,0)</f>
        <v>68381</v>
      </c>
      <c r="O1002" s="70">
        <v>94432</v>
      </c>
      <c r="P1002" s="10">
        <f>N1002-O1002</f>
        <v>-26051</v>
      </c>
      <c r="Q1002" s="46">
        <f t="shared" si="159"/>
        <v>-27.587046763808878</v>
      </c>
      <c r="R1002" s="10">
        <v>7</v>
      </c>
      <c r="S1002" s="7">
        <f t="shared" si="152"/>
        <v>0</v>
      </c>
      <c r="T1002" s="124">
        <f t="shared" si="153"/>
        <v>199</v>
      </c>
      <c r="U1002" s="124">
        <f t="shared" si="154"/>
        <v>915</v>
      </c>
      <c r="V1002" s="124">
        <f t="shared" si="155"/>
        <v>993</v>
      </c>
      <c r="W1002" s="124">
        <f t="shared" si="156"/>
        <v>4.9999999990499999</v>
      </c>
      <c r="X1002" s="124">
        <f t="shared" si="157"/>
        <v>82361.486736836508</v>
      </c>
      <c r="Y1002" s="264">
        <f t="shared" si="158"/>
        <v>993</v>
      </c>
      <c r="Z1002" s="10">
        <v>199</v>
      </c>
      <c r="AA1002" s="7">
        <v>915</v>
      </c>
      <c r="AB1002" s="7">
        <v>993</v>
      </c>
      <c r="AC1002" s="109">
        <v>4.9999999990499999</v>
      </c>
      <c r="AD1002" s="109">
        <v>82361.486736836508</v>
      </c>
      <c r="AE1002" s="125"/>
      <c r="AF1002" s="10"/>
      <c r="AI1002" s="109"/>
      <c r="AJ1002" s="109"/>
      <c r="AL1002" s="10"/>
      <c r="AO1002" s="109"/>
      <c r="AP1002" s="109"/>
      <c r="AR1002" s="10"/>
      <c r="AU1002" s="109"/>
      <c r="AV1002" s="109"/>
      <c r="AX1002" s="10"/>
      <c r="BA1002" s="109"/>
      <c r="BB1002" s="109"/>
      <c r="BD1002" s="10"/>
      <c r="BG1002" s="109"/>
      <c r="BH1002" s="109"/>
      <c r="BJ1002" s="10"/>
      <c r="BM1002" s="109"/>
      <c r="BN1002" s="109"/>
      <c r="BP1002" s="10"/>
      <c r="BS1002" s="109"/>
      <c r="BT1002" s="109"/>
      <c r="BV1002" s="10"/>
      <c r="BY1002" s="109"/>
      <c r="BZ1002" s="109"/>
      <c r="CB1002" s="10"/>
      <c r="CE1002" s="109"/>
      <c r="CF1002" s="109"/>
      <c r="CH1002" s="10"/>
      <c r="CK1002" s="109"/>
      <c r="CL1002" s="109"/>
    </row>
    <row r="1003" spans="1:90">
      <c r="A1003" s="7" t="str">
        <f t="shared" si="151"/>
        <v>01990998</v>
      </c>
      <c r="B1003" s="7" t="s">
        <v>2538</v>
      </c>
      <c r="C1003" s="7" t="s">
        <v>2781</v>
      </c>
      <c r="D1003" s="7">
        <v>994</v>
      </c>
      <c r="E1003" s="7">
        <v>199</v>
      </c>
      <c r="F1003" s="7" t="s">
        <v>2135</v>
      </c>
      <c r="G1003" s="7">
        <v>998</v>
      </c>
      <c r="H1003" s="7" t="s">
        <v>2135</v>
      </c>
      <c r="I1003" s="37">
        <v>0</v>
      </c>
      <c r="J1003" s="122">
        <v>0</v>
      </c>
      <c r="K1003" s="123">
        <f t="shared" si="160"/>
        <v>0</v>
      </c>
      <c r="L1003" s="122">
        <f>IF(K1004&gt;0, K1003/K1004, 0)</f>
        <v>0</v>
      </c>
      <c r="M1003" s="71"/>
      <c r="N1003" s="10">
        <f>ROUND(M1004*L1003,0)</f>
        <v>0</v>
      </c>
      <c r="O1003" s="70">
        <v>0</v>
      </c>
      <c r="P1003" s="10">
        <f>N1003-O1003</f>
        <v>0</v>
      </c>
      <c r="Q1003" s="46">
        <f t="shared" si="159"/>
        <v>0</v>
      </c>
      <c r="R1003" s="10">
        <v>0</v>
      </c>
      <c r="S1003" s="7">
        <f t="shared" si="152"/>
        <v>0</v>
      </c>
      <c r="T1003" s="124">
        <f t="shared" si="153"/>
        <v>199</v>
      </c>
      <c r="U1003" s="124">
        <f t="shared" si="154"/>
        <v>998</v>
      </c>
      <c r="V1003" s="124">
        <f t="shared" si="155"/>
        <v>994</v>
      </c>
      <c r="W1003" s="124">
        <f t="shared" si="156"/>
        <v>0</v>
      </c>
      <c r="X1003" s="124">
        <f t="shared" si="157"/>
        <v>0</v>
      </c>
      <c r="Y1003" s="264">
        <f t="shared" si="158"/>
        <v>994</v>
      </c>
      <c r="Z1003" s="10">
        <v>199</v>
      </c>
      <c r="AA1003" s="7">
        <v>998</v>
      </c>
      <c r="AB1003" s="7">
        <v>994</v>
      </c>
      <c r="AC1003" s="109">
        <v>0</v>
      </c>
      <c r="AD1003" s="109">
        <v>0</v>
      </c>
      <c r="AE1003" s="125"/>
      <c r="AF1003" s="10"/>
      <c r="AI1003" s="109"/>
      <c r="AJ1003" s="109"/>
      <c r="AL1003" s="10"/>
      <c r="AO1003" s="109"/>
      <c r="AP1003" s="109"/>
      <c r="AR1003" s="10"/>
      <c r="AU1003" s="109"/>
      <c r="AV1003" s="109"/>
      <c r="AX1003" s="10"/>
      <c r="BA1003" s="109"/>
      <c r="BB1003" s="109"/>
      <c r="BD1003" s="10"/>
      <c r="BG1003" s="109"/>
      <c r="BH1003" s="109"/>
      <c r="BJ1003" s="10"/>
      <c r="BM1003" s="109"/>
      <c r="BN1003" s="109"/>
      <c r="BP1003" s="10"/>
      <c r="BS1003" s="109"/>
      <c r="BT1003" s="109"/>
      <c r="BV1003" s="10"/>
      <c r="BY1003" s="109"/>
      <c r="BZ1003" s="109"/>
      <c r="CB1003" s="10"/>
      <c r="CE1003" s="109"/>
      <c r="CF1003" s="109"/>
      <c r="CH1003" s="10"/>
      <c r="CK1003" s="109"/>
      <c r="CL1003" s="109"/>
    </row>
    <row r="1004" spans="1:90">
      <c r="A1004" s="7" t="str">
        <f t="shared" si="151"/>
        <v>01990999</v>
      </c>
      <c r="B1004" s="7" t="s">
        <v>2538</v>
      </c>
      <c r="C1004" s="7" t="s">
        <v>2782</v>
      </c>
      <c r="D1004" s="7">
        <v>995</v>
      </c>
      <c r="E1004" s="11">
        <v>199</v>
      </c>
      <c r="F1004" s="11" t="s">
        <v>1904</v>
      </c>
      <c r="G1004" s="11">
        <v>999</v>
      </c>
      <c r="H1004" s="11" t="s">
        <v>1132</v>
      </c>
      <c r="I1004" s="105">
        <v>52778381.584080003</v>
      </c>
      <c r="J1004" s="126">
        <v>1</v>
      </c>
      <c r="K1004" s="127">
        <f>SUM(K1000:K1003)</f>
        <v>54467962.760156922</v>
      </c>
      <c r="L1004" s="126">
        <f>SUM(L1000:L1003)</f>
        <v>1</v>
      </c>
      <c r="M1004" s="105">
        <f>VLOOKUP(E1004,town351,22)</f>
        <v>45222198</v>
      </c>
      <c r="N1004" s="105">
        <f>SUM(N1000:N1003)</f>
        <v>45222198</v>
      </c>
      <c r="O1004" s="128">
        <v>44121311</v>
      </c>
      <c r="P1004" s="105">
        <f>SUM(P1000:P1003)</f>
        <v>1100887</v>
      </c>
      <c r="Q1004" s="45">
        <f t="shared" si="159"/>
        <v>2.4951366472315386</v>
      </c>
      <c r="R1004" s="105">
        <v>5443</v>
      </c>
      <c r="S1004" s="7">
        <f t="shared" si="152"/>
        <v>0</v>
      </c>
      <c r="T1004" s="124">
        <f t="shared" si="153"/>
        <v>199</v>
      </c>
      <c r="U1004" s="124">
        <f t="shared" si="154"/>
        <v>999</v>
      </c>
      <c r="V1004" s="124">
        <f t="shared" si="155"/>
        <v>995</v>
      </c>
      <c r="W1004" s="124">
        <f t="shared" si="156"/>
        <v>5473.0608695651699</v>
      </c>
      <c r="X1004" s="124">
        <f t="shared" si="157"/>
        <v>54467962.760156922</v>
      </c>
      <c r="Y1004" s="264">
        <f t="shared" si="158"/>
        <v>995</v>
      </c>
      <c r="Z1004" s="10">
        <v>199</v>
      </c>
      <c r="AA1004" s="7">
        <v>999</v>
      </c>
      <c r="AB1004" s="7">
        <v>995</v>
      </c>
      <c r="AC1004" s="109">
        <v>5473.0608695651699</v>
      </c>
      <c r="AD1004" s="109">
        <v>54467962.760156922</v>
      </c>
      <c r="AE1004" s="125"/>
      <c r="AF1004" s="10"/>
      <c r="AI1004" s="109"/>
      <c r="AJ1004" s="109"/>
      <c r="AL1004" s="10"/>
      <c r="AO1004" s="109"/>
      <c r="AP1004" s="109"/>
      <c r="AR1004" s="10"/>
      <c r="AU1004" s="109"/>
      <c r="AV1004" s="109"/>
      <c r="AX1004" s="10"/>
      <c r="BA1004" s="109"/>
      <c r="BB1004" s="109"/>
      <c r="BD1004" s="10"/>
      <c r="BG1004" s="109"/>
      <c r="BH1004" s="109"/>
      <c r="BJ1004" s="10"/>
      <c r="BM1004" s="109"/>
      <c r="BN1004" s="109"/>
      <c r="BP1004" s="10"/>
      <c r="BS1004" s="109"/>
      <c r="BT1004" s="109"/>
      <c r="BV1004" s="10"/>
      <c r="BY1004" s="109"/>
      <c r="BZ1004" s="109"/>
      <c r="CB1004" s="10"/>
      <c r="CE1004" s="109"/>
      <c r="CF1004" s="109"/>
      <c r="CH1004" s="10"/>
      <c r="CK1004" s="109"/>
      <c r="CL1004" s="109"/>
    </row>
    <row r="1005" spans="1:90">
      <c r="A1005" s="7" t="str">
        <f t="shared" si="151"/>
        <v>02000200</v>
      </c>
      <c r="B1005" s="7" t="s">
        <v>2539</v>
      </c>
      <c r="C1005" s="7" t="s">
        <v>2539</v>
      </c>
      <c r="D1005" s="7">
        <v>996</v>
      </c>
      <c r="E1005" s="7">
        <v>200</v>
      </c>
      <c r="F1005" s="7" t="s">
        <v>1905</v>
      </c>
      <c r="G1005" s="7">
        <v>200</v>
      </c>
      <c r="H1005" s="7" t="s">
        <v>1466</v>
      </c>
      <c r="I1005" s="37">
        <v>232405.55000000002</v>
      </c>
      <c r="J1005" s="122">
        <v>1</v>
      </c>
      <c r="K1005" s="123">
        <f>X1005</f>
        <v>288557.29529165302</v>
      </c>
      <c r="L1005" s="122">
        <f>IF(K1009&gt;0, K1005/K1009, 0)</f>
        <v>1</v>
      </c>
      <c r="M1005" s="71"/>
      <c r="N1005" s="10">
        <f>ROUND(M1009*L1005,0)</f>
        <v>204578</v>
      </c>
      <c r="O1005" s="70">
        <v>193546</v>
      </c>
      <c r="P1005" s="10">
        <f>N1005-O1005</f>
        <v>11032</v>
      </c>
      <c r="Q1005" s="46">
        <f t="shared" si="159"/>
        <v>5.699936965889246</v>
      </c>
      <c r="R1005" s="10">
        <v>27</v>
      </c>
      <c r="S1005" s="7">
        <f t="shared" si="152"/>
        <v>0</v>
      </c>
      <c r="T1005" s="124">
        <f t="shared" si="153"/>
        <v>200</v>
      </c>
      <c r="U1005" s="124">
        <f t="shared" si="154"/>
        <v>200</v>
      </c>
      <c r="V1005" s="124">
        <f t="shared" si="155"/>
        <v>996</v>
      </c>
      <c r="W1005" s="124">
        <f t="shared" si="156"/>
        <v>33</v>
      </c>
      <c r="X1005" s="124">
        <f t="shared" si="157"/>
        <v>288557.29529165302</v>
      </c>
      <c r="Y1005" s="264">
        <f t="shared" si="158"/>
        <v>996</v>
      </c>
      <c r="Z1005" s="10">
        <v>200</v>
      </c>
      <c r="AA1005" s="7">
        <v>200</v>
      </c>
      <c r="AB1005" s="7">
        <v>996</v>
      </c>
      <c r="AC1005" s="109">
        <v>33</v>
      </c>
      <c r="AD1005" s="109">
        <v>288557.29529165302</v>
      </c>
      <c r="AE1005" s="125"/>
      <c r="AF1005" s="10"/>
      <c r="AI1005" s="109"/>
      <c r="AJ1005" s="109"/>
      <c r="AL1005" s="10"/>
      <c r="AO1005" s="109"/>
      <c r="AP1005" s="109"/>
      <c r="AR1005" s="10"/>
      <c r="AU1005" s="109"/>
      <c r="AV1005" s="109"/>
      <c r="AX1005" s="10"/>
      <c r="BA1005" s="109"/>
      <c r="BB1005" s="109"/>
      <c r="BD1005" s="10"/>
      <c r="BG1005" s="109"/>
      <c r="BH1005" s="109"/>
      <c r="BJ1005" s="10"/>
      <c r="BM1005" s="109"/>
      <c r="BN1005" s="109"/>
      <c r="BP1005" s="10"/>
      <c r="BS1005" s="109"/>
      <c r="BT1005" s="109"/>
      <c r="BV1005" s="10"/>
      <c r="BY1005" s="109"/>
      <c r="BZ1005" s="109"/>
      <c r="CB1005" s="10"/>
      <c r="CE1005" s="109"/>
      <c r="CF1005" s="109"/>
      <c r="CH1005" s="10"/>
      <c r="CK1005" s="109"/>
      <c r="CL1005" s="109"/>
    </row>
    <row r="1006" spans="1:90">
      <c r="A1006" s="7" t="str">
        <f t="shared" si="151"/>
        <v>02000998</v>
      </c>
      <c r="B1006" s="7" t="s">
        <v>2539</v>
      </c>
      <c r="C1006" s="7" t="s">
        <v>2781</v>
      </c>
      <c r="D1006" s="7">
        <v>997</v>
      </c>
      <c r="E1006" s="7">
        <v>200</v>
      </c>
      <c r="F1006" s="7" t="s">
        <v>2135</v>
      </c>
      <c r="G1006" s="7">
        <v>998</v>
      </c>
      <c r="H1006" s="7" t="s">
        <v>2135</v>
      </c>
      <c r="I1006" s="37">
        <v>0</v>
      </c>
      <c r="J1006" s="122">
        <v>0</v>
      </c>
      <c r="K1006" s="123">
        <f t="shared" si="160"/>
        <v>0</v>
      </c>
      <c r="L1006" s="122">
        <f>IF(K1009&gt;0, K1006/K1009, 0)</f>
        <v>0</v>
      </c>
      <c r="M1006" s="71"/>
      <c r="N1006" s="10">
        <f>ROUND(M1009*L1006,0)</f>
        <v>0</v>
      </c>
      <c r="O1006" s="70">
        <v>0</v>
      </c>
      <c r="P1006" s="10">
        <f>N1006-O1006</f>
        <v>0</v>
      </c>
      <c r="Q1006" s="46">
        <f t="shared" si="159"/>
        <v>0</v>
      </c>
      <c r="R1006" s="10">
        <v>0</v>
      </c>
      <c r="S1006" s="7">
        <f t="shared" si="152"/>
        <v>0</v>
      </c>
      <c r="T1006" s="124">
        <f t="shared" si="153"/>
        <v>200</v>
      </c>
      <c r="U1006" s="124">
        <f t="shared" si="154"/>
        <v>998</v>
      </c>
      <c r="V1006" s="124">
        <f t="shared" si="155"/>
        <v>997</v>
      </c>
      <c r="W1006" s="124">
        <f t="shared" si="156"/>
        <v>0</v>
      </c>
      <c r="X1006" s="124">
        <f t="shared" si="157"/>
        <v>0</v>
      </c>
      <c r="Y1006" s="264">
        <f t="shared" si="158"/>
        <v>997</v>
      </c>
      <c r="Z1006" s="10">
        <v>200</v>
      </c>
      <c r="AA1006" s="7">
        <v>998</v>
      </c>
      <c r="AB1006" s="7">
        <v>997</v>
      </c>
      <c r="AC1006" s="109">
        <v>0</v>
      </c>
      <c r="AD1006" s="109">
        <v>0</v>
      </c>
      <c r="AE1006" s="125"/>
      <c r="AF1006" s="10"/>
      <c r="AI1006" s="109"/>
      <c r="AJ1006" s="109"/>
      <c r="AL1006" s="10"/>
      <c r="AO1006" s="109"/>
      <c r="AP1006" s="109"/>
      <c r="AR1006" s="10"/>
      <c r="AU1006" s="109"/>
      <c r="AV1006" s="109"/>
      <c r="AX1006" s="10"/>
      <c r="BA1006" s="109"/>
      <c r="BB1006" s="109"/>
      <c r="BD1006" s="10"/>
      <c r="BG1006" s="109"/>
      <c r="BH1006" s="109"/>
      <c r="BJ1006" s="10"/>
      <c r="BM1006" s="109"/>
      <c r="BN1006" s="109"/>
      <c r="BP1006" s="10"/>
      <c r="BS1006" s="109"/>
      <c r="BT1006" s="109"/>
      <c r="BV1006" s="10"/>
      <c r="BY1006" s="109"/>
      <c r="BZ1006" s="109"/>
      <c r="CB1006" s="10"/>
      <c r="CE1006" s="109"/>
      <c r="CF1006" s="109"/>
      <c r="CH1006" s="10"/>
      <c r="CK1006" s="109"/>
      <c r="CL1006" s="109"/>
    </row>
    <row r="1007" spans="1:90">
      <c r="A1007" s="7" t="str">
        <f t="shared" si="151"/>
        <v>02000998</v>
      </c>
      <c r="B1007" s="7" t="s">
        <v>2539</v>
      </c>
      <c r="C1007" s="7" t="s">
        <v>2781</v>
      </c>
      <c r="D1007" s="7">
        <v>998</v>
      </c>
      <c r="E1007" s="7">
        <v>200</v>
      </c>
      <c r="F1007" s="7" t="s">
        <v>2135</v>
      </c>
      <c r="G1007" s="7">
        <v>998</v>
      </c>
      <c r="H1007" s="7" t="s">
        <v>2135</v>
      </c>
      <c r="I1007" s="37">
        <v>0</v>
      </c>
      <c r="J1007" s="122">
        <v>0</v>
      </c>
      <c r="K1007" s="123">
        <f t="shared" si="160"/>
        <v>0</v>
      </c>
      <c r="L1007" s="122">
        <f>IF(K1009&gt;0, K1007/K1009, 0)</f>
        <v>0</v>
      </c>
      <c r="M1007" s="71"/>
      <c r="N1007" s="10">
        <f>ROUND(M1009*L1007,0)</f>
        <v>0</v>
      </c>
      <c r="O1007" s="70">
        <v>0</v>
      </c>
      <c r="P1007" s="10">
        <f>N1007-O1007</f>
        <v>0</v>
      </c>
      <c r="Q1007" s="46">
        <f t="shared" si="159"/>
        <v>0</v>
      </c>
      <c r="R1007" s="10">
        <v>0</v>
      </c>
      <c r="S1007" s="7">
        <f t="shared" si="152"/>
        <v>0</v>
      </c>
      <c r="T1007" s="124">
        <f t="shared" si="153"/>
        <v>200</v>
      </c>
      <c r="U1007" s="124">
        <f t="shared" si="154"/>
        <v>998</v>
      </c>
      <c r="V1007" s="124">
        <f t="shared" si="155"/>
        <v>998</v>
      </c>
      <c r="W1007" s="124">
        <f t="shared" si="156"/>
        <v>0</v>
      </c>
      <c r="X1007" s="124">
        <f t="shared" si="157"/>
        <v>0</v>
      </c>
      <c r="Y1007" s="264">
        <f t="shared" si="158"/>
        <v>998</v>
      </c>
      <c r="Z1007" s="10">
        <v>200</v>
      </c>
      <c r="AA1007" s="7">
        <v>998</v>
      </c>
      <c r="AB1007" s="7">
        <v>998</v>
      </c>
      <c r="AC1007" s="109">
        <v>0</v>
      </c>
      <c r="AD1007" s="109">
        <v>0</v>
      </c>
      <c r="AE1007" s="125"/>
      <c r="AF1007" s="10"/>
      <c r="AI1007" s="109"/>
      <c r="AJ1007" s="109"/>
      <c r="AL1007" s="10"/>
      <c r="AO1007" s="109"/>
      <c r="AP1007" s="109"/>
      <c r="AR1007" s="10"/>
      <c r="AU1007" s="109"/>
      <c r="AV1007" s="109"/>
      <c r="AX1007" s="10"/>
      <c r="BA1007" s="109"/>
      <c r="BB1007" s="109"/>
      <c r="BD1007" s="10"/>
      <c r="BG1007" s="109"/>
      <c r="BH1007" s="109"/>
      <c r="BJ1007" s="10"/>
      <c r="BM1007" s="109"/>
      <c r="BN1007" s="109"/>
      <c r="BP1007" s="10"/>
      <c r="BS1007" s="109"/>
      <c r="BT1007" s="109"/>
      <c r="BV1007" s="10"/>
      <c r="BY1007" s="109"/>
      <c r="BZ1007" s="109"/>
      <c r="CB1007" s="10"/>
      <c r="CE1007" s="109"/>
      <c r="CF1007" s="109"/>
      <c r="CH1007" s="10"/>
      <c r="CK1007" s="109"/>
      <c r="CL1007" s="109"/>
    </row>
    <row r="1008" spans="1:90">
      <c r="A1008" s="7" t="str">
        <f t="shared" si="151"/>
        <v>02000998</v>
      </c>
      <c r="B1008" s="7" t="s">
        <v>2539</v>
      </c>
      <c r="C1008" s="7" t="s">
        <v>2781</v>
      </c>
      <c r="D1008" s="7">
        <v>999</v>
      </c>
      <c r="E1008" s="7">
        <v>200</v>
      </c>
      <c r="F1008" s="7" t="s">
        <v>2135</v>
      </c>
      <c r="G1008" s="7">
        <v>998</v>
      </c>
      <c r="H1008" s="7" t="s">
        <v>2135</v>
      </c>
      <c r="I1008" s="37">
        <v>0</v>
      </c>
      <c r="J1008" s="122">
        <v>0</v>
      </c>
      <c r="K1008" s="123">
        <f t="shared" si="160"/>
        <v>0</v>
      </c>
      <c r="L1008" s="122">
        <f>IF(K1009&gt;0, K1008/K1009, 0)</f>
        <v>0</v>
      </c>
      <c r="M1008" s="71"/>
      <c r="N1008" s="10">
        <f>ROUND(M1009*L1008,0)</f>
        <v>0</v>
      </c>
      <c r="O1008" s="70">
        <v>0</v>
      </c>
      <c r="P1008" s="10">
        <f>N1008-O1008</f>
        <v>0</v>
      </c>
      <c r="Q1008" s="46">
        <f t="shared" si="159"/>
        <v>0</v>
      </c>
      <c r="R1008" s="10">
        <v>0</v>
      </c>
      <c r="S1008" s="7">
        <f t="shared" si="152"/>
        <v>0</v>
      </c>
      <c r="T1008" s="124">
        <f t="shared" si="153"/>
        <v>200</v>
      </c>
      <c r="U1008" s="124">
        <f t="shared" si="154"/>
        <v>998</v>
      </c>
      <c r="V1008" s="124">
        <f t="shared" si="155"/>
        <v>999</v>
      </c>
      <c r="W1008" s="124">
        <f t="shared" si="156"/>
        <v>0</v>
      </c>
      <c r="X1008" s="124">
        <f t="shared" si="157"/>
        <v>0</v>
      </c>
      <c r="Y1008" s="264">
        <f t="shared" si="158"/>
        <v>999</v>
      </c>
      <c r="Z1008" s="10">
        <v>200</v>
      </c>
      <c r="AA1008" s="7">
        <v>998</v>
      </c>
      <c r="AB1008" s="7">
        <v>999</v>
      </c>
      <c r="AC1008" s="109">
        <v>0</v>
      </c>
      <c r="AD1008" s="109">
        <v>0</v>
      </c>
      <c r="AE1008" s="125"/>
      <c r="AF1008" s="10"/>
      <c r="AI1008" s="109"/>
      <c r="AJ1008" s="109"/>
      <c r="AL1008" s="10"/>
      <c r="AO1008" s="109"/>
      <c r="AP1008" s="109"/>
      <c r="AR1008" s="10"/>
      <c r="AU1008" s="109"/>
      <c r="AV1008" s="109"/>
      <c r="AX1008" s="10"/>
      <c r="BA1008" s="109"/>
      <c r="BB1008" s="109"/>
      <c r="BD1008" s="10"/>
      <c r="BG1008" s="109"/>
      <c r="BH1008" s="109"/>
      <c r="BJ1008" s="10"/>
      <c r="BM1008" s="109"/>
      <c r="BN1008" s="109"/>
      <c r="BP1008" s="10"/>
      <c r="BS1008" s="109"/>
      <c r="BT1008" s="109"/>
      <c r="BV1008" s="10"/>
      <c r="BY1008" s="109"/>
      <c r="BZ1008" s="109"/>
      <c r="CB1008" s="10"/>
      <c r="CE1008" s="109"/>
      <c r="CF1008" s="109"/>
      <c r="CH1008" s="10"/>
      <c r="CK1008" s="109"/>
      <c r="CL1008" s="109"/>
    </row>
    <row r="1009" spans="1:90">
      <c r="A1009" s="7" t="str">
        <f t="shared" si="151"/>
        <v>02000999</v>
      </c>
      <c r="B1009" s="7" t="s">
        <v>2539</v>
      </c>
      <c r="C1009" s="7" t="s">
        <v>2782</v>
      </c>
      <c r="D1009" s="7">
        <v>1000</v>
      </c>
      <c r="E1009" s="11">
        <v>200</v>
      </c>
      <c r="F1009" s="11" t="s">
        <v>1905</v>
      </c>
      <c r="G1009" s="11">
        <v>999</v>
      </c>
      <c r="H1009" s="11" t="s">
        <v>1132</v>
      </c>
      <c r="I1009" s="105">
        <v>232405.55000000002</v>
      </c>
      <c r="J1009" s="126">
        <v>1</v>
      </c>
      <c r="K1009" s="127">
        <f>SUM(K1005:K1008)</f>
        <v>288557.29529165302</v>
      </c>
      <c r="L1009" s="126">
        <f>SUM(L1005:L1008)</f>
        <v>1</v>
      </c>
      <c r="M1009" s="105">
        <f>VLOOKUP(E1009,town351,22)</f>
        <v>204578</v>
      </c>
      <c r="N1009" s="105">
        <f>SUM(N1005:N1008)</f>
        <v>204578</v>
      </c>
      <c r="O1009" s="128">
        <v>193546</v>
      </c>
      <c r="P1009" s="105">
        <f>SUM(P1005:P1008)</f>
        <v>11032</v>
      </c>
      <c r="Q1009" s="45">
        <f t="shared" si="159"/>
        <v>5.699936965889246</v>
      </c>
      <c r="R1009" s="105">
        <v>27</v>
      </c>
      <c r="S1009" s="7">
        <f t="shared" si="152"/>
        <v>0</v>
      </c>
      <c r="T1009" s="124">
        <f t="shared" si="153"/>
        <v>200</v>
      </c>
      <c r="U1009" s="124">
        <f t="shared" si="154"/>
        <v>999</v>
      </c>
      <c r="V1009" s="124">
        <f t="shared" si="155"/>
        <v>1000</v>
      </c>
      <c r="W1009" s="124">
        <f t="shared" si="156"/>
        <v>33</v>
      </c>
      <c r="X1009" s="124">
        <f t="shared" si="157"/>
        <v>288557.29529165302</v>
      </c>
      <c r="Y1009" s="264">
        <f t="shared" si="158"/>
        <v>1000</v>
      </c>
      <c r="Z1009" s="10">
        <v>200</v>
      </c>
      <c r="AA1009" s="7">
        <v>999</v>
      </c>
      <c r="AB1009" s="7">
        <v>1000</v>
      </c>
      <c r="AC1009" s="109">
        <v>33</v>
      </c>
      <c r="AD1009" s="109">
        <v>288557.29529165302</v>
      </c>
      <c r="AE1009" s="125"/>
      <c r="AF1009" s="10"/>
      <c r="AI1009" s="109"/>
      <c r="AJ1009" s="109"/>
      <c r="AL1009" s="10"/>
      <c r="AO1009" s="109"/>
      <c r="AP1009" s="109"/>
      <c r="AR1009" s="10"/>
      <c r="AU1009" s="109"/>
      <c r="AV1009" s="109"/>
      <c r="AX1009" s="10"/>
      <c r="BA1009" s="109"/>
      <c r="BB1009" s="109"/>
      <c r="BD1009" s="10"/>
      <c r="BG1009" s="109"/>
      <c r="BH1009" s="109"/>
      <c r="BJ1009" s="10"/>
      <c r="BM1009" s="109"/>
      <c r="BN1009" s="109"/>
      <c r="BP1009" s="10"/>
      <c r="BS1009" s="109"/>
      <c r="BT1009" s="109"/>
      <c r="BV1009" s="10"/>
      <c r="BY1009" s="109"/>
      <c r="BZ1009" s="109"/>
      <c r="CB1009" s="10"/>
      <c r="CE1009" s="109"/>
      <c r="CF1009" s="109"/>
      <c r="CH1009" s="10"/>
      <c r="CK1009" s="109"/>
      <c r="CL1009" s="109"/>
    </row>
    <row r="1010" spans="1:90">
      <c r="A1010" s="7" t="str">
        <f t="shared" si="151"/>
        <v>02010201</v>
      </c>
      <c r="B1010" s="7" t="s">
        <v>2540</v>
      </c>
      <c r="C1010" s="7" t="s">
        <v>2540</v>
      </c>
      <c r="D1010" s="7">
        <v>1001</v>
      </c>
      <c r="E1010" s="7">
        <v>201</v>
      </c>
      <c r="F1010" s="7" t="s">
        <v>1906</v>
      </c>
      <c r="G1010" s="7">
        <v>201</v>
      </c>
      <c r="H1010" s="7" t="s">
        <v>1467</v>
      </c>
      <c r="I1010" s="37">
        <v>157744521.90000004</v>
      </c>
      <c r="J1010" s="122">
        <v>0.85148077019300816</v>
      </c>
      <c r="K1010" s="123">
        <f>X1010</f>
        <v>165003222.23219585</v>
      </c>
      <c r="L1010" s="122">
        <f>IF(K1014&gt;0, K1010/K1014, 0)</f>
        <v>0.856613741237788</v>
      </c>
      <c r="M1010" s="71"/>
      <c r="N1010" s="10">
        <f>ROUND(M1014*L1010,0)</f>
        <v>27078190</v>
      </c>
      <c r="O1010" s="70">
        <v>25358897</v>
      </c>
      <c r="P1010" s="10">
        <f>N1010-O1010</f>
        <v>1719293</v>
      </c>
      <c r="Q1010" s="46">
        <f t="shared" si="159"/>
        <v>6.779841410294777</v>
      </c>
      <c r="R1010" s="10">
        <v>13469</v>
      </c>
      <c r="S1010" s="7">
        <f t="shared" si="152"/>
        <v>0</v>
      </c>
      <c r="T1010" s="124">
        <f t="shared" si="153"/>
        <v>201</v>
      </c>
      <c r="U1010" s="124">
        <f t="shared" si="154"/>
        <v>201</v>
      </c>
      <c r="V1010" s="124">
        <f t="shared" si="155"/>
        <v>1001</v>
      </c>
      <c r="W1010" s="124">
        <f t="shared" si="156"/>
        <v>13624</v>
      </c>
      <c r="X1010" s="124">
        <f t="shared" si="157"/>
        <v>165003222.23219585</v>
      </c>
      <c r="Y1010" s="264">
        <f t="shared" si="158"/>
        <v>1001</v>
      </c>
      <c r="Z1010" s="10">
        <v>201</v>
      </c>
      <c r="AA1010" s="7">
        <v>201</v>
      </c>
      <c r="AB1010" s="7">
        <v>1001</v>
      </c>
      <c r="AC1010" s="109">
        <v>13624</v>
      </c>
      <c r="AD1010" s="109">
        <v>165003222.23219585</v>
      </c>
      <c r="AE1010" s="125"/>
      <c r="AF1010" s="10"/>
      <c r="AI1010" s="109"/>
      <c r="AJ1010" s="109"/>
      <c r="AL1010" s="10"/>
      <c r="AO1010" s="109"/>
      <c r="AP1010" s="109"/>
      <c r="AR1010" s="10"/>
      <c r="AU1010" s="109"/>
      <c r="AV1010" s="109"/>
      <c r="AX1010" s="10"/>
      <c r="BA1010" s="109"/>
      <c r="BB1010" s="109"/>
      <c r="BD1010" s="10"/>
      <c r="BG1010" s="109"/>
      <c r="BH1010" s="109"/>
      <c r="BJ1010" s="10"/>
      <c r="BM1010" s="109"/>
      <c r="BN1010" s="109"/>
      <c r="BP1010" s="10"/>
      <c r="BS1010" s="109"/>
      <c r="BT1010" s="109"/>
      <c r="BV1010" s="10"/>
      <c r="BY1010" s="109"/>
      <c r="BZ1010" s="109"/>
      <c r="CB1010" s="10"/>
      <c r="CE1010" s="109"/>
      <c r="CF1010" s="109"/>
      <c r="CH1010" s="10"/>
      <c r="CK1010" s="109"/>
      <c r="CL1010" s="109"/>
    </row>
    <row r="1011" spans="1:90">
      <c r="A1011" s="7" t="str">
        <f t="shared" si="151"/>
        <v>02010825</v>
      </c>
      <c r="B1011" s="7" t="s">
        <v>2540</v>
      </c>
      <c r="C1011" s="7" t="s">
        <v>2761</v>
      </c>
      <c r="D1011" s="7">
        <v>1002</v>
      </c>
      <c r="E1011" s="7">
        <v>201</v>
      </c>
      <c r="F1011" s="7" t="s">
        <v>1906</v>
      </c>
      <c r="G1011" s="7">
        <v>825</v>
      </c>
      <c r="H1011" s="7" t="s">
        <v>1688</v>
      </c>
      <c r="I1011" s="37">
        <v>27238745</v>
      </c>
      <c r="J1011" s="122">
        <v>0.14703057381855708</v>
      </c>
      <c r="K1011" s="123">
        <f t="shared" si="160"/>
        <v>27291483.6059178</v>
      </c>
      <c r="L1011" s="122">
        <f>IF(K1014&gt;0, K1011/K1014, 0)</f>
        <v>0.14168365659366727</v>
      </c>
      <c r="M1011" s="71"/>
      <c r="N1011" s="10">
        <f>ROUND(M1014*L1011,0)</f>
        <v>4478725</v>
      </c>
      <c r="O1011" s="70">
        <v>4378881</v>
      </c>
      <c r="P1011" s="10">
        <f>N1011-O1011</f>
        <v>99844</v>
      </c>
      <c r="Q1011" s="46">
        <f t="shared" si="159"/>
        <v>2.2801259043120834</v>
      </c>
      <c r="R1011" s="10">
        <v>1697</v>
      </c>
      <c r="S1011" s="7">
        <f t="shared" si="152"/>
        <v>0</v>
      </c>
      <c r="T1011" s="124">
        <f t="shared" si="153"/>
        <v>201</v>
      </c>
      <c r="U1011" s="124">
        <f t="shared" si="154"/>
        <v>825</v>
      </c>
      <c r="V1011" s="124">
        <f t="shared" si="155"/>
        <v>1002</v>
      </c>
      <c r="W1011" s="124">
        <f t="shared" si="156"/>
        <v>1665.99999999642</v>
      </c>
      <c r="X1011" s="124">
        <f t="shared" si="157"/>
        <v>27291483.6059178</v>
      </c>
      <c r="Y1011" s="264">
        <f t="shared" si="158"/>
        <v>1002</v>
      </c>
      <c r="Z1011" s="10">
        <v>201</v>
      </c>
      <c r="AA1011" s="7">
        <v>825</v>
      </c>
      <c r="AB1011" s="7">
        <v>1002</v>
      </c>
      <c r="AC1011" s="109">
        <v>1665.99999999642</v>
      </c>
      <c r="AD1011" s="109">
        <v>27291483.6059178</v>
      </c>
      <c r="AE1011" s="125"/>
      <c r="AF1011" s="10"/>
      <c r="AI1011" s="109"/>
      <c r="AJ1011" s="109"/>
      <c r="AL1011" s="10"/>
      <c r="AO1011" s="109"/>
      <c r="AP1011" s="109"/>
      <c r="AR1011" s="10"/>
      <c r="AU1011" s="109"/>
      <c r="AV1011" s="109"/>
      <c r="AX1011" s="10"/>
      <c r="BA1011" s="109"/>
      <c r="BB1011" s="109"/>
      <c r="BD1011" s="10"/>
      <c r="BG1011" s="109"/>
      <c r="BH1011" s="109"/>
      <c r="BJ1011" s="10"/>
      <c r="BM1011" s="109"/>
      <c r="BN1011" s="109"/>
      <c r="BP1011" s="10"/>
      <c r="BS1011" s="109"/>
      <c r="BT1011" s="109"/>
      <c r="BV1011" s="10"/>
      <c r="BY1011" s="109"/>
      <c r="BZ1011" s="109"/>
      <c r="CB1011" s="10"/>
      <c r="CE1011" s="109"/>
      <c r="CF1011" s="109"/>
      <c r="CH1011" s="10"/>
      <c r="CK1011" s="109"/>
      <c r="CL1011" s="109"/>
    </row>
    <row r="1012" spans="1:90">
      <c r="A1012" s="7" t="str">
        <f t="shared" si="151"/>
        <v>02010910</v>
      </c>
      <c r="B1012" s="7" t="s">
        <v>2540</v>
      </c>
      <c r="C1012" s="7" t="s">
        <v>2778</v>
      </c>
      <c r="D1012" s="7">
        <v>1003</v>
      </c>
      <c r="E1012" s="7">
        <v>201</v>
      </c>
      <c r="F1012" s="7" t="s">
        <v>1906</v>
      </c>
      <c r="G1012" s="7">
        <v>910</v>
      </c>
      <c r="H1012" s="7" t="s">
        <v>1705</v>
      </c>
      <c r="I1012" s="37">
        <v>275787</v>
      </c>
      <c r="J1012" s="122">
        <v>1.4886559884347975E-3</v>
      </c>
      <c r="K1012" s="123">
        <f t="shared" si="160"/>
        <v>327959.76817210484</v>
      </c>
      <c r="L1012" s="122">
        <f>IF(K1014&gt;0, K1012/K1014, 0)</f>
        <v>1.702602168544607E-3</v>
      </c>
      <c r="M1012" s="71"/>
      <c r="N1012" s="10">
        <f>ROUND(M1014*L1012,0)</f>
        <v>53821</v>
      </c>
      <c r="O1012" s="70">
        <v>44335</v>
      </c>
      <c r="P1012" s="10">
        <f>N1012-O1012</f>
        <v>9486</v>
      </c>
      <c r="Q1012" s="46">
        <f t="shared" si="159"/>
        <v>21.396188113228828</v>
      </c>
      <c r="R1012" s="10">
        <v>18</v>
      </c>
      <c r="S1012" s="7">
        <f t="shared" si="152"/>
        <v>0</v>
      </c>
      <c r="T1012" s="124">
        <f t="shared" si="153"/>
        <v>201</v>
      </c>
      <c r="U1012" s="124">
        <f t="shared" si="154"/>
        <v>910</v>
      </c>
      <c r="V1012" s="124">
        <f t="shared" si="155"/>
        <v>1003</v>
      </c>
      <c r="W1012" s="124">
        <f t="shared" si="156"/>
        <v>21.00000000148</v>
      </c>
      <c r="X1012" s="124">
        <f t="shared" si="157"/>
        <v>327959.76817210484</v>
      </c>
      <c r="Y1012" s="264">
        <f t="shared" si="158"/>
        <v>1003</v>
      </c>
      <c r="Z1012" s="10">
        <v>201</v>
      </c>
      <c r="AA1012" s="7">
        <v>910</v>
      </c>
      <c r="AB1012" s="7">
        <v>1003</v>
      </c>
      <c r="AC1012" s="109">
        <v>21.00000000148</v>
      </c>
      <c r="AD1012" s="109">
        <v>327959.76817210484</v>
      </c>
      <c r="AE1012" s="125"/>
      <c r="AF1012" s="10"/>
      <c r="AI1012" s="109"/>
      <c r="AJ1012" s="109"/>
      <c r="AL1012" s="10"/>
      <c r="AO1012" s="109"/>
      <c r="AP1012" s="109"/>
      <c r="AR1012" s="10"/>
      <c r="AU1012" s="109"/>
      <c r="AV1012" s="109"/>
      <c r="AX1012" s="10"/>
      <c r="BA1012" s="109"/>
      <c r="BB1012" s="109"/>
      <c r="BD1012" s="10"/>
      <c r="BG1012" s="109"/>
      <c r="BH1012" s="109"/>
      <c r="BJ1012" s="10"/>
      <c r="BM1012" s="109"/>
      <c r="BN1012" s="109"/>
      <c r="BP1012" s="10"/>
      <c r="BS1012" s="109"/>
      <c r="BT1012" s="109"/>
      <c r="BV1012" s="10"/>
      <c r="BY1012" s="109"/>
      <c r="BZ1012" s="109"/>
      <c r="CB1012" s="10"/>
      <c r="CE1012" s="109"/>
      <c r="CF1012" s="109"/>
      <c r="CH1012" s="10"/>
      <c r="CK1012" s="109"/>
      <c r="CL1012" s="109"/>
    </row>
    <row r="1013" spans="1:90">
      <c r="A1013" s="7" t="str">
        <f t="shared" si="151"/>
        <v>02010998</v>
      </c>
      <c r="B1013" s="7" t="s">
        <v>2540</v>
      </c>
      <c r="C1013" s="7" t="s">
        <v>2781</v>
      </c>
      <c r="D1013" s="7">
        <v>1004</v>
      </c>
      <c r="E1013" s="7">
        <v>201</v>
      </c>
      <c r="F1013" s="7" t="s">
        <v>2135</v>
      </c>
      <c r="G1013" s="7">
        <v>998</v>
      </c>
      <c r="H1013" s="7" t="s">
        <v>2135</v>
      </c>
      <c r="I1013" s="37">
        <v>0</v>
      </c>
      <c r="J1013" s="122">
        <v>0</v>
      </c>
      <c r="K1013" s="123">
        <f t="shared" si="160"/>
        <v>0</v>
      </c>
      <c r="L1013" s="122">
        <f>IF(K1014&gt;0, K1013/K1014, 0)</f>
        <v>0</v>
      </c>
      <c r="M1013" s="71"/>
      <c r="N1013" s="10">
        <f>ROUND(M1014*L1013,0)</f>
        <v>0</v>
      </c>
      <c r="O1013" s="70">
        <v>0</v>
      </c>
      <c r="P1013" s="10">
        <f>N1013-O1013</f>
        <v>0</v>
      </c>
      <c r="Q1013" s="46">
        <f t="shared" si="159"/>
        <v>0</v>
      </c>
      <c r="R1013" s="10">
        <v>0</v>
      </c>
      <c r="S1013" s="7">
        <f t="shared" si="152"/>
        <v>0</v>
      </c>
      <c r="T1013" s="124">
        <f t="shared" si="153"/>
        <v>201</v>
      </c>
      <c r="U1013" s="124">
        <f t="shared" si="154"/>
        <v>998</v>
      </c>
      <c r="V1013" s="124">
        <f t="shared" si="155"/>
        <v>1004</v>
      </c>
      <c r="W1013" s="124">
        <f t="shared" si="156"/>
        <v>0</v>
      </c>
      <c r="X1013" s="124">
        <f t="shared" si="157"/>
        <v>0</v>
      </c>
      <c r="Y1013" s="264">
        <f t="shared" si="158"/>
        <v>1004</v>
      </c>
      <c r="Z1013" s="10">
        <v>201</v>
      </c>
      <c r="AA1013" s="7">
        <v>998</v>
      </c>
      <c r="AB1013" s="7">
        <v>1004</v>
      </c>
      <c r="AC1013" s="109">
        <v>0</v>
      </c>
      <c r="AD1013" s="109">
        <v>0</v>
      </c>
      <c r="AE1013" s="125"/>
      <c r="AF1013" s="10"/>
      <c r="AI1013" s="109"/>
      <c r="AJ1013" s="109"/>
      <c r="AL1013" s="10"/>
      <c r="AO1013" s="109"/>
      <c r="AP1013" s="109"/>
      <c r="AR1013" s="10"/>
      <c r="AU1013" s="109"/>
      <c r="AV1013" s="109"/>
      <c r="AX1013" s="10"/>
      <c r="BA1013" s="109"/>
      <c r="BB1013" s="109"/>
      <c r="BD1013" s="10"/>
      <c r="BG1013" s="109"/>
      <c r="BH1013" s="109"/>
      <c r="BJ1013" s="10"/>
      <c r="BM1013" s="109"/>
      <c r="BN1013" s="109"/>
      <c r="BP1013" s="10"/>
      <c r="BS1013" s="109"/>
      <c r="BT1013" s="109"/>
      <c r="BV1013" s="10"/>
      <c r="BY1013" s="109"/>
      <c r="BZ1013" s="109"/>
      <c r="CB1013" s="10"/>
      <c r="CE1013" s="109"/>
      <c r="CF1013" s="109"/>
      <c r="CH1013" s="10"/>
      <c r="CK1013" s="109"/>
      <c r="CL1013" s="109"/>
    </row>
    <row r="1014" spans="1:90">
      <c r="A1014" s="7" t="str">
        <f t="shared" si="151"/>
        <v>02010999</v>
      </c>
      <c r="B1014" s="7" t="s">
        <v>2540</v>
      </c>
      <c r="C1014" s="7" t="s">
        <v>2782</v>
      </c>
      <c r="D1014" s="7">
        <v>1005</v>
      </c>
      <c r="E1014" s="11">
        <v>201</v>
      </c>
      <c r="F1014" s="11" t="s">
        <v>1906</v>
      </c>
      <c r="G1014" s="11">
        <v>999</v>
      </c>
      <c r="H1014" s="11" t="s">
        <v>1132</v>
      </c>
      <c r="I1014" s="105">
        <v>185259053.90000004</v>
      </c>
      <c r="J1014" s="126">
        <v>1</v>
      </c>
      <c r="K1014" s="127">
        <f>SUM(K1010:K1013)</f>
        <v>192622665.60628578</v>
      </c>
      <c r="L1014" s="126">
        <f>SUM(L1010:L1013)</f>
        <v>0.99999999999999989</v>
      </c>
      <c r="M1014" s="105">
        <f>VLOOKUP(E1014,town351,22)</f>
        <v>31610735</v>
      </c>
      <c r="N1014" s="105">
        <f>SUM(N1010:N1013)</f>
        <v>31610736</v>
      </c>
      <c r="O1014" s="128">
        <v>29782113</v>
      </c>
      <c r="P1014" s="105">
        <f>SUM(P1010:P1013)</f>
        <v>1828623</v>
      </c>
      <c r="Q1014" s="45">
        <f t="shared" si="159"/>
        <v>6.1400042367712455</v>
      </c>
      <c r="R1014" s="105">
        <v>15184</v>
      </c>
      <c r="S1014" s="7">
        <f t="shared" si="152"/>
        <v>0</v>
      </c>
      <c r="T1014" s="124">
        <f t="shared" si="153"/>
        <v>201</v>
      </c>
      <c r="U1014" s="124">
        <f t="shared" si="154"/>
        <v>999</v>
      </c>
      <c r="V1014" s="124">
        <f t="shared" si="155"/>
        <v>1005</v>
      </c>
      <c r="W1014" s="124">
        <f t="shared" si="156"/>
        <v>15310.999999997901</v>
      </c>
      <c r="X1014" s="124">
        <f t="shared" si="157"/>
        <v>192622665.60628578</v>
      </c>
      <c r="Y1014" s="264">
        <f t="shared" si="158"/>
        <v>1005</v>
      </c>
      <c r="Z1014" s="10">
        <v>201</v>
      </c>
      <c r="AA1014" s="7">
        <v>999</v>
      </c>
      <c r="AB1014" s="7">
        <v>1005</v>
      </c>
      <c r="AC1014" s="109">
        <v>15310.999999997901</v>
      </c>
      <c r="AD1014" s="109">
        <v>192622665.60628578</v>
      </c>
      <c r="AE1014" s="125"/>
      <c r="AF1014" s="10"/>
      <c r="AI1014" s="109"/>
      <c r="AJ1014" s="109"/>
      <c r="AL1014" s="10"/>
      <c r="AO1014" s="109"/>
      <c r="AP1014" s="109"/>
      <c r="AR1014" s="10"/>
      <c r="AU1014" s="109"/>
      <c r="AV1014" s="109"/>
      <c r="AX1014" s="10"/>
      <c r="BA1014" s="109"/>
      <c r="BB1014" s="109"/>
      <c r="BD1014" s="10"/>
      <c r="BG1014" s="109"/>
      <c r="BH1014" s="109"/>
      <c r="BJ1014" s="10"/>
      <c r="BM1014" s="109"/>
      <c r="BN1014" s="109"/>
      <c r="BP1014" s="10"/>
      <c r="BS1014" s="109"/>
      <c r="BT1014" s="109"/>
      <c r="BV1014" s="10"/>
      <c r="BY1014" s="109"/>
      <c r="BZ1014" s="109"/>
      <c r="CB1014" s="10"/>
      <c r="CE1014" s="109"/>
      <c r="CF1014" s="109"/>
      <c r="CH1014" s="10"/>
      <c r="CK1014" s="109"/>
      <c r="CL1014" s="109"/>
    </row>
    <row r="1015" spans="1:90">
      <c r="A1015" s="7" t="str">
        <f t="shared" si="151"/>
        <v>02020202</v>
      </c>
      <c r="B1015" s="7" t="s">
        <v>2541</v>
      </c>
      <c r="C1015" s="7" t="s">
        <v>2541</v>
      </c>
      <c r="D1015" s="7">
        <v>1006</v>
      </c>
      <c r="E1015" s="7">
        <v>202</v>
      </c>
      <c r="F1015" s="7" t="s">
        <v>1907</v>
      </c>
      <c r="G1015" s="7">
        <v>202</v>
      </c>
      <c r="H1015" s="7" t="s">
        <v>1468</v>
      </c>
      <c r="I1015" s="37">
        <v>0</v>
      </c>
      <c r="J1015" s="122">
        <v>0</v>
      </c>
      <c r="K1015" s="123">
        <f>X1015</f>
        <v>0</v>
      </c>
      <c r="L1015" s="122">
        <f>IF(K1019&gt;0, K1015/K1019, 0)</f>
        <v>0</v>
      </c>
      <c r="M1015" s="71"/>
      <c r="N1015" s="10">
        <f>ROUND(M1019*L1015,0)</f>
        <v>0</v>
      </c>
      <c r="O1015" s="70">
        <v>0</v>
      </c>
      <c r="P1015" s="10">
        <f>N1015-O1015</f>
        <v>0</v>
      </c>
      <c r="Q1015" s="46">
        <f t="shared" si="159"/>
        <v>0</v>
      </c>
      <c r="R1015" s="10">
        <v>0</v>
      </c>
      <c r="S1015" s="7">
        <f t="shared" si="152"/>
        <v>0</v>
      </c>
      <c r="T1015" s="124">
        <f t="shared" si="153"/>
        <v>202</v>
      </c>
      <c r="U1015" s="124">
        <f t="shared" si="154"/>
        <v>202</v>
      </c>
      <c r="V1015" s="124">
        <f t="shared" si="155"/>
        <v>1006</v>
      </c>
      <c r="W1015" s="124">
        <f t="shared" si="156"/>
        <v>0</v>
      </c>
      <c r="X1015" s="124">
        <f t="shared" si="157"/>
        <v>0</v>
      </c>
      <c r="Y1015" s="264">
        <f t="shared" si="158"/>
        <v>1006</v>
      </c>
      <c r="Z1015" s="10">
        <v>202</v>
      </c>
      <c r="AA1015" s="7">
        <v>202</v>
      </c>
      <c r="AB1015" s="7">
        <v>1006</v>
      </c>
      <c r="AC1015" s="109">
        <v>0</v>
      </c>
      <c r="AD1015" s="109">
        <v>0</v>
      </c>
      <c r="AE1015" s="125"/>
      <c r="AF1015" s="10"/>
      <c r="AI1015" s="109"/>
      <c r="AJ1015" s="109"/>
      <c r="AL1015" s="10"/>
      <c r="AO1015" s="109"/>
      <c r="AP1015" s="109"/>
      <c r="AR1015" s="10"/>
      <c r="AU1015" s="109"/>
      <c r="AV1015" s="109"/>
      <c r="AX1015" s="10"/>
      <c r="BA1015" s="109"/>
      <c r="BB1015" s="109"/>
      <c r="BD1015" s="10"/>
      <c r="BG1015" s="109"/>
      <c r="BH1015" s="109"/>
      <c r="BJ1015" s="10"/>
      <c r="BM1015" s="109"/>
      <c r="BN1015" s="109"/>
      <c r="BP1015" s="10"/>
      <c r="BS1015" s="109"/>
      <c r="BT1015" s="109"/>
      <c r="BV1015" s="10"/>
      <c r="BY1015" s="109"/>
      <c r="BZ1015" s="109"/>
      <c r="CB1015" s="10"/>
      <c r="CE1015" s="109"/>
      <c r="CF1015" s="109"/>
      <c r="CH1015" s="10"/>
      <c r="CK1015" s="109"/>
      <c r="CL1015" s="109"/>
    </row>
    <row r="1016" spans="1:90">
      <c r="A1016" s="7" t="str">
        <f t="shared" si="151"/>
        <v>02020753</v>
      </c>
      <c r="B1016" s="7" t="s">
        <v>2541</v>
      </c>
      <c r="C1016" s="7" t="s">
        <v>2739</v>
      </c>
      <c r="D1016" s="7">
        <v>1007</v>
      </c>
      <c r="E1016" s="7">
        <v>202</v>
      </c>
      <c r="F1016" s="7" t="s">
        <v>1907</v>
      </c>
      <c r="G1016" s="7">
        <v>753</v>
      </c>
      <c r="H1016" s="7" t="s">
        <v>1666</v>
      </c>
      <c r="I1016" s="37">
        <v>1516084</v>
      </c>
      <c r="J1016" s="122">
        <v>0.8952413120345416</v>
      </c>
      <c r="K1016" s="123">
        <f t="shared" si="160"/>
        <v>1490860.9292153155</v>
      </c>
      <c r="L1016" s="122">
        <f>IF(K1019&gt;0, K1016/K1019, 0)</f>
        <v>0.90936273494353193</v>
      </c>
      <c r="M1016" s="71"/>
      <c r="N1016" s="10">
        <f>ROUND(M1019*L1016,0)</f>
        <v>842706</v>
      </c>
      <c r="O1016" s="70">
        <v>867349</v>
      </c>
      <c r="P1016" s="10">
        <f>N1016-O1016</f>
        <v>-24643</v>
      </c>
      <c r="Q1016" s="46">
        <f t="shared" si="159"/>
        <v>-2.8411861891810561</v>
      </c>
      <c r="R1016" s="10">
        <v>152</v>
      </c>
      <c r="S1016" s="7">
        <f t="shared" si="152"/>
        <v>0</v>
      </c>
      <c r="T1016" s="124">
        <f t="shared" si="153"/>
        <v>202</v>
      </c>
      <c r="U1016" s="124">
        <f t="shared" si="154"/>
        <v>753</v>
      </c>
      <c r="V1016" s="124">
        <f t="shared" si="155"/>
        <v>1007</v>
      </c>
      <c r="W1016" s="124">
        <f t="shared" si="156"/>
        <v>145.82042755640001</v>
      </c>
      <c r="X1016" s="124">
        <f t="shared" si="157"/>
        <v>1490860.9292153155</v>
      </c>
      <c r="Y1016" s="264">
        <f t="shared" si="158"/>
        <v>1007</v>
      </c>
      <c r="Z1016" s="10">
        <v>202</v>
      </c>
      <c r="AA1016" s="7">
        <v>753</v>
      </c>
      <c r="AB1016" s="7">
        <v>1007</v>
      </c>
      <c r="AC1016" s="109">
        <v>145.82042755640001</v>
      </c>
      <c r="AD1016" s="109">
        <v>1490860.9292153155</v>
      </c>
      <c r="AE1016" s="125"/>
      <c r="AF1016" s="10"/>
      <c r="AI1016" s="109"/>
      <c r="AJ1016" s="109"/>
      <c r="AL1016" s="10"/>
      <c r="AO1016" s="109"/>
      <c r="AP1016" s="109"/>
      <c r="AR1016" s="10"/>
      <c r="AU1016" s="109"/>
      <c r="AV1016" s="109"/>
      <c r="AX1016" s="10"/>
      <c r="BA1016" s="109"/>
      <c r="BB1016" s="109"/>
      <c r="BD1016" s="10"/>
      <c r="BG1016" s="109"/>
      <c r="BH1016" s="109"/>
      <c r="BJ1016" s="10"/>
      <c r="BM1016" s="109"/>
      <c r="BN1016" s="109"/>
      <c r="BP1016" s="10"/>
      <c r="BS1016" s="109"/>
      <c r="BT1016" s="109"/>
      <c r="BV1016" s="10"/>
      <c r="BY1016" s="109"/>
      <c r="BZ1016" s="109"/>
      <c r="CB1016" s="10"/>
      <c r="CE1016" s="109"/>
      <c r="CF1016" s="109"/>
      <c r="CH1016" s="10"/>
      <c r="CK1016" s="109"/>
      <c r="CL1016" s="109"/>
    </row>
    <row r="1017" spans="1:90">
      <c r="A1017" s="7" t="str">
        <f t="shared" si="151"/>
        <v>02020860</v>
      </c>
      <c r="B1017" s="7" t="s">
        <v>2541</v>
      </c>
      <c r="C1017" s="7" t="s">
        <v>2770</v>
      </c>
      <c r="D1017" s="7">
        <v>1008</v>
      </c>
      <c r="E1017" s="7">
        <v>202</v>
      </c>
      <c r="F1017" s="7" t="s">
        <v>1907</v>
      </c>
      <c r="G1017" s="7">
        <v>860</v>
      </c>
      <c r="H1017" s="7" t="s">
        <v>1697</v>
      </c>
      <c r="I1017" s="37">
        <v>177408</v>
      </c>
      <c r="J1017" s="122">
        <v>0.10475868796545836</v>
      </c>
      <c r="K1017" s="123">
        <f t="shared" si="160"/>
        <v>148595.88150157908</v>
      </c>
      <c r="L1017" s="122">
        <f>IF(K1019&gt;0, K1017/K1019, 0)</f>
        <v>9.0637265056468144E-2</v>
      </c>
      <c r="M1017" s="71"/>
      <c r="N1017" s="10">
        <f>ROUND(M1019*L1017,0)</f>
        <v>83993</v>
      </c>
      <c r="O1017" s="70">
        <v>101495</v>
      </c>
      <c r="P1017" s="10">
        <f>N1017-O1017</f>
        <v>-17502</v>
      </c>
      <c r="Q1017" s="46">
        <f t="shared" si="159"/>
        <v>-17.244199221636535</v>
      </c>
      <c r="R1017" s="10">
        <v>11</v>
      </c>
      <c r="S1017" s="7">
        <f t="shared" si="152"/>
        <v>0</v>
      </c>
      <c r="T1017" s="124">
        <f t="shared" si="153"/>
        <v>202</v>
      </c>
      <c r="U1017" s="124">
        <f t="shared" si="154"/>
        <v>860</v>
      </c>
      <c r="V1017" s="124">
        <f t="shared" si="155"/>
        <v>1008</v>
      </c>
      <c r="W1017" s="124">
        <f t="shared" si="156"/>
        <v>9.0000000015600001</v>
      </c>
      <c r="X1017" s="124">
        <f t="shared" si="157"/>
        <v>148595.88150157908</v>
      </c>
      <c r="Y1017" s="264">
        <f t="shared" si="158"/>
        <v>1008</v>
      </c>
      <c r="Z1017" s="10">
        <v>202</v>
      </c>
      <c r="AA1017" s="7">
        <v>860</v>
      </c>
      <c r="AB1017" s="7">
        <v>1008</v>
      </c>
      <c r="AC1017" s="109">
        <v>9.0000000015600001</v>
      </c>
      <c r="AD1017" s="109">
        <v>148595.88150157908</v>
      </c>
      <c r="AE1017" s="125"/>
      <c r="AF1017" s="10"/>
      <c r="AI1017" s="109"/>
      <c r="AJ1017" s="109"/>
      <c r="AL1017" s="10"/>
      <c r="AO1017" s="109"/>
      <c r="AP1017" s="109"/>
      <c r="AR1017" s="10"/>
      <c r="AU1017" s="109"/>
      <c r="AV1017" s="109"/>
      <c r="AX1017" s="10"/>
      <c r="BA1017" s="109"/>
      <c r="BB1017" s="109"/>
      <c r="BD1017" s="10"/>
      <c r="BG1017" s="109"/>
      <c r="BH1017" s="109"/>
      <c r="BJ1017" s="10"/>
      <c r="BM1017" s="109"/>
      <c r="BN1017" s="109"/>
      <c r="BP1017" s="10"/>
      <c r="BS1017" s="109"/>
      <c r="BT1017" s="109"/>
      <c r="BV1017" s="10"/>
      <c r="BY1017" s="109"/>
      <c r="BZ1017" s="109"/>
      <c r="CB1017" s="10"/>
      <c r="CE1017" s="109"/>
      <c r="CF1017" s="109"/>
      <c r="CH1017" s="10"/>
      <c r="CK1017" s="109"/>
      <c r="CL1017" s="109"/>
    </row>
    <row r="1018" spans="1:90">
      <c r="A1018" s="7" t="str">
        <f t="shared" si="151"/>
        <v>02020998</v>
      </c>
      <c r="B1018" s="7" t="s">
        <v>2541</v>
      </c>
      <c r="C1018" s="7" t="s">
        <v>2781</v>
      </c>
      <c r="D1018" s="7">
        <v>1009</v>
      </c>
      <c r="E1018" s="7">
        <v>202</v>
      </c>
      <c r="F1018" s="7" t="s">
        <v>2135</v>
      </c>
      <c r="G1018" s="7">
        <v>998</v>
      </c>
      <c r="H1018" s="7" t="s">
        <v>2135</v>
      </c>
      <c r="I1018" s="37">
        <v>0</v>
      </c>
      <c r="J1018" s="122">
        <v>0</v>
      </c>
      <c r="K1018" s="123">
        <f t="shared" si="160"/>
        <v>0</v>
      </c>
      <c r="L1018" s="122">
        <f>IF(K1019&gt;0, K1018/K1019, 0)</f>
        <v>0</v>
      </c>
      <c r="M1018" s="71"/>
      <c r="N1018" s="10">
        <f>ROUND(M1019*L1018,0)</f>
        <v>0</v>
      </c>
      <c r="O1018" s="70">
        <v>0</v>
      </c>
      <c r="P1018" s="10">
        <f>N1018-O1018</f>
        <v>0</v>
      </c>
      <c r="Q1018" s="46">
        <f t="shared" si="159"/>
        <v>0</v>
      </c>
      <c r="R1018" s="10">
        <v>0</v>
      </c>
      <c r="S1018" s="7">
        <f t="shared" si="152"/>
        <v>0</v>
      </c>
      <c r="T1018" s="124">
        <f t="shared" si="153"/>
        <v>202</v>
      </c>
      <c r="U1018" s="124">
        <f t="shared" si="154"/>
        <v>998</v>
      </c>
      <c r="V1018" s="124">
        <f t="shared" si="155"/>
        <v>1009</v>
      </c>
      <c r="W1018" s="124">
        <f t="shared" si="156"/>
        <v>0</v>
      </c>
      <c r="X1018" s="124">
        <f t="shared" si="157"/>
        <v>0</v>
      </c>
      <c r="Y1018" s="264">
        <f t="shared" si="158"/>
        <v>1009</v>
      </c>
      <c r="Z1018" s="10">
        <v>202</v>
      </c>
      <c r="AA1018" s="7">
        <v>998</v>
      </c>
      <c r="AB1018" s="7">
        <v>1009</v>
      </c>
      <c r="AC1018" s="109">
        <v>0</v>
      </c>
      <c r="AD1018" s="109">
        <v>0</v>
      </c>
      <c r="AE1018" s="125"/>
      <c r="AF1018" s="10"/>
      <c r="AI1018" s="109"/>
      <c r="AJ1018" s="109"/>
      <c r="AL1018" s="10"/>
      <c r="AO1018" s="109"/>
      <c r="AP1018" s="109"/>
      <c r="AR1018" s="10"/>
      <c r="AU1018" s="109"/>
      <c r="AV1018" s="109"/>
      <c r="AX1018" s="10"/>
      <c r="BA1018" s="109"/>
      <c r="BB1018" s="109"/>
      <c r="BD1018" s="10"/>
      <c r="BG1018" s="109"/>
      <c r="BH1018" s="109"/>
      <c r="BJ1018" s="10"/>
      <c r="BM1018" s="109"/>
      <c r="BN1018" s="109"/>
      <c r="BP1018" s="10"/>
      <c r="BS1018" s="109"/>
      <c r="BT1018" s="109"/>
      <c r="BV1018" s="10"/>
      <c r="BY1018" s="109"/>
      <c r="BZ1018" s="109"/>
      <c r="CB1018" s="10"/>
      <c r="CE1018" s="109"/>
      <c r="CF1018" s="109"/>
      <c r="CH1018" s="10"/>
      <c r="CK1018" s="109"/>
      <c r="CL1018" s="109"/>
    </row>
    <row r="1019" spans="1:90">
      <c r="A1019" s="7" t="str">
        <f t="shared" si="151"/>
        <v>02020999</v>
      </c>
      <c r="B1019" s="7" t="s">
        <v>2541</v>
      </c>
      <c r="C1019" s="7" t="s">
        <v>2782</v>
      </c>
      <c r="D1019" s="7">
        <v>1010</v>
      </c>
      <c r="E1019" s="11">
        <v>202</v>
      </c>
      <c r="F1019" s="11" t="s">
        <v>1907</v>
      </c>
      <c r="G1019" s="11">
        <v>999</v>
      </c>
      <c r="H1019" s="11" t="s">
        <v>1132</v>
      </c>
      <c r="I1019" s="105">
        <v>1693492</v>
      </c>
      <c r="J1019" s="126">
        <v>1</v>
      </c>
      <c r="K1019" s="127">
        <f>SUM(K1015:K1018)</f>
        <v>1639456.8107168945</v>
      </c>
      <c r="L1019" s="126">
        <f>SUM(L1015:L1018)</f>
        <v>1</v>
      </c>
      <c r="M1019" s="105">
        <f>VLOOKUP(E1019,town351,22)</f>
        <v>926699</v>
      </c>
      <c r="N1019" s="105">
        <f>SUM(N1015:N1018)</f>
        <v>926699</v>
      </c>
      <c r="O1019" s="128">
        <v>968844</v>
      </c>
      <c r="P1019" s="105">
        <f>SUM(P1015:P1018)</f>
        <v>-42145</v>
      </c>
      <c r="Q1019" s="45">
        <f t="shared" si="159"/>
        <v>-4.3500295197162808</v>
      </c>
      <c r="R1019" s="105">
        <v>163</v>
      </c>
      <c r="S1019" s="7">
        <f t="shared" si="152"/>
        <v>0</v>
      </c>
      <c r="T1019" s="124">
        <f t="shared" si="153"/>
        <v>202</v>
      </c>
      <c r="U1019" s="124">
        <f t="shared" si="154"/>
        <v>999</v>
      </c>
      <c r="V1019" s="124">
        <f t="shared" si="155"/>
        <v>1010</v>
      </c>
      <c r="W1019" s="124">
        <f t="shared" si="156"/>
        <v>154.82042755796002</v>
      </c>
      <c r="X1019" s="124">
        <f t="shared" si="157"/>
        <v>1639456.8107168945</v>
      </c>
      <c r="Y1019" s="264">
        <f t="shared" si="158"/>
        <v>1010</v>
      </c>
      <c r="Z1019" s="10">
        <v>202</v>
      </c>
      <c r="AA1019" s="7">
        <v>999</v>
      </c>
      <c r="AB1019" s="7">
        <v>1010</v>
      </c>
      <c r="AC1019" s="109">
        <v>154.82042755796002</v>
      </c>
      <c r="AD1019" s="109">
        <v>1639456.8107168945</v>
      </c>
      <c r="AE1019" s="125"/>
      <c r="AF1019" s="10"/>
      <c r="AI1019" s="109"/>
      <c r="AJ1019" s="109"/>
      <c r="AL1019" s="10"/>
      <c r="AO1019" s="109"/>
      <c r="AP1019" s="109"/>
      <c r="AR1019" s="10"/>
      <c r="AU1019" s="109"/>
      <c r="AV1019" s="109"/>
      <c r="AX1019" s="10"/>
      <c r="BA1019" s="109"/>
      <c r="BB1019" s="109"/>
      <c r="BD1019" s="10"/>
      <c r="BG1019" s="109"/>
      <c r="BH1019" s="109"/>
      <c r="BJ1019" s="10"/>
      <c r="BM1019" s="109"/>
      <c r="BN1019" s="109"/>
      <c r="BP1019" s="10"/>
      <c r="BS1019" s="109"/>
      <c r="BT1019" s="109"/>
      <c r="BV1019" s="10"/>
      <c r="BY1019" s="109"/>
      <c r="BZ1019" s="109"/>
      <c r="CB1019" s="10"/>
      <c r="CE1019" s="109"/>
      <c r="CF1019" s="109"/>
      <c r="CH1019" s="10"/>
      <c r="CK1019" s="109"/>
      <c r="CL1019" s="109"/>
    </row>
    <row r="1020" spans="1:90">
      <c r="A1020" s="7" t="str">
        <f t="shared" si="151"/>
        <v>02030203</v>
      </c>
      <c r="B1020" s="7" t="s">
        <v>2542</v>
      </c>
      <c r="C1020" s="7" t="s">
        <v>2542</v>
      </c>
      <c r="D1020" s="7">
        <v>1011</v>
      </c>
      <c r="E1020" s="7">
        <v>203</v>
      </c>
      <c r="F1020" s="7" t="s">
        <v>1908</v>
      </c>
      <c r="G1020" s="7">
        <v>203</v>
      </c>
      <c r="H1020" s="7" t="s">
        <v>1469</v>
      </c>
      <c r="I1020" s="37">
        <v>53983.259600000005</v>
      </c>
      <c r="J1020" s="122">
        <v>6.7936813561021176E-3</v>
      </c>
      <c r="K1020" s="123">
        <f>X1020</f>
        <v>82603.405821537279</v>
      </c>
      <c r="L1020" s="122">
        <f>IF(K1024&gt;0, K1020/K1024, 0)</f>
        <v>1.076853019765558E-2</v>
      </c>
      <c r="M1020" s="71"/>
      <c r="N1020" s="10">
        <f>ROUND(M1024*L1020,0)</f>
        <v>69230</v>
      </c>
      <c r="O1020" s="70">
        <v>45708</v>
      </c>
      <c r="P1020" s="10">
        <f>N1020-O1020</f>
        <v>23522</v>
      </c>
      <c r="Q1020" s="46">
        <f t="shared" si="159"/>
        <v>51.461450949505554</v>
      </c>
      <c r="R1020" s="10">
        <v>4</v>
      </c>
      <c r="S1020" s="7">
        <f t="shared" si="152"/>
        <v>0</v>
      </c>
      <c r="T1020" s="124">
        <f t="shared" si="153"/>
        <v>203</v>
      </c>
      <c r="U1020" s="124">
        <f t="shared" si="154"/>
        <v>203</v>
      </c>
      <c r="V1020" s="124">
        <f t="shared" si="155"/>
        <v>1011</v>
      </c>
      <c r="W1020" s="124">
        <f t="shared" si="156"/>
        <v>6</v>
      </c>
      <c r="X1020" s="124">
        <f t="shared" si="157"/>
        <v>82603.405821537279</v>
      </c>
      <c r="Y1020" s="264">
        <f t="shared" si="158"/>
        <v>1011</v>
      </c>
      <c r="Z1020" s="10">
        <v>203</v>
      </c>
      <c r="AA1020" s="7">
        <v>203</v>
      </c>
      <c r="AB1020" s="7">
        <v>1011</v>
      </c>
      <c r="AC1020" s="109">
        <v>6</v>
      </c>
      <c r="AD1020" s="109">
        <v>82603.405821537279</v>
      </c>
      <c r="AE1020" s="125"/>
      <c r="AF1020" s="10"/>
      <c r="AI1020" s="109"/>
      <c r="AJ1020" s="109"/>
      <c r="AL1020" s="10"/>
      <c r="AO1020" s="109"/>
      <c r="AP1020" s="109"/>
      <c r="AR1020" s="10"/>
      <c r="AU1020" s="109"/>
      <c r="AV1020" s="109"/>
      <c r="AX1020" s="10"/>
      <c r="BA1020" s="109"/>
      <c r="BB1020" s="109"/>
      <c r="BD1020" s="10"/>
      <c r="BG1020" s="109"/>
      <c r="BH1020" s="109"/>
      <c r="BJ1020" s="10"/>
      <c r="BM1020" s="109"/>
      <c r="BN1020" s="109"/>
      <c r="BP1020" s="10"/>
      <c r="BS1020" s="109"/>
      <c r="BT1020" s="109"/>
      <c r="BV1020" s="10"/>
      <c r="BY1020" s="109"/>
      <c r="BZ1020" s="109"/>
      <c r="CB1020" s="10"/>
      <c r="CE1020" s="109"/>
      <c r="CF1020" s="109"/>
      <c r="CH1020" s="10"/>
      <c r="CK1020" s="109"/>
      <c r="CL1020" s="109"/>
    </row>
    <row r="1021" spans="1:90">
      <c r="A1021" s="7" t="str">
        <f t="shared" si="151"/>
        <v>02030773</v>
      </c>
      <c r="B1021" s="7" t="s">
        <v>2542</v>
      </c>
      <c r="C1021" s="7" t="s">
        <v>2747</v>
      </c>
      <c r="D1021" s="7">
        <v>1012</v>
      </c>
      <c r="E1021" s="7">
        <v>203</v>
      </c>
      <c r="F1021" s="7" t="s">
        <v>1908</v>
      </c>
      <c r="G1021" s="7">
        <v>773</v>
      </c>
      <c r="H1021" s="7" t="s">
        <v>1674</v>
      </c>
      <c r="I1021" s="37">
        <v>7465877</v>
      </c>
      <c r="J1021" s="122">
        <v>0.93956514959781356</v>
      </c>
      <c r="K1021" s="123">
        <f t="shared" si="160"/>
        <v>7154049.8089885702</v>
      </c>
      <c r="L1021" s="122">
        <f>IF(K1024&gt;0, K1021/K1024, 0)</f>
        <v>0.93263226422002077</v>
      </c>
      <c r="M1021" s="71"/>
      <c r="N1021" s="10">
        <f>ROUND(M1024*L1021,0)</f>
        <v>5995819</v>
      </c>
      <c r="O1021" s="70">
        <v>6321345</v>
      </c>
      <c r="P1021" s="10">
        <f>N1021-O1021</f>
        <v>-325526</v>
      </c>
      <c r="Q1021" s="46">
        <f t="shared" si="159"/>
        <v>-5.1496319216875523</v>
      </c>
      <c r="R1021" s="10">
        <v>747</v>
      </c>
      <c r="S1021" s="7">
        <f t="shared" si="152"/>
        <v>0</v>
      </c>
      <c r="T1021" s="124">
        <f t="shared" si="153"/>
        <v>203</v>
      </c>
      <c r="U1021" s="124">
        <f t="shared" si="154"/>
        <v>773</v>
      </c>
      <c r="V1021" s="124">
        <f t="shared" si="155"/>
        <v>1012</v>
      </c>
      <c r="W1021" s="124">
        <f t="shared" si="156"/>
        <v>701.41304347929997</v>
      </c>
      <c r="X1021" s="124">
        <f t="shared" si="157"/>
        <v>7154049.8089885702</v>
      </c>
      <c r="Y1021" s="264">
        <f t="shared" si="158"/>
        <v>1012</v>
      </c>
      <c r="Z1021" s="10">
        <v>203</v>
      </c>
      <c r="AA1021" s="7">
        <v>773</v>
      </c>
      <c r="AB1021" s="7">
        <v>1012</v>
      </c>
      <c r="AC1021" s="109">
        <v>701.41304347929997</v>
      </c>
      <c r="AD1021" s="109">
        <v>7154049.8089885702</v>
      </c>
      <c r="AE1021" s="125"/>
      <c r="AF1021" s="10"/>
      <c r="AI1021" s="109"/>
      <c r="AJ1021" s="109"/>
      <c r="AL1021" s="10"/>
      <c r="AO1021" s="109"/>
      <c r="AP1021" s="109"/>
      <c r="AR1021" s="10"/>
      <c r="AU1021" s="109"/>
      <c r="AV1021" s="109"/>
      <c r="AX1021" s="10"/>
      <c r="BA1021" s="109"/>
      <c r="BB1021" s="109"/>
      <c r="BD1021" s="10"/>
      <c r="BG1021" s="109"/>
      <c r="BH1021" s="109"/>
      <c r="BJ1021" s="10"/>
      <c r="BM1021" s="109"/>
      <c r="BN1021" s="109"/>
      <c r="BP1021" s="10"/>
      <c r="BS1021" s="109"/>
      <c r="BT1021" s="109"/>
      <c r="BV1021" s="10"/>
      <c r="BY1021" s="109"/>
      <c r="BZ1021" s="109"/>
      <c r="CB1021" s="10"/>
      <c r="CE1021" s="109"/>
      <c r="CF1021" s="109"/>
      <c r="CH1021" s="10"/>
      <c r="CK1021" s="109"/>
      <c r="CL1021" s="109"/>
    </row>
    <row r="1022" spans="1:90">
      <c r="A1022" s="7" t="str">
        <f t="shared" si="151"/>
        <v>02030885</v>
      </c>
      <c r="B1022" s="7" t="s">
        <v>2542</v>
      </c>
      <c r="C1022" s="7" t="s">
        <v>2777</v>
      </c>
      <c r="D1022" s="7">
        <v>1013</v>
      </c>
      <c r="E1022" s="7">
        <v>203</v>
      </c>
      <c r="F1022" s="7" t="s">
        <v>1908</v>
      </c>
      <c r="G1022" s="7">
        <v>885</v>
      </c>
      <c r="H1022" s="7" t="s">
        <v>1704</v>
      </c>
      <c r="I1022" s="37">
        <v>426238</v>
      </c>
      <c r="J1022" s="122">
        <v>5.3641169046084319E-2</v>
      </c>
      <c r="K1022" s="123">
        <f t="shared" si="160"/>
        <v>434162.05016643327</v>
      </c>
      <c r="L1022" s="122">
        <f>IF(K1024&gt;0, K1022/K1024, 0)</f>
        <v>5.6599205582323592E-2</v>
      </c>
      <c r="M1022" s="71"/>
      <c r="N1022" s="10">
        <f>ROUND(M1024*L1022,0)</f>
        <v>363872</v>
      </c>
      <c r="O1022" s="70">
        <v>360895</v>
      </c>
      <c r="P1022" s="10">
        <f>N1022-O1022</f>
        <v>2977</v>
      </c>
      <c r="Q1022" s="46">
        <f t="shared" si="159"/>
        <v>0.82489366713309964</v>
      </c>
      <c r="R1022" s="10">
        <v>27</v>
      </c>
      <c r="S1022" s="7">
        <f t="shared" si="152"/>
        <v>0</v>
      </c>
      <c r="T1022" s="124">
        <f t="shared" si="153"/>
        <v>203</v>
      </c>
      <c r="U1022" s="124">
        <f t="shared" si="154"/>
        <v>885</v>
      </c>
      <c r="V1022" s="124">
        <f t="shared" si="155"/>
        <v>1013</v>
      </c>
      <c r="W1022" s="124">
        <f t="shared" si="156"/>
        <v>26.978030915399998</v>
      </c>
      <c r="X1022" s="124">
        <f t="shared" si="157"/>
        <v>434162.05016643327</v>
      </c>
      <c r="Y1022" s="264">
        <f t="shared" si="158"/>
        <v>1013</v>
      </c>
      <c r="Z1022" s="10">
        <v>203</v>
      </c>
      <c r="AA1022" s="7">
        <v>885</v>
      </c>
      <c r="AB1022" s="7">
        <v>1013</v>
      </c>
      <c r="AC1022" s="109">
        <v>26.978030915399998</v>
      </c>
      <c r="AD1022" s="109">
        <v>434162.05016643327</v>
      </c>
      <c r="AE1022" s="125"/>
      <c r="AF1022" s="10"/>
      <c r="AI1022" s="109"/>
      <c r="AJ1022" s="109"/>
      <c r="AL1022" s="10"/>
      <c r="AO1022" s="109"/>
      <c r="AP1022" s="109"/>
      <c r="AR1022" s="10"/>
      <c r="AU1022" s="109"/>
      <c r="AV1022" s="109"/>
      <c r="AX1022" s="10"/>
      <c r="BA1022" s="109"/>
      <c r="BB1022" s="109"/>
      <c r="BD1022" s="10"/>
      <c r="BG1022" s="109"/>
      <c r="BH1022" s="109"/>
      <c r="BJ1022" s="10"/>
      <c r="BM1022" s="109"/>
      <c r="BN1022" s="109"/>
      <c r="BP1022" s="10"/>
      <c r="BS1022" s="109"/>
      <c r="BT1022" s="109"/>
      <c r="BV1022" s="10"/>
      <c r="BY1022" s="109"/>
      <c r="BZ1022" s="109"/>
      <c r="CB1022" s="10"/>
      <c r="CE1022" s="109"/>
      <c r="CF1022" s="109"/>
      <c r="CH1022" s="10"/>
      <c r="CK1022" s="109"/>
      <c r="CL1022" s="109"/>
    </row>
    <row r="1023" spans="1:90">
      <c r="A1023" s="7" t="str">
        <f t="shared" si="151"/>
        <v>02030998</v>
      </c>
      <c r="B1023" s="7" t="s">
        <v>2542</v>
      </c>
      <c r="C1023" s="7" t="s">
        <v>2781</v>
      </c>
      <c r="D1023" s="7">
        <v>1014</v>
      </c>
      <c r="E1023" s="7">
        <v>203</v>
      </c>
      <c r="F1023" s="7" t="s">
        <v>2135</v>
      </c>
      <c r="G1023" s="7">
        <v>998</v>
      </c>
      <c r="I1023" s="129">
        <v>0</v>
      </c>
      <c r="J1023" s="130">
        <v>0</v>
      </c>
      <c r="K1023" s="123">
        <f t="shared" si="160"/>
        <v>0</v>
      </c>
      <c r="L1023" s="122">
        <f>IF(K1024&gt;0, K1023/K1024, 0)</f>
        <v>0</v>
      </c>
      <c r="M1023" s="71"/>
      <c r="N1023" s="10">
        <f>ROUND(M1024*L1023,0)</f>
        <v>0</v>
      </c>
      <c r="O1023" s="70">
        <v>0</v>
      </c>
      <c r="P1023" s="10">
        <f>N1023-O1023</f>
        <v>0</v>
      </c>
      <c r="Q1023" s="46">
        <f t="shared" si="159"/>
        <v>0</v>
      </c>
      <c r="R1023" s="10">
        <v>0</v>
      </c>
      <c r="S1023" s="7">
        <f t="shared" si="152"/>
        <v>0</v>
      </c>
      <c r="T1023" s="124">
        <f t="shared" si="153"/>
        <v>203</v>
      </c>
      <c r="U1023" s="124">
        <f t="shared" si="154"/>
        <v>998</v>
      </c>
      <c r="V1023" s="124">
        <f t="shared" si="155"/>
        <v>1014</v>
      </c>
      <c r="W1023" s="124">
        <f t="shared" si="156"/>
        <v>0</v>
      </c>
      <c r="X1023" s="124">
        <f t="shared" si="157"/>
        <v>0</v>
      </c>
      <c r="Y1023" s="264">
        <f t="shared" si="158"/>
        <v>1014</v>
      </c>
      <c r="Z1023" s="10">
        <v>203</v>
      </c>
      <c r="AA1023" s="7">
        <v>998</v>
      </c>
      <c r="AB1023" s="7">
        <v>1014</v>
      </c>
      <c r="AC1023" s="109">
        <v>0</v>
      </c>
      <c r="AD1023" s="109">
        <v>0</v>
      </c>
      <c r="AE1023" s="125"/>
      <c r="AF1023" s="10"/>
      <c r="AI1023" s="109"/>
      <c r="AJ1023" s="109"/>
      <c r="AL1023" s="10"/>
      <c r="AO1023" s="109"/>
      <c r="AP1023" s="109"/>
      <c r="AR1023" s="10"/>
      <c r="AU1023" s="109"/>
      <c r="AV1023" s="109"/>
      <c r="AX1023" s="10"/>
      <c r="BA1023" s="109"/>
      <c r="BB1023" s="109"/>
      <c r="BD1023" s="10"/>
      <c r="BG1023" s="109"/>
      <c r="BH1023" s="109"/>
      <c r="BJ1023" s="10"/>
      <c r="BM1023" s="109"/>
      <c r="BN1023" s="109"/>
      <c r="BP1023" s="10"/>
      <c r="BS1023" s="109"/>
      <c r="BT1023" s="109"/>
      <c r="BV1023" s="10"/>
      <c r="BY1023" s="109"/>
      <c r="BZ1023" s="109"/>
      <c r="CB1023" s="10"/>
      <c r="CE1023" s="109"/>
      <c r="CF1023" s="109"/>
      <c r="CH1023" s="10"/>
      <c r="CK1023" s="109"/>
      <c r="CL1023" s="109"/>
    </row>
    <row r="1024" spans="1:90">
      <c r="A1024" s="7" t="str">
        <f t="shared" si="151"/>
        <v>02030999</v>
      </c>
      <c r="B1024" s="7" t="s">
        <v>2542</v>
      </c>
      <c r="C1024" s="7" t="s">
        <v>2782</v>
      </c>
      <c r="D1024" s="7">
        <v>1015</v>
      </c>
      <c r="E1024" s="11">
        <v>203</v>
      </c>
      <c r="F1024" s="11" t="s">
        <v>1908</v>
      </c>
      <c r="G1024" s="11">
        <v>999</v>
      </c>
      <c r="H1024" s="11" t="s">
        <v>1132</v>
      </c>
      <c r="I1024" s="105">
        <v>7946098.2596000005</v>
      </c>
      <c r="J1024" s="126">
        <v>1</v>
      </c>
      <c r="K1024" s="127">
        <f>SUM(K1020:K1023)</f>
        <v>7670815.2649765415</v>
      </c>
      <c r="L1024" s="126">
        <f>SUM(L1020:L1023)</f>
        <v>0.99999999999999989</v>
      </c>
      <c r="M1024" s="105">
        <f>VLOOKUP(E1024,town351,22)</f>
        <v>6428921</v>
      </c>
      <c r="N1024" s="105">
        <f>SUM(N1020:N1023)</f>
        <v>6428921</v>
      </c>
      <c r="O1024" s="128">
        <v>6727948</v>
      </c>
      <c r="P1024" s="105">
        <f>SUM(P1020:P1023)</f>
        <v>-299027</v>
      </c>
      <c r="Q1024" s="45">
        <f t="shared" si="159"/>
        <v>-4.4445498092434725</v>
      </c>
      <c r="R1024" s="105">
        <v>778</v>
      </c>
      <c r="S1024" s="7">
        <f t="shared" si="152"/>
        <v>0</v>
      </c>
      <c r="T1024" s="124">
        <f t="shared" si="153"/>
        <v>203</v>
      </c>
      <c r="U1024" s="124">
        <f t="shared" si="154"/>
        <v>999</v>
      </c>
      <c r="V1024" s="124">
        <f t="shared" si="155"/>
        <v>1015</v>
      </c>
      <c r="W1024" s="124">
        <f t="shared" si="156"/>
        <v>734.39107439470001</v>
      </c>
      <c r="X1024" s="124">
        <f t="shared" si="157"/>
        <v>7670815.2649765415</v>
      </c>
      <c r="Y1024" s="264">
        <f t="shared" si="158"/>
        <v>1015</v>
      </c>
      <c r="Z1024" s="10">
        <v>203</v>
      </c>
      <c r="AA1024" s="7">
        <v>999</v>
      </c>
      <c r="AB1024" s="7">
        <v>1015</v>
      </c>
      <c r="AC1024" s="109">
        <v>734.39107439470001</v>
      </c>
      <c r="AD1024" s="109">
        <v>7670815.2649765415</v>
      </c>
      <c r="AE1024" s="125"/>
      <c r="AF1024" s="10"/>
      <c r="AI1024" s="109"/>
      <c r="AJ1024" s="109"/>
      <c r="AL1024" s="10"/>
      <c r="AO1024" s="109"/>
      <c r="AP1024" s="109"/>
      <c r="AR1024" s="10"/>
      <c r="AU1024" s="109"/>
      <c r="AV1024" s="109"/>
      <c r="AX1024" s="10"/>
      <c r="BA1024" s="109"/>
      <c r="BB1024" s="109"/>
      <c r="BD1024" s="10"/>
      <c r="BG1024" s="109"/>
      <c r="BH1024" s="109"/>
      <c r="BJ1024" s="10"/>
      <c r="BM1024" s="109"/>
      <c r="BN1024" s="109"/>
      <c r="BP1024" s="10"/>
      <c r="BS1024" s="109"/>
      <c r="BT1024" s="109"/>
      <c r="BV1024" s="10"/>
      <c r="BY1024" s="109"/>
      <c r="BZ1024" s="109"/>
      <c r="CB1024" s="10"/>
      <c r="CE1024" s="109"/>
      <c r="CF1024" s="109"/>
      <c r="CH1024" s="10"/>
      <c r="CK1024" s="109"/>
      <c r="CL1024" s="109"/>
    </row>
    <row r="1025" spans="1:90">
      <c r="A1025" s="7" t="str">
        <f t="shared" si="151"/>
        <v>02040204</v>
      </c>
      <c r="B1025" s="7" t="s">
        <v>2543</v>
      </c>
      <c r="C1025" s="7" t="s">
        <v>2543</v>
      </c>
      <c r="D1025" s="7">
        <v>1016</v>
      </c>
      <c r="E1025" s="7">
        <v>204</v>
      </c>
      <c r="F1025" s="7" t="s">
        <v>1909</v>
      </c>
      <c r="G1025" s="7">
        <v>204</v>
      </c>
      <c r="H1025" s="7" t="s">
        <v>1470</v>
      </c>
      <c r="I1025" s="37">
        <v>22075387.820000004</v>
      </c>
      <c r="J1025" s="122">
        <v>0.9831266805587322</v>
      </c>
      <c r="K1025" s="123">
        <f>X1025</f>
        <v>22572192.428649735</v>
      </c>
      <c r="L1025" s="122">
        <f>IF(K1029&gt;0, K1025/K1029, 0)</f>
        <v>0.97771179046248868</v>
      </c>
      <c r="M1025" s="71"/>
      <c r="N1025" s="10">
        <f>ROUND(M1029*L1025,0)</f>
        <v>18688498</v>
      </c>
      <c r="O1025" s="70">
        <v>18475881</v>
      </c>
      <c r="P1025" s="10">
        <f>N1025-O1025</f>
        <v>212617</v>
      </c>
      <c r="Q1025" s="46">
        <f t="shared" si="159"/>
        <v>1.1507813889903273</v>
      </c>
      <c r="R1025" s="10">
        <v>2385</v>
      </c>
      <c r="S1025" s="7">
        <f t="shared" si="152"/>
        <v>0</v>
      </c>
      <c r="T1025" s="124">
        <f t="shared" si="153"/>
        <v>204</v>
      </c>
      <c r="U1025" s="124">
        <f t="shared" si="154"/>
        <v>204</v>
      </c>
      <c r="V1025" s="124">
        <f t="shared" si="155"/>
        <v>1016</v>
      </c>
      <c r="W1025" s="124">
        <f t="shared" si="156"/>
        <v>2395</v>
      </c>
      <c r="X1025" s="124">
        <f t="shared" si="157"/>
        <v>22572192.428649735</v>
      </c>
      <c r="Y1025" s="264">
        <f t="shared" si="158"/>
        <v>1016</v>
      </c>
      <c r="Z1025" s="10">
        <v>204</v>
      </c>
      <c r="AA1025" s="7">
        <v>204</v>
      </c>
      <c r="AB1025" s="7">
        <v>1016</v>
      </c>
      <c r="AC1025" s="109">
        <v>2395</v>
      </c>
      <c r="AD1025" s="109">
        <v>22572192.428649735</v>
      </c>
      <c r="AE1025" s="125"/>
      <c r="AF1025" s="10"/>
      <c r="AI1025" s="109"/>
      <c r="AJ1025" s="109"/>
      <c r="AL1025" s="10"/>
      <c r="AO1025" s="109"/>
      <c r="AP1025" s="109"/>
      <c r="AR1025" s="10"/>
      <c r="AU1025" s="109"/>
      <c r="AV1025" s="109"/>
      <c r="AX1025" s="10"/>
      <c r="BA1025" s="109"/>
      <c r="BB1025" s="109"/>
      <c r="BD1025" s="10"/>
      <c r="BG1025" s="109"/>
      <c r="BH1025" s="109"/>
      <c r="BJ1025" s="10"/>
      <c r="BM1025" s="109"/>
      <c r="BN1025" s="109"/>
      <c r="BP1025" s="10"/>
      <c r="BS1025" s="109"/>
      <c r="BT1025" s="109"/>
      <c r="BV1025" s="10"/>
      <c r="BY1025" s="109"/>
      <c r="BZ1025" s="109"/>
      <c r="CB1025" s="10"/>
      <c r="CE1025" s="109"/>
      <c r="CF1025" s="109"/>
      <c r="CH1025" s="10"/>
      <c r="CK1025" s="109"/>
      <c r="CL1025" s="109"/>
    </row>
    <row r="1026" spans="1:90">
      <c r="A1026" s="7" t="str">
        <f t="shared" si="151"/>
        <v>02040885</v>
      </c>
      <c r="B1026" s="7" t="s">
        <v>2543</v>
      </c>
      <c r="C1026" s="7" t="s">
        <v>2777</v>
      </c>
      <c r="D1026" s="7">
        <v>1017</v>
      </c>
      <c r="E1026" s="7">
        <v>204</v>
      </c>
      <c r="F1026" s="7" t="s">
        <v>1909</v>
      </c>
      <c r="G1026" s="7">
        <v>885</v>
      </c>
      <c r="H1026" s="7" t="s">
        <v>1704</v>
      </c>
      <c r="I1026" s="37">
        <v>378878</v>
      </c>
      <c r="J1026" s="122">
        <v>1.6873319441267749E-2</v>
      </c>
      <c r="K1026" s="123">
        <f t="shared" si="160"/>
        <v>514562.42982688395</v>
      </c>
      <c r="L1026" s="122">
        <f>IF(K1029&gt;0, K1026/K1029, 0)</f>
        <v>2.2288209537511299E-2</v>
      </c>
      <c r="M1026" s="71"/>
      <c r="N1026" s="10">
        <f>ROUND(M1029*L1026,0)</f>
        <v>426029</v>
      </c>
      <c r="O1026" s="70">
        <v>317100</v>
      </c>
      <c r="P1026" s="10">
        <f>N1026-O1026</f>
        <v>108929</v>
      </c>
      <c r="Q1026" s="46">
        <f t="shared" si="159"/>
        <v>34.351624093345947</v>
      </c>
      <c r="R1026" s="10">
        <v>24</v>
      </c>
      <c r="S1026" s="7">
        <f t="shared" si="152"/>
        <v>0</v>
      </c>
      <c r="T1026" s="124">
        <f t="shared" si="153"/>
        <v>204</v>
      </c>
      <c r="U1026" s="124">
        <f t="shared" si="154"/>
        <v>885</v>
      </c>
      <c r="V1026" s="124">
        <f t="shared" si="155"/>
        <v>1017</v>
      </c>
      <c r="W1026" s="124">
        <f t="shared" si="156"/>
        <v>31.973962566400001</v>
      </c>
      <c r="X1026" s="124">
        <f t="shared" si="157"/>
        <v>514562.42982688395</v>
      </c>
      <c r="Y1026" s="264">
        <f t="shared" si="158"/>
        <v>1017</v>
      </c>
      <c r="Z1026" s="10">
        <v>204</v>
      </c>
      <c r="AA1026" s="7">
        <v>885</v>
      </c>
      <c r="AB1026" s="7">
        <v>1017</v>
      </c>
      <c r="AC1026" s="109">
        <v>31.973962566400001</v>
      </c>
      <c r="AD1026" s="109">
        <v>514562.42982688395</v>
      </c>
      <c r="AE1026" s="125"/>
      <c r="AF1026" s="10"/>
      <c r="AI1026" s="109"/>
      <c r="AJ1026" s="109"/>
      <c r="AL1026" s="10"/>
      <c r="AO1026" s="109"/>
      <c r="AP1026" s="109"/>
      <c r="AR1026" s="10"/>
      <c r="AU1026" s="109"/>
      <c r="AV1026" s="109"/>
      <c r="AX1026" s="10"/>
      <c r="BA1026" s="109"/>
      <c r="BB1026" s="109"/>
      <c r="BD1026" s="10"/>
      <c r="BG1026" s="109"/>
      <c r="BH1026" s="109"/>
      <c r="BJ1026" s="10"/>
      <c r="BM1026" s="109"/>
      <c r="BN1026" s="109"/>
      <c r="BP1026" s="10"/>
      <c r="BS1026" s="109"/>
      <c r="BT1026" s="109"/>
      <c r="BV1026" s="10"/>
      <c r="BY1026" s="109"/>
      <c r="BZ1026" s="109"/>
      <c r="CB1026" s="10"/>
      <c r="CE1026" s="109"/>
      <c r="CF1026" s="109"/>
      <c r="CH1026" s="10"/>
      <c r="CK1026" s="109"/>
      <c r="CL1026" s="109"/>
    </row>
    <row r="1027" spans="1:90">
      <c r="A1027" s="7" t="str">
        <f t="shared" si="151"/>
        <v>02040998</v>
      </c>
      <c r="B1027" s="7" t="s">
        <v>2543</v>
      </c>
      <c r="C1027" s="7" t="s">
        <v>2781</v>
      </c>
      <c r="D1027" s="7">
        <v>1018</v>
      </c>
      <c r="E1027" s="7">
        <v>204</v>
      </c>
      <c r="F1027" s="7" t="s">
        <v>2135</v>
      </c>
      <c r="G1027" s="7">
        <v>998</v>
      </c>
      <c r="I1027" s="129">
        <v>0</v>
      </c>
      <c r="J1027" s="130">
        <v>0</v>
      </c>
      <c r="K1027" s="123">
        <f t="shared" si="160"/>
        <v>0</v>
      </c>
      <c r="L1027" s="122">
        <f>IF(K1029&gt;0, K1027/K1029, 0)</f>
        <v>0</v>
      </c>
      <c r="M1027" s="71"/>
      <c r="N1027" s="10">
        <f>ROUND(M1029*L1027,0)</f>
        <v>0</v>
      </c>
      <c r="O1027" s="70">
        <v>0</v>
      </c>
      <c r="P1027" s="10">
        <f>N1027-O1027</f>
        <v>0</v>
      </c>
      <c r="Q1027" s="46">
        <f t="shared" si="159"/>
        <v>0</v>
      </c>
      <c r="R1027" s="10">
        <v>0</v>
      </c>
      <c r="S1027" s="7">
        <f t="shared" si="152"/>
        <v>0</v>
      </c>
      <c r="T1027" s="124">
        <f t="shared" si="153"/>
        <v>204</v>
      </c>
      <c r="U1027" s="124">
        <f t="shared" si="154"/>
        <v>998</v>
      </c>
      <c r="V1027" s="124">
        <f t="shared" si="155"/>
        <v>1018</v>
      </c>
      <c r="W1027" s="124">
        <f t="shared" si="156"/>
        <v>0</v>
      </c>
      <c r="X1027" s="124">
        <f t="shared" si="157"/>
        <v>0</v>
      </c>
      <c r="Y1027" s="264">
        <f t="shared" si="158"/>
        <v>1018</v>
      </c>
      <c r="Z1027" s="10">
        <v>204</v>
      </c>
      <c r="AA1027" s="7">
        <v>998</v>
      </c>
      <c r="AB1027" s="7">
        <v>1018</v>
      </c>
      <c r="AC1027" s="109">
        <v>0</v>
      </c>
      <c r="AD1027" s="109">
        <v>0</v>
      </c>
      <c r="AE1027" s="125"/>
      <c r="AF1027" s="10"/>
      <c r="AI1027" s="109"/>
      <c r="AJ1027" s="109"/>
      <c r="AL1027" s="10"/>
      <c r="AO1027" s="109"/>
      <c r="AP1027" s="109"/>
      <c r="AR1027" s="10"/>
      <c r="AU1027" s="109"/>
      <c r="AV1027" s="109"/>
      <c r="AX1027" s="10"/>
      <c r="BA1027" s="109"/>
      <c r="BB1027" s="109"/>
      <c r="BD1027" s="10"/>
      <c r="BG1027" s="109"/>
      <c r="BH1027" s="109"/>
      <c r="BJ1027" s="10"/>
      <c r="BM1027" s="109"/>
      <c r="BN1027" s="109"/>
      <c r="BP1027" s="10"/>
      <c r="BS1027" s="109"/>
      <c r="BT1027" s="109"/>
      <c r="BV1027" s="10"/>
      <c r="BY1027" s="109"/>
      <c r="BZ1027" s="109"/>
      <c r="CB1027" s="10"/>
      <c r="CE1027" s="109"/>
      <c r="CF1027" s="109"/>
      <c r="CH1027" s="10"/>
      <c r="CK1027" s="109"/>
      <c r="CL1027" s="109"/>
    </row>
    <row r="1028" spans="1:90">
      <c r="A1028" s="7" t="str">
        <f t="shared" si="151"/>
        <v>02040998</v>
      </c>
      <c r="B1028" s="7" t="s">
        <v>2543</v>
      </c>
      <c r="C1028" s="7" t="s">
        <v>2781</v>
      </c>
      <c r="D1028" s="7">
        <v>1019</v>
      </c>
      <c r="E1028" s="7">
        <v>204</v>
      </c>
      <c r="F1028" s="7" t="s">
        <v>2135</v>
      </c>
      <c r="G1028" s="7">
        <v>998</v>
      </c>
      <c r="H1028" s="7" t="s">
        <v>2135</v>
      </c>
      <c r="I1028" s="37">
        <v>0</v>
      </c>
      <c r="J1028" s="122">
        <v>0</v>
      </c>
      <c r="K1028" s="123">
        <f t="shared" si="160"/>
        <v>0</v>
      </c>
      <c r="L1028" s="122">
        <f>IF(K1029&gt;0, K1028/K1029, 0)</f>
        <v>0</v>
      </c>
      <c r="M1028" s="71"/>
      <c r="N1028" s="10">
        <f>ROUND(M1029*L1028,0)</f>
        <v>0</v>
      </c>
      <c r="O1028" s="70">
        <v>0</v>
      </c>
      <c r="P1028" s="10">
        <f>N1028-O1028</f>
        <v>0</v>
      </c>
      <c r="Q1028" s="46">
        <f t="shared" si="159"/>
        <v>0</v>
      </c>
      <c r="R1028" s="10">
        <v>0</v>
      </c>
      <c r="S1028" s="7">
        <f t="shared" si="152"/>
        <v>0</v>
      </c>
      <c r="T1028" s="124">
        <f t="shared" si="153"/>
        <v>204</v>
      </c>
      <c r="U1028" s="124">
        <f t="shared" si="154"/>
        <v>998</v>
      </c>
      <c r="V1028" s="124">
        <f t="shared" si="155"/>
        <v>1019</v>
      </c>
      <c r="W1028" s="124">
        <f t="shared" si="156"/>
        <v>0</v>
      </c>
      <c r="X1028" s="124">
        <f t="shared" si="157"/>
        <v>0</v>
      </c>
      <c r="Y1028" s="264">
        <f t="shared" si="158"/>
        <v>1019</v>
      </c>
      <c r="Z1028" s="10">
        <v>204</v>
      </c>
      <c r="AA1028" s="7">
        <v>998</v>
      </c>
      <c r="AB1028" s="7">
        <v>1019</v>
      </c>
      <c r="AC1028" s="109">
        <v>0</v>
      </c>
      <c r="AD1028" s="109">
        <v>0</v>
      </c>
      <c r="AE1028" s="125"/>
      <c r="AF1028" s="10"/>
      <c r="AI1028" s="109"/>
      <c r="AJ1028" s="109"/>
      <c r="AL1028" s="10"/>
      <c r="AO1028" s="109"/>
      <c r="AP1028" s="109"/>
      <c r="AR1028" s="10"/>
      <c r="AU1028" s="109"/>
      <c r="AV1028" s="109"/>
      <c r="AX1028" s="10"/>
      <c r="BA1028" s="109"/>
      <c r="BB1028" s="109"/>
      <c r="BD1028" s="10"/>
      <c r="BG1028" s="109"/>
      <c r="BH1028" s="109"/>
      <c r="BJ1028" s="10"/>
      <c r="BM1028" s="109"/>
      <c r="BN1028" s="109"/>
      <c r="BP1028" s="10"/>
      <c r="BS1028" s="109"/>
      <c r="BT1028" s="109"/>
      <c r="BV1028" s="10"/>
      <c r="BY1028" s="109"/>
      <c r="BZ1028" s="109"/>
      <c r="CB1028" s="10"/>
      <c r="CE1028" s="109"/>
      <c r="CF1028" s="109"/>
      <c r="CH1028" s="10"/>
      <c r="CK1028" s="109"/>
      <c r="CL1028" s="109"/>
    </row>
    <row r="1029" spans="1:90">
      <c r="A1029" s="7" t="str">
        <f t="shared" si="151"/>
        <v>02040999</v>
      </c>
      <c r="B1029" s="7" t="s">
        <v>2543</v>
      </c>
      <c r="C1029" s="7" t="s">
        <v>2782</v>
      </c>
      <c r="D1029" s="7">
        <v>1020</v>
      </c>
      <c r="E1029" s="11">
        <v>204</v>
      </c>
      <c r="F1029" s="11" t="s">
        <v>1909</v>
      </c>
      <c r="G1029" s="11">
        <v>999</v>
      </c>
      <c r="H1029" s="11" t="s">
        <v>1132</v>
      </c>
      <c r="I1029" s="105">
        <v>22454265.820000004</v>
      </c>
      <c r="J1029" s="126">
        <v>1</v>
      </c>
      <c r="K1029" s="127">
        <f>SUM(K1025:K1028)</f>
        <v>23086754.85847662</v>
      </c>
      <c r="L1029" s="126">
        <f>SUM(L1025:L1028)</f>
        <v>1</v>
      </c>
      <c r="M1029" s="105">
        <f>VLOOKUP(E1029,town351,22)</f>
        <v>19114527</v>
      </c>
      <c r="N1029" s="105">
        <f>SUM(N1025:N1028)</f>
        <v>19114527</v>
      </c>
      <c r="O1029" s="128">
        <v>18792981</v>
      </c>
      <c r="P1029" s="105">
        <f>SUM(P1025:P1028)</f>
        <v>321546</v>
      </c>
      <c r="Q1029" s="45">
        <f t="shared" si="159"/>
        <v>1.7109898637156074</v>
      </c>
      <c r="R1029" s="105">
        <v>2409</v>
      </c>
      <c r="S1029" s="7">
        <f t="shared" si="152"/>
        <v>0</v>
      </c>
      <c r="T1029" s="124">
        <f t="shared" si="153"/>
        <v>204</v>
      </c>
      <c r="U1029" s="124">
        <f t="shared" si="154"/>
        <v>999</v>
      </c>
      <c r="V1029" s="124">
        <f t="shared" si="155"/>
        <v>1020</v>
      </c>
      <c r="W1029" s="124">
        <f t="shared" si="156"/>
        <v>2426.9739625664001</v>
      </c>
      <c r="X1029" s="124">
        <f t="shared" si="157"/>
        <v>23086754.85847662</v>
      </c>
      <c r="Y1029" s="264">
        <f t="shared" si="158"/>
        <v>1020</v>
      </c>
      <c r="Z1029" s="10">
        <v>204</v>
      </c>
      <c r="AA1029" s="7">
        <v>999</v>
      </c>
      <c r="AB1029" s="7">
        <v>1020</v>
      </c>
      <c r="AC1029" s="109">
        <v>2426.9739625664001</v>
      </c>
      <c r="AD1029" s="109">
        <v>23086754.85847662</v>
      </c>
      <c r="AE1029" s="125"/>
      <c r="AF1029" s="10"/>
      <c r="AI1029" s="109"/>
      <c r="AJ1029" s="109"/>
      <c r="AL1029" s="10"/>
      <c r="AO1029" s="109"/>
      <c r="AP1029" s="109"/>
      <c r="AR1029" s="10"/>
      <c r="AU1029" s="109"/>
      <c r="AV1029" s="109"/>
      <c r="AX1029" s="10"/>
      <c r="BA1029" s="109"/>
      <c r="BB1029" s="109"/>
      <c r="BD1029" s="10"/>
      <c r="BG1029" s="109"/>
      <c r="BH1029" s="109"/>
      <c r="BJ1029" s="10"/>
      <c r="BM1029" s="109"/>
      <c r="BN1029" s="109"/>
      <c r="BP1029" s="10"/>
      <c r="BS1029" s="109"/>
      <c r="BT1029" s="109"/>
      <c r="BV1029" s="10"/>
      <c r="BY1029" s="109"/>
      <c r="BZ1029" s="109"/>
      <c r="CB1029" s="10"/>
      <c r="CE1029" s="109"/>
      <c r="CF1029" s="109"/>
      <c r="CH1029" s="10"/>
      <c r="CK1029" s="109"/>
      <c r="CL1029" s="109"/>
    </row>
    <row r="1030" spans="1:90">
      <c r="A1030" s="7" t="str">
        <f t="shared" si="151"/>
        <v>02050205</v>
      </c>
      <c r="B1030" s="7" t="s">
        <v>2544</v>
      </c>
      <c r="C1030" s="7" t="s">
        <v>2544</v>
      </c>
      <c r="D1030" s="7">
        <v>1021</v>
      </c>
      <c r="E1030" s="7">
        <v>205</v>
      </c>
      <c r="F1030" s="7" t="s">
        <v>1910</v>
      </c>
      <c r="G1030" s="7">
        <v>205</v>
      </c>
      <c r="H1030" s="7" t="s">
        <v>1471</v>
      </c>
      <c r="I1030" s="37">
        <v>13170.920000000002</v>
      </c>
      <c r="J1030" s="122">
        <v>7.9972510322412326E-3</v>
      </c>
      <c r="K1030" s="123">
        <f>X1030</f>
        <v>0</v>
      </c>
      <c r="L1030" s="122">
        <f>IF(K1034&gt;0, K1030/K1034, 0)</f>
        <v>0</v>
      </c>
      <c r="M1030" s="71"/>
      <c r="N1030" s="10">
        <f>ROUND(M1034*L1030,0)</f>
        <v>0</v>
      </c>
      <c r="O1030" s="70">
        <v>10884</v>
      </c>
      <c r="P1030" s="10">
        <f>N1030-O1030</f>
        <v>-10884</v>
      </c>
      <c r="Q1030" s="46">
        <f t="shared" si="159"/>
        <v>-100</v>
      </c>
      <c r="R1030" s="10">
        <v>1</v>
      </c>
      <c r="S1030" s="7">
        <f t="shared" si="152"/>
        <v>0</v>
      </c>
      <c r="T1030" s="124">
        <f t="shared" si="153"/>
        <v>205</v>
      </c>
      <c r="U1030" s="124">
        <f t="shared" si="154"/>
        <v>205</v>
      </c>
      <c r="V1030" s="124">
        <f t="shared" si="155"/>
        <v>1021</v>
      </c>
      <c r="W1030" s="124">
        <f t="shared" si="156"/>
        <v>0</v>
      </c>
      <c r="X1030" s="124">
        <f t="shared" si="157"/>
        <v>0</v>
      </c>
      <c r="Y1030" s="264">
        <f t="shared" si="158"/>
        <v>1021</v>
      </c>
      <c r="Z1030" s="10">
        <v>205</v>
      </c>
      <c r="AA1030" s="7">
        <v>205</v>
      </c>
      <c r="AB1030" s="7">
        <v>1021</v>
      </c>
      <c r="AC1030" s="109">
        <v>0</v>
      </c>
      <c r="AD1030" s="109">
        <v>0</v>
      </c>
      <c r="AE1030" s="125"/>
      <c r="AF1030" s="10"/>
      <c r="AI1030" s="109"/>
      <c r="AJ1030" s="109"/>
      <c r="AL1030" s="10"/>
      <c r="AO1030" s="109"/>
      <c r="AP1030" s="109"/>
      <c r="AR1030" s="10"/>
      <c r="AU1030" s="109"/>
      <c r="AV1030" s="109"/>
      <c r="AX1030" s="10"/>
      <c r="BA1030" s="109"/>
      <c r="BB1030" s="109"/>
      <c r="BD1030" s="10"/>
      <c r="BG1030" s="109"/>
      <c r="BH1030" s="109"/>
      <c r="BJ1030" s="10"/>
      <c r="BM1030" s="109"/>
      <c r="BN1030" s="109"/>
      <c r="BP1030" s="10"/>
      <c r="BS1030" s="109"/>
      <c r="BT1030" s="109"/>
      <c r="BV1030" s="10"/>
      <c r="BY1030" s="109"/>
      <c r="BZ1030" s="109"/>
      <c r="CB1030" s="10"/>
      <c r="CE1030" s="109"/>
      <c r="CF1030" s="109"/>
      <c r="CH1030" s="10"/>
      <c r="CK1030" s="109"/>
      <c r="CL1030" s="109"/>
    </row>
    <row r="1031" spans="1:90">
      <c r="A1031" s="7" t="str">
        <f t="shared" si="151"/>
        <v>02050765</v>
      </c>
      <c r="B1031" s="7" t="s">
        <v>2544</v>
      </c>
      <c r="C1031" s="7" t="s">
        <v>2743</v>
      </c>
      <c r="D1031" s="7">
        <v>1022</v>
      </c>
      <c r="E1031" s="7">
        <v>205</v>
      </c>
      <c r="F1031" s="7" t="s">
        <v>1910</v>
      </c>
      <c r="G1031" s="7">
        <v>765</v>
      </c>
      <c r="H1031" s="7" t="s">
        <v>1670</v>
      </c>
      <c r="I1031" s="37">
        <v>1633760</v>
      </c>
      <c r="J1031" s="122">
        <v>0.99200274896775886</v>
      </c>
      <c r="K1031" s="123">
        <f t="shared" si="160"/>
        <v>1620636.1459781919</v>
      </c>
      <c r="L1031" s="122">
        <f>IF(K1034&gt;0, K1031/K1034, 0)</f>
        <v>1</v>
      </c>
      <c r="M1031" s="71"/>
      <c r="N1031" s="10">
        <f>ROUND(M1034*L1031,0)</f>
        <v>1347251</v>
      </c>
      <c r="O1031" s="70">
        <v>1350082</v>
      </c>
      <c r="P1031" s="10">
        <f>N1031-O1031</f>
        <v>-2831</v>
      </c>
      <c r="Q1031" s="46">
        <f t="shared" si="159"/>
        <v>-0.2096909669190464</v>
      </c>
      <c r="R1031" s="10">
        <v>158</v>
      </c>
      <c r="S1031" s="7">
        <f t="shared" si="152"/>
        <v>0</v>
      </c>
      <c r="T1031" s="124">
        <f t="shared" si="153"/>
        <v>205</v>
      </c>
      <c r="U1031" s="124">
        <f t="shared" si="154"/>
        <v>765</v>
      </c>
      <c r="V1031" s="124">
        <f t="shared" si="155"/>
        <v>1022</v>
      </c>
      <c r="W1031" s="124">
        <f t="shared" si="156"/>
        <v>152.39589442658001</v>
      </c>
      <c r="X1031" s="124">
        <f t="shared" si="157"/>
        <v>1620636.1459781919</v>
      </c>
      <c r="Y1031" s="264">
        <f t="shared" si="158"/>
        <v>1022</v>
      </c>
      <c r="Z1031" s="10">
        <v>205</v>
      </c>
      <c r="AA1031" s="7">
        <v>765</v>
      </c>
      <c r="AB1031" s="7">
        <v>1022</v>
      </c>
      <c r="AC1031" s="109">
        <v>152.39589442658001</v>
      </c>
      <c r="AD1031" s="109">
        <v>1620636.1459781919</v>
      </c>
      <c r="AE1031" s="125"/>
      <c r="AF1031" s="10"/>
      <c r="AI1031" s="109"/>
      <c r="AJ1031" s="109"/>
      <c r="AL1031" s="10"/>
      <c r="AO1031" s="109"/>
      <c r="AP1031" s="109"/>
      <c r="AR1031" s="10"/>
      <c r="AU1031" s="109"/>
      <c r="AV1031" s="109"/>
      <c r="AX1031" s="10"/>
      <c r="BA1031" s="109"/>
      <c r="BB1031" s="109"/>
      <c r="BD1031" s="10"/>
      <c r="BG1031" s="109"/>
      <c r="BH1031" s="109"/>
      <c r="BJ1031" s="10"/>
      <c r="BM1031" s="109"/>
      <c r="BN1031" s="109"/>
      <c r="BP1031" s="10"/>
      <c r="BS1031" s="109"/>
      <c r="BT1031" s="109"/>
      <c r="BV1031" s="10"/>
      <c r="BY1031" s="109"/>
      <c r="BZ1031" s="109"/>
      <c r="CB1031" s="10"/>
      <c r="CE1031" s="109"/>
      <c r="CF1031" s="109"/>
      <c r="CH1031" s="10"/>
      <c r="CK1031" s="109"/>
      <c r="CL1031" s="109"/>
    </row>
    <row r="1032" spans="1:90">
      <c r="A1032" s="7" t="str">
        <f t="shared" si="151"/>
        <v>02050998</v>
      </c>
      <c r="B1032" s="7" t="s">
        <v>2544</v>
      </c>
      <c r="C1032" s="7" t="s">
        <v>2781</v>
      </c>
      <c r="D1032" s="7">
        <v>1023</v>
      </c>
      <c r="E1032" s="7">
        <v>205</v>
      </c>
      <c r="F1032" s="7" t="s">
        <v>2135</v>
      </c>
      <c r="G1032" s="7">
        <v>998</v>
      </c>
      <c r="H1032" s="7" t="s">
        <v>2135</v>
      </c>
      <c r="I1032" s="37">
        <v>0</v>
      </c>
      <c r="J1032" s="122">
        <v>0</v>
      </c>
      <c r="K1032" s="123">
        <f t="shared" si="160"/>
        <v>0</v>
      </c>
      <c r="L1032" s="122">
        <f>IF(K1034&gt;0, K1032/K1034, 0)</f>
        <v>0</v>
      </c>
      <c r="M1032" s="71"/>
      <c r="N1032" s="10">
        <f>ROUND(M1034*L1032,0)</f>
        <v>0</v>
      </c>
      <c r="O1032" s="70">
        <v>0</v>
      </c>
      <c r="P1032" s="10">
        <f>N1032-O1032</f>
        <v>0</v>
      </c>
      <c r="Q1032" s="46">
        <f t="shared" si="159"/>
        <v>0</v>
      </c>
      <c r="R1032" s="10">
        <v>0</v>
      </c>
      <c r="S1032" s="7">
        <f t="shared" si="152"/>
        <v>0</v>
      </c>
      <c r="T1032" s="124">
        <f t="shared" si="153"/>
        <v>205</v>
      </c>
      <c r="U1032" s="124">
        <f t="shared" si="154"/>
        <v>998</v>
      </c>
      <c r="V1032" s="124">
        <f t="shared" si="155"/>
        <v>1023</v>
      </c>
      <c r="W1032" s="124">
        <f t="shared" si="156"/>
        <v>0</v>
      </c>
      <c r="X1032" s="124">
        <f t="shared" si="157"/>
        <v>0</v>
      </c>
      <c r="Y1032" s="264">
        <f t="shared" si="158"/>
        <v>1023</v>
      </c>
      <c r="Z1032" s="10">
        <v>205</v>
      </c>
      <c r="AA1032" s="7">
        <v>998</v>
      </c>
      <c r="AB1032" s="7">
        <v>1023</v>
      </c>
      <c r="AC1032" s="109">
        <v>0</v>
      </c>
      <c r="AD1032" s="109">
        <v>0</v>
      </c>
      <c r="AE1032" s="125"/>
      <c r="AF1032" s="10"/>
      <c r="AI1032" s="109"/>
      <c r="AJ1032" s="109"/>
      <c r="AL1032" s="10"/>
      <c r="AO1032" s="109"/>
      <c r="AP1032" s="109"/>
      <c r="AR1032" s="10"/>
      <c r="AU1032" s="109"/>
      <c r="AV1032" s="109"/>
      <c r="AX1032" s="10"/>
      <c r="BA1032" s="109"/>
      <c r="BB1032" s="109"/>
      <c r="BD1032" s="10"/>
      <c r="BG1032" s="109"/>
      <c r="BH1032" s="109"/>
      <c r="BJ1032" s="10"/>
      <c r="BM1032" s="109"/>
      <c r="BN1032" s="109"/>
      <c r="BP1032" s="10"/>
      <c r="BS1032" s="109"/>
      <c r="BT1032" s="109"/>
      <c r="BV1032" s="10"/>
      <c r="BY1032" s="109"/>
      <c r="BZ1032" s="109"/>
      <c r="CB1032" s="10"/>
      <c r="CE1032" s="109"/>
      <c r="CF1032" s="109"/>
      <c r="CH1032" s="10"/>
      <c r="CK1032" s="109"/>
      <c r="CL1032" s="109"/>
    </row>
    <row r="1033" spans="1:90">
      <c r="A1033" s="7" t="str">
        <f t="shared" si="151"/>
        <v>02050998</v>
      </c>
      <c r="B1033" s="7" t="s">
        <v>2544</v>
      </c>
      <c r="C1033" s="7" t="s">
        <v>2781</v>
      </c>
      <c r="D1033" s="7">
        <v>1024</v>
      </c>
      <c r="E1033" s="7">
        <v>205</v>
      </c>
      <c r="F1033" s="7" t="s">
        <v>2135</v>
      </c>
      <c r="G1033" s="7">
        <v>998</v>
      </c>
      <c r="H1033" s="7" t="s">
        <v>2135</v>
      </c>
      <c r="I1033" s="37">
        <v>0</v>
      </c>
      <c r="J1033" s="122">
        <v>0</v>
      </c>
      <c r="K1033" s="123">
        <f t="shared" si="160"/>
        <v>0</v>
      </c>
      <c r="L1033" s="122">
        <f>IF(K1034&gt;0, K1033/K1034, 0)</f>
        <v>0</v>
      </c>
      <c r="M1033" s="71"/>
      <c r="N1033" s="10">
        <f>ROUND(M1034*L1033,0)</f>
        <v>0</v>
      </c>
      <c r="O1033" s="70">
        <v>0</v>
      </c>
      <c r="P1033" s="10">
        <f>N1033-O1033</f>
        <v>0</v>
      </c>
      <c r="Q1033" s="46">
        <f t="shared" si="159"/>
        <v>0</v>
      </c>
      <c r="R1033" s="10">
        <v>0</v>
      </c>
      <c r="S1033" s="7">
        <f t="shared" si="152"/>
        <v>0</v>
      </c>
      <c r="T1033" s="124">
        <f t="shared" si="153"/>
        <v>205</v>
      </c>
      <c r="U1033" s="124">
        <f t="shared" si="154"/>
        <v>998</v>
      </c>
      <c r="V1033" s="124">
        <f t="shared" si="155"/>
        <v>1024</v>
      </c>
      <c r="W1033" s="124">
        <f t="shared" si="156"/>
        <v>0</v>
      </c>
      <c r="X1033" s="124">
        <f t="shared" si="157"/>
        <v>0</v>
      </c>
      <c r="Y1033" s="264">
        <f t="shared" si="158"/>
        <v>1024</v>
      </c>
      <c r="Z1033" s="10">
        <v>205</v>
      </c>
      <c r="AA1033" s="7">
        <v>998</v>
      </c>
      <c r="AB1033" s="7">
        <v>1024</v>
      </c>
      <c r="AC1033" s="109">
        <v>0</v>
      </c>
      <c r="AD1033" s="109">
        <v>0</v>
      </c>
      <c r="AE1033" s="125"/>
      <c r="AF1033" s="10"/>
      <c r="AI1033" s="109"/>
      <c r="AJ1033" s="109"/>
      <c r="AL1033" s="10"/>
      <c r="AO1033" s="109"/>
      <c r="AP1033" s="109"/>
      <c r="AR1033" s="10"/>
      <c r="AU1033" s="109"/>
      <c r="AV1033" s="109"/>
      <c r="AX1033" s="10"/>
      <c r="BA1033" s="109"/>
      <c r="BB1033" s="109"/>
      <c r="BD1033" s="10"/>
      <c r="BG1033" s="109"/>
      <c r="BH1033" s="109"/>
      <c r="BJ1033" s="10"/>
      <c r="BM1033" s="109"/>
      <c r="BN1033" s="109"/>
      <c r="BP1033" s="10"/>
      <c r="BS1033" s="109"/>
      <c r="BT1033" s="109"/>
      <c r="BV1033" s="10"/>
      <c r="BY1033" s="109"/>
      <c r="BZ1033" s="109"/>
      <c r="CB1033" s="10"/>
      <c r="CE1033" s="109"/>
      <c r="CF1033" s="109"/>
      <c r="CH1033" s="10"/>
      <c r="CK1033" s="109"/>
      <c r="CL1033" s="109"/>
    </row>
    <row r="1034" spans="1:90">
      <c r="A1034" s="7" t="str">
        <f t="shared" ref="A1034:A1097" si="161">B1034&amp;C1034</f>
        <v>02050999</v>
      </c>
      <c r="B1034" s="7" t="s">
        <v>2544</v>
      </c>
      <c r="C1034" s="7" t="s">
        <v>2782</v>
      </c>
      <c r="D1034" s="7">
        <v>1025</v>
      </c>
      <c r="E1034" s="11">
        <v>205</v>
      </c>
      <c r="F1034" s="11" t="s">
        <v>1910</v>
      </c>
      <c r="G1034" s="11">
        <v>999</v>
      </c>
      <c r="H1034" s="11" t="s">
        <v>1132</v>
      </c>
      <c r="I1034" s="105">
        <v>1646930.92</v>
      </c>
      <c r="J1034" s="126">
        <v>1</v>
      </c>
      <c r="K1034" s="127">
        <f>SUM(K1030:K1033)</f>
        <v>1620636.1459781919</v>
      </c>
      <c r="L1034" s="126">
        <f>SUM(L1030:L1033)</f>
        <v>1</v>
      </c>
      <c r="M1034" s="105">
        <f>VLOOKUP(E1034,town351,22)</f>
        <v>1347251</v>
      </c>
      <c r="N1034" s="105">
        <f>SUM(N1030:N1033)</f>
        <v>1347251</v>
      </c>
      <c r="O1034" s="128">
        <v>1360966</v>
      </c>
      <c r="P1034" s="105">
        <f>SUM(P1030:P1033)</f>
        <v>-13715</v>
      </c>
      <c r="Q1034" s="45">
        <f t="shared" si="159"/>
        <v>-1.0077400904945457</v>
      </c>
      <c r="R1034" s="105">
        <v>159</v>
      </c>
      <c r="S1034" s="7">
        <f t="shared" ref="S1034:S1097" si="162">ABS(T1034-E1034)+ABS(U1034-G1034)</f>
        <v>0</v>
      </c>
      <c r="T1034" s="124">
        <f t="shared" ref="T1034:T1097" si="163">VLOOKUP($D1034, foundoptions, VLOOKUP($T$6, foundoptcell, 2, FALSE), FALSE)</f>
        <v>205</v>
      </c>
      <c r="U1034" s="124">
        <f t="shared" ref="U1034:U1097" si="164">VLOOKUP($D1034, foundoptions, VLOOKUP($T$6, foundoptcell, 2, FALSE)+1, FALSE)</f>
        <v>999</v>
      </c>
      <c r="V1034" s="124">
        <f t="shared" ref="V1034:V1097" si="165">VLOOKUP($D1034, foundoptions, VLOOKUP($T$6, foundoptcell, 2, FALSE)+2, FALSE)</f>
        <v>1025</v>
      </c>
      <c r="W1034" s="124">
        <f t="shared" ref="W1034:W1097" si="166">VLOOKUP($D1034, foundoptions, VLOOKUP($T$6, foundoptcell, 2, FALSE)+3, FALSE)</f>
        <v>152.39589442658001</v>
      </c>
      <c r="X1034" s="124">
        <f t="shared" ref="X1034:X1097" si="167">VLOOKUP($D1034, foundoptions, VLOOKUP($T$6, foundoptcell, 2, FALSE)+4, FALSE)</f>
        <v>1620636.1459781919</v>
      </c>
      <c r="Y1034" s="264">
        <f t="shared" si="158"/>
        <v>1025</v>
      </c>
      <c r="Z1034" s="10">
        <v>205</v>
      </c>
      <c r="AA1034" s="7">
        <v>999</v>
      </c>
      <c r="AB1034" s="7">
        <v>1025</v>
      </c>
      <c r="AC1034" s="109">
        <v>152.39589442658001</v>
      </c>
      <c r="AD1034" s="109">
        <v>1620636.1459781919</v>
      </c>
      <c r="AE1034" s="125"/>
      <c r="AF1034" s="10"/>
      <c r="AI1034" s="109"/>
      <c r="AJ1034" s="109"/>
      <c r="AL1034" s="10"/>
      <c r="AO1034" s="109"/>
      <c r="AP1034" s="109"/>
      <c r="AR1034" s="10"/>
      <c r="AU1034" s="109"/>
      <c r="AV1034" s="109"/>
      <c r="AX1034" s="10"/>
      <c r="BA1034" s="109"/>
      <c r="BB1034" s="109"/>
      <c r="BD1034" s="10"/>
      <c r="BG1034" s="109"/>
      <c r="BH1034" s="109"/>
      <c r="BJ1034" s="10"/>
      <c r="BM1034" s="109"/>
      <c r="BN1034" s="109"/>
      <c r="BP1034" s="10"/>
      <c r="BS1034" s="109"/>
      <c r="BT1034" s="109"/>
      <c r="BV1034" s="10"/>
      <c r="BY1034" s="109"/>
      <c r="BZ1034" s="109"/>
      <c r="CB1034" s="10"/>
      <c r="CE1034" s="109"/>
      <c r="CF1034" s="109"/>
      <c r="CH1034" s="10"/>
      <c r="CK1034" s="109"/>
      <c r="CL1034" s="109"/>
    </row>
    <row r="1035" spans="1:90">
      <c r="A1035" s="7" t="str">
        <f t="shared" si="161"/>
        <v>02060206</v>
      </c>
      <c r="B1035" s="7" t="s">
        <v>2545</v>
      </c>
      <c r="C1035" s="7" t="s">
        <v>2545</v>
      </c>
      <c r="D1035" s="7">
        <v>1026</v>
      </c>
      <c r="E1035" s="7">
        <v>206</v>
      </c>
      <c r="F1035" s="7" t="s">
        <v>1911</v>
      </c>
      <c r="G1035" s="7">
        <v>206</v>
      </c>
      <c r="H1035" s="7" t="s">
        <v>1472</v>
      </c>
      <c r="I1035" s="37">
        <v>0</v>
      </c>
      <c r="J1035" s="122">
        <v>0</v>
      </c>
      <c r="K1035" s="123">
        <f>X1035</f>
        <v>13416.833343589547</v>
      </c>
      <c r="L1035" s="122">
        <f>IF(K1039&gt;0, K1035/K1039, 0)</f>
        <v>9.8252281353792322E-3</v>
      </c>
      <c r="M1035" s="71"/>
      <c r="N1035" s="10">
        <f>ROUND(M1039*L1035,0)</f>
        <v>7366</v>
      </c>
      <c r="O1035" s="70">
        <v>0</v>
      </c>
      <c r="P1035" s="10">
        <f>N1035-O1035</f>
        <v>7366</v>
      </c>
      <c r="Q1035" s="46">
        <f t="shared" si="159"/>
        <v>100</v>
      </c>
      <c r="R1035" s="10">
        <v>0</v>
      </c>
      <c r="S1035" s="7">
        <f t="shared" si="162"/>
        <v>0</v>
      </c>
      <c r="T1035" s="124">
        <f t="shared" si="163"/>
        <v>206</v>
      </c>
      <c r="U1035" s="124">
        <f t="shared" si="164"/>
        <v>206</v>
      </c>
      <c r="V1035" s="124">
        <f t="shared" si="165"/>
        <v>1026</v>
      </c>
      <c r="W1035" s="124">
        <f t="shared" si="166"/>
        <v>1</v>
      </c>
      <c r="X1035" s="124">
        <f t="shared" si="167"/>
        <v>13416.833343589547</v>
      </c>
      <c r="Y1035" s="264">
        <f t="shared" ref="Y1035:Y1098" si="168">D1035</f>
        <v>1026</v>
      </c>
      <c r="Z1035" s="10">
        <v>206</v>
      </c>
      <c r="AA1035" s="7">
        <v>206</v>
      </c>
      <c r="AB1035" s="7">
        <v>1026</v>
      </c>
      <c r="AC1035" s="109">
        <v>1</v>
      </c>
      <c r="AD1035" s="109">
        <v>13416.833343589547</v>
      </c>
      <c r="AE1035" s="125"/>
      <c r="AF1035" s="10"/>
      <c r="AI1035" s="109"/>
      <c r="AJ1035" s="109"/>
      <c r="AL1035" s="10"/>
      <c r="AO1035" s="109"/>
      <c r="AP1035" s="109"/>
      <c r="AR1035" s="10"/>
      <c r="AU1035" s="109"/>
      <c r="AV1035" s="109"/>
      <c r="AX1035" s="10"/>
      <c r="BA1035" s="109"/>
      <c r="BB1035" s="109"/>
      <c r="BD1035" s="10"/>
      <c r="BG1035" s="109"/>
      <c r="BH1035" s="109"/>
      <c r="BJ1035" s="10"/>
      <c r="BM1035" s="109"/>
      <c r="BN1035" s="109"/>
      <c r="BP1035" s="10"/>
      <c r="BS1035" s="109"/>
      <c r="BT1035" s="109"/>
      <c r="BV1035" s="10"/>
      <c r="BY1035" s="109"/>
      <c r="BZ1035" s="109"/>
      <c r="CB1035" s="10"/>
      <c r="CE1035" s="109"/>
      <c r="CF1035" s="109"/>
      <c r="CH1035" s="10"/>
      <c r="CK1035" s="109"/>
      <c r="CL1035" s="109"/>
    </row>
    <row r="1036" spans="1:90">
      <c r="A1036" s="7" t="str">
        <f t="shared" si="161"/>
        <v>02060728</v>
      </c>
      <c r="B1036" s="7" t="s">
        <v>2545</v>
      </c>
      <c r="C1036" s="7" t="s">
        <v>2733</v>
      </c>
      <c r="D1036" s="7">
        <v>1027</v>
      </c>
      <c r="E1036" s="7">
        <v>206</v>
      </c>
      <c r="F1036" s="7" t="s">
        <v>1911</v>
      </c>
      <c r="G1036" s="7">
        <v>728</v>
      </c>
      <c r="H1036" s="7" t="s">
        <v>1660</v>
      </c>
      <c r="I1036" s="37">
        <v>698813</v>
      </c>
      <c r="J1036" s="122">
        <v>0.47470387601954483</v>
      </c>
      <c r="K1036" s="123">
        <f t="shared" si="160"/>
        <v>670000.75679361832</v>
      </c>
      <c r="L1036" s="122">
        <f>IF(K1039&gt;0, K1036/K1039, 0)</f>
        <v>0.49064560301177901</v>
      </c>
      <c r="M1036" s="71"/>
      <c r="N1036" s="10">
        <f>ROUND(M1039*L1036,0)</f>
        <v>367822</v>
      </c>
      <c r="O1036" s="70">
        <v>369105</v>
      </c>
      <c r="P1036" s="10">
        <f>N1036-O1036</f>
        <v>-1283</v>
      </c>
      <c r="Q1036" s="46">
        <f t="shared" si="159"/>
        <v>-0.34759756708795603</v>
      </c>
      <c r="R1036" s="10">
        <v>67</v>
      </c>
      <c r="S1036" s="7">
        <f t="shared" si="162"/>
        <v>0</v>
      </c>
      <c r="T1036" s="124">
        <f t="shared" si="163"/>
        <v>206</v>
      </c>
      <c r="U1036" s="124">
        <f t="shared" si="164"/>
        <v>728</v>
      </c>
      <c r="V1036" s="124">
        <f t="shared" si="165"/>
        <v>1027</v>
      </c>
      <c r="W1036" s="124">
        <f t="shared" si="166"/>
        <v>64.417218543499999</v>
      </c>
      <c r="X1036" s="124">
        <f t="shared" si="167"/>
        <v>670000.75679361832</v>
      </c>
      <c r="Y1036" s="264">
        <f t="shared" si="168"/>
        <v>1027</v>
      </c>
      <c r="Z1036" s="10">
        <v>206</v>
      </c>
      <c r="AA1036" s="7">
        <v>728</v>
      </c>
      <c r="AB1036" s="7">
        <v>1027</v>
      </c>
      <c r="AC1036" s="109">
        <v>64.417218543499999</v>
      </c>
      <c r="AD1036" s="109">
        <v>670000.75679361832</v>
      </c>
      <c r="AE1036" s="125"/>
      <c r="AF1036" s="10"/>
      <c r="AI1036" s="109"/>
      <c r="AJ1036" s="109"/>
      <c r="AL1036" s="10"/>
      <c r="AO1036" s="109"/>
      <c r="AP1036" s="109"/>
      <c r="AR1036" s="10"/>
      <c r="AU1036" s="109"/>
      <c r="AV1036" s="109"/>
      <c r="AX1036" s="10"/>
      <c r="BA1036" s="109"/>
      <c r="BB1036" s="109"/>
      <c r="BD1036" s="10"/>
      <c r="BG1036" s="109"/>
      <c r="BH1036" s="109"/>
      <c r="BJ1036" s="10"/>
      <c r="BM1036" s="109"/>
      <c r="BN1036" s="109"/>
      <c r="BP1036" s="10"/>
      <c r="BS1036" s="109"/>
      <c r="BT1036" s="109"/>
      <c r="BV1036" s="10"/>
      <c r="BY1036" s="109"/>
      <c r="BZ1036" s="109"/>
      <c r="CB1036" s="10"/>
      <c r="CE1036" s="109"/>
      <c r="CF1036" s="109"/>
      <c r="CH1036" s="10"/>
      <c r="CK1036" s="109"/>
      <c r="CL1036" s="109"/>
    </row>
    <row r="1037" spans="1:90">
      <c r="A1037" s="7" t="str">
        <f t="shared" si="161"/>
        <v>02060755</v>
      </c>
      <c r="B1037" s="7" t="s">
        <v>2545</v>
      </c>
      <c r="C1037" s="7" t="s">
        <v>2740</v>
      </c>
      <c r="D1037" s="7">
        <v>1028</v>
      </c>
      <c r="E1037" s="7">
        <v>206</v>
      </c>
      <c r="F1037" s="7" t="s">
        <v>1911</v>
      </c>
      <c r="G1037" s="7">
        <v>755</v>
      </c>
      <c r="H1037" s="7" t="s">
        <v>1667</v>
      </c>
      <c r="I1037" s="37">
        <v>724629</v>
      </c>
      <c r="J1037" s="122">
        <v>0.49224069239720319</v>
      </c>
      <c r="K1037" s="123">
        <f t="shared" si="160"/>
        <v>632415.91765703703</v>
      </c>
      <c r="L1037" s="122">
        <f>IF(K1039&gt;0, K1037/K1039, 0)</f>
        <v>0.46312199818703248</v>
      </c>
      <c r="M1037" s="71"/>
      <c r="N1037" s="10">
        <f>ROUND(M1039*L1037,0)</f>
        <v>347189</v>
      </c>
      <c r="O1037" s="70">
        <v>382740</v>
      </c>
      <c r="P1037" s="10">
        <f>N1037-O1037</f>
        <v>-35551</v>
      </c>
      <c r="Q1037" s="46">
        <f t="shared" si="159"/>
        <v>-9.2885509745519155</v>
      </c>
      <c r="R1037" s="10">
        <v>64</v>
      </c>
      <c r="S1037" s="7">
        <f t="shared" si="162"/>
        <v>0</v>
      </c>
      <c r="T1037" s="124">
        <f t="shared" si="163"/>
        <v>206</v>
      </c>
      <c r="U1037" s="124">
        <f t="shared" si="164"/>
        <v>755</v>
      </c>
      <c r="V1037" s="124">
        <f t="shared" si="165"/>
        <v>1028</v>
      </c>
      <c r="W1037" s="124">
        <f t="shared" si="166"/>
        <v>55.086477986539997</v>
      </c>
      <c r="X1037" s="124">
        <f t="shared" si="167"/>
        <v>632415.91765703703</v>
      </c>
      <c r="Y1037" s="264">
        <f t="shared" si="168"/>
        <v>1028</v>
      </c>
      <c r="Z1037" s="10">
        <v>206</v>
      </c>
      <c r="AA1037" s="7">
        <v>755</v>
      </c>
      <c r="AB1037" s="7">
        <v>1028</v>
      </c>
      <c r="AC1037" s="109">
        <v>55.086477986539997</v>
      </c>
      <c r="AD1037" s="109">
        <v>632415.91765703703</v>
      </c>
      <c r="AE1037" s="125"/>
      <c r="AF1037" s="10"/>
      <c r="AI1037" s="109"/>
      <c r="AJ1037" s="109"/>
      <c r="AL1037" s="10"/>
      <c r="AO1037" s="109"/>
      <c r="AP1037" s="109"/>
      <c r="AR1037" s="10"/>
      <c r="AU1037" s="109"/>
      <c r="AV1037" s="109"/>
      <c r="AX1037" s="10"/>
      <c r="BA1037" s="109"/>
      <c r="BB1037" s="109"/>
      <c r="BD1037" s="10"/>
      <c r="BG1037" s="109"/>
      <c r="BH1037" s="109"/>
      <c r="BJ1037" s="10"/>
      <c r="BM1037" s="109"/>
      <c r="BN1037" s="109"/>
      <c r="BP1037" s="10"/>
      <c r="BS1037" s="109"/>
      <c r="BT1037" s="109"/>
      <c r="BV1037" s="10"/>
      <c r="BY1037" s="109"/>
      <c r="BZ1037" s="109"/>
      <c r="CB1037" s="10"/>
      <c r="CE1037" s="109"/>
      <c r="CF1037" s="109"/>
      <c r="CH1037" s="10"/>
      <c r="CK1037" s="109"/>
      <c r="CL1037" s="109"/>
    </row>
    <row r="1038" spans="1:90">
      <c r="A1038" s="7" t="str">
        <f t="shared" si="161"/>
        <v>02060818</v>
      </c>
      <c r="B1038" s="7" t="s">
        <v>2545</v>
      </c>
      <c r="C1038" s="7" t="s">
        <v>2758</v>
      </c>
      <c r="D1038" s="7">
        <v>1029</v>
      </c>
      <c r="E1038" s="7">
        <v>206</v>
      </c>
      <c r="F1038" s="7" t="s">
        <v>1911</v>
      </c>
      <c r="G1038" s="7">
        <v>818</v>
      </c>
      <c r="H1038" s="7" t="s">
        <v>1685</v>
      </c>
      <c r="I1038" s="37">
        <v>48661</v>
      </c>
      <c r="J1038" s="122">
        <v>3.3055431583251985E-2</v>
      </c>
      <c r="K1038" s="123">
        <f t="shared" si="160"/>
        <v>49715.786198986825</v>
      </c>
      <c r="L1038" s="122">
        <f>IF(K1039&gt;0, K1038/K1039, 0)</f>
        <v>3.6407170665809181E-2</v>
      </c>
      <c r="M1038" s="71"/>
      <c r="N1038" s="10">
        <f>ROUND(M1039*L1038,0)</f>
        <v>27293</v>
      </c>
      <c r="O1038" s="70">
        <v>25702</v>
      </c>
      <c r="P1038" s="10">
        <f>N1038-O1038</f>
        <v>1591</v>
      </c>
      <c r="Q1038" s="46">
        <f t="shared" si="159"/>
        <v>6.1901797525484401</v>
      </c>
      <c r="R1038" s="10">
        <v>3</v>
      </c>
      <c r="S1038" s="7">
        <f t="shared" si="162"/>
        <v>0</v>
      </c>
      <c r="T1038" s="124">
        <f t="shared" si="163"/>
        <v>206</v>
      </c>
      <c r="U1038" s="124">
        <f t="shared" si="164"/>
        <v>818</v>
      </c>
      <c r="V1038" s="124">
        <f t="shared" si="165"/>
        <v>1029</v>
      </c>
      <c r="W1038" s="124">
        <f t="shared" si="166"/>
        <v>3.0000000007200001</v>
      </c>
      <c r="X1038" s="124">
        <f t="shared" si="167"/>
        <v>49715.786198986825</v>
      </c>
      <c r="Y1038" s="264">
        <f t="shared" si="168"/>
        <v>1029</v>
      </c>
      <c r="Z1038" s="10">
        <v>206</v>
      </c>
      <c r="AA1038" s="7">
        <v>818</v>
      </c>
      <c r="AB1038" s="7">
        <v>1029</v>
      </c>
      <c r="AC1038" s="109">
        <v>3.0000000007200001</v>
      </c>
      <c r="AD1038" s="109">
        <v>49715.786198986825</v>
      </c>
      <c r="AE1038" s="125"/>
      <c r="AF1038" s="10"/>
      <c r="AI1038" s="109"/>
      <c r="AJ1038" s="109"/>
      <c r="AL1038" s="10"/>
      <c r="AO1038" s="109"/>
      <c r="AP1038" s="109"/>
      <c r="AR1038" s="10"/>
      <c r="AU1038" s="109"/>
      <c r="AV1038" s="109"/>
      <c r="AX1038" s="10"/>
      <c r="BA1038" s="109"/>
      <c r="BB1038" s="109"/>
      <c r="BD1038" s="10"/>
      <c r="BG1038" s="109"/>
      <c r="BH1038" s="109"/>
      <c r="BJ1038" s="10"/>
      <c r="BM1038" s="109"/>
      <c r="BN1038" s="109"/>
      <c r="BP1038" s="10"/>
      <c r="BS1038" s="109"/>
      <c r="BT1038" s="109"/>
      <c r="BV1038" s="10"/>
      <c r="BY1038" s="109"/>
      <c r="BZ1038" s="109"/>
      <c r="CB1038" s="10"/>
      <c r="CE1038" s="109"/>
      <c r="CF1038" s="109"/>
      <c r="CH1038" s="10"/>
      <c r="CK1038" s="109"/>
      <c r="CL1038" s="109"/>
    </row>
    <row r="1039" spans="1:90">
      <c r="A1039" s="7" t="str">
        <f t="shared" si="161"/>
        <v>02060999</v>
      </c>
      <c r="B1039" s="7" t="s">
        <v>2545</v>
      </c>
      <c r="C1039" s="7" t="s">
        <v>2782</v>
      </c>
      <c r="D1039" s="7">
        <v>1030</v>
      </c>
      <c r="E1039" s="11">
        <v>206</v>
      </c>
      <c r="F1039" s="11" t="s">
        <v>1911</v>
      </c>
      <c r="G1039" s="11">
        <v>999</v>
      </c>
      <c r="H1039" s="11" t="s">
        <v>1132</v>
      </c>
      <c r="I1039" s="105">
        <v>1472103</v>
      </c>
      <c r="J1039" s="126">
        <v>1</v>
      </c>
      <c r="K1039" s="127">
        <f>SUM(K1035:K1038)</f>
        <v>1365549.2939932318</v>
      </c>
      <c r="L1039" s="126">
        <f>SUM(L1035:L1038)</f>
        <v>1</v>
      </c>
      <c r="M1039" s="105">
        <f>VLOOKUP(E1039,town351,22)</f>
        <v>749670</v>
      </c>
      <c r="N1039" s="105">
        <f>SUM(N1035:N1038)</f>
        <v>749670</v>
      </c>
      <c r="O1039" s="128">
        <v>777547</v>
      </c>
      <c r="P1039" s="105">
        <f>SUM(P1035:P1038)</f>
        <v>-27877</v>
      </c>
      <c r="Q1039" s="45">
        <f t="shared" si="159"/>
        <v>-3.5852495090328946</v>
      </c>
      <c r="R1039" s="105">
        <v>134</v>
      </c>
      <c r="S1039" s="7">
        <f t="shared" si="162"/>
        <v>0</v>
      </c>
      <c r="T1039" s="124">
        <f t="shared" si="163"/>
        <v>206</v>
      </c>
      <c r="U1039" s="124">
        <f t="shared" si="164"/>
        <v>999</v>
      </c>
      <c r="V1039" s="124">
        <f t="shared" si="165"/>
        <v>1030</v>
      </c>
      <c r="W1039" s="124">
        <f t="shared" si="166"/>
        <v>123.50369653076001</v>
      </c>
      <c r="X1039" s="124">
        <f t="shared" si="167"/>
        <v>1365549.2939932318</v>
      </c>
      <c r="Y1039" s="264">
        <f t="shared" si="168"/>
        <v>1030</v>
      </c>
      <c r="Z1039" s="10">
        <v>206</v>
      </c>
      <c r="AA1039" s="7">
        <v>999</v>
      </c>
      <c r="AB1039" s="7">
        <v>1030</v>
      </c>
      <c r="AC1039" s="109">
        <v>123.50369653076001</v>
      </c>
      <c r="AD1039" s="109">
        <v>1365549.2939932318</v>
      </c>
      <c r="AE1039" s="125"/>
      <c r="AF1039" s="10"/>
      <c r="AI1039" s="109"/>
      <c r="AJ1039" s="109"/>
      <c r="AL1039" s="10"/>
      <c r="AO1039" s="109"/>
      <c r="AP1039" s="109"/>
      <c r="AR1039" s="10"/>
      <c r="AU1039" s="109"/>
      <c r="AV1039" s="109"/>
      <c r="AX1039" s="10"/>
      <c r="BA1039" s="109"/>
      <c r="BB1039" s="109"/>
      <c r="BD1039" s="10"/>
      <c r="BG1039" s="109"/>
      <c r="BH1039" s="109"/>
      <c r="BJ1039" s="10"/>
      <c r="BM1039" s="109"/>
      <c r="BN1039" s="109"/>
      <c r="BP1039" s="10"/>
      <c r="BS1039" s="109"/>
      <c r="BT1039" s="109"/>
      <c r="BV1039" s="10"/>
      <c r="BY1039" s="109"/>
      <c r="BZ1039" s="109"/>
      <c r="CB1039" s="10"/>
      <c r="CE1039" s="109"/>
      <c r="CF1039" s="109"/>
      <c r="CH1039" s="10"/>
      <c r="CK1039" s="109"/>
      <c r="CL1039" s="109"/>
    </row>
    <row r="1040" spans="1:90">
      <c r="A1040" s="7" t="str">
        <f t="shared" si="161"/>
        <v>02070207</v>
      </c>
      <c r="B1040" s="7" t="s">
        <v>2546</v>
      </c>
      <c r="C1040" s="7" t="s">
        <v>2546</v>
      </c>
      <c r="D1040" s="7">
        <v>1031</v>
      </c>
      <c r="E1040" s="7">
        <v>207</v>
      </c>
      <c r="F1040" s="7" t="s">
        <v>1912</v>
      </c>
      <c r="G1040" s="7">
        <v>207</v>
      </c>
      <c r="H1040" s="7" t="s">
        <v>1473</v>
      </c>
      <c r="I1040" s="37">
        <v>126430397.79993999</v>
      </c>
      <c r="J1040" s="122">
        <v>1</v>
      </c>
      <c r="K1040" s="123">
        <f>X1040</f>
        <v>131452274.44548996</v>
      </c>
      <c r="L1040" s="122">
        <f>IF(K1044&gt;0, K1040/K1044, 0)</f>
        <v>1</v>
      </c>
      <c r="M1040" s="71"/>
      <c r="N1040" s="10">
        <f>ROUND(M1044*L1040,0)</f>
        <v>108662422</v>
      </c>
      <c r="O1040" s="70">
        <v>105306467</v>
      </c>
      <c r="P1040" s="10">
        <f>N1040-O1040</f>
        <v>3355955</v>
      </c>
      <c r="Q1040" s="46">
        <f>IF(O1040&gt;0,P1040*100/O1040,IF(P1040&gt;0,100,0))</f>
        <v>3.1868460652088917</v>
      </c>
      <c r="R1040" s="10">
        <v>12730</v>
      </c>
      <c r="S1040" s="7">
        <f t="shared" si="162"/>
        <v>0</v>
      </c>
      <c r="T1040" s="124">
        <f t="shared" si="163"/>
        <v>207</v>
      </c>
      <c r="U1040" s="124">
        <f t="shared" si="164"/>
        <v>207</v>
      </c>
      <c r="V1040" s="124">
        <f t="shared" si="165"/>
        <v>1031</v>
      </c>
      <c r="W1040" s="124">
        <f t="shared" si="166"/>
        <v>12857</v>
      </c>
      <c r="X1040" s="124">
        <f t="shared" si="167"/>
        <v>131452274.44548996</v>
      </c>
      <c r="Y1040" s="264">
        <f t="shared" si="168"/>
        <v>1031</v>
      </c>
      <c r="Z1040" s="10">
        <v>207</v>
      </c>
      <c r="AA1040" s="7">
        <v>207</v>
      </c>
      <c r="AB1040" s="7">
        <v>1031</v>
      </c>
      <c r="AC1040" s="109">
        <v>12857</v>
      </c>
      <c r="AD1040" s="109">
        <v>131452274.44548996</v>
      </c>
      <c r="AE1040" s="125"/>
      <c r="AF1040" s="10"/>
      <c r="AI1040" s="109"/>
      <c r="AJ1040" s="109"/>
      <c r="AL1040" s="10"/>
      <c r="AO1040" s="109"/>
      <c r="AP1040" s="109"/>
      <c r="AR1040" s="10"/>
      <c r="AU1040" s="109"/>
      <c r="AV1040" s="109"/>
      <c r="AX1040" s="10"/>
      <c r="BA1040" s="109"/>
      <c r="BB1040" s="109"/>
      <c r="BD1040" s="10"/>
      <c r="BG1040" s="109"/>
      <c r="BH1040" s="109"/>
      <c r="BJ1040" s="10"/>
      <c r="BM1040" s="109"/>
      <c r="BN1040" s="109"/>
      <c r="BP1040" s="10"/>
      <c r="BS1040" s="109"/>
      <c r="BT1040" s="109"/>
      <c r="BV1040" s="10"/>
      <c r="BY1040" s="109"/>
      <c r="BZ1040" s="109"/>
      <c r="CB1040" s="10"/>
      <c r="CE1040" s="109"/>
      <c r="CF1040" s="109"/>
      <c r="CH1040" s="10"/>
      <c r="CK1040" s="109"/>
      <c r="CL1040" s="109"/>
    </row>
    <row r="1041" spans="1:90">
      <c r="A1041" s="7" t="str">
        <f t="shared" si="161"/>
        <v>02070998</v>
      </c>
      <c r="B1041" s="7" t="s">
        <v>2546</v>
      </c>
      <c r="C1041" s="7" t="s">
        <v>2781</v>
      </c>
      <c r="D1041" s="7">
        <v>1032</v>
      </c>
      <c r="E1041" s="7">
        <v>207</v>
      </c>
      <c r="F1041" s="7" t="s">
        <v>2135</v>
      </c>
      <c r="G1041" s="7">
        <v>998</v>
      </c>
      <c r="H1041" s="7" t="s">
        <v>2135</v>
      </c>
      <c r="I1041" s="37">
        <v>0</v>
      </c>
      <c r="J1041" s="122">
        <v>0</v>
      </c>
      <c r="K1041" s="123">
        <f t="shared" si="160"/>
        <v>0</v>
      </c>
      <c r="L1041" s="122">
        <f>IF(K1044&gt;0, K1041/K1044, 0)</f>
        <v>0</v>
      </c>
      <c r="M1041" s="71"/>
      <c r="N1041" s="10">
        <f>ROUND(M1044*L1041,0)</f>
        <v>0</v>
      </c>
      <c r="O1041" s="70">
        <v>0</v>
      </c>
      <c r="P1041" s="10">
        <f>N1041-O1041</f>
        <v>0</v>
      </c>
      <c r="Q1041" s="46">
        <f>IF(O1041&gt;0,P1041*100/O1041,IF(P1041&gt;0,100,0))</f>
        <v>0</v>
      </c>
      <c r="R1041" s="10">
        <v>0</v>
      </c>
      <c r="S1041" s="7">
        <f t="shared" si="162"/>
        <v>0</v>
      </c>
      <c r="T1041" s="124">
        <f t="shared" si="163"/>
        <v>207</v>
      </c>
      <c r="U1041" s="124">
        <f t="shared" si="164"/>
        <v>998</v>
      </c>
      <c r="V1041" s="124">
        <f t="shared" si="165"/>
        <v>1032</v>
      </c>
      <c r="W1041" s="124">
        <f t="shared" si="166"/>
        <v>0</v>
      </c>
      <c r="X1041" s="124">
        <f t="shared" si="167"/>
        <v>0</v>
      </c>
      <c r="Y1041" s="264">
        <f t="shared" si="168"/>
        <v>1032</v>
      </c>
      <c r="Z1041" s="10">
        <v>207</v>
      </c>
      <c r="AA1041" s="7">
        <v>998</v>
      </c>
      <c r="AB1041" s="7">
        <v>1032</v>
      </c>
      <c r="AC1041" s="109">
        <v>0</v>
      </c>
      <c r="AD1041" s="109">
        <v>0</v>
      </c>
      <c r="AE1041" s="125"/>
      <c r="AF1041" s="10"/>
      <c r="AI1041" s="109"/>
      <c r="AJ1041" s="109"/>
      <c r="AL1041" s="10"/>
      <c r="AO1041" s="109"/>
      <c r="AP1041" s="109"/>
      <c r="AR1041" s="10"/>
      <c r="AU1041" s="109"/>
      <c r="AV1041" s="109"/>
      <c r="AX1041" s="10"/>
      <c r="BA1041" s="109"/>
      <c r="BB1041" s="109"/>
      <c r="BD1041" s="10"/>
      <c r="BG1041" s="109"/>
      <c r="BH1041" s="109"/>
      <c r="BJ1041" s="10"/>
      <c r="BM1041" s="109"/>
      <c r="BN1041" s="109"/>
      <c r="BP1041" s="10"/>
      <c r="BS1041" s="109"/>
      <c r="BT1041" s="109"/>
      <c r="BV1041" s="10"/>
      <c r="BY1041" s="109"/>
      <c r="BZ1041" s="109"/>
      <c r="CB1041" s="10"/>
      <c r="CE1041" s="109"/>
      <c r="CF1041" s="109"/>
      <c r="CH1041" s="10"/>
      <c r="CK1041" s="109"/>
      <c r="CL1041" s="109"/>
    </row>
    <row r="1042" spans="1:90">
      <c r="A1042" s="7" t="str">
        <f t="shared" si="161"/>
        <v>02070998</v>
      </c>
      <c r="B1042" s="7" t="s">
        <v>2546</v>
      </c>
      <c r="C1042" s="7" t="s">
        <v>2781</v>
      </c>
      <c r="D1042" s="7">
        <v>1033</v>
      </c>
      <c r="E1042" s="7">
        <v>207</v>
      </c>
      <c r="F1042" s="7" t="s">
        <v>2135</v>
      </c>
      <c r="G1042" s="7">
        <v>998</v>
      </c>
      <c r="H1042" s="7" t="s">
        <v>2135</v>
      </c>
      <c r="I1042" s="37">
        <v>0</v>
      </c>
      <c r="J1042" s="122">
        <v>0</v>
      </c>
      <c r="K1042" s="123">
        <f t="shared" si="160"/>
        <v>0</v>
      </c>
      <c r="L1042" s="122">
        <f>IF(K1044&gt;0, K1042/K1044, 0)</f>
        <v>0</v>
      </c>
      <c r="M1042" s="71"/>
      <c r="N1042" s="10">
        <f>ROUND(M1044*L1042,0)</f>
        <v>0</v>
      </c>
      <c r="O1042" s="70">
        <v>0</v>
      </c>
      <c r="P1042" s="10">
        <f>N1042-O1042</f>
        <v>0</v>
      </c>
      <c r="Q1042" s="46">
        <f>IF(O1042&gt;0,P1042*100/O1042,IF(P1042&gt;0,100,0))</f>
        <v>0</v>
      </c>
      <c r="R1042" s="10">
        <v>0</v>
      </c>
      <c r="S1042" s="7">
        <f t="shared" si="162"/>
        <v>0</v>
      </c>
      <c r="T1042" s="124">
        <f t="shared" si="163"/>
        <v>207</v>
      </c>
      <c r="U1042" s="124">
        <f t="shared" si="164"/>
        <v>998</v>
      </c>
      <c r="V1042" s="124">
        <f t="shared" si="165"/>
        <v>1033</v>
      </c>
      <c r="W1042" s="124">
        <f t="shared" si="166"/>
        <v>0</v>
      </c>
      <c r="X1042" s="124">
        <f t="shared" si="167"/>
        <v>0</v>
      </c>
      <c r="Y1042" s="264">
        <f t="shared" si="168"/>
        <v>1033</v>
      </c>
      <c r="Z1042" s="10">
        <v>207</v>
      </c>
      <c r="AA1042" s="7">
        <v>998</v>
      </c>
      <c r="AB1042" s="7">
        <v>1033</v>
      </c>
      <c r="AC1042" s="109">
        <v>0</v>
      </c>
      <c r="AD1042" s="109">
        <v>0</v>
      </c>
      <c r="AE1042" s="125"/>
      <c r="AF1042" s="10"/>
      <c r="AI1042" s="109"/>
      <c r="AJ1042" s="109"/>
      <c r="AL1042" s="10"/>
      <c r="AO1042" s="109"/>
      <c r="AP1042" s="109"/>
      <c r="AR1042" s="10"/>
      <c r="AU1042" s="109"/>
      <c r="AV1042" s="109"/>
      <c r="AX1042" s="10"/>
      <c r="BA1042" s="109"/>
      <c r="BB1042" s="109"/>
      <c r="BD1042" s="10"/>
      <c r="BG1042" s="109"/>
      <c r="BH1042" s="109"/>
      <c r="BJ1042" s="10"/>
      <c r="BM1042" s="109"/>
      <c r="BN1042" s="109"/>
      <c r="BP1042" s="10"/>
      <c r="BS1042" s="109"/>
      <c r="BT1042" s="109"/>
      <c r="BV1042" s="10"/>
      <c r="BY1042" s="109"/>
      <c r="BZ1042" s="109"/>
      <c r="CB1042" s="10"/>
      <c r="CE1042" s="109"/>
      <c r="CF1042" s="109"/>
      <c r="CH1042" s="10"/>
      <c r="CK1042" s="109"/>
      <c r="CL1042" s="109"/>
    </row>
    <row r="1043" spans="1:90">
      <c r="A1043" s="7" t="str">
        <f t="shared" si="161"/>
        <v>02070998</v>
      </c>
      <c r="B1043" s="7" t="s">
        <v>2546</v>
      </c>
      <c r="C1043" s="7" t="s">
        <v>2781</v>
      </c>
      <c r="D1043" s="7">
        <v>1034</v>
      </c>
      <c r="E1043" s="7">
        <v>207</v>
      </c>
      <c r="F1043" s="7" t="s">
        <v>2135</v>
      </c>
      <c r="G1043" s="7">
        <v>998</v>
      </c>
      <c r="H1043" s="7" t="s">
        <v>2135</v>
      </c>
      <c r="I1043" s="37">
        <v>0</v>
      </c>
      <c r="J1043" s="122">
        <v>0</v>
      </c>
      <c r="K1043" s="123">
        <f t="shared" si="160"/>
        <v>0</v>
      </c>
      <c r="L1043" s="122">
        <f>IF(K1044&gt;0, K1043/K1044, 0)</f>
        <v>0</v>
      </c>
      <c r="M1043" s="71"/>
      <c r="N1043" s="10">
        <f>ROUND(M1044*L1043,0)</f>
        <v>0</v>
      </c>
      <c r="O1043" s="70">
        <v>0</v>
      </c>
      <c r="P1043" s="10">
        <f>N1043-O1043</f>
        <v>0</v>
      </c>
      <c r="Q1043" s="46">
        <f>IF(O1043&gt;0,P1043*100/O1043,IF(P1043&gt;0,100,0))</f>
        <v>0</v>
      </c>
      <c r="R1043" s="10">
        <v>0</v>
      </c>
      <c r="S1043" s="7">
        <f t="shared" si="162"/>
        <v>0</v>
      </c>
      <c r="T1043" s="124">
        <f t="shared" si="163"/>
        <v>207</v>
      </c>
      <c r="U1043" s="124">
        <f t="shared" si="164"/>
        <v>998</v>
      </c>
      <c r="V1043" s="124">
        <f t="shared" si="165"/>
        <v>1034</v>
      </c>
      <c r="W1043" s="124">
        <f t="shared" si="166"/>
        <v>0</v>
      </c>
      <c r="X1043" s="124">
        <f t="shared" si="167"/>
        <v>0</v>
      </c>
      <c r="Y1043" s="264">
        <f t="shared" si="168"/>
        <v>1034</v>
      </c>
      <c r="Z1043" s="10">
        <v>207</v>
      </c>
      <c r="AA1043" s="7">
        <v>998</v>
      </c>
      <c r="AB1043" s="7">
        <v>1034</v>
      </c>
      <c r="AC1043" s="109">
        <v>0</v>
      </c>
      <c r="AD1043" s="109">
        <v>0</v>
      </c>
      <c r="AE1043" s="125"/>
      <c r="AF1043" s="10"/>
      <c r="AI1043" s="109"/>
      <c r="AJ1043" s="109"/>
      <c r="AL1043" s="10"/>
      <c r="AO1043" s="109"/>
      <c r="AP1043" s="109"/>
      <c r="AR1043" s="10"/>
      <c r="AU1043" s="109"/>
      <c r="AV1043" s="109"/>
      <c r="AX1043" s="10"/>
      <c r="BA1043" s="109"/>
      <c r="BB1043" s="109"/>
      <c r="BD1043" s="10"/>
      <c r="BG1043" s="109"/>
      <c r="BH1043" s="109"/>
      <c r="BJ1043" s="10"/>
      <c r="BM1043" s="109"/>
      <c r="BN1043" s="109"/>
      <c r="BP1043" s="10"/>
      <c r="BS1043" s="109"/>
      <c r="BT1043" s="109"/>
      <c r="BV1043" s="10"/>
      <c r="BY1043" s="109"/>
      <c r="BZ1043" s="109"/>
      <c r="CB1043" s="10"/>
      <c r="CE1043" s="109"/>
      <c r="CF1043" s="109"/>
      <c r="CH1043" s="10"/>
      <c r="CK1043" s="109"/>
      <c r="CL1043" s="109"/>
    </row>
    <row r="1044" spans="1:90">
      <c r="A1044" s="7" t="str">
        <f t="shared" si="161"/>
        <v>02070999</v>
      </c>
      <c r="B1044" s="7" t="s">
        <v>2546</v>
      </c>
      <c r="C1044" s="7" t="s">
        <v>2782</v>
      </c>
      <c r="D1044" s="7">
        <v>1035</v>
      </c>
      <c r="E1044" s="11">
        <v>207</v>
      </c>
      <c r="F1044" s="11" t="s">
        <v>1912</v>
      </c>
      <c r="G1044" s="11">
        <v>999</v>
      </c>
      <c r="H1044" s="11" t="s">
        <v>1132</v>
      </c>
      <c r="I1044" s="105">
        <v>126430397.79993999</v>
      </c>
      <c r="J1044" s="126">
        <v>1</v>
      </c>
      <c r="K1044" s="127">
        <f>SUM(K1040:K1043)</f>
        <v>131452274.44548996</v>
      </c>
      <c r="L1044" s="126">
        <f>SUM(L1040:L1043)</f>
        <v>1</v>
      </c>
      <c r="M1044" s="105">
        <f>VLOOKUP(E1044,town351,22)</f>
        <v>108662422</v>
      </c>
      <c r="N1044" s="105">
        <f>SUM(N1040:N1043)</f>
        <v>108662422</v>
      </c>
      <c r="O1044" s="128">
        <v>105306467</v>
      </c>
      <c r="P1044" s="105">
        <f>SUM(P1040:P1043)</f>
        <v>3355955</v>
      </c>
      <c r="Q1044" s="45">
        <f t="shared" ref="Q1044:Q1103" si="169">IF(O1044&gt;0,P1044*100/O1044,IF(P1044&gt;0,100,0))</f>
        <v>3.1868460652088917</v>
      </c>
      <c r="R1044" s="105">
        <v>12730</v>
      </c>
      <c r="S1044" s="7">
        <f t="shared" si="162"/>
        <v>0</v>
      </c>
      <c r="T1044" s="124">
        <f t="shared" si="163"/>
        <v>207</v>
      </c>
      <c r="U1044" s="124">
        <f t="shared" si="164"/>
        <v>999</v>
      </c>
      <c r="V1044" s="124">
        <f t="shared" si="165"/>
        <v>1035</v>
      </c>
      <c r="W1044" s="124">
        <f t="shared" si="166"/>
        <v>12857</v>
      </c>
      <c r="X1044" s="124">
        <f t="shared" si="167"/>
        <v>131452274.44548996</v>
      </c>
      <c r="Y1044" s="264">
        <f t="shared" si="168"/>
        <v>1035</v>
      </c>
      <c r="Z1044" s="10">
        <v>207</v>
      </c>
      <c r="AA1044" s="7">
        <v>999</v>
      </c>
      <c r="AB1044" s="7">
        <v>1035</v>
      </c>
      <c r="AC1044" s="109">
        <v>12857</v>
      </c>
      <c r="AD1044" s="109">
        <v>131452274.44548996</v>
      </c>
      <c r="AE1044" s="125"/>
      <c r="AF1044" s="10"/>
      <c r="AI1044" s="109"/>
      <c r="AJ1044" s="109"/>
      <c r="AL1044" s="10"/>
      <c r="AO1044" s="109"/>
      <c r="AP1044" s="109"/>
      <c r="AR1044" s="10"/>
      <c r="AU1044" s="109"/>
      <c r="AV1044" s="109"/>
      <c r="AX1044" s="10"/>
      <c r="BA1044" s="109"/>
      <c r="BB1044" s="109"/>
      <c r="BD1044" s="10"/>
      <c r="BG1044" s="109"/>
      <c r="BH1044" s="109"/>
      <c r="BJ1044" s="10"/>
      <c r="BM1044" s="109"/>
      <c r="BN1044" s="109"/>
      <c r="BP1044" s="10"/>
      <c r="BS1044" s="109"/>
      <c r="BT1044" s="109"/>
      <c r="BV1044" s="10"/>
      <c r="BY1044" s="109"/>
      <c r="BZ1044" s="109"/>
      <c r="CB1044" s="10"/>
      <c r="CE1044" s="109"/>
      <c r="CF1044" s="109"/>
      <c r="CH1044" s="10"/>
      <c r="CK1044" s="109"/>
      <c r="CL1044" s="109"/>
    </row>
    <row r="1045" spans="1:90">
      <c r="A1045" s="7" t="str">
        <f t="shared" si="161"/>
        <v>02080208</v>
      </c>
      <c r="B1045" s="7" t="s">
        <v>2547</v>
      </c>
      <c r="C1045" s="7" t="s">
        <v>2547</v>
      </c>
      <c r="D1045" s="7">
        <v>1036</v>
      </c>
      <c r="E1045" s="7">
        <v>208</v>
      </c>
      <c r="F1045" s="7" t="s">
        <v>1913</v>
      </c>
      <c r="G1045" s="7">
        <v>208</v>
      </c>
      <c r="H1045" s="7" t="s">
        <v>1474</v>
      </c>
      <c r="I1045" s="37">
        <v>7797859.3176300004</v>
      </c>
      <c r="J1045" s="122">
        <v>0.48684797844197697</v>
      </c>
      <c r="K1045" s="123">
        <f>X1045</f>
        <v>8254868.1418577991</v>
      </c>
      <c r="L1045" s="122">
        <f>IF(K1049&gt;0, K1045/K1049, 0)</f>
        <v>0.50446854750046199</v>
      </c>
      <c r="M1045" s="71"/>
      <c r="N1045" s="10">
        <f>ROUND(M1049*L1045,0)</f>
        <v>6844844</v>
      </c>
      <c r="O1045" s="70">
        <v>6475611</v>
      </c>
      <c r="P1045" s="10">
        <f>N1045-O1045</f>
        <v>369233</v>
      </c>
      <c r="Q1045" s="46">
        <f t="shared" si="169"/>
        <v>5.7019021062259609</v>
      </c>
      <c r="R1045" s="10">
        <v>865</v>
      </c>
      <c r="S1045" s="7">
        <f t="shared" si="162"/>
        <v>0</v>
      </c>
      <c r="T1045" s="124">
        <f t="shared" si="163"/>
        <v>208</v>
      </c>
      <c r="U1045" s="124">
        <f t="shared" si="164"/>
        <v>208</v>
      </c>
      <c r="V1045" s="124">
        <f t="shared" si="165"/>
        <v>1036</v>
      </c>
      <c r="W1045" s="124">
        <f t="shared" si="166"/>
        <v>892</v>
      </c>
      <c r="X1045" s="124">
        <f t="shared" si="167"/>
        <v>8254868.1418577991</v>
      </c>
      <c r="Y1045" s="264">
        <f t="shared" si="168"/>
        <v>1036</v>
      </c>
      <c r="Z1045" s="10">
        <v>208</v>
      </c>
      <c r="AA1045" s="7">
        <v>208</v>
      </c>
      <c r="AB1045" s="7">
        <v>1036</v>
      </c>
      <c r="AC1045" s="109">
        <v>892</v>
      </c>
      <c r="AD1045" s="109">
        <v>8254868.1418577991</v>
      </c>
      <c r="AE1045" s="125"/>
      <c r="AF1045" s="10"/>
      <c r="AI1045" s="109"/>
      <c r="AJ1045" s="109"/>
      <c r="AL1045" s="10"/>
      <c r="AO1045" s="109"/>
      <c r="AP1045" s="109"/>
      <c r="AR1045" s="10"/>
      <c r="AU1045" s="109"/>
      <c r="AV1045" s="109"/>
      <c r="AX1045" s="10"/>
      <c r="BA1045" s="109"/>
      <c r="BB1045" s="109"/>
      <c r="BD1045" s="10"/>
      <c r="BG1045" s="109"/>
      <c r="BH1045" s="109"/>
      <c r="BJ1045" s="10"/>
      <c r="BM1045" s="109"/>
      <c r="BN1045" s="109"/>
      <c r="BP1045" s="10"/>
      <c r="BS1045" s="109"/>
      <c r="BT1045" s="109"/>
      <c r="BV1045" s="10"/>
      <c r="BY1045" s="109"/>
      <c r="BZ1045" s="109"/>
      <c r="CB1045" s="10"/>
      <c r="CE1045" s="109"/>
      <c r="CF1045" s="109"/>
      <c r="CH1045" s="10"/>
      <c r="CK1045" s="109"/>
      <c r="CL1045" s="109"/>
    </row>
    <row r="1046" spans="1:90">
      <c r="A1046" s="7" t="str">
        <f t="shared" si="161"/>
        <v>02080690</v>
      </c>
      <c r="B1046" s="7" t="s">
        <v>2547</v>
      </c>
      <c r="C1046" s="7" t="s">
        <v>2722</v>
      </c>
      <c r="D1046" s="7">
        <v>1037</v>
      </c>
      <c r="E1046" s="7">
        <v>208</v>
      </c>
      <c r="F1046" s="7" t="s">
        <v>1913</v>
      </c>
      <c r="G1046" s="7">
        <v>690</v>
      </c>
      <c r="H1046" s="7" t="s">
        <v>1649</v>
      </c>
      <c r="I1046" s="37">
        <v>7453167</v>
      </c>
      <c r="J1046" s="122">
        <v>0.46532761609801399</v>
      </c>
      <c r="K1046" s="123">
        <f t="shared" si="160"/>
        <v>7434956.1572936168</v>
      </c>
      <c r="L1046" s="122">
        <f>IF(K1049&gt;0, K1046/K1049, 0)</f>
        <v>0.45436237974304139</v>
      </c>
      <c r="M1046" s="71"/>
      <c r="N1046" s="10">
        <f>ROUND(M1049*L1046,0)</f>
        <v>6164982</v>
      </c>
      <c r="O1046" s="70">
        <v>6189367</v>
      </c>
      <c r="P1046" s="10">
        <f>N1046-O1046</f>
        <v>-24385</v>
      </c>
      <c r="Q1046" s="46">
        <f t="shared" si="169"/>
        <v>-0.3939821309675125</v>
      </c>
      <c r="R1046" s="10">
        <v>766</v>
      </c>
      <c r="S1046" s="7">
        <f t="shared" si="162"/>
        <v>0</v>
      </c>
      <c r="T1046" s="124">
        <f t="shared" si="163"/>
        <v>208</v>
      </c>
      <c r="U1046" s="124">
        <f t="shared" si="164"/>
        <v>690</v>
      </c>
      <c r="V1046" s="124">
        <f t="shared" si="165"/>
        <v>1037</v>
      </c>
      <c r="W1046" s="124">
        <f t="shared" si="166"/>
        <v>745.9999999936</v>
      </c>
      <c r="X1046" s="124">
        <f t="shared" si="167"/>
        <v>7434956.1572936168</v>
      </c>
      <c r="Y1046" s="264">
        <f t="shared" si="168"/>
        <v>1037</v>
      </c>
      <c r="Z1046" s="10">
        <v>208</v>
      </c>
      <c r="AA1046" s="7">
        <v>690</v>
      </c>
      <c r="AB1046" s="7">
        <v>1037</v>
      </c>
      <c r="AC1046" s="109">
        <v>745.9999999936</v>
      </c>
      <c r="AD1046" s="109">
        <v>7434956.1572936168</v>
      </c>
      <c r="AE1046" s="125"/>
      <c r="AF1046" s="10"/>
      <c r="AI1046" s="109"/>
      <c r="AJ1046" s="109"/>
      <c r="AL1046" s="10"/>
      <c r="AO1046" s="109"/>
      <c r="AP1046" s="109"/>
      <c r="AR1046" s="10"/>
      <c r="AU1046" s="109"/>
      <c r="AV1046" s="109"/>
      <c r="AX1046" s="10"/>
      <c r="BA1046" s="109"/>
      <c r="BB1046" s="109"/>
      <c r="BD1046" s="10"/>
      <c r="BG1046" s="109"/>
      <c r="BH1046" s="109"/>
      <c r="BJ1046" s="10"/>
      <c r="BM1046" s="109"/>
      <c r="BN1046" s="109"/>
      <c r="BP1046" s="10"/>
      <c r="BS1046" s="109"/>
      <c r="BT1046" s="109"/>
      <c r="BV1046" s="10"/>
      <c r="BY1046" s="109"/>
      <c r="BZ1046" s="109"/>
      <c r="CB1046" s="10"/>
      <c r="CE1046" s="109"/>
      <c r="CF1046" s="109"/>
      <c r="CH1046" s="10"/>
      <c r="CK1046" s="109"/>
      <c r="CL1046" s="109"/>
    </row>
    <row r="1047" spans="1:90">
      <c r="A1047" s="7" t="str">
        <f t="shared" si="161"/>
        <v>02080878</v>
      </c>
      <c r="B1047" s="7" t="s">
        <v>2547</v>
      </c>
      <c r="C1047" s="7" t="s">
        <v>2775</v>
      </c>
      <c r="D1047" s="7">
        <v>1038</v>
      </c>
      <c r="E1047" s="7">
        <v>208</v>
      </c>
      <c r="F1047" s="7" t="s">
        <v>1913</v>
      </c>
      <c r="G1047" s="7">
        <v>878</v>
      </c>
      <c r="H1047" s="7" t="s">
        <v>1702</v>
      </c>
      <c r="I1047" s="37">
        <v>588495</v>
      </c>
      <c r="J1047" s="122">
        <v>3.6741827391711571E-2</v>
      </c>
      <c r="K1047" s="123">
        <f t="shared" si="160"/>
        <v>525419.20634329214</v>
      </c>
      <c r="L1047" s="122">
        <f>IF(K1049&gt;0, K1047/K1049, 0)</f>
        <v>3.2109230492589506E-2</v>
      </c>
      <c r="M1047" s="71"/>
      <c r="N1047" s="10">
        <f>ROUND(M1049*L1047,0)</f>
        <v>435672</v>
      </c>
      <c r="O1047" s="70">
        <v>488707</v>
      </c>
      <c r="P1047" s="10">
        <f>N1047-O1047</f>
        <v>-53035</v>
      </c>
      <c r="Q1047" s="46">
        <f t="shared" si="169"/>
        <v>-10.852105658400637</v>
      </c>
      <c r="R1047" s="10">
        <v>37</v>
      </c>
      <c r="S1047" s="7">
        <f t="shared" si="162"/>
        <v>0</v>
      </c>
      <c r="T1047" s="124">
        <f t="shared" si="163"/>
        <v>208</v>
      </c>
      <c r="U1047" s="124">
        <f t="shared" si="164"/>
        <v>878</v>
      </c>
      <c r="V1047" s="124">
        <f t="shared" si="165"/>
        <v>1038</v>
      </c>
      <c r="W1047" s="124">
        <f t="shared" si="166"/>
        <v>31.999999996709999</v>
      </c>
      <c r="X1047" s="124">
        <f t="shared" si="167"/>
        <v>525419.20634329214</v>
      </c>
      <c r="Y1047" s="264">
        <f t="shared" si="168"/>
        <v>1038</v>
      </c>
      <c r="Z1047" s="10">
        <v>208</v>
      </c>
      <c r="AA1047" s="7">
        <v>878</v>
      </c>
      <c r="AB1047" s="7">
        <v>1038</v>
      </c>
      <c r="AC1047" s="109">
        <v>31.999999996709999</v>
      </c>
      <c r="AD1047" s="109">
        <v>525419.20634329214</v>
      </c>
      <c r="AE1047" s="125"/>
      <c r="AF1047" s="10"/>
      <c r="AI1047" s="109"/>
      <c r="AJ1047" s="109"/>
      <c r="AL1047" s="10"/>
      <c r="AO1047" s="109"/>
      <c r="AP1047" s="109"/>
      <c r="AR1047" s="10"/>
      <c r="AU1047" s="109"/>
      <c r="AV1047" s="109"/>
      <c r="AX1047" s="10"/>
      <c r="BA1047" s="109"/>
      <c r="BB1047" s="109"/>
      <c r="BD1047" s="10"/>
      <c r="BG1047" s="109"/>
      <c r="BH1047" s="109"/>
      <c r="BJ1047" s="10"/>
      <c r="BM1047" s="109"/>
      <c r="BN1047" s="109"/>
      <c r="BP1047" s="10"/>
      <c r="BS1047" s="109"/>
      <c r="BT1047" s="109"/>
      <c r="BV1047" s="10"/>
      <c r="BY1047" s="109"/>
      <c r="BZ1047" s="109"/>
      <c r="CB1047" s="10"/>
      <c r="CE1047" s="109"/>
      <c r="CF1047" s="109"/>
      <c r="CH1047" s="10"/>
      <c r="CK1047" s="109"/>
      <c r="CL1047" s="109"/>
    </row>
    <row r="1048" spans="1:90">
      <c r="A1048" s="7" t="str">
        <f t="shared" si="161"/>
        <v>02080915</v>
      </c>
      <c r="B1048" s="7" t="s">
        <v>2547</v>
      </c>
      <c r="C1048" s="7" t="s">
        <v>2779</v>
      </c>
      <c r="D1048" s="7">
        <v>1039</v>
      </c>
      <c r="E1048" s="7">
        <v>208</v>
      </c>
      <c r="F1048" s="7" t="s">
        <v>1913</v>
      </c>
      <c r="G1048" s="7">
        <v>915</v>
      </c>
      <c r="H1048" s="7" t="s">
        <v>1706</v>
      </c>
      <c r="I1048" s="37">
        <v>177510</v>
      </c>
      <c r="J1048" s="122">
        <v>1.1082578068297471E-2</v>
      </c>
      <c r="K1048" s="123">
        <f t="shared" si="160"/>
        <v>148250.67617226343</v>
      </c>
      <c r="L1048" s="122">
        <f>IF(K1049&gt;0, K1048/K1049, 0)</f>
        <v>9.0598422639070423E-3</v>
      </c>
      <c r="M1048" s="71"/>
      <c r="N1048" s="10">
        <f>ROUND(M1049*L1048,0)</f>
        <v>122928</v>
      </c>
      <c r="O1048" s="70">
        <v>147410</v>
      </c>
      <c r="P1048" s="10">
        <f>N1048-O1048</f>
        <v>-24482</v>
      </c>
      <c r="Q1048" s="46">
        <f t="shared" si="169"/>
        <v>-16.608099857540193</v>
      </c>
      <c r="R1048" s="10">
        <v>11</v>
      </c>
      <c r="S1048" s="7">
        <f t="shared" si="162"/>
        <v>0</v>
      </c>
      <c r="T1048" s="124">
        <f t="shared" si="163"/>
        <v>208</v>
      </c>
      <c r="U1048" s="124">
        <f t="shared" si="164"/>
        <v>915</v>
      </c>
      <c r="V1048" s="124">
        <f t="shared" si="165"/>
        <v>1039</v>
      </c>
      <c r="W1048" s="124">
        <f t="shared" si="166"/>
        <v>9.0000000010800001</v>
      </c>
      <c r="X1048" s="124">
        <f t="shared" si="167"/>
        <v>148250.67617226343</v>
      </c>
      <c r="Y1048" s="264">
        <f t="shared" si="168"/>
        <v>1039</v>
      </c>
      <c r="Z1048" s="10">
        <v>208</v>
      </c>
      <c r="AA1048" s="7">
        <v>915</v>
      </c>
      <c r="AB1048" s="7">
        <v>1039</v>
      </c>
      <c r="AC1048" s="109">
        <v>9.0000000010800001</v>
      </c>
      <c r="AD1048" s="109">
        <v>148250.67617226343</v>
      </c>
      <c r="AE1048" s="125"/>
      <c r="AF1048" s="10"/>
      <c r="AI1048" s="109"/>
      <c r="AJ1048" s="109"/>
      <c r="AL1048" s="10"/>
      <c r="AO1048" s="109"/>
      <c r="AP1048" s="109"/>
      <c r="AR1048" s="10"/>
      <c r="AU1048" s="109"/>
      <c r="AV1048" s="109"/>
      <c r="AX1048" s="10"/>
      <c r="BA1048" s="109"/>
      <c r="BB1048" s="109"/>
      <c r="BD1048" s="10"/>
      <c r="BG1048" s="109"/>
      <c r="BH1048" s="109"/>
      <c r="BJ1048" s="10"/>
      <c r="BM1048" s="109"/>
      <c r="BN1048" s="109"/>
      <c r="BP1048" s="10"/>
      <c r="BS1048" s="109"/>
      <c r="BT1048" s="109"/>
      <c r="BV1048" s="10"/>
      <c r="BY1048" s="109"/>
      <c r="BZ1048" s="109"/>
      <c r="CB1048" s="10"/>
      <c r="CE1048" s="109"/>
      <c r="CF1048" s="109"/>
      <c r="CH1048" s="10"/>
      <c r="CK1048" s="109"/>
      <c r="CL1048" s="109"/>
    </row>
    <row r="1049" spans="1:90">
      <c r="A1049" s="7" t="str">
        <f t="shared" si="161"/>
        <v>02080999</v>
      </c>
      <c r="B1049" s="7" t="s">
        <v>2547</v>
      </c>
      <c r="C1049" s="7" t="s">
        <v>2782</v>
      </c>
      <c r="D1049" s="7">
        <v>1040</v>
      </c>
      <c r="E1049" s="11">
        <v>208</v>
      </c>
      <c r="F1049" s="11" t="s">
        <v>1913</v>
      </c>
      <c r="G1049" s="11">
        <v>999</v>
      </c>
      <c r="H1049" s="11" t="s">
        <v>1132</v>
      </c>
      <c r="I1049" s="105">
        <v>16017031.31763</v>
      </c>
      <c r="J1049" s="126">
        <v>1</v>
      </c>
      <c r="K1049" s="127">
        <f>SUM(K1045:K1048)</f>
        <v>16363494.181666972</v>
      </c>
      <c r="L1049" s="126">
        <f>SUM(L1045:L1048)</f>
        <v>0.99999999999999989</v>
      </c>
      <c r="M1049" s="105">
        <f>VLOOKUP(E1049,town351,22)</f>
        <v>13568426</v>
      </c>
      <c r="N1049" s="105">
        <f>SUM(N1045:N1048)</f>
        <v>13568426</v>
      </c>
      <c r="O1049" s="128">
        <v>13301095</v>
      </c>
      <c r="P1049" s="105">
        <f>SUM(P1045:P1048)</f>
        <v>267331</v>
      </c>
      <c r="Q1049" s="45">
        <f t="shared" si="169"/>
        <v>2.009842046839001</v>
      </c>
      <c r="R1049" s="105">
        <v>1679</v>
      </c>
      <c r="S1049" s="7">
        <f t="shared" si="162"/>
        <v>0</v>
      </c>
      <c r="T1049" s="124">
        <f t="shared" si="163"/>
        <v>208</v>
      </c>
      <c r="U1049" s="124">
        <f t="shared" si="164"/>
        <v>999</v>
      </c>
      <c r="V1049" s="124">
        <f t="shared" si="165"/>
        <v>1040</v>
      </c>
      <c r="W1049" s="124">
        <f t="shared" si="166"/>
        <v>1678.9999999913898</v>
      </c>
      <c r="X1049" s="124">
        <f t="shared" si="167"/>
        <v>16363494.181666972</v>
      </c>
      <c r="Y1049" s="264">
        <f t="shared" si="168"/>
        <v>1040</v>
      </c>
      <c r="Z1049" s="10">
        <v>208</v>
      </c>
      <c r="AA1049" s="7">
        <v>999</v>
      </c>
      <c r="AB1049" s="7">
        <v>1040</v>
      </c>
      <c r="AC1049" s="109">
        <v>1678.9999999913898</v>
      </c>
      <c r="AD1049" s="109">
        <v>16363494.181666972</v>
      </c>
      <c r="AE1049" s="125"/>
      <c r="AF1049" s="10"/>
      <c r="AI1049" s="109"/>
      <c r="AJ1049" s="109"/>
      <c r="AL1049" s="10"/>
      <c r="AO1049" s="109"/>
      <c r="AP1049" s="109"/>
      <c r="AR1049" s="10"/>
      <c r="AU1049" s="109"/>
      <c r="AV1049" s="109"/>
      <c r="AX1049" s="10"/>
      <c r="BA1049" s="109"/>
      <c r="BB1049" s="109"/>
      <c r="BD1049" s="10"/>
      <c r="BG1049" s="109"/>
      <c r="BH1049" s="109"/>
      <c r="BJ1049" s="10"/>
      <c r="BM1049" s="109"/>
      <c r="BN1049" s="109"/>
      <c r="BP1049" s="10"/>
      <c r="BS1049" s="109"/>
      <c r="BT1049" s="109"/>
      <c r="BV1049" s="10"/>
      <c r="BY1049" s="109"/>
      <c r="BZ1049" s="109"/>
      <c r="CB1049" s="10"/>
      <c r="CE1049" s="109"/>
      <c r="CF1049" s="109"/>
      <c r="CH1049" s="10"/>
      <c r="CK1049" s="109"/>
      <c r="CL1049" s="109"/>
    </row>
    <row r="1050" spans="1:90">
      <c r="A1050" s="7" t="str">
        <f t="shared" si="161"/>
        <v>02090209</v>
      </c>
      <c r="B1050" s="7" t="s">
        <v>2548</v>
      </c>
      <c r="C1050" s="7" t="s">
        <v>2548</v>
      </c>
      <c r="D1050" s="7">
        <v>1041</v>
      </c>
      <c r="E1050" s="7">
        <v>209</v>
      </c>
      <c r="F1050" s="7" t="s">
        <v>1914</v>
      </c>
      <c r="G1050" s="7">
        <v>209</v>
      </c>
      <c r="H1050" s="7" t="s">
        <v>1475</v>
      </c>
      <c r="I1050" s="37">
        <v>16484834.819999997</v>
      </c>
      <c r="J1050" s="122">
        <v>0.86676917146019705</v>
      </c>
      <c r="K1050" s="123">
        <f>X1050</f>
        <v>17145309.629568465</v>
      </c>
      <c r="L1050" s="122">
        <f>IF(K1054&gt;0, K1050/K1054, 0)</f>
        <v>0.8846518824161268</v>
      </c>
      <c r="M1050" s="71"/>
      <c r="N1050" s="10">
        <f>ROUND(M1054*L1050,0)</f>
        <v>5100302</v>
      </c>
      <c r="O1050" s="70">
        <v>5063315</v>
      </c>
      <c r="P1050" s="10">
        <f>N1050-O1050</f>
        <v>36987</v>
      </c>
      <c r="Q1050" s="46">
        <f t="shared" si="169"/>
        <v>0.73048980756678183</v>
      </c>
      <c r="R1050" s="10">
        <v>1477</v>
      </c>
      <c r="S1050" s="7">
        <f t="shared" si="162"/>
        <v>0</v>
      </c>
      <c r="T1050" s="124">
        <f t="shared" si="163"/>
        <v>209</v>
      </c>
      <c r="U1050" s="124">
        <f t="shared" si="164"/>
        <v>209</v>
      </c>
      <c r="V1050" s="124">
        <f t="shared" si="165"/>
        <v>1041</v>
      </c>
      <c r="W1050" s="124">
        <f t="shared" si="166"/>
        <v>1506</v>
      </c>
      <c r="X1050" s="124">
        <f t="shared" si="167"/>
        <v>17145309.629568465</v>
      </c>
      <c r="Y1050" s="264">
        <f t="shared" si="168"/>
        <v>1041</v>
      </c>
      <c r="Z1050" s="10">
        <v>209</v>
      </c>
      <c r="AA1050" s="7">
        <v>209</v>
      </c>
      <c r="AB1050" s="7">
        <v>1041</v>
      </c>
      <c r="AC1050" s="109">
        <v>1506</v>
      </c>
      <c r="AD1050" s="109">
        <v>17145309.629568465</v>
      </c>
      <c r="AE1050" s="125"/>
      <c r="AF1050" s="10"/>
      <c r="AI1050" s="109"/>
      <c r="AJ1050" s="109"/>
      <c r="AL1050" s="10"/>
      <c r="AO1050" s="109"/>
      <c r="AP1050" s="109"/>
      <c r="AR1050" s="10"/>
      <c r="AU1050" s="109"/>
      <c r="AV1050" s="109"/>
      <c r="AX1050" s="10"/>
      <c r="BA1050" s="109"/>
      <c r="BB1050" s="109"/>
      <c r="BD1050" s="10"/>
      <c r="BG1050" s="109"/>
      <c r="BH1050" s="109"/>
      <c r="BJ1050" s="10"/>
      <c r="BM1050" s="109"/>
      <c r="BN1050" s="109"/>
      <c r="BP1050" s="10"/>
      <c r="BS1050" s="109"/>
      <c r="BT1050" s="109"/>
      <c r="BV1050" s="10"/>
      <c r="BY1050" s="109"/>
      <c r="BZ1050" s="109"/>
      <c r="CB1050" s="10"/>
      <c r="CE1050" s="109"/>
      <c r="CF1050" s="109"/>
      <c r="CH1050" s="10"/>
      <c r="CK1050" s="109"/>
      <c r="CL1050" s="109"/>
    </row>
    <row r="1051" spans="1:90">
      <c r="A1051" s="7" t="str">
        <f t="shared" si="161"/>
        <v>02090851</v>
      </c>
      <c r="B1051" s="7" t="s">
        <v>2548</v>
      </c>
      <c r="C1051" s="7" t="s">
        <v>2766</v>
      </c>
      <c r="D1051" s="7">
        <v>1042</v>
      </c>
      <c r="E1051" s="7">
        <v>209</v>
      </c>
      <c r="F1051" s="7" t="s">
        <v>1914</v>
      </c>
      <c r="G1051" s="7">
        <v>851</v>
      </c>
      <c r="H1051" s="7" t="s">
        <v>1693</v>
      </c>
      <c r="I1051" s="37">
        <v>2533879</v>
      </c>
      <c r="J1051" s="122">
        <v>0.13323082853980292</v>
      </c>
      <c r="K1051" s="123">
        <f t="shared" si="160"/>
        <v>2235545.1115550851</v>
      </c>
      <c r="L1051" s="122">
        <f>IF(K1054&gt;0, K1051/K1054, 0)</f>
        <v>0.11534811758387317</v>
      </c>
      <c r="M1051" s="71"/>
      <c r="N1051" s="10">
        <f>ROUND(M1054*L1051,0)</f>
        <v>665019</v>
      </c>
      <c r="O1051" s="70">
        <v>778281</v>
      </c>
      <c r="P1051" s="10">
        <f>N1051-O1051</f>
        <v>-113262</v>
      </c>
      <c r="Q1051" s="46">
        <f t="shared" si="169"/>
        <v>-14.552841454436123</v>
      </c>
      <c r="R1051" s="10">
        <v>160</v>
      </c>
      <c r="S1051" s="7">
        <f t="shared" si="162"/>
        <v>0</v>
      </c>
      <c r="T1051" s="124">
        <f t="shared" si="163"/>
        <v>209</v>
      </c>
      <c r="U1051" s="124">
        <f t="shared" si="164"/>
        <v>851</v>
      </c>
      <c r="V1051" s="124">
        <f t="shared" si="165"/>
        <v>1042</v>
      </c>
      <c r="W1051" s="124">
        <f t="shared" si="166"/>
        <v>138.9999999984</v>
      </c>
      <c r="X1051" s="124">
        <f t="shared" si="167"/>
        <v>2235545.1115550851</v>
      </c>
      <c r="Y1051" s="264">
        <f t="shared" si="168"/>
        <v>1042</v>
      </c>
      <c r="Z1051" s="10">
        <v>209</v>
      </c>
      <c r="AA1051" s="7">
        <v>851</v>
      </c>
      <c r="AB1051" s="7">
        <v>1042</v>
      </c>
      <c r="AC1051" s="109">
        <v>138.9999999984</v>
      </c>
      <c r="AD1051" s="109">
        <v>2235545.1115550851</v>
      </c>
      <c r="AE1051" s="125"/>
      <c r="AF1051" s="10"/>
      <c r="AI1051" s="109"/>
      <c r="AJ1051" s="109"/>
      <c r="AL1051" s="10"/>
      <c r="AO1051" s="109"/>
      <c r="AP1051" s="109"/>
      <c r="AR1051" s="10"/>
      <c r="AU1051" s="109"/>
      <c r="AV1051" s="109"/>
      <c r="AX1051" s="10"/>
      <c r="BA1051" s="109"/>
      <c r="BB1051" s="109"/>
      <c r="BD1051" s="10"/>
      <c r="BG1051" s="109"/>
      <c r="BH1051" s="109"/>
      <c r="BJ1051" s="10"/>
      <c r="BM1051" s="109"/>
      <c r="BN1051" s="109"/>
      <c r="BP1051" s="10"/>
      <c r="BS1051" s="109"/>
      <c r="BT1051" s="109"/>
      <c r="BV1051" s="10"/>
      <c r="BY1051" s="109"/>
      <c r="BZ1051" s="109"/>
      <c r="CB1051" s="10"/>
      <c r="CE1051" s="109"/>
      <c r="CF1051" s="109"/>
      <c r="CH1051" s="10"/>
      <c r="CK1051" s="109"/>
      <c r="CL1051" s="109"/>
    </row>
    <row r="1052" spans="1:90">
      <c r="A1052" s="7" t="str">
        <f t="shared" si="161"/>
        <v>02090998</v>
      </c>
      <c r="B1052" s="7" t="s">
        <v>2548</v>
      </c>
      <c r="C1052" s="7" t="s">
        <v>2781</v>
      </c>
      <c r="D1052" s="7">
        <v>1043</v>
      </c>
      <c r="E1052" s="7">
        <v>209</v>
      </c>
      <c r="F1052" s="7" t="s">
        <v>2135</v>
      </c>
      <c r="G1052" s="7">
        <v>998</v>
      </c>
      <c r="H1052" s="7" t="s">
        <v>2135</v>
      </c>
      <c r="I1052" s="37">
        <v>0</v>
      </c>
      <c r="J1052" s="122">
        <v>0</v>
      </c>
      <c r="K1052" s="123">
        <f t="shared" si="160"/>
        <v>0</v>
      </c>
      <c r="L1052" s="122">
        <f>IF(K1054&gt;0, K1052/K1054, 0)</f>
        <v>0</v>
      </c>
      <c r="M1052" s="71"/>
      <c r="N1052" s="10">
        <f>ROUND(M1054*L1052,0)</f>
        <v>0</v>
      </c>
      <c r="O1052" s="70">
        <v>0</v>
      </c>
      <c r="P1052" s="10">
        <f>N1052-O1052</f>
        <v>0</v>
      </c>
      <c r="Q1052" s="46">
        <f t="shared" si="169"/>
        <v>0</v>
      </c>
      <c r="R1052" s="10">
        <v>0</v>
      </c>
      <c r="S1052" s="7">
        <f t="shared" si="162"/>
        <v>0</v>
      </c>
      <c r="T1052" s="124">
        <f t="shared" si="163"/>
        <v>209</v>
      </c>
      <c r="U1052" s="124">
        <f t="shared" si="164"/>
        <v>998</v>
      </c>
      <c r="V1052" s="124">
        <f t="shared" si="165"/>
        <v>1043</v>
      </c>
      <c r="W1052" s="124">
        <f t="shared" si="166"/>
        <v>0</v>
      </c>
      <c r="X1052" s="124">
        <f t="shared" si="167"/>
        <v>0</v>
      </c>
      <c r="Y1052" s="264">
        <f t="shared" si="168"/>
        <v>1043</v>
      </c>
      <c r="Z1052" s="10">
        <v>209</v>
      </c>
      <c r="AA1052" s="7">
        <v>998</v>
      </c>
      <c r="AB1052" s="7">
        <v>1043</v>
      </c>
      <c r="AC1052" s="109">
        <v>0</v>
      </c>
      <c r="AD1052" s="109">
        <v>0</v>
      </c>
      <c r="AE1052" s="125"/>
      <c r="AF1052" s="10"/>
      <c r="AI1052" s="109"/>
      <c r="AJ1052" s="109"/>
      <c r="AL1052" s="10"/>
      <c r="AO1052" s="109"/>
      <c r="AP1052" s="109"/>
      <c r="AR1052" s="10"/>
      <c r="AU1052" s="109"/>
      <c r="AV1052" s="109"/>
      <c r="AX1052" s="10"/>
      <c r="BA1052" s="109"/>
      <c r="BB1052" s="109"/>
      <c r="BD1052" s="10"/>
      <c r="BG1052" s="109"/>
      <c r="BH1052" s="109"/>
      <c r="BJ1052" s="10"/>
      <c r="BM1052" s="109"/>
      <c r="BN1052" s="109"/>
      <c r="BP1052" s="10"/>
      <c r="BS1052" s="109"/>
      <c r="BT1052" s="109"/>
      <c r="BV1052" s="10"/>
      <c r="BY1052" s="109"/>
      <c r="BZ1052" s="109"/>
      <c r="CB1052" s="10"/>
      <c r="CE1052" s="109"/>
      <c r="CF1052" s="109"/>
      <c r="CH1052" s="10"/>
      <c r="CK1052" s="109"/>
      <c r="CL1052" s="109"/>
    </row>
    <row r="1053" spans="1:90">
      <c r="A1053" s="7" t="str">
        <f t="shared" si="161"/>
        <v>02090998</v>
      </c>
      <c r="B1053" s="7" t="s">
        <v>2548</v>
      </c>
      <c r="C1053" s="7" t="s">
        <v>2781</v>
      </c>
      <c r="D1053" s="7">
        <v>1044</v>
      </c>
      <c r="E1053" s="7">
        <v>209</v>
      </c>
      <c r="F1053" s="7" t="s">
        <v>2135</v>
      </c>
      <c r="G1053" s="7">
        <v>998</v>
      </c>
      <c r="H1053" s="7" t="s">
        <v>2135</v>
      </c>
      <c r="I1053" s="37">
        <v>0</v>
      </c>
      <c r="J1053" s="122">
        <v>0</v>
      </c>
      <c r="K1053" s="123">
        <f t="shared" si="160"/>
        <v>0</v>
      </c>
      <c r="L1053" s="122">
        <f>IF(K1054&gt;0, K1053/K1054, 0)</f>
        <v>0</v>
      </c>
      <c r="M1053" s="71"/>
      <c r="N1053" s="10">
        <f>ROUND(M1054*L1053,0)</f>
        <v>0</v>
      </c>
      <c r="O1053" s="70">
        <v>0</v>
      </c>
      <c r="P1053" s="10">
        <f>N1053-O1053</f>
        <v>0</v>
      </c>
      <c r="Q1053" s="46">
        <f t="shared" si="169"/>
        <v>0</v>
      </c>
      <c r="R1053" s="10">
        <v>0</v>
      </c>
      <c r="S1053" s="7">
        <f t="shared" si="162"/>
        <v>0</v>
      </c>
      <c r="T1053" s="124">
        <f t="shared" si="163"/>
        <v>209</v>
      </c>
      <c r="U1053" s="124">
        <f t="shared" si="164"/>
        <v>998</v>
      </c>
      <c r="V1053" s="124">
        <f t="shared" si="165"/>
        <v>1044</v>
      </c>
      <c r="W1053" s="124">
        <f t="shared" si="166"/>
        <v>0</v>
      </c>
      <c r="X1053" s="124">
        <f t="shared" si="167"/>
        <v>0</v>
      </c>
      <c r="Y1053" s="264">
        <f t="shared" si="168"/>
        <v>1044</v>
      </c>
      <c r="Z1053" s="10">
        <v>209</v>
      </c>
      <c r="AA1053" s="7">
        <v>998</v>
      </c>
      <c r="AB1053" s="7">
        <v>1044</v>
      </c>
      <c r="AC1053" s="109">
        <v>0</v>
      </c>
      <c r="AD1053" s="109">
        <v>0</v>
      </c>
      <c r="AE1053" s="125"/>
      <c r="AF1053" s="10"/>
      <c r="AI1053" s="109"/>
      <c r="AJ1053" s="109"/>
      <c r="AL1053" s="10"/>
      <c r="AO1053" s="109"/>
      <c r="AP1053" s="109"/>
      <c r="AR1053" s="10"/>
      <c r="AU1053" s="109"/>
      <c r="AV1053" s="109"/>
      <c r="AX1053" s="10"/>
      <c r="BA1053" s="109"/>
      <c r="BB1053" s="109"/>
      <c r="BD1053" s="10"/>
      <c r="BG1053" s="109"/>
      <c r="BH1053" s="109"/>
      <c r="BJ1053" s="10"/>
      <c r="BM1053" s="109"/>
      <c r="BN1053" s="109"/>
      <c r="BP1053" s="10"/>
      <c r="BS1053" s="109"/>
      <c r="BT1053" s="109"/>
      <c r="BV1053" s="10"/>
      <c r="BY1053" s="109"/>
      <c r="BZ1053" s="109"/>
      <c r="CB1053" s="10"/>
      <c r="CE1053" s="109"/>
      <c r="CF1053" s="109"/>
      <c r="CH1053" s="10"/>
      <c r="CK1053" s="109"/>
      <c r="CL1053" s="109"/>
    </row>
    <row r="1054" spans="1:90">
      <c r="A1054" s="7" t="str">
        <f t="shared" si="161"/>
        <v>02090999</v>
      </c>
      <c r="B1054" s="7" t="s">
        <v>2548</v>
      </c>
      <c r="C1054" s="7" t="s">
        <v>2782</v>
      </c>
      <c r="D1054" s="7">
        <v>1045</v>
      </c>
      <c r="E1054" s="11">
        <v>209</v>
      </c>
      <c r="F1054" s="11" t="s">
        <v>1914</v>
      </c>
      <c r="G1054" s="11">
        <v>999</v>
      </c>
      <c r="H1054" s="11" t="s">
        <v>1132</v>
      </c>
      <c r="I1054" s="105">
        <v>19018713.819999997</v>
      </c>
      <c r="J1054" s="126">
        <v>1</v>
      </c>
      <c r="K1054" s="127">
        <f>SUM(K1050:K1053)</f>
        <v>19380854.74112355</v>
      </c>
      <c r="L1054" s="126">
        <f>SUM(L1050:L1053)</f>
        <v>1</v>
      </c>
      <c r="M1054" s="105">
        <f>VLOOKUP(E1054,town351,22)</f>
        <v>5765321</v>
      </c>
      <c r="N1054" s="105">
        <f>SUM(N1050:N1053)</f>
        <v>5765321</v>
      </c>
      <c r="O1054" s="128">
        <v>5841596</v>
      </c>
      <c r="P1054" s="105">
        <f>SUM(P1050:P1053)</f>
        <v>-76275</v>
      </c>
      <c r="Q1054" s="45">
        <f t="shared" si="169"/>
        <v>-1.3057219294179194</v>
      </c>
      <c r="R1054" s="105">
        <v>1637</v>
      </c>
      <c r="S1054" s="7">
        <f t="shared" si="162"/>
        <v>0</v>
      </c>
      <c r="T1054" s="124">
        <f t="shared" si="163"/>
        <v>209</v>
      </c>
      <c r="U1054" s="124">
        <f t="shared" si="164"/>
        <v>999</v>
      </c>
      <c r="V1054" s="124">
        <f t="shared" si="165"/>
        <v>1045</v>
      </c>
      <c r="W1054" s="124">
        <f t="shared" si="166"/>
        <v>1644.9999999984</v>
      </c>
      <c r="X1054" s="124">
        <f t="shared" si="167"/>
        <v>19380854.74112355</v>
      </c>
      <c r="Y1054" s="264">
        <f t="shared" si="168"/>
        <v>1045</v>
      </c>
      <c r="Z1054" s="10">
        <v>209</v>
      </c>
      <c r="AA1054" s="7">
        <v>999</v>
      </c>
      <c r="AB1054" s="7">
        <v>1045</v>
      </c>
      <c r="AC1054" s="109">
        <v>1644.9999999984</v>
      </c>
      <c r="AD1054" s="109">
        <v>19380854.74112355</v>
      </c>
      <c r="AE1054" s="125"/>
      <c r="AF1054" s="10"/>
      <c r="AI1054" s="109"/>
      <c r="AJ1054" s="109"/>
      <c r="AL1054" s="10"/>
      <c r="AO1054" s="109"/>
      <c r="AP1054" s="109"/>
      <c r="AR1054" s="10"/>
      <c r="AU1054" s="109"/>
      <c r="AV1054" s="109"/>
      <c r="AX1054" s="10"/>
      <c r="BA1054" s="109"/>
      <c r="BB1054" s="109"/>
      <c r="BD1054" s="10"/>
      <c r="BG1054" s="109"/>
      <c r="BH1054" s="109"/>
      <c r="BJ1054" s="10"/>
      <c r="BM1054" s="109"/>
      <c r="BN1054" s="109"/>
      <c r="BP1054" s="10"/>
      <c r="BS1054" s="109"/>
      <c r="BT1054" s="109"/>
      <c r="BV1054" s="10"/>
      <c r="BY1054" s="109"/>
      <c r="BZ1054" s="109"/>
      <c r="CB1054" s="10"/>
      <c r="CE1054" s="109"/>
      <c r="CF1054" s="109"/>
      <c r="CH1054" s="10"/>
      <c r="CK1054" s="109"/>
      <c r="CL1054" s="109"/>
    </row>
    <row r="1055" spans="1:90">
      <c r="A1055" s="7" t="str">
        <f t="shared" si="161"/>
        <v>02100210</v>
      </c>
      <c r="B1055" s="7" t="s">
        <v>2549</v>
      </c>
      <c r="C1055" s="7" t="s">
        <v>2549</v>
      </c>
      <c r="D1055" s="7">
        <v>1046</v>
      </c>
      <c r="E1055" s="7">
        <v>210</v>
      </c>
      <c r="F1055" s="7" t="s">
        <v>1915</v>
      </c>
      <c r="G1055" s="7">
        <v>210</v>
      </c>
      <c r="H1055" s="7" t="s">
        <v>1476</v>
      </c>
      <c r="I1055" s="37">
        <v>27410585.139999997</v>
      </c>
      <c r="J1055" s="122">
        <v>0.92640092709440702</v>
      </c>
      <c r="K1055" s="123">
        <f t="shared" ref="K1055:K1118" si="170">X1055</f>
        <v>27919380.14575414</v>
      </c>
      <c r="L1055" s="122">
        <f>IF(K1059&gt;0, K1055/K1059, 0)</f>
        <v>0.92546540797832422</v>
      </c>
      <c r="M1055" s="71"/>
      <c r="N1055" s="10">
        <f>ROUND(M1059*L1055,0)</f>
        <v>23143930</v>
      </c>
      <c r="O1055" s="70">
        <v>22747409</v>
      </c>
      <c r="P1055" s="10">
        <f>N1055-O1055</f>
        <v>396521</v>
      </c>
      <c r="Q1055" s="46">
        <f t="shared" si="169"/>
        <v>1.7431479778642043</v>
      </c>
      <c r="R1055" s="10">
        <v>2742</v>
      </c>
      <c r="S1055" s="7">
        <f t="shared" si="162"/>
        <v>0</v>
      </c>
      <c r="T1055" s="124">
        <f t="shared" si="163"/>
        <v>210</v>
      </c>
      <c r="U1055" s="124">
        <f t="shared" si="164"/>
        <v>210</v>
      </c>
      <c r="V1055" s="124">
        <f t="shared" si="165"/>
        <v>1046</v>
      </c>
      <c r="W1055" s="124">
        <f t="shared" si="166"/>
        <v>2746</v>
      </c>
      <c r="X1055" s="124">
        <f t="shared" si="167"/>
        <v>27919380.14575414</v>
      </c>
      <c r="Y1055" s="264">
        <f t="shared" si="168"/>
        <v>1046</v>
      </c>
      <c r="Z1055" s="10">
        <v>210</v>
      </c>
      <c r="AA1055" s="7">
        <v>210</v>
      </c>
      <c r="AB1055" s="7">
        <v>1046</v>
      </c>
      <c r="AC1055" s="109">
        <v>2746</v>
      </c>
      <c r="AD1055" s="109">
        <v>27919380.14575414</v>
      </c>
      <c r="AE1055" s="125"/>
      <c r="AF1055" s="10"/>
      <c r="AI1055" s="109"/>
      <c r="AJ1055" s="109"/>
      <c r="AL1055" s="10"/>
      <c r="AO1055" s="109"/>
      <c r="AP1055" s="109"/>
      <c r="AR1055" s="10"/>
      <c r="AU1055" s="109"/>
      <c r="AV1055" s="109"/>
      <c r="AX1055" s="10"/>
      <c r="BA1055" s="109"/>
      <c r="BB1055" s="109"/>
      <c r="BD1055" s="10"/>
      <c r="BG1055" s="109"/>
      <c r="BH1055" s="109"/>
      <c r="BJ1055" s="10"/>
      <c r="BM1055" s="109"/>
      <c r="BN1055" s="109"/>
      <c r="BP1055" s="10"/>
      <c r="BS1055" s="109"/>
      <c r="BT1055" s="109"/>
      <c r="BV1055" s="10"/>
      <c r="BY1055" s="109"/>
      <c r="BZ1055" s="109"/>
      <c r="CB1055" s="10"/>
      <c r="CE1055" s="109"/>
      <c r="CF1055" s="109"/>
      <c r="CH1055" s="10"/>
      <c r="CK1055" s="109"/>
      <c r="CL1055" s="109"/>
    </row>
    <row r="1056" spans="1:90">
      <c r="A1056" s="7" t="str">
        <f t="shared" si="161"/>
        <v>02100406</v>
      </c>
      <c r="B1056" s="7" t="s">
        <v>2549</v>
      </c>
      <c r="C1056" s="7" t="s">
        <v>2693</v>
      </c>
      <c r="D1056" s="7">
        <v>1047</v>
      </c>
      <c r="E1056" s="7">
        <v>210</v>
      </c>
      <c r="F1056" s="7" t="s">
        <v>1915</v>
      </c>
      <c r="G1056" s="7">
        <v>406</v>
      </c>
      <c r="H1056" s="7" t="s">
        <v>1620</v>
      </c>
      <c r="I1056" s="37">
        <v>2177668</v>
      </c>
      <c r="J1056" s="122">
        <v>7.3599072905592977E-2</v>
      </c>
      <c r="K1056" s="123">
        <f t="shared" si="170"/>
        <v>2248554.7171424888</v>
      </c>
      <c r="L1056" s="122">
        <f>IF(K1059&gt;0, K1056/K1059, 0)</f>
        <v>7.4534592021675755E-2</v>
      </c>
      <c r="M1056" s="71"/>
      <c r="N1056" s="10">
        <f>ROUND(M1059*L1056,0)</f>
        <v>1863952</v>
      </c>
      <c r="O1056" s="70">
        <v>1807196</v>
      </c>
      <c r="P1056" s="10">
        <f>N1056-O1056</f>
        <v>56756</v>
      </c>
      <c r="Q1056" s="46">
        <f t="shared" si="169"/>
        <v>3.1405558666575182</v>
      </c>
      <c r="R1056" s="10">
        <v>103</v>
      </c>
      <c r="S1056" s="7">
        <f t="shared" si="162"/>
        <v>0</v>
      </c>
      <c r="T1056" s="124">
        <f t="shared" si="163"/>
        <v>210</v>
      </c>
      <c r="U1056" s="124">
        <f t="shared" si="164"/>
        <v>406</v>
      </c>
      <c r="V1056" s="124">
        <f t="shared" si="165"/>
        <v>1047</v>
      </c>
      <c r="W1056" s="124">
        <f t="shared" si="166"/>
        <v>106</v>
      </c>
      <c r="X1056" s="124">
        <f t="shared" si="167"/>
        <v>2248554.7171424888</v>
      </c>
      <c r="Y1056" s="264">
        <f t="shared" si="168"/>
        <v>1047</v>
      </c>
      <c r="Z1056" s="10">
        <v>210</v>
      </c>
      <c r="AA1056" s="7">
        <v>406</v>
      </c>
      <c r="AB1056" s="7">
        <v>1047</v>
      </c>
      <c r="AC1056" s="109">
        <v>106</v>
      </c>
      <c r="AD1056" s="109">
        <v>2248554.7171424888</v>
      </c>
      <c r="AE1056" s="125"/>
      <c r="AF1056" s="10"/>
      <c r="AI1056" s="109"/>
      <c r="AJ1056" s="109"/>
      <c r="AL1056" s="10"/>
      <c r="AO1056" s="109"/>
      <c r="AP1056" s="109"/>
      <c r="AR1056" s="10"/>
      <c r="AU1056" s="109"/>
      <c r="AV1056" s="109"/>
      <c r="AX1056" s="10"/>
      <c r="BA1056" s="109"/>
      <c r="BB1056" s="109"/>
      <c r="BD1056" s="10"/>
      <c r="BG1056" s="109"/>
      <c r="BH1056" s="109"/>
      <c r="BJ1056" s="10"/>
      <c r="BM1056" s="109"/>
      <c r="BN1056" s="109"/>
      <c r="BP1056" s="10"/>
      <c r="BS1056" s="109"/>
      <c r="BT1056" s="109"/>
      <c r="BV1056" s="10"/>
      <c r="BY1056" s="109"/>
      <c r="BZ1056" s="109"/>
      <c r="CB1056" s="10"/>
      <c r="CE1056" s="109"/>
      <c r="CF1056" s="109"/>
      <c r="CH1056" s="10"/>
      <c r="CK1056" s="109"/>
      <c r="CL1056" s="109"/>
    </row>
    <row r="1057" spans="1:90">
      <c r="A1057" s="7" t="str">
        <f t="shared" si="161"/>
        <v>02100998</v>
      </c>
      <c r="B1057" s="7" t="s">
        <v>2549</v>
      </c>
      <c r="C1057" s="7" t="s">
        <v>2781</v>
      </c>
      <c r="D1057" s="7">
        <v>1048</v>
      </c>
      <c r="E1057" s="7">
        <v>210</v>
      </c>
      <c r="F1057" s="7" t="s">
        <v>2135</v>
      </c>
      <c r="G1057" s="7">
        <v>998</v>
      </c>
      <c r="H1057" s="7" t="s">
        <v>2135</v>
      </c>
      <c r="I1057" s="37">
        <v>0</v>
      </c>
      <c r="J1057" s="122">
        <v>0</v>
      </c>
      <c r="K1057" s="123">
        <f t="shared" si="170"/>
        <v>0</v>
      </c>
      <c r="L1057" s="122">
        <f>IF(K1059&gt;0, K1057/K1059, 0)</f>
        <v>0</v>
      </c>
      <c r="M1057" s="71"/>
      <c r="N1057" s="10">
        <f>ROUND(M1059*L1057,0)</f>
        <v>0</v>
      </c>
      <c r="O1057" s="70">
        <v>0</v>
      </c>
      <c r="P1057" s="10">
        <f>N1057-O1057</f>
        <v>0</v>
      </c>
      <c r="Q1057" s="46">
        <f t="shared" si="169"/>
        <v>0</v>
      </c>
      <c r="R1057" s="10">
        <v>0</v>
      </c>
      <c r="S1057" s="7">
        <f t="shared" si="162"/>
        <v>0</v>
      </c>
      <c r="T1057" s="124">
        <f t="shared" si="163"/>
        <v>210</v>
      </c>
      <c r="U1057" s="124">
        <f t="shared" si="164"/>
        <v>998</v>
      </c>
      <c r="V1057" s="124">
        <f t="shared" si="165"/>
        <v>1048</v>
      </c>
      <c r="W1057" s="124">
        <f t="shared" si="166"/>
        <v>0</v>
      </c>
      <c r="X1057" s="124">
        <f t="shared" si="167"/>
        <v>0</v>
      </c>
      <c r="Y1057" s="264">
        <f t="shared" si="168"/>
        <v>1048</v>
      </c>
      <c r="Z1057" s="10">
        <v>210</v>
      </c>
      <c r="AA1057" s="7">
        <v>998</v>
      </c>
      <c r="AB1057" s="7">
        <v>1048</v>
      </c>
      <c r="AC1057" s="109">
        <v>0</v>
      </c>
      <c r="AD1057" s="109">
        <v>0</v>
      </c>
      <c r="AE1057" s="125"/>
      <c r="AF1057" s="10"/>
      <c r="AI1057" s="109"/>
      <c r="AJ1057" s="109"/>
      <c r="AL1057" s="10"/>
      <c r="AO1057" s="109"/>
      <c r="AP1057" s="109"/>
      <c r="AR1057" s="10"/>
      <c r="AU1057" s="109"/>
      <c r="AV1057" s="109"/>
      <c r="AX1057" s="10"/>
      <c r="BA1057" s="109"/>
      <c r="BB1057" s="109"/>
      <c r="BD1057" s="10"/>
      <c r="BG1057" s="109"/>
      <c r="BH1057" s="109"/>
      <c r="BJ1057" s="10"/>
      <c r="BM1057" s="109"/>
      <c r="BN1057" s="109"/>
      <c r="BP1057" s="10"/>
      <c r="BS1057" s="109"/>
      <c r="BT1057" s="109"/>
      <c r="BV1057" s="10"/>
      <c r="BY1057" s="109"/>
      <c r="BZ1057" s="109"/>
      <c r="CB1057" s="10"/>
      <c r="CE1057" s="109"/>
      <c r="CF1057" s="109"/>
      <c r="CH1057" s="10"/>
      <c r="CK1057" s="109"/>
      <c r="CL1057" s="109"/>
    </row>
    <row r="1058" spans="1:90">
      <c r="A1058" s="7" t="str">
        <f t="shared" si="161"/>
        <v>02100998</v>
      </c>
      <c r="B1058" s="7" t="s">
        <v>2549</v>
      </c>
      <c r="C1058" s="7" t="s">
        <v>2781</v>
      </c>
      <c r="D1058" s="7">
        <v>1049</v>
      </c>
      <c r="E1058" s="7">
        <v>210</v>
      </c>
      <c r="F1058" s="7" t="s">
        <v>2135</v>
      </c>
      <c r="G1058" s="7">
        <v>998</v>
      </c>
      <c r="H1058" s="7" t="s">
        <v>2135</v>
      </c>
      <c r="I1058" s="37">
        <v>0</v>
      </c>
      <c r="J1058" s="122">
        <v>0</v>
      </c>
      <c r="K1058" s="123">
        <f t="shared" si="170"/>
        <v>0</v>
      </c>
      <c r="L1058" s="122">
        <f>IF(K1059&gt;0, K1058/K1059, 0)</f>
        <v>0</v>
      </c>
      <c r="M1058" s="71"/>
      <c r="N1058" s="10">
        <f>ROUND(M1059*L1058,0)</f>
        <v>0</v>
      </c>
      <c r="O1058" s="70">
        <v>0</v>
      </c>
      <c r="P1058" s="10">
        <f>N1058-O1058</f>
        <v>0</v>
      </c>
      <c r="Q1058" s="46">
        <f t="shared" si="169"/>
        <v>0</v>
      </c>
      <c r="R1058" s="10">
        <v>0</v>
      </c>
      <c r="S1058" s="7">
        <f t="shared" si="162"/>
        <v>0</v>
      </c>
      <c r="T1058" s="124">
        <f t="shared" si="163"/>
        <v>210</v>
      </c>
      <c r="U1058" s="124">
        <f t="shared" si="164"/>
        <v>998</v>
      </c>
      <c r="V1058" s="124">
        <f t="shared" si="165"/>
        <v>1049</v>
      </c>
      <c r="W1058" s="124">
        <f t="shared" si="166"/>
        <v>0</v>
      </c>
      <c r="X1058" s="124">
        <f t="shared" si="167"/>
        <v>0</v>
      </c>
      <c r="Y1058" s="264">
        <f t="shared" si="168"/>
        <v>1049</v>
      </c>
      <c r="Z1058" s="10">
        <v>210</v>
      </c>
      <c r="AA1058" s="7">
        <v>998</v>
      </c>
      <c r="AB1058" s="7">
        <v>1049</v>
      </c>
      <c r="AC1058" s="109">
        <v>0</v>
      </c>
      <c r="AD1058" s="109">
        <v>0</v>
      </c>
      <c r="AE1058" s="125"/>
      <c r="AF1058" s="10"/>
      <c r="AI1058" s="109"/>
      <c r="AJ1058" s="109"/>
      <c r="AL1058" s="10"/>
      <c r="AO1058" s="109"/>
      <c r="AP1058" s="109"/>
      <c r="AR1058" s="10"/>
      <c r="AU1058" s="109"/>
      <c r="AV1058" s="109"/>
      <c r="AX1058" s="10"/>
      <c r="BA1058" s="109"/>
      <c r="BB1058" s="109"/>
      <c r="BD1058" s="10"/>
      <c r="BG1058" s="109"/>
      <c r="BH1058" s="109"/>
      <c r="BJ1058" s="10"/>
      <c r="BM1058" s="109"/>
      <c r="BN1058" s="109"/>
      <c r="BP1058" s="10"/>
      <c r="BS1058" s="109"/>
      <c r="BT1058" s="109"/>
      <c r="BV1058" s="10"/>
      <c r="BY1058" s="109"/>
      <c r="BZ1058" s="109"/>
      <c r="CB1058" s="10"/>
      <c r="CE1058" s="109"/>
      <c r="CF1058" s="109"/>
      <c r="CH1058" s="10"/>
      <c r="CK1058" s="109"/>
      <c r="CL1058" s="109"/>
    </row>
    <row r="1059" spans="1:90">
      <c r="A1059" s="7" t="str">
        <f t="shared" si="161"/>
        <v>02100999</v>
      </c>
      <c r="B1059" s="7" t="s">
        <v>2549</v>
      </c>
      <c r="C1059" s="7" t="s">
        <v>2782</v>
      </c>
      <c r="D1059" s="7">
        <v>1050</v>
      </c>
      <c r="E1059" s="11">
        <v>210</v>
      </c>
      <c r="F1059" s="11" t="s">
        <v>1915</v>
      </c>
      <c r="G1059" s="11">
        <v>999</v>
      </c>
      <c r="H1059" s="11" t="s">
        <v>1132</v>
      </c>
      <c r="I1059" s="105">
        <v>29588253.139999997</v>
      </c>
      <c r="J1059" s="126">
        <v>1</v>
      </c>
      <c r="K1059" s="127">
        <f>SUM(K1055:K1058)</f>
        <v>30167934.862896629</v>
      </c>
      <c r="L1059" s="126">
        <f>SUM(L1055:L1058)</f>
        <v>1</v>
      </c>
      <c r="M1059" s="105">
        <f>VLOOKUP(E1059,town351,22)</f>
        <v>25007882</v>
      </c>
      <c r="N1059" s="105">
        <f>SUM(N1055:N1058)</f>
        <v>25007882</v>
      </c>
      <c r="O1059" s="128">
        <v>24554605</v>
      </c>
      <c r="P1059" s="105">
        <f>SUM(P1055:P1058)</f>
        <v>453277</v>
      </c>
      <c r="Q1059" s="45">
        <f t="shared" si="169"/>
        <v>1.8459958936419463</v>
      </c>
      <c r="R1059" s="105">
        <v>2845</v>
      </c>
      <c r="S1059" s="7">
        <f t="shared" si="162"/>
        <v>0</v>
      </c>
      <c r="T1059" s="124">
        <f t="shared" si="163"/>
        <v>210</v>
      </c>
      <c r="U1059" s="124">
        <f t="shared" si="164"/>
        <v>999</v>
      </c>
      <c r="V1059" s="124">
        <f t="shared" si="165"/>
        <v>1050</v>
      </c>
      <c r="W1059" s="124">
        <f t="shared" si="166"/>
        <v>2852</v>
      </c>
      <c r="X1059" s="124">
        <f t="shared" si="167"/>
        <v>30167934.862896629</v>
      </c>
      <c r="Y1059" s="264">
        <f t="shared" si="168"/>
        <v>1050</v>
      </c>
      <c r="Z1059" s="10">
        <v>210</v>
      </c>
      <c r="AA1059" s="7">
        <v>999</v>
      </c>
      <c r="AB1059" s="7">
        <v>1050</v>
      </c>
      <c r="AC1059" s="109">
        <v>2852</v>
      </c>
      <c r="AD1059" s="109">
        <v>30167934.862896629</v>
      </c>
      <c r="AE1059" s="125"/>
      <c r="AF1059" s="10"/>
      <c r="AI1059" s="109"/>
      <c r="AJ1059" s="109"/>
      <c r="AL1059" s="10"/>
      <c r="AO1059" s="109"/>
      <c r="AP1059" s="109"/>
      <c r="AR1059" s="10"/>
      <c r="AU1059" s="109"/>
      <c r="AV1059" s="109"/>
      <c r="AX1059" s="10"/>
      <c r="BA1059" s="109"/>
      <c r="BB1059" s="109"/>
      <c r="BD1059" s="10"/>
      <c r="BG1059" s="109"/>
      <c r="BH1059" s="109"/>
      <c r="BJ1059" s="10"/>
      <c r="BM1059" s="109"/>
      <c r="BN1059" s="109"/>
      <c r="BP1059" s="10"/>
      <c r="BS1059" s="109"/>
      <c r="BT1059" s="109"/>
      <c r="BV1059" s="10"/>
      <c r="BY1059" s="109"/>
      <c r="BZ1059" s="109"/>
      <c r="CB1059" s="10"/>
      <c r="CE1059" s="109"/>
      <c r="CF1059" s="109"/>
      <c r="CH1059" s="10"/>
      <c r="CK1059" s="109"/>
      <c r="CL1059" s="109"/>
    </row>
    <row r="1060" spans="1:90">
      <c r="A1060" s="7" t="str">
        <f t="shared" si="161"/>
        <v>02110211</v>
      </c>
      <c r="B1060" s="7" t="s">
        <v>2550</v>
      </c>
      <c r="C1060" s="7" t="s">
        <v>2550</v>
      </c>
      <c r="D1060" s="7">
        <v>1051</v>
      </c>
      <c r="E1060" s="7">
        <v>211</v>
      </c>
      <c r="F1060" s="7" t="s">
        <v>1916</v>
      </c>
      <c r="G1060" s="7">
        <v>211</v>
      </c>
      <c r="H1060" s="7" t="s">
        <v>1477</v>
      </c>
      <c r="I1060" s="37">
        <v>44605186.620000005</v>
      </c>
      <c r="J1060" s="122">
        <v>0.98968954378092677</v>
      </c>
      <c r="K1060" s="123">
        <f>X1060</f>
        <v>46314260.801910989</v>
      </c>
      <c r="L1060" s="122">
        <f>IF(K1064&gt;0, K1060/K1064, 0)</f>
        <v>0.99030633587887607</v>
      </c>
      <c r="M1060" s="71"/>
      <c r="N1060" s="10">
        <f>ROUND(M1064*L1060,0)</f>
        <v>38259940</v>
      </c>
      <c r="O1060" s="70">
        <v>37087784</v>
      </c>
      <c r="P1060" s="10">
        <f>N1060-O1060</f>
        <v>1172156</v>
      </c>
      <c r="Q1060" s="46">
        <f t="shared" si="169"/>
        <v>3.1604907966461409</v>
      </c>
      <c r="R1060" s="10">
        <v>4736</v>
      </c>
      <c r="S1060" s="7">
        <f t="shared" si="162"/>
        <v>0</v>
      </c>
      <c r="T1060" s="124">
        <f t="shared" si="163"/>
        <v>211</v>
      </c>
      <c r="U1060" s="124">
        <f t="shared" si="164"/>
        <v>211</v>
      </c>
      <c r="V1060" s="124">
        <f t="shared" si="165"/>
        <v>1051</v>
      </c>
      <c r="W1060" s="124">
        <f t="shared" si="166"/>
        <v>4811</v>
      </c>
      <c r="X1060" s="124">
        <f t="shared" si="167"/>
        <v>46314260.801910989</v>
      </c>
      <c r="Y1060" s="264">
        <f t="shared" si="168"/>
        <v>1051</v>
      </c>
      <c r="Z1060" s="10">
        <v>211</v>
      </c>
      <c r="AA1060" s="7">
        <v>211</v>
      </c>
      <c r="AB1060" s="7">
        <v>1051</v>
      </c>
      <c r="AC1060" s="109">
        <v>4811</v>
      </c>
      <c r="AD1060" s="109">
        <v>46314260.801910989</v>
      </c>
      <c r="AE1060" s="125"/>
      <c r="AF1060" s="10"/>
      <c r="AI1060" s="109"/>
      <c r="AJ1060" s="109"/>
      <c r="AL1060" s="10"/>
      <c r="AO1060" s="109"/>
      <c r="AP1060" s="109"/>
      <c r="AR1060" s="10"/>
      <c r="AU1060" s="109"/>
      <c r="AV1060" s="109"/>
      <c r="AX1060" s="10"/>
      <c r="BA1060" s="109"/>
      <c r="BB1060" s="109"/>
      <c r="BD1060" s="10"/>
      <c r="BG1060" s="109"/>
      <c r="BH1060" s="109"/>
      <c r="BJ1060" s="10"/>
      <c r="BM1060" s="109"/>
      <c r="BN1060" s="109"/>
      <c r="BP1060" s="10"/>
      <c r="BS1060" s="109"/>
      <c r="BT1060" s="109"/>
      <c r="BV1060" s="10"/>
      <c r="BY1060" s="109"/>
      <c r="BZ1060" s="109"/>
      <c r="CB1060" s="10"/>
      <c r="CE1060" s="109"/>
      <c r="CF1060" s="109"/>
      <c r="CH1060" s="10"/>
      <c r="CK1060" s="109"/>
      <c r="CL1060" s="109"/>
    </row>
    <row r="1061" spans="1:90">
      <c r="A1061" s="7" t="str">
        <f t="shared" si="161"/>
        <v>02110823</v>
      </c>
      <c r="B1061" s="7" t="s">
        <v>2550</v>
      </c>
      <c r="C1061" s="7" t="s">
        <v>2760</v>
      </c>
      <c r="D1061" s="7">
        <v>1052</v>
      </c>
      <c r="E1061" s="7">
        <v>211</v>
      </c>
      <c r="F1061" s="7" t="s">
        <v>1916</v>
      </c>
      <c r="G1061" s="7">
        <v>823</v>
      </c>
      <c r="H1061" s="7" t="s">
        <v>1687</v>
      </c>
      <c r="I1061" s="37">
        <v>464691</v>
      </c>
      <c r="J1061" s="122">
        <v>1.0310456219073266E-2</v>
      </c>
      <c r="K1061" s="123">
        <f t="shared" si="170"/>
        <v>453349.50607321359</v>
      </c>
      <c r="L1061" s="122">
        <f>IF(K1064&gt;0, K1061/K1064, 0)</f>
        <v>9.693664121123961E-3</v>
      </c>
      <c r="M1061" s="71"/>
      <c r="N1061" s="10">
        <f>ROUND(M1064*L1061,0)</f>
        <v>374509</v>
      </c>
      <c r="O1061" s="70">
        <v>386376</v>
      </c>
      <c r="P1061" s="10">
        <f>N1061-O1061</f>
        <v>-11867</v>
      </c>
      <c r="Q1061" s="46">
        <f t="shared" si="169"/>
        <v>-3.0713605399921322</v>
      </c>
      <c r="R1061" s="10">
        <v>26</v>
      </c>
      <c r="S1061" s="7">
        <f t="shared" si="162"/>
        <v>0</v>
      </c>
      <c r="T1061" s="124">
        <f t="shared" si="163"/>
        <v>211</v>
      </c>
      <c r="U1061" s="124">
        <f t="shared" si="164"/>
        <v>823</v>
      </c>
      <c r="V1061" s="124">
        <f t="shared" si="165"/>
        <v>1052</v>
      </c>
      <c r="W1061" s="124">
        <f t="shared" si="166"/>
        <v>25.000000003099998</v>
      </c>
      <c r="X1061" s="124">
        <f t="shared" si="167"/>
        <v>453349.50607321359</v>
      </c>
      <c r="Y1061" s="264">
        <f t="shared" si="168"/>
        <v>1052</v>
      </c>
      <c r="Z1061" s="10">
        <v>211</v>
      </c>
      <c r="AA1061" s="7">
        <v>823</v>
      </c>
      <c r="AB1061" s="7">
        <v>1052</v>
      </c>
      <c r="AC1061" s="109">
        <v>25.000000003099998</v>
      </c>
      <c r="AD1061" s="109">
        <v>453349.50607321359</v>
      </c>
      <c r="AE1061" s="125"/>
      <c r="AF1061" s="10"/>
      <c r="AI1061" s="109"/>
      <c r="AJ1061" s="109"/>
      <c r="AL1061" s="10"/>
      <c r="AO1061" s="109"/>
      <c r="AP1061" s="109"/>
      <c r="AR1061" s="10"/>
      <c r="AU1061" s="109"/>
      <c r="AV1061" s="109"/>
      <c r="AX1061" s="10"/>
      <c r="BA1061" s="109"/>
      <c r="BB1061" s="109"/>
      <c r="BD1061" s="10"/>
      <c r="BG1061" s="109"/>
      <c r="BH1061" s="109"/>
      <c r="BJ1061" s="10"/>
      <c r="BM1061" s="109"/>
      <c r="BN1061" s="109"/>
      <c r="BP1061" s="10"/>
      <c r="BS1061" s="109"/>
      <c r="BT1061" s="109"/>
      <c r="BV1061" s="10"/>
      <c r="BY1061" s="109"/>
      <c r="BZ1061" s="109"/>
      <c r="CB1061" s="10"/>
      <c r="CE1061" s="109"/>
      <c r="CF1061" s="109"/>
      <c r="CH1061" s="10"/>
      <c r="CK1061" s="109"/>
      <c r="CL1061" s="109"/>
    </row>
    <row r="1062" spans="1:90">
      <c r="A1062" s="7" t="str">
        <f t="shared" si="161"/>
        <v>02110998</v>
      </c>
      <c r="B1062" s="7" t="s">
        <v>2550</v>
      </c>
      <c r="C1062" s="7" t="s">
        <v>2781</v>
      </c>
      <c r="D1062" s="7">
        <v>1053</v>
      </c>
      <c r="E1062" s="7">
        <v>211</v>
      </c>
      <c r="F1062" s="7" t="s">
        <v>2135</v>
      </c>
      <c r="G1062" s="7">
        <v>998</v>
      </c>
      <c r="I1062" s="129">
        <v>0</v>
      </c>
      <c r="J1062" s="130">
        <v>0</v>
      </c>
      <c r="K1062" s="123">
        <f t="shared" si="170"/>
        <v>0</v>
      </c>
      <c r="L1062" s="122">
        <f>IF(K1064&gt;0, K1062/K1064, 0)</f>
        <v>0</v>
      </c>
      <c r="M1062" s="71"/>
      <c r="N1062" s="10">
        <f>ROUND(M1064*L1062,0)</f>
        <v>0</v>
      </c>
      <c r="O1062" s="70">
        <v>0</v>
      </c>
      <c r="P1062" s="10">
        <f>N1062-O1062</f>
        <v>0</v>
      </c>
      <c r="Q1062" s="46">
        <f t="shared" si="169"/>
        <v>0</v>
      </c>
      <c r="R1062" s="10">
        <v>0</v>
      </c>
      <c r="S1062" s="7">
        <f t="shared" si="162"/>
        <v>0</v>
      </c>
      <c r="T1062" s="124">
        <f t="shared" si="163"/>
        <v>211</v>
      </c>
      <c r="U1062" s="124">
        <f t="shared" si="164"/>
        <v>998</v>
      </c>
      <c r="V1062" s="124">
        <f t="shared" si="165"/>
        <v>1053</v>
      </c>
      <c r="W1062" s="124">
        <f t="shared" si="166"/>
        <v>0</v>
      </c>
      <c r="X1062" s="124">
        <f t="shared" si="167"/>
        <v>0</v>
      </c>
      <c r="Y1062" s="264">
        <f t="shared" si="168"/>
        <v>1053</v>
      </c>
      <c r="Z1062" s="10">
        <v>211</v>
      </c>
      <c r="AA1062" s="7">
        <v>998</v>
      </c>
      <c r="AB1062" s="7">
        <v>1053</v>
      </c>
      <c r="AC1062" s="109">
        <v>0</v>
      </c>
      <c r="AD1062" s="109">
        <v>0</v>
      </c>
      <c r="AE1062" s="125"/>
      <c r="AF1062" s="10"/>
      <c r="AI1062" s="109"/>
      <c r="AJ1062" s="109"/>
      <c r="AL1062" s="10"/>
      <c r="AO1062" s="109"/>
      <c r="AP1062" s="109"/>
      <c r="AR1062" s="10"/>
      <c r="AU1062" s="109"/>
      <c r="AV1062" s="109"/>
      <c r="AX1062" s="10"/>
      <c r="BA1062" s="109"/>
      <c r="BB1062" s="109"/>
      <c r="BD1062" s="10"/>
      <c r="BG1062" s="109"/>
      <c r="BH1062" s="109"/>
      <c r="BJ1062" s="10"/>
      <c r="BM1062" s="109"/>
      <c r="BN1062" s="109"/>
      <c r="BP1062" s="10"/>
      <c r="BS1062" s="109"/>
      <c r="BT1062" s="109"/>
      <c r="BV1062" s="10"/>
      <c r="BY1062" s="109"/>
      <c r="BZ1062" s="109"/>
      <c r="CB1062" s="10"/>
      <c r="CE1062" s="109"/>
      <c r="CF1062" s="109"/>
      <c r="CH1062" s="10"/>
      <c r="CK1062" s="109"/>
      <c r="CL1062" s="109"/>
    </row>
    <row r="1063" spans="1:90">
      <c r="A1063" s="7" t="str">
        <f t="shared" si="161"/>
        <v>02110998</v>
      </c>
      <c r="B1063" s="7" t="s">
        <v>2550</v>
      </c>
      <c r="C1063" s="7" t="s">
        <v>2781</v>
      </c>
      <c r="D1063" s="7">
        <v>1054</v>
      </c>
      <c r="E1063" s="7">
        <v>211</v>
      </c>
      <c r="F1063" s="7" t="s">
        <v>2135</v>
      </c>
      <c r="G1063" s="7">
        <v>998</v>
      </c>
      <c r="H1063" s="7" t="s">
        <v>2135</v>
      </c>
      <c r="I1063" s="37">
        <v>0</v>
      </c>
      <c r="J1063" s="122">
        <v>0</v>
      </c>
      <c r="K1063" s="123">
        <f t="shared" si="170"/>
        <v>0</v>
      </c>
      <c r="L1063" s="122">
        <f>IF(K1064&gt;0, K1063/K1064, 0)</f>
        <v>0</v>
      </c>
      <c r="M1063" s="71"/>
      <c r="N1063" s="10">
        <f>ROUND(M1064*L1063,0)</f>
        <v>0</v>
      </c>
      <c r="O1063" s="70">
        <v>0</v>
      </c>
      <c r="P1063" s="10">
        <f>N1063-O1063</f>
        <v>0</v>
      </c>
      <c r="Q1063" s="46">
        <f t="shared" si="169"/>
        <v>0</v>
      </c>
      <c r="R1063" s="10">
        <v>0</v>
      </c>
      <c r="S1063" s="7">
        <f t="shared" si="162"/>
        <v>0</v>
      </c>
      <c r="T1063" s="124">
        <f t="shared" si="163"/>
        <v>211</v>
      </c>
      <c r="U1063" s="124">
        <f t="shared" si="164"/>
        <v>998</v>
      </c>
      <c r="V1063" s="124">
        <f t="shared" si="165"/>
        <v>1054</v>
      </c>
      <c r="W1063" s="124">
        <f t="shared" si="166"/>
        <v>0</v>
      </c>
      <c r="X1063" s="124">
        <f t="shared" si="167"/>
        <v>0</v>
      </c>
      <c r="Y1063" s="264">
        <f t="shared" si="168"/>
        <v>1054</v>
      </c>
      <c r="Z1063" s="10">
        <v>211</v>
      </c>
      <c r="AA1063" s="7">
        <v>998</v>
      </c>
      <c r="AB1063" s="7">
        <v>1054</v>
      </c>
      <c r="AC1063" s="109">
        <v>0</v>
      </c>
      <c r="AD1063" s="109">
        <v>0</v>
      </c>
      <c r="AE1063" s="125"/>
      <c r="AF1063" s="10"/>
      <c r="AI1063" s="109"/>
      <c r="AJ1063" s="109"/>
      <c r="AL1063" s="10"/>
      <c r="AO1063" s="109"/>
      <c r="AP1063" s="109"/>
      <c r="AR1063" s="10"/>
      <c r="AU1063" s="109"/>
      <c r="AV1063" s="109"/>
      <c r="AX1063" s="10"/>
      <c r="BA1063" s="109"/>
      <c r="BB1063" s="109"/>
      <c r="BD1063" s="10"/>
      <c r="BG1063" s="109"/>
      <c r="BH1063" s="109"/>
      <c r="BJ1063" s="10"/>
      <c r="BM1063" s="109"/>
      <c r="BN1063" s="109"/>
      <c r="BP1063" s="10"/>
      <c r="BS1063" s="109"/>
      <c r="BT1063" s="109"/>
      <c r="BV1063" s="10"/>
      <c r="BY1063" s="109"/>
      <c r="BZ1063" s="109"/>
      <c r="CB1063" s="10"/>
      <c r="CE1063" s="109"/>
      <c r="CF1063" s="109"/>
      <c r="CH1063" s="10"/>
      <c r="CK1063" s="109"/>
      <c r="CL1063" s="109"/>
    </row>
    <row r="1064" spans="1:90">
      <c r="A1064" s="7" t="str">
        <f t="shared" si="161"/>
        <v>02110999</v>
      </c>
      <c r="B1064" s="7" t="s">
        <v>2550</v>
      </c>
      <c r="C1064" s="7" t="s">
        <v>2782</v>
      </c>
      <c r="D1064" s="7">
        <v>1055</v>
      </c>
      <c r="E1064" s="11">
        <v>211</v>
      </c>
      <c r="F1064" s="11" t="s">
        <v>1916</v>
      </c>
      <c r="G1064" s="11">
        <v>999</v>
      </c>
      <c r="H1064" s="11" t="s">
        <v>1132</v>
      </c>
      <c r="I1064" s="105">
        <v>45069877.620000005</v>
      </c>
      <c r="J1064" s="126">
        <v>1</v>
      </c>
      <c r="K1064" s="127">
        <f>SUM(K1060:K1063)</f>
        <v>46767610.307984203</v>
      </c>
      <c r="L1064" s="126">
        <f>SUM(L1060:L1063)</f>
        <v>1</v>
      </c>
      <c r="M1064" s="105">
        <f>VLOOKUP(E1064,town351,22)</f>
        <v>38634449</v>
      </c>
      <c r="N1064" s="105">
        <f>SUM(N1060:N1063)</f>
        <v>38634449</v>
      </c>
      <c r="O1064" s="128">
        <v>37474160</v>
      </c>
      <c r="P1064" s="105">
        <f>SUM(P1060:P1063)</f>
        <v>1160289</v>
      </c>
      <c r="Q1064" s="45">
        <f t="shared" si="169"/>
        <v>3.0962375140630236</v>
      </c>
      <c r="R1064" s="105">
        <v>4762</v>
      </c>
      <c r="S1064" s="7">
        <f t="shared" si="162"/>
        <v>0</v>
      </c>
      <c r="T1064" s="124">
        <f t="shared" si="163"/>
        <v>211</v>
      </c>
      <c r="U1064" s="124">
        <f t="shared" si="164"/>
        <v>999</v>
      </c>
      <c r="V1064" s="124">
        <f t="shared" si="165"/>
        <v>1055</v>
      </c>
      <c r="W1064" s="124">
        <f t="shared" si="166"/>
        <v>4836.0000000030996</v>
      </c>
      <c r="X1064" s="124">
        <f t="shared" si="167"/>
        <v>46767610.307984203</v>
      </c>
      <c r="Y1064" s="264">
        <f t="shared" si="168"/>
        <v>1055</v>
      </c>
      <c r="Z1064" s="10">
        <v>211</v>
      </c>
      <c r="AA1064" s="7">
        <v>999</v>
      </c>
      <c r="AB1064" s="7">
        <v>1055</v>
      </c>
      <c r="AC1064" s="109">
        <v>4836.0000000030996</v>
      </c>
      <c r="AD1064" s="109">
        <v>46767610.307984203</v>
      </c>
      <c r="AE1064" s="125"/>
      <c r="AF1064" s="10"/>
      <c r="AI1064" s="109"/>
      <c r="AJ1064" s="109"/>
      <c r="AL1064" s="10"/>
      <c r="AO1064" s="109"/>
      <c r="AP1064" s="109"/>
      <c r="AR1064" s="10"/>
      <c r="AU1064" s="109"/>
      <c r="AV1064" s="109"/>
      <c r="AX1064" s="10"/>
      <c r="BA1064" s="109"/>
      <c r="BB1064" s="109"/>
      <c r="BD1064" s="10"/>
      <c r="BG1064" s="109"/>
      <c r="BH1064" s="109"/>
      <c r="BJ1064" s="10"/>
      <c r="BM1064" s="109"/>
      <c r="BN1064" s="109"/>
      <c r="BP1064" s="10"/>
      <c r="BS1064" s="109"/>
      <c r="BT1064" s="109"/>
      <c r="BV1064" s="10"/>
      <c r="BY1064" s="109"/>
      <c r="BZ1064" s="109"/>
      <c r="CB1064" s="10"/>
      <c r="CE1064" s="109"/>
      <c r="CF1064" s="109"/>
      <c r="CH1064" s="10"/>
      <c r="CK1064" s="109"/>
      <c r="CL1064" s="109"/>
    </row>
    <row r="1065" spans="1:90">
      <c r="A1065" s="7" t="str">
        <f t="shared" si="161"/>
        <v>02120212</v>
      </c>
      <c r="B1065" s="7" t="s">
        <v>2551</v>
      </c>
      <c r="C1065" s="7" t="s">
        <v>2551</v>
      </c>
      <c r="D1065" s="7">
        <v>1056</v>
      </c>
      <c r="E1065" s="7">
        <v>212</v>
      </c>
      <c r="F1065" s="7" t="s">
        <v>1917</v>
      </c>
      <c r="G1065" s="7">
        <v>212</v>
      </c>
      <c r="H1065" s="7" t="s">
        <v>1478</v>
      </c>
      <c r="I1065" s="37">
        <v>41721975.079999998</v>
      </c>
      <c r="J1065" s="122">
        <v>0.88380989889064676</v>
      </c>
      <c r="K1065" s="123">
        <f>X1065</f>
        <v>42205783.552439779</v>
      </c>
      <c r="L1065" s="122">
        <f>IF(K1069&gt;0, K1065/K1069, 0)</f>
        <v>0.87759945879759793</v>
      </c>
      <c r="M1065" s="71"/>
      <c r="N1065" s="10">
        <f>ROUND(M1069*L1065,0)</f>
        <v>25945113</v>
      </c>
      <c r="O1065" s="70">
        <v>25316072</v>
      </c>
      <c r="P1065" s="10">
        <f>N1065-O1065</f>
        <v>629041</v>
      </c>
      <c r="Q1065" s="46">
        <f t="shared" si="169"/>
        <v>2.484749608865072</v>
      </c>
      <c r="R1065" s="10">
        <v>4395</v>
      </c>
      <c r="S1065" s="7">
        <f t="shared" si="162"/>
        <v>0</v>
      </c>
      <c r="T1065" s="124">
        <f t="shared" si="163"/>
        <v>212</v>
      </c>
      <c r="U1065" s="124">
        <f t="shared" si="164"/>
        <v>212</v>
      </c>
      <c r="V1065" s="124">
        <f t="shared" si="165"/>
        <v>1056</v>
      </c>
      <c r="W1065" s="124">
        <f t="shared" si="166"/>
        <v>4346</v>
      </c>
      <c r="X1065" s="124">
        <f t="shared" si="167"/>
        <v>42205783.552439779</v>
      </c>
      <c r="Y1065" s="264">
        <f t="shared" si="168"/>
        <v>1056</v>
      </c>
      <c r="Z1065" s="10">
        <v>212</v>
      </c>
      <c r="AA1065" s="7">
        <v>212</v>
      </c>
      <c r="AB1065" s="7">
        <v>1056</v>
      </c>
      <c r="AC1065" s="109">
        <v>4346</v>
      </c>
      <c r="AD1065" s="109">
        <v>42205783.552439779</v>
      </c>
      <c r="AE1065" s="125"/>
      <c r="AF1065" s="10"/>
      <c r="AI1065" s="109"/>
      <c r="AJ1065" s="109"/>
      <c r="AL1065" s="10"/>
      <c r="AO1065" s="109"/>
      <c r="AP1065" s="109"/>
      <c r="AR1065" s="10"/>
      <c r="AU1065" s="109"/>
      <c r="AV1065" s="109"/>
      <c r="AX1065" s="10"/>
      <c r="BA1065" s="109"/>
      <c r="BB1065" s="109"/>
      <c r="BD1065" s="10"/>
      <c r="BG1065" s="109"/>
      <c r="BH1065" s="109"/>
      <c r="BJ1065" s="10"/>
      <c r="BM1065" s="109"/>
      <c r="BN1065" s="109"/>
      <c r="BP1065" s="10"/>
      <c r="BS1065" s="109"/>
      <c r="BT1065" s="109"/>
      <c r="BV1065" s="10"/>
      <c r="BY1065" s="109"/>
      <c r="BZ1065" s="109"/>
      <c r="CB1065" s="10"/>
      <c r="CE1065" s="109"/>
      <c r="CF1065" s="109"/>
      <c r="CH1065" s="10"/>
      <c r="CK1065" s="109"/>
      <c r="CL1065" s="109"/>
    </row>
    <row r="1066" spans="1:90">
      <c r="A1066" s="7" t="str">
        <f t="shared" si="161"/>
        <v>02120878</v>
      </c>
      <c r="B1066" s="7" t="s">
        <v>2551</v>
      </c>
      <c r="C1066" s="7" t="s">
        <v>2775</v>
      </c>
      <c r="D1066" s="7">
        <v>1057</v>
      </c>
      <c r="E1066" s="7">
        <v>212</v>
      </c>
      <c r="F1066" s="7" t="s">
        <v>1917</v>
      </c>
      <c r="G1066" s="7">
        <v>878</v>
      </c>
      <c r="H1066" s="7" t="s">
        <v>1702</v>
      </c>
      <c r="I1066" s="37">
        <v>5423695</v>
      </c>
      <c r="J1066" s="122">
        <v>0.11489186023366242</v>
      </c>
      <c r="K1066" s="123">
        <f t="shared" si="170"/>
        <v>5730353.2197695319</v>
      </c>
      <c r="L1066" s="122">
        <f>IF(K1069&gt;0, K1066/K1069, 0)</f>
        <v>0.11915321695521766</v>
      </c>
      <c r="M1066" s="71"/>
      <c r="N1066" s="10">
        <f>ROUND(M1069*L1066,0)</f>
        <v>3522614</v>
      </c>
      <c r="O1066" s="70">
        <v>3290991</v>
      </c>
      <c r="P1066" s="10">
        <f>N1066-O1066</f>
        <v>231623</v>
      </c>
      <c r="Q1066" s="46">
        <f t="shared" si="169"/>
        <v>7.038092781171386</v>
      </c>
      <c r="R1066" s="10">
        <v>341</v>
      </c>
      <c r="S1066" s="7">
        <f t="shared" si="162"/>
        <v>0</v>
      </c>
      <c r="T1066" s="124">
        <f t="shared" si="163"/>
        <v>212</v>
      </c>
      <c r="U1066" s="124">
        <f t="shared" si="164"/>
        <v>878</v>
      </c>
      <c r="V1066" s="124">
        <f t="shared" si="165"/>
        <v>1057</v>
      </c>
      <c r="W1066" s="124">
        <f t="shared" si="166"/>
        <v>348.99999999992997</v>
      </c>
      <c r="X1066" s="124">
        <f t="shared" si="167"/>
        <v>5730353.2197695319</v>
      </c>
      <c r="Y1066" s="264">
        <f t="shared" si="168"/>
        <v>1057</v>
      </c>
      <c r="Z1066" s="10">
        <v>212</v>
      </c>
      <c r="AA1066" s="7">
        <v>878</v>
      </c>
      <c r="AB1066" s="7">
        <v>1057</v>
      </c>
      <c r="AC1066" s="109">
        <v>348.99999999992997</v>
      </c>
      <c r="AD1066" s="109">
        <v>5730353.2197695319</v>
      </c>
      <c r="AE1066" s="125"/>
      <c r="AF1066" s="10"/>
      <c r="AI1066" s="109"/>
      <c r="AJ1066" s="109"/>
      <c r="AL1066" s="10"/>
      <c r="AO1066" s="109"/>
      <c r="AP1066" s="109"/>
      <c r="AR1066" s="10"/>
      <c r="AU1066" s="109"/>
      <c r="AV1066" s="109"/>
      <c r="AX1066" s="10"/>
      <c r="BA1066" s="109"/>
      <c r="BB1066" s="109"/>
      <c r="BD1066" s="10"/>
      <c r="BG1066" s="109"/>
      <c r="BH1066" s="109"/>
      <c r="BJ1066" s="10"/>
      <c r="BM1066" s="109"/>
      <c r="BN1066" s="109"/>
      <c r="BP1066" s="10"/>
      <c r="BS1066" s="109"/>
      <c r="BT1066" s="109"/>
      <c r="BV1066" s="10"/>
      <c r="BY1066" s="109"/>
      <c r="BZ1066" s="109"/>
      <c r="CB1066" s="10"/>
      <c r="CE1066" s="109"/>
      <c r="CF1066" s="109"/>
      <c r="CH1066" s="10"/>
      <c r="CK1066" s="109"/>
      <c r="CL1066" s="109"/>
    </row>
    <row r="1067" spans="1:90">
      <c r="A1067" s="7" t="str">
        <f t="shared" si="161"/>
        <v>02120910</v>
      </c>
      <c r="B1067" s="7" t="s">
        <v>2551</v>
      </c>
      <c r="C1067" s="7" t="s">
        <v>2778</v>
      </c>
      <c r="D1067" s="7">
        <v>1058</v>
      </c>
      <c r="E1067" s="7">
        <v>212</v>
      </c>
      <c r="F1067" s="7" t="s">
        <v>1917</v>
      </c>
      <c r="G1067" s="7">
        <v>910</v>
      </c>
      <c r="H1067" s="7" t="s">
        <v>1705</v>
      </c>
      <c r="I1067" s="37">
        <v>61286</v>
      </c>
      <c r="J1067" s="122">
        <v>1.2982408756908777E-3</v>
      </c>
      <c r="K1067" s="123">
        <f t="shared" si="170"/>
        <v>156171.31816493705</v>
      </c>
      <c r="L1067" s="122">
        <f>IF(K1069&gt;0, K1067/K1069, 0)</f>
        <v>3.2473242471844472E-3</v>
      </c>
      <c r="M1067" s="71"/>
      <c r="N1067" s="10">
        <f>ROUND(M1069*L1067,0)</f>
        <v>96003</v>
      </c>
      <c r="O1067" s="70">
        <v>37187</v>
      </c>
      <c r="P1067" s="10">
        <f>N1067-O1067</f>
        <v>58816</v>
      </c>
      <c r="Q1067" s="46">
        <f t="shared" si="169"/>
        <v>158.16279882754725</v>
      </c>
      <c r="R1067" s="10">
        <v>4</v>
      </c>
      <c r="S1067" s="7">
        <f t="shared" si="162"/>
        <v>0</v>
      </c>
      <c r="T1067" s="124">
        <f t="shared" si="163"/>
        <v>212</v>
      </c>
      <c r="U1067" s="124">
        <f t="shared" si="164"/>
        <v>910</v>
      </c>
      <c r="V1067" s="124">
        <f t="shared" si="165"/>
        <v>1058</v>
      </c>
      <c r="W1067" s="124">
        <f t="shared" si="166"/>
        <v>9.99999999992</v>
      </c>
      <c r="X1067" s="124">
        <f t="shared" si="167"/>
        <v>156171.31816493705</v>
      </c>
      <c r="Y1067" s="264">
        <f t="shared" si="168"/>
        <v>1058</v>
      </c>
      <c r="Z1067" s="10">
        <v>212</v>
      </c>
      <c r="AA1067" s="7">
        <v>910</v>
      </c>
      <c r="AB1067" s="7">
        <v>1058</v>
      </c>
      <c r="AC1067" s="109">
        <v>9.99999999992</v>
      </c>
      <c r="AD1067" s="109">
        <v>156171.31816493705</v>
      </c>
      <c r="AE1067" s="125"/>
      <c r="AF1067" s="10"/>
      <c r="AI1067" s="109"/>
      <c r="AJ1067" s="109"/>
      <c r="AL1067" s="10"/>
      <c r="AO1067" s="109"/>
      <c r="AP1067" s="109"/>
      <c r="AR1067" s="10"/>
      <c r="AU1067" s="109"/>
      <c r="AV1067" s="109"/>
      <c r="AX1067" s="10"/>
      <c r="BA1067" s="109"/>
      <c r="BB1067" s="109"/>
      <c r="BD1067" s="10"/>
      <c r="BG1067" s="109"/>
      <c r="BH1067" s="109"/>
      <c r="BJ1067" s="10"/>
      <c r="BM1067" s="109"/>
      <c r="BN1067" s="109"/>
      <c r="BP1067" s="10"/>
      <c r="BS1067" s="109"/>
      <c r="BT1067" s="109"/>
      <c r="BV1067" s="10"/>
      <c r="BY1067" s="109"/>
      <c r="BZ1067" s="109"/>
      <c r="CB1067" s="10"/>
      <c r="CE1067" s="109"/>
      <c r="CF1067" s="109"/>
      <c r="CH1067" s="10"/>
      <c r="CK1067" s="109"/>
      <c r="CL1067" s="109"/>
    </row>
    <row r="1068" spans="1:90">
      <c r="A1068" s="7" t="str">
        <f t="shared" si="161"/>
        <v>02120998</v>
      </c>
      <c r="B1068" s="7" t="s">
        <v>2551</v>
      </c>
      <c r="C1068" s="7" t="s">
        <v>2781</v>
      </c>
      <c r="D1068" s="7">
        <v>1059</v>
      </c>
      <c r="E1068" s="7">
        <v>212</v>
      </c>
      <c r="F1068" s="7" t="s">
        <v>2135</v>
      </c>
      <c r="G1068" s="7">
        <v>998</v>
      </c>
      <c r="H1068" s="7" t="s">
        <v>2135</v>
      </c>
      <c r="I1068" s="37">
        <v>0</v>
      </c>
      <c r="J1068" s="122">
        <v>0</v>
      </c>
      <c r="K1068" s="123">
        <f t="shared" si="170"/>
        <v>0</v>
      </c>
      <c r="L1068" s="122">
        <f>IF(K1069&gt;0, K1068/K1069, 0)</f>
        <v>0</v>
      </c>
      <c r="M1068" s="71"/>
      <c r="N1068" s="10">
        <f>ROUND(M1069*L1068,0)</f>
        <v>0</v>
      </c>
      <c r="O1068" s="70">
        <v>0</v>
      </c>
      <c r="P1068" s="10">
        <f>N1068-O1068</f>
        <v>0</v>
      </c>
      <c r="Q1068" s="46">
        <f t="shared" si="169"/>
        <v>0</v>
      </c>
      <c r="R1068" s="10">
        <v>0</v>
      </c>
      <c r="S1068" s="7">
        <f t="shared" si="162"/>
        <v>0</v>
      </c>
      <c r="T1068" s="124">
        <f t="shared" si="163"/>
        <v>212</v>
      </c>
      <c r="U1068" s="124">
        <f t="shared" si="164"/>
        <v>998</v>
      </c>
      <c r="V1068" s="124">
        <f t="shared" si="165"/>
        <v>1059</v>
      </c>
      <c r="W1068" s="124">
        <f t="shared" si="166"/>
        <v>0</v>
      </c>
      <c r="X1068" s="124">
        <f t="shared" si="167"/>
        <v>0</v>
      </c>
      <c r="Y1068" s="264">
        <f t="shared" si="168"/>
        <v>1059</v>
      </c>
      <c r="Z1068" s="10">
        <v>212</v>
      </c>
      <c r="AA1068" s="7">
        <v>998</v>
      </c>
      <c r="AB1068" s="7">
        <v>1059</v>
      </c>
      <c r="AC1068" s="109">
        <v>0</v>
      </c>
      <c r="AD1068" s="109">
        <v>0</v>
      </c>
      <c r="AE1068" s="125"/>
      <c r="AF1068" s="10"/>
      <c r="AI1068" s="109"/>
      <c r="AJ1068" s="109"/>
      <c r="AL1068" s="10"/>
      <c r="AO1068" s="109"/>
      <c r="AP1068" s="109"/>
      <c r="AR1068" s="10"/>
      <c r="AU1068" s="109"/>
      <c r="AV1068" s="109"/>
      <c r="AX1068" s="10"/>
      <c r="BA1068" s="109"/>
      <c r="BB1068" s="109"/>
      <c r="BD1068" s="10"/>
      <c r="BG1068" s="109"/>
      <c r="BH1068" s="109"/>
      <c r="BJ1068" s="10"/>
      <c r="BM1068" s="109"/>
      <c r="BN1068" s="109"/>
      <c r="BP1068" s="10"/>
      <c r="BS1068" s="109"/>
      <c r="BT1068" s="109"/>
      <c r="BV1068" s="10"/>
      <c r="BY1068" s="109"/>
      <c r="BZ1068" s="109"/>
      <c r="CB1068" s="10"/>
      <c r="CE1068" s="109"/>
      <c r="CF1068" s="109"/>
      <c r="CH1068" s="10"/>
      <c r="CK1068" s="109"/>
      <c r="CL1068" s="109"/>
    </row>
    <row r="1069" spans="1:90">
      <c r="A1069" s="7" t="str">
        <f t="shared" si="161"/>
        <v>02120999</v>
      </c>
      <c r="B1069" s="7" t="s">
        <v>2551</v>
      </c>
      <c r="C1069" s="7" t="s">
        <v>2782</v>
      </c>
      <c r="D1069" s="7">
        <v>1060</v>
      </c>
      <c r="E1069" s="11">
        <v>212</v>
      </c>
      <c r="F1069" s="11" t="s">
        <v>1917</v>
      </c>
      <c r="G1069" s="11">
        <v>999</v>
      </c>
      <c r="H1069" s="11" t="s">
        <v>1132</v>
      </c>
      <c r="I1069" s="105">
        <v>47206956.079999998</v>
      </c>
      <c r="J1069" s="126">
        <v>1</v>
      </c>
      <c r="K1069" s="127">
        <f>SUM(K1065:K1068)</f>
        <v>48092308.090374246</v>
      </c>
      <c r="L1069" s="126">
        <f>SUM(L1065:L1068)</f>
        <v>1</v>
      </c>
      <c r="M1069" s="105">
        <f>VLOOKUP(E1069,town351,22)</f>
        <v>29563730</v>
      </c>
      <c r="N1069" s="105">
        <f>SUM(N1065:N1068)</f>
        <v>29563730</v>
      </c>
      <c r="O1069" s="128">
        <v>28644250</v>
      </c>
      <c r="P1069" s="105">
        <f>SUM(P1065:P1068)</f>
        <v>919480</v>
      </c>
      <c r="Q1069" s="45">
        <f t="shared" si="169"/>
        <v>3.2099985162816274</v>
      </c>
      <c r="R1069" s="105">
        <v>4740</v>
      </c>
      <c r="S1069" s="7">
        <f t="shared" si="162"/>
        <v>0</v>
      </c>
      <c r="T1069" s="124">
        <f t="shared" si="163"/>
        <v>212</v>
      </c>
      <c r="U1069" s="124">
        <f t="shared" si="164"/>
        <v>999</v>
      </c>
      <c r="V1069" s="124">
        <f t="shared" si="165"/>
        <v>1060</v>
      </c>
      <c r="W1069" s="124">
        <f t="shared" si="166"/>
        <v>4704.9999999998499</v>
      </c>
      <c r="X1069" s="124">
        <f t="shared" si="167"/>
        <v>48092308.090374246</v>
      </c>
      <c r="Y1069" s="264">
        <f t="shared" si="168"/>
        <v>1060</v>
      </c>
      <c r="Z1069" s="10">
        <v>212</v>
      </c>
      <c r="AA1069" s="7">
        <v>999</v>
      </c>
      <c r="AB1069" s="7">
        <v>1060</v>
      </c>
      <c r="AC1069" s="109">
        <v>4704.9999999998499</v>
      </c>
      <c r="AD1069" s="109">
        <v>48092308.090374246</v>
      </c>
      <c r="AE1069" s="125"/>
      <c r="AF1069" s="10"/>
      <c r="AI1069" s="109"/>
      <c r="AJ1069" s="109"/>
      <c r="AL1069" s="10"/>
      <c r="AO1069" s="109"/>
      <c r="AP1069" s="109"/>
      <c r="AR1069" s="10"/>
      <c r="AU1069" s="109"/>
      <c r="AV1069" s="109"/>
      <c r="AX1069" s="10"/>
      <c r="BA1069" s="109"/>
      <c r="BB1069" s="109"/>
      <c r="BD1069" s="10"/>
      <c r="BG1069" s="109"/>
      <c r="BH1069" s="109"/>
      <c r="BJ1069" s="10"/>
      <c r="BM1069" s="109"/>
      <c r="BN1069" s="109"/>
      <c r="BP1069" s="10"/>
      <c r="BS1069" s="109"/>
      <c r="BT1069" s="109"/>
      <c r="BV1069" s="10"/>
      <c r="BY1069" s="109"/>
      <c r="BZ1069" s="109"/>
      <c r="CB1069" s="10"/>
      <c r="CE1069" s="109"/>
      <c r="CF1069" s="109"/>
      <c r="CH1069" s="10"/>
      <c r="CK1069" s="109"/>
      <c r="CL1069" s="109"/>
    </row>
    <row r="1070" spans="1:90">
      <c r="A1070" s="7" t="str">
        <f t="shared" si="161"/>
        <v>02130213</v>
      </c>
      <c r="B1070" s="7" t="s">
        <v>2552</v>
      </c>
      <c r="C1070" s="7" t="s">
        <v>2552</v>
      </c>
      <c r="D1070" s="7">
        <v>1061</v>
      </c>
      <c r="E1070" s="7">
        <v>213</v>
      </c>
      <c r="F1070" s="7" t="s">
        <v>1918</v>
      </c>
      <c r="G1070" s="7">
        <v>213</v>
      </c>
      <c r="H1070" s="7" t="s">
        <v>1479</v>
      </c>
      <c r="I1070" s="37">
        <v>15196910.26</v>
      </c>
      <c r="J1070" s="122">
        <v>0.61051531988994578</v>
      </c>
      <c r="K1070" s="123">
        <f>X1070</f>
        <v>15015400.577264598</v>
      </c>
      <c r="L1070" s="122">
        <f>IF(K1074&gt;0, K1070/K1074, 0)</f>
        <v>0.60633654748545784</v>
      </c>
      <c r="M1070" s="71"/>
      <c r="N1070" s="10">
        <f>ROUND(M1074*L1070,0)</f>
        <v>12501814</v>
      </c>
      <c r="O1070" s="70">
        <v>12701763</v>
      </c>
      <c r="P1070" s="10">
        <f>N1070-O1070</f>
        <v>-199949</v>
      </c>
      <c r="Q1070" s="46">
        <f t="shared" si="169"/>
        <v>-1.574183048447684</v>
      </c>
      <c r="R1070" s="10">
        <v>1697</v>
      </c>
      <c r="S1070" s="7">
        <f t="shared" si="162"/>
        <v>0</v>
      </c>
      <c r="T1070" s="124">
        <f t="shared" si="163"/>
        <v>213</v>
      </c>
      <c r="U1070" s="124">
        <f t="shared" si="164"/>
        <v>213</v>
      </c>
      <c r="V1070" s="124">
        <f t="shared" si="165"/>
        <v>1061</v>
      </c>
      <c r="W1070" s="124">
        <f t="shared" si="166"/>
        <v>1642</v>
      </c>
      <c r="X1070" s="124">
        <f t="shared" si="167"/>
        <v>15015400.577264598</v>
      </c>
      <c r="Y1070" s="264">
        <f t="shared" si="168"/>
        <v>1061</v>
      </c>
      <c r="Z1070" s="10">
        <v>213</v>
      </c>
      <c r="AA1070" s="7">
        <v>213</v>
      </c>
      <c r="AB1070" s="7">
        <v>1061</v>
      </c>
      <c r="AC1070" s="109">
        <v>1642</v>
      </c>
      <c r="AD1070" s="109">
        <v>15015400.577264598</v>
      </c>
      <c r="AE1070" s="125"/>
      <c r="AF1070" s="10"/>
      <c r="AI1070" s="109"/>
      <c r="AJ1070" s="109"/>
      <c r="AL1070" s="10"/>
      <c r="AO1070" s="109"/>
      <c r="AP1070" s="109"/>
      <c r="AR1070" s="10"/>
      <c r="AU1070" s="109"/>
      <c r="AV1070" s="109"/>
      <c r="AX1070" s="10"/>
      <c r="BA1070" s="109"/>
      <c r="BB1070" s="109"/>
      <c r="BD1070" s="10"/>
      <c r="BG1070" s="109"/>
      <c r="BH1070" s="109"/>
      <c r="BJ1070" s="10"/>
      <c r="BM1070" s="109"/>
      <c r="BN1070" s="109"/>
      <c r="BP1070" s="10"/>
      <c r="BS1070" s="109"/>
      <c r="BT1070" s="109"/>
      <c r="BV1070" s="10"/>
      <c r="BY1070" s="109"/>
      <c r="BZ1070" s="109"/>
      <c r="CB1070" s="10"/>
      <c r="CE1070" s="109"/>
      <c r="CF1070" s="109"/>
      <c r="CH1070" s="10"/>
      <c r="CK1070" s="109"/>
      <c r="CL1070" s="109"/>
    </row>
    <row r="1071" spans="1:90">
      <c r="A1071" s="7" t="str">
        <f t="shared" si="161"/>
        <v>02130730</v>
      </c>
      <c r="B1071" s="7" t="s">
        <v>2552</v>
      </c>
      <c r="C1071" s="7" t="s">
        <v>2734</v>
      </c>
      <c r="D1071" s="7">
        <v>1062</v>
      </c>
      <c r="E1071" s="7">
        <v>213</v>
      </c>
      <c r="F1071" s="7" t="s">
        <v>1918</v>
      </c>
      <c r="G1071" s="7">
        <v>730</v>
      </c>
      <c r="H1071" s="7" t="s">
        <v>1661</v>
      </c>
      <c r="I1071" s="37">
        <v>8935984</v>
      </c>
      <c r="J1071" s="122">
        <v>0.35899107364284966</v>
      </c>
      <c r="K1071" s="123">
        <f t="shared" si="170"/>
        <v>8904964.3975884542</v>
      </c>
      <c r="L1071" s="122">
        <f>IF(K1074&gt;0, K1071/K1074, 0)</f>
        <v>0.3595911637875418</v>
      </c>
      <c r="M1071" s="71"/>
      <c r="N1071" s="10">
        <f>ROUND(M1074*L1071,0)</f>
        <v>7414269</v>
      </c>
      <c r="O1071" s="70">
        <v>7468804</v>
      </c>
      <c r="P1071" s="10">
        <f>N1071-O1071</f>
        <v>-54535</v>
      </c>
      <c r="Q1071" s="46">
        <f t="shared" si="169"/>
        <v>-0.73017045299354488</v>
      </c>
      <c r="R1071" s="10">
        <v>879</v>
      </c>
      <c r="S1071" s="7">
        <f t="shared" si="162"/>
        <v>0</v>
      </c>
      <c r="T1071" s="124">
        <f t="shared" si="163"/>
        <v>213</v>
      </c>
      <c r="U1071" s="124">
        <f t="shared" si="164"/>
        <v>730</v>
      </c>
      <c r="V1071" s="124">
        <f t="shared" si="165"/>
        <v>1062</v>
      </c>
      <c r="W1071" s="124">
        <f t="shared" si="166"/>
        <v>860.08731240968996</v>
      </c>
      <c r="X1071" s="124">
        <f t="shared" si="167"/>
        <v>8904964.3975884542</v>
      </c>
      <c r="Y1071" s="264">
        <f t="shared" si="168"/>
        <v>1062</v>
      </c>
      <c r="Z1071" s="10">
        <v>213</v>
      </c>
      <c r="AA1071" s="7">
        <v>730</v>
      </c>
      <c r="AB1071" s="7">
        <v>1062</v>
      </c>
      <c r="AC1071" s="109">
        <v>860.08731240968996</v>
      </c>
      <c r="AD1071" s="109">
        <v>8904964.3975884542</v>
      </c>
      <c r="AE1071" s="125"/>
      <c r="AF1071" s="10"/>
      <c r="AI1071" s="109"/>
      <c r="AJ1071" s="109"/>
      <c r="AL1071" s="10"/>
      <c r="AO1071" s="109"/>
      <c r="AP1071" s="109"/>
      <c r="AR1071" s="10"/>
      <c r="AU1071" s="109"/>
      <c r="AV1071" s="109"/>
      <c r="AX1071" s="10"/>
      <c r="BA1071" s="109"/>
      <c r="BB1071" s="109"/>
      <c r="BD1071" s="10"/>
      <c r="BG1071" s="109"/>
      <c r="BH1071" s="109"/>
      <c r="BJ1071" s="10"/>
      <c r="BM1071" s="109"/>
      <c r="BN1071" s="109"/>
      <c r="BP1071" s="10"/>
      <c r="BS1071" s="109"/>
      <c r="BT1071" s="109"/>
      <c r="BV1071" s="10"/>
      <c r="BY1071" s="109"/>
      <c r="BZ1071" s="109"/>
      <c r="CB1071" s="10"/>
      <c r="CE1071" s="109"/>
      <c r="CF1071" s="109"/>
      <c r="CH1071" s="10"/>
      <c r="CK1071" s="109"/>
      <c r="CL1071" s="109"/>
    </row>
    <row r="1072" spans="1:90">
      <c r="A1072" s="7" t="str">
        <f t="shared" si="161"/>
        <v>02130801</v>
      </c>
      <c r="B1072" s="7" t="s">
        <v>2552</v>
      </c>
      <c r="C1072" s="7" t="s">
        <v>2752</v>
      </c>
      <c r="D1072" s="7">
        <v>1063</v>
      </c>
      <c r="E1072" s="7">
        <v>213</v>
      </c>
      <c r="F1072" s="7" t="s">
        <v>1918</v>
      </c>
      <c r="G1072" s="7">
        <v>801</v>
      </c>
      <c r="H1072" s="7" t="s">
        <v>1679</v>
      </c>
      <c r="I1072" s="37">
        <v>759045</v>
      </c>
      <c r="J1072" s="122">
        <v>3.0493606467204597E-2</v>
      </c>
      <c r="K1072" s="123">
        <f t="shared" si="170"/>
        <v>843770.78363793599</v>
      </c>
      <c r="L1072" s="122">
        <f>IF(K1074&gt;0, K1072/K1074, 0)</f>
        <v>3.4072288727000237E-2</v>
      </c>
      <c r="M1072" s="71"/>
      <c r="N1072" s="10">
        <f>ROUND(M1074*L1072,0)</f>
        <v>702523</v>
      </c>
      <c r="O1072" s="70">
        <v>634419</v>
      </c>
      <c r="P1072" s="10">
        <f>N1072-O1072</f>
        <v>68104</v>
      </c>
      <c r="Q1072" s="46">
        <f t="shared" si="169"/>
        <v>10.734861345577608</v>
      </c>
      <c r="R1072" s="10">
        <v>45</v>
      </c>
      <c r="S1072" s="7">
        <f t="shared" si="162"/>
        <v>0</v>
      </c>
      <c r="T1072" s="124">
        <f t="shared" si="163"/>
        <v>213</v>
      </c>
      <c r="U1072" s="124">
        <f t="shared" si="164"/>
        <v>801</v>
      </c>
      <c r="V1072" s="124">
        <f t="shared" si="165"/>
        <v>1063</v>
      </c>
      <c r="W1072" s="124">
        <f t="shared" si="166"/>
        <v>50.000000001220002</v>
      </c>
      <c r="X1072" s="124">
        <f t="shared" si="167"/>
        <v>843770.78363793599</v>
      </c>
      <c r="Y1072" s="264">
        <f t="shared" si="168"/>
        <v>1063</v>
      </c>
      <c r="Z1072" s="10">
        <v>213</v>
      </c>
      <c r="AA1072" s="7">
        <v>801</v>
      </c>
      <c r="AB1072" s="7">
        <v>1063</v>
      </c>
      <c r="AC1072" s="109">
        <v>50.000000001220002</v>
      </c>
      <c r="AD1072" s="109">
        <v>843770.78363793599</v>
      </c>
      <c r="AE1072" s="125"/>
      <c r="AF1072" s="10"/>
      <c r="AI1072" s="109"/>
      <c r="AJ1072" s="109"/>
      <c r="AL1072" s="10"/>
      <c r="AO1072" s="109"/>
      <c r="AP1072" s="109"/>
      <c r="AR1072" s="10"/>
      <c r="AU1072" s="109"/>
      <c r="AV1072" s="109"/>
      <c r="AX1072" s="10"/>
      <c r="BA1072" s="109"/>
      <c r="BB1072" s="109"/>
      <c r="BD1072" s="10"/>
      <c r="BG1072" s="109"/>
      <c r="BH1072" s="109"/>
      <c r="BJ1072" s="10"/>
      <c r="BM1072" s="109"/>
      <c r="BN1072" s="109"/>
      <c r="BP1072" s="10"/>
      <c r="BS1072" s="109"/>
      <c r="BT1072" s="109"/>
      <c r="BV1072" s="10"/>
      <c r="BY1072" s="109"/>
      <c r="BZ1072" s="109"/>
      <c r="CB1072" s="10"/>
      <c r="CE1072" s="109"/>
      <c r="CF1072" s="109"/>
      <c r="CH1072" s="10"/>
      <c r="CK1072" s="109"/>
      <c r="CL1072" s="109"/>
    </row>
    <row r="1073" spans="1:90">
      <c r="A1073" s="7" t="str">
        <f t="shared" si="161"/>
        <v>02130998</v>
      </c>
      <c r="B1073" s="7" t="s">
        <v>2552</v>
      </c>
      <c r="C1073" s="7" t="s">
        <v>2781</v>
      </c>
      <c r="D1073" s="7">
        <v>1064</v>
      </c>
      <c r="E1073" s="7">
        <v>213</v>
      </c>
      <c r="F1073" s="7" t="s">
        <v>2135</v>
      </c>
      <c r="G1073" s="7">
        <v>998</v>
      </c>
      <c r="H1073" s="7" t="s">
        <v>2135</v>
      </c>
      <c r="I1073" s="37">
        <v>0</v>
      </c>
      <c r="J1073" s="122">
        <v>0</v>
      </c>
      <c r="K1073" s="123">
        <f t="shared" si="170"/>
        <v>0</v>
      </c>
      <c r="L1073" s="122">
        <f>IF(K1074&gt;0, K1073/K1074, 0)</f>
        <v>0</v>
      </c>
      <c r="M1073" s="71"/>
      <c r="N1073" s="10">
        <f>ROUND(M1074*L1073,0)</f>
        <v>0</v>
      </c>
      <c r="O1073" s="70">
        <v>0</v>
      </c>
      <c r="P1073" s="10">
        <f>N1073-O1073</f>
        <v>0</v>
      </c>
      <c r="Q1073" s="46">
        <f t="shared" si="169"/>
        <v>0</v>
      </c>
      <c r="R1073" s="10">
        <v>0</v>
      </c>
      <c r="S1073" s="7">
        <f t="shared" si="162"/>
        <v>0</v>
      </c>
      <c r="T1073" s="124">
        <f t="shared" si="163"/>
        <v>213</v>
      </c>
      <c r="U1073" s="124">
        <f t="shared" si="164"/>
        <v>998</v>
      </c>
      <c r="V1073" s="124">
        <f t="shared" si="165"/>
        <v>1064</v>
      </c>
      <c r="W1073" s="124">
        <f t="shared" si="166"/>
        <v>0</v>
      </c>
      <c r="X1073" s="124">
        <f t="shared" si="167"/>
        <v>0</v>
      </c>
      <c r="Y1073" s="264">
        <f t="shared" si="168"/>
        <v>1064</v>
      </c>
      <c r="Z1073" s="10">
        <v>213</v>
      </c>
      <c r="AA1073" s="7">
        <v>998</v>
      </c>
      <c r="AB1073" s="7">
        <v>1064</v>
      </c>
      <c r="AC1073" s="109">
        <v>0</v>
      </c>
      <c r="AD1073" s="109">
        <v>0</v>
      </c>
      <c r="AE1073" s="125"/>
      <c r="AF1073" s="10"/>
      <c r="AI1073" s="109"/>
      <c r="AJ1073" s="109"/>
      <c r="AL1073" s="10"/>
      <c r="AO1073" s="109"/>
      <c r="AP1073" s="109"/>
      <c r="AR1073" s="10"/>
      <c r="AU1073" s="109"/>
      <c r="AV1073" s="109"/>
      <c r="AX1073" s="10"/>
      <c r="BA1073" s="109"/>
      <c r="BB1073" s="109"/>
      <c r="BD1073" s="10"/>
      <c r="BG1073" s="109"/>
      <c r="BH1073" s="109"/>
      <c r="BJ1073" s="10"/>
      <c r="BM1073" s="109"/>
      <c r="BN1073" s="109"/>
      <c r="BP1073" s="10"/>
      <c r="BS1073" s="109"/>
      <c r="BT1073" s="109"/>
      <c r="BV1073" s="10"/>
      <c r="BY1073" s="109"/>
      <c r="BZ1073" s="109"/>
      <c r="CB1073" s="10"/>
      <c r="CE1073" s="109"/>
      <c r="CF1073" s="109"/>
      <c r="CH1073" s="10"/>
      <c r="CK1073" s="109"/>
      <c r="CL1073" s="109"/>
    </row>
    <row r="1074" spans="1:90">
      <c r="A1074" s="7" t="str">
        <f t="shared" si="161"/>
        <v>02130999</v>
      </c>
      <c r="B1074" s="7" t="s">
        <v>2552</v>
      </c>
      <c r="C1074" s="7" t="s">
        <v>2782</v>
      </c>
      <c r="D1074" s="7">
        <v>1065</v>
      </c>
      <c r="E1074" s="11">
        <v>213</v>
      </c>
      <c r="F1074" s="11" t="s">
        <v>1918</v>
      </c>
      <c r="G1074" s="11">
        <v>999</v>
      </c>
      <c r="H1074" s="11" t="s">
        <v>1132</v>
      </c>
      <c r="I1074" s="105">
        <v>24891939.259999998</v>
      </c>
      <c r="J1074" s="126">
        <v>1</v>
      </c>
      <c r="K1074" s="127">
        <f>SUM(K1070:K1073)</f>
        <v>24764135.758490991</v>
      </c>
      <c r="L1074" s="126">
        <f>SUM(L1070:L1073)</f>
        <v>0.99999999999999978</v>
      </c>
      <c r="M1074" s="105">
        <f>VLOOKUP(E1074,town351,22)</f>
        <v>20618606</v>
      </c>
      <c r="N1074" s="105">
        <f>SUM(N1070:N1073)</f>
        <v>20618606</v>
      </c>
      <c r="O1074" s="128">
        <v>20804986</v>
      </c>
      <c r="P1074" s="105">
        <f>SUM(P1070:P1073)</f>
        <v>-186380</v>
      </c>
      <c r="Q1074" s="45">
        <f t="shared" si="169"/>
        <v>-0.89584294841630752</v>
      </c>
      <c r="R1074" s="105">
        <v>2621</v>
      </c>
      <c r="S1074" s="7">
        <f t="shared" si="162"/>
        <v>0</v>
      </c>
      <c r="T1074" s="124">
        <f t="shared" si="163"/>
        <v>213</v>
      </c>
      <c r="U1074" s="124">
        <f t="shared" si="164"/>
        <v>999</v>
      </c>
      <c r="V1074" s="124">
        <f t="shared" si="165"/>
        <v>1065</v>
      </c>
      <c r="W1074" s="124">
        <f t="shared" si="166"/>
        <v>2552.0873124109098</v>
      </c>
      <c r="X1074" s="124">
        <f t="shared" si="167"/>
        <v>24764135.758490991</v>
      </c>
      <c r="Y1074" s="264">
        <f t="shared" si="168"/>
        <v>1065</v>
      </c>
      <c r="Z1074" s="10">
        <v>213</v>
      </c>
      <c r="AA1074" s="7">
        <v>999</v>
      </c>
      <c r="AB1074" s="7">
        <v>1065</v>
      </c>
      <c r="AC1074" s="109">
        <v>2552.0873124109098</v>
      </c>
      <c r="AD1074" s="109">
        <v>24764135.758490991</v>
      </c>
      <c r="AE1074" s="125"/>
      <c r="AF1074" s="10"/>
      <c r="AI1074" s="109"/>
      <c r="AJ1074" s="109"/>
      <c r="AL1074" s="10"/>
      <c r="AO1074" s="109"/>
      <c r="AP1074" s="109"/>
      <c r="AR1074" s="10"/>
      <c r="AU1074" s="109"/>
      <c r="AV1074" s="109"/>
      <c r="AX1074" s="10"/>
      <c r="BA1074" s="109"/>
      <c r="BB1074" s="109"/>
      <c r="BD1074" s="10"/>
      <c r="BG1074" s="109"/>
      <c r="BH1074" s="109"/>
      <c r="BJ1074" s="10"/>
      <c r="BM1074" s="109"/>
      <c r="BN1074" s="109"/>
      <c r="BP1074" s="10"/>
      <c r="BS1074" s="109"/>
      <c r="BT1074" s="109"/>
      <c r="BV1074" s="10"/>
      <c r="BY1074" s="109"/>
      <c r="BZ1074" s="109"/>
      <c r="CB1074" s="10"/>
      <c r="CE1074" s="109"/>
      <c r="CF1074" s="109"/>
      <c r="CH1074" s="10"/>
      <c r="CK1074" s="109"/>
      <c r="CL1074" s="109"/>
    </row>
    <row r="1075" spans="1:90">
      <c r="A1075" s="7" t="str">
        <f t="shared" si="161"/>
        <v>02140214</v>
      </c>
      <c r="B1075" s="7" t="s">
        <v>2553</v>
      </c>
      <c r="C1075" s="7" t="s">
        <v>2553</v>
      </c>
      <c r="D1075" s="7">
        <v>1066</v>
      </c>
      <c r="E1075" s="7">
        <v>214</v>
      </c>
      <c r="F1075" s="7" t="s">
        <v>1919</v>
      </c>
      <c r="G1075" s="7">
        <v>214</v>
      </c>
      <c r="H1075" s="7" t="s">
        <v>1480</v>
      </c>
      <c r="I1075" s="37">
        <v>23427188.930000003</v>
      </c>
      <c r="J1075" s="122">
        <v>0.91204147798358137</v>
      </c>
      <c r="K1075" s="123">
        <f>X1075</f>
        <v>23615219.37740108</v>
      </c>
      <c r="L1075" s="122">
        <f>IF(K1079&gt;0, K1075/K1079, 0)</f>
        <v>0.91408142691423255</v>
      </c>
      <c r="M1075" s="71"/>
      <c r="N1075" s="10">
        <f>ROUND(M1079*L1075,0)</f>
        <v>11369969</v>
      </c>
      <c r="O1075" s="70">
        <v>10848805</v>
      </c>
      <c r="P1075" s="10">
        <f>N1075-O1075</f>
        <v>521164</v>
      </c>
      <c r="Q1075" s="46">
        <f t="shared" si="169"/>
        <v>4.803883930073404</v>
      </c>
      <c r="R1075" s="10">
        <v>2342</v>
      </c>
      <c r="S1075" s="7">
        <f t="shared" si="162"/>
        <v>0</v>
      </c>
      <c r="T1075" s="124">
        <f t="shared" si="163"/>
        <v>214</v>
      </c>
      <c r="U1075" s="124">
        <f t="shared" si="164"/>
        <v>214</v>
      </c>
      <c r="V1075" s="124">
        <f t="shared" si="165"/>
        <v>1066</v>
      </c>
      <c r="W1075" s="124">
        <f t="shared" si="166"/>
        <v>2305</v>
      </c>
      <c r="X1075" s="124">
        <f t="shared" si="167"/>
        <v>23615219.37740108</v>
      </c>
      <c r="Y1075" s="264">
        <f t="shared" si="168"/>
        <v>1066</v>
      </c>
      <c r="Z1075" s="10">
        <v>214</v>
      </c>
      <c r="AA1075" s="7">
        <v>214</v>
      </c>
      <c r="AB1075" s="7">
        <v>1066</v>
      </c>
      <c r="AC1075" s="109">
        <v>2305</v>
      </c>
      <c r="AD1075" s="109">
        <v>23615219.37740108</v>
      </c>
      <c r="AE1075" s="125"/>
      <c r="AF1075" s="10"/>
      <c r="AI1075" s="109"/>
      <c r="AJ1075" s="109"/>
      <c r="AL1075" s="10"/>
      <c r="AO1075" s="109"/>
      <c r="AP1075" s="109"/>
      <c r="AR1075" s="10"/>
      <c r="AU1075" s="109"/>
      <c r="AV1075" s="109"/>
      <c r="AX1075" s="10"/>
      <c r="BA1075" s="109"/>
      <c r="BB1075" s="109"/>
      <c r="BD1075" s="10"/>
      <c r="BG1075" s="109"/>
      <c r="BH1075" s="109"/>
      <c r="BJ1075" s="10"/>
      <c r="BM1075" s="109"/>
      <c r="BN1075" s="109"/>
      <c r="BP1075" s="10"/>
      <c r="BS1075" s="109"/>
      <c r="BT1075" s="109"/>
      <c r="BV1075" s="10"/>
      <c r="BY1075" s="109"/>
      <c r="BZ1075" s="109"/>
      <c r="CB1075" s="10"/>
      <c r="CE1075" s="109"/>
      <c r="CF1075" s="109"/>
      <c r="CH1075" s="10"/>
      <c r="CK1075" s="109"/>
      <c r="CL1075" s="109"/>
    </row>
    <row r="1076" spans="1:90">
      <c r="A1076" s="7" t="str">
        <f t="shared" si="161"/>
        <v>02140805</v>
      </c>
      <c r="B1076" s="7" t="s">
        <v>2553</v>
      </c>
      <c r="C1076" s="7" t="s">
        <v>2753</v>
      </c>
      <c r="D1076" s="7">
        <v>1067</v>
      </c>
      <c r="E1076" s="7">
        <v>214</v>
      </c>
      <c r="F1076" s="7" t="s">
        <v>1919</v>
      </c>
      <c r="G1076" s="7">
        <v>805</v>
      </c>
      <c r="H1076" s="7" t="s">
        <v>1680</v>
      </c>
      <c r="I1076" s="37">
        <v>2259350</v>
      </c>
      <c r="J1076" s="122">
        <v>8.7958522016418642E-2</v>
      </c>
      <c r="K1076" s="123">
        <f t="shared" si="170"/>
        <v>2219699.3531124936</v>
      </c>
      <c r="L1076" s="122">
        <f>IF(K1079&gt;0, K1076/K1079, 0)</f>
        <v>8.5918573085767488E-2</v>
      </c>
      <c r="M1076" s="71"/>
      <c r="N1076" s="10">
        <f>ROUND(M1079*L1076,0)</f>
        <v>1068714</v>
      </c>
      <c r="O1076" s="70">
        <v>1046273</v>
      </c>
      <c r="P1076" s="10">
        <f>N1076-O1076</f>
        <v>22441</v>
      </c>
      <c r="Q1076" s="46">
        <f t="shared" si="169"/>
        <v>2.1448512959810682</v>
      </c>
      <c r="R1076" s="10">
        <v>152</v>
      </c>
      <c r="S1076" s="7">
        <f t="shared" si="162"/>
        <v>0</v>
      </c>
      <c r="T1076" s="124">
        <f t="shared" si="163"/>
        <v>214</v>
      </c>
      <c r="U1076" s="124">
        <f t="shared" si="164"/>
        <v>805</v>
      </c>
      <c r="V1076" s="124">
        <f t="shared" si="165"/>
        <v>1067</v>
      </c>
      <c r="W1076" s="124">
        <f t="shared" si="166"/>
        <v>147.00000000246001</v>
      </c>
      <c r="X1076" s="124">
        <f t="shared" si="167"/>
        <v>2219699.3531124936</v>
      </c>
      <c r="Y1076" s="264">
        <f t="shared" si="168"/>
        <v>1067</v>
      </c>
      <c r="Z1076" s="10">
        <v>214</v>
      </c>
      <c r="AA1076" s="7">
        <v>805</v>
      </c>
      <c r="AB1076" s="7">
        <v>1067</v>
      </c>
      <c r="AC1076" s="109">
        <v>147.00000000246001</v>
      </c>
      <c r="AD1076" s="109">
        <v>2219699.3531124936</v>
      </c>
      <c r="AE1076" s="125"/>
      <c r="AF1076" s="10"/>
      <c r="AI1076" s="109"/>
      <c r="AJ1076" s="109"/>
      <c r="AL1076" s="10"/>
      <c r="AO1076" s="109"/>
      <c r="AP1076" s="109"/>
      <c r="AR1076" s="10"/>
      <c r="AU1076" s="109"/>
      <c r="AV1076" s="109"/>
      <c r="AX1076" s="10"/>
      <c r="BA1076" s="109"/>
      <c r="BB1076" s="109"/>
      <c r="BD1076" s="10"/>
      <c r="BG1076" s="109"/>
      <c r="BH1076" s="109"/>
      <c r="BJ1076" s="10"/>
      <c r="BM1076" s="109"/>
      <c r="BN1076" s="109"/>
      <c r="BP1076" s="10"/>
      <c r="BS1076" s="109"/>
      <c r="BT1076" s="109"/>
      <c r="BV1076" s="10"/>
      <c r="BY1076" s="109"/>
      <c r="BZ1076" s="109"/>
      <c r="CB1076" s="10"/>
      <c r="CE1076" s="109"/>
      <c r="CF1076" s="109"/>
      <c r="CH1076" s="10"/>
      <c r="CK1076" s="109"/>
      <c r="CL1076" s="109"/>
    </row>
    <row r="1077" spans="1:90">
      <c r="A1077" s="7" t="str">
        <f t="shared" si="161"/>
        <v>02140998</v>
      </c>
      <c r="B1077" s="7" t="s">
        <v>2553</v>
      </c>
      <c r="C1077" s="7" t="s">
        <v>2781</v>
      </c>
      <c r="D1077" s="7">
        <v>1068</v>
      </c>
      <c r="E1077" s="7">
        <v>214</v>
      </c>
      <c r="F1077" s="7" t="s">
        <v>2135</v>
      </c>
      <c r="G1077" s="7">
        <v>998</v>
      </c>
      <c r="H1077" s="7" t="s">
        <v>2135</v>
      </c>
      <c r="I1077" s="37">
        <v>0</v>
      </c>
      <c r="J1077" s="122">
        <v>0</v>
      </c>
      <c r="K1077" s="123">
        <f t="shared" si="170"/>
        <v>0</v>
      </c>
      <c r="L1077" s="122">
        <f>IF(K1079&gt;0, K1077/K1079, 0)</f>
        <v>0</v>
      </c>
      <c r="M1077" s="71"/>
      <c r="N1077" s="10">
        <f>ROUND(M1079*L1077,0)</f>
        <v>0</v>
      </c>
      <c r="O1077" s="70">
        <v>0</v>
      </c>
      <c r="P1077" s="10">
        <f>N1077-O1077</f>
        <v>0</v>
      </c>
      <c r="Q1077" s="46">
        <f t="shared" si="169"/>
        <v>0</v>
      </c>
      <c r="R1077" s="10">
        <v>0</v>
      </c>
      <c r="S1077" s="7">
        <f t="shared" si="162"/>
        <v>0</v>
      </c>
      <c r="T1077" s="124">
        <f t="shared" si="163"/>
        <v>214</v>
      </c>
      <c r="U1077" s="124">
        <f t="shared" si="164"/>
        <v>998</v>
      </c>
      <c r="V1077" s="124">
        <f t="shared" si="165"/>
        <v>1068</v>
      </c>
      <c r="W1077" s="124">
        <f t="shared" si="166"/>
        <v>0</v>
      </c>
      <c r="X1077" s="124">
        <f t="shared" si="167"/>
        <v>0</v>
      </c>
      <c r="Y1077" s="264">
        <f t="shared" si="168"/>
        <v>1068</v>
      </c>
      <c r="Z1077" s="10">
        <v>214</v>
      </c>
      <c r="AA1077" s="7">
        <v>998</v>
      </c>
      <c r="AB1077" s="7">
        <v>1068</v>
      </c>
      <c r="AC1077" s="109">
        <v>0</v>
      </c>
      <c r="AD1077" s="109">
        <v>0</v>
      </c>
      <c r="AE1077" s="125"/>
      <c r="AF1077" s="10"/>
      <c r="AI1077" s="109"/>
      <c r="AJ1077" s="109"/>
      <c r="AL1077" s="10"/>
      <c r="AO1077" s="109"/>
      <c r="AP1077" s="109"/>
      <c r="AR1077" s="10"/>
      <c r="AU1077" s="109"/>
      <c r="AV1077" s="109"/>
      <c r="AX1077" s="10"/>
      <c r="BA1077" s="109"/>
      <c r="BB1077" s="109"/>
      <c r="BD1077" s="10"/>
      <c r="BG1077" s="109"/>
      <c r="BH1077" s="109"/>
      <c r="BJ1077" s="10"/>
      <c r="BM1077" s="109"/>
      <c r="BN1077" s="109"/>
      <c r="BP1077" s="10"/>
      <c r="BS1077" s="109"/>
      <c r="BT1077" s="109"/>
      <c r="BV1077" s="10"/>
      <c r="BY1077" s="109"/>
      <c r="BZ1077" s="109"/>
      <c r="CB1077" s="10"/>
      <c r="CE1077" s="109"/>
      <c r="CF1077" s="109"/>
      <c r="CH1077" s="10"/>
      <c r="CK1077" s="109"/>
      <c r="CL1077" s="109"/>
    </row>
    <row r="1078" spans="1:90">
      <c r="A1078" s="7" t="str">
        <f t="shared" si="161"/>
        <v>02140998</v>
      </c>
      <c r="B1078" s="7" t="s">
        <v>2553</v>
      </c>
      <c r="C1078" s="7" t="s">
        <v>2781</v>
      </c>
      <c r="D1078" s="7">
        <v>1069</v>
      </c>
      <c r="E1078" s="7">
        <v>214</v>
      </c>
      <c r="F1078" s="7" t="s">
        <v>2135</v>
      </c>
      <c r="G1078" s="7">
        <v>998</v>
      </c>
      <c r="H1078" s="7" t="s">
        <v>2135</v>
      </c>
      <c r="I1078" s="37">
        <v>0</v>
      </c>
      <c r="J1078" s="122">
        <v>0</v>
      </c>
      <c r="K1078" s="123">
        <f t="shared" si="170"/>
        <v>0</v>
      </c>
      <c r="L1078" s="122">
        <f>IF(K1079&gt;0, K1078/K1079, 0)</f>
        <v>0</v>
      </c>
      <c r="M1078" s="71"/>
      <c r="N1078" s="10">
        <f>ROUND(M1079*L1078,0)</f>
        <v>0</v>
      </c>
      <c r="O1078" s="70">
        <v>0</v>
      </c>
      <c r="P1078" s="10">
        <f>N1078-O1078</f>
        <v>0</v>
      </c>
      <c r="Q1078" s="46">
        <f t="shared" si="169"/>
        <v>0</v>
      </c>
      <c r="R1078" s="10">
        <v>0</v>
      </c>
      <c r="S1078" s="7">
        <f t="shared" si="162"/>
        <v>0</v>
      </c>
      <c r="T1078" s="124">
        <f t="shared" si="163"/>
        <v>214</v>
      </c>
      <c r="U1078" s="124">
        <f t="shared" si="164"/>
        <v>998</v>
      </c>
      <c r="V1078" s="124">
        <f t="shared" si="165"/>
        <v>1069</v>
      </c>
      <c r="W1078" s="124">
        <f t="shared" si="166"/>
        <v>0</v>
      </c>
      <c r="X1078" s="124">
        <f t="shared" si="167"/>
        <v>0</v>
      </c>
      <c r="Y1078" s="264">
        <f t="shared" si="168"/>
        <v>1069</v>
      </c>
      <c r="Z1078" s="10">
        <v>214</v>
      </c>
      <c r="AA1078" s="7">
        <v>998</v>
      </c>
      <c r="AB1078" s="7">
        <v>1069</v>
      </c>
      <c r="AC1078" s="109">
        <v>0</v>
      </c>
      <c r="AD1078" s="109">
        <v>0</v>
      </c>
      <c r="AE1078" s="125"/>
      <c r="AF1078" s="10"/>
      <c r="AI1078" s="109"/>
      <c r="AJ1078" s="109"/>
      <c r="AL1078" s="10"/>
      <c r="AO1078" s="109"/>
      <c r="AP1078" s="109"/>
      <c r="AR1078" s="10"/>
      <c r="AU1078" s="109"/>
      <c r="AV1078" s="109"/>
      <c r="AX1078" s="10"/>
      <c r="BA1078" s="109"/>
      <c r="BB1078" s="109"/>
      <c r="BD1078" s="10"/>
      <c r="BG1078" s="109"/>
      <c r="BH1078" s="109"/>
      <c r="BJ1078" s="10"/>
      <c r="BM1078" s="109"/>
      <c r="BN1078" s="109"/>
      <c r="BP1078" s="10"/>
      <c r="BS1078" s="109"/>
      <c r="BT1078" s="109"/>
      <c r="BV1078" s="10"/>
      <c r="BY1078" s="109"/>
      <c r="BZ1078" s="109"/>
      <c r="CB1078" s="10"/>
      <c r="CE1078" s="109"/>
      <c r="CF1078" s="109"/>
      <c r="CH1078" s="10"/>
      <c r="CK1078" s="109"/>
      <c r="CL1078" s="109"/>
    </row>
    <row r="1079" spans="1:90">
      <c r="A1079" s="7" t="str">
        <f t="shared" si="161"/>
        <v>02140999</v>
      </c>
      <c r="B1079" s="7" t="s">
        <v>2553</v>
      </c>
      <c r="C1079" s="7" t="s">
        <v>2782</v>
      </c>
      <c r="D1079" s="7">
        <v>1070</v>
      </c>
      <c r="E1079" s="11">
        <v>214</v>
      </c>
      <c r="F1079" s="11" t="s">
        <v>1919</v>
      </c>
      <c r="G1079" s="11">
        <v>999</v>
      </c>
      <c r="H1079" s="11" t="s">
        <v>1132</v>
      </c>
      <c r="I1079" s="105">
        <v>25686538.930000003</v>
      </c>
      <c r="J1079" s="126">
        <v>1</v>
      </c>
      <c r="K1079" s="127">
        <f>SUM(K1075:K1078)</f>
        <v>25834918.730513573</v>
      </c>
      <c r="L1079" s="126">
        <f>SUM(L1075:L1078)</f>
        <v>1</v>
      </c>
      <c r="M1079" s="105">
        <f>VLOOKUP(E1079,town351,22)</f>
        <v>12438683</v>
      </c>
      <c r="N1079" s="105">
        <f>SUM(N1075:N1078)</f>
        <v>12438683</v>
      </c>
      <c r="O1079" s="128">
        <v>11895078</v>
      </c>
      <c r="P1079" s="105">
        <f>SUM(P1075:P1078)</f>
        <v>543605</v>
      </c>
      <c r="Q1079" s="45">
        <f t="shared" si="169"/>
        <v>4.5699994569182314</v>
      </c>
      <c r="R1079" s="105">
        <v>2494</v>
      </c>
      <c r="S1079" s="7">
        <f t="shared" si="162"/>
        <v>0</v>
      </c>
      <c r="T1079" s="124">
        <f t="shared" si="163"/>
        <v>214</v>
      </c>
      <c r="U1079" s="124">
        <f t="shared" si="164"/>
        <v>999</v>
      </c>
      <c r="V1079" s="124">
        <f t="shared" si="165"/>
        <v>1070</v>
      </c>
      <c r="W1079" s="124">
        <f t="shared" si="166"/>
        <v>2452.0000000024602</v>
      </c>
      <c r="X1079" s="124">
        <f t="shared" si="167"/>
        <v>25834918.730513573</v>
      </c>
      <c r="Y1079" s="264">
        <f t="shared" si="168"/>
        <v>1070</v>
      </c>
      <c r="Z1079" s="10">
        <v>214</v>
      </c>
      <c r="AA1079" s="7">
        <v>999</v>
      </c>
      <c r="AB1079" s="7">
        <v>1070</v>
      </c>
      <c r="AC1079" s="109">
        <v>2452.0000000024602</v>
      </c>
      <c r="AD1079" s="109">
        <v>25834918.730513573</v>
      </c>
      <c r="AE1079" s="125"/>
      <c r="AF1079" s="10"/>
      <c r="AI1079" s="109"/>
      <c r="AJ1079" s="109"/>
      <c r="AL1079" s="10"/>
      <c r="AO1079" s="109"/>
      <c r="AP1079" s="109"/>
      <c r="AR1079" s="10"/>
      <c r="AU1079" s="109"/>
      <c r="AV1079" s="109"/>
      <c r="AX1079" s="10"/>
      <c r="BA1079" s="109"/>
      <c r="BB1079" s="109"/>
      <c r="BD1079" s="10"/>
      <c r="BG1079" s="109"/>
      <c r="BH1079" s="109"/>
      <c r="BJ1079" s="10"/>
      <c r="BM1079" s="109"/>
      <c r="BN1079" s="109"/>
      <c r="BP1079" s="10"/>
      <c r="BS1079" s="109"/>
      <c r="BT1079" s="109"/>
      <c r="BV1079" s="10"/>
      <c r="BY1079" s="109"/>
      <c r="BZ1079" s="109"/>
      <c r="CB1079" s="10"/>
      <c r="CE1079" s="109"/>
      <c r="CF1079" s="109"/>
      <c r="CH1079" s="10"/>
      <c r="CK1079" s="109"/>
      <c r="CL1079" s="109"/>
    </row>
    <row r="1080" spans="1:90">
      <c r="A1080" s="7" t="str">
        <f t="shared" si="161"/>
        <v>02150215</v>
      </c>
      <c r="B1080" s="7" t="s">
        <v>2554</v>
      </c>
      <c r="C1080" s="7" t="s">
        <v>2554</v>
      </c>
      <c r="D1080" s="7">
        <v>1071</v>
      </c>
      <c r="E1080" s="7">
        <v>215</v>
      </c>
      <c r="F1080" s="7" t="s">
        <v>1920</v>
      </c>
      <c r="G1080" s="7">
        <v>215</v>
      </c>
      <c r="H1080" s="7" t="s">
        <v>1481</v>
      </c>
      <c r="I1080" s="37">
        <v>6192391.8499999996</v>
      </c>
      <c r="J1080" s="122">
        <v>0.91058267523010183</v>
      </c>
      <c r="K1080" s="123">
        <f>X1080</f>
        <v>6199650.4699848695</v>
      </c>
      <c r="L1080" s="122">
        <f>IF(K1084&gt;0, K1080/K1084, 0)</f>
        <v>0.89689215089523733</v>
      </c>
      <c r="M1080" s="71"/>
      <c r="N1080" s="10">
        <f>ROUND(M1084*L1080,0)</f>
        <v>2812304</v>
      </c>
      <c r="O1080" s="70">
        <v>2909397</v>
      </c>
      <c r="P1080" s="10">
        <f>N1080-O1080</f>
        <v>-97093</v>
      </c>
      <c r="Q1080" s="46">
        <f t="shared" si="169"/>
        <v>-3.3372207368055991</v>
      </c>
      <c r="R1080" s="10">
        <v>606</v>
      </c>
      <c r="S1080" s="7">
        <f t="shared" si="162"/>
        <v>0</v>
      </c>
      <c r="T1080" s="124">
        <f t="shared" si="163"/>
        <v>215</v>
      </c>
      <c r="U1080" s="124">
        <f t="shared" si="164"/>
        <v>215</v>
      </c>
      <c r="V1080" s="124">
        <f t="shared" si="165"/>
        <v>1071</v>
      </c>
      <c r="W1080" s="124">
        <f t="shared" si="166"/>
        <v>596</v>
      </c>
      <c r="X1080" s="124">
        <f t="shared" si="167"/>
        <v>6199650.4699848695</v>
      </c>
      <c r="Y1080" s="264">
        <f t="shared" si="168"/>
        <v>1071</v>
      </c>
      <c r="Z1080" s="10">
        <v>215</v>
      </c>
      <c r="AA1080" s="7">
        <v>215</v>
      </c>
      <c r="AB1080" s="7">
        <v>1071</v>
      </c>
      <c r="AC1080" s="109">
        <v>596</v>
      </c>
      <c r="AD1080" s="109">
        <v>6199650.4699848695</v>
      </c>
      <c r="AE1080" s="125"/>
      <c r="AF1080" s="10"/>
      <c r="AI1080" s="109"/>
      <c r="AJ1080" s="109"/>
      <c r="AL1080" s="10"/>
      <c r="AO1080" s="109"/>
      <c r="AP1080" s="109"/>
      <c r="AR1080" s="10"/>
      <c r="AU1080" s="109"/>
      <c r="AV1080" s="109"/>
      <c r="AX1080" s="10"/>
      <c r="BA1080" s="109"/>
      <c r="BB1080" s="109"/>
      <c r="BD1080" s="10"/>
      <c r="BG1080" s="109"/>
      <c r="BH1080" s="109"/>
      <c r="BJ1080" s="10"/>
      <c r="BM1080" s="109"/>
      <c r="BN1080" s="109"/>
      <c r="BP1080" s="10"/>
      <c r="BS1080" s="109"/>
      <c r="BT1080" s="109"/>
      <c r="BV1080" s="10"/>
      <c r="BY1080" s="109"/>
      <c r="BZ1080" s="109"/>
      <c r="CB1080" s="10"/>
      <c r="CE1080" s="109"/>
      <c r="CF1080" s="109"/>
      <c r="CH1080" s="10"/>
      <c r="CK1080" s="109"/>
      <c r="CL1080" s="109"/>
    </row>
    <row r="1081" spans="1:90">
      <c r="A1081" s="7" t="str">
        <f t="shared" si="161"/>
        <v>02150876</v>
      </c>
      <c r="B1081" s="7" t="s">
        <v>2554</v>
      </c>
      <c r="C1081" s="7" t="s">
        <v>2774</v>
      </c>
      <c r="D1081" s="7">
        <v>1072</v>
      </c>
      <c r="E1081" s="7">
        <v>215</v>
      </c>
      <c r="F1081" s="7" t="s">
        <v>1920</v>
      </c>
      <c r="G1081" s="7">
        <v>876</v>
      </c>
      <c r="H1081" s="7" t="s">
        <v>1701</v>
      </c>
      <c r="I1081" s="37">
        <v>608080</v>
      </c>
      <c r="J1081" s="122">
        <v>8.9417324769898138E-2</v>
      </c>
      <c r="K1081" s="123">
        <f t="shared" si="170"/>
        <v>712719.61129709682</v>
      </c>
      <c r="L1081" s="122">
        <f>IF(K1084&gt;0, K1081/K1084, 0)</f>
        <v>0.10310784910476263</v>
      </c>
      <c r="M1081" s="71"/>
      <c r="N1081" s="10">
        <f>ROUND(M1084*L1081,0)</f>
        <v>323306</v>
      </c>
      <c r="O1081" s="70">
        <v>285697</v>
      </c>
      <c r="P1081" s="10">
        <f>N1081-O1081</f>
        <v>37609</v>
      </c>
      <c r="Q1081" s="46">
        <f t="shared" si="169"/>
        <v>13.163946418758336</v>
      </c>
      <c r="R1081" s="10">
        <v>39</v>
      </c>
      <c r="S1081" s="7">
        <f t="shared" si="162"/>
        <v>0</v>
      </c>
      <c r="T1081" s="124">
        <f t="shared" si="163"/>
        <v>215</v>
      </c>
      <c r="U1081" s="124">
        <f t="shared" si="164"/>
        <v>876</v>
      </c>
      <c r="V1081" s="124">
        <f t="shared" si="165"/>
        <v>1072</v>
      </c>
      <c r="W1081" s="124">
        <f t="shared" si="166"/>
        <v>44.999999995800003</v>
      </c>
      <c r="X1081" s="124">
        <f t="shared" si="167"/>
        <v>712719.61129709682</v>
      </c>
      <c r="Y1081" s="264">
        <f t="shared" si="168"/>
        <v>1072</v>
      </c>
      <c r="Z1081" s="10">
        <v>215</v>
      </c>
      <c r="AA1081" s="7">
        <v>876</v>
      </c>
      <c r="AB1081" s="7">
        <v>1072</v>
      </c>
      <c r="AC1081" s="109">
        <v>44.999999995800003</v>
      </c>
      <c r="AD1081" s="109">
        <v>712719.61129709682</v>
      </c>
      <c r="AE1081" s="125"/>
      <c r="AF1081" s="10"/>
      <c r="AI1081" s="109"/>
      <c r="AJ1081" s="109"/>
      <c r="AL1081" s="10"/>
      <c r="AO1081" s="109"/>
      <c r="AP1081" s="109"/>
      <c r="AR1081" s="10"/>
      <c r="AU1081" s="109"/>
      <c r="AV1081" s="109"/>
      <c r="AX1081" s="10"/>
      <c r="BA1081" s="109"/>
      <c r="BB1081" s="109"/>
      <c r="BD1081" s="10"/>
      <c r="BG1081" s="109"/>
      <c r="BH1081" s="109"/>
      <c r="BJ1081" s="10"/>
      <c r="BM1081" s="109"/>
      <c r="BN1081" s="109"/>
      <c r="BP1081" s="10"/>
      <c r="BS1081" s="109"/>
      <c r="BT1081" s="109"/>
      <c r="BV1081" s="10"/>
      <c r="BY1081" s="109"/>
      <c r="BZ1081" s="109"/>
      <c r="CB1081" s="10"/>
      <c r="CE1081" s="109"/>
      <c r="CF1081" s="109"/>
      <c r="CH1081" s="10"/>
      <c r="CK1081" s="109"/>
      <c r="CL1081" s="109"/>
    </row>
    <row r="1082" spans="1:90">
      <c r="A1082" s="7" t="str">
        <f t="shared" si="161"/>
        <v>02150998</v>
      </c>
      <c r="B1082" s="7" t="s">
        <v>2554</v>
      </c>
      <c r="C1082" s="7" t="s">
        <v>2781</v>
      </c>
      <c r="D1082" s="7">
        <v>1073</v>
      </c>
      <c r="E1082" s="7">
        <v>215</v>
      </c>
      <c r="F1082" s="7" t="s">
        <v>2135</v>
      </c>
      <c r="G1082" s="7">
        <v>998</v>
      </c>
      <c r="H1082" s="7" t="s">
        <v>2135</v>
      </c>
      <c r="I1082" s="37">
        <v>0</v>
      </c>
      <c r="J1082" s="122">
        <v>0</v>
      </c>
      <c r="K1082" s="123">
        <f t="shared" si="170"/>
        <v>0</v>
      </c>
      <c r="L1082" s="122">
        <f>IF(K1084&gt;0, K1082/K1084, 0)</f>
        <v>0</v>
      </c>
      <c r="M1082" s="71"/>
      <c r="N1082" s="10">
        <f>ROUND(M1084*L1082,0)</f>
        <v>0</v>
      </c>
      <c r="O1082" s="70">
        <v>0</v>
      </c>
      <c r="P1082" s="10">
        <f>N1082-O1082</f>
        <v>0</v>
      </c>
      <c r="Q1082" s="46">
        <f t="shared" si="169"/>
        <v>0</v>
      </c>
      <c r="R1082" s="10">
        <v>0</v>
      </c>
      <c r="S1082" s="7">
        <f t="shared" si="162"/>
        <v>0</v>
      </c>
      <c r="T1082" s="124">
        <f t="shared" si="163"/>
        <v>215</v>
      </c>
      <c r="U1082" s="124">
        <f t="shared" si="164"/>
        <v>998</v>
      </c>
      <c r="V1082" s="124">
        <f t="shared" si="165"/>
        <v>1073</v>
      </c>
      <c r="W1082" s="124">
        <f t="shared" si="166"/>
        <v>0</v>
      </c>
      <c r="X1082" s="124">
        <f t="shared" si="167"/>
        <v>0</v>
      </c>
      <c r="Y1082" s="264">
        <f t="shared" si="168"/>
        <v>1073</v>
      </c>
      <c r="Z1082" s="10">
        <v>215</v>
      </c>
      <c r="AA1082" s="7">
        <v>998</v>
      </c>
      <c r="AB1082" s="7">
        <v>1073</v>
      </c>
      <c r="AC1082" s="109">
        <v>0</v>
      </c>
      <c r="AD1082" s="109">
        <v>0</v>
      </c>
      <c r="AE1082" s="125"/>
      <c r="AF1082" s="10"/>
      <c r="AI1082" s="109"/>
      <c r="AJ1082" s="109"/>
      <c r="AL1082" s="10"/>
      <c r="AO1082" s="109"/>
      <c r="AP1082" s="109"/>
      <c r="AR1082" s="10"/>
      <c r="AU1082" s="109"/>
      <c r="AV1082" s="109"/>
      <c r="AX1082" s="10"/>
      <c r="BA1082" s="109"/>
      <c r="BB1082" s="109"/>
      <c r="BD1082" s="10"/>
      <c r="BG1082" s="109"/>
      <c r="BH1082" s="109"/>
      <c r="BJ1082" s="10"/>
      <c r="BM1082" s="109"/>
      <c r="BN1082" s="109"/>
      <c r="BP1082" s="10"/>
      <c r="BS1082" s="109"/>
      <c r="BT1082" s="109"/>
      <c r="BV1082" s="10"/>
      <c r="BY1082" s="109"/>
      <c r="BZ1082" s="109"/>
      <c r="CB1082" s="10"/>
      <c r="CE1082" s="109"/>
      <c r="CF1082" s="109"/>
      <c r="CH1082" s="10"/>
      <c r="CK1082" s="109"/>
      <c r="CL1082" s="109"/>
    </row>
    <row r="1083" spans="1:90">
      <c r="A1083" s="7" t="str">
        <f t="shared" si="161"/>
        <v>02150998</v>
      </c>
      <c r="B1083" s="7" t="s">
        <v>2554</v>
      </c>
      <c r="C1083" s="7" t="s">
        <v>2781</v>
      </c>
      <c r="D1083" s="7">
        <v>1074</v>
      </c>
      <c r="E1083" s="7">
        <v>215</v>
      </c>
      <c r="F1083" s="7" t="s">
        <v>2135</v>
      </c>
      <c r="G1083" s="7">
        <v>998</v>
      </c>
      <c r="H1083" s="7" t="s">
        <v>2135</v>
      </c>
      <c r="I1083" s="37">
        <v>0</v>
      </c>
      <c r="J1083" s="122">
        <v>0</v>
      </c>
      <c r="K1083" s="123">
        <f t="shared" si="170"/>
        <v>0</v>
      </c>
      <c r="L1083" s="122">
        <f>IF(K1084&gt;0, K1083/K1084, 0)</f>
        <v>0</v>
      </c>
      <c r="M1083" s="71"/>
      <c r="N1083" s="10">
        <f>ROUND(M1084*L1083,0)</f>
        <v>0</v>
      </c>
      <c r="O1083" s="70">
        <v>0</v>
      </c>
      <c r="P1083" s="10">
        <f>N1083-O1083</f>
        <v>0</v>
      </c>
      <c r="Q1083" s="46">
        <f t="shared" si="169"/>
        <v>0</v>
      </c>
      <c r="R1083" s="10">
        <v>0</v>
      </c>
      <c r="S1083" s="7">
        <f t="shared" si="162"/>
        <v>0</v>
      </c>
      <c r="T1083" s="124">
        <f t="shared" si="163"/>
        <v>215</v>
      </c>
      <c r="U1083" s="124">
        <f t="shared" si="164"/>
        <v>998</v>
      </c>
      <c r="V1083" s="124">
        <f t="shared" si="165"/>
        <v>1074</v>
      </c>
      <c r="W1083" s="124">
        <f t="shared" si="166"/>
        <v>0</v>
      </c>
      <c r="X1083" s="124">
        <f t="shared" si="167"/>
        <v>0</v>
      </c>
      <c r="Y1083" s="264">
        <f t="shared" si="168"/>
        <v>1074</v>
      </c>
      <c r="Z1083" s="10">
        <v>215</v>
      </c>
      <c r="AA1083" s="7">
        <v>998</v>
      </c>
      <c r="AB1083" s="7">
        <v>1074</v>
      </c>
      <c r="AC1083" s="109">
        <v>0</v>
      </c>
      <c r="AD1083" s="109">
        <v>0</v>
      </c>
      <c r="AE1083" s="125"/>
      <c r="AF1083" s="10"/>
      <c r="AI1083" s="109"/>
      <c r="AJ1083" s="109"/>
      <c r="AL1083" s="10"/>
      <c r="AO1083" s="109"/>
      <c r="AP1083" s="109"/>
      <c r="AR1083" s="10"/>
      <c r="AU1083" s="109"/>
      <c r="AV1083" s="109"/>
      <c r="AX1083" s="10"/>
      <c r="BA1083" s="109"/>
      <c r="BB1083" s="109"/>
      <c r="BD1083" s="10"/>
      <c r="BG1083" s="109"/>
      <c r="BH1083" s="109"/>
      <c r="BJ1083" s="10"/>
      <c r="BM1083" s="109"/>
      <c r="BN1083" s="109"/>
      <c r="BP1083" s="10"/>
      <c r="BS1083" s="109"/>
      <c r="BT1083" s="109"/>
      <c r="BV1083" s="10"/>
      <c r="BY1083" s="109"/>
      <c r="BZ1083" s="109"/>
      <c r="CB1083" s="10"/>
      <c r="CE1083" s="109"/>
      <c r="CF1083" s="109"/>
      <c r="CH1083" s="10"/>
      <c r="CK1083" s="109"/>
      <c r="CL1083" s="109"/>
    </row>
    <row r="1084" spans="1:90">
      <c r="A1084" s="7" t="str">
        <f t="shared" si="161"/>
        <v>02150999</v>
      </c>
      <c r="B1084" s="7" t="s">
        <v>2554</v>
      </c>
      <c r="C1084" s="7" t="s">
        <v>2782</v>
      </c>
      <c r="D1084" s="7">
        <v>1075</v>
      </c>
      <c r="E1084" s="11">
        <v>215</v>
      </c>
      <c r="F1084" s="11" t="s">
        <v>1920</v>
      </c>
      <c r="G1084" s="11">
        <v>999</v>
      </c>
      <c r="H1084" s="11" t="s">
        <v>1132</v>
      </c>
      <c r="I1084" s="105">
        <v>6800471.8499999996</v>
      </c>
      <c r="J1084" s="126">
        <v>1</v>
      </c>
      <c r="K1084" s="127">
        <f>SUM(K1080:K1083)</f>
        <v>6912370.0812819665</v>
      </c>
      <c r="L1084" s="126">
        <f>SUM(L1080:L1083)</f>
        <v>1</v>
      </c>
      <c r="M1084" s="105">
        <f>VLOOKUP(E1084,town351,22)</f>
        <v>3135610</v>
      </c>
      <c r="N1084" s="105">
        <f>SUM(N1080:N1083)</f>
        <v>3135610</v>
      </c>
      <c r="O1084" s="128">
        <v>3195094</v>
      </c>
      <c r="P1084" s="105">
        <f>SUM(P1080:P1083)</f>
        <v>-59484</v>
      </c>
      <c r="Q1084" s="45">
        <f t="shared" si="169"/>
        <v>-1.8617292636773755</v>
      </c>
      <c r="R1084" s="105">
        <v>645</v>
      </c>
      <c r="S1084" s="7">
        <f t="shared" si="162"/>
        <v>0</v>
      </c>
      <c r="T1084" s="124">
        <f t="shared" si="163"/>
        <v>215</v>
      </c>
      <c r="U1084" s="124">
        <f t="shared" si="164"/>
        <v>999</v>
      </c>
      <c r="V1084" s="124">
        <f t="shared" si="165"/>
        <v>1075</v>
      </c>
      <c r="W1084" s="124">
        <f t="shared" si="166"/>
        <v>640.99999999579995</v>
      </c>
      <c r="X1084" s="124">
        <f t="shared" si="167"/>
        <v>6912370.0812819665</v>
      </c>
      <c r="Y1084" s="264">
        <f t="shared" si="168"/>
        <v>1075</v>
      </c>
      <c r="Z1084" s="10">
        <v>215</v>
      </c>
      <c r="AA1084" s="7">
        <v>999</v>
      </c>
      <c r="AB1084" s="7">
        <v>1075</v>
      </c>
      <c r="AC1084" s="109">
        <v>640.99999999579995</v>
      </c>
      <c r="AD1084" s="109">
        <v>6912370.0812819665</v>
      </c>
      <c r="AE1084" s="125"/>
      <c r="AF1084" s="10"/>
      <c r="AI1084" s="109"/>
      <c r="AJ1084" s="109"/>
      <c r="AL1084" s="10"/>
      <c r="AO1084" s="109"/>
      <c r="AP1084" s="109"/>
      <c r="AR1084" s="10"/>
      <c r="AU1084" s="109"/>
      <c r="AV1084" s="109"/>
      <c r="AX1084" s="10"/>
      <c r="BA1084" s="109"/>
      <c r="BB1084" s="109"/>
      <c r="BD1084" s="10"/>
      <c r="BG1084" s="109"/>
      <c r="BH1084" s="109"/>
      <c r="BJ1084" s="10"/>
      <c r="BM1084" s="109"/>
      <c r="BN1084" s="109"/>
      <c r="BP1084" s="10"/>
      <c r="BS1084" s="109"/>
      <c r="BT1084" s="109"/>
      <c r="BV1084" s="10"/>
      <c r="BY1084" s="109"/>
      <c r="BZ1084" s="109"/>
      <c r="CB1084" s="10"/>
      <c r="CE1084" s="109"/>
      <c r="CF1084" s="109"/>
      <c r="CH1084" s="10"/>
      <c r="CK1084" s="109"/>
      <c r="CL1084" s="109"/>
    </row>
    <row r="1085" spans="1:90">
      <c r="A1085" s="7" t="str">
        <f t="shared" si="161"/>
        <v>02160216</v>
      </c>
      <c r="B1085" s="7" t="s">
        <v>2555</v>
      </c>
      <c r="C1085" s="7" t="s">
        <v>2555</v>
      </c>
      <c r="D1085" s="7">
        <v>1076</v>
      </c>
      <c r="E1085" s="7">
        <v>216</v>
      </c>
      <c r="F1085" s="7" t="s">
        <v>1921</v>
      </c>
      <c r="G1085" s="7">
        <v>216</v>
      </c>
      <c r="H1085" s="7" t="s">
        <v>1482</v>
      </c>
      <c r="I1085" s="37">
        <v>13170.920000000002</v>
      </c>
      <c r="J1085" s="122">
        <v>3.2096107739784949E-3</v>
      </c>
      <c r="K1085" s="123">
        <f>X1085</f>
        <v>0</v>
      </c>
      <c r="L1085" s="122">
        <f>IF(K1089&gt;0, K1085/K1089, 0)</f>
        <v>0</v>
      </c>
      <c r="M1085" s="71"/>
      <c r="N1085" s="10">
        <f>ROUND(M1089*L1085,0)</f>
        <v>0</v>
      </c>
      <c r="O1085" s="70">
        <v>9108</v>
      </c>
      <c r="P1085" s="10">
        <f>N1085-O1085</f>
        <v>-9108</v>
      </c>
      <c r="Q1085" s="46">
        <f t="shared" si="169"/>
        <v>-100</v>
      </c>
      <c r="R1085" s="10">
        <v>1</v>
      </c>
      <c r="S1085" s="7">
        <f t="shared" si="162"/>
        <v>0</v>
      </c>
      <c r="T1085" s="124">
        <f t="shared" si="163"/>
        <v>216</v>
      </c>
      <c r="U1085" s="124">
        <f t="shared" si="164"/>
        <v>216</v>
      </c>
      <c r="V1085" s="124">
        <f t="shared" si="165"/>
        <v>1076</v>
      </c>
      <c r="W1085" s="124">
        <f t="shared" si="166"/>
        <v>0</v>
      </c>
      <c r="X1085" s="124">
        <f t="shared" si="167"/>
        <v>0</v>
      </c>
      <c r="Y1085" s="264">
        <f t="shared" si="168"/>
        <v>1076</v>
      </c>
      <c r="Z1085" s="10">
        <v>216</v>
      </c>
      <c r="AA1085" s="7">
        <v>216</v>
      </c>
      <c r="AB1085" s="7">
        <v>1076</v>
      </c>
      <c r="AC1085" s="109">
        <v>0</v>
      </c>
      <c r="AD1085" s="109">
        <v>0</v>
      </c>
      <c r="AE1085" s="125"/>
      <c r="AF1085" s="10"/>
      <c r="AI1085" s="109"/>
      <c r="AJ1085" s="109"/>
      <c r="AL1085" s="10"/>
      <c r="AO1085" s="109"/>
      <c r="AP1085" s="109"/>
      <c r="AR1085" s="10"/>
      <c r="AU1085" s="109"/>
      <c r="AV1085" s="109"/>
      <c r="AX1085" s="10"/>
      <c r="BA1085" s="109"/>
      <c r="BB1085" s="109"/>
      <c r="BD1085" s="10"/>
      <c r="BG1085" s="109"/>
      <c r="BH1085" s="109"/>
      <c r="BJ1085" s="10"/>
      <c r="BM1085" s="109"/>
      <c r="BN1085" s="109"/>
      <c r="BP1085" s="10"/>
      <c r="BS1085" s="109"/>
      <c r="BT1085" s="109"/>
      <c r="BV1085" s="10"/>
      <c r="BY1085" s="109"/>
      <c r="BZ1085" s="109"/>
      <c r="CB1085" s="10"/>
      <c r="CE1085" s="109"/>
      <c r="CF1085" s="109"/>
      <c r="CH1085" s="10"/>
      <c r="CK1085" s="109"/>
      <c r="CL1085" s="109"/>
    </row>
    <row r="1086" spans="1:90">
      <c r="A1086" s="7" t="str">
        <f t="shared" si="161"/>
        <v>02160750</v>
      </c>
      <c r="B1086" s="7" t="s">
        <v>2555</v>
      </c>
      <c r="C1086" s="7" t="s">
        <v>2738</v>
      </c>
      <c r="D1086" s="7">
        <v>1077</v>
      </c>
      <c r="E1086" s="7">
        <v>216</v>
      </c>
      <c r="F1086" s="7" t="s">
        <v>1921</v>
      </c>
      <c r="G1086" s="7">
        <v>750</v>
      </c>
      <c r="H1086" s="7" t="s">
        <v>1665</v>
      </c>
      <c r="I1086" s="37">
        <v>3409157</v>
      </c>
      <c r="J1086" s="122">
        <v>0.83077469435576268</v>
      </c>
      <c r="K1086" s="123">
        <f t="shared" si="170"/>
        <v>3373132.0306095914</v>
      </c>
      <c r="L1086" s="122">
        <f>IF(K1089&gt;0, K1086/K1089, 0)</f>
        <v>0.8532771148142928</v>
      </c>
      <c r="M1086" s="71"/>
      <c r="N1086" s="10">
        <f>ROUND(M1089*L1086,0)</f>
        <v>2440068</v>
      </c>
      <c r="O1086" s="70">
        <v>2357628</v>
      </c>
      <c r="P1086" s="10">
        <f>N1086-O1086</f>
        <v>82440</v>
      </c>
      <c r="Q1086" s="46">
        <f t="shared" si="169"/>
        <v>3.496734853844627</v>
      </c>
      <c r="R1086" s="10">
        <v>340</v>
      </c>
      <c r="S1086" s="7">
        <f t="shared" si="162"/>
        <v>0</v>
      </c>
      <c r="T1086" s="124">
        <f t="shared" si="163"/>
        <v>216</v>
      </c>
      <c r="U1086" s="124">
        <f t="shared" si="164"/>
        <v>750</v>
      </c>
      <c r="V1086" s="124">
        <f t="shared" si="165"/>
        <v>1077</v>
      </c>
      <c r="W1086" s="124">
        <f t="shared" si="166"/>
        <v>329.72290809015999</v>
      </c>
      <c r="X1086" s="124">
        <f t="shared" si="167"/>
        <v>3373132.0306095914</v>
      </c>
      <c r="Y1086" s="264">
        <f t="shared" si="168"/>
        <v>1077</v>
      </c>
      <c r="Z1086" s="10">
        <v>216</v>
      </c>
      <c r="AA1086" s="7">
        <v>750</v>
      </c>
      <c r="AB1086" s="7">
        <v>1077</v>
      </c>
      <c r="AC1086" s="109">
        <v>329.72290809015999</v>
      </c>
      <c r="AD1086" s="109">
        <v>3373132.0306095914</v>
      </c>
      <c r="AE1086" s="125"/>
      <c r="AF1086" s="10"/>
      <c r="AI1086" s="109"/>
      <c r="AJ1086" s="109"/>
      <c r="AL1086" s="10"/>
      <c r="AO1086" s="109"/>
      <c r="AP1086" s="109"/>
      <c r="AR1086" s="10"/>
      <c r="AU1086" s="109"/>
      <c r="AV1086" s="109"/>
      <c r="AX1086" s="10"/>
      <c r="BA1086" s="109"/>
      <c r="BB1086" s="109"/>
      <c r="BD1086" s="10"/>
      <c r="BG1086" s="109"/>
      <c r="BH1086" s="109"/>
      <c r="BJ1086" s="10"/>
      <c r="BM1086" s="109"/>
      <c r="BN1086" s="109"/>
      <c r="BP1086" s="10"/>
      <c r="BS1086" s="109"/>
      <c r="BT1086" s="109"/>
      <c r="BV1086" s="10"/>
      <c r="BY1086" s="109"/>
      <c r="BZ1086" s="109"/>
      <c r="CB1086" s="10"/>
      <c r="CE1086" s="109"/>
      <c r="CF1086" s="109"/>
      <c r="CH1086" s="10"/>
      <c r="CK1086" s="109"/>
      <c r="CL1086" s="109"/>
    </row>
    <row r="1087" spans="1:90">
      <c r="A1087" s="7" t="str">
        <f t="shared" si="161"/>
        <v>02160818</v>
      </c>
      <c r="B1087" s="7" t="s">
        <v>2555</v>
      </c>
      <c r="C1087" s="7" t="s">
        <v>2758</v>
      </c>
      <c r="D1087" s="7">
        <v>1078</v>
      </c>
      <c r="E1087" s="7">
        <v>216</v>
      </c>
      <c r="F1087" s="7" t="s">
        <v>1921</v>
      </c>
      <c r="G1087" s="7">
        <v>818</v>
      </c>
      <c r="H1087" s="7" t="s">
        <v>1685</v>
      </c>
      <c r="I1087" s="37">
        <v>681260</v>
      </c>
      <c r="J1087" s="122">
        <v>0.1660156948702588</v>
      </c>
      <c r="K1087" s="123">
        <f t="shared" si="170"/>
        <v>580017.50551000761</v>
      </c>
      <c r="L1087" s="122">
        <f>IF(K1089&gt;0, K1087/K1089, 0)</f>
        <v>0.1467228851857072</v>
      </c>
      <c r="M1087" s="71"/>
      <c r="N1087" s="10">
        <f>ROUND(M1089*L1087,0)</f>
        <v>419575</v>
      </c>
      <c r="O1087" s="70">
        <v>471130</v>
      </c>
      <c r="P1087" s="10">
        <f>N1087-O1087</f>
        <v>-51555</v>
      </c>
      <c r="Q1087" s="46">
        <f t="shared" si="169"/>
        <v>-10.9428395559612</v>
      </c>
      <c r="R1087" s="10">
        <v>42</v>
      </c>
      <c r="S1087" s="7">
        <f t="shared" si="162"/>
        <v>0</v>
      </c>
      <c r="T1087" s="124">
        <f t="shared" si="163"/>
        <v>216</v>
      </c>
      <c r="U1087" s="124">
        <f t="shared" si="164"/>
        <v>818</v>
      </c>
      <c r="V1087" s="124">
        <f t="shared" si="165"/>
        <v>1078</v>
      </c>
      <c r="W1087" s="124">
        <f t="shared" si="166"/>
        <v>34.999999999659998</v>
      </c>
      <c r="X1087" s="124">
        <f t="shared" si="167"/>
        <v>580017.50551000761</v>
      </c>
      <c r="Y1087" s="264">
        <f t="shared" si="168"/>
        <v>1078</v>
      </c>
      <c r="Z1087" s="10">
        <v>216</v>
      </c>
      <c r="AA1087" s="7">
        <v>818</v>
      </c>
      <c r="AB1087" s="7">
        <v>1078</v>
      </c>
      <c r="AC1087" s="109">
        <v>34.999999999659998</v>
      </c>
      <c r="AD1087" s="109">
        <v>580017.50551000761</v>
      </c>
      <c r="AE1087" s="125"/>
      <c r="AF1087" s="10"/>
      <c r="AI1087" s="109"/>
      <c r="AJ1087" s="109"/>
      <c r="AL1087" s="10"/>
      <c r="AO1087" s="109"/>
      <c r="AP1087" s="109"/>
      <c r="AR1087" s="10"/>
      <c r="AU1087" s="109"/>
      <c r="AV1087" s="109"/>
      <c r="AX1087" s="10"/>
      <c r="BA1087" s="109"/>
      <c r="BB1087" s="109"/>
      <c r="BD1087" s="10"/>
      <c r="BG1087" s="109"/>
      <c r="BH1087" s="109"/>
      <c r="BJ1087" s="10"/>
      <c r="BM1087" s="109"/>
      <c r="BN1087" s="109"/>
      <c r="BP1087" s="10"/>
      <c r="BS1087" s="109"/>
      <c r="BT1087" s="109"/>
      <c r="BV1087" s="10"/>
      <c r="BY1087" s="109"/>
      <c r="BZ1087" s="109"/>
      <c r="CB1087" s="10"/>
      <c r="CE1087" s="109"/>
      <c r="CF1087" s="109"/>
      <c r="CH1087" s="10"/>
      <c r="CK1087" s="109"/>
      <c r="CL1087" s="109"/>
    </row>
    <row r="1088" spans="1:90">
      <c r="A1088" s="7" t="str">
        <f t="shared" si="161"/>
        <v>02160998</v>
      </c>
      <c r="B1088" s="7" t="s">
        <v>2555</v>
      </c>
      <c r="C1088" s="7" t="s">
        <v>2781</v>
      </c>
      <c r="D1088" s="7">
        <v>1079</v>
      </c>
      <c r="E1088" s="7">
        <v>216</v>
      </c>
      <c r="F1088" s="7" t="s">
        <v>2135</v>
      </c>
      <c r="G1088" s="7">
        <v>998</v>
      </c>
      <c r="H1088" s="7" t="s">
        <v>2135</v>
      </c>
      <c r="I1088" s="37">
        <v>0</v>
      </c>
      <c r="J1088" s="122">
        <v>0</v>
      </c>
      <c r="K1088" s="123">
        <f t="shared" si="170"/>
        <v>0</v>
      </c>
      <c r="L1088" s="122">
        <f>IF(K1089&gt;0, K1088/K1089, 0)</f>
        <v>0</v>
      </c>
      <c r="M1088" s="71"/>
      <c r="N1088" s="10">
        <f>ROUND(M1089*L1088,0)</f>
        <v>0</v>
      </c>
      <c r="O1088" s="70">
        <v>0</v>
      </c>
      <c r="P1088" s="10">
        <f>N1088-O1088</f>
        <v>0</v>
      </c>
      <c r="Q1088" s="46">
        <f t="shared" si="169"/>
        <v>0</v>
      </c>
      <c r="R1088" s="10">
        <v>0</v>
      </c>
      <c r="S1088" s="7">
        <f t="shared" si="162"/>
        <v>0</v>
      </c>
      <c r="T1088" s="124">
        <f t="shared" si="163"/>
        <v>216</v>
      </c>
      <c r="U1088" s="124">
        <f t="shared" si="164"/>
        <v>998</v>
      </c>
      <c r="V1088" s="124">
        <f t="shared" si="165"/>
        <v>1079</v>
      </c>
      <c r="W1088" s="124">
        <f t="shared" si="166"/>
        <v>0</v>
      </c>
      <c r="X1088" s="124">
        <f t="shared" si="167"/>
        <v>0</v>
      </c>
      <c r="Y1088" s="264">
        <f t="shared" si="168"/>
        <v>1079</v>
      </c>
      <c r="Z1088" s="10">
        <v>216</v>
      </c>
      <c r="AA1088" s="7">
        <v>998</v>
      </c>
      <c r="AB1088" s="7">
        <v>1079</v>
      </c>
      <c r="AC1088" s="109">
        <v>0</v>
      </c>
      <c r="AD1088" s="109">
        <v>0</v>
      </c>
      <c r="AE1088" s="125"/>
      <c r="AF1088" s="10"/>
      <c r="AI1088" s="109"/>
      <c r="AJ1088" s="109"/>
      <c r="AL1088" s="10"/>
      <c r="AO1088" s="109"/>
      <c r="AP1088" s="109"/>
      <c r="AR1088" s="10"/>
      <c r="AU1088" s="109"/>
      <c r="AV1088" s="109"/>
      <c r="AX1088" s="10"/>
      <c r="BA1088" s="109"/>
      <c r="BB1088" s="109"/>
      <c r="BD1088" s="10"/>
      <c r="BG1088" s="109"/>
      <c r="BH1088" s="109"/>
      <c r="BJ1088" s="10"/>
      <c r="BM1088" s="109"/>
      <c r="BN1088" s="109"/>
      <c r="BP1088" s="10"/>
      <c r="BS1088" s="109"/>
      <c r="BT1088" s="109"/>
      <c r="BV1088" s="10"/>
      <c r="BY1088" s="109"/>
      <c r="BZ1088" s="109"/>
      <c r="CB1088" s="10"/>
      <c r="CE1088" s="109"/>
      <c r="CF1088" s="109"/>
      <c r="CH1088" s="10"/>
      <c r="CK1088" s="109"/>
      <c r="CL1088" s="109"/>
    </row>
    <row r="1089" spans="1:90">
      <c r="A1089" s="7" t="str">
        <f t="shared" si="161"/>
        <v>02160999</v>
      </c>
      <c r="B1089" s="7" t="s">
        <v>2555</v>
      </c>
      <c r="C1089" s="7" t="s">
        <v>2782</v>
      </c>
      <c r="D1089" s="7">
        <v>1080</v>
      </c>
      <c r="E1089" s="11">
        <v>216</v>
      </c>
      <c r="F1089" s="11" t="s">
        <v>1921</v>
      </c>
      <c r="G1089" s="11">
        <v>999</v>
      </c>
      <c r="H1089" s="11" t="s">
        <v>1132</v>
      </c>
      <c r="I1089" s="105">
        <v>4103587.92</v>
      </c>
      <c r="J1089" s="126">
        <v>1</v>
      </c>
      <c r="K1089" s="127">
        <f>SUM(K1085:K1088)</f>
        <v>3953149.5361195989</v>
      </c>
      <c r="L1089" s="126">
        <f>SUM(L1085:L1088)</f>
        <v>1</v>
      </c>
      <c r="M1089" s="105">
        <f>VLOOKUP(E1089,town351,22)</f>
        <v>2859643</v>
      </c>
      <c r="N1089" s="105">
        <f>SUM(N1085:N1088)</f>
        <v>2859643</v>
      </c>
      <c r="O1089" s="128">
        <v>2837866</v>
      </c>
      <c r="P1089" s="105">
        <f>SUM(P1085:P1088)</f>
        <v>21777</v>
      </c>
      <c r="Q1089" s="45">
        <f t="shared" si="169"/>
        <v>0.76737238474261993</v>
      </c>
      <c r="R1089" s="105">
        <v>383</v>
      </c>
      <c r="S1089" s="7">
        <f t="shared" si="162"/>
        <v>0</v>
      </c>
      <c r="T1089" s="124">
        <f t="shared" si="163"/>
        <v>216</v>
      </c>
      <c r="U1089" s="124">
        <f t="shared" si="164"/>
        <v>999</v>
      </c>
      <c r="V1089" s="124">
        <f t="shared" si="165"/>
        <v>1080</v>
      </c>
      <c r="W1089" s="124">
        <f t="shared" si="166"/>
        <v>364.72290808982001</v>
      </c>
      <c r="X1089" s="124">
        <f t="shared" si="167"/>
        <v>3953149.5361195989</v>
      </c>
      <c r="Y1089" s="264">
        <f t="shared" si="168"/>
        <v>1080</v>
      </c>
      <c r="Z1089" s="10">
        <v>216</v>
      </c>
      <c r="AA1089" s="7">
        <v>999</v>
      </c>
      <c r="AB1089" s="7">
        <v>1080</v>
      </c>
      <c r="AC1089" s="109">
        <v>364.72290808982001</v>
      </c>
      <c r="AD1089" s="109">
        <v>3953149.5361195989</v>
      </c>
      <c r="AE1089" s="125"/>
      <c r="AF1089" s="10"/>
      <c r="AI1089" s="109"/>
      <c r="AJ1089" s="109"/>
      <c r="AL1089" s="10"/>
      <c r="AO1089" s="109"/>
      <c r="AP1089" s="109"/>
      <c r="AR1089" s="10"/>
      <c r="AU1089" s="109"/>
      <c r="AV1089" s="109"/>
      <c r="AX1089" s="10"/>
      <c r="BA1089" s="109"/>
      <c r="BB1089" s="109"/>
      <c r="BD1089" s="10"/>
      <c r="BG1089" s="109"/>
      <c r="BH1089" s="109"/>
      <c r="BJ1089" s="10"/>
      <c r="BM1089" s="109"/>
      <c r="BN1089" s="109"/>
      <c r="BP1089" s="10"/>
      <c r="BS1089" s="109"/>
      <c r="BT1089" s="109"/>
      <c r="BV1089" s="10"/>
      <c r="BY1089" s="109"/>
      <c r="BZ1089" s="109"/>
      <c r="CB1089" s="10"/>
      <c r="CE1089" s="109"/>
      <c r="CF1089" s="109"/>
      <c r="CH1089" s="10"/>
      <c r="CK1089" s="109"/>
      <c r="CL1089" s="109"/>
    </row>
    <row r="1090" spans="1:90">
      <c r="A1090" s="7" t="str">
        <f t="shared" si="161"/>
        <v>02170217</v>
      </c>
      <c r="B1090" s="7" t="s">
        <v>2556</v>
      </c>
      <c r="C1090" s="7" t="s">
        <v>2556</v>
      </c>
      <c r="D1090" s="7">
        <v>1081</v>
      </c>
      <c r="E1090" s="7">
        <v>217</v>
      </c>
      <c r="F1090" s="7" t="s">
        <v>1922</v>
      </c>
      <c r="G1090" s="7">
        <v>217</v>
      </c>
      <c r="H1090" s="7" t="s">
        <v>1483</v>
      </c>
      <c r="I1090" s="37">
        <v>23635143.14844</v>
      </c>
      <c r="J1090" s="122">
        <v>0.97397469658566949</v>
      </c>
      <c r="K1090" s="123">
        <f>X1090</f>
        <v>23960205.841541711</v>
      </c>
      <c r="L1090" s="122">
        <f>IF(K1094&gt;0, K1090/K1094, 0)</f>
        <v>0.97718675193084015</v>
      </c>
      <c r="M1090" s="71"/>
      <c r="N1090" s="10">
        <f>ROUND(M1094*L1090,0)</f>
        <v>19895201</v>
      </c>
      <c r="O1090" s="70">
        <v>19692373</v>
      </c>
      <c r="P1090" s="10">
        <f>N1090-O1090</f>
        <v>202828</v>
      </c>
      <c r="Q1090" s="46">
        <f t="shared" si="169"/>
        <v>1.0299825216595277</v>
      </c>
      <c r="R1090" s="10">
        <v>2466</v>
      </c>
      <c r="S1090" s="7">
        <f t="shared" si="162"/>
        <v>0</v>
      </c>
      <c r="T1090" s="124">
        <f t="shared" si="163"/>
        <v>217</v>
      </c>
      <c r="U1090" s="124">
        <f t="shared" si="164"/>
        <v>217</v>
      </c>
      <c r="V1090" s="124">
        <f t="shared" si="165"/>
        <v>1081</v>
      </c>
      <c r="W1090" s="124">
        <f t="shared" si="166"/>
        <v>2426</v>
      </c>
      <c r="X1090" s="124">
        <f t="shared" si="167"/>
        <v>23960205.841541711</v>
      </c>
      <c r="Y1090" s="264">
        <f t="shared" si="168"/>
        <v>1081</v>
      </c>
      <c r="Z1090" s="10">
        <v>217</v>
      </c>
      <c r="AA1090" s="7">
        <v>217</v>
      </c>
      <c r="AB1090" s="7">
        <v>1081</v>
      </c>
      <c r="AC1090" s="109">
        <v>2426</v>
      </c>
      <c r="AD1090" s="109">
        <v>23960205.841541711</v>
      </c>
      <c r="AE1090" s="125"/>
      <c r="AF1090" s="10"/>
      <c r="AI1090" s="109"/>
      <c r="AJ1090" s="109"/>
      <c r="AL1090" s="10"/>
      <c r="AO1090" s="109"/>
      <c r="AP1090" s="109"/>
      <c r="AR1090" s="10"/>
      <c r="AU1090" s="109"/>
      <c r="AV1090" s="109"/>
      <c r="AX1090" s="10"/>
      <c r="BA1090" s="109"/>
      <c r="BB1090" s="109"/>
      <c r="BD1090" s="10"/>
      <c r="BG1090" s="109"/>
      <c r="BH1090" s="109"/>
      <c r="BJ1090" s="10"/>
      <c r="BM1090" s="109"/>
      <c r="BN1090" s="109"/>
      <c r="BP1090" s="10"/>
      <c r="BS1090" s="109"/>
      <c r="BT1090" s="109"/>
      <c r="BV1090" s="10"/>
      <c r="BY1090" s="109"/>
      <c r="BZ1090" s="109"/>
      <c r="CB1090" s="10"/>
      <c r="CE1090" s="109"/>
      <c r="CF1090" s="109"/>
      <c r="CH1090" s="10"/>
      <c r="CK1090" s="109"/>
      <c r="CL1090" s="109"/>
    </row>
    <row r="1091" spans="1:90">
      <c r="A1091" s="7" t="str">
        <f t="shared" si="161"/>
        <v>02170853</v>
      </c>
      <c r="B1091" s="7" t="s">
        <v>2556</v>
      </c>
      <c r="C1091" s="7" t="s">
        <v>2768</v>
      </c>
      <c r="D1091" s="7">
        <v>1082</v>
      </c>
      <c r="E1091" s="7">
        <v>217</v>
      </c>
      <c r="F1091" s="7" t="s">
        <v>1922</v>
      </c>
      <c r="G1091" s="7">
        <v>853</v>
      </c>
      <c r="H1091" s="7" t="s">
        <v>1695</v>
      </c>
      <c r="I1091" s="37">
        <v>631548</v>
      </c>
      <c r="J1091" s="122">
        <v>2.6025303414330531E-2</v>
      </c>
      <c r="K1091" s="123">
        <f t="shared" si="170"/>
        <v>559371.19345014449</v>
      </c>
      <c r="L1091" s="122">
        <f>IF(K1094&gt;0, K1091/K1094, 0)</f>
        <v>2.2813248069159863E-2</v>
      </c>
      <c r="M1091" s="71"/>
      <c r="N1091" s="10">
        <f>ROUND(M1094*L1091,0)</f>
        <v>464470</v>
      </c>
      <c r="O1091" s="70">
        <v>526194</v>
      </c>
      <c r="P1091" s="10">
        <f>N1091-O1091</f>
        <v>-61724</v>
      </c>
      <c r="Q1091" s="46">
        <f t="shared" si="169"/>
        <v>-11.730274385492804</v>
      </c>
      <c r="R1091" s="10">
        <v>38</v>
      </c>
      <c r="S1091" s="7">
        <f t="shared" si="162"/>
        <v>0</v>
      </c>
      <c r="T1091" s="124">
        <f t="shared" si="163"/>
        <v>217</v>
      </c>
      <c r="U1091" s="124">
        <f t="shared" si="164"/>
        <v>853</v>
      </c>
      <c r="V1091" s="124">
        <f t="shared" si="165"/>
        <v>1082</v>
      </c>
      <c r="W1091" s="124">
        <f t="shared" si="166"/>
        <v>33.000000004230003</v>
      </c>
      <c r="X1091" s="124">
        <f t="shared" si="167"/>
        <v>559371.19345014449</v>
      </c>
      <c r="Y1091" s="264">
        <f t="shared" si="168"/>
        <v>1082</v>
      </c>
      <c r="Z1091" s="10">
        <v>217</v>
      </c>
      <c r="AA1091" s="7">
        <v>853</v>
      </c>
      <c r="AB1091" s="7">
        <v>1082</v>
      </c>
      <c r="AC1091" s="109">
        <v>33.000000004230003</v>
      </c>
      <c r="AD1091" s="109">
        <v>559371.19345014449</v>
      </c>
      <c r="AE1091" s="125"/>
      <c r="AF1091" s="10"/>
      <c r="AI1091" s="109"/>
      <c r="AJ1091" s="109"/>
      <c r="AL1091" s="10"/>
      <c r="AO1091" s="109"/>
      <c r="AP1091" s="109"/>
      <c r="AR1091" s="10"/>
      <c r="AU1091" s="109"/>
      <c r="AV1091" s="109"/>
      <c r="AX1091" s="10"/>
      <c r="BA1091" s="109"/>
      <c r="BB1091" s="109"/>
      <c r="BD1091" s="10"/>
      <c r="BG1091" s="109"/>
      <c r="BH1091" s="109"/>
      <c r="BJ1091" s="10"/>
      <c r="BM1091" s="109"/>
      <c r="BN1091" s="109"/>
      <c r="BP1091" s="10"/>
      <c r="BS1091" s="109"/>
      <c r="BT1091" s="109"/>
      <c r="BV1091" s="10"/>
      <c r="BY1091" s="109"/>
      <c r="BZ1091" s="109"/>
      <c r="CB1091" s="10"/>
      <c r="CE1091" s="109"/>
      <c r="CF1091" s="109"/>
      <c r="CH1091" s="10"/>
      <c r="CK1091" s="109"/>
      <c r="CL1091" s="109"/>
    </row>
    <row r="1092" spans="1:90">
      <c r="A1092" s="7" t="str">
        <f t="shared" si="161"/>
        <v>02170998</v>
      </c>
      <c r="B1092" s="7" t="s">
        <v>2556</v>
      </c>
      <c r="C1092" s="7" t="s">
        <v>2781</v>
      </c>
      <c r="D1092" s="7">
        <v>1083</v>
      </c>
      <c r="E1092" s="7">
        <v>217</v>
      </c>
      <c r="F1092" s="7" t="s">
        <v>2135</v>
      </c>
      <c r="G1092" s="7">
        <v>998</v>
      </c>
      <c r="I1092" s="129">
        <v>0</v>
      </c>
      <c r="J1092" s="130">
        <v>0</v>
      </c>
      <c r="K1092" s="123">
        <f t="shared" si="170"/>
        <v>0</v>
      </c>
      <c r="L1092" s="122">
        <f>IF(K1094&gt;0, K1092/K1094, 0)</f>
        <v>0</v>
      </c>
      <c r="M1092" s="71"/>
      <c r="N1092" s="10">
        <f>ROUND(M1094*L1092,0)</f>
        <v>0</v>
      </c>
      <c r="O1092" s="70">
        <v>0</v>
      </c>
      <c r="P1092" s="10">
        <f>N1092-O1092</f>
        <v>0</v>
      </c>
      <c r="Q1092" s="46">
        <f t="shared" si="169"/>
        <v>0</v>
      </c>
      <c r="R1092" s="10">
        <v>0</v>
      </c>
      <c r="S1092" s="7">
        <f t="shared" si="162"/>
        <v>0</v>
      </c>
      <c r="T1092" s="124">
        <f t="shared" si="163"/>
        <v>217</v>
      </c>
      <c r="U1092" s="124">
        <f t="shared" si="164"/>
        <v>998</v>
      </c>
      <c r="V1092" s="124">
        <f t="shared" si="165"/>
        <v>1083</v>
      </c>
      <c r="W1092" s="124">
        <f t="shared" si="166"/>
        <v>0</v>
      </c>
      <c r="X1092" s="124">
        <f t="shared" si="167"/>
        <v>0</v>
      </c>
      <c r="Y1092" s="264">
        <f t="shared" si="168"/>
        <v>1083</v>
      </c>
      <c r="Z1092" s="10">
        <v>217</v>
      </c>
      <c r="AA1092" s="7">
        <v>998</v>
      </c>
      <c r="AB1092" s="7">
        <v>1083</v>
      </c>
      <c r="AC1092" s="109">
        <v>0</v>
      </c>
      <c r="AD1092" s="109">
        <v>0</v>
      </c>
      <c r="AE1092" s="125"/>
      <c r="AF1092" s="10"/>
      <c r="AI1092" s="109"/>
      <c r="AJ1092" s="109"/>
      <c r="AL1092" s="10"/>
      <c r="AO1092" s="109"/>
      <c r="AP1092" s="109"/>
      <c r="AR1092" s="10"/>
      <c r="AU1092" s="109"/>
      <c r="AV1092" s="109"/>
      <c r="AX1092" s="10"/>
      <c r="BA1092" s="109"/>
      <c r="BB1092" s="109"/>
      <c r="BD1092" s="10"/>
      <c r="BG1092" s="109"/>
      <c r="BH1092" s="109"/>
      <c r="BJ1092" s="10"/>
      <c r="BM1092" s="109"/>
      <c r="BN1092" s="109"/>
      <c r="BP1092" s="10"/>
      <c r="BS1092" s="109"/>
      <c r="BT1092" s="109"/>
      <c r="BV1092" s="10"/>
      <c r="BY1092" s="109"/>
      <c r="BZ1092" s="109"/>
      <c r="CB1092" s="10"/>
      <c r="CE1092" s="109"/>
      <c r="CF1092" s="109"/>
      <c r="CH1092" s="10"/>
      <c r="CK1092" s="109"/>
      <c r="CL1092" s="109"/>
    </row>
    <row r="1093" spans="1:90">
      <c r="A1093" s="7" t="str">
        <f t="shared" si="161"/>
        <v>02170998</v>
      </c>
      <c r="B1093" s="7" t="s">
        <v>2556</v>
      </c>
      <c r="C1093" s="7" t="s">
        <v>2781</v>
      </c>
      <c r="D1093" s="7">
        <v>1084</v>
      </c>
      <c r="E1093" s="7">
        <v>217</v>
      </c>
      <c r="F1093" s="7" t="s">
        <v>2135</v>
      </c>
      <c r="G1093" s="7">
        <v>998</v>
      </c>
      <c r="H1093" s="7" t="s">
        <v>2135</v>
      </c>
      <c r="I1093" s="37">
        <v>0</v>
      </c>
      <c r="J1093" s="122">
        <v>0</v>
      </c>
      <c r="K1093" s="123">
        <f t="shared" si="170"/>
        <v>0</v>
      </c>
      <c r="L1093" s="122">
        <f>IF(K1094&gt;0, K1093/K1094, 0)</f>
        <v>0</v>
      </c>
      <c r="M1093" s="71"/>
      <c r="N1093" s="10">
        <f>ROUND(M1094*L1093,0)</f>
        <v>0</v>
      </c>
      <c r="O1093" s="70">
        <v>0</v>
      </c>
      <c r="P1093" s="10">
        <f>N1093-O1093</f>
        <v>0</v>
      </c>
      <c r="Q1093" s="46">
        <f t="shared" si="169"/>
        <v>0</v>
      </c>
      <c r="R1093" s="10">
        <v>0</v>
      </c>
      <c r="S1093" s="7">
        <f t="shared" si="162"/>
        <v>0</v>
      </c>
      <c r="T1093" s="124">
        <f t="shared" si="163"/>
        <v>217</v>
      </c>
      <c r="U1093" s="124">
        <f t="shared" si="164"/>
        <v>998</v>
      </c>
      <c r="V1093" s="124">
        <f t="shared" si="165"/>
        <v>1084</v>
      </c>
      <c r="W1093" s="124">
        <f t="shared" si="166"/>
        <v>0</v>
      </c>
      <c r="X1093" s="124">
        <f t="shared" si="167"/>
        <v>0</v>
      </c>
      <c r="Y1093" s="264">
        <f t="shared" si="168"/>
        <v>1084</v>
      </c>
      <c r="Z1093" s="10">
        <v>217</v>
      </c>
      <c r="AA1093" s="7">
        <v>998</v>
      </c>
      <c r="AB1093" s="7">
        <v>1084</v>
      </c>
      <c r="AC1093" s="109">
        <v>0</v>
      </c>
      <c r="AD1093" s="109">
        <v>0</v>
      </c>
      <c r="AE1093" s="125"/>
      <c r="AF1093" s="10"/>
      <c r="AI1093" s="109"/>
      <c r="AJ1093" s="109"/>
      <c r="AL1093" s="10"/>
      <c r="AO1093" s="109"/>
      <c r="AP1093" s="109"/>
      <c r="AR1093" s="10"/>
      <c r="AU1093" s="109"/>
      <c r="AV1093" s="109"/>
      <c r="AX1093" s="10"/>
      <c r="BA1093" s="109"/>
      <c r="BB1093" s="109"/>
      <c r="BD1093" s="10"/>
      <c r="BG1093" s="109"/>
      <c r="BH1093" s="109"/>
      <c r="BJ1093" s="10"/>
      <c r="BM1093" s="109"/>
      <c r="BN1093" s="109"/>
      <c r="BP1093" s="10"/>
      <c r="BS1093" s="109"/>
      <c r="BT1093" s="109"/>
      <c r="BV1093" s="10"/>
      <c r="BY1093" s="109"/>
      <c r="BZ1093" s="109"/>
      <c r="CB1093" s="10"/>
      <c r="CE1093" s="109"/>
      <c r="CF1093" s="109"/>
      <c r="CH1093" s="10"/>
      <c r="CK1093" s="109"/>
      <c r="CL1093" s="109"/>
    </row>
    <row r="1094" spans="1:90">
      <c r="A1094" s="7" t="str">
        <f t="shared" si="161"/>
        <v>02170999</v>
      </c>
      <c r="B1094" s="7" t="s">
        <v>2556</v>
      </c>
      <c r="C1094" s="7" t="s">
        <v>2782</v>
      </c>
      <c r="D1094" s="7">
        <v>1085</v>
      </c>
      <c r="E1094" s="11">
        <v>217</v>
      </c>
      <c r="F1094" s="11" t="s">
        <v>1922</v>
      </c>
      <c r="G1094" s="11">
        <v>999</v>
      </c>
      <c r="H1094" s="11" t="s">
        <v>1132</v>
      </c>
      <c r="I1094" s="105">
        <v>24266691.14844</v>
      </c>
      <c r="J1094" s="126">
        <v>1</v>
      </c>
      <c r="K1094" s="127">
        <f>SUM(K1090:K1093)</f>
        <v>24519577.034991857</v>
      </c>
      <c r="L1094" s="126">
        <f>SUM(L1090:L1093)</f>
        <v>1</v>
      </c>
      <c r="M1094" s="105">
        <f>VLOOKUP(E1094,town351,22)</f>
        <v>20359671</v>
      </c>
      <c r="N1094" s="105">
        <f>SUM(N1090:N1093)</f>
        <v>20359671</v>
      </c>
      <c r="O1094" s="128">
        <v>20218567</v>
      </c>
      <c r="P1094" s="105">
        <f>SUM(P1090:P1093)</f>
        <v>141104</v>
      </c>
      <c r="Q1094" s="45">
        <f t="shared" si="169"/>
        <v>0.69789317907644</v>
      </c>
      <c r="R1094" s="105">
        <v>2504</v>
      </c>
      <c r="S1094" s="7">
        <f t="shared" si="162"/>
        <v>0</v>
      </c>
      <c r="T1094" s="124">
        <f t="shared" si="163"/>
        <v>217</v>
      </c>
      <c r="U1094" s="124">
        <f t="shared" si="164"/>
        <v>999</v>
      </c>
      <c r="V1094" s="124">
        <f t="shared" si="165"/>
        <v>1085</v>
      </c>
      <c r="W1094" s="124">
        <f t="shared" si="166"/>
        <v>2459.0000000042301</v>
      </c>
      <c r="X1094" s="124">
        <f t="shared" si="167"/>
        <v>24519577.034991857</v>
      </c>
      <c r="Y1094" s="264">
        <f t="shared" si="168"/>
        <v>1085</v>
      </c>
      <c r="Z1094" s="10">
        <v>217</v>
      </c>
      <c r="AA1094" s="7">
        <v>999</v>
      </c>
      <c r="AB1094" s="7">
        <v>1085</v>
      </c>
      <c r="AC1094" s="109">
        <v>2459.0000000042301</v>
      </c>
      <c r="AD1094" s="109">
        <v>24519577.034991857</v>
      </c>
      <c r="AE1094" s="125"/>
      <c r="AF1094" s="10"/>
      <c r="AI1094" s="109"/>
      <c r="AJ1094" s="109"/>
      <c r="AL1094" s="10"/>
      <c r="AO1094" s="109"/>
      <c r="AP1094" s="109"/>
      <c r="AR1094" s="10"/>
      <c r="AU1094" s="109"/>
      <c r="AV1094" s="109"/>
      <c r="AX1094" s="10"/>
      <c r="BA1094" s="109"/>
      <c r="BB1094" s="109"/>
      <c r="BD1094" s="10"/>
      <c r="BG1094" s="109"/>
      <c r="BH1094" s="109"/>
      <c r="BJ1094" s="10"/>
      <c r="BM1094" s="109"/>
      <c r="BN1094" s="109"/>
      <c r="BP1094" s="10"/>
      <c r="BS1094" s="109"/>
      <c r="BT1094" s="109"/>
      <c r="BV1094" s="10"/>
      <c r="BY1094" s="109"/>
      <c r="BZ1094" s="109"/>
      <c r="CB1094" s="10"/>
      <c r="CE1094" s="109"/>
      <c r="CF1094" s="109"/>
      <c r="CH1094" s="10"/>
      <c r="CK1094" s="109"/>
      <c r="CL1094" s="109"/>
    </row>
    <row r="1095" spans="1:90">
      <c r="A1095" s="7" t="str">
        <f t="shared" si="161"/>
        <v>02180218</v>
      </c>
      <c r="B1095" s="7" t="s">
        <v>2557</v>
      </c>
      <c r="C1095" s="7" t="s">
        <v>2557</v>
      </c>
      <c r="D1095" s="7">
        <v>1086</v>
      </c>
      <c r="E1095" s="7">
        <v>218</v>
      </c>
      <c r="F1095" s="7" t="s">
        <v>1923</v>
      </c>
      <c r="G1095" s="7">
        <v>218</v>
      </c>
      <c r="H1095" s="7" t="s">
        <v>1484</v>
      </c>
      <c r="I1095" s="37">
        <v>24673640</v>
      </c>
      <c r="J1095" s="122">
        <v>0.93708634662286794</v>
      </c>
      <c r="K1095" s="123">
        <f>X1095</f>
        <v>24605799.037226401</v>
      </c>
      <c r="L1095" s="122">
        <f>IF(K1099&gt;0, K1095/K1099, 0)</f>
        <v>0.9368173491816939</v>
      </c>
      <c r="M1095" s="71"/>
      <c r="N1095" s="10">
        <f>ROUND(M1099*L1095,0)</f>
        <v>16138030</v>
      </c>
      <c r="O1095" s="70">
        <v>15870288</v>
      </c>
      <c r="P1095" s="10">
        <f>N1095-O1095</f>
        <v>267742</v>
      </c>
      <c r="Q1095" s="46">
        <f t="shared" si="169"/>
        <v>1.6870645321622393</v>
      </c>
      <c r="R1095" s="10">
        <v>2583</v>
      </c>
      <c r="S1095" s="7">
        <f t="shared" si="162"/>
        <v>0</v>
      </c>
      <c r="T1095" s="124">
        <f t="shared" si="163"/>
        <v>218</v>
      </c>
      <c r="U1095" s="124">
        <f t="shared" si="164"/>
        <v>218</v>
      </c>
      <c r="V1095" s="124">
        <f t="shared" si="165"/>
        <v>1086</v>
      </c>
      <c r="W1095" s="124">
        <f t="shared" si="166"/>
        <v>2517</v>
      </c>
      <c r="X1095" s="124">
        <f t="shared" si="167"/>
        <v>24605799.037226401</v>
      </c>
      <c r="Y1095" s="264">
        <f t="shared" si="168"/>
        <v>1086</v>
      </c>
      <c r="Z1095" s="10">
        <v>218</v>
      </c>
      <c r="AA1095" s="7">
        <v>218</v>
      </c>
      <c r="AB1095" s="7">
        <v>1086</v>
      </c>
      <c r="AC1095" s="109">
        <v>2517</v>
      </c>
      <c r="AD1095" s="109">
        <v>24605799.037226401</v>
      </c>
      <c r="AE1095" s="125"/>
      <c r="AF1095" s="10"/>
      <c r="AI1095" s="109"/>
      <c r="AJ1095" s="109"/>
      <c r="AL1095" s="10"/>
      <c r="AO1095" s="109"/>
      <c r="AP1095" s="109"/>
      <c r="AR1095" s="10"/>
      <c r="AU1095" s="109"/>
      <c r="AV1095" s="109"/>
      <c r="AX1095" s="10"/>
      <c r="BA1095" s="109"/>
      <c r="BB1095" s="109"/>
      <c r="BD1095" s="10"/>
      <c r="BG1095" s="109"/>
      <c r="BH1095" s="109"/>
      <c r="BJ1095" s="10"/>
      <c r="BM1095" s="109"/>
      <c r="BN1095" s="109"/>
      <c r="BP1095" s="10"/>
      <c r="BS1095" s="109"/>
      <c r="BT1095" s="109"/>
      <c r="BV1095" s="10"/>
      <c r="BY1095" s="109"/>
      <c r="BZ1095" s="109"/>
      <c r="CB1095" s="10"/>
      <c r="CE1095" s="109"/>
      <c r="CF1095" s="109"/>
      <c r="CH1095" s="10"/>
      <c r="CK1095" s="109"/>
      <c r="CL1095" s="109"/>
    </row>
    <row r="1096" spans="1:90">
      <c r="A1096" s="7" t="str">
        <f t="shared" si="161"/>
        <v>02180872</v>
      </c>
      <c r="B1096" s="7" t="s">
        <v>2557</v>
      </c>
      <c r="C1096" s="7" t="s">
        <v>2772</v>
      </c>
      <c r="D1096" s="7">
        <v>1087</v>
      </c>
      <c r="E1096" s="7">
        <v>218</v>
      </c>
      <c r="F1096" s="7" t="s">
        <v>1923</v>
      </c>
      <c r="G1096" s="7">
        <v>872</v>
      </c>
      <c r="H1096" s="7" t="s">
        <v>1699</v>
      </c>
      <c r="I1096" s="37">
        <v>1426705</v>
      </c>
      <c r="J1096" s="122">
        <v>5.4185186140292996E-2</v>
      </c>
      <c r="K1096" s="123">
        <f t="shared" si="170"/>
        <v>1440872.1288686541</v>
      </c>
      <c r="L1096" s="122">
        <f>IF(K1099&gt;0, K1096/K1099, 0)</f>
        <v>5.4858369209402097E-2</v>
      </c>
      <c r="M1096" s="71"/>
      <c r="N1096" s="10">
        <f>ROUND(M1099*L1096,0)</f>
        <v>945015</v>
      </c>
      <c r="O1096" s="70">
        <v>917668</v>
      </c>
      <c r="P1096" s="10">
        <f>N1096-O1096</f>
        <v>27347</v>
      </c>
      <c r="Q1096" s="46">
        <f t="shared" si="169"/>
        <v>2.9800537885161082</v>
      </c>
      <c r="R1096" s="10">
        <v>89</v>
      </c>
      <c r="S1096" s="7">
        <f t="shared" si="162"/>
        <v>0</v>
      </c>
      <c r="T1096" s="124">
        <f t="shared" si="163"/>
        <v>218</v>
      </c>
      <c r="U1096" s="124">
        <f t="shared" si="164"/>
        <v>872</v>
      </c>
      <c r="V1096" s="124">
        <f t="shared" si="165"/>
        <v>1087</v>
      </c>
      <c r="W1096" s="124">
        <f t="shared" si="166"/>
        <v>88.175298809370005</v>
      </c>
      <c r="X1096" s="124">
        <f t="shared" si="167"/>
        <v>1440872.1288686541</v>
      </c>
      <c r="Y1096" s="264">
        <f t="shared" si="168"/>
        <v>1087</v>
      </c>
      <c r="Z1096" s="10">
        <v>218</v>
      </c>
      <c r="AA1096" s="7">
        <v>872</v>
      </c>
      <c r="AB1096" s="7">
        <v>1087</v>
      </c>
      <c r="AC1096" s="109">
        <v>88.175298809370005</v>
      </c>
      <c r="AD1096" s="109">
        <v>1440872.1288686541</v>
      </c>
      <c r="AE1096" s="125"/>
      <c r="AF1096" s="10"/>
      <c r="AI1096" s="109"/>
      <c r="AJ1096" s="109"/>
      <c r="AL1096" s="10"/>
      <c r="AO1096" s="109"/>
      <c r="AP1096" s="109"/>
      <c r="AR1096" s="10"/>
      <c r="AU1096" s="109"/>
      <c r="AV1096" s="109"/>
      <c r="AX1096" s="10"/>
      <c r="BA1096" s="109"/>
      <c r="BB1096" s="109"/>
      <c r="BD1096" s="10"/>
      <c r="BG1096" s="109"/>
      <c r="BH1096" s="109"/>
      <c r="BJ1096" s="10"/>
      <c r="BM1096" s="109"/>
      <c r="BN1096" s="109"/>
      <c r="BP1096" s="10"/>
      <c r="BS1096" s="109"/>
      <c r="BT1096" s="109"/>
      <c r="BV1096" s="10"/>
      <c r="BY1096" s="109"/>
      <c r="BZ1096" s="109"/>
      <c r="CB1096" s="10"/>
      <c r="CE1096" s="109"/>
      <c r="CF1096" s="109"/>
      <c r="CH1096" s="10"/>
      <c r="CK1096" s="109"/>
      <c r="CL1096" s="109"/>
    </row>
    <row r="1097" spans="1:90">
      <c r="A1097" s="7" t="str">
        <f t="shared" si="161"/>
        <v>02180910</v>
      </c>
      <c r="B1097" s="7" t="s">
        <v>2557</v>
      </c>
      <c r="C1097" s="7" t="s">
        <v>2778</v>
      </c>
      <c r="D1097" s="7">
        <v>1088</v>
      </c>
      <c r="E1097" s="7">
        <v>218</v>
      </c>
      <c r="F1097" s="7" t="s">
        <v>1923</v>
      </c>
      <c r="G1097" s="7">
        <v>910</v>
      </c>
      <c r="H1097" s="7" t="s">
        <v>1705</v>
      </c>
      <c r="I1097" s="37">
        <v>229822</v>
      </c>
      <c r="J1097" s="122">
        <v>8.7284672368390225E-3</v>
      </c>
      <c r="K1097" s="123">
        <f t="shared" si="170"/>
        <v>218639.8454051748</v>
      </c>
      <c r="L1097" s="122">
        <f>IF(K1099&gt;0, K1097/K1099, 0)</f>
        <v>8.3242816089039891E-3</v>
      </c>
      <c r="M1097" s="71"/>
      <c r="N1097" s="10">
        <f>ROUND(M1099*L1097,0)</f>
        <v>143398</v>
      </c>
      <c r="O1097" s="70">
        <v>147823</v>
      </c>
      <c r="P1097" s="10">
        <f>N1097-O1097</f>
        <v>-4425</v>
      </c>
      <c r="Q1097" s="46">
        <f t="shared" si="169"/>
        <v>-2.9934448631133179</v>
      </c>
      <c r="R1097" s="10">
        <v>15</v>
      </c>
      <c r="S1097" s="7">
        <f t="shared" si="162"/>
        <v>0</v>
      </c>
      <c r="T1097" s="124">
        <f t="shared" si="163"/>
        <v>218</v>
      </c>
      <c r="U1097" s="124">
        <f t="shared" si="164"/>
        <v>910</v>
      </c>
      <c r="V1097" s="124">
        <f t="shared" si="165"/>
        <v>1088</v>
      </c>
      <c r="W1097" s="124">
        <f t="shared" si="166"/>
        <v>13.999999998239998</v>
      </c>
      <c r="X1097" s="124">
        <f t="shared" si="167"/>
        <v>218639.8454051748</v>
      </c>
      <c r="Y1097" s="264">
        <f t="shared" si="168"/>
        <v>1088</v>
      </c>
      <c r="Z1097" s="10">
        <v>218</v>
      </c>
      <c r="AA1097" s="7">
        <v>910</v>
      </c>
      <c r="AB1097" s="7">
        <v>1088</v>
      </c>
      <c r="AC1097" s="109">
        <v>13.999999998239998</v>
      </c>
      <c r="AD1097" s="109">
        <v>218639.8454051748</v>
      </c>
      <c r="AE1097" s="125"/>
      <c r="AF1097" s="10"/>
      <c r="AI1097" s="109"/>
      <c r="AJ1097" s="109"/>
      <c r="AL1097" s="10"/>
      <c r="AO1097" s="109"/>
      <c r="AP1097" s="109"/>
      <c r="AR1097" s="10"/>
      <c r="AU1097" s="109"/>
      <c r="AV1097" s="109"/>
      <c r="AX1097" s="10"/>
      <c r="BA1097" s="109"/>
      <c r="BB1097" s="109"/>
      <c r="BD1097" s="10"/>
      <c r="BG1097" s="109"/>
      <c r="BH1097" s="109"/>
      <c r="BJ1097" s="10"/>
      <c r="BM1097" s="109"/>
      <c r="BN1097" s="109"/>
      <c r="BP1097" s="10"/>
      <c r="BS1097" s="109"/>
      <c r="BT1097" s="109"/>
      <c r="BV1097" s="10"/>
      <c r="BY1097" s="109"/>
      <c r="BZ1097" s="109"/>
      <c r="CB1097" s="10"/>
      <c r="CE1097" s="109"/>
      <c r="CF1097" s="109"/>
      <c r="CH1097" s="10"/>
      <c r="CK1097" s="109"/>
      <c r="CL1097" s="109"/>
    </row>
    <row r="1098" spans="1:90">
      <c r="A1098" s="7" t="str">
        <f t="shared" ref="A1098:A1161" si="171">B1098&amp;C1098</f>
        <v>02180998</v>
      </c>
      <c r="B1098" s="7" t="s">
        <v>2557</v>
      </c>
      <c r="C1098" s="7" t="s">
        <v>2781</v>
      </c>
      <c r="D1098" s="7">
        <v>1089</v>
      </c>
      <c r="E1098" s="7">
        <v>218</v>
      </c>
      <c r="F1098" s="7" t="s">
        <v>2135</v>
      </c>
      <c r="G1098" s="7">
        <v>998</v>
      </c>
      <c r="H1098" s="7" t="s">
        <v>2135</v>
      </c>
      <c r="I1098" s="37">
        <v>0</v>
      </c>
      <c r="J1098" s="122">
        <v>0</v>
      </c>
      <c r="K1098" s="123">
        <f t="shared" si="170"/>
        <v>0</v>
      </c>
      <c r="L1098" s="122">
        <f>IF(K1099&gt;0, K1098/K1099, 0)</f>
        <v>0</v>
      </c>
      <c r="M1098" s="71"/>
      <c r="N1098" s="10">
        <f>ROUND(M1099*L1098,0)</f>
        <v>0</v>
      </c>
      <c r="O1098" s="70">
        <v>0</v>
      </c>
      <c r="P1098" s="10">
        <f>N1098-O1098</f>
        <v>0</v>
      </c>
      <c r="Q1098" s="46">
        <f t="shared" si="169"/>
        <v>0</v>
      </c>
      <c r="R1098" s="10">
        <v>0</v>
      </c>
      <c r="S1098" s="7">
        <f t="shared" ref="S1098:S1161" si="172">ABS(T1098-E1098)+ABS(U1098-G1098)</f>
        <v>0</v>
      </c>
      <c r="T1098" s="124">
        <f t="shared" ref="T1098:T1161" si="173">VLOOKUP($D1098, foundoptions, VLOOKUP($T$6, foundoptcell, 2, FALSE), FALSE)</f>
        <v>218</v>
      </c>
      <c r="U1098" s="124">
        <f t="shared" ref="U1098:U1161" si="174">VLOOKUP($D1098, foundoptions, VLOOKUP($T$6, foundoptcell, 2, FALSE)+1, FALSE)</f>
        <v>998</v>
      </c>
      <c r="V1098" s="124">
        <f t="shared" ref="V1098:V1161" si="175">VLOOKUP($D1098, foundoptions, VLOOKUP($T$6, foundoptcell, 2, FALSE)+2, FALSE)</f>
        <v>1089</v>
      </c>
      <c r="W1098" s="124">
        <f t="shared" ref="W1098:W1161" si="176">VLOOKUP($D1098, foundoptions, VLOOKUP($T$6, foundoptcell, 2, FALSE)+3, FALSE)</f>
        <v>0</v>
      </c>
      <c r="X1098" s="124">
        <f t="shared" ref="X1098:X1161" si="177">VLOOKUP($D1098, foundoptions, VLOOKUP($T$6, foundoptcell, 2, FALSE)+4, FALSE)</f>
        <v>0</v>
      </c>
      <c r="Y1098" s="264">
        <f t="shared" si="168"/>
        <v>1089</v>
      </c>
      <c r="Z1098" s="10">
        <v>218</v>
      </c>
      <c r="AA1098" s="7">
        <v>998</v>
      </c>
      <c r="AB1098" s="7">
        <v>1089</v>
      </c>
      <c r="AC1098" s="109">
        <v>0</v>
      </c>
      <c r="AD1098" s="109">
        <v>0</v>
      </c>
      <c r="AE1098" s="125"/>
      <c r="AF1098" s="10"/>
      <c r="AI1098" s="109"/>
      <c r="AJ1098" s="109"/>
      <c r="AL1098" s="10"/>
      <c r="AO1098" s="109"/>
      <c r="AP1098" s="109"/>
      <c r="AR1098" s="10"/>
      <c r="AU1098" s="109"/>
      <c r="AV1098" s="109"/>
      <c r="AX1098" s="10"/>
      <c r="BA1098" s="109"/>
      <c r="BB1098" s="109"/>
      <c r="BD1098" s="10"/>
      <c r="BG1098" s="109"/>
      <c r="BH1098" s="109"/>
      <c r="BJ1098" s="10"/>
      <c r="BM1098" s="109"/>
      <c r="BN1098" s="109"/>
      <c r="BP1098" s="10"/>
      <c r="BS1098" s="109"/>
      <c r="BT1098" s="109"/>
      <c r="BV1098" s="10"/>
      <c r="BY1098" s="109"/>
      <c r="BZ1098" s="109"/>
      <c r="CB1098" s="10"/>
      <c r="CE1098" s="109"/>
      <c r="CF1098" s="109"/>
      <c r="CH1098" s="10"/>
      <c r="CK1098" s="109"/>
      <c r="CL1098" s="109"/>
    </row>
    <row r="1099" spans="1:90">
      <c r="A1099" s="7" t="str">
        <f t="shared" si="171"/>
        <v>02180999</v>
      </c>
      <c r="B1099" s="7" t="s">
        <v>2557</v>
      </c>
      <c r="C1099" s="7" t="s">
        <v>2782</v>
      </c>
      <c r="D1099" s="7">
        <v>1090</v>
      </c>
      <c r="E1099" s="11">
        <v>218</v>
      </c>
      <c r="F1099" s="11" t="s">
        <v>1923</v>
      </c>
      <c r="G1099" s="11">
        <v>999</v>
      </c>
      <c r="H1099" s="11" t="s">
        <v>1132</v>
      </c>
      <c r="I1099" s="105">
        <v>26330167</v>
      </c>
      <c r="J1099" s="126">
        <v>1</v>
      </c>
      <c r="K1099" s="127">
        <f>SUM(K1095:K1098)</f>
        <v>26265311.011500232</v>
      </c>
      <c r="L1099" s="126">
        <f>SUM(L1095:L1098)</f>
        <v>1</v>
      </c>
      <c r="M1099" s="105">
        <f>VLOOKUP(E1099,town351,22)</f>
        <v>17226442</v>
      </c>
      <c r="N1099" s="105">
        <f>SUM(N1095:N1098)</f>
        <v>17226443</v>
      </c>
      <c r="O1099" s="128">
        <v>16935779</v>
      </c>
      <c r="P1099" s="105">
        <f>SUM(P1095:P1098)</f>
        <v>290664</v>
      </c>
      <c r="Q1099" s="45">
        <f t="shared" si="169"/>
        <v>1.7162718053890524</v>
      </c>
      <c r="R1099" s="105">
        <v>2687</v>
      </c>
      <c r="S1099" s="7">
        <f t="shared" si="172"/>
        <v>0</v>
      </c>
      <c r="T1099" s="124">
        <f t="shared" si="173"/>
        <v>218</v>
      </c>
      <c r="U1099" s="124">
        <f t="shared" si="174"/>
        <v>999</v>
      </c>
      <c r="V1099" s="124">
        <f t="shared" si="175"/>
        <v>1090</v>
      </c>
      <c r="W1099" s="124">
        <f t="shared" si="176"/>
        <v>2619.17529880761</v>
      </c>
      <c r="X1099" s="124">
        <f t="shared" si="177"/>
        <v>26265311.011500232</v>
      </c>
      <c r="Y1099" s="264">
        <f t="shared" ref="Y1099:Y1162" si="178">D1099</f>
        <v>1090</v>
      </c>
      <c r="Z1099" s="10">
        <v>218</v>
      </c>
      <c r="AA1099" s="7">
        <v>999</v>
      </c>
      <c r="AB1099" s="7">
        <v>1090</v>
      </c>
      <c r="AC1099" s="109">
        <v>2619.17529880761</v>
      </c>
      <c r="AD1099" s="109">
        <v>26265311.011500232</v>
      </c>
      <c r="AE1099" s="125"/>
      <c r="AF1099" s="10"/>
      <c r="AI1099" s="109"/>
      <c r="AJ1099" s="109"/>
      <c r="AL1099" s="10"/>
      <c r="AO1099" s="109"/>
      <c r="AP1099" s="109"/>
      <c r="AR1099" s="10"/>
      <c r="AU1099" s="109"/>
      <c r="AV1099" s="109"/>
      <c r="AX1099" s="10"/>
      <c r="BA1099" s="109"/>
      <c r="BB1099" s="109"/>
      <c r="BD1099" s="10"/>
      <c r="BG1099" s="109"/>
      <c r="BH1099" s="109"/>
      <c r="BJ1099" s="10"/>
      <c r="BM1099" s="109"/>
      <c r="BN1099" s="109"/>
      <c r="BP1099" s="10"/>
      <c r="BS1099" s="109"/>
      <c r="BT1099" s="109"/>
      <c r="BV1099" s="10"/>
      <c r="BY1099" s="109"/>
      <c r="BZ1099" s="109"/>
      <c r="CB1099" s="10"/>
      <c r="CE1099" s="109"/>
      <c r="CF1099" s="109"/>
      <c r="CH1099" s="10"/>
      <c r="CK1099" s="109"/>
      <c r="CL1099" s="109"/>
    </row>
    <row r="1100" spans="1:90">
      <c r="A1100" s="7" t="str">
        <f t="shared" si="171"/>
        <v>02190219</v>
      </c>
      <c r="B1100" s="7" t="s">
        <v>2558</v>
      </c>
      <c r="C1100" s="7" t="s">
        <v>2558</v>
      </c>
      <c r="D1100" s="7">
        <v>1091</v>
      </c>
      <c r="E1100" s="7">
        <v>219</v>
      </c>
      <c r="F1100" s="7" t="s">
        <v>1924</v>
      </c>
      <c r="G1100" s="7">
        <v>219</v>
      </c>
      <c r="H1100" s="7" t="s">
        <v>1485</v>
      </c>
      <c r="I1100" s="37">
        <v>20258808.089429993</v>
      </c>
      <c r="J1100" s="122">
        <v>0.98842653246279422</v>
      </c>
      <c r="K1100" s="123">
        <f>X1100</f>
        <v>20701123.007093545</v>
      </c>
      <c r="L1100" s="122">
        <f>IF(K1104&gt;0, K1100/K1104, 0)</f>
        <v>0.98835078743675664</v>
      </c>
      <c r="M1100" s="71"/>
      <c r="N1100" s="10">
        <f>ROUND(M1104*L1100,0)</f>
        <v>17167966</v>
      </c>
      <c r="O1100" s="70">
        <v>16921990</v>
      </c>
      <c r="P1100" s="10">
        <f>N1100-O1100</f>
        <v>245976</v>
      </c>
      <c r="Q1100" s="46">
        <f t="shared" si="169"/>
        <v>1.4535879054413814</v>
      </c>
      <c r="R1100" s="10">
        <v>2151</v>
      </c>
      <c r="S1100" s="7">
        <f t="shared" si="172"/>
        <v>0</v>
      </c>
      <c r="T1100" s="124">
        <f t="shared" si="173"/>
        <v>219</v>
      </c>
      <c r="U1100" s="124">
        <f t="shared" si="174"/>
        <v>219</v>
      </c>
      <c r="V1100" s="124">
        <f t="shared" si="175"/>
        <v>1091</v>
      </c>
      <c r="W1100" s="124">
        <f t="shared" si="176"/>
        <v>2145</v>
      </c>
      <c r="X1100" s="124">
        <f t="shared" si="177"/>
        <v>20701123.007093545</v>
      </c>
      <c r="Y1100" s="264">
        <f t="shared" si="178"/>
        <v>1091</v>
      </c>
      <c r="Z1100" s="10">
        <v>219</v>
      </c>
      <c r="AA1100" s="7">
        <v>219</v>
      </c>
      <c r="AB1100" s="7">
        <v>1091</v>
      </c>
      <c r="AC1100" s="109">
        <v>2145</v>
      </c>
      <c r="AD1100" s="109">
        <v>20701123.007093545</v>
      </c>
      <c r="AE1100" s="125"/>
      <c r="AF1100" s="10"/>
      <c r="AI1100" s="109"/>
      <c r="AJ1100" s="109"/>
      <c r="AL1100" s="10"/>
      <c r="AO1100" s="109"/>
      <c r="AP1100" s="109"/>
      <c r="AR1100" s="10"/>
      <c r="AU1100" s="109"/>
      <c r="AV1100" s="109"/>
      <c r="AX1100" s="10"/>
      <c r="BA1100" s="109"/>
      <c r="BB1100" s="109"/>
      <c r="BD1100" s="10"/>
      <c r="BG1100" s="109"/>
      <c r="BH1100" s="109"/>
      <c r="BJ1100" s="10"/>
      <c r="BM1100" s="109"/>
      <c r="BN1100" s="109"/>
      <c r="BP1100" s="10"/>
      <c r="BS1100" s="109"/>
      <c r="BT1100" s="109"/>
      <c r="BV1100" s="10"/>
      <c r="BY1100" s="109"/>
      <c r="BZ1100" s="109"/>
      <c r="CB1100" s="10"/>
      <c r="CE1100" s="109"/>
      <c r="CF1100" s="109"/>
      <c r="CH1100" s="10"/>
      <c r="CK1100" s="109"/>
      <c r="CL1100" s="109"/>
    </row>
    <row r="1101" spans="1:90">
      <c r="A1101" s="7" t="str">
        <f t="shared" si="171"/>
        <v>02190873</v>
      </c>
      <c r="B1101" s="7" t="s">
        <v>2558</v>
      </c>
      <c r="C1101" s="7" t="s">
        <v>2773</v>
      </c>
      <c r="D1101" s="7">
        <v>1092</v>
      </c>
      <c r="E1101" s="7">
        <v>219</v>
      </c>
      <c r="F1101" s="7" t="s">
        <v>1924</v>
      </c>
      <c r="G1101" s="7">
        <v>873</v>
      </c>
      <c r="H1101" s="7" t="s">
        <v>1700</v>
      </c>
      <c r="I1101" s="37">
        <v>237210</v>
      </c>
      <c r="J1101" s="122">
        <v>1.1573467537205758E-2</v>
      </c>
      <c r="K1101" s="123">
        <f t="shared" si="170"/>
        <v>243994.12159411234</v>
      </c>
      <c r="L1101" s="122">
        <f>IF(K1104&gt;0, K1101/K1104, 0)</f>
        <v>1.1649212563243378E-2</v>
      </c>
      <c r="M1101" s="71"/>
      <c r="N1101" s="10">
        <f>ROUND(M1104*L1101,0)</f>
        <v>202351</v>
      </c>
      <c r="O1101" s="70">
        <v>198139</v>
      </c>
      <c r="P1101" s="10">
        <f>N1101-O1101</f>
        <v>4212</v>
      </c>
      <c r="Q1101" s="46">
        <f t="shared" si="169"/>
        <v>2.1257803864963485</v>
      </c>
      <c r="R1101" s="10">
        <v>15</v>
      </c>
      <c r="S1101" s="7">
        <f t="shared" si="172"/>
        <v>0</v>
      </c>
      <c r="T1101" s="124">
        <f t="shared" si="173"/>
        <v>219</v>
      </c>
      <c r="U1101" s="124">
        <f t="shared" si="174"/>
        <v>873</v>
      </c>
      <c r="V1101" s="124">
        <f t="shared" si="175"/>
        <v>1092</v>
      </c>
      <c r="W1101" s="124">
        <f t="shared" si="176"/>
        <v>15.0000000018</v>
      </c>
      <c r="X1101" s="124">
        <f t="shared" si="177"/>
        <v>243994.12159411234</v>
      </c>
      <c r="Y1101" s="264">
        <f t="shared" si="178"/>
        <v>1092</v>
      </c>
      <c r="Z1101" s="10">
        <v>219</v>
      </c>
      <c r="AA1101" s="7">
        <v>873</v>
      </c>
      <c r="AB1101" s="7">
        <v>1092</v>
      </c>
      <c r="AC1101" s="109">
        <v>15.0000000018</v>
      </c>
      <c r="AD1101" s="109">
        <v>243994.12159411234</v>
      </c>
      <c r="AE1101" s="125"/>
      <c r="AF1101" s="10"/>
      <c r="AI1101" s="109"/>
      <c r="AJ1101" s="109"/>
      <c r="AL1101" s="10"/>
      <c r="AO1101" s="109"/>
      <c r="AP1101" s="109"/>
      <c r="AR1101" s="10"/>
      <c r="AU1101" s="109"/>
      <c r="AV1101" s="109"/>
      <c r="AX1101" s="10"/>
      <c r="BA1101" s="109"/>
      <c r="BB1101" s="109"/>
      <c r="BD1101" s="10"/>
      <c r="BG1101" s="109"/>
      <c r="BH1101" s="109"/>
      <c r="BJ1101" s="10"/>
      <c r="BM1101" s="109"/>
      <c r="BN1101" s="109"/>
      <c r="BP1101" s="10"/>
      <c r="BS1101" s="109"/>
      <c r="BT1101" s="109"/>
      <c r="BV1101" s="10"/>
      <c r="BY1101" s="109"/>
      <c r="BZ1101" s="109"/>
      <c r="CB1101" s="10"/>
      <c r="CE1101" s="109"/>
      <c r="CF1101" s="109"/>
      <c r="CH1101" s="10"/>
      <c r="CK1101" s="109"/>
      <c r="CL1101" s="109"/>
    </row>
    <row r="1102" spans="1:90">
      <c r="A1102" s="7" t="str">
        <f t="shared" si="171"/>
        <v>02190998</v>
      </c>
      <c r="B1102" s="7" t="s">
        <v>2558</v>
      </c>
      <c r="C1102" s="7" t="s">
        <v>2781</v>
      </c>
      <c r="D1102" s="7">
        <v>1093</v>
      </c>
      <c r="E1102" s="7">
        <v>219</v>
      </c>
      <c r="F1102" s="7" t="s">
        <v>2135</v>
      </c>
      <c r="G1102" s="7">
        <v>998</v>
      </c>
      <c r="H1102" s="7" t="s">
        <v>2135</v>
      </c>
      <c r="I1102" s="37">
        <v>0</v>
      </c>
      <c r="J1102" s="122">
        <v>0</v>
      </c>
      <c r="K1102" s="123">
        <f t="shared" si="170"/>
        <v>0</v>
      </c>
      <c r="L1102" s="122">
        <f>IF(K1104&gt;0, K1102/K1104, 0)</f>
        <v>0</v>
      </c>
      <c r="M1102" s="71"/>
      <c r="N1102" s="10">
        <f>ROUND(M1104*L1102,0)</f>
        <v>0</v>
      </c>
      <c r="O1102" s="70">
        <v>0</v>
      </c>
      <c r="P1102" s="10">
        <f>N1102-O1102</f>
        <v>0</v>
      </c>
      <c r="Q1102" s="46">
        <f t="shared" si="169"/>
        <v>0</v>
      </c>
      <c r="R1102" s="10">
        <v>0</v>
      </c>
      <c r="S1102" s="7">
        <f t="shared" si="172"/>
        <v>0</v>
      </c>
      <c r="T1102" s="124">
        <f t="shared" si="173"/>
        <v>219</v>
      </c>
      <c r="U1102" s="124">
        <f t="shared" si="174"/>
        <v>998</v>
      </c>
      <c r="V1102" s="124">
        <f t="shared" si="175"/>
        <v>1093</v>
      </c>
      <c r="W1102" s="124">
        <f t="shared" si="176"/>
        <v>0</v>
      </c>
      <c r="X1102" s="124">
        <f t="shared" si="177"/>
        <v>0</v>
      </c>
      <c r="Y1102" s="264">
        <f t="shared" si="178"/>
        <v>1093</v>
      </c>
      <c r="Z1102" s="10">
        <v>219</v>
      </c>
      <c r="AA1102" s="7">
        <v>998</v>
      </c>
      <c r="AB1102" s="7">
        <v>1093</v>
      </c>
      <c r="AC1102" s="109">
        <v>0</v>
      </c>
      <c r="AD1102" s="109">
        <v>0</v>
      </c>
      <c r="AE1102" s="125"/>
      <c r="AF1102" s="10"/>
      <c r="AI1102" s="109"/>
      <c r="AJ1102" s="109"/>
      <c r="AL1102" s="10"/>
      <c r="AO1102" s="109"/>
      <c r="AP1102" s="109"/>
      <c r="AR1102" s="10"/>
      <c r="AU1102" s="109"/>
      <c r="AV1102" s="109"/>
      <c r="AX1102" s="10"/>
      <c r="BA1102" s="109"/>
      <c r="BB1102" s="109"/>
      <c r="BD1102" s="10"/>
      <c r="BG1102" s="109"/>
      <c r="BH1102" s="109"/>
      <c r="BJ1102" s="10"/>
      <c r="BM1102" s="109"/>
      <c r="BN1102" s="109"/>
      <c r="BP1102" s="10"/>
      <c r="BS1102" s="109"/>
      <c r="BT1102" s="109"/>
      <c r="BV1102" s="10"/>
      <c r="BY1102" s="109"/>
      <c r="BZ1102" s="109"/>
      <c r="CB1102" s="10"/>
      <c r="CE1102" s="109"/>
      <c r="CF1102" s="109"/>
      <c r="CH1102" s="10"/>
      <c r="CK1102" s="109"/>
      <c r="CL1102" s="109"/>
    </row>
    <row r="1103" spans="1:90">
      <c r="A1103" s="7" t="str">
        <f t="shared" si="171"/>
        <v>02190998</v>
      </c>
      <c r="B1103" s="7" t="s">
        <v>2558</v>
      </c>
      <c r="C1103" s="7" t="s">
        <v>2781</v>
      </c>
      <c r="D1103" s="7">
        <v>1094</v>
      </c>
      <c r="E1103" s="7">
        <v>219</v>
      </c>
      <c r="F1103" s="7" t="s">
        <v>2135</v>
      </c>
      <c r="G1103" s="7">
        <v>998</v>
      </c>
      <c r="H1103" s="7" t="s">
        <v>2135</v>
      </c>
      <c r="I1103" s="37">
        <v>0</v>
      </c>
      <c r="J1103" s="122">
        <v>0</v>
      </c>
      <c r="K1103" s="123">
        <f t="shared" si="170"/>
        <v>0</v>
      </c>
      <c r="L1103" s="122">
        <f>IF(K1104&gt;0, K1103/K1104, 0)</f>
        <v>0</v>
      </c>
      <c r="M1103" s="71"/>
      <c r="N1103" s="10">
        <f>ROUND(M1104*L1103,0)</f>
        <v>0</v>
      </c>
      <c r="O1103" s="70">
        <v>0</v>
      </c>
      <c r="P1103" s="10">
        <f>N1103-O1103</f>
        <v>0</v>
      </c>
      <c r="Q1103" s="46">
        <f t="shared" si="169"/>
        <v>0</v>
      </c>
      <c r="R1103" s="10">
        <v>0</v>
      </c>
      <c r="S1103" s="7">
        <f t="shared" si="172"/>
        <v>0</v>
      </c>
      <c r="T1103" s="124">
        <f t="shared" si="173"/>
        <v>219</v>
      </c>
      <c r="U1103" s="124">
        <f t="shared" si="174"/>
        <v>998</v>
      </c>
      <c r="V1103" s="124">
        <f t="shared" si="175"/>
        <v>1094</v>
      </c>
      <c r="W1103" s="124">
        <f t="shared" si="176"/>
        <v>0</v>
      </c>
      <c r="X1103" s="124">
        <f t="shared" si="177"/>
        <v>0</v>
      </c>
      <c r="Y1103" s="264">
        <f t="shared" si="178"/>
        <v>1094</v>
      </c>
      <c r="Z1103" s="10">
        <v>219</v>
      </c>
      <c r="AA1103" s="7">
        <v>998</v>
      </c>
      <c r="AB1103" s="7">
        <v>1094</v>
      </c>
      <c r="AC1103" s="109">
        <v>0</v>
      </c>
      <c r="AD1103" s="109">
        <v>0</v>
      </c>
      <c r="AE1103" s="125"/>
      <c r="AF1103" s="10"/>
      <c r="AI1103" s="109"/>
      <c r="AJ1103" s="109"/>
      <c r="AL1103" s="10"/>
      <c r="AO1103" s="109"/>
      <c r="AP1103" s="109"/>
      <c r="AR1103" s="10"/>
      <c r="AU1103" s="109"/>
      <c r="AV1103" s="109"/>
      <c r="AX1103" s="10"/>
      <c r="BA1103" s="109"/>
      <c r="BB1103" s="109"/>
      <c r="BD1103" s="10"/>
      <c r="BG1103" s="109"/>
      <c r="BH1103" s="109"/>
      <c r="BJ1103" s="10"/>
      <c r="BM1103" s="109"/>
      <c r="BN1103" s="109"/>
      <c r="BP1103" s="10"/>
      <c r="BS1103" s="109"/>
      <c r="BT1103" s="109"/>
      <c r="BV1103" s="10"/>
      <c r="BY1103" s="109"/>
      <c r="BZ1103" s="109"/>
      <c r="CB1103" s="10"/>
      <c r="CE1103" s="109"/>
      <c r="CF1103" s="109"/>
      <c r="CH1103" s="10"/>
      <c r="CK1103" s="109"/>
      <c r="CL1103" s="109"/>
    </row>
    <row r="1104" spans="1:90">
      <c r="A1104" s="7" t="str">
        <f t="shared" si="171"/>
        <v>02190999</v>
      </c>
      <c r="B1104" s="7" t="s">
        <v>2558</v>
      </c>
      <c r="C1104" s="7" t="s">
        <v>2782</v>
      </c>
      <c r="D1104" s="7">
        <v>1095</v>
      </c>
      <c r="E1104" s="11">
        <v>219</v>
      </c>
      <c r="F1104" s="11" t="s">
        <v>1924</v>
      </c>
      <c r="G1104" s="11">
        <v>999</v>
      </c>
      <c r="H1104" s="11" t="s">
        <v>1132</v>
      </c>
      <c r="I1104" s="105">
        <v>20496018.089429993</v>
      </c>
      <c r="J1104" s="126">
        <v>1</v>
      </c>
      <c r="K1104" s="127">
        <f>SUM(K1100:K1103)</f>
        <v>20945117.128687657</v>
      </c>
      <c r="L1104" s="126">
        <f>SUM(L1100:L1103)</f>
        <v>1</v>
      </c>
      <c r="M1104" s="105">
        <f>VLOOKUP(E1104,town351,22)</f>
        <v>17370317</v>
      </c>
      <c r="N1104" s="105">
        <f>SUM(N1100:N1103)</f>
        <v>17370317</v>
      </c>
      <c r="O1104" s="128">
        <v>17120129</v>
      </c>
      <c r="P1104" s="105">
        <f>SUM(P1100:P1103)</f>
        <v>250188</v>
      </c>
      <c r="Q1104" s="45">
        <f t="shared" ref="Q1104:Q1167" si="179">IF(O1104&gt;0,P1104*100/O1104,IF(P1104&gt;0,100,0))</f>
        <v>1.4613674932005478</v>
      </c>
      <c r="R1104" s="105">
        <v>2166</v>
      </c>
      <c r="S1104" s="7">
        <f t="shared" si="172"/>
        <v>0</v>
      </c>
      <c r="T1104" s="124">
        <f t="shared" si="173"/>
        <v>219</v>
      </c>
      <c r="U1104" s="124">
        <f t="shared" si="174"/>
        <v>999</v>
      </c>
      <c r="V1104" s="124">
        <f t="shared" si="175"/>
        <v>1095</v>
      </c>
      <c r="W1104" s="124">
        <f t="shared" si="176"/>
        <v>2160.0000000017999</v>
      </c>
      <c r="X1104" s="124">
        <f t="shared" si="177"/>
        <v>20945117.128687657</v>
      </c>
      <c r="Y1104" s="264">
        <f t="shared" si="178"/>
        <v>1095</v>
      </c>
      <c r="Z1104" s="10">
        <v>219</v>
      </c>
      <c r="AA1104" s="7">
        <v>999</v>
      </c>
      <c r="AB1104" s="7">
        <v>1095</v>
      </c>
      <c r="AC1104" s="109">
        <v>2160.0000000017999</v>
      </c>
      <c r="AD1104" s="109">
        <v>20945117.128687657</v>
      </c>
      <c r="AE1104" s="125"/>
      <c r="AF1104" s="10"/>
      <c r="AI1104" s="109"/>
      <c r="AJ1104" s="109"/>
      <c r="AL1104" s="10"/>
      <c r="AO1104" s="109"/>
      <c r="AP1104" s="109"/>
      <c r="AR1104" s="10"/>
      <c r="AU1104" s="109"/>
      <c r="AV1104" s="109"/>
      <c r="AX1104" s="10"/>
      <c r="BA1104" s="109"/>
      <c r="BB1104" s="109"/>
      <c r="BD1104" s="10"/>
      <c r="BG1104" s="109"/>
      <c r="BH1104" s="109"/>
      <c r="BJ1104" s="10"/>
      <c r="BM1104" s="109"/>
      <c r="BN1104" s="109"/>
      <c r="BP1104" s="10"/>
      <c r="BS1104" s="109"/>
      <c r="BT1104" s="109"/>
      <c r="BV1104" s="10"/>
      <c r="BY1104" s="109"/>
      <c r="BZ1104" s="109"/>
      <c r="CB1104" s="10"/>
      <c r="CE1104" s="109"/>
      <c r="CF1104" s="109"/>
      <c r="CH1104" s="10"/>
      <c r="CK1104" s="109"/>
      <c r="CL1104" s="109"/>
    </row>
    <row r="1105" spans="1:90">
      <c r="A1105" s="7" t="str">
        <f t="shared" si="171"/>
        <v>02200220</v>
      </c>
      <c r="B1105" s="7" t="s">
        <v>2559</v>
      </c>
      <c r="C1105" s="7" t="s">
        <v>2559</v>
      </c>
      <c r="D1105" s="7">
        <v>1096</v>
      </c>
      <c r="E1105" s="7">
        <v>220</v>
      </c>
      <c r="F1105" s="7" t="s">
        <v>1925</v>
      </c>
      <c r="G1105" s="7">
        <v>220</v>
      </c>
      <c r="H1105" s="7" t="s">
        <v>1486</v>
      </c>
      <c r="I1105" s="37">
        <v>36087087.065760002</v>
      </c>
      <c r="J1105" s="122">
        <v>0.97211095894631749</v>
      </c>
      <c r="K1105" s="123">
        <f>X1105</f>
        <v>36598980.152771384</v>
      </c>
      <c r="L1105" s="122">
        <f>IF(K1109&gt;0, K1105/K1109, 0)</f>
        <v>0.97072733167561398</v>
      </c>
      <c r="M1105" s="71"/>
      <c r="N1105" s="10">
        <f>ROUND(M1109*L1105,0)</f>
        <v>30391526</v>
      </c>
      <c r="O1105" s="70">
        <v>30230754</v>
      </c>
      <c r="P1105" s="10">
        <f>N1105-O1105</f>
        <v>160772</v>
      </c>
      <c r="Q1105" s="46">
        <f t="shared" si="179"/>
        <v>0.53181604401927918</v>
      </c>
      <c r="R1105" s="10">
        <v>3470</v>
      </c>
      <c r="S1105" s="7">
        <f t="shared" si="172"/>
        <v>0</v>
      </c>
      <c r="T1105" s="124">
        <f t="shared" si="173"/>
        <v>220</v>
      </c>
      <c r="U1105" s="124">
        <f t="shared" si="174"/>
        <v>220</v>
      </c>
      <c r="V1105" s="124">
        <f t="shared" si="175"/>
        <v>1096</v>
      </c>
      <c r="W1105" s="124">
        <f t="shared" si="176"/>
        <v>3442</v>
      </c>
      <c r="X1105" s="124">
        <f t="shared" si="177"/>
        <v>36598980.152771384</v>
      </c>
      <c r="Y1105" s="264">
        <f t="shared" si="178"/>
        <v>1096</v>
      </c>
      <c r="Z1105" s="10">
        <v>220</v>
      </c>
      <c r="AA1105" s="7">
        <v>220</v>
      </c>
      <c r="AB1105" s="7">
        <v>1096</v>
      </c>
      <c r="AC1105" s="109">
        <v>3442</v>
      </c>
      <c r="AD1105" s="109">
        <v>36598980.152771384</v>
      </c>
      <c r="AE1105" s="125"/>
      <c r="AF1105" s="10"/>
      <c r="AI1105" s="109"/>
      <c r="AJ1105" s="109"/>
      <c r="AL1105" s="10"/>
      <c r="AO1105" s="109"/>
      <c r="AP1105" s="109"/>
      <c r="AR1105" s="10"/>
      <c r="AU1105" s="109"/>
      <c r="AV1105" s="109"/>
      <c r="AX1105" s="10"/>
      <c r="BA1105" s="109"/>
      <c r="BB1105" s="109"/>
      <c r="BD1105" s="10"/>
      <c r="BG1105" s="109"/>
      <c r="BH1105" s="109"/>
      <c r="BJ1105" s="10"/>
      <c r="BM1105" s="109"/>
      <c r="BN1105" s="109"/>
      <c r="BP1105" s="10"/>
      <c r="BS1105" s="109"/>
      <c r="BT1105" s="109"/>
      <c r="BV1105" s="10"/>
      <c r="BY1105" s="109"/>
      <c r="BZ1105" s="109"/>
      <c r="CB1105" s="10"/>
      <c r="CE1105" s="109"/>
      <c r="CF1105" s="109"/>
      <c r="CH1105" s="10"/>
      <c r="CK1105" s="109"/>
      <c r="CL1105" s="109"/>
    </row>
    <row r="1106" spans="1:90">
      <c r="A1106" s="7" t="str">
        <f t="shared" si="171"/>
        <v>02200806</v>
      </c>
      <c r="B1106" s="7" t="s">
        <v>2559</v>
      </c>
      <c r="C1106" s="7" t="s">
        <v>2754</v>
      </c>
      <c r="D1106" s="7">
        <v>1097</v>
      </c>
      <c r="E1106" s="7">
        <v>220</v>
      </c>
      <c r="F1106" s="7" t="s">
        <v>1925</v>
      </c>
      <c r="G1106" s="7">
        <v>806</v>
      </c>
      <c r="H1106" s="7" t="s">
        <v>1681</v>
      </c>
      <c r="I1106" s="37">
        <v>857798</v>
      </c>
      <c r="J1106" s="122">
        <v>2.3107291393253709E-2</v>
      </c>
      <c r="K1106" s="123">
        <f t="shared" si="170"/>
        <v>922461.5151983106</v>
      </c>
      <c r="L1106" s="122">
        <f>IF(K1109&gt;0, K1106/K1109, 0)</f>
        <v>2.4466763868394106E-2</v>
      </c>
      <c r="M1106" s="71"/>
      <c r="N1106" s="10">
        <f>ROUND(M1109*L1106,0)</f>
        <v>766005</v>
      </c>
      <c r="O1106" s="70">
        <v>718592</v>
      </c>
      <c r="P1106" s="10">
        <f>N1106-O1106</f>
        <v>47413</v>
      </c>
      <c r="Q1106" s="46">
        <f t="shared" si="179"/>
        <v>6.5980417260420374</v>
      </c>
      <c r="R1106" s="10">
        <v>53</v>
      </c>
      <c r="S1106" s="7">
        <f t="shared" si="172"/>
        <v>0</v>
      </c>
      <c r="T1106" s="124">
        <f t="shared" si="173"/>
        <v>220</v>
      </c>
      <c r="U1106" s="124">
        <f t="shared" si="174"/>
        <v>806</v>
      </c>
      <c r="V1106" s="124">
        <f t="shared" si="175"/>
        <v>1097</v>
      </c>
      <c r="W1106" s="124">
        <f t="shared" si="176"/>
        <v>56.000000001269996</v>
      </c>
      <c r="X1106" s="124">
        <f t="shared" si="177"/>
        <v>922461.5151983106</v>
      </c>
      <c r="Y1106" s="264">
        <f t="shared" si="178"/>
        <v>1097</v>
      </c>
      <c r="Z1106" s="10">
        <v>220</v>
      </c>
      <c r="AA1106" s="7">
        <v>806</v>
      </c>
      <c r="AB1106" s="7">
        <v>1097</v>
      </c>
      <c r="AC1106" s="109">
        <v>56.000000001269996</v>
      </c>
      <c r="AD1106" s="109">
        <v>922461.5151983106</v>
      </c>
      <c r="AE1106" s="125"/>
      <c r="AF1106" s="10"/>
      <c r="AI1106" s="109"/>
      <c r="AJ1106" s="109"/>
      <c r="AL1106" s="10"/>
      <c r="AO1106" s="109"/>
      <c r="AP1106" s="109"/>
      <c r="AR1106" s="10"/>
      <c r="AU1106" s="109"/>
      <c r="AV1106" s="109"/>
      <c r="AX1106" s="10"/>
      <c r="BA1106" s="109"/>
      <c r="BB1106" s="109"/>
      <c r="BD1106" s="10"/>
      <c r="BG1106" s="109"/>
      <c r="BH1106" s="109"/>
      <c r="BJ1106" s="10"/>
      <c r="BM1106" s="109"/>
      <c r="BN1106" s="109"/>
      <c r="BP1106" s="10"/>
      <c r="BS1106" s="109"/>
      <c r="BT1106" s="109"/>
      <c r="BV1106" s="10"/>
      <c r="BY1106" s="109"/>
      <c r="BZ1106" s="109"/>
      <c r="CB1106" s="10"/>
      <c r="CE1106" s="109"/>
      <c r="CF1106" s="109"/>
      <c r="CH1106" s="10"/>
      <c r="CK1106" s="109"/>
      <c r="CL1106" s="109"/>
    </row>
    <row r="1107" spans="1:90">
      <c r="A1107" s="7" t="str">
        <f t="shared" si="171"/>
        <v>02200915</v>
      </c>
      <c r="B1107" s="7" t="s">
        <v>2559</v>
      </c>
      <c r="C1107" s="7" t="s">
        <v>2779</v>
      </c>
      <c r="D1107" s="7">
        <v>1098</v>
      </c>
      <c r="E1107" s="7">
        <v>220</v>
      </c>
      <c r="F1107" s="7" t="s">
        <v>1925</v>
      </c>
      <c r="G1107" s="7">
        <v>915</v>
      </c>
      <c r="H1107" s="7" t="s">
        <v>1706</v>
      </c>
      <c r="I1107" s="37">
        <v>177510</v>
      </c>
      <c r="J1107" s="122">
        <v>4.781749660428756E-3</v>
      </c>
      <c r="K1107" s="123">
        <f t="shared" si="170"/>
        <v>181195.27086699803</v>
      </c>
      <c r="L1107" s="122">
        <f>IF(K1109&gt;0, K1107/K1109, 0)</f>
        <v>4.8059044559918456E-3</v>
      </c>
      <c r="M1107" s="71"/>
      <c r="N1107" s="10">
        <f>ROUND(M1109*L1107,0)</f>
        <v>150463</v>
      </c>
      <c r="O1107" s="70">
        <v>148703</v>
      </c>
      <c r="P1107" s="10">
        <f>N1107-O1107</f>
        <v>1760</v>
      </c>
      <c r="Q1107" s="46">
        <f t="shared" si="179"/>
        <v>1.1835672447765009</v>
      </c>
      <c r="R1107" s="10">
        <v>11</v>
      </c>
      <c r="S1107" s="7">
        <f t="shared" si="172"/>
        <v>0</v>
      </c>
      <c r="T1107" s="124">
        <f t="shared" si="173"/>
        <v>220</v>
      </c>
      <c r="U1107" s="124">
        <f t="shared" si="174"/>
        <v>915</v>
      </c>
      <c r="V1107" s="124">
        <f t="shared" si="175"/>
        <v>1098</v>
      </c>
      <c r="W1107" s="124">
        <f t="shared" si="176"/>
        <v>11.0000000007</v>
      </c>
      <c r="X1107" s="124">
        <f t="shared" si="177"/>
        <v>181195.27086699803</v>
      </c>
      <c r="Y1107" s="264">
        <f t="shared" si="178"/>
        <v>1098</v>
      </c>
      <c r="Z1107" s="10">
        <v>220</v>
      </c>
      <c r="AA1107" s="7">
        <v>915</v>
      </c>
      <c r="AB1107" s="7">
        <v>1098</v>
      </c>
      <c r="AC1107" s="109">
        <v>11.0000000007</v>
      </c>
      <c r="AD1107" s="109">
        <v>181195.27086699803</v>
      </c>
      <c r="AE1107" s="125"/>
      <c r="AF1107" s="10"/>
      <c r="AI1107" s="109"/>
      <c r="AJ1107" s="109"/>
      <c r="AL1107" s="10"/>
      <c r="AO1107" s="109"/>
      <c r="AP1107" s="109"/>
      <c r="AR1107" s="10"/>
      <c r="AU1107" s="109"/>
      <c r="AV1107" s="109"/>
      <c r="AX1107" s="10"/>
      <c r="BA1107" s="109"/>
      <c r="BB1107" s="109"/>
      <c r="BD1107" s="10"/>
      <c r="BG1107" s="109"/>
      <c r="BH1107" s="109"/>
      <c r="BJ1107" s="10"/>
      <c r="BM1107" s="109"/>
      <c r="BN1107" s="109"/>
      <c r="BP1107" s="10"/>
      <c r="BS1107" s="109"/>
      <c r="BT1107" s="109"/>
      <c r="BV1107" s="10"/>
      <c r="BY1107" s="109"/>
      <c r="BZ1107" s="109"/>
      <c r="CB1107" s="10"/>
      <c r="CE1107" s="109"/>
      <c r="CF1107" s="109"/>
      <c r="CH1107" s="10"/>
      <c r="CK1107" s="109"/>
      <c r="CL1107" s="109"/>
    </row>
    <row r="1108" spans="1:90">
      <c r="A1108" s="7" t="str">
        <f t="shared" si="171"/>
        <v>02200998</v>
      </c>
      <c r="B1108" s="7" t="s">
        <v>2559</v>
      </c>
      <c r="C1108" s="7" t="s">
        <v>2781</v>
      </c>
      <c r="D1108" s="7">
        <v>1099</v>
      </c>
      <c r="E1108" s="7">
        <v>220</v>
      </c>
      <c r="F1108" s="7" t="s">
        <v>2135</v>
      </c>
      <c r="G1108" s="7">
        <v>998</v>
      </c>
      <c r="H1108" s="7" t="s">
        <v>2135</v>
      </c>
      <c r="I1108" s="37">
        <v>0</v>
      </c>
      <c r="J1108" s="122">
        <v>0</v>
      </c>
      <c r="K1108" s="123">
        <f t="shared" si="170"/>
        <v>0</v>
      </c>
      <c r="L1108" s="122">
        <f>IF(K1109&gt;0, K1108/K1109, 0)</f>
        <v>0</v>
      </c>
      <c r="M1108" s="71"/>
      <c r="N1108" s="10">
        <f>ROUND(M1109*L1108,0)</f>
        <v>0</v>
      </c>
      <c r="O1108" s="70">
        <v>0</v>
      </c>
      <c r="P1108" s="10">
        <f>N1108-O1108</f>
        <v>0</v>
      </c>
      <c r="Q1108" s="46">
        <f t="shared" si="179"/>
        <v>0</v>
      </c>
      <c r="R1108" s="10">
        <v>0</v>
      </c>
      <c r="S1108" s="7">
        <f t="shared" si="172"/>
        <v>0</v>
      </c>
      <c r="T1108" s="124">
        <f t="shared" si="173"/>
        <v>220</v>
      </c>
      <c r="U1108" s="124">
        <f t="shared" si="174"/>
        <v>998</v>
      </c>
      <c r="V1108" s="124">
        <f t="shared" si="175"/>
        <v>1099</v>
      </c>
      <c r="W1108" s="124">
        <f t="shared" si="176"/>
        <v>0</v>
      </c>
      <c r="X1108" s="124">
        <f t="shared" si="177"/>
        <v>0</v>
      </c>
      <c r="Y1108" s="264">
        <f t="shared" si="178"/>
        <v>1099</v>
      </c>
      <c r="Z1108" s="10">
        <v>220</v>
      </c>
      <c r="AA1108" s="7">
        <v>998</v>
      </c>
      <c r="AB1108" s="7">
        <v>1099</v>
      </c>
      <c r="AC1108" s="109">
        <v>0</v>
      </c>
      <c r="AD1108" s="109">
        <v>0</v>
      </c>
      <c r="AE1108" s="125"/>
      <c r="AF1108" s="10"/>
      <c r="AI1108" s="109"/>
      <c r="AJ1108" s="109"/>
      <c r="AL1108" s="10"/>
      <c r="AO1108" s="109"/>
      <c r="AP1108" s="109"/>
      <c r="AR1108" s="10"/>
      <c r="AU1108" s="109"/>
      <c r="AV1108" s="109"/>
      <c r="AX1108" s="10"/>
      <c r="BA1108" s="109"/>
      <c r="BB1108" s="109"/>
      <c r="BD1108" s="10"/>
      <c r="BG1108" s="109"/>
      <c r="BH1108" s="109"/>
      <c r="BJ1108" s="10"/>
      <c r="BM1108" s="109"/>
      <c r="BN1108" s="109"/>
      <c r="BP1108" s="10"/>
      <c r="BS1108" s="109"/>
      <c r="BT1108" s="109"/>
      <c r="BV1108" s="10"/>
      <c r="BY1108" s="109"/>
      <c r="BZ1108" s="109"/>
      <c r="CB1108" s="10"/>
      <c r="CE1108" s="109"/>
      <c r="CF1108" s="109"/>
      <c r="CH1108" s="10"/>
      <c r="CK1108" s="109"/>
      <c r="CL1108" s="109"/>
    </row>
    <row r="1109" spans="1:90">
      <c r="A1109" s="7" t="str">
        <f t="shared" si="171"/>
        <v>02200999</v>
      </c>
      <c r="B1109" s="7" t="s">
        <v>2559</v>
      </c>
      <c r="C1109" s="7" t="s">
        <v>2782</v>
      </c>
      <c r="D1109" s="7">
        <v>1100</v>
      </c>
      <c r="E1109" s="11">
        <v>220</v>
      </c>
      <c r="F1109" s="11" t="s">
        <v>1925</v>
      </c>
      <c r="G1109" s="11">
        <v>999</v>
      </c>
      <c r="H1109" s="11" t="s">
        <v>1132</v>
      </c>
      <c r="I1109" s="105">
        <v>37122395.065760002</v>
      </c>
      <c r="J1109" s="126">
        <v>1</v>
      </c>
      <c r="K1109" s="127">
        <f>SUM(K1105:K1108)</f>
        <v>37702636.938836694</v>
      </c>
      <c r="L1109" s="126">
        <f>SUM(L1105:L1108)</f>
        <v>0.99999999999999989</v>
      </c>
      <c r="M1109" s="105">
        <f>VLOOKUP(E1109,town351,22)</f>
        <v>31307995</v>
      </c>
      <c r="N1109" s="105">
        <f>SUM(N1105:N1108)</f>
        <v>31307994</v>
      </c>
      <c r="O1109" s="128">
        <v>31098049</v>
      </c>
      <c r="P1109" s="105">
        <f>SUM(P1105:P1108)</f>
        <v>209945</v>
      </c>
      <c r="Q1109" s="45">
        <f t="shared" si="179"/>
        <v>0.67510666022810628</v>
      </c>
      <c r="R1109" s="105">
        <v>3534</v>
      </c>
      <c r="S1109" s="7">
        <f t="shared" si="172"/>
        <v>0</v>
      </c>
      <c r="T1109" s="124">
        <f t="shared" si="173"/>
        <v>220</v>
      </c>
      <c r="U1109" s="124">
        <f t="shared" si="174"/>
        <v>999</v>
      </c>
      <c r="V1109" s="124">
        <f t="shared" si="175"/>
        <v>1100</v>
      </c>
      <c r="W1109" s="124">
        <f t="shared" si="176"/>
        <v>3509.00000000197</v>
      </c>
      <c r="X1109" s="124">
        <f t="shared" si="177"/>
        <v>37702636.938836694</v>
      </c>
      <c r="Y1109" s="264">
        <f t="shared" si="178"/>
        <v>1100</v>
      </c>
      <c r="Z1109" s="10">
        <v>220</v>
      </c>
      <c r="AA1109" s="7">
        <v>999</v>
      </c>
      <c r="AB1109" s="7">
        <v>1100</v>
      </c>
      <c r="AC1109" s="109">
        <v>3509.00000000197</v>
      </c>
      <c r="AD1109" s="109">
        <v>37702636.938836694</v>
      </c>
      <c r="AE1109" s="125"/>
      <c r="AF1109" s="10"/>
      <c r="AI1109" s="109"/>
      <c r="AJ1109" s="109"/>
      <c r="AL1109" s="10"/>
      <c r="AO1109" s="109"/>
      <c r="AP1109" s="109"/>
      <c r="AR1109" s="10"/>
      <c r="AU1109" s="109"/>
      <c r="AV1109" s="109"/>
      <c r="AX1109" s="10"/>
      <c r="BA1109" s="109"/>
      <c r="BB1109" s="109"/>
      <c r="BD1109" s="10"/>
      <c r="BG1109" s="109"/>
      <c r="BH1109" s="109"/>
      <c r="BJ1109" s="10"/>
      <c r="BM1109" s="109"/>
      <c r="BN1109" s="109"/>
      <c r="BP1109" s="10"/>
      <c r="BS1109" s="109"/>
      <c r="BT1109" s="109"/>
      <c r="BV1109" s="10"/>
      <c r="BY1109" s="109"/>
      <c r="BZ1109" s="109"/>
      <c r="CB1109" s="10"/>
      <c r="CE1109" s="109"/>
      <c r="CF1109" s="109"/>
      <c r="CH1109" s="10"/>
      <c r="CK1109" s="109"/>
      <c r="CL1109" s="109"/>
    </row>
    <row r="1110" spans="1:90">
      <c r="A1110" s="7" t="str">
        <f t="shared" si="171"/>
        <v>02210221</v>
      </c>
      <c r="B1110" s="7" t="s">
        <v>2560</v>
      </c>
      <c r="C1110" s="7" t="s">
        <v>2560</v>
      </c>
      <c r="D1110" s="7">
        <v>1101</v>
      </c>
      <c r="E1110" s="7">
        <v>221</v>
      </c>
      <c r="F1110" s="7" t="s">
        <v>1926</v>
      </c>
      <c r="G1110" s="7">
        <v>221</v>
      </c>
      <c r="H1110" s="7" t="s">
        <v>1487</v>
      </c>
      <c r="I1110" s="37">
        <v>4345993.05</v>
      </c>
      <c r="J1110" s="122">
        <v>0.64337176760406423</v>
      </c>
      <c r="K1110" s="123">
        <f>X1110</f>
        <v>4614741.4748551529</v>
      </c>
      <c r="L1110" s="122">
        <f>IF(K1114&gt;0, K1110/K1114, 0)</f>
        <v>0.66559481558644484</v>
      </c>
      <c r="M1110" s="71"/>
      <c r="N1110" s="10">
        <f>ROUND(M1114*L1110,0)</f>
        <v>3814150</v>
      </c>
      <c r="O1110" s="70">
        <v>3494124</v>
      </c>
      <c r="P1110" s="10">
        <f>N1110-O1110</f>
        <v>320026</v>
      </c>
      <c r="Q1110" s="46">
        <f t="shared" si="179"/>
        <v>9.1589766133085142</v>
      </c>
      <c r="R1110" s="10">
        <v>445</v>
      </c>
      <c r="S1110" s="7">
        <f t="shared" si="172"/>
        <v>0</v>
      </c>
      <c r="T1110" s="124">
        <f t="shared" si="173"/>
        <v>221</v>
      </c>
      <c r="U1110" s="124">
        <f t="shared" si="174"/>
        <v>221</v>
      </c>
      <c r="V1110" s="124">
        <f t="shared" si="175"/>
        <v>1101</v>
      </c>
      <c r="W1110" s="124">
        <f t="shared" si="176"/>
        <v>459</v>
      </c>
      <c r="X1110" s="124">
        <f t="shared" si="177"/>
        <v>4614741.4748551529</v>
      </c>
      <c r="Y1110" s="264">
        <f t="shared" si="178"/>
        <v>1101</v>
      </c>
      <c r="Z1110" s="10">
        <v>221</v>
      </c>
      <c r="AA1110" s="7">
        <v>221</v>
      </c>
      <c r="AB1110" s="7">
        <v>1101</v>
      </c>
      <c r="AC1110" s="109">
        <v>459</v>
      </c>
      <c r="AD1110" s="109">
        <v>4614741.4748551529</v>
      </c>
      <c r="AE1110" s="125"/>
      <c r="AF1110" s="10"/>
      <c r="AI1110" s="109"/>
      <c r="AJ1110" s="109"/>
      <c r="AL1110" s="10"/>
      <c r="AO1110" s="109"/>
      <c r="AP1110" s="109"/>
      <c r="AR1110" s="10"/>
      <c r="AU1110" s="109"/>
      <c r="AV1110" s="109"/>
      <c r="AX1110" s="10"/>
      <c r="BA1110" s="109"/>
      <c r="BB1110" s="109"/>
      <c r="BD1110" s="10"/>
      <c r="BG1110" s="109"/>
      <c r="BH1110" s="109"/>
      <c r="BJ1110" s="10"/>
      <c r="BM1110" s="109"/>
      <c r="BN1110" s="109"/>
      <c r="BP1110" s="10"/>
      <c r="BS1110" s="109"/>
      <c r="BT1110" s="109"/>
      <c r="BV1110" s="10"/>
      <c r="BY1110" s="109"/>
      <c r="BZ1110" s="109"/>
      <c r="CB1110" s="10"/>
      <c r="CE1110" s="109"/>
      <c r="CF1110" s="109"/>
      <c r="CH1110" s="10"/>
      <c r="CK1110" s="109"/>
      <c r="CL1110" s="109"/>
    </row>
    <row r="1111" spans="1:90">
      <c r="A1111" s="7" t="str">
        <f t="shared" si="171"/>
        <v>02210700</v>
      </c>
      <c r="B1111" s="7" t="s">
        <v>2560</v>
      </c>
      <c r="C1111" s="7" t="s">
        <v>2725</v>
      </c>
      <c r="D1111" s="7">
        <v>1102</v>
      </c>
      <c r="E1111" s="7">
        <v>221</v>
      </c>
      <c r="F1111" s="7" t="s">
        <v>1926</v>
      </c>
      <c r="G1111" s="7">
        <v>700</v>
      </c>
      <c r="H1111" s="7" t="s">
        <v>1652</v>
      </c>
      <c r="I1111" s="37">
        <v>2409033</v>
      </c>
      <c r="J1111" s="122">
        <v>0.35662823239593577</v>
      </c>
      <c r="K1111" s="123">
        <f t="shared" si="170"/>
        <v>2318517.8697044621</v>
      </c>
      <c r="L1111" s="122">
        <f>IF(K1114&gt;0, K1111/K1114, 0)</f>
        <v>0.33440518441355505</v>
      </c>
      <c r="M1111" s="71"/>
      <c r="N1111" s="10">
        <f>ROUND(M1114*L1111,0)</f>
        <v>1916289</v>
      </c>
      <c r="O1111" s="70">
        <v>1936832</v>
      </c>
      <c r="P1111" s="10">
        <f>N1111-O1111</f>
        <v>-20543</v>
      </c>
      <c r="Q1111" s="46">
        <f t="shared" si="179"/>
        <v>-1.0606495555628985</v>
      </c>
      <c r="R1111" s="10">
        <v>203</v>
      </c>
      <c r="S1111" s="7">
        <f t="shared" si="172"/>
        <v>0</v>
      </c>
      <c r="T1111" s="124">
        <f t="shared" si="173"/>
        <v>221</v>
      </c>
      <c r="U1111" s="124">
        <f t="shared" si="174"/>
        <v>700</v>
      </c>
      <c r="V1111" s="124">
        <f t="shared" si="175"/>
        <v>1102</v>
      </c>
      <c r="W1111" s="124">
        <f t="shared" si="176"/>
        <v>185.9999999968</v>
      </c>
      <c r="X1111" s="124">
        <f t="shared" si="177"/>
        <v>2318517.8697044621</v>
      </c>
      <c r="Y1111" s="264">
        <f t="shared" si="178"/>
        <v>1102</v>
      </c>
      <c r="Z1111" s="10">
        <v>221</v>
      </c>
      <c r="AA1111" s="7">
        <v>700</v>
      </c>
      <c r="AB1111" s="7">
        <v>1102</v>
      </c>
      <c r="AC1111" s="109">
        <v>185.9999999968</v>
      </c>
      <c r="AD1111" s="109">
        <v>2318517.8697044621</v>
      </c>
      <c r="AE1111" s="125"/>
      <c r="AF1111" s="10"/>
      <c r="AI1111" s="109"/>
      <c r="AJ1111" s="109"/>
      <c r="AL1111" s="10"/>
      <c r="AO1111" s="109"/>
      <c r="AP1111" s="109"/>
      <c r="AR1111" s="10"/>
      <c r="AU1111" s="109"/>
      <c r="AV1111" s="109"/>
      <c r="AX1111" s="10"/>
      <c r="BA1111" s="109"/>
      <c r="BB1111" s="109"/>
      <c r="BD1111" s="10"/>
      <c r="BG1111" s="109"/>
      <c r="BH1111" s="109"/>
      <c r="BJ1111" s="10"/>
      <c r="BM1111" s="109"/>
      <c r="BN1111" s="109"/>
      <c r="BP1111" s="10"/>
      <c r="BS1111" s="109"/>
      <c r="BT1111" s="109"/>
      <c r="BV1111" s="10"/>
      <c r="BY1111" s="109"/>
      <c r="BZ1111" s="109"/>
      <c r="CB1111" s="10"/>
      <c r="CE1111" s="109"/>
      <c r="CF1111" s="109"/>
      <c r="CH1111" s="10"/>
      <c r="CK1111" s="109"/>
      <c r="CL1111" s="109"/>
    </row>
    <row r="1112" spans="1:90">
      <c r="A1112" s="7" t="str">
        <f t="shared" si="171"/>
        <v>02210998</v>
      </c>
      <c r="B1112" s="7" t="s">
        <v>2560</v>
      </c>
      <c r="C1112" s="7" t="s">
        <v>2781</v>
      </c>
      <c r="D1112" s="7">
        <v>1103</v>
      </c>
      <c r="E1112" s="7">
        <v>221</v>
      </c>
      <c r="F1112" s="7" t="s">
        <v>2135</v>
      </c>
      <c r="G1112" s="7">
        <v>998</v>
      </c>
      <c r="H1112" s="7" t="s">
        <v>2135</v>
      </c>
      <c r="I1112" s="37">
        <v>0</v>
      </c>
      <c r="J1112" s="122">
        <v>0</v>
      </c>
      <c r="K1112" s="123">
        <f t="shared" si="170"/>
        <v>0</v>
      </c>
      <c r="L1112" s="122">
        <f>IF(K1114&gt;0, K1112/K1114, 0)</f>
        <v>0</v>
      </c>
      <c r="M1112" s="71"/>
      <c r="N1112" s="10">
        <f>ROUND(M1114*L1112,0)</f>
        <v>0</v>
      </c>
      <c r="O1112" s="70">
        <v>0</v>
      </c>
      <c r="P1112" s="10">
        <f>N1112-O1112</f>
        <v>0</v>
      </c>
      <c r="Q1112" s="46">
        <f t="shared" si="179"/>
        <v>0</v>
      </c>
      <c r="R1112" s="10">
        <v>0</v>
      </c>
      <c r="S1112" s="7">
        <f t="shared" si="172"/>
        <v>0</v>
      </c>
      <c r="T1112" s="124">
        <f t="shared" si="173"/>
        <v>221</v>
      </c>
      <c r="U1112" s="124">
        <f t="shared" si="174"/>
        <v>998</v>
      </c>
      <c r="V1112" s="124">
        <f t="shared" si="175"/>
        <v>1103</v>
      </c>
      <c r="W1112" s="124">
        <f t="shared" si="176"/>
        <v>0</v>
      </c>
      <c r="X1112" s="124">
        <f t="shared" si="177"/>
        <v>0</v>
      </c>
      <c r="Y1112" s="264">
        <f t="shared" si="178"/>
        <v>1103</v>
      </c>
      <c r="Z1112" s="10">
        <v>221</v>
      </c>
      <c r="AA1112" s="7">
        <v>998</v>
      </c>
      <c r="AB1112" s="7">
        <v>1103</v>
      </c>
      <c r="AC1112" s="109">
        <v>0</v>
      </c>
      <c r="AD1112" s="109">
        <v>0</v>
      </c>
      <c r="AE1112" s="125"/>
      <c r="AF1112" s="10"/>
      <c r="AI1112" s="109"/>
      <c r="AJ1112" s="109"/>
      <c r="AL1112" s="10"/>
      <c r="AO1112" s="109"/>
      <c r="AP1112" s="109"/>
      <c r="AR1112" s="10"/>
      <c r="AU1112" s="109"/>
      <c r="AV1112" s="109"/>
      <c r="AX1112" s="10"/>
      <c r="BA1112" s="109"/>
      <c r="BB1112" s="109"/>
      <c r="BD1112" s="10"/>
      <c r="BG1112" s="109"/>
      <c r="BH1112" s="109"/>
      <c r="BJ1112" s="10"/>
      <c r="BM1112" s="109"/>
      <c r="BN1112" s="109"/>
      <c r="BP1112" s="10"/>
      <c r="BS1112" s="109"/>
      <c r="BT1112" s="109"/>
      <c r="BV1112" s="10"/>
      <c r="BY1112" s="109"/>
      <c r="BZ1112" s="109"/>
      <c r="CB1112" s="10"/>
      <c r="CE1112" s="109"/>
      <c r="CF1112" s="109"/>
      <c r="CH1112" s="10"/>
      <c r="CK1112" s="109"/>
      <c r="CL1112" s="109"/>
    </row>
    <row r="1113" spans="1:90">
      <c r="A1113" s="7" t="str">
        <f t="shared" si="171"/>
        <v>02210998</v>
      </c>
      <c r="B1113" s="7" t="s">
        <v>2560</v>
      </c>
      <c r="C1113" s="7" t="s">
        <v>2781</v>
      </c>
      <c r="D1113" s="7">
        <v>1104</v>
      </c>
      <c r="E1113" s="7">
        <v>221</v>
      </c>
      <c r="F1113" s="7" t="s">
        <v>2135</v>
      </c>
      <c r="G1113" s="7">
        <v>998</v>
      </c>
      <c r="H1113" s="7" t="s">
        <v>2135</v>
      </c>
      <c r="I1113" s="37">
        <v>0</v>
      </c>
      <c r="J1113" s="122">
        <v>0</v>
      </c>
      <c r="K1113" s="123">
        <f t="shared" si="170"/>
        <v>0</v>
      </c>
      <c r="L1113" s="122">
        <f>IF(K1114&gt;0, K1113/K1114, 0)</f>
        <v>0</v>
      </c>
      <c r="M1113" s="71"/>
      <c r="N1113" s="10">
        <f>ROUND(M1114*L1113,0)</f>
        <v>0</v>
      </c>
      <c r="O1113" s="70">
        <v>0</v>
      </c>
      <c r="P1113" s="10">
        <f>N1113-O1113</f>
        <v>0</v>
      </c>
      <c r="Q1113" s="46">
        <f t="shared" si="179"/>
        <v>0</v>
      </c>
      <c r="R1113" s="10">
        <v>0</v>
      </c>
      <c r="S1113" s="7">
        <f t="shared" si="172"/>
        <v>0</v>
      </c>
      <c r="T1113" s="124">
        <f t="shared" si="173"/>
        <v>221</v>
      </c>
      <c r="U1113" s="124">
        <f t="shared" si="174"/>
        <v>998</v>
      </c>
      <c r="V1113" s="124">
        <f t="shared" si="175"/>
        <v>1104</v>
      </c>
      <c r="W1113" s="124">
        <f t="shared" si="176"/>
        <v>0</v>
      </c>
      <c r="X1113" s="124">
        <f t="shared" si="177"/>
        <v>0</v>
      </c>
      <c r="Y1113" s="264">
        <f t="shared" si="178"/>
        <v>1104</v>
      </c>
      <c r="Z1113" s="10">
        <v>221</v>
      </c>
      <c r="AA1113" s="7">
        <v>998</v>
      </c>
      <c r="AB1113" s="7">
        <v>1104</v>
      </c>
      <c r="AC1113" s="109">
        <v>0</v>
      </c>
      <c r="AD1113" s="109">
        <v>0</v>
      </c>
      <c r="AE1113" s="125"/>
      <c r="AF1113" s="10"/>
      <c r="AI1113" s="109"/>
      <c r="AJ1113" s="109"/>
      <c r="AL1113" s="10"/>
      <c r="AO1113" s="109"/>
      <c r="AP1113" s="109"/>
      <c r="AR1113" s="10"/>
      <c r="AU1113" s="109"/>
      <c r="AV1113" s="109"/>
      <c r="AX1113" s="10"/>
      <c r="BA1113" s="109"/>
      <c r="BB1113" s="109"/>
      <c r="BD1113" s="10"/>
      <c r="BG1113" s="109"/>
      <c r="BH1113" s="109"/>
      <c r="BJ1113" s="10"/>
      <c r="BM1113" s="109"/>
      <c r="BN1113" s="109"/>
      <c r="BP1113" s="10"/>
      <c r="BS1113" s="109"/>
      <c r="BT1113" s="109"/>
      <c r="BV1113" s="10"/>
      <c r="BY1113" s="109"/>
      <c r="BZ1113" s="109"/>
      <c r="CB1113" s="10"/>
      <c r="CE1113" s="109"/>
      <c r="CF1113" s="109"/>
      <c r="CH1113" s="10"/>
      <c r="CK1113" s="109"/>
      <c r="CL1113" s="109"/>
    </row>
    <row r="1114" spans="1:90">
      <c r="A1114" s="7" t="str">
        <f t="shared" si="171"/>
        <v>02210999</v>
      </c>
      <c r="B1114" s="7" t="s">
        <v>2560</v>
      </c>
      <c r="C1114" s="7" t="s">
        <v>2782</v>
      </c>
      <c r="D1114" s="7">
        <v>1105</v>
      </c>
      <c r="E1114" s="11">
        <v>221</v>
      </c>
      <c r="F1114" s="11" t="s">
        <v>1926</v>
      </c>
      <c r="G1114" s="11">
        <v>999</v>
      </c>
      <c r="H1114" s="11" t="s">
        <v>1132</v>
      </c>
      <c r="I1114" s="105">
        <v>6755026.0499999998</v>
      </c>
      <c r="J1114" s="126">
        <v>1</v>
      </c>
      <c r="K1114" s="127">
        <f>SUM(K1110:K1113)</f>
        <v>6933259.3445596155</v>
      </c>
      <c r="L1114" s="126">
        <f>SUM(L1110:L1113)</f>
        <v>0.99999999999999989</v>
      </c>
      <c r="M1114" s="105">
        <f>VLOOKUP(E1114,town351,22)</f>
        <v>5730439</v>
      </c>
      <c r="N1114" s="105">
        <f>SUM(N1110:N1113)</f>
        <v>5730439</v>
      </c>
      <c r="O1114" s="128">
        <v>5430956</v>
      </c>
      <c r="P1114" s="105">
        <f>SUM(P1110:P1113)</f>
        <v>299483</v>
      </c>
      <c r="Q1114" s="45">
        <f t="shared" si="179"/>
        <v>5.514369845750914</v>
      </c>
      <c r="R1114" s="105">
        <v>648</v>
      </c>
      <c r="S1114" s="7">
        <f t="shared" si="172"/>
        <v>0</v>
      </c>
      <c r="T1114" s="124">
        <f t="shared" si="173"/>
        <v>221</v>
      </c>
      <c r="U1114" s="124">
        <f t="shared" si="174"/>
        <v>999</v>
      </c>
      <c r="V1114" s="124">
        <f t="shared" si="175"/>
        <v>1105</v>
      </c>
      <c r="W1114" s="124">
        <f t="shared" si="176"/>
        <v>644.99999999679994</v>
      </c>
      <c r="X1114" s="124">
        <f t="shared" si="177"/>
        <v>6933259.3445596155</v>
      </c>
      <c r="Y1114" s="264">
        <f t="shared" si="178"/>
        <v>1105</v>
      </c>
      <c r="Z1114" s="10">
        <v>221</v>
      </c>
      <c r="AA1114" s="7">
        <v>999</v>
      </c>
      <c r="AB1114" s="7">
        <v>1105</v>
      </c>
      <c r="AC1114" s="109">
        <v>644.99999999679994</v>
      </c>
      <c r="AD1114" s="109">
        <v>6933259.3445596155</v>
      </c>
      <c r="AE1114" s="125"/>
      <c r="AF1114" s="10"/>
      <c r="AI1114" s="109"/>
      <c r="AJ1114" s="109"/>
      <c r="AL1114" s="10"/>
      <c r="AO1114" s="109"/>
      <c r="AP1114" s="109"/>
      <c r="AR1114" s="10"/>
      <c r="AU1114" s="109"/>
      <c r="AV1114" s="109"/>
      <c r="AX1114" s="10"/>
      <c r="BA1114" s="109"/>
      <c r="BB1114" s="109"/>
      <c r="BD1114" s="10"/>
      <c r="BG1114" s="109"/>
      <c r="BH1114" s="109"/>
      <c r="BJ1114" s="10"/>
      <c r="BM1114" s="109"/>
      <c r="BN1114" s="109"/>
      <c r="BP1114" s="10"/>
      <c r="BS1114" s="109"/>
      <c r="BT1114" s="109"/>
      <c r="BV1114" s="10"/>
      <c r="BY1114" s="109"/>
      <c r="BZ1114" s="109"/>
      <c r="CB1114" s="10"/>
      <c r="CE1114" s="109"/>
      <c r="CF1114" s="109"/>
      <c r="CH1114" s="10"/>
      <c r="CK1114" s="109"/>
      <c r="CL1114" s="109"/>
    </row>
    <row r="1115" spans="1:90">
      <c r="A1115" s="7" t="str">
        <f t="shared" si="171"/>
        <v>02220222</v>
      </c>
      <c r="B1115" s="7" t="s">
        <v>2561</v>
      </c>
      <c r="C1115" s="7" t="s">
        <v>2561</v>
      </c>
      <c r="D1115" s="7">
        <v>1106</v>
      </c>
      <c r="E1115" s="7">
        <v>222</v>
      </c>
      <c r="F1115" s="7" t="s">
        <v>1927</v>
      </c>
      <c r="G1115" s="7">
        <v>222</v>
      </c>
      <c r="H1115" s="7" t="s">
        <v>1488</v>
      </c>
      <c r="I1115" s="70">
        <v>13170.920000000002</v>
      </c>
      <c r="J1115" s="131">
        <v>4.8236083144438356E-3</v>
      </c>
      <c r="K1115" s="123">
        <f>X1115</f>
        <v>13416.833343589547</v>
      </c>
      <c r="L1115" s="122">
        <f>IF(K1119&gt;0, K1115/K1119, 0)</f>
        <v>5.0087313521405778E-3</v>
      </c>
      <c r="M1115" s="71"/>
      <c r="N1115" s="10">
        <f>ROUND(M1119*L1115,0)</f>
        <v>8143</v>
      </c>
      <c r="O1115" s="70">
        <v>7638</v>
      </c>
      <c r="P1115" s="10">
        <f>N1115-O1115</f>
        <v>505</v>
      </c>
      <c r="Q1115" s="46">
        <f t="shared" si="179"/>
        <v>6.6116784498559831</v>
      </c>
      <c r="R1115" s="62">
        <v>1</v>
      </c>
      <c r="S1115" s="7">
        <f t="shared" si="172"/>
        <v>0</v>
      </c>
      <c r="T1115" s="124">
        <f t="shared" si="173"/>
        <v>222</v>
      </c>
      <c r="U1115" s="124">
        <f t="shared" si="174"/>
        <v>222</v>
      </c>
      <c r="V1115" s="124">
        <f t="shared" si="175"/>
        <v>1106</v>
      </c>
      <c r="W1115" s="124">
        <f t="shared" si="176"/>
        <v>1</v>
      </c>
      <c r="X1115" s="124">
        <f t="shared" si="177"/>
        <v>13416.833343589547</v>
      </c>
      <c r="Y1115" s="264">
        <f t="shared" si="178"/>
        <v>1106</v>
      </c>
      <c r="Z1115" s="10">
        <v>222</v>
      </c>
      <c r="AA1115" s="7">
        <v>222</v>
      </c>
      <c r="AB1115" s="7">
        <v>1106</v>
      </c>
      <c r="AC1115" s="109">
        <v>1</v>
      </c>
      <c r="AD1115" s="109">
        <v>13416.833343589547</v>
      </c>
      <c r="AE1115" s="125"/>
      <c r="AF1115" s="10"/>
      <c r="AI1115" s="109"/>
      <c r="AJ1115" s="109"/>
      <c r="AL1115" s="10"/>
      <c r="AO1115" s="109"/>
      <c r="AP1115" s="109"/>
      <c r="AR1115" s="10"/>
      <c r="AU1115" s="109"/>
      <c r="AV1115" s="109"/>
      <c r="AX1115" s="10"/>
      <c r="BA1115" s="109"/>
      <c r="BB1115" s="109"/>
      <c r="BD1115" s="10"/>
      <c r="BG1115" s="109"/>
      <c r="BH1115" s="109"/>
      <c r="BJ1115" s="10"/>
      <c r="BM1115" s="109"/>
      <c r="BN1115" s="109"/>
      <c r="BP1115" s="10"/>
      <c r="BS1115" s="109"/>
      <c r="BT1115" s="109"/>
      <c r="BV1115" s="10"/>
      <c r="BY1115" s="109"/>
      <c r="BZ1115" s="109"/>
      <c r="CB1115" s="10"/>
      <c r="CE1115" s="109"/>
      <c r="CF1115" s="109"/>
      <c r="CH1115" s="10"/>
      <c r="CK1115" s="109"/>
      <c r="CL1115" s="109"/>
    </row>
    <row r="1116" spans="1:90">
      <c r="A1116" s="7" t="str">
        <f t="shared" si="171"/>
        <v>02220753</v>
      </c>
      <c r="B1116" s="7" t="s">
        <v>2561</v>
      </c>
      <c r="C1116" s="7" t="s">
        <v>2739</v>
      </c>
      <c r="D1116" s="7">
        <v>1107</v>
      </c>
      <c r="E1116" s="7">
        <v>222</v>
      </c>
      <c r="F1116" s="7" t="s">
        <v>1927</v>
      </c>
      <c r="G1116" s="7">
        <v>753</v>
      </c>
      <c r="H1116" s="7" t="s">
        <v>1666</v>
      </c>
      <c r="I1116" s="70">
        <v>2539933</v>
      </c>
      <c r="J1116" s="131">
        <v>0.9302039597029117</v>
      </c>
      <c r="K1116" s="123">
        <f t="shared" si="170"/>
        <v>2417612.3175662244</v>
      </c>
      <c r="L1116" s="122">
        <f>IF(K1119&gt;0, K1116/K1119, 0)</f>
        <v>0.90253566562342757</v>
      </c>
      <c r="M1116" s="71"/>
      <c r="N1116" s="10">
        <f>ROUND(M1119*L1116,0)</f>
        <v>1467358</v>
      </c>
      <c r="O1116" s="70">
        <v>1473012</v>
      </c>
      <c r="P1116" s="10">
        <f>N1116-O1116</f>
        <v>-5654</v>
      </c>
      <c r="Q1116" s="46">
        <f t="shared" si="179"/>
        <v>-0.38383937130179524</v>
      </c>
      <c r="R1116" s="62">
        <v>254</v>
      </c>
      <c r="S1116" s="7">
        <f t="shared" si="172"/>
        <v>0</v>
      </c>
      <c r="T1116" s="124">
        <f t="shared" si="173"/>
        <v>222</v>
      </c>
      <c r="U1116" s="124">
        <f t="shared" si="174"/>
        <v>753</v>
      </c>
      <c r="V1116" s="124">
        <f t="shared" si="175"/>
        <v>1107</v>
      </c>
      <c r="W1116" s="124">
        <f t="shared" si="176"/>
        <v>236.46555819172002</v>
      </c>
      <c r="X1116" s="124">
        <f t="shared" si="177"/>
        <v>2417612.3175662244</v>
      </c>
      <c r="Y1116" s="264">
        <f t="shared" si="178"/>
        <v>1107</v>
      </c>
      <c r="Z1116" s="10">
        <v>222</v>
      </c>
      <c r="AA1116" s="7">
        <v>753</v>
      </c>
      <c r="AB1116" s="7">
        <v>1107</v>
      </c>
      <c r="AC1116" s="109">
        <v>236.46555819172002</v>
      </c>
      <c r="AD1116" s="109">
        <v>2417612.3175662244</v>
      </c>
      <c r="AE1116" s="125"/>
      <c r="AF1116" s="10"/>
      <c r="AI1116" s="109"/>
      <c r="AJ1116" s="109"/>
      <c r="AL1116" s="10"/>
      <c r="AO1116" s="109"/>
      <c r="AP1116" s="109"/>
      <c r="AR1116" s="10"/>
      <c r="AU1116" s="109"/>
      <c r="AV1116" s="109"/>
      <c r="AX1116" s="10"/>
      <c r="BA1116" s="109"/>
      <c r="BB1116" s="109"/>
      <c r="BD1116" s="10"/>
      <c r="BG1116" s="109"/>
      <c r="BH1116" s="109"/>
      <c r="BJ1116" s="10"/>
      <c r="BM1116" s="109"/>
      <c r="BN1116" s="109"/>
      <c r="BP1116" s="10"/>
      <c r="BS1116" s="109"/>
      <c r="BT1116" s="109"/>
      <c r="BV1116" s="10"/>
      <c r="BY1116" s="109"/>
      <c r="BZ1116" s="109"/>
      <c r="CB1116" s="10"/>
      <c r="CE1116" s="109"/>
      <c r="CF1116" s="109"/>
      <c r="CH1116" s="10"/>
      <c r="CK1116" s="109"/>
      <c r="CL1116" s="109"/>
    </row>
    <row r="1117" spans="1:90">
      <c r="A1117" s="7" t="str">
        <f t="shared" si="171"/>
        <v>02220860</v>
      </c>
      <c r="B1117" s="7" t="s">
        <v>2561</v>
      </c>
      <c r="C1117" s="7" t="s">
        <v>2770</v>
      </c>
      <c r="D1117" s="7">
        <v>1108</v>
      </c>
      <c r="E1117" s="7">
        <v>222</v>
      </c>
      <c r="F1117" s="7" t="s">
        <v>1927</v>
      </c>
      <c r="G1117" s="7">
        <v>860</v>
      </c>
      <c r="H1117" s="7" t="s">
        <v>1697</v>
      </c>
      <c r="I1117" s="70">
        <v>177408</v>
      </c>
      <c r="J1117" s="131">
        <v>6.4972431982644491E-2</v>
      </c>
      <c r="K1117" s="123">
        <f t="shared" si="170"/>
        <v>247659.80250263179</v>
      </c>
      <c r="L1117" s="122">
        <f>IF(K1119&gt;0, K1117/K1119, 0)</f>
        <v>9.2455603024431815E-2</v>
      </c>
      <c r="M1117" s="71"/>
      <c r="N1117" s="10">
        <f>ROUND(M1119*L1117,0)</f>
        <v>150316</v>
      </c>
      <c r="O1117" s="70">
        <v>102886</v>
      </c>
      <c r="P1117" s="10">
        <f>N1117-O1117</f>
        <v>47430</v>
      </c>
      <c r="Q1117" s="46">
        <f t="shared" si="179"/>
        <v>46.099566510506776</v>
      </c>
      <c r="R1117" s="62">
        <v>11</v>
      </c>
      <c r="S1117" s="7">
        <f t="shared" si="172"/>
        <v>0</v>
      </c>
      <c r="T1117" s="124">
        <f t="shared" si="173"/>
        <v>222</v>
      </c>
      <c r="U1117" s="124">
        <f t="shared" si="174"/>
        <v>860</v>
      </c>
      <c r="V1117" s="124">
        <f t="shared" si="175"/>
        <v>1108</v>
      </c>
      <c r="W1117" s="124">
        <f t="shared" si="176"/>
        <v>15.0000000026</v>
      </c>
      <c r="X1117" s="124">
        <f t="shared" si="177"/>
        <v>247659.80250263179</v>
      </c>
      <c r="Y1117" s="264">
        <f t="shared" si="178"/>
        <v>1108</v>
      </c>
      <c r="Z1117" s="10">
        <v>222</v>
      </c>
      <c r="AA1117" s="7">
        <v>860</v>
      </c>
      <c r="AB1117" s="7">
        <v>1108</v>
      </c>
      <c r="AC1117" s="109">
        <v>15.0000000026</v>
      </c>
      <c r="AD1117" s="109">
        <v>247659.80250263179</v>
      </c>
      <c r="AE1117" s="125"/>
      <c r="AF1117" s="10"/>
      <c r="AI1117" s="109"/>
      <c r="AJ1117" s="109"/>
      <c r="AL1117" s="10"/>
      <c r="AO1117" s="109"/>
      <c r="AP1117" s="109"/>
      <c r="AR1117" s="10"/>
      <c r="AU1117" s="109"/>
      <c r="AV1117" s="109"/>
      <c r="AX1117" s="10"/>
      <c r="BA1117" s="109"/>
      <c r="BB1117" s="109"/>
      <c r="BD1117" s="10"/>
      <c r="BG1117" s="109"/>
      <c r="BH1117" s="109"/>
      <c r="BJ1117" s="10"/>
      <c r="BM1117" s="109"/>
      <c r="BN1117" s="109"/>
      <c r="BP1117" s="10"/>
      <c r="BS1117" s="109"/>
      <c r="BT1117" s="109"/>
      <c r="BV1117" s="10"/>
      <c r="BY1117" s="109"/>
      <c r="BZ1117" s="109"/>
      <c r="CB1117" s="10"/>
      <c r="CE1117" s="109"/>
      <c r="CF1117" s="109"/>
      <c r="CH1117" s="10"/>
      <c r="CK1117" s="109"/>
      <c r="CL1117" s="109"/>
    </row>
    <row r="1118" spans="1:90">
      <c r="A1118" s="7" t="str">
        <f t="shared" si="171"/>
        <v>02220998</v>
      </c>
      <c r="B1118" s="7" t="s">
        <v>2561</v>
      </c>
      <c r="C1118" s="7" t="s">
        <v>2781</v>
      </c>
      <c r="D1118" s="7">
        <v>1109</v>
      </c>
      <c r="E1118" s="7">
        <v>222</v>
      </c>
      <c r="F1118" s="7" t="s">
        <v>2135</v>
      </c>
      <c r="G1118" s="7">
        <v>998</v>
      </c>
      <c r="H1118" s="7" t="s">
        <v>2135</v>
      </c>
      <c r="I1118" s="70">
        <v>0</v>
      </c>
      <c r="J1118" s="131">
        <v>0</v>
      </c>
      <c r="K1118" s="123">
        <f t="shared" si="170"/>
        <v>0</v>
      </c>
      <c r="L1118" s="122">
        <f>IF(K1119&gt;0, K1118/K1119, 0)</f>
        <v>0</v>
      </c>
      <c r="M1118" s="71"/>
      <c r="N1118" s="10">
        <f>ROUND(M1119*L1118,0)</f>
        <v>0</v>
      </c>
      <c r="O1118" s="70">
        <v>0</v>
      </c>
      <c r="P1118" s="10">
        <f>N1118-O1118</f>
        <v>0</v>
      </c>
      <c r="Q1118" s="46">
        <f t="shared" si="179"/>
        <v>0</v>
      </c>
      <c r="R1118" s="62">
        <v>0</v>
      </c>
      <c r="S1118" s="7">
        <f t="shared" si="172"/>
        <v>0</v>
      </c>
      <c r="T1118" s="124">
        <f t="shared" si="173"/>
        <v>222</v>
      </c>
      <c r="U1118" s="124">
        <f t="shared" si="174"/>
        <v>998</v>
      </c>
      <c r="V1118" s="124">
        <f t="shared" si="175"/>
        <v>1109</v>
      </c>
      <c r="W1118" s="124">
        <f t="shared" si="176"/>
        <v>0</v>
      </c>
      <c r="X1118" s="124">
        <f t="shared" si="177"/>
        <v>0</v>
      </c>
      <c r="Y1118" s="264">
        <f t="shared" si="178"/>
        <v>1109</v>
      </c>
      <c r="Z1118" s="10">
        <v>222</v>
      </c>
      <c r="AA1118" s="7">
        <v>998</v>
      </c>
      <c r="AB1118" s="7">
        <v>1109</v>
      </c>
      <c r="AC1118" s="109">
        <v>0</v>
      </c>
      <c r="AD1118" s="109">
        <v>0</v>
      </c>
      <c r="AE1118" s="125"/>
      <c r="AF1118" s="10"/>
      <c r="AI1118" s="109"/>
      <c r="AJ1118" s="109"/>
      <c r="AL1118" s="10"/>
      <c r="AO1118" s="109"/>
      <c r="AP1118" s="109"/>
      <c r="AR1118" s="10"/>
      <c r="AU1118" s="109"/>
      <c r="AV1118" s="109"/>
      <c r="AX1118" s="10"/>
      <c r="BA1118" s="109"/>
      <c r="BB1118" s="109"/>
      <c r="BD1118" s="10"/>
      <c r="BG1118" s="109"/>
      <c r="BH1118" s="109"/>
      <c r="BJ1118" s="10"/>
      <c r="BM1118" s="109"/>
      <c r="BN1118" s="109"/>
      <c r="BP1118" s="10"/>
      <c r="BS1118" s="109"/>
      <c r="BT1118" s="109"/>
      <c r="BV1118" s="10"/>
      <c r="BY1118" s="109"/>
      <c r="BZ1118" s="109"/>
      <c r="CB1118" s="10"/>
      <c r="CE1118" s="109"/>
      <c r="CF1118" s="109"/>
      <c r="CH1118" s="10"/>
      <c r="CK1118" s="109"/>
      <c r="CL1118" s="109"/>
    </row>
    <row r="1119" spans="1:90">
      <c r="A1119" s="7" t="str">
        <f t="shared" si="171"/>
        <v>02220999</v>
      </c>
      <c r="B1119" s="7" t="s">
        <v>2561</v>
      </c>
      <c r="C1119" s="7" t="s">
        <v>2782</v>
      </c>
      <c r="D1119" s="7">
        <v>1110</v>
      </c>
      <c r="E1119" s="11">
        <v>222</v>
      </c>
      <c r="F1119" s="11" t="s">
        <v>1927</v>
      </c>
      <c r="G1119" s="11">
        <v>999</v>
      </c>
      <c r="H1119" s="11" t="s">
        <v>1132</v>
      </c>
      <c r="I1119" s="134">
        <v>2730511.92</v>
      </c>
      <c r="J1119" s="131">
        <v>1</v>
      </c>
      <c r="K1119" s="127">
        <f>SUM(K1115:K1118)</f>
        <v>2678688.9534124457</v>
      </c>
      <c r="L1119" s="126">
        <f>SUM(L1115:L1118)</f>
        <v>0.99999999999999989</v>
      </c>
      <c r="M1119" s="105">
        <f>VLOOKUP(E1119,town351,22)</f>
        <v>1625817</v>
      </c>
      <c r="N1119" s="105">
        <f>SUM(N1115:N1118)</f>
        <v>1625817</v>
      </c>
      <c r="O1119" s="128">
        <v>1583536</v>
      </c>
      <c r="P1119" s="134">
        <f>SUM(P1115:P1118)</f>
        <v>42281</v>
      </c>
      <c r="Q1119" s="138">
        <f t="shared" si="179"/>
        <v>2.6700371826090472</v>
      </c>
      <c r="R1119" s="134">
        <v>266</v>
      </c>
      <c r="S1119" s="7">
        <f t="shared" si="172"/>
        <v>0</v>
      </c>
      <c r="T1119" s="124">
        <f t="shared" si="173"/>
        <v>222</v>
      </c>
      <c r="U1119" s="124">
        <f t="shared" si="174"/>
        <v>999</v>
      </c>
      <c r="V1119" s="124">
        <f t="shared" si="175"/>
        <v>1110</v>
      </c>
      <c r="W1119" s="124">
        <f t="shared" si="176"/>
        <v>252.46555819432001</v>
      </c>
      <c r="X1119" s="124">
        <f t="shared" si="177"/>
        <v>2678688.9534124457</v>
      </c>
      <c r="Y1119" s="264">
        <f t="shared" si="178"/>
        <v>1110</v>
      </c>
      <c r="Z1119" s="10">
        <v>222</v>
      </c>
      <c r="AA1119" s="7">
        <v>999</v>
      </c>
      <c r="AB1119" s="7">
        <v>1110</v>
      </c>
      <c r="AC1119" s="109">
        <v>252.46555819432001</v>
      </c>
      <c r="AD1119" s="109">
        <v>2678688.9534124457</v>
      </c>
      <c r="AE1119" s="125"/>
      <c r="AF1119" s="10"/>
      <c r="AI1119" s="109"/>
      <c r="AJ1119" s="109"/>
      <c r="AL1119" s="10"/>
      <c r="AO1119" s="109"/>
      <c r="AP1119" s="109"/>
      <c r="AR1119" s="10"/>
      <c r="AU1119" s="109"/>
      <c r="AV1119" s="109"/>
      <c r="AX1119" s="10"/>
      <c r="BA1119" s="109"/>
      <c r="BB1119" s="109"/>
      <c r="BD1119" s="10"/>
      <c r="BG1119" s="109"/>
      <c r="BH1119" s="109"/>
      <c r="BJ1119" s="10"/>
      <c r="BM1119" s="109"/>
      <c r="BN1119" s="109"/>
      <c r="BP1119" s="10"/>
      <c r="BS1119" s="109"/>
      <c r="BT1119" s="109"/>
      <c r="BV1119" s="10"/>
      <c r="BY1119" s="109"/>
      <c r="BZ1119" s="109"/>
      <c r="CB1119" s="10"/>
      <c r="CE1119" s="109"/>
      <c r="CF1119" s="109"/>
      <c r="CH1119" s="10"/>
      <c r="CK1119" s="109"/>
      <c r="CL1119" s="109"/>
    </row>
    <row r="1120" spans="1:90">
      <c r="A1120" s="7" t="str">
        <f t="shared" si="171"/>
        <v>02230223</v>
      </c>
      <c r="B1120" s="7" t="s">
        <v>2562</v>
      </c>
      <c r="C1120" s="7" t="s">
        <v>2562</v>
      </c>
      <c r="D1120" s="7">
        <v>1111</v>
      </c>
      <c r="E1120" s="7">
        <v>223</v>
      </c>
      <c r="F1120" s="7" t="s">
        <v>1928</v>
      </c>
      <c r="G1120" s="7">
        <v>223</v>
      </c>
      <c r="H1120" s="7" t="s">
        <v>1489</v>
      </c>
      <c r="I1120" s="37">
        <v>6410831.3199999994</v>
      </c>
      <c r="J1120" s="122">
        <v>0.47980364627913979</v>
      </c>
      <c r="K1120" s="123">
        <f t="shared" ref="K1120:K1183" si="180">X1120</f>
        <v>6801556.0005172687</v>
      </c>
      <c r="L1120" s="122">
        <f>IF(K1124&gt;0, K1120/K1124, 0)</f>
        <v>0.50195315490172232</v>
      </c>
      <c r="M1120" s="71"/>
      <c r="N1120" s="10">
        <f>ROUND(M1124*L1120,0)</f>
        <v>1896835</v>
      </c>
      <c r="O1120" s="70">
        <v>1858029</v>
      </c>
      <c r="P1120" s="10">
        <f>N1120-O1120</f>
        <v>38806</v>
      </c>
      <c r="Q1120" s="46">
        <f t="shared" si="179"/>
        <v>2.0885572830133436</v>
      </c>
      <c r="R1120" s="10">
        <v>596</v>
      </c>
      <c r="S1120" s="7">
        <f t="shared" si="172"/>
        <v>0</v>
      </c>
      <c r="T1120" s="124">
        <f t="shared" si="173"/>
        <v>223</v>
      </c>
      <c r="U1120" s="124">
        <f t="shared" si="174"/>
        <v>223</v>
      </c>
      <c r="V1120" s="124">
        <f t="shared" si="175"/>
        <v>1111</v>
      </c>
      <c r="W1120" s="124">
        <f t="shared" si="176"/>
        <v>615</v>
      </c>
      <c r="X1120" s="124">
        <f t="shared" si="177"/>
        <v>6801556.0005172687</v>
      </c>
      <c r="Y1120" s="264">
        <f t="shared" si="178"/>
        <v>1111</v>
      </c>
      <c r="Z1120" s="10">
        <v>223</v>
      </c>
      <c r="AA1120" s="7">
        <v>223</v>
      </c>
      <c r="AB1120" s="7">
        <v>1111</v>
      </c>
      <c r="AC1120" s="109">
        <v>615</v>
      </c>
      <c r="AD1120" s="109">
        <v>6801556.0005172687</v>
      </c>
      <c r="AE1120" s="125"/>
      <c r="AF1120" s="10"/>
      <c r="AI1120" s="109"/>
      <c r="AJ1120" s="109"/>
      <c r="AL1120" s="10"/>
      <c r="AO1120" s="109"/>
      <c r="AP1120" s="109"/>
      <c r="AR1120" s="10"/>
      <c r="AU1120" s="109"/>
      <c r="AV1120" s="109"/>
      <c r="AX1120" s="10"/>
      <c r="BA1120" s="109"/>
      <c r="BB1120" s="109"/>
      <c r="BD1120" s="10"/>
      <c r="BG1120" s="109"/>
      <c r="BH1120" s="109"/>
      <c r="BJ1120" s="10"/>
      <c r="BM1120" s="109"/>
      <c r="BN1120" s="109"/>
      <c r="BP1120" s="10"/>
      <c r="BS1120" s="109"/>
      <c r="BT1120" s="109"/>
      <c r="BV1120" s="10"/>
      <c r="BY1120" s="109"/>
      <c r="BZ1120" s="109"/>
      <c r="CB1120" s="10"/>
      <c r="CE1120" s="109"/>
      <c r="CF1120" s="109"/>
      <c r="CH1120" s="10"/>
      <c r="CK1120" s="109"/>
      <c r="CL1120" s="109"/>
    </row>
    <row r="1121" spans="1:90">
      <c r="A1121" s="7" t="str">
        <f t="shared" si="171"/>
        <v>02230755</v>
      </c>
      <c r="B1121" s="7" t="s">
        <v>2562</v>
      </c>
      <c r="C1121" s="7" t="s">
        <v>2740</v>
      </c>
      <c r="D1121" s="7">
        <v>1112</v>
      </c>
      <c r="E1121" s="7">
        <v>223</v>
      </c>
      <c r="F1121" s="7" t="s">
        <v>1928</v>
      </c>
      <c r="G1121" s="7">
        <v>755</v>
      </c>
      <c r="H1121" s="7" t="s">
        <v>1667</v>
      </c>
      <c r="I1121" s="37">
        <v>5717777</v>
      </c>
      <c r="J1121" s="122">
        <v>0.42793361988051831</v>
      </c>
      <c r="K1121" s="123">
        <f t="shared" si="180"/>
        <v>5737737.1439362271</v>
      </c>
      <c r="L1121" s="122">
        <f>IF(K1124&gt;0, K1121/K1124, 0)</f>
        <v>0.42344358572899382</v>
      </c>
      <c r="M1121" s="71"/>
      <c r="N1121" s="10">
        <f>ROUND(M1124*L1121,0)</f>
        <v>1600154</v>
      </c>
      <c r="O1121" s="70">
        <v>1657164</v>
      </c>
      <c r="P1121" s="10">
        <f>N1121-O1121</f>
        <v>-57010</v>
      </c>
      <c r="Q1121" s="46">
        <f t="shared" si="179"/>
        <v>-3.4402147282948459</v>
      </c>
      <c r="R1121" s="10">
        <v>507</v>
      </c>
      <c r="S1121" s="7">
        <f t="shared" si="172"/>
        <v>0</v>
      </c>
      <c r="T1121" s="124">
        <f t="shared" si="173"/>
        <v>223</v>
      </c>
      <c r="U1121" s="124">
        <f t="shared" si="174"/>
        <v>755</v>
      </c>
      <c r="V1121" s="124">
        <f t="shared" si="175"/>
        <v>1112</v>
      </c>
      <c r="W1121" s="124">
        <f t="shared" si="176"/>
        <v>499.78459119588996</v>
      </c>
      <c r="X1121" s="124">
        <f t="shared" si="177"/>
        <v>5737737.1439362271</v>
      </c>
      <c r="Y1121" s="264">
        <f t="shared" si="178"/>
        <v>1112</v>
      </c>
      <c r="Z1121" s="10">
        <v>223</v>
      </c>
      <c r="AA1121" s="7">
        <v>755</v>
      </c>
      <c r="AB1121" s="7">
        <v>1112</v>
      </c>
      <c r="AC1121" s="109">
        <v>499.78459119588996</v>
      </c>
      <c r="AD1121" s="109">
        <v>5737737.1439362271</v>
      </c>
      <c r="AE1121" s="125"/>
      <c r="AF1121" s="10"/>
      <c r="AI1121" s="109"/>
      <c r="AJ1121" s="109"/>
      <c r="AL1121" s="10"/>
      <c r="AO1121" s="109"/>
      <c r="AP1121" s="109"/>
      <c r="AR1121" s="10"/>
      <c r="AU1121" s="109"/>
      <c r="AV1121" s="109"/>
      <c r="AX1121" s="10"/>
      <c r="BA1121" s="109"/>
      <c r="BB1121" s="109"/>
      <c r="BD1121" s="10"/>
      <c r="BG1121" s="109"/>
      <c r="BH1121" s="109"/>
      <c r="BJ1121" s="10"/>
      <c r="BM1121" s="109"/>
      <c r="BN1121" s="109"/>
      <c r="BP1121" s="10"/>
      <c r="BS1121" s="109"/>
      <c r="BT1121" s="109"/>
      <c r="BV1121" s="10"/>
      <c r="BY1121" s="109"/>
      <c r="BZ1121" s="109"/>
      <c r="CB1121" s="10"/>
      <c r="CE1121" s="109"/>
      <c r="CF1121" s="109"/>
      <c r="CH1121" s="10"/>
      <c r="CK1121" s="109"/>
      <c r="CL1121" s="109"/>
    </row>
    <row r="1122" spans="1:90">
      <c r="A1122" s="7" t="str">
        <f t="shared" si="171"/>
        <v>02230818</v>
      </c>
      <c r="B1122" s="7" t="s">
        <v>2562</v>
      </c>
      <c r="C1122" s="7" t="s">
        <v>2758</v>
      </c>
      <c r="D1122" s="7">
        <v>1113</v>
      </c>
      <c r="E1122" s="7">
        <v>223</v>
      </c>
      <c r="F1122" s="7" t="s">
        <v>1928</v>
      </c>
      <c r="G1122" s="7">
        <v>818</v>
      </c>
      <c r="H1122" s="7" t="s">
        <v>1685</v>
      </c>
      <c r="I1122" s="37">
        <v>1232756</v>
      </c>
      <c r="J1122" s="122">
        <v>9.2262733840341837E-2</v>
      </c>
      <c r="K1122" s="123">
        <f t="shared" si="180"/>
        <v>1010887.6524954741</v>
      </c>
      <c r="L1122" s="122">
        <f>IF(K1124&gt;0, K1122/K1124, 0)</f>
        <v>7.4603259369283914E-2</v>
      </c>
      <c r="M1122" s="71"/>
      <c r="N1122" s="10">
        <f>ROUND(M1124*L1122,0)</f>
        <v>281919</v>
      </c>
      <c r="O1122" s="70">
        <v>357285</v>
      </c>
      <c r="P1122" s="10">
        <f>N1122-O1122</f>
        <v>-75366</v>
      </c>
      <c r="Q1122" s="46">
        <f t="shared" si="179"/>
        <v>-21.094084554347369</v>
      </c>
      <c r="R1122" s="10">
        <v>76</v>
      </c>
      <c r="S1122" s="7">
        <f t="shared" si="172"/>
        <v>0</v>
      </c>
      <c r="T1122" s="124">
        <f t="shared" si="173"/>
        <v>223</v>
      </c>
      <c r="U1122" s="124">
        <f t="shared" si="174"/>
        <v>818</v>
      </c>
      <c r="V1122" s="124">
        <f t="shared" si="175"/>
        <v>1113</v>
      </c>
      <c r="W1122" s="124">
        <f t="shared" si="176"/>
        <v>61.000000001529997</v>
      </c>
      <c r="X1122" s="124">
        <f t="shared" si="177"/>
        <v>1010887.6524954741</v>
      </c>
      <c r="Y1122" s="264">
        <f t="shared" si="178"/>
        <v>1113</v>
      </c>
      <c r="Z1122" s="10">
        <v>223</v>
      </c>
      <c r="AA1122" s="7">
        <v>818</v>
      </c>
      <c r="AB1122" s="7">
        <v>1113</v>
      </c>
      <c r="AC1122" s="109">
        <v>61.000000001529997</v>
      </c>
      <c r="AD1122" s="109">
        <v>1010887.6524954741</v>
      </c>
      <c r="AE1122" s="125"/>
      <c r="AF1122" s="10"/>
      <c r="AI1122" s="109"/>
      <c r="AJ1122" s="109"/>
      <c r="AL1122" s="10"/>
      <c r="AO1122" s="109"/>
      <c r="AP1122" s="109"/>
      <c r="AR1122" s="10"/>
      <c r="AU1122" s="109"/>
      <c r="AV1122" s="109"/>
      <c r="AX1122" s="10"/>
      <c r="BA1122" s="109"/>
      <c r="BB1122" s="109"/>
      <c r="BD1122" s="10"/>
      <c r="BG1122" s="109"/>
      <c r="BH1122" s="109"/>
      <c r="BJ1122" s="10"/>
      <c r="BM1122" s="109"/>
      <c r="BN1122" s="109"/>
      <c r="BP1122" s="10"/>
      <c r="BS1122" s="109"/>
      <c r="BT1122" s="109"/>
      <c r="BV1122" s="10"/>
      <c r="BY1122" s="109"/>
      <c r="BZ1122" s="109"/>
      <c r="CB1122" s="10"/>
      <c r="CE1122" s="109"/>
      <c r="CF1122" s="109"/>
      <c r="CH1122" s="10"/>
      <c r="CK1122" s="109"/>
      <c r="CL1122" s="109"/>
    </row>
    <row r="1123" spans="1:90">
      <c r="A1123" s="7" t="str">
        <f t="shared" si="171"/>
        <v>02230998</v>
      </c>
      <c r="B1123" s="7" t="s">
        <v>2562</v>
      </c>
      <c r="C1123" s="7" t="s">
        <v>2781</v>
      </c>
      <c r="D1123" s="7">
        <v>1114</v>
      </c>
      <c r="E1123" s="7">
        <v>223</v>
      </c>
      <c r="F1123" s="7" t="s">
        <v>2135</v>
      </c>
      <c r="G1123" s="7">
        <v>998</v>
      </c>
      <c r="H1123" s="7" t="s">
        <v>2135</v>
      </c>
      <c r="I1123" s="37">
        <v>0</v>
      </c>
      <c r="J1123" s="122">
        <v>0</v>
      </c>
      <c r="K1123" s="123">
        <f t="shared" si="180"/>
        <v>0</v>
      </c>
      <c r="L1123" s="122">
        <f>IF(K1124&gt;0, K1123/K1124, 0)</f>
        <v>0</v>
      </c>
      <c r="M1123" s="71"/>
      <c r="N1123" s="10">
        <f>ROUND(M1124*L1123,0)</f>
        <v>0</v>
      </c>
      <c r="O1123" s="70">
        <v>0</v>
      </c>
      <c r="P1123" s="10">
        <f>N1123-O1123</f>
        <v>0</v>
      </c>
      <c r="Q1123" s="46">
        <f t="shared" si="179"/>
        <v>0</v>
      </c>
      <c r="R1123" s="10">
        <v>0</v>
      </c>
      <c r="S1123" s="7">
        <f t="shared" si="172"/>
        <v>0</v>
      </c>
      <c r="T1123" s="124">
        <f t="shared" si="173"/>
        <v>223</v>
      </c>
      <c r="U1123" s="124">
        <f t="shared" si="174"/>
        <v>998</v>
      </c>
      <c r="V1123" s="124">
        <f t="shared" si="175"/>
        <v>1114</v>
      </c>
      <c r="W1123" s="124">
        <f t="shared" si="176"/>
        <v>0</v>
      </c>
      <c r="X1123" s="124">
        <f t="shared" si="177"/>
        <v>0</v>
      </c>
      <c r="Y1123" s="264">
        <f t="shared" si="178"/>
        <v>1114</v>
      </c>
      <c r="Z1123" s="10">
        <v>223</v>
      </c>
      <c r="AA1123" s="7">
        <v>998</v>
      </c>
      <c r="AB1123" s="7">
        <v>1114</v>
      </c>
      <c r="AC1123" s="109">
        <v>0</v>
      </c>
      <c r="AD1123" s="109">
        <v>0</v>
      </c>
      <c r="AE1123" s="125"/>
      <c r="AF1123" s="10"/>
      <c r="AI1123" s="109"/>
      <c r="AJ1123" s="109"/>
      <c r="AL1123" s="10"/>
      <c r="AO1123" s="109"/>
      <c r="AP1123" s="109"/>
      <c r="AR1123" s="10"/>
      <c r="AU1123" s="109"/>
      <c r="AV1123" s="109"/>
      <c r="AX1123" s="10"/>
      <c r="BA1123" s="109"/>
      <c r="BB1123" s="109"/>
      <c r="BD1123" s="10"/>
      <c r="BG1123" s="109"/>
      <c r="BH1123" s="109"/>
      <c r="BJ1123" s="10"/>
      <c r="BM1123" s="109"/>
      <c r="BN1123" s="109"/>
      <c r="BP1123" s="10"/>
      <c r="BS1123" s="109"/>
      <c r="BT1123" s="109"/>
      <c r="BV1123" s="10"/>
      <c r="BY1123" s="109"/>
      <c r="BZ1123" s="109"/>
      <c r="CB1123" s="10"/>
      <c r="CE1123" s="109"/>
      <c r="CF1123" s="109"/>
      <c r="CH1123" s="10"/>
      <c r="CK1123" s="109"/>
      <c r="CL1123" s="109"/>
    </row>
    <row r="1124" spans="1:90">
      <c r="A1124" s="7" t="str">
        <f t="shared" si="171"/>
        <v>02230999</v>
      </c>
      <c r="B1124" s="7" t="s">
        <v>2562</v>
      </c>
      <c r="C1124" s="7" t="s">
        <v>2782</v>
      </c>
      <c r="D1124" s="7">
        <v>1115</v>
      </c>
      <c r="E1124" s="11">
        <v>223</v>
      </c>
      <c r="F1124" s="11" t="s">
        <v>1928</v>
      </c>
      <c r="G1124" s="11">
        <v>999</v>
      </c>
      <c r="H1124" s="11" t="s">
        <v>1132</v>
      </c>
      <c r="I1124" s="105">
        <v>13361364.32</v>
      </c>
      <c r="J1124" s="126">
        <v>1</v>
      </c>
      <c r="K1124" s="127">
        <f>SUM(K1120:K1123)</f>
        <v>13550180.796948969</v>
      </c>
      <c r="L1124" s="126">
        <f>SUM(L1120:L1123)</f>
        <v>1</v>
      </c>
      <c r="M1124" s="105">
        <f>VLOOKUP(E1124,town351,22)</f>
        <v>3778908</v>
      </c>
      <c r="N1124" s="105">
        <f>SUM(N1120:N1123)</f>
        <v>3778908</v>
      </c>
      <c r="O1124" s="128">
        <v>3872478</v>
      </c>
      <c r="P1124" s="105">
        <f>SUM(P1120:P1123)</f>
        <v>-93570</v>
      </c>
      <c r="Q1124" s="45">
        <f t="shared" si="179"/>
        <v>-2.4162822874655454</v>
      </c>
      <c r="R1124" s="105">
        <v>1179</v>
      </c>
      <c r="S1124" s="7">
        <f t="shared" si="172"/>
        <v>0</v>
      </c>
      <c r="T1124" s="124">
        <f t="shared" si="173"/>
        <v>223</v>
      </c>
      <c r="U1124" s="124">
        <f t="shared" si="174"/>
        <v>999</v>
      </c>
      <c r="V1124" s="124">
        <f t="shared" si="175"/>
        <v>1115</v>
      </c>
      <c r="W1124" s="124">
        <f t="shared" si="176"/>
        <v>1175.78459119742</v>
      </c>
      <c r="X1124" s="124">
        <f t="shared" si="177"/>
        <v>13550180.796948969</v>
      </c>
      <c r="Y1124" s="264">
        <f t="shared" si="178"/>
        <v>1115</v>
      </c>
      <c r="Z1124" s="10">
        <v>223</v>
      </c>
      <c r="AA1124" s="7">
        <v>999</v>
      </c>
      <c r="AB1124" s="7">
        <v>1115</v>
      </c>
      <c r="AC1124" s="109">
        <v>1175.78459119742</v>
      </c>
      <c r="AD1124" s="109">
        <v>13550180.796948969</v>
      </c>
      <c r="AE1124" s="125"/>
      <c r="AF1124" s="10"/>
      <c r="AI1124" s="109"/>
      <c r="AJ1124" s="109"/>
      <c r="AL1124" s="10"/>
      <c r="AO1124" s="109"/>
      <c r="AP1124" s="109"/>
      <c r="AR1124" s="10"/>
      <c r="AU1124" s="109"/>
      <c r="AV1124" s="109"/>
      <c r="AX1124" s="10"/>
      <c r="BA1124" s="109"/>
      <c r="BB1124" s="109"/>
      <c r="BD1124" s="10"/>
      <c r="BG1124" s="109"/>
      <c r="BH1124" s="109"/>
      <c r="BJ1124" s="10"/>
      <c r="BM1124" s="109"/>
      <c r="BN1124" s="109"/>
      <c r="BP1124" s="10"/>
      <c r="BS1124" s="109"/>
      <c r="BT1124" s="109"/>
      <c r="BV1124" s="10"/>
      <c r="BY1124" s="109"/>
      <c r="BZ1124" s="109"/>
      <c r="CB1124" s="10"/>
      <c r="CE1124" s="109"/>
      <c r="CF1124" s="109"/>
      <c r="CH1124" s="10"/>
      <c r="CK1124" s="109"/>
      <c r="CL1124" s="109"/>
    </row>
    <row r="1125" spans="1:90">
      <c r="A1125" s="7" t="str">
        <f t="shared" si="171"/>
        <v>02240224</v>
      </c>
      <c r="B1125" s="7" t="s">
        <v>2563</v>
      </c>
      <c r="C1125" s="7" t="s">
        <v>2563</v>
      </c>
      <c r="D1125" s="7">
        <v>1116</v>
      </c>
      <c r="E1125" s="7">
        <v>224</v>
      </c>
      <c r="F1125" s="7" t="s">
        <v>1929</v>
      </c>
      <c r="G1125" s="7">
        <v>224</v>
      </c>
      <c r="H1125" s="7" t="s">
        <v>1490</v>
      </c>
      <c r="I1125" s="37">
        <v>2091738.9399999997</v>
      </c>
      <c r="J1125" s="122">
        <v>0.43086262909504625</v>
      </c>
      <c r="K1125" s="123">
        <f>X1125</f>
        <v>2186402.5084648258</v>
      </c>
      <c r="L1125" s="122">
        <f>IF(K1129&gt;0, K1125/K1129, 0)</f>
        <v>0.44844733751308441</v>
      </c>
      <c r="M1125" s="71"/>
      <c r="N1125" s="10">
        <f>ROUND(M1129*L1125,0)</f>
        <v>1814388</v>
      </c>
      <c r="O1125" s="70">
        <v>1737899</v>
      </c>
      <c r="P1125" s="10">
        <f>N1125-O1125</f>
        <v>76489</v>
      </c>
      <c r="Q1125" s="46">
        <f t="shared" si="179"/>
        <v>4.4012339036963599</v>
      </c>
      <c r="R1125" s="10">
        <v>217</v>
      </c>
      <c r="S1125" s="7">
        <f t="shared" si="172"/>
        <v>0</v>
      </c>
      <c r="T1125" s="124">
        <f t="shared" si="173"/>
        <v>224</v>
      </c>
      <c r="U1125" s="124">
        <f t="shared" si="174"/>
        <v>224</v>
      </c>
      <c r="V1125" s="124">
        <f t="shared" si="175"/>
        <v>1116</v>
      </c>
      <c r="W1125" s="124">
        <f t="shared" si="176"/>
        <v>220</v>
      </c>
      <c r="X1125" s="124">
        <f t="shared" si="177"/>
        <v>2186402.5084648258</v>
      </c>
      <c r="Y1125" s="264">
        <f t="shared" si="178"/>
        <v>1116</v>
      </c>
      <c r="Z1125" s="10">
        <v>224</v>
      </c>
      <c r="AA1125" s="7">
        <v>224</v>
      </c>
      <c r="AB1125" s="7">
        <v>1116</v>
      </c>
      <c r="AC1125" s="109">
        <v>220</v>
      </c>
      <c r="AD1125" s="109">
        <v>2186402.5084648258</v>
      </c>
      <c r="AE1125" s="125"/>
      <c r="AF1125" s="10"/>
      <c r="AI1125" s="109"/>
      <c r="AJ1125" s="109"/>
      <c r="AL1125" s="10"/>
      <c r="AO1125" s="109"/>
      <c r="AP1125" s="109"/>
      <c r="AR1125" s="10"/>
      <c r="AU1125" s="109"/>
      <c r="AV1125" s="109"/>
      <c r="AX1125" s="10"/>
      <c r="BA1125" s="109"/>
      <c r="BB1125" s="109"/>
      <c r="BD1125" s="10"/>
      <c r="BG1125" s="109"/>
      <c r="BH1125" s="109"/>
      <c r="BJ1125" s="10"/>
      <c r="BM1125" s="109"/>
      <c r="BN1125" s="109"/>
      <c r="BP1125" s="10"/>
      <c r="BS1125" s="109"/>
      <c r="BT1125" s="109"/>
      <c r="BV1125" s="10"/>
      <c r="BY1125" s="109"/>
      <c r="BZ1125" s="109"/>
      <c r="CB1125" s="10"/>
      <c r="CE1125" s="109"/>
      <c r="CF1125" s="109"/>
      <c r="CH1125" s="10"/>
      <c r="CK1125" s="109"/>
      <c r="CL1125" s="109"/>
    </row>
    <row r="1126" spans="1:90">
      <c r="A1126" s="7" t="str">
        <f t="shared" si="171"/>
        <v>02240660</v>
      </c>
      <c r="B1126" s="7" t="s">
        <v>2563</v>
      </c>
      <c r="C1126" s="7" t="s">
        <v>2711</v>
      </c>
      <c r="D1126" s="7">
        <v>1117</v>
      </c>
      <c r="E1126" s="7">
        <v>224</v>
      </c>
      <c r="F1126" s="7" t="s">
        <v>1929</v>
      </c>
      <c r="G1126" s="7">
        <v>660</v>
      </c>
      <c r="H1126" s="7" t="s">
        <v>1638</v>
      </c>
      <c r="I1126" s="37">
        <v>2555472</v>
      </c>
      <c r="J1126" s="122">
        <v>0.52638374868078719</v>
      </c>
      <c r="K1126" s="123">
        <f t="shared" si="180"/>
        <v>2443106.9729806012</v>
      </c>
      <c r="L1126" s="122">
        <f>IF(K1129&gt;0, K1126/K1129, 0)</f>
        <v>0.50109932322666262</v>
      </c>
      <c r="M1126" s="71"/>
      <c r="N1126" s="10">
        <f>ROUND(M1129*L1126,0)</f>
        <v>2027414</v>
      </c>
      <c r="O1126" s="70">
        <v>2123187</v>
      </c>
      <c r="P1126" s="10">
        <f>N1126-O1126</f>
        <v>-95773</v>
      </c>
      <c r="Q1126" s="46">
        <f t="shared" si="179"/>
        <v>-4.5108132255896445</v>
      </c>
      <c r="R1126" s="10">
        <v>244</v>
      </c>
      <c r="S1126" s="7">
        <f t="shared" si="172"/>
        <v>0</v>
      </c>
      <c r="T1126" s="124">
        <f t="shared" si="173"/>
        <v>224</v>
      </c>
      <c r="U1126" s="124">
        <f t="shared" si="174"/>
        <v>660</v>
      </c>
      <c r="V1126" s="124">
        <f t="shared" si="175"/>
        <v>1117</v>
      </c>
      <c r="W1126" s="124">
        <f t="shared" si="176"/>
        <v>231.39119390842001</v>
      </c>
      <c r="X1126" s="124">
        <f t="shared" si="177"/>
        <v>2443106.9729806012</v>
      </c>
      <c r="Y1126" s="264">
        <f t="shared" si="178"/>
        <v>1117</v>
      </c>
      <c r="Z1126" s="10">
        <v>224</v>
      </c>
      <c r="AA1126" s="7">
        <v>660</v>
      </c>
      <c r="AB1126" s="7">
        <v>1117</v>
      </c>
      <c r="AC1126" s="109">
        <v>231.39119390842001</v>
      </c>
      <c r="AD1126" s="109">
        <v>2443106.9729806012</v>
      </c>
      <c r="AE1126" s="125"/>
      <c r="AF1126" s="10"/>
      <c r="AI1126" s="109"/>
      <c r="AJ1126" s="109"/>
      <c r="AL1126" s="10"/>
      <c r="AO1126" s="109"/>
      <c r="AP1126" s="109"/>
      <c r="AR1126" s="10"/>
      <c r="AU1126" s="109"/>
      <c r="AV1126" s="109"/>
      <c r="AX1126" s="10"/>
      <c r="BA1126" s="109"/>
      <c r="BB1126" s="109"/>
      <c r="BD1126" s="10"/>
      <c r="BG1126" s="109"/>
      <c r="BH1126" s="109"/>
      <c r="BJ1126" s="10"/>
      <c r="BM1126" s="109"/>
      <c r="BN1126" s="109"/>
      <c r="BP1126" s="10"/>
      <c r="BS1126" s="109"/>
      <c r="BT1126" s="109"/>
      <c r="BV1126" s="10"/>
      <c r="BY1126" s="109"/>
      <c r="BZ1126" s="109"/>
      <c r="CB1126" s="10"/>
      <c r="CE1126" s="109"/>
      <c r="CF1126" s="109"/>
      <c r="CH1126" s="10"/>
      <c r="CK1126" s="109"/>
      <c r="CL1126" s="109"/>
    </row>
    <row r="1127" spans="1:90">
      <c r="A1127" s="7" t="str">
        <f t="shared" si="171"/>
        <v>02240815</v>
      </c>
      <c r="B1127" s="7" t="s">
        <v>2563</v>
      </c>
      <c r="C1127" s="7" t="s">
        <v>2756</v>
      </c>
      <c r="D1127" s="7">
        <v>1118</v>
      </c>
      <c r="E1127" s="7">
        <v>224</v>
      </c>
      <c r="F1127" s="7" t="s">
        <v>1929</v>
      </c>
      <c r="G1127" s="7">
        <v>815</v>
      </c>
      <c r="H1127" s="7" t="s">
        <v>1683</v>
      </c>
      <c r="I1127" s="37">
        <v>207559</v>
      </c>
      <c r="J1127" s="122">
        <v>4.2753622224166614E-2</v>
      </c>
      <c r="K1127" s="123">
        <f t="shared" si="180"/>
        <v>245984.97591888407</v>
      </c>
      <c r="L1127" s="122">
        <f>IF(K1129&gt;0, K1127/K1129, 0)</f>
        <v>5.0453339260252868E-2</v>
      </c>
      <c r="M1127" s="71"/>
      <c r="N1127" s="10">
        <f>ROUND(M1129*L1127,0)</f>
        <v>204131</v>
      </c>
      <c r="O1127" s="70">
        <v>172448</v>
      </c>
      <c r="P1127" s="10">
        <f>N1127-O1127</f>
        <v>31683</v>
      </c>
      <c r="Q1127" s="46">
        <f t="shared" si="179"/>
        <v>18.372494897012434</v>
      </c>
      <c r="R1127" s="10">
        <v>13</v>
      </c>
      <c r="S1127" s="7">
        <f t="shared" si="172"/>
        <v>0</v>
      </c>
      <c r="T1127" s="124">
        <f t="shared" si="173"/>
        <v>224</v>
      </c>
      <c r="U1127" s="124">
        <f t="shared" si="174"/>
        <v>815</v>
      </c>
      <c r="V1127" s="124">
        <f t="shared" si="175"/>
        <v>1118</v>
      </c>
      <c r="W1127" s="124">
        <f t="shared" si="176"/>
        <v>15.000000000650001</v>
      </c>
      <c r="X1127" s="124">
        <f t="shared" si="177"/>
        <v>245984.97591888407</v>
      </c>
      <c r="Y1127" s="264">
        <f t="shared" si="178"/>
        <v>1118</v>
      </c>
      <c r="Z1127" s="10">
        <v>224</v>
      </c>
      <c r="AA1127" s="7">
        <v>815</v>
      </c>
      <c r="AB1127" s="7">
        <v>1118</v>
      </c>
      <c r="AC1127" s="109">
        <v>15.000000000650001</v>
      </c>
      <c r="AD1127" s="109">
        <v>245984.97591888407</v>
      </c>
      <c r="AE1127" s="125"/>
      <c r="AF1127" s="10"/>
      <c r="AI1127" s="109"/>
      <c r="AJ1127" s="109"/>
      <c r="AL1127" s="10"/>
      <c r="AO1127" s="109"/>
      <c r="AP1127" s="109"/>
      <c r="AR1127" s="10"/>
      <c r="AU1127" s="109"/>
      <c r="AV1127" s="109"/>
      <c r="AX1127" s="10"/>
      <c r="BA1127" s="109"/>
      <c r="BB1127" s="109"/>
      <c r="BD1127" s="10"/>
      <c r="BG1127" s="109"/>
      <c r="BH1127" s="109"/>
      <c r="BJ1127" s="10"/>
      <c r="BM1127" s="109"/>
      <c r="BN1127" s="109"/>
      <c r="BP1127" s="10"/>
      <c r="BS1127" s="109"/>
      <c r="BT1127" s="109"/>
      <c r="BV1127" s="10"/>
      <c r="BY1127" s="109"/>
      <c r="BZ1127" s="109"/>
      <c r="CB1127" s="10"/>
      <c r="CE1127" s="109"/>
      <c r="CF1127" s="109"/>
      <c r="CH1127" s="10"/>
      <c r="CK1127" s="109"/>
      <c r="CL1127" s="109"/>
    </row>
    <row r="1128" spans="1:90">
      <c r="A1128" s="7" t="str">
        <f t="shared" si="171"/>
        <v>02240998</v>
      </c>
      <c r="B1128" s="7" t="s">
        <v>2563</v>
      </c>
      <c r="C1128" s="7" t="s">
        <v>2781</v>
      </c>
      <c r="D1128" s="7">
        <v>1119</v>
      </c>
      <c r="E1128" s="7">
        <v>224</v>
      </c>
      <c r="F1128" s="7" t="s">
        <v>2135</v>
      </c>
      <c r="G1128" s="7">
        <v>998</v>
      </c>
      <c r="H1128" s="7" t="s">
        <v>2135</v>
      </c>
      <c r="I1128" s="37">
        <v>0</v>
      </c>
      <c r="J1128" s="122">
        <v>0</v>
      </c>
      <c r="K1128" s="123">
        <f t="shared" si="180"/>
        <v>0</v>
      </c>
      <c r="L1128" s="122">
        <f>IF(K1129&gt;0, K1128/K1129, 0)</f>
        <v>0</v>
      </c>
      <c r="M1128" s="71"/>
      <c r="N1128" s="10">
        <f>ROUND(M1129*L1128,0)</f>
        <v>0</v>
      </c>
      <c r="O1128" s="70">
        <v>0</v>
      </c>
      <c r="P1128" s="10">
        <f>N1128-O1128</f>
        <v>0</v>
      </c>
      <c r="Q1128" s="46">
        <f t="shared" si="179"/>
        <v>0</v>
      </c>
      <c r="R1128" s="10">
        <v>0</v>
      </c>
      <c r="S1128" s="7">
        <f t="shared" si="172"/>
        <v>0</v>
      </c>
      <c r="T1128" s="124">
        <f t="shared" si="173"/>
        <v>224</v>
      </c>
      <c r="U1128" s="124">
        <f t="shared" si="174"/>
        <v>998</v>
      </c>
      <c r="V1128" s="124">
        <f t="shared" si="175"/>
        <v>1119</v>
      </c>
      <c r="W1128" s="124">
        <f t="shared" si="176"/>
        <v>0</v>
      </c>
      <c r="X1128" s="124">
        <f t="shared" si="177"/>
        <v>0</v>
      </c>
      <c r="Y1128" s="264">
        <f t="shared" si="178"/>
        <v>1119</v>
      </c>
      <c r="Z1128" s="10">
        <v>224</v>
      </c>
      <c r="AA1128" s="7">
        <v>998</v>
      </c>
      <c r="AB1128" s="7">
        <v>1119</v>
      </c>
      <c r="AC1128" s="109">
        <v>0</v>
      </c>
      <c r="AD1128" s="109">
        <v>0</v>
      </c>
      <c r="AE1128" s="125"/>
      <c r="AF1128" s="10"/>
      <c r="AI1128" s="109"/>
      <c r="AJ1128" s="109"/>
      <c r="AL1128" s="10"/>
      <c r="AO1128" s="109"/>
      <c r="AP1128" s="109"/>
      <c r="AR1128" s="10"/>
      <c r="AU1128" s="109"/>
      <c r="AV1128" s="109"/>
      <c r="AX1128" s="10"/>
      <c r="BA1128" s="109"/>
      <c r="BB1128" s="109"/>
      <c r="BD1128" s="10"/>
      <c r="BG1128" s="109"/>
      <c r="BH1128" s="109"/>
      <c r="BJ1128" s="10"/>
      <c r="BM1128" s="109"/>
      <c r="BN1128" s="109"/>
      <c r="BP1128" s="10"/>
      <c r="BS1128" s="109"/>
      <c r="BT1128" s="109"/>
      <c r="BV1128" s="10"/>
      <c r="BY1128" s="109"/>
      <c r="BZ1128" s="109"/>
      <c r="CB1128" s="10"/>
      <c r="CE1128" s="109"/>
      <c r="CF1128" s="109"/>
      <c r="CH1128" s="10"/>
      <c r="CK1128" s="109"/>
      <c r="CL1128" s="109"/>
    </row>
    <row r="1129" spans="1:90">
      <c r="A1129" s="7" t="str">
        <f t="shared" si="171"/>
        <v>02240999</v>
      </c>
      <c r="B1129" s="7" t="s">
        <v>2563</v>
      </c>
      <c r="C1129" s="7" t="s">
        <v>2782</v>
      </c>
      <c r="D1129" s="7">
        <v>1120</v>
      </c>
      <c r="E1129" s="11">
        <v>224</v>
      </c>
      <c r="F1129" s="11" t="s">
        <v>1929</v>
      </c>
      <c r="G1129" s="11">
        <v>999</v>
      </c>
      <c r="H1129" s="11" t="s">
        <v>1132</v>
      </c>
      <c r="I1129" s="105">
        <v>4854769.9399999995</v>
      </c>
      <c r="J1129" s="126">
        <v>1</v>
      </c>
      <c r="K1129" s="127">
        <f>SUM(K1125:K1128)</f>
        <v>4875494.4573643114</v>
      </c>
      <c r="L1129" s="126">
        <f>SUM(L1125:L1128)</f>
        <v>0.99999999999999989</v>
      </c>
      <c r="M1129" s="105">
        <f>VLOOKUP(E1129,town351,22)</f>
        <v>4045933</v>
      </c>
      <c r="N1129" s="105">
        <f>SUM(N1125:N1128)</f>
        <v>4045933</v>
      </c>
      <c r="O1129" s="128">
        <v>4033534</v>
      </c>
      <c r="P1129" s="105">
        <f>SUM(P1125:P1128)</f>
        <v>12399</v>
      </c>
      <c r="Q1129" s="45">
        <f t="shared" si="179"/>
        <v>0.30739792945838562</v>
      </c>
      <c r="R1129" s="105">
        <v>474</v>
      </c>
      <c r="S1129" s="7">
        <f t="shared" si="172"/>
        <v>0</v>
      </c>
      <c r="T1129" s="124">
        <f t="shared" si="173"/>
        <v>224</v>
      </c>
      <c r="U1129" s="124">
        <f t="shared" si="174"/>
        <v>999</v>
      </c>
      <c r="V1129" s="124">
        <f t="shared" si="175"/>
        <v>1120</v>
      </c>
      <c r="W1129" s="124">
        <f t="shared" si="176"/>
        <v>466.39119390907001</v>
      </c>
      <c r="X1129" s="124">
        <f t="shared" si="177"/>
        <v>4875494.4573643114</v>
      </c>
      <c r="Y1129" s="264">
        <f t="shared" si="178"/>
        <v>1120</v>
      </c>
      <c r="Z1129" s="10">
        <v>224</v>
      </c>
      <c r="AA1129" s="7">
        <v>999</v>
      </c>
      <c r="AB1129" s="7">
        <v>1120</v>
      </c>
      <c r="AC1129" s="109">
        <v>466.39119390907001</v>
      </c>
      <c r="AD1129" s="109">
        <v>4875494.4573643114</v>
      </c>
      <c r="AE1129" s="125"/>
      <c r="AF1129" s="10"/>
      <c r="AI1129" s="109"/>
      <c r="AJ1129" s="109"/>
      <c r="AL1129" s="10"/>
      <c r="AO1129" s="109"/>
      <c r="AP1129" s="109"/>
      <c r="AR1129" s="10"/>
      <c r="AU1129" s="109"/>
      <c r="AV1129" s="109"/>
      <c r="AX1129" s="10"/>
      <c r="BA1129" s="109"/>
      <c r="BB1129" s="109"/>
      <c r="BD1129" s="10"/>
      <c r="BG1129" s="109"/>
      <c r="BH1129" s="109"/>
      <c r="BJ1129" s="10"/>
      <c r="BM1129" s="109"/>
      <c r="BN1129" s="109"/>
      <c r="BP1129" s="10"/>
      <c r="BS1129" s="109"/>
      <c r="BT1129" s="109"/>
      <c r="BV1129" s="10"/>
      <c r="BY1129" s="109"/>
      <c r="BZ1129" s="109"/>
      <c r="CB1129" s="10"/>
      <c r="CE1129" s="109"/>
      <c r="CF1129" s="109"/>
      <c r="CH1129" s="10"/>
      <c r="CK1129" s="109"/>
      <c r="CL1129" s="109"/>
    </row>
    <row r="1130" spans="1:90">
      <c r="A1130" s="7" t="str">
        <f t="shared" si="171"/>
        <v>02250225</v>
      </c>
      <c r="B1130" s="7" t="s">
        <v>2564</v>
      </c>
      <c r="C1130" s="7" t="s">
        <v>2564</v>
      </c>
      <c r="D1130" s="7">
        <v>1121</v>
      </c>
      <c r="E1130" s="7">
        <v>225</v>
      </c>
      <c r="F1130" s="7" t="s">
        <v>1930</v>
      </c>
      <c r="G1130" s="7">
        <v>225</v>
      </c>
      <c r="H1130" s="7" t="s">
        <v>1491</v>
      </c>
      <c r="I1130" s="37">
        <v>0</v>
      </c>
      <c r="J1130" s="122">
        <v>0</v>
      </c>
      <c r="K1130" s="123">
        <f>X1130</f>
        <v>0</v>
      </c>
      <c r="L1130" s="122">
        <f>IF(K1134&gt;0, K1130/K1134, 0)</f>
        <v>0</v>
      </c>
      <c r="M1130" s="71"/>
      <c r="N1130" s="10">
        <f>ROUND(M1134*L1130,0)</f>
        <v>0</v>
      </c>
      <c r="O1130" s="70">
        <v>0</v>
      </c>
      <c r="P1130" s="10">
        <f>N1130-O1130</f>
        <v>0</v>
      </c>
      <c r="Q1130" s="46">
        <f t="shared" si="179"/>
        <v>0</v>
      </c>
      <c r="R1130" s="10">
        <v>0</v>
      </c>
      <c r="S1130" s="7">
        <f t="shared" si="172"/>
        <v>0</v>
      </c>
      <c r="T1130" s="124">
        <f t="shared" si="173"/>
        <v>225</v>
      </c>
      <c r="U1130" s="124">
        <f t="shared" si="174"/>
        <v>225</v>
      </c>
      <c r="V1130" s="124">
        <f t="shared" si="175"/>
        <v>1121</v>
      </c>
      <c r="W1130" s="124">
        <f t="shared" si="176"/>
        <v>0</v>
      </c>
      <c r="X1130" s="124">
        <f t="shared" si="177"/>
        <v>0</v>
      </c>
      <c r="Y1130" s="264">
        <f t="shared" si="178"/>
        <v>1121</v>
      </c>
      <c r="Z1130" s="10">
        <v>225</v>
      </c>
      <c r="AA1130" s="7">
        <v>225</v>
      </c>
      <c r="AB1130" s="7">
        <v>1121</v>
      </c>
      <c r="AC1130" s="109">
        <v>0</v>
      </c>
      <c r="AD1130" s="109">
        <v>0</v>
      </c>
      <c r="AE1130" s="125"/>
      <c r="AF1130" s="10"/>
      <c r="AI1130" s="109"/>
      <c r="AJ1130" s="109"/>
      <c r="AL1130" s="10"/>
      <c r="AO1130" s="109"/>
      <c r="AP1130" s="109"/>
      <c r="AR1130" s="10"/>
      <c r="AU1130" s="109"/>
      <c r="AV1130" s="109"/>
      <c r="AX1130" s="10"/>
      <c r="BA1130" s="109"/>
      <c r="BB1130" s="109"/>
      <c r="BD1130" s="10"/>
      <c r="BG1130" s="109"/>
      <c r="BH1130" s="109"/>
      <c r="BJ1130" s="10"/>
      <c r="BM1130" s="109"/>
      <c r="BN1130" s="109"/>
      <c r="BP1130" s="10"/>
      <c r="BS1130" s="109"/>
      <c r="BT1130" s="109"/>
      <c r="BV1130" s="10"/>
      <c r="BY1130" s="109"/>
      <c r="BZ1130" s="109"/>
      <c r="CB1130" s="10"/>
      <c r="CE1130" s="109"/>
      <c r="CF1130" s="109"/>
      <c r="CH1130" s="10"/>
      <c r="CK1130" s="109"/>
      <c r="CL1130" s="109"/>
    </row>
    <row r="1131" spans="1:90">
      <c r="A1131" s="7" t="str">
        <f t="shared" si="171"/>
        <v>02250662</v>
      </c>
      <c r="B1131" s="7" t="s">
        <v>2564</v>
      </c>
      <c r="C1131" s="7" t="s">
        <v>2712</v>
      </c>
      <c r="D1131" s="7">
        <v>1122</v>
      </c>
      <c r="E1131" s="7">
        <v>225</v>
      </c>
      <c r="F1131" s="7" t="s">
        <v>1930</v>
      </c>
      <c r="G1131" s="7">
        <v>662</v>
      </c>
      <c r="H1131" s="7" t="s">
        <v>1639</v>
      </c>
      <c r="I1131" s="37">
        <v>1547692</v>
      </c>
      <c r="J1131" s="122">
        <v>1</v>
      </c>
      <c r="K1131" s="123">
        <f t="shared" si="180"/>
        <v>1514902.1916247443</v>
      </c>
      <c r="L1131" s="122">
        <f>IF(K1134&gt;0, K1131/K1134, 0)</f>
        <v>1</v>
      </c>
      <c r="M1131" s="71"/>
      <c r="N1131" s="10">
        <f>ROUND(M1134*L1131,0)</f>
        <v>1261733</v>
      </c>
      <c r="O1131" s="70">
        <v>1294185</v>
      </c>
      <c r="P1131" s="10">
        <f>N1131-O1131</f>
        <v>-32452</v>
      </c>
      <c r="Q1131" s="46">
        <f t="shared" si="179"/>
        <v>-2.5075240402260883</v>
      </c>
      <c r="R1131" s="10">
        <v>156</v>
      </c>
      <c r="S1131" s="7">
        <f t="shared" si="172"/>
        <v>0</v>
      </c>
      <c r="T1131" s="124">
        <f t="shared" si="173"/>
        <v>225</v>
      </c>
      <c r="U1131" s="124">
        <f t="shared" si="174"/>
        <v>662</v>
      </c>
      <c r="V1131" s="124">
        <f t="shared" si="175"/>
        <v>1122</v>
      </c>
      <c r="W1131" s="124">
        <f t="shared" si="176"/>
        <v>152.19742489251999</v>
      </c>
      <c r="X1131" s="124">
        <f t="shared" si="177"/>
        <v>1514902.1916247443</v>
      </c>
      <c r="Y1131" s="264">
        <f t="shared" si="178"/>
        <v>1122</v>
      </c>
      <c r="Z1131" s="10">
        <v>225</v>
      </c>
      <c r="AA1131" s="7">
        <v>662</v>
      </c>
      <c r="AB1131" s="7">
        <v>1122</v>
      </c>
      <c r="AC1131" s="109">
        <v>152.19742489251999</v>
      </c>
      <c r="AD1131" s="109">
        <v>1514902.1916247443</v>
      </c>
      <c r="AE1131" s="125"/>
      <c r="AF1131" s="10"/>
      <c r="AI1131" s="109"/>
      <c r="AJ1131" s="109"/>
      <c r="AL1131" s="10"/>
      <c r="AO1131" s="109"/>
      <c r="AP1131" s="109"/>
      <c r="AR1131" s="10"/>
      <c r="AU1131" s="109"/>
      <c r="AV1131" s="109"/>
      <c r="AX1131" s="10"/>
      <c r="BA1131" s="109"/>
      <c r="BB1131" s="109"/>
      <c r="BD1131" s="10"/>
      <c r="BG1131" s="109"/>
      <c r="BH1131" s="109"/>
      <c r="BJ1131" s="10"/>
      <c r="BM1131" s="109"/>
      <c r="BN1131" s="109"/>
      <c r="BP1131" s="10"/>
      <c r="BS1131" s="109"/>
      <c r="BT1131" s="109"/>
      <c r="BV1131" s="10"/>
      <c r="BY1131" s="109"/>
      <c r="BZ1131" s="109"/>
      <c r="CB1131" s="10"/>
      <c r="CE1131" s="109"/>
      <c r="CF1131" s="109"/>
      <c r="CH1131" s="10"/>
      <c r="CK1131" s="109"/>
      <c r="CL1131" s="109"/>
    </row>
    <row r="1132" spans="1:90">
      <c r="A1132" s="7" t="str">
        <f t="shared" si="171"/>
        <v>02250998</v>
      </c>
      <c r="B1132" s="7" t="s">
        <v>2564</v>
      </c>
      <c r="C1132" s="7" t="s">
        <v>2781</v>
      </c>
      <c r="D1132" s="7">
        <v>1123</v>
      </c>
      <c r="E1132" s="7">
        <v>225</v>
      </c>
      <c r="F1132" s="7" t="s">
        <v>2135</v>
      </c>
      <c r="G1132" s="7">
        <v>998</v>
      </c>
      <c r="H1132" s="7" t="s">
        <v>2135</v>
      </c>
      <c r="I1132" s="37">
        <v>0</v>
      </c>
      <c r="J1132" s="122">
        <v>0</v>
      </c>
      <c r="K1132" s="123">
        <f t="shared" si="180"/>
        <v>0</v>
      </c>
      <c r="L1132" s="122">
        <f>IF(K1134&gt;0, K1132/K1134, 0)</f>
        <v>0</v>
      </c>
      <c r="M1132" s="71"/>
      <c r="N1132" s="10">
        <f>ROUND(M1134*L1132,0)</f>
        <v>0</v>
      </c>
      <c r="O1132" s="70">
        <v>0</v>
      </c>
      <c r="P1132" s="10">
        <f>N1132-O1132</f>
        <v>0</v>
      </c>
      <c r="Q1132" s="46">
        <f t="shared" si="179"/>
        <v>0</v>
      </c>
      <c r="R1132" s="10">
        <v>0</v>
      </c>
      <c r="S1132" s="7">
        <f t="shared" si="172"/>
        <v>0</v>
      </c>
      <c r="T1132" s="124">
        <f t="shared" si="173"/>
        <v>225</v>
      </c>
      <c r="U1132" s="124">
        <f t="shared" si="174"/>
        <v>998</v>
      </c>
      <c r="V1132" s="124">
        <f t="shared" si="175"/>
        <v>1123</v>
      </c>
      <c r="W1132" s="124">
        <f t="shared" si="176"/>
        <v>0</v>
      </c>
      <c r="X1132" s="124">
        <f t="shared" si="177"/>
        <v>0</v>
      </c>
      <c r="Y1132" s="264">
        <f t="shared" si="178"/>
        <v>1123</v>
      </c>
      <c r="Z1132" s="10">
        <v>225</v>
      </c>
      <c r="AA1132" s="7">
        <v>998</v>
      </c>
      <c r="AB1132" s="7">
        <v>1123</v>
      </c>
      <c r="AC1132" s="109">
        <v>0</v>
      </c>
      <c r="AD1132" s="109">
        <v>0</v>
      </c>
      <c r="AE1132" s="125"/>
      <c r="AF1132" s="10"/>
      <c r="AI1132" s="109"/>
      <c r="AJ1132" s="109"/>
      <c r="AL1132" s="10"/>
      <c r="AO1132" s="109"/>
      <c r="AP1132" s="109"/>
      <c r="AR1132" s="10"/>
      <c r="AU1132" s="109"/>
      <c r="AV1132" s="109"/>
      <c r="AX1132" s="10"/>
      <c r="BA1132" s="109"/>
      <c r="BB1132" s="109"/>
      <c r="BD1132" s="10"/>
      <c r="BG1132" s="109"/>
      <c r="BH1132" s="109"/>
      <c r="BJ1132" s="10"/>
      <c r="BM1132" s="109"/>
      <c r="BN1132" s="109"/>
      <c r="BP1132" s="10"/>
      <c r="BS1132" s="109"/>
      <c r="BT1132" s="109"/>
      <c r="BV1132" s="10"/>
      <c r="BY1132" s="109"/>
      <c r="BZ1132" s="109"/>
      <c r="CB1132" s="10"/>
      <c r="CE1132" s="109"/>
      <c r="CF1132" s="109"/>
      <c r="CH1132" s="10"/>
      <c r="CK1132" s="109"/>
      <c r="CL1132" s="109"/>
    </row>
    <row r="1133" spans="1:90">
      <c r="A1133" s="7" t="str">
        <f t="shared" si="171"/>
        <v>02250998</v>
      </c>
      <c r="B1133" s="7" t="s">
        <v>2564</v>
      </c>
      <c r="C1133" s="7" t="s">
        <v>2781</v>
      </c>
      <c r="D1133" s="7">
        <v>1124</v>
      </c>
      <c r="E1133" s="7">
        <v>225</v>
      </c>
      <c r="F1133" s="7" t="s">
        <v>2135</v>
      </c>
      <c r="G1133" s="7">
        <v>998</v>
      </c>
      <c r="H1133" s="7" t="s">
        <v>2135</v>
      </c>
      <c r="I1133" s="37">
        <v>0</v>
      </c>
      <c r="J1133" s="122">
        <v>0</v>
      </c>
      <c r="K1133" s="123">
        <f t="shared" si="180"/>
        <v>0</v>
      </c>
      <c r="L1133" s="122">
        <f>IF(K1134&gt;0, K1133/K1134, 0)</f>
        <v>0</v>
      </c>
      <c r="M1133" s="71"/>
      <c r="N1133" s="10">
        <f>ROUND(M1134*L1133,0)</f>
        <v>0</v>
      </c>
      <c r="O1133" s="70">
        <v>0</v>
      </c>
      <c r="P1133" s="10">
        <f>N1133-O1133</f>
        <v>0</v>
      </c>
      <c r="Q1133" s="46">
        <f t="shared" si="179"/>
        <v>0</v>
      </c>
      <c r="R1133" s="10">
        <v>0</v>
      </c>
      <c r="S1133" s="7">
        <f t="shared" si="172"/>
        <v>0</v>
      </c>
      <c r="T1133" s="124">
        <f t="shared" si="173"/>
        <v>225</v>
      </c>
      <c r="U1133" s="124">
        <f t="shared" si="174"/>
        <v>998</v>
      </c>
      <c r="V1133" s="124">
        <f t="shared" si="175"/>
        <v>1124</v>
      </c>
      <c r="W1133" s="124">
        <f t="shared" si="176"/>
        <v>0</v>
      </c>
      <c r="X1133" s="124">
        <f t="shared" si="177"/>
        <v>0</v>
      </c>
      <c r="Y1133" s="264">
        <f t="shared" si="178"/>
        <v>1124</v>
      </c>
      <c r="Z1133" s="10">
        <v>225</v>
      </c>
      <c r="AA1133" s="7">
        <v>998</v>
      </c>
      <c r="AB1133" s="7">
        <v>1124</v>
      </c>
      <c r="AC1133" s="109">
        <v>0</v>
      </c>
      <c r="AD1133" s="109">
        <v>0</v>
      </c>
      <c r="AE1133" s="125"/>
      <c r="AF1133" s="10"/>
      <c r="AI1133" s="109"/>
      <c r="AJ1133" s="109"/>
      <c r="AL1133" s="10"/>
      <c r="AO1133" s="109"/>
      <c r="AP1133" s="109"/>
      <c r="AR1133" s="10"/>
      <c r="AU1133" s="109"/>
      <c r="AV1133" s="109"/>
      <c r="AX1133" s="10"/>
      <c r="BA1133" s="109"/>
      <c r="BB1133" s="109"/>
      <c r="BD1133" s="10"/>
      <c r="BG1133" s="109"/>
      <c r="BH1133" s="109"/>
      <c r="BJ1133" s="10"/>
      <c r="BM1133" s="109"/>
      <c r="BN1133" s="109"/>
      <c r="BP1133" s="10"/>
      <c r="BS1133" s="109"/>
      <c r="BT1133" s="109"/>
      <c r="BV1133" s="10"/>
      <c r="BY1133" s="109"/>
      <c r="BZ1133" s="109"/>
      <c r="CB1133" s="10"/>
      <c r="CE1133" s="109"/>
      <c r="CF1133" s="109"/>
      <c r="CH1133" s="10"/>
      <c r="CK1133" s="109"/>
      <c r="CL1133" s="109"/>
    </row>
    <row r="1134" spans="1:90">
      <c r="A1134" s="7" t="str">
        <f t="shared" si="171"/>
        <v>02250999</v>
      </c>
      <c r="B1134" s="7" t="s">
        <v>2564</v>
      </c>
      <c r="C1134" s="7" t="s">
        <v>2782</v>
      </c>
      <c r="D1134" s="7">
        <v>1125</v>
      </c>
      <c r="E1134" s="11">
        <v>225</v>
      </c>
      <c r="F1134" s="11" t="s">
        <v>1930</v>
      </c>
      <c r="G1134" s="11">
        <v>999</v>
      </c>
      <c r="H1134" s="11" t="s">
        <v>1132</v>
      </c>
      <c r="I1134" s="105">
        <v>1547692</v>
      </c>
      <c r="J1134" s="126">
        <v>1</v>
      </c>
      <c r="K1134" s="127">
        <f>SUM(K1130:K1133)</f>
        <v>1514902.1916247443</v>
      </c>
      <c r="L1134" s="126">
        <f>SUM(L1130:L1133)</f>
        <v>1</v>
      </c>
      <c r="M1134" s="105">
        <f>VLOOKUP(E1134,town351,22)</f>
        <v>1261733</v>
      </c>
      <c r="N1134" s="105">
        <f>SUM(N1130:N1133)</f>
        <v>1261733</v>
      </c>
      <c r="O1134" s="128">
        <v>1294185</v>
      </c>
      <c r="P1134" s="105">
        <f>SUM(P1130:P1133)</f>
        <v>-32452</v>
      </c>
      <c r="Q1134" s="45">
        <f t="shared" si="179"/>
        <v>-2.5075240402260883</v>
      </c>
      <c r="R1134" s="105">
        <v>156</v>
      </c>
      <c r="S1134" s="7">
        <f t="shared" si="172"/>
        <v>0</v>
      </c>
      <c r="T1134" s="124">
        <f t="shared" si="173"/>
        <v>225</v>
      </c>
      <c r="U1134" s="124">
        <f t="shared" si="174"/>
        <v>999</v>
      </c>
      <c r="V1134" s="124">
        <f t="shared" si="175"/>
        <v>1125</v>
      </c>
      <c r="W1134" s="124">
        <f t="shared" si="176"/>
        <v>152.19742489251999</v>
      </c>
      <c r="X1134" s="124">
        <f t="shared" si="177"/>
        <v>1514902.1916247443</v>
      </c>
      <c r="Y1134" s="264">
        <f t="shared" si="178"/>
        <v>1125</v>
      </c>
      <c r="Z1134" s="10">
        <v>225</v>
      </c>
      <c r="AA1134" s="7">
        <v>999</v>
      </c>
      <c r="AB1134" s="7">
        <v>1125</v>
      </c>
      <c r="AC1134" s="109">
        <v>152.19742489251999</v>
      </c>
      <c r="AD1134" s="109">
        <v>1514902.1916247443</v>
      </c>
      <c r="AE1134" s="125"/>
      <c r="AF1134" s="10"/>
      <c r="AI1134" s="109"/>
      <c r="AJ1134" s="109"/>
      <c r="AL1134" s="10"/>
      <c r="AO1134" s="109"/>
      <c r="AP1134" s="109"/>
      <c r="AR1134" s="10"/>
      <c r="AU1134" s="109"/>
      <c r="AV1134" s="109"/>
      <c r="AX1134" s="10"/>
      <c r="BA1134" s="109"/>
      <c r="BB1134" s="109"/>
      <c r="BD1134" s="10"/>
      <c r="BG1134" s="109"/>
      <c r="BH1134" s="109"/>
      <c r="BJ1134" s="10"/>
      <c r="BM1134" s="109"/>
      <c r="BN1134" s="109"/>
      <c r="BP1134" s="10"/>
      <c r="BS1134" s="109"/>
      <c r="BT1134" s="109"/>
      <c r="BV1134" s="10"/>
      <c r="BY1134" s="109"/>
      <c r="BZ1134" s="109"/>
      <c r="CB1134" s="10"/>
      <c r="CE1134" s="109"/>
      <c r="CF1134" s="109"/>
      <c r="CH1134" s="10"/>
      <c r="CK1134" s="109"/>
      <c r="CL1134" s="109"/>
    </row>
    <row r="1135" spans="1:90">
      <c r="A1135" s="7" t="str">
        <f t="shared" si="171"/>
        <v>02260226</v>
      </c>
      <c r="B1135" s="7" t="s">
        <v>2565</v>
      </c>
      <c r="C1135" s="7" t="s">
        <v>2565</v>
      </c>
      <c r="D1135" s="7">
        <v>1126</v>
      </c>
      <c r="E1135" s="7">
        <v>226</v>
      </c>
      <c r="F1135" s="7" t="s">
        <v>1931</v>
      </c>
      <c r="G1135" s="7">
        <v>226</v>
      </c>
      <c r="H1135" s="7" t="s">
        <v>1492</v>
      </c>
      <c r="I1135" s="37">
        <v>18814492.639999997</v>
      </c>
      <c r="J1135" s="122">
        <v>0.87842978912189917</v>
      </c>
      <c r="K1135" s="123">
        <f>X1135</f>
        <v>18658337.210024625</v>
      </c>
      <c r="L1135" s="122">
        <f>IF(K1139&gt;0, K1135/K1139, 0)</f>
        <v>0.8764934424786579</v>
      </c>
      <c r="M1135" s="71"/>
      <c r="N1135" s="10">
        <f>ROUND(M1139*L1135,0)</f>
        <v>8970216</v>
      </c>
      <c r="O1135" s="70">
        <v>9045951</v>
      </c>
      <c r="P1135" s="10">
        <f>N1135-O1135</f>
        <v>-75735</v>
      </c>
      <c r="Q1135" s="46">
        <f t="shared" si="179"/>
        <v>-0.83722540615132668</v>
      </c>
      <c r="R1135" s="10">
        <v>1849</v>
      </c>
      <c r="S1135" s="7">
        <f t="shared" si="172"/>
        <v>0</v>
      </c>
      <c r="T1135" s="124">
        <f t="shared" si="173"/>
        <v>226</v>
      </c>
      <c r="U1135" s="124">
        <f t="shared" si="174"/>
        <v>226</v>
      </c>
      <c r="V1135" s="124">
        <f t="shared" si="175"/>
        <v>1126</v>
      </c>
      <c r="W1135" s="124">
        <f t="shared" si="176"/>
        <v>1785</v>
      </c>
      <c r="X1135" s="124">
        <f t="shared" si="177"/>
        <v>18658337.210024625</v>
      </c>
      <c r="Y1135" s="264">
        <f t="shared" si="178"/>
        <v>1126</v>
      </c>
      <c r="Z1135" s="10">
        <v>226</v>
      </c>
      <c r="AA1135" s="7">
        <v>226</v>
      </c>
      <c r="AB1135" s="7">
        <v>1126</v>
      </c>
      <c r="AC1135" s="109">
        <v>1785</v>
      </c>
      <c r="AD1135" s="109">
        <v>18658337.210024625</v>
      </c>
      <c r="AE1135" s="125"/>
      <c r="AF1135" s="10"/>
      <c r="AI1135" s="109"/>
      <c r="AJ1135" s="109"/>
      <c r="AL1135" s="10"/>
      <c r="AO1135" s="109"/>
      <c r="AP1135" s="109"/>
      <c r="AR1135" s="10"/>
      <c r="AU1135" s="109"/>
      <c r="AV1135" s="109"/>
      <c r="AX1135" s="10"/>
      <c r="BA1135" s="109"/>
      <c r="BB1135" s="109"/>
      <c r="BD1135" s="10"/>
      <c r="BG1135" s="109"/>
      <c r="BH1135" s="109"/>
      <c r="BJ1135" s="10"/>
      <c r="BM1135" s="109"/>
      <c r="BN1135" s="109"/>
      <c r="BP1135" s="10"/>
      <c r="BS1135" s="109"/>
      <c r="BT1135" s="109"/>
      <c r="BV1135" s="10"/>
      <c r="BY1135" s="109"/>
      <c r="BZ1135" s="109"/>
      <c r="CB1135" s="10"/>
      <c r="CE1135" s="109"/>
      <c r="CF1135" s="109"/>
      <c r="CH1135" s="10"/>
      <c r="CK1135" s="109"/>
      <c r="CL1135" s="109"/>
    </row>
    <row r="1136" spans="1:90">
      <c r="A1136" s="7" t="str">
        <f t="shared" si="171"/>
        <v>02260876</v>
      </c>
      <c r="B1136" s="7" t="s">
        <v>2565</v>
      </c>
      <c r="C1136" s="7" t="s">
        <v>2774</v>
      </c>
      <c r="D1136" s="7">
        <v>1127</v>
      </c>
      <c r="E1136" s="7">
        <v>226</v>
      </c>
      <c r="F1136" s="7" t="s">
        <v>1931</v>
      </c>
      <c r="G1136" s="7">
        <v>876</v>
      </c>
      <c r="H1136" s="7" t="s">
        <v>1701</v>
      </c>
      <c r="I1136" s="37">
        <v>2603830</v>
      </c>
      <c r="J1136" s="122">
        <v>0.12157021087810078</v>
      </c>
      <c r="K1136" s="123">
        <f t="shared" si="180"/>
        <v>2629143.4552730443</v>
      </c>
      <c r="L1136" s="122">
        <f>IF(K1139&gt;0, K1136/K1139, 0)</f>
        <v>0.1235065575213421</v>
      </c>
      <c r="M1136" s="71"/>
      <c r="N1136" s="10">
        <f>ROUND(M1139*L1136,0)</f>
        <v>1263992</v>
      </c>
      <c r="O1136" s="70">
        <v>1251914</v>
      </c>
      <c r="P1136" s="10">
        <f>N1136-O1136</f>
        <v>12078</v>
      </c>
      <c r="Q1136" s="46">
        <f t="shared" si="179"/>
        <v>0.96476275526913191</v>
      </c>
      <c r="R1136" s="10">
        <v>167</v>
      </c>
      <c r="S1136" s="7">
        <f t="shared" si="172"/>
        <v>0</v>
      </c>
      <c r="T1136" s="124">
        <f t="shared" si="173"/>
        <v>226</v>
      </c>
      <c r="U1136" s="124">
        <f t="shared" si="174"/>
        <v>876</v>
      </c>
      <c r="V1136" s="124">
        <f t="shared" si="175"/>
        <v>1127</v>
      </c>
      <c r="W1136" s="124">
        <f t="shared" si="176"/>
        <v>166.00000000129998</v>
      </c>
      <c r="X1136" s="124">
        <f t="shared" si="177"/>
        <v>2629143.4552730443</v>
      </c>
      <c r="Y1136" s="264">
        <f t="shared" si="178"/>
        <v>1127</v>
      </c>
      <c r="Z1136" s="10">
        <v>226</v>
      </c>
      <c r="AA1136" s="7">
        <v>876</v>
      </c>
      <c r="AB1136" s="7">
        <v>1127</v>
      </c>
      <c r="AC1136" s="109">
        <v>166.00000000129998</v>
      </c>
      <c r="AD1136" s="109">
        <v>2629143.4552730443</v>
      </c>
      <c r="AE1136" s="125"/>
      <c r="AF1136" s="10"/>
      <c r="AI1136" s="109"/>
      <c r="AJ1136" s="109"/>
      <c r="AL1136" s="10"/>
      <c r="AO1136" s="109"/>
      <c r="AP1136" s="109"/>
      <c r="AR1136" s="10"/>
      <c r="AU1136" s="109"/>
      <c r="AV1136" s="109"/>
      <c r="AX1136" s="10"/>
      <c r="BA1136" s="109"/>
      <c r="BB1136" s="109"/>
      <c r="BD1136" s="10"/>
      <c r="BG1136" s="109"/>
      <c r="BH1136" s="109"/>
      <c r="BJ1136" s="10"/>
      <c r="BM1136" s="109"/>
      <c r="BN1136" s="109"/>
      <c r="BP1136" s="10"/>
      <c r="BS1136" s="109"/>
      <c r="BT1136" s="109"/>
      <c r="BV1136" s="10"/>
      <c r="BY1136" s="109"/>
      <c r="BZ1136" s="109"/>
      <c r="CB1136" s="10"/>
      <c r="CE1136" s="109"/>
      <c r="CF1136" s="109"/>
      <c r="CH1136" s="10"/>
      <c r="CK1136" s="109"/>
      <c r="CL1136" s="109"/>
    </row>
    <row r="1137" spans="1:90">
      <c r="A1137" s="7" t="str">
        <f t="shared" si="171"/>
        <v>02260998</v>
      </c>
      <c r="B1137" s="7" t="s">
        <v>2565</v>
      </c>
      <c r="C1137" s="7" t="s">
        <v>2781</v>
      </c>
      <c r="D1137" s="7">
        <v>1128</v>
      </c>
      <c r="E1137" s="7">
        <v>226</v>
      </c>
      <c r="F1137" s="7" t="s">
        <v>2135</v>
      </c>
      <c r="G1137" s="7">
        <v>998</v>
      </c>
      <c r="H1137" s="7" t="s">
        <v>2135</v>
      </c>
      <c r="I1137" s="37">
        <v>0</v>
      </c>
      <c r="J1137" s="122">
        <v>0</v>
      </c>
      <c r="K1137" s="123">
        <f t="shared" si="180"/>
        <v>0</v>
      </c>
      <c r="L1137" s="122">
        <f>IF(K1139&gt;0, K1137/K1139, 0)</f>
        <v>0</v>
      </c>
      <c r="M1137" s="71"/>
      <c r="N1137" s="10">
        <f>ROUND(M1139*L1137,0)</f>
        <v>0</v>
      </c>
      <c r="O1137" s="70">
        <v>0</v>
      </c>
      <c r="P1137" s="10">
        <f>N1137-O1137</f>
        <v>0</v>
      </c>
      <c r="Q1137" s="46">
        <f t="shared" si="179"/>
        <v>0</v>
      </c>
      <c r="R1137" s="10">
        <v>0</v>
      </c>
      <c r="S1137" s="7">
        <f t="shared" si="172"/>
        <v>0</v>
      </c>
      <c r="T1137" s="124">
        <f t="shared" si="173"/>
        <v>226</v>
      </c>
      <c r="U1137" s="124">
        <f t="shared" si="174"/>
        <v>998</v>
      </c>
      <c r="V1137" s="124">
        <f t="shared" si="175"/>
        <v>1128</v>
      </c>
      <c r="W1137" s="124">
        <f t="shared" si="176"/>
        <v>0</v>
      </c>
      <c r="X1137" s="124">
        <f t="shared" si="177"/>
        <v>0</v>
      </c>
      <c r="Y1137" s="264">
        <f t="shared" si="178"/>
        <v>1128</v>
      </c>
      <c r="Z1137" s="10">
        <v>226</v>
      </c>
      <c r="AA1137" s="7">
        <v>998</v>
      </c>
      <c r="AB1137" s="7">
        <v>1128</v>
      </c>
      <c r="AC1137" s="109">
        <v>0</v>
      </c>
      <c r="AD1137" s="109">
        <v>0</v>
      </c>
      <c r="AE1137" s="125"/>
      <c r="AF1137" s="10"/>
      <c r="AI1137" s="109"/>
      <c r="AJ1137" s="109"/>
      <c r="AL1137" s="10"/>
      <c r="AO1137" s="109"/>
      <c r="AP1137" s="109"/>
      <c r="AR1137" s="10"/>
      <c r="AU1137" s="109"/>
      <c r="AV1137" s="109"/>
      <c r="AX1137" s="10"/>
      <c r="BA1137" s="109"/>
      <c r="BB1137" s="109"/>
      <c r="BD1137" s="10"/>
      <c r="BG1137" s="109"/>
      <c r="BH1137" s="109"/>
      <c r="BJ1137" s="10"/>
      <c r="BM1137" s="109"/>
      <c r="BN1137" s="109"/>
      <c r="BP1137" s="10"/>
      <c r="BS1137" s="109"/>
      <c r="BT1137" s="109"/>
      <c r="BV1137" s="10"/>
      <c r="BY1137" s="109"/>
      <c r="BZ1137" s="109"/>
      <c r="CB1137" s="10"/>
      <c r="CE1137" s="109"/>
      <c r="CF1137" s="109"/>
      <c r="CH1137" s="10"/>
      <c r="CK1137" s="109"/>
      <c r="CL1137" s="109"/>
    </row>
    <row r="1138" spans="1:90">
      <c r="A1138" s="7" t="str">
        <f t="shared" si="171"/>
        <v>02260998</v>
      </c>
      <c r="B1138" s="7" t="s">
        <v>2565</v>
      </c>
      <c r="C1138" s="7" t="s">
        <v>2781</v>
      </c>
      <c r="D1138" s="7">
        <v>1129</v>
      </c>
      <c r="E1138" s="7">
        <v>226</v>
      </c>
      <c r="F1138" s="7" t="s">
        <v>2135</v>
      </c>
      <c r="G1138" s="7">
        <v>998</v>
      </c>
      <c r="H1138" s="7" t="s">
        <v>2135</v>
      </c>
      <c r="I1138" s="37">
        <v>0</v>
      </c>
      <c r="J1138" s="122">
        <v>0</v>
      </c>
      <c r="K1138" s="123">
        <f t="shared" si="180"/>
        <v>0</v>
      </c>
      <c r="L1138" s="122">
        <f>IF(K1139&gt;0, K1138/K1139, 0)</f>
        <v>0</v>
      </c>
      <c r="M1138" s="71"/>
      <c r="N1138" s="10">
        <f>ROUND(M1139*L1138,0)</f>
        <v>0</v>
      </c>
      <c r="O1138" s="70">
        <v>0</v>
      </c>
      <c r="P1138" s="10">
        <f>N1138-O1138</f>
        <v>0</v>
      </c>
      <c r="Q1138" s="46">
        <f t="shared" si="179"/>
        <v>0</v>
      </c>
      <c r="R1138" s="10">
        <v>0</v>
      </c>
      <c r="S1138" s="7">
        <f t="shared" si="172"/>
        <v>0</v>
      </c>
      <c r="T1138" s="124">
        <f t="shared" si="173"/>
        <v>226</v>
      </c>
      <c r="U1138" s="124">
        <f t="shared" si="174"/>
        <v>998</v>
      </c>
      <c r="V1138" s="124">
        <f t="shared" si="175"/>
        <v>1129</v>
      </c>
      <c r="W1138" s="124">
        <f t="shared" si="176"/>
        <v>0</v>
      </c>
      <c r="X1138" s="124">
        <f t="shared" si="177"/>
        <v>0</v>
      </c>
      <c r="Y1138" s="264">
        <f t="shared" si="178"/>
        <v>1129</v>
      </c>
      <c r="Z1138" s="10">
        <v>226</v>
      </c>
      <c r="AA1138" s="7">
        <v>998</v>
      </c>
      <c r="AB1138" s="7">
        <v>1129</v>
      </c>
      <c r="AC1138" s="109">
        <v>0</v>
      </c>
      <c r="AD1138" s="109">
        <v>0</v>
      </c>
      <c r="AE1138" s="125"/>
      <c r="AF1138" s="10"/>
      <c r="AI1138" s="109"/>
      <c r="AJ1138" s="109"/>
      <c r="AL1138" s="10"/>
      <c r="AO1138" s="109"/>
      <c r="AP1138" s="109"/>
      <c r="AR1138" s="10"/>
      <c r="AU1138" s="109"/>
      <c r="AV1138" s="109"/>
      <c r="AX1138" s="10"/>
      <c r="BA1138" s="109"/>
      <c r="BB1138" s="109"/>
      <c r="BD1138" s="10"/>
      <c r="BG1138" s="109"/>
      <c r="BH1138" s="109"/>
      <c r="BJ1138" s="10"/>
      <c r="BM1138" s="109"/>
      <c r="BN1138" s="109"/>
      <c r="BP1138" s="10"/>
      <c r="BS1138" s="109"/>
      <c r="BT1138" s="109"/>
      <c r="BV1138" s="10"/>
      <c r="BY1138" s="109"/>
      <c r="BZ1138" s="109"/>
      <c r="CB1138" s="10"/>
      <c r="CE1138" s="109"/>
      <c r="CF1138" s="109"/>
      <c r="CH1138" s="10"/>
      <c r="CK1138" s="109"/>
      <c r="CL1138" s="109"/>
    </row>
    <row r="1139" spans="1:90">
      <c r="A1139" s="7" t="str">
        <f t="shared" si="171"/>
        <v>02260999</v>
      </c>
      <c r="B1139" s="7" t="s">
        <v>2565</v>
      </c>
      <c r="C1139" s="7" t="s">
        <v>2782</v>
      </c>
      <c r="D1139" s="7">
        <v>1130</v>
      </c>
      <c r="E1139" s="11">
        <v>226</v>
      </c>
      <c r="F1139" s="11" t="s">
        <v>1931</v>
      </c>
      <c r="G1139" s="11">
        <v>999</v>
      </c>
      <c r="H1139" s="11" t="s">
        <v>1132</v>
      </c>
      <c r="I1139" s="105">
        <v>21418322.639999997</v>
      </c>
      <c r="J1139" s="126">
        <v>1</v>
      </c>
      <c r="K1139" s="127">
        <f>SUM(K1135:K1138)</f>
        <v>21287480.665297668</v>
      </c>
      <c r="L1139" s="126">
        <f>SUM(L1135:L1138)</f>
        <v>1</v>
      </c>
      <c r="M1139" s="105">
        <f>VLOOKUP(E1139,town351,22)</f>
        <v>10234208</v>
      </c>
      <c r="N1139" s="105">
        <f>SUM(N1135:N1138)</f>
        <v>10234208</v>
      </c>
      <c r="O1139" s="128">
        <v>10297865</v>
      </c>
      <c r="P1139" s="105">
        <f>SUM(P1135:P1138)</f>
        <v>-63657</v>
      </c>
      <c r="Q1139" s="45">
        <f t="shared" si="179"/>
        <v>-0.6181572588104427</v>
      </c>
      <c r="R1139" s="105">
        <v>2016</v>
      </c>
      <c r="S1139" s="7">
        <f t="shared" si="172"/>
        <v>0</v>
      </c>
      <c r="T1139" s="124">
        <f t="shared" si="173"/>
        <v>226</v>
      </c>
      <c r="U1139" s="124">
        <f t="shared" si="174"/>
        <v>999</v>
      </c>
      <c r="V1139" s="124">
        <f t="shared" si="175"/>
        <v>1130</v>
      </c>
      <c r="W1139" s="124">
        <f t="shared" si="176"/>
        <v>1951.0000000012999</v>
      </c>
      <c r="X1139" s="124">
        <f t="shared" si="177"/>
        <v>21287480.665297668</v>
      </c>
      <c r="Y1139" s="264">
        <f t="shared" si="178"/>
        <v>1130</v>
      </c>
      <c r="Z1139" s="10">
        <v>226</v>
      </c>
      <c r="AA1139" s="7">
        <v>999</v>
      </c>
      <c r="AB1139" s="7">
        <v>1130</v>
      </c>
      <c r="AC1139" s="109">
        <v>1951.0000000012999</v>
      </c>
      <c r="AD1139" s="109">
        <v>21287480.665297668</v>
      </c>
      <c r="AE1139" s="125"/>
      <c r="AF1139" s="10"/>
      <c r="AI1139" s="109"/>
      <c r="AJ1139" s="109"/>
      <c r="AL1139" s="10"/>
      <c r="AO1139" s="109"/>
      <c r="AP1139" s="109"/>
      <c r="AR1139" s="10"/>
      <c r="AU1139" s="109"/>
      <c r="AV1139" s="109"/>
      <c r="AX1139" s="10"/>
      <c r="BA1139" s="109"/>
      <c r="BB1139" s="109"/>
      <c r="BD1139" s="10"/>
      <c r="BG1139" s="109"/>
      <c r="BH1139" s="109"/>
      <c r="BJ1139" s="10"/>
      <c r="BM1139" s="109"/>
      <c r="BN1139" s="109"/>
      <c r="BP1139" s="10"/>
      <c r="BS1139" s="109"/>
      <c r="BT1139" s="109"/>
      <c r="BV1139" s="10"/>
      <c r="BY1139" s="109"/>
      <c r="BZ1139" s="109"/>
      <c r="CB1139" s="10"/>
      <c r="CE1139" s="109"/>
      <c r="CF1139" s="109"/>
      <c r="CH1139" s="10"/>
      <c r="CK1139" s="109"/>
      <c r="CL1139" s="109"/>
    </row>
    <row r="1140" spans="1:90">
      <c r="A1140" s="7" t="str">
        <f t="shared" si="171"/>
        <v>02270227</v>
      </c>
      <c r="B1140" s="7" t="s">
        <v>2566</v>
      </c>
      <c r="C1140" s="7" t="s">
        <v>2566</v>
      </c>
      <c r="D1140" s="7">
        <v>1131</v>
      </c>
      <c r="E1140" s="7">
        <v>227</v>
      </c>
      <c r="F1140" s="7" t="s">
        <v>1932</v>
      </c>
      <c r="G1140" s="7">
        <v>227</v>
      </c>
      <c r="H1140" s="7" t="s">
        <v>1493</v>
      </c>
      <c r="I1140" s="37">
        <v>15564758.360000001</v>
      </c>
      <c r="J1140" s="122">
        <v>0.86008106661495332</v>
      </c>
      <c r="K1140" s="123">
        <f>X1140</f>
        <v>15937384.115527295</v>
      </c>
      <c r="L1140" s="122">
        <f>IF(K1144&gt;0, K1140/K1144, 0)</f>
        <v>0.86940217406152198</v>
      </c>
      <c r="M1140" s="71"/>
      <c r="N1140" s="10">
        <f>ROUND(M1144*L1140,0)</f>
        <v>6595198</v>
      </c>
      <c r="O1140" s="70">
        <v>6592394</v>
      </c>
      <c r="P1140" s="10">
        <f>N1140-O1140</f>
        <v>2804</v>
      </c>
      <c r="Q1140" s="46">
        <f t="shared" si="179"/>
        <v>4.2533865542623818E-2</v>
      </c>
      <c r="R1140" s="10">
        <v>1494</v>
      </c>
      <c r="S1140" s="7">
        <f t="shared" si="172"/>
        <v>0</v>
      </c>
      <c r="T1140" s="124">
        <f t="shared" si="173"/>
        <v>227</v>
      </c>
      <c r="U1140" s="124">
        <f t="shared" si="174"/>
        <v>227</v>
      </c>
      <c r="V1140" s="124">
        <f t="shared" si="175"/>
        <v>1131</v>
      </c>
      <c r="W1140" s="124">
        <f t="shared" si="176"/>
        <v>1495</v>
      </c>
      <c r="X1140" s="124">
        <f t="shared" si="177"/>
        <v>15937384.115527295</v>
      </c>
      <c r="Y1140" s="264">
        <f t="shared" si="178"/>
        <v>1131</v>
      </c>
      <c r="Z1140" s="10">
        <v>227</v>
      </c>
      <c r="AA1140" s="7">
        <v>227</v>
      </c>
      <c r="AB1140" s="7">
        <v>1131</v>
      </c>
      <c r="AC1140" s="109">
        <v>1495</v>
      </c>
      <c r="AD1140" s="109">
        <v>15937384.115527295</v>
      </c>
      <c r="AE1140" s="125"/>
      <c r="AF1140" s="10"/>
      <c r="AI1140" s="109"/>
      <c r="AJ1140" s="109"/>
      <c r="AL1140" s="10"/>
      <c r="AO1140" s="109"/>
      <c r="AP1140" s="109"/>
      <c r="AR1140" s="10"/>
      <c r="AU1140" s="109"/>
      <c r="AV1140" s="109"/>
      <c r="AX1140" s="10"/>
      <c r="BA1140" s="109"/>
      <c r="BB1140" s="109"/>
      <c r="BD1140" s="10"/>
      <c r="BG1140" s="109"/>
      <c r="BH1140" s="109"/>
      <c r="BJ1140" s="10"/>
      <c r="BM1140" s="109"/>
      <c r="BN1140" s="109"/>
      <c r="BP1140" s="10"/>
      <c r="BS1140" s="109"/>
      <c r="BT1140" s="109"/>
      <c r="BV1140" s="10"/>
      <c r="BY1140" s="109"/>
      <c r="BZ1140" s="109"/>
      <c r="CB1140" s="10"/>
      <c r="CE1140" s="109"/>
      <c r="CF1140" s="109"/>
      <c r="CH1140" s="10"/>
      <c r="CK1140" s="109"/>
      <c r="CL1140" s="109"/>
    </row>
    <row r="1141" spans="1:90">
      <c r="A1141" s="7" t="str">
        <f t="shared" si="171"/>
        <v>02270860</v>
      </c>
      <c r="B1141" s="7" t="s">
        <v>2566</v>
      </c>
      <c r="C1141" s="7" t="s">
        <v>2770</v>
      </c>
      <c r="D1141" s="7">
        <v>1132</v>
      </c>
      <c r="E1141" s="7">
        <v>227</v>
      </c>
      <c r="F1141" s="7" t="s">
        <v>1932</v>
      </c>
      <c r="G1141" s="7">
        <v>860</v>
      </c>
      <c r="H1141" s="7" t="s">
        <v>1697</v>
      </c>
      <c r="I1141" s="37">
        <v>2532092</v>
      </c>
      <c r="J1141" s="122">
        <v>0.1399189333850468</v>
      </c>
      <c r="K1141" s="123">
        <f t="shared" si="180"/>
        <v>2394044.7571126195</v>
      </c>
      <c r="L1141" s="122">
        <f>IF(K1144&gt;0, K1141/K1144, 0)</f>
        <v>0.1305978259384781</v>
      </c>
      <c r="M1141" s="71"/>
      <c r="N1141" s="10">
        <f>ROUND(M1144*L1141,0)</f>
        <v>990702</v>
      </c>
      <c r="O1141" s="70">
        <v>1072458</v>
      </c>
      <c r="P1141" s="10">
        <f>N1141-O1141</f>
        <v>-81756</v>
      </c>
      <c r="Q1141" s="46">
        <f t="shared" si="179"/>
        <v>-7.623235595240093</v>
      </c>
      <c r="R1141" s="10">
        <v>157</v>
      </c>
      <c r="S1141" s="7">
        <f t="shared" si="172"/>
        <v>0</v>
      </c>
      <c r="T1141" s="124">
        <f t="shared" si="173"/>
        <v>227</v>
      </c>
      <c r="U1141" s="124">
        <f t="shared" si="174"/>
        <v>860</v>
      </c>
      <c r="V1141" s="124">
        <f t="shared" si="175"/>
        <v>1132</v>
      </c>
      <c r="W1141" s="124">
        <f t="shared" si="176"/>
        <v>145.00000000013</v>
      </c>
      <c r="X1141" s="124">
        <f t="shared" si="177"/>
        <v>2394044.7571126195</v>
      </c>
      <c r="Y1141" s="264">
        <f t="shared" si="178"/>
        <v>1132</v>
      </c>
      <c r="Z1141" s="10">
        <v>227</v>
      </c>
      <c r="AA1141" s="7">
        <v>860</v>
      </c>
      <c r="AB1141" s="7">
        <v>1132</v>
      </c>
      <c r="AC1141" s="109">
        <v>145.00000000013</v>
      </c>
      <c r="AD1141" s="109">
        <v>2394044.7571126195</v>
      </c>
      <c r="AE1141" s="125"/>
      <c r="AF1141" s="10"/>
      <c r="AI1141" s="109"/>
      <c r="AJ1141" s="109"/>
      <c r="AL1141" s="10"/>
      <c r="AO1141" s="109"/>
      <c r="AP1141" s="109"/>
      <c r="AR1141" s="10"/>
      <c r="AU1141" s="109"/>
      <c r="AV1141" s="109"/>
      <c r="AX1141" s="10"/>
      <c r="BA1141" s="109"/>
      <c r="BB1141" s="109"/>
      <c r="BD1141" s="10"/>
      <c r="BG1141" s="109"/>
      <c r="BH1141" s="109"/>
      <c r="BJ1141" s="10"/>
      <c r="BM1141" s="109"/>
      <c r="BN1141" s="109"/>
      <c r="BP1141" s="10"/>
      <c r="BS1141" s="109"/>
      <c r="BT1141" s="109"/>
      <c r="BV1141" s="10"/>
      <c r="BY1141" s="109"/>
      <c r="BZ1141" s="109"/>
      <c r="CB1141" s="10"/>
      <c r="CE1141" s="109"/>
      <c r="CF1141" s="109"/>
      <c r="CH1141" s="10"/>
      <c r="CK1141" s="109"/>
      <c r="CL1141" s="109"/>
    </row>
    <row r="1142" spans="1:90">
      <c r="A1142" s="7" t="str">
        <f t="shared" si="171"/>
        <v>02270998</v>
      </c>
      <c r="B1142" s="7" t="s">
        <v>2566</v>
      </c>
      <c r="C1142" s="7" t="s">
        <v>2781</v>
      </c>
      <c r="D1142" s="7">
        <v>1133</v>
      </c>
      <c r="E1142" s="7">
        <v>227</v>
      </c>
      <c r="F1142" s="7" t="s">
        <v>2135</v>
      </c>
      <c r="G1142" s="7">
        <v>998</v>
      </c>
      <c r="H1142" s="7" t="s">
        <v>2135</v>
      </c>
      <c r="I1142" s="37">
        <v>0</v>
      </c>
      <c r="J1142" s="122">
        <v>0</v>
      </c>
      <c r="K1142" s="123">
        <f t="shared" si="180"/>
        <v>0</v>
      </c>
      <c r="L1142" s="122">
        <f>IF(K1144&gt;0, K1142/K1144, 0)</f>
        <v>0</v>
      </c>
      <c r="M1142" s="71"/>
      <c r="N1142" s="10">
        <f>ROUND(M1144*L1142,0)</f>
        <v>0</v>
      </c>
      <c r="O1142" s="70">
        <v>0</v>
      </c>
      <c r="P1142" s="10">
        <f>N1142-O1142</f>
        <v>0</v>
      </c>
      <c r="Q1142" s="46">
        <f t="shared" si="179"/>
        <v>0</v>
      </c>
      <c r="R1142" s="10">
        <v>0</v>
      </c>
      <c r="S1142" s="7">
        <f t="shared" si="172"/>
        <v>0</v>
      </c>
      <c r="T1142" s="124">
        <f t="shared" si="173"/>
        <v>227</v>
      </c>
      <c r="U1142" s="124">
        <f t="shared" si="174"/>
        <v>998</v>
      </c>
      <c r="V1142" s="124">
        <f t="shared" si="175"/>
        <v>1133</v>
      </c>
      <c r="W1142" s="124">
        <f t="shared" si="176"/>
        <v>0</v>
      </c>
      <c r="X1142" s="124">
        <f t="shared" si="177"/>
        <v>0</v>
      </c>
      <c r="Y1142" s="264">
        <f t="shared" si="178"/>
        <v>1133</v>
      </c>
      <c r="Z1142" s="10">
        <v>227</v>
      </c>
      <c r="AA1142" s="7">
        <v>998</v>
      </c>
      <c r="AB1142" s="7">
        <v>1133</v>
      </c>
      <c r="AC1142" s="109">
        <v>0</v>
      </c>
      <c r="AD1142" s="109">
        <v>0</v>
      </c>
      <c r="AE1142" s="125"/>
      <c r="AF1142" s="10"/>
      <c r="AI1142" s="109"/>
      <c r="AJ1142" s="109"/>
      <c r="AL1142" s="10"/>
      <c r="AO1142" s="109"/>
      <c r="AP1142" s="109"/>
      <c r="AR1142" s="10"/>
      <c r="AU1142" s="109"/>
      <c r="AV1142" s="109"/>
      <c r="AX1142" s="10"/>
      <c r="BA1142" s="109"/>
      <c r="BB1142" s="109"/>
      <c r="BD1142" s="10"/>
      <c r="BG1142" s="109"/>
      <c r="BH1142" s="109"/>
      <c r="BJ1142" s="10"/>
      <c r="BM1142" s="109"/>
      <c r="BN1142" s="109"/>
      <c r="BP1142" s="10"/>
      <c r="BS1142" s="109"/>
      <c r="BT1142" s="109"/>
      <c r="BV1142" s="10"/>
      <c r="BY1142" s="109"/>
      <c r="BZ1142" s="109"/>
      <c r="CB1142" s="10"/>
      <c r="CE1142" s="109"/>
      <c r="CF1142" s="109"/>
      <c r="CH1142" s="10"/>
      <c r="CK1142" s="109"/>
      <c r="CL1142" s="109"/>
    </row>
    <row r="1143" spans="1:90">
      <c r="A1143" s="7" t="str">
        <f t="shared" si="171"/>
        <v>02270998</v>
      </c>
      <c r="B1143" s="7" t="s">
        <v>2566</v>
      </c>
      <c r="C1143" s="7" t="s">
        <v>2781</v>
      </c>
      <c r="D1143" s="7">
        <v>1134</v>
      </c>
      <c r="E1143" s="7">
        <v>227</v>
      </c>
      <c r="F1143" s="7" t="s">
        <v>2135</v>
      </c>
      <c r="G1143" s="7">
        <v>998</v>
      </c>
      <c r="H1143" s="7" t="s">
        <v>2135</v>
      </c>
      <c r="I1143" s="37">
        <v>0</v>
      </c>
      <c r="J1143" s="122">
        <v>0</v>
      </c>
      <c r="K1143" s="123">
        <f t="shared" si="180"/>
        <v>0</v>
      </c>
      <c r="L1143" s="122">
        <f>IF(K1144&gt;0, K1143/K1144, 0)</f>
        <v>0</v>
      </c>
      <c r="M1143" s="71"/>
      <c r="N1143" s="10">
        <f>ROUND(M1144*L1143,0)</f>
        <v>0</v>
      </c>
      <c r="O1143" s="70">
        <v>0</v>
      </c>
      <c r="P1143" s="10">
        <f>N1143-O1143</f>
        <v>0</v>
      </c>
      <c r="Q1143" s="46">
        <f t="shared" si="179"/>
        <v>0</v>
      </c>
      <c r="R1143" s="10">
        <v>0</v>
      </c>
      <c r="S1143" s="7">
        <f t="shared" si="172"/>
        <v>0</v>
      </c>
      <c r="T1143" s="124">
        <f t="shared" si="173"/>
        <v>227</v>
      </c>
      <c r="U1143" s="124">
        <f t="shared" si="174"/>
        <v>998</v>
      </c>
      <c r="V1143" s="124">
        <f t="shared" si="175"/>
        <v>1134</v>
      </c>
      <c r="W1143" s="124">
        <f t="shared" si="176"/>
        <v>0</v>
      </c>
      <c r="X1143" s="124">
        <f t="shared" si="177"/>
        <v>0</v>
      </c>
      <c r="Y1143" s="264">
        <f t="shared" si="178"/>
        <v>1134</v>
      </c>
      <c r="Z1143" s="10">
        <v>227</v>
      </c>
      <c r="AA1143" s="7">
        <v>998</v>
      </c>
      <c r="AB1143" s="7">
        <v>1134</v>
      </c>
      <c r="AC1143" s="109">
        <v>0</v>
      </c>
      <c r="AD1143" s="109">
        <v>0</v>
      </c>
      <c r="AE1143" s="125"/>
      <c r="AF1143" s="10"/>
      <c r="AI1143" s="109"/>
      <c r="AJ1143" s="109"/>
      <c r="AL1143" s="10"/>
      <c r="AO1143" s="109"/>
      <c r="AP1143" s="109"/>
      <c r="AR1143" s="10"/>
      <c r="AU1143" s="109"/>
      <c r="AV1143" s="109"/>
      <c r="AX1143" s="10"/>
      <c r="BA1143" s="109"/>
      <c r="BB1143" s="109"/>
      <c r="BD1143" s="10"/>
      <c r="BG1143" s="109"/>
      <c r="BH1143" s="109"/>
      <c r="BJ1143" s="10"/>
      <c r="BM1143" s="109"/>
      <c r="BN1143" s="109"/>
      <c r="BP1143" s="10"/>
      <c r="BS1143" s="109"/>
      <c r="BT1143" s="109"/>
      <c r="BV1143" s="10"/>
      <c r="BY1143" s="109"/>
      <c r="BZ1143" s="109"/>
      <c r="CB1143" s="10"/>
      <c r="CE1143" s="109"/>
      <c r="CF1143" s="109"/>
      <c r="CH1143" s="10"/>
      <c r="CK1143" s="109"/>
      <c r="CL1143" s="109"/>
    </row>
    <row r="1144" spans="1:90">
      <c r="A1144" s="7" t="str">
        <f t="shared" si="171"/>
        <v>02270999</v>
      </c>
      <c r="B1144" s="7" t="s">
        <v>2566</v>
      </c>
      <c r="C1144" s="7" t="s">
        <v>2782</v>
      </c>
      <c r="D1144" s="7">
        <v>1135</v>
      </c>
      <c r="E1144" s="11">
        <v>227</v>
      </c>
      <c r="F1144" s="11" t="s">
        <v>1932</v>
      </c>
      <c r="G1144" s="11">
        <v>999</v>
      </c>
      <c r="H1144" s="11" t="s">
        <v>1132</v>
      </c>
      <c r="I1144" s="105">
        <v>18096850.359999999</v>
      </c>
      <c r="J1144" s="126">
        <v>1</v>
      </c>
      <c r="K1144" s="127">
        <f>SUM(K1140:K1143)</f>
        <v>18331428.872639913</v>
      </c>
      <c r="L1144" s="126">
        <f>SUM(L1140:L1143)</f>
        <v>1</v>
      </c>
      <c r="M1144" s="105">
        <f>VLOOKUP(E1144,town351,22)</f>
        <v>7585900</v>
      </c>
      <c r="N1144" s="105">
        <f>SUM(N1140:N1143)</f>
        <v>7585900</v>
      </c>
      <c r="O1144" s="128">
        <v>7664852</v>
      </c>
      <c r="P1144" s="105">
        <f>SUM(P1140:P1143)</f>
        <v>-78952</v>
      </c>
      <c r="Q1144" s="45">
        <f t="shared" si="179"/>
        <v>-1.0300525046015239</v>
      </c>
      <c r="R1144" s="105">
        <v>1651</v>
      </c>
      <c r="S1144" s="7">
        <f t="shared" si="172"/>
        <v>0</v>
      </c>
      <c r="T1144" s="124">
        <f t="shared" si="173"/>
        <v>227</v>
      </c>
      <c r="U1144" s="124">
        <f t="shared" si="174"/>
        <v>999</v>
      </c>
      <c r="V1144" s="124">
        <f t="shared" si="175"/>
        <v>1135</v>
      </c>
      <c r="W1144" s="124">
        <f t="shared" si="176"/>
        <v>1640.0000000001301</v>
      </c>
      <c r="X1144" s="124">
        <f t="shared" si="177"/>
        <v>18331428.872639913</v>
      </c>
      <c r="Y1144" s="264">
        <f t="shared" si="178"/>
        <v>1135</v>
      </c>
      <c r="Z1144" s="10">
        <v>227</v>
      </c>
      <c r="AA1144" s="7">
        <v>999</v>
      </c>
      <c r="AB1144" s="7">
        <v>1135</v>
      </c>
      <c r="AC1144" s="109">
        <v>1640.0000000001301</v>
      </c>
      <c r="AD1144" s="109">
        <v>18331428.872639913</v>
      </c>
      <c r="AE1144" s="125"/>
      <c r="AF1144" s="10"/>
      <c r="AI1144" s="109"/>
      <c r="AJ1144" s="109"/>
      <c r="AL1144" s="10"/>
      <c r="AO1144" s="109"/>
      <c r="AP1144" s="109"/>
      <c r="AR1144" s="10"/>
      <c r="AU1144" s="109"/>
      <c r="AV1144" s="109"/>
      <c r="AX1144" s="10"/>
      <c r="BA1144" s="109"/>
      <c r="BB1144" s="109"/>
      <c r="BD1144" s="10"/>
      <c r="BG1144" s="109"/>
      <c r="BH1144" s="109"/>
      <c r="BJ1144" s="10"/>
      <c r="BM1144" s="109"/>
      <c r="BN1144" s="109"/>
      <c r="BP1144" s="10"/>
      <c r="BS1144" s="109"/>
      <c r="BT1144" s="109"/>
      <c r="BV1144" s="10"/>
      <c r="BY1144" s="109"/>
      <c r="BZ1144" s="109"/>
      <c r="CB1144" s="10"/>
      <c r="CE1144" s="109"/>
      <c r="CF1144" s="109"/>
      <c r="CH1144" s="10"/>
      <c r="CK1144" s="109"/>
      <c r="CL1144" s="109"/>
    </row>
    <row r="1145" spans="1:90">
      <c r="A1145" s="7" t="str">
        <f t="shared" si="171"/>
        <v>02280228</v>
      </c>
      <c r="B1145" s="7" t="s">
        <v>2567</v>
      </c>
      <c r="C1145" s="7" t="s">
        <v>2567</v>
      </c>
      <c r="D1145" s="7">
        <v>1136</v>
      </c>
      <c r="E1145" s="7">
        <v>228</v>
      </c>
      <c r="F1145" s="7" t="s">
        <v>1933</v>
      </c>
      <c r="G1145" s="7">
        <v>228</v>
      </c>
      <c r="H1145" s="7" t="s">
        <v>1494</v>
      </c>
      <c r="I1145" s="37">
        <v>0</v>
      </c>
      <c r="J1145" s="122">
        <v>0</v>
      </c>
      <c r="K1145" s="123">
        <f>X1145</f>
        <v>0</v>
      </c>
      <c r="L1145" s="122">
        <f>IF(K1149&gt;0, K1145/K1149, 0)</f>
        <v>0</v>
      </c>
      <c r="M1145" s="71"/>
      <c r="N1145" s="10">
        <f>ROUND(M1149*L1145,0)</f>
        <v>0</v>
      </c>
      <c r="O1145" s="70">
        <v>0</v>
      </c>
      <c r="P1145" s="10">
        <f>N1145-O1145</f>
        <v>0</v>
      </c>
      <c r="Q1145" s="46">
        <f t="shared" si="179"/>
        <v>0</v>
      </c>
      <c r="R1145" s="10">
        <v>0</v>
      </c>
      <c r="S1145" s="7">
        <f t="shared" si="172"/>
        <v>0</v>
      </c>
      <c r="T1145" s="124">
        <f t="shared" si="173"/>
        <v>228</v>
      </c>
      <c r="U1145" s="124">
        <f t="shared" si="174"/>
        <v>228</v>
      </c>
      <c r="V1145" s="124">
        <f t="shared" si="175"/>
        <v>1136</v>
      </c>
      <c r="W1145" s="124">
        <f t="shared" si="176"/>
        <v>0</v>
      </c>
      <c r="X1145" s="124">
        <f t="shared" si="177"/>
        <v>0</v>
      </c>
      <c r="Y1145" s="264">
        <f t="shared" si="178"/>
        <v>1136</v>
      </c>
      <c r="Z1145" s="10">
        <v>228</v>
      </c>
      <c r="AA1145" s="7">
        <v>228</v>
      </c>
      <c r="AB1145" s="7">
        <v>1136</v>
      </c>
      <c r="AC1145" s="109">
        <v>0</v>
      </c>
      <c r="AD1145" s="109">
        <v>0</v>
      </c>
      <c r="AE1145" s="125"/>
      <c r="AF1145" s="10"/>
      <c r="AI1145" s="109"/>
      <c r="AJ1145" s="109"/>
      <c r="AL1145" s="10"/>
      <c r="AO1145" s="109"/>
      <c r="AP1145" s="109"/>
      <c r="AR1145" s="10"/>
      <c r="AU1145" s="109"/>
      <c r="AV1145" s="109"/>
      <c r="AX1145" s="10"/>
      <c r="BA1145" s="109"/>
      <c r="BB1145" s="109"/>
      <c r="BD1145" s="10"/>
      <c r="BG1145" s="109"/>
      <c r="BH1145" s="109"/>
      <c r="BJ1145" s="10"/>
      <c r="BM1145" s="109"/>
      <c r="BN1145" s="109"/>
      <c r="BP1145" s="10"/>
      <c r="BS1145" s="109"/>
      <c r="BT1145" s="109"/>
      <c r="BV1145" s="10"/>
      <c r="BY1145" s="109"/>
      <c r="BZ1145" s="109"/>
      <c r="CB1145" s="10"/>
      <c r="CE1145" s="109"/>
      <c r="CF1145" s="109"/>
      <c r="CH1145" s="10"/>
      <c r="CK1145" s="109"/>
      <c r="CL1145" s="109"/>
    </row>
    <row r="1146" spans="1:90">
      <c r="A1146" s="7" t="str">
        <f t="shared" si="171"/>
        <v>02280775</v>
      </c>
      <c r="B1146" s="7" t="s">
        <v>2567</v>
      </c>
      <c r="C1146" s="7" t="s">
        <v>2749</v>
      </c>
      <c r="D1146" s="7">
        <v>1137</v>
      </c>
      <c r="E1146" s="7">
        <v>228</v>
      </c>
      <c r="F1146" s="7" t="s">
        <v>1933</v>
      </c>
      <c r="G1146" s="7">
        <v>775</v>
      </c>
      <c r="H1146" s="7" t="s">
        <v>1676</v>
      </c>
      <c r="I1146" s="37">
        <v>6518209</v>
      </c>
      <c r="J1146" s="122">
        <v>0.9609244451311012</v>
      </c>
      <c r="K1146" s="123">
        <f t="shared" si="180"/>
        <v>6697486.6100680083</v>
      </c>
      <c r="L1146" s="122">
        <f>IF(K1149&gt;0, K1146/K1149, 0)</f>
        <v>0.96354263629936299</v>
      </c>
      <c r="M1146" s="71"/>
      <c r="N1146" s="10">
        <f>ROUND(M1149*L1146,0)</f>
        <v>4132307</v>
      </c>
      <c r="O1146" s="70">
        <v>4194000</v>
      </c>
      <c r="P1146" s="10">
        <f>N1146-O1146</f>
        <v>-61693</v>
      </c>
      <c r="Q1146" s="46">
        <f t="shared" si="179"/>
        <v>-1.4709823557463042</v>
      </c>
      <c r="R1146" s="10">
        <v>702</v>
      </c>
      <c r="S1146" s="7">
        <f t="shared" si="172"/>
        <v>0</v>
      </c>
      <c r="T1146" s="124">
        <f t="shared" si="173"/>
        <v>228</v>
      </c>
      <c r="U1146" s="124">
        <f t="shared" si="174"/>
        <v>775</v>
      </c>
      <c r="V1146" s="124">
        <f t="shared" si="175"/>
        <v>1137</v>
      </c>
      <c r="W1146" s="124">
        <f t="shared" si="176"/>
        <v>702.91575191669995</v>
      </c>
      <c r="X1146" s="124">
        <f t="shared" si="177"/>
        <v>6697486.6100680083</v>
      </c>
      <c r="Y1146" s="264">
        <f t="shared" si="178"/>
        <v>1137</v>
      </c>
      <c r="Z1146" s="10">
        <v>228</v>
      </c>
      <c r="AA1146" s="7">
        <v>775</v>
      </c>
      <c r="AB1146" s="7">
        <v>1137</v>
      </c>
      <c r="AC1146" s="109">
        <v>702.91575191669995</v>
      </c>
      <c r="AD1146" s="109">
        <v>6697486.6100680083</v>
      </c>
      <c r="AE1146" s="125"/>
      <c r="AF1146" s="10"/>
      <c r="AI1146" s="109"/>
      <c r="AJ1146" s="109"/>
      <c r="AL1146" s="10"/>
      <c r="AO1146" s="109"/>
      <c r="AP1146" s="109"/>
      <c r="AR1146" s="10"/>
      <c r="AU1146" s="109"/>
      <c r="AV1146" s="109"/>
      <c r="AX1146" s="10"/>
      <c r="BA1146" s="109"/>
      <c r="BB1146" s="109"/>
      <c r="BD1146" s="10"/>
      <c r="BG1146" s="109"/>
      <c r="BH1146" s="109"/>
      <c r="BJ1146" s="10"/>
      <c r="BM1146" s="109"/>
      <c r="BN1146" s="109"/>
      <c r="BP1146" s="10"/>
      <c r="BS1146" s="109"/>
      <c r="BT1146" s="109"/>
      <c r="BV1146" s="10"/>
      <c r="BY1146" s="109"/>
      <c r="BZ1146" s="109"/>
      <c r="CB1146" s="10"/>
      <c r="CE1146" s="109"/>
      <c r="CF1146" s="109"/>
      <c r="CH1146" s="10"/>
      <c r="CK1146" s="109"/>
      <c r="CL1146" s="109"/>
    </row>
    <row r="1147" spans="1:90">
      <c r="A1147" s="7" t="str">
        <f t="shared" si="171"/>
        <v>02280876</v>
      </c>
      <c r="B1147" s="7" t="s">
        <v>2567</v>
      </c>
      <c r="C1147" s="7" t="s">
        <v>2774</v>
      </c>
      <c r="D1147" s="7">
        <v>1138</v>
      </c>
      <c r="E1147" s="7">
        <v>228</v>
      </c>
      <c r="F1147" s="7" t="s">
        <v>1933</v>
      </c>
      <c r="G1147" s="7">
        <v>876</v>
      </c>
      <c r="H1147" s="7" t="s">
        <v>1701</v>
      </c>
      <c r="I1147" s="37">
        <v>265060</v>
      </c>
      <c r="J1147" s="122">
        <v>3.9075554868898757E-2</v>
      </c>
      <c r="K1147" s="123">
        <f t="shared" si="180"/>
        <v>253411.41743470772</v>
      </c>
      <c r="L1147" s="122">
        <f>IF(K1149&gt;0, K1147/K1149, 0)</f>
        <v>3.6457363700637131E-2</v>
      </c>
      <c r="M1147" s="71"/>
      <c r="N1147" s="10">
        <f>ROUND(M1149*L1147,0)</f>
        <v>156353</v>
      </c>
      <c r="O1147" s="70">
        <v>170547</v>
      </c>
      <c r="P1147" s="10">
        <f>N1147-O1147</f>
        <v>-14194</v>
      </c>
      <c r="Q1147" s="46">
        <f t="shared" si="179"/>
        <v>-8.3226324708144972</v>
      </c>
      <c r="R1147" s="10">
        <v>17</v>
      </c>
      <c r="S1147" s="7">
        <f t="shared" si="172"/>
        <v>0</v>
      </c>
      <c r="T1147" s="124">
        <f t="shared" si="173"/>
        <v>228</v>
      </c>
      <c r="U1147" s="124">
        <f t="shared" si="174"/>
        <v>876</v>
      </c>
      <c r="V1147" s="124">
        <f t="shared" si="175"/>
        <v>1138</v>
      </c>
      <c r="W1147" s="124">
        <f t="shared" si="176"/>
        <v>16.000000003850001</v>
      </c>
      <c r="X1147" s="124">
        <f t="shared" si="177"/>
        <v>253411.41743470772</v>
      </c>
      <c r="Y1147" s="264">
        <f t="shared" si="178"/>
        <v>1138</v>
      </c>
      <c r="Z1147" s="10">
        <v>228</v>
      </c>
      <c r="AA1147" s="7">
        <v>876</v>
      </c>
      <c r="AB1147" s="7">
        <v>1138</v>
      </c>
      <c r="AC1147" s="109">
        <v>16.000000003850001</v>
      </c>
      <c r="AD1147" s="109">
        <v>253411.41743470772</v>
      </c>
      <c r="AE1147" s="125"/>
      <c r="AF1147" s="10"/>
      <c r="AI1147" s="109"/>
      <c r="AJ1147" s="109"/>
      <c r="AL1147" s="10"/>
      <c r="AO1147" s="109"/>
      <c r="AP1147" s="109"/>
      <c r="AR1147" s="10"/>
      <c r="AU1147" s="109"/>
      <c r="AV1147" s="109"/>
      <c r="AX1147" s="10"/>
      <c r="BA1147" s="109"/>
      <c r="BB1147" s="109"/>
      <c r="BD1147" s="10"/>
      <c r="BG1147" s="109"/>
      <c r="BH1147" s="109"/>
      <c r="BJ1147" s="10"/>
      <c r="BM1147" s="109"/>
      <c r="BN1147" s="109"/>
      <c r="BP1147" s="10"/>
      <c r="BS1147" s="109"/>
      <c r="BT1147" s="109"/>
      <c r="BV1147" s="10"/>
      <c r="BY1147" s="109"/>
      <c r="BZ1147" s="109"/>
      <c r="CB1147" s="10"/>
      <c r="CE1147" s="109"/>
      <c r="CF1147" s="109"/>
      <c r="CH1147" s="10"/>
      <c r="CK1147" s="109"/>
      <c r="CL1147" s="109"/>
    </row>
    <row r="1148" spans="1:90">
      <c r="A1148" s="7" t="str">
        <f t="shared" si="171"/>
        <v>02280998</v>
      </c>
      <c r="B1148" s="7" t="s">
        <v>2567</v>
      </c>
      <c r="C1148" s="7" t="s">
        <v>2781</v>
      </c>
      <c r="D1148" s="7">
        <v>1139</v>
      </c>
      <c r="E1148" s="7">
        <v>228</v>
      </c>
      <c r="F1148" s="7" t="s">
        <v>2135</v>
      </c>
      <c r="G1148" s="7">
        <v>998</v>
      </c>
      <c r="H1148" s="7" t="s">
        <v>2135</v>
      </c>
      <c r="I1148" s="37">
        <v>0</v>
      </c>
      <c r="J1148" s="122">
        <v>0</v>
      </c>
      <c r="K1148" s="123">
        <f t="shared" si="180"/>
        <v>0</v>
      </c>
      <c r="L1148" s="122">
        <f>IF(K1149&gt;0, K1148/K1149, 0)</f>
        <v>0</v>
      </c>
      <c r="M1148" s="71"/>
      <c r="N1148" s="10">
        <f>ROUND(M1149*L1148,0)</f>
        <v>0</v>
      </c>
      <c r="O1148" s="70">
        <v>0</v>
      </c>
      <c r="P1148" s="10">
        <f>N1148-O1148</f>
        <v>0</v>
      </c>
      <c r="Q1148" s="46">
        <f t="shared" si="179"/>
        <v>0</v>
      </c>
      <c r="R1148" s="10">
        <v>0</v>
      </c>
      <c r="S1148" s="7">
        <f t="shared" si="172"/>
        <v>0</v>
      </c>
      <c r="T1148" s="124">
        <f t="shared" si="173"/>
        <v>228</v>
      </c>
      <c r="U1148" s="124">
        <f t="shared" si="174"/>
        <v>998</v>
      </c>
      <c r="V1148" s="124">
        <f t="shared" si="175"/>
        <v>1139</v>
      </c>
      <c r="W1148" s="124">
        <f t="shared" si="176"/>
        <v>0</v>
      </c>
      <c r="X1148" s="124">
        <f t="shared" si="177"/>
        <v>0</v>
      </c>
      <c r="Y1148" s="264">
        <f t="shared" si="178"/>
        <v>1139</v>
      </c>
      <c r="Z1148" s="10">
        <v>228</v>
      </c>
      <c r="AA1148" s="7">
        <v>998</v>
      </c>
      <c r="AB1148" s="7">
        <v>1139</v>
      </c>
      <c r="AC1148" s="109">
        <v>0</v>
      </c>
      <c r="AD1148" s="109">
        <v>0</v>
      </c>
      <c r="AE1148" s="125"/>
      <c r="AF1148" s="10"/>
      <c r="AI1148" s="109"/>
      <c r="AJ1148" s="109"/>
      <c r="AL1148" s="10"/>
      <c r="AO1148" s="109"/>
      <c r="AP1148" s="109"/>
      <c r="AR1148" s="10"/>
      <c r="AU1148" s="109"/>
      <c r="AV1148" s="109"/>
      <c r="AX1148" s="10"/>
      <c r="BA1148" s="109"/>
      <c r="BB1148" s="109"/>
      <c r="BD1148" s="10"/>
      <c r="BG1148" s="109"/>
      <c r="BH1148" s="109"/>
      <c r="BJ1148" s="10"/>
      <c r="BM1148" s="109"/>
      <c r="BN1148" s="109"/>
      <c r="BP1148" s="10"/>
      <c r="BS1148" s="109"/>
      <c r="BT1148" s="109"/>
      <c r="BV1148" s="10"/>
      <c r="BY1148" s="109"/>
      <c r="BZ1148" s="109"/>
      <c r="CB1148" s="10"/>
      <c r="CE1148" s="109"/>
      <c r="CF1148" s="109"/>
      <c r="CH1148" s="10"/>
      <c r="CK1148" s="109"/>
      <c r="CL1148" s="109"/>
    </row>
    <row r="1149" spans="1:90">
      <c r="A1149" s="7" t="str">
        <f t="shared" si="171"/>
        <v>02280999</v>
      </c>
      <c r="B1149" s="7" t="s">
        <v>2567</v>
      </c>
      <c r="C1149" s="7" t="s">
        <v>2782</v>
      </c>
      <c r="D1149" s="7">
        <v>1140</v>
      </c>
      <c r="E1149" s="11">
        <v>228</v>
      </c>
      <c r="F1149" s="11" t="s">
        <v>1933</v>
      </c>
      <c r="G1149" s="11">
        <v>999</v>
      </c>
      <c r="H1149" s="11" t="s">
        <v>1132</v>
      </c>
      <c r="I1149" s="105">
        <v>6783269</v>
      </c>
      <c r="J1149" s="126">
        <v>1</v>
      </c>
      <c r="K1149" s="127">
        <f>SUM(K1145:K1148)</f>
        <v>6950898.0275027156</v>
      </c>
      <c r="L1149" s="126">
        <f>SUM(L1145:L1148)</f>
        <v>1.0000000000000002</v>
      </c>
      <c r="M1149" s="105">
        <f>VLOOKUP(E1149,town351,22)</f>
        <v>4288660</v>
      </c>
      <c r="N1149" s="105">
        <f>SUM(N1145:N1148)</f>
        <v>4288660</v>
      </c>
      <c r="O1149" s="128">
        <v>4364547</v>
      </c>
      <c r="P1149" s="105">
        <f>SUM(P1145:P1148)</f>
        <v>-75887</v>
      </c>
      <c r="Q1149" s="45">
        <f t="shared" si="179"/>
        <v>-1.7387142354063321</v>
      </c>
      <c r="R1149" s="105">
        <v>719</v>
      </c>
      <c r="S1149" s="7">
        <f t="shared" si="172"/>
        <v>0</v>
      </c>
      <c r="T1149" s="124">
        <f t="shared" si="173"/>
        <v>228</v>
      </c>
      <c r="U1149" s="124">
        <f t="shared" si="174"/>
        <v>999</v>
      </c>
      <c r="V1149" s="124">
        <f t="shared" si="175"/>
        <v>1140</v>
      </c>
      <c r="W1149" s="124">
        <f t="shared" si="176"/>
        <v>718.91575192054995</v>
      </c>
      <c r="X1149" s="124">
        <f t="shared" si="177"/>
        <v>6950898.0275027156</v>
      </c>
      <c r="Y1149" s="264">
        <f t="shared" si="178"/>
        <v>1140</v>
      </c>
      <c r="Z1149" s="10">
        <v>228</v>
      </c>
      <c r="AA1149" s="7">
        <v>999</v>
      </c>
      <c r="AB1149" s="7">
        <v>1140</v>
      </c>
      <c r="AC1149" s="109">
        <v>718.91575192054995</v>
      </c>
      <c r="AD1149" s="109">
        <v>6950898.0275027156</v>
      </c>
      <c r="AE1149" s="125"/>
      <c r="AF1149" s="10"/>
      <c r="AI1149" s="109"/>
      <c r="AJ1149" s="109"/>
      <c r="AL1149" s="10"/>
      <c r="AO1149" s="109"/>
      <c r="AP1149" s="109"/>
      <c r="AR1149" s="10"/>
      <c r="AU1149" s="109"/>
      <c r="AV1149" s="109"/>
      <c r="AX1149" s="10"/>
      <c r="BA1149" s="109"/>
      <c r="BB1149" s="109"/>
      <c r="BD1149" s="10"/>
      <c r="BG1149" s="109"/>
      <c r="BH1149" s="109"/>
      <c r="BJ1149" s="10"/>
      <c r="BM1149" s="109"/>
      <c r="BN1149" s="109"/>
      <c r="BP1149" s="10"/>
      <c r="BS1149" s="109"/>
      <c r="BT1149" s="109"/>
      <c r="BV1149" s="10"/>
      <c r="BY1149" s="109"/>
      <c r="BZ1149" s="109"/>
      <c r="CB1149" s="10"/>
      <c r="CE1149" s="109"/>
      <c r="CF1149" s="109"/>
      <c r="CH1149" s="10"/>
      <c r="CK1149" s="109"/>
      <c r="CL1149" s="109"/>
    </row>
    <row r="1150" spans="1:90">
      <c r="A1150" s="7" t="str">
        <f t="shared" si="171"/>
        <v>02290229</v>
      </c>
      <c r="B1150" s="7" t="s">
        <v>2568</v>
      </c>
      <c r="C1150" s="7" t="s">
        <v>2568</v>
      </c>
      <c r="D1150" s="7">
        <v>1141</v>
      </c>
      <c r="E1150" s="7">
        <v>229</v>
      </c>
      <c r="F1150" s="7" t="s">
        <v>1934</v>
      </c>
      <c r="G1150" s="7">
        <v>229</v>
      </c>
      <c r="H1150" s="7" t="s">
        <v>1495</v>
      </c>
      <c r="I1150" s="37">
        <v>62459203.560000002</v>
      </c>
      <c r="J1150" s="122">
        <v>0.94602609941836346</v>
      </c>
      <c r="K1150" s="123">
        <f>X1150</f>
        <v>63749465.754188508</v>
      </c>
      <c r="L1150" s="122">
        <f>IF(K1154&gt;0, K1150/K1154, 0)</f>
        <v>0.93622335137248414</v>
      </c>
      <c r="M1150" s="71"/>
      <c r="N1150" s="10">
        <f>ROUND(M1154*L1150,0)</f>
        <v>45449042</v>
      </c>
      <c r="O1150" s="70">
        <v>44792470</v>
      </c>
      <c r="P1150" s="10">
        <f>N1150-O1150</f>
        <v>656572</v>
      </c>
      <c r="Q1150" s="46">
        <f t="shared" si="179"/>
        <v>1.4658088736789912</v>
      </c>
      <c r="R1150" s="10">
        <v>5877</v>
      </c>
      <c r="S1150" s="7">
        <f t="shared" si="172"/>
        <v>0</v>
      </c>
      <c r="T1150" s="124">
        <f t="shared" si="173"/>
        <v>229</v>
      </c>
      <c r="U1150" s="124">
        <f t="shared" si="174"/>
        <v>229</v>
      </c>
      <c r="V1150" s="124">
        <f t="shared" si="175"/>
        <v>1141</v>
      </c>
      <c r="W1150" s="124">
        <f t="shared" si="176"/>
        <v>5892</v>
      </c>
      <c r="X1150" s="124">
        <f t="shared" si="177"/>
        <v>63749465.754188508</v>
      </c>
      <c r="Y1150" s="264">
        <f t="shared" si="178"/>
        <v>1141</v>
      </c>
      <c r="Z1150" s="10">
        <v>229</v>
      </c>
      <c r="AA1150" s="7">
        <v>229</v>
      </c>
      <c r="AB1150" s="7">
        <v>1141</v>
      </c>
      <c r="AC1150" s="109">
        <v>5892</v>
      </c>
      <c r="AD1150" s="109">
        <v>63749465.754188508</v>
      </c>
      <c r="AE1150" s="125"/>
      <c r="AF1150" s="10"/>
      <c r="AI1150" s="109"/>
      <c r="AJ1150" s="109"/>
      <c r="AL1150" s="10"/>
      <c r="AO1150" s="109"/>
      <c r="AP1150" s="109"/>
      <c r="AR1150" s="10"/>
      <c r="AU1150" s="109"/>
      <c r="AV1150" s="109"/>
      <c r="AX1150" s="10"/>
      <c r="BA1150" s="109"/>
      <c r="BB1150" s="109"/>
      <c r="BD1150" s="10"/>
      <c r="BG1150" s="109"/>
      <c r="BH1150" s="109"/>
      <c r="BJ1150" s="10"/>
      <c r="BM1150" s="109"/>
      <c r="BN1150" s="109"/>
      <c r="BP1150" s="10"/>
      <c r="BS1150" s="109"/>
      <c r="BT1150" s="109"/>
      <c r="BV1150" s="10"/>
      <c r="BY1150" s="109"/>
      <c r="BZ1150" s="109"/>
      <c r="CB1150" s="10"/>
      <c r="CE1150" s="109"/>
      <c r="CF1150" s="109"/>
      <c r="CH1150" s="10"/>
      <c r="CK1150" s="109"/>
      <c r="CL1150" s="109"/>
    </row>
    <row r="1151" spans="1:90">
      <c r="A1151" s="7" t="str">
        <f t="shared" si="171"/>
        <v>02290817</v>
      </c>
      <c r="B1151" s="7" t="s">
        <v>2568</v>
      </c>
      <c r="C1151" s="7" t="s">
        <v>2757</v>
      </c>
      <c r="D1151" s="7">
        <v>1142</v>
      </c>
      <c r="E1151" s="7">
        <v>229</v>
      </c>
      <c r="F1151" s="7" t="s">
        <v>1934</v>
      </c>
      <c r="G1151" s="7">
        <v>817</v>
      </c>
      <c r="H1151" s="7" t="s">
        <v>1684</v>
      </c>
      <c r="I1151" s="129">
        <v>3563503</v>
      </c>
      <c r="J1151" s="130">
        <v>5.3973900581636501E-2</v>
      </c>
      <c r="K1151" s="123">
        <f t="shared" si="180"/>
        <v>4342689.4572074683</v>
      </c>
      <c r="L1151" s="122">
        <f>IF(K1154&gt;0, K1151/K1154, 0)</f>
        <v>6.3776648627515767E-2</v>
      </c>
      <c r="M1151" s="71"/>
      <c r="N1151" s="10">
        <f>ROUND(M1154*L1151,0)</f>
        <v>3096043</v>
      </c>
      <c r="O1151" s="70">
        <v>2555558</v>
      </c>
      <c r="P1151" s="10">
        <f>N1151-O1151</f>
        <v>540485</v>
      </c>
      <c r="Q1151" s="46">
        <f t="shared" si="179"/>
        <v>21.149392813624264</v>
      </c>
      <c r="R1151" s="10">
        <v>226</v>
      </c>
      <c r="S1151" s="7">
        <f t="shared" si="172"/>
        <v>0</v>
      </c>
      <c r="T1151" s="124">
        <f t="shared" si="173"/>
        <v>229</v>
      </c>
      <c r="U1151" s="124">
        <f t="shared" si="174"/>
        <v>817</v>
      </c>
      <c r="V1151" s="124">
        <f t="shared" si="175"/>
        <v>1142</v>
      </c>
      <c r="W1151" s="124">
        <f t="shared" si="176"/>
        <v>272.99999999921999</v>
      </c>
      <c r="X1151" s="124">
        <f t="shared" si="177"/>
        <v>4342689.4572074683</v>
      </c>
      <c r="Y1151" s="264">
        <f t="shared" si="178"/>
        <v>1142</v>
      </c>
      <c r="Z1151" s="10">
        <v>229</v>
      </c>
      <c r="AA1151" s="7">
        <v>817</v>
      </c>
      <c r="AB1151" s="7">
        <v>1142</v>
      </c>
      <c r="AC1151" s="109">
        <v>272.99999999921999</v>
      </c>
      <c r="AD1151" s="109">
        <v>4342689.4572074683</v>
      </c>
      <c r="AE1151" s="125"/>
      <c r="AF1151" s="10"/>
      <c r="AI1151" s="109"/>
      <c r="AJ1151" s="109"/>
      <c r="AL1151" s="10"/>
      <c r="AO1151" s="109"/>
      <c r="AP1151" s="109"/>
      <c r="AR1151" s="10"/>
      <c r="AU1151" s="109"/>
      <c r="AV1151" s="109"/>
      <c r="AX1151" s="10"/>
      <c r="BA1151" s="109"/>
      <c r="BB1151" s="109"/>
      <c r="BD1151" s="10"/>
      <c r="BG1151" s="109"/>
      <c r="BH1151" s="109"/>
      <c r="BJ1151" s="10"/>
      <c r="BM1151" s="109"/>
      <c r="BN1151" s="109"/>
      <c r="BP1151" s="10"/>
      <c r="BS1151" s="109"/>
      <c r="BT1151" s="109"/>
      <c r="BV1151" s="10"/>
      <c r="BY1151" s="109"/>
      <c r="BZ1151" s="109"/>
      <c r="CB1151" s="10"/>
      <c r="CE1151" s="109"/>
      <c r="CF1151" s="109"/>
      <c r="CH1151" s="10"/>
      <c r="CK1151" s="109"/>
      <c r="CL1151" s="109"/>
    </row>
    <row r="1152" spans="1:90">
      <c r="A1152" s="7" t="str">
        <f t="shared" si="171"/>
        <v>02290998</v>
      </c>
      <c r="B1152" s="7" t="s">
        <v>2568</v>
      </c>
      <c r="C1152" s="7" t="s">
        <v>2781</v>
      </c>
      <c r="D1152" s="7">
        <v>1143</v>
      </c>
      <c r="E1152" s="7">
        <v>229</v>
      </c>
      <c r="F1152" s="7" t="s">
        <v>2135</v>
      </c>
      <c r="G1152" s="7">
        <v>998</v>
      </c>
      <c r="H1152" s="7" t="s">
        <v>2135</v>
      </c>
      <c r="I1152" s="37">
        <v>0</v>
      </c>
      <c r="J1152" s="122">
        <v>0</v>
      </c>
      <c r="K1152" s="123">
        <f t="shared" si="180"/>
        <v>0</v>
      </c>
      <c r="L1152" s="122">
        <f>IF(K1154&gt;0, K1152/K1154, 0)</f>
        <v>0</v>
      </c>
      <c r="M1152" s="71"/>
      <c r="N1152" s="10">
        <f>ROUND(M1154*L1152,0)</f>
        <v>0</v>
      </c>
      <c r="O1152" s="70">
        <v>0</v>
      </c>
      <c r="P1152" s="10">
        <f>N1152-O1152</f>
        <v>0</v>
      </c>
      <c r="Q1152" s="46">
        <f t="shared" si="179"/>
        <v>0</v>
      </c>
      <c r="R1152" s="10">
        <v>0</v>
      </c>
      <c r="S1152" s="7">
        <f t="shared" si="172"/>
        <v>0</v>
      </c>
      <c r="T1152" s="124">
        <f t="shared" si="173"/>
        <v>229</v>
      </c>
      <c r="U1152" s="124">
        <f t="shared" si="174"/>
        <v>998</v>
      </c>
      <c r="V1152" s="124">
        <f t="shared" si="175"/>
        <v>1143</v>
      </c>
      <c r="W1152" s="124">
        <f t="shared" si="176"/>
        <v>0</v>
      </c>
      <c r="X1152" s="124">
        <f t="shared" si="177"/>
        <v>0</v>
      </c>
      <c r="Y1152" s="264">
        <f t="shared" si="178"/>
        <v>1143</v>
      </c>
      <c r="Z1152" s="10">
        <v>229</v>
      </c>
      <c r="AA1152" s="7">
        <v>998</v>
      </c>
      <c r="AB1152" s="7">
        <v>1143</v>
      </c>
      <c r="AC1152" s="109">
        <v>0</v>
      </c>
      <c r="AD1152" s="109">
        <v>0</v>
      </c>
      <c r="AE1152" s="125"/>
      <c r="AF1152" s="10"/>
      <c r="AI1152" s="109"/>
      <c r="AJ1152" s="109"/>
      <c r="AL1152" s="10"/>
      <c r="AO1152" s="109"/>
      <c r="AP1152" s="109"/>
      <c r="AR1152" s="10"/>
      <c r="AU1152" s="109"/>
      <c r="AV1152" s="109"/>
      <c r="AX1152" s="10"/>
      <c r="BA1152" s="109"/>
      <c r="BB1152" s="109"/>
      <c r="BD1152" s="10"/>
      <c r="BG1152" s="109"/>
      <c r="BH1152" s="109"/>
      <c r="BJ1152" s="10"/>
      <c r="BM1152" s="109"/>
      <c r="BN1152" s="109"/>
      <c r="BP1152" s="10"/>
      <c r="BS1152" s="109"/>
      <c r="BT1152" s="109"/>
      <c r="BV1152" s="10"/>
      <c r="BY1152" s="109"/>
      <c r="BZ1152" s="109"/>
      <c r="CB1152" s="10"/>
      <c r="CE1152" s="109"/>
      <c r="CF1152" s="109"/>
      <c r="CH1152" s="10"/>
      <c r="CK1152" s="109"/>
      <c r="CL1152" s="109"/>
    </row>
    <row r="1153" spans="1:90">
      <c r="A1153" s="7" t="str">
        <f t="shared" si="171"/>
        <v>02290998</v>
      </c>
      <c r="B1153" s="7" t="s">
        <v>2568</v>
      </c>
      <c r="C1153" s="7" t="s">
        <v>2781</v>
      </c>
      <c r="D1153" s="7">
        <v>1144</v>
      </c>
      <c r="E1153" s="7">
        <v>229</v>
      </c>
      <c r="F1153" s="7" t="s">
        <v>2135</v>
      </c>
      <c r="G1153" s="7">
        <v>998</v>
      </c>
      <c r="H1153" s="7" t="s">
        <v>2135</v>
      </c>
      <c r="I1153" s="37">
        <v>0</v>
      </c>
      <c r="J1153" s="122">
        <v>0</v>
      </c>
      <c r="K1153" s="123">
        <f t="shared" si="180"/>
        <v>0</v>
      </c>
      <c r="L1153" s="122">
        <f>IF(K1154&gt;0, K1153/K1154, 0)</f>
        <v>0</v>
      </c>
      <c r="M1153" s="71"/>
      <c r="N1153" s="10">
        <f>ROUND(M1154*L1153,0)</f>
        <v>0</v>
      </c>
      <c r="O1153" s="70">
        <v>0</v>
      </c>
      <c r="P1153" s="10">
        <f>N1153-O1153</f>
        <v>0</v>
      </c>
      <c r="Q1153" s="46">
        <f t="shared" si="179"/>
        <v>0</v>
      </c>
      <c r="R1153" s="10">
        <v>0</v>
      </c>
      <c r="S1153" s="7">
        <f t="shared" si="172"/>
        <v>0</v>
      </c>
      <c r="T1153" s="124">
        <f t="shared" si="173"/>
        <v>229</v>
      </c>
      <c r="U1153" s="124">
        <f t="shared" si="174"/>
        <v>998</v>
      </c>
      <c r="V1153" s="124">
        <f t="shared" si="175"/>
        <v>1144</v>
      </c>
      <c r="W1153" s="124">
        <f t="shared" si="176"/>
        <v>0</v>
      </c>
      <c r="X1153" s="124">
        <f t="shared" si="177"/>
        <v>0</v>
      </c>
      <c r="Y1153" s="264">
        <f t="shared" si="178"/>
        <v>1144</v>
      </c>
      <c r="Z1153" s="10">
        <v>229</v>
      </c>
      <c r="AA1153" s="7">
        <v>998</v>
      </c>
      <c r="AB1153" s="7">
        <v>1144</v>
      </c>
      <c r="AC1153" s="109">
        <v>0</v>
      </c>
      <c r="AD1153" s="109">
        <v>0</v>
      </c>
      <c r="AE1153" s="125"/>
      <c r="AF1153" s="10"/>
      <c r="AI1153" s="109"/>
      <c r="AJ1153" s="109"/>
      <c r="AL1153" s="10"/>
      <c r="AO1153" s="109"/>
      <c r="AP1153" s="109"/>
      <c r="AR1153" s="10"/>
      <c r="AU1153" s="109"/>
      <c r="AV1153" s="109"/>
      <c r="AX1153" s="10"/>
      <c r="BA1153" s="109"/>
      <c r="BB1153" s="109"/>
      <c r="BD1153" s="10"/>
      <c r="BG1153" s="109"/>
      <c r="BH1153" s="109"/>
      <c r="BJ1153" s="10"/>
      <c r="BM1153" s="109"/>
      <c r="BN1153" s="109"/>
      <c r="BP1153" s="10"/>
      <c r="BS1153" s="109"/>
      <c r="BT1153" s="109"/>
      <c r="BV1153" s="10"/>
      <c r="BY1153" s="109"/>
      <c r="BZ1153" s="109"/>
      <c r="CB1153" s="10"/>
      <c r="CE1153" s="109"/>
      <c r="CF1153" s="109"/>
      <c r="CH1153" s="10"/>
      <c r="CK1153" s="109"/>
      <c r="CL1153" s="109"/>
    </row>
    <row r="1154" spans="1:90">
      <c r="A1154" s="7" t="str">
        <f t="shared" si="171"/>
        <v>02290999</v>
      </c>
      <c r="B1154" s="7" t="s">
        <v>2568</v>
      </c>
      <c r="C1154" s="7" t="s">
        <v>2782</v>
      </c>
      <c r="D1154" s="7">
        <v>1145</v>
      </c>
      <c r="E1154" s="11">
        <v>229</v>
      </c>
      <c r="F1154" s="11" t="s">
        <v>1934</v>
      </c>
      <c r="G1154" s="11">
        <v>999</v>
      </c>
      <c r="H1154" s="11" t="s">
        <v>1132</v>
      </c>
      <c r="I1154" s="105">
        <v>66022706.560000002</v>
      </c>
      <c r="J1154" s="126">
        <v>1</v>
      </c>
      <c r="K1154" s="127">
        <f>SUM(K1150:K1153)</f>
        <v>68092155.211395979</v>
      </c>
      <c r="L1154" s="126">
        <f>SUM(L1150:L1153)</f>
        <v>0.99999999999999989</v>
      </c>
      <c r="M1154" s="105">
        <f>VLOOKUP(E1154,town351,22)</f>
        <v>48545085</v>
      </c>
      <c r="N1154" s="105">
        <f>SUM(N1150:N1153)</f>
        <v>48545085</v>
      </c>
      <c r="O1154" s="128">
        <v>47348028</v>
      </c>
      <c r="P1154" s="105">
        <f>SUM(P1150:P1153)</f>
        <v>1197057</v>
      </c>
      <c r="Q1154" s="45">
        <f t="shared" si="179"/>
        <v>2.5282087777763418</v>
      </c>
      <c r="R1154" s="105">
        <v>6103</v>
      </c>
      <c r="S1154" s="7">
        <f t="shared" si="172"/>
        <v>0</v>
      </c>
      <c r="T1154" s="124">
        <f t="shared" si="173"/>
        <v>229</v>
      </c>
      <c r="U1154" s="124">
        <f t="shared" si="174"/>
        <v>999</v>
      </c>
      <c r="V1154" s="124">
        <f t="shared" si="175"/>
        <v>1145</v>
      </c>
      <c r="W1154" s="124">
        <f t="shared" si="176"/>
        <v>6164.9999999992197</v>
      </c>
      <c r="X1154" s="124">
        <f t="shared" si="177"/>
        <v>68092155.211395979</v>
      </c>
      <c r="Y1154" s="264">
        <f t="shared" si="178"/>
        <v>1145</v>
      </c>
      <c r="Z1154" s="10">
        <v>229</v>
      </c>
      <c r="AA1154" s="7">
        <v>999</v>
      </c>
      <c r="AB1154" s="7">
        <v>1145</v>
      </c>
      <c r="AC1154" s="109">
        <v>6164.9999999992197</v>
      </c>
      <c r="AD1154" s="109">
        <v>68092155.211395979</v>
      </c>
      <c r="AE1154" s="125"/>
      <c r="AF1154" s="10"/>
      <c r="AI1154" s="109"/>
      <c r="AJ1154" s="109"/>
      <c r="AL1154" s="10"/>
      <c r="AO1154" s="109"/>
      <c r="AP1154" s="109"/>
      <c r="AR1154" s="10"/>
      <c r="AU1154" s="109"/>
      <c r="AV1154" s="109"/>
      <c r="AX1154" s="10"/>
      <c r="BA1154" s="109"/>
      <c r="BB1154" s="109"/>
      <c r="BD1154" s="10"/>
      <c r="BG1154" s="109"/>
      <c r="BH1154" s="109"/>
      <c r="BJ1154" s="10"/>
      <c r="BM1154" s="109"/>
      <c r="BN1154" s="109"/>
      <c r="BP1154" s="10"/>
      <c r="BS1154" s="109"/>
      <c r="BT1154" s="109"/>
      <c r="BV1154" s="10"/>
      <c r="BY1154" s="109"/>
      <c r="BZ1154" s="109"/>
      <c r="CB1154" s="10"/>
      <c r="CE1154" s="109"/>
      <c r="CF1154" s="109"/>
      <c r="CH1154" s="10"/>
      <c r="CK1154" s="109"/>
      <c r="CL1154" s="109"/>
    </row>
    <row r="1155" spans="1:90">
      <c r="A1155" s="7" t="str">
        <f t="shared" si="171"/>
        <v>02300230</v>
      </c>
      <c r="B1155" s="7" t="s">
        <v>2569</v>
      </c>
      <c r="C1155" s="7" t="s">
        <v>2569</v>
      </c>
      <c r="D1155" s="7">
        <v>1146</v>
      </c>
      <c r="E1155" s="7">
        <v>230</v>
      </c>
      <c r="F1155" s="7" t="s">
        <v>1935</v>
      </c>
      <c r="G1155" s="7">
        <v>230</v>
      </c>
      <c r="H1155" s="7" t="s">
        <v>1496</v>
      </c>
      <c r="I1155" s="37">
        <v>724220.01</v>
      </c>
      <c r="J1155" s="122">
        <v>0.55463442732142842</v>
      </c>
      <c r="K1155" s="123">
        <f>X1155</f>
        <v>830020.58176676114</v>
      </c>
      <c r="L1155" s="122">
        <f>IF(K1159&gt;0, K1155/K1159, 0)</f>
        <v>0.53676104107479961</v>
      </c>
      <c r="M1155" s="71"/>
      <c r="N1155" s="10">
        <f>ROUND(M1159*L1155,0)</f>
        <v>620333</v>
      </c>
      <c r="O1155" s="70">
        <v>609074</v>
      </c>
      <c r="P1155" s="10">
        <f>N1155-O1155</f>
        <v>11259</v>
      </c>
      <c r="Q1155" s="46">
        <f t="shared" si="179"/>
        <v>1.8485438550980668</v>
      </c>
      <c r="R1155" s="10">
        <v>74</v>
      </c>
      <c r="S1155" s="7">
        <f t="shared" si="172"/>
        <v>0</v>
      </c>
      <c r="T1155" s="124">
        <f t="shared" si="173"/>
        <v>230</v>
      </c>
      <c r="U1155" s="124">
        <f t="shared" si="174"/>
        <v>230</v>
      </c>
      <c r="V1155" s="124">
        <f t="shared" si="175"/>
        <v>1146</v>
      </c>
      <c r="W1155" s="124">
        <f t="shared" si="176"/>
        <v>81</v>
      </c>
      <c r="X1155" s="124">
        <f t="shared" si="177"/>
        <v>830020.58176676114</v>
      </c>
      <c r="Y1155" s="264">
        <f t="shared" si="178"/>
        <v>1146</v>
      </c>
      <c r="Z1155" s="10">
        <v>230</v>
      </c>
      <c r="AA1155" s="7">
        <v>230</v>
      </c>
      <c r="AB1155" s="7">
        <v>1146</v>
      </c>
      <c r="AC1155" s="109">
        <v>81</v>
      </c>
      <c r="AD1155" s="109">
        <v>830020.58176676114</v>
      </c>
      <c r="AE1155" s="125"/>
      <c r="AF1155" s="10"/>
      <c r="AI1155" s="109"/>
      <c r="AJ1155" s="109"/>
      <c r="AL1155" s="10"/>
      <c r="AO1155" s="109"/>
      <c r="AP1155" s="109"/>
      <c r="AR1155" s="10"/>
      <c r="AU1155" s="109"/>
      <c r="AV1155" s="109"/>
      <c r="AX1155" s="10"/>
      <c r="BA1155" s="109"/>
      <c r="BB1155" s="109"/>
      <c r="BD1155" s="10"/>
      <c r="BG1155" s="109"/>
      <c r="BH1155" s="109"/>
      <c r="BJ1155" s="10"/>
      <c r="BM1155" s="109"/>
      <c r="BN1155" s="109"/>
      <c r="BP1155" s="10"/>
      <c r="BS1155" s="109"/>
      <c r="BT1155" s="109"/>
      <c r="BV1155" s="10"/>
      <c r="BY1155" s="109"/>
      <c r="BZ1155" s="109"/>
      <c r="CB1155" s="10"/>
      <c r="CE1155" s="109"/>
      <c r="CF1155" s="109"/>
      <c r="CH1155" s="10"/>
      <c r="CK1155" s="109"/>
      <c r="CL1155" s="109"/>
    </row>
    <row r="1156" spans="1:90">
      <c r="A1156" s="7" t="str">
        <f t="shared" si="171"/>
        <v>02300605</v>
      </c>
      <c r="B1156" s="7" t="s">
        <v>2569</v>
      </c>
      <c r="C1156" s="7" t="s">
        <v>2696</v>
      </c>
      <c r="D1156" s="7">
        <v>1147</v>
      </c>
      <c r="E1156" s="7">
        <v>230</v>
      </c>
      <c r="F1156" s="7" t="s">
        <v>1935</v>
      </c>
      <c r="G1156" s="7">
        <v>605</v>
      </c>
      <c r="H1156" s="7" t="s">
        <v>1623</v>
      </c>
      <c r="I1156" s="37">
        <v>581541</v>
      </c>
      <c r="J1156" s="122">
        <v>0.44536557267857158</v>
      </c>
      <c r="K1156" s="123">
        <f t="shared" si="180"/>
        <v>716329.69005018077</v>
      </c>
      <c r="L1156" s="122">
        <f>IF(K1159&gt;0, K1156/K1159, 0)</f>
        <v>0.46323895892520034</v>
      </c>
      <c r="M1156" s="71"/>
      <c r="N1156" s="10">
        <f>ROUND(M1159*L1156,0)</f>
        <v>535364</v>
      </c>
      <c r="O1156" s="70">
        <v>489080</v>
      </c>
      <c r="P1156" s="10">
        <f>N1156-O1156</f>
        <v>46284</v>
      </c>
      <c r="Q1156" s="46">
        <f t="shared" si="179"/>
        <v>9.4634824568577738</v>
      </c>
      <c r="R1156" s="10">
        <v>56</v>
      </c>
      <c r="S1156" s="7">
        <f t="shared" si="172"/>
        <v>0</v>
      </c>
      <c r="T1156" s="124">
        <f t="shared" si="173"/>
        <v>230</v>
      </c>
      <c r="U1156" s="124">
        <f t="shared" si="174"/>
        <v>605</v>
      </c>
      <c r="V1156" s="124">
        <f t="shared" si="175"/>
        <v>1147</v>
      </c>
      <c r="W1156" s="124">
        <f t="shared" si="176"/>
        <v>67.350486780200001</v>
      </c>
      <c r="X1156" s="124">
        <f t="shared" si="177"/>
        <v>716329.69005018077</v>
      </c>
      <c r="Y1156" s="264">
        <f t="shared" si="178"/>
        <v>1147</v>
      </c>
      <c r="Z1156" s="10">
        <v>230</v>
      </c>
      <c r="AA1156" s="7">
        <v>605</v>
      </c>
      <c r="AB1156" s="7">
        <v>1147</v>
      </c>
      <c r="AC1156" s="109">
        <v>67.350486780200001</v>
      </c>
      <c r="AD1156" s="109">
        <v>716329.69005018077</v>
      </c>
      <c r="AE1156" s="125"/>
      <c r="AF1156" s="10"/>
      <c r="AI1156" s="109"/>
      <c r="AJ1156" s="109"/>
      <c r="AL1156" s="10"/>
      <c r="AO1156" s="109"/>
      <c r="AP1156" s="109"/>
      <c r="AR1156" s="10"/>
      <c r="AU1156" s="109"/>
      <c r="AV1156" s="109"/>
      <c r="AX1156" s="10"/>
      <c r="BA1156" s="109"/>
      <c r="BB1156" s="109"/>
      <c r="BD1156" s="10"/>
      <c r="BG1156" s="109"/>
      <c r="BH1156" s="109"/>
      <c r="BJ1156" s="10"/>
      <c r="BM1156" s="109"/>
      <c r="BN1156" s="109"/>
      <c r="BP1156" s="10"/>
      <c r="BS1156" s="109"/>
      <c r="BT1156" s="109"/>
      <c r="BV1156" s="10"/>
      <c r="BY1156" s="109"/>
      <c r="BZ1156" s="109"/>
      <c r="CB1156" s="10"/>
      <c r="CE1156" s="109"/>
      <c r="CF1156" s="109"/>
      <c r="CH1156" s="10"/>
      <c r="CK1156" s="109"/>
      <c r="CL1156" s="109"/>
    </row>
    <row r="1157" spans="1:90">
      <c r="A1157" s="7" t="str">
        <f t="shared" si="171"/>
        <v>02300998</v>
      </c>
      <c r="B1157" s="7" t="s">
        <v>2569</v>
      </c>
      <c r="C1157" s="7" t="s">
        <v>2781</v>
      </c>
      <c r="D1157" s="7">
        <v>1148</v>
      </c>
      <c r="E1157" s="7">
        <v>230</v>
      </c>
      <c r="F1157" s="7" t="s">
        <v>2135</v>
      </c>
      <c r="G1157" s="7">
        <v>998</v>
      </c>
      <c r="H1157" s="7" t="s">
        <v>2135</v>
      </c>
      <c r="I1157" s="37">
        <v>0</v>
      </c>
      <c r="J1157" s="122">
        <v>0</v>
      </c>
      <c r="K1157" s="123">
        <f t="shared" si="180"/>
        <v>0</v>
      </c>
      <c r="L1157" s="122">
        <f>IF(K1159&gt;0, K1157/K1159, 0)</f>
        <v>0</v>
      </c>
      <c r="M1157" s="71"/>
      <c r="N1157" s="10">
        <f>ROUND(M1159*L1157,0)</f>
        <v>0</v>
      </c>
      <c r="O1157" s="70">
        <v>0</v>
      </c>
      <c r="P1157" s="10">
        <f>N1157-O1157</f>
        <v>0</v>
      </c>
      <c r="Q1157" s="46">
        <f t="shared" si="179"/>
        <v>0</v>
      </c>
      <c r="R1157" s="10">
        <v>0</v>
      </c>
      <c r="S1157" s="7">
        <f t="shared" si="172"/>
        <v>0</v>
      </c>
      <c r="T1157" s="124">
        <f t="shared" si="173"/>
        <v>230</v>
      </c>
      <c r="U1157" s="124">
        <f t="shared" si="174"/>
        <v>998</v>
      </c>
      <c r="V1157" s="124">
        <f t="shared" si="175"/>
        <v>1148</v>
      </c>
      <c r="W1157" s="124">
        <f t="shared" si="176"/>
        <v>0</v>
      </c>
      <c r="X1157" s="124">
        <f t="shared" si="177"/>
        <v>0</v>
      </c>
      <c r="Y1157" s="264">
        <f t="shared" si="178"/>
        <v>1148</v>
      </c>
      <c r="Z1157" s="10">
        <v>230</v>
      </c>
      <c r="AA1157" s="7">
        <v>998</v>
      </c>
      <c r="AB1157" s="7">
        <v>1148</v>
      </c>
      <c r="AC1157" s="109">
        <v>0</v>
      </c>
      <c r="AD1157" s="109">
        <v>0</v>
      </c>
      <c r="AE1157" s="125"/>
      <c r="AF1157" s="10"/>
      <c r="AI1157" s="109"/>
      <c r="AJ1157" s="109"/>
      <c r="AL1157" s="10"/>
      <c r="AO1157" s="109"/>
      <c r="AP1157" s="109"/>
      <c r="AR1157" s="10"/>
      <c r="AU1157" s="109"/>
      <c r="AV1157" s="109"/>
      <c r="AX1157" s="10"/>
      <c r="BA1157" s="109"/>
      <c r="BB1157" s="109"/>
      <c r="BD1157" s="10"/>
      <c r="BG1157" s="109"/>
      <c r="BH1157" s="109"/>
      <c r="BJ1157" s="10"/>
      <c r="BM1157" s="109"/>
      <c r="BN1157" s="109"/>
      <c r="BP1157" s="10"/>
      <c r="BS1157" s="109"/>
      <c r="BT1157" s="109"/>
      <c r="BV1157" s="10"/>
      <c r="BY1157" s="109"/>
      <c r="BZ1157" s="109"/>
      <c r="CB1157" s="10"/>
      <c r="CE1157" s="109"/>
      <c r="CF1157" s="109"/>
      <c r="CH1157" s="10"/>
      <c r="CK1157" s="109"/>
      <c r="CL1157" s="109"/>
    </row>
    <row r="1158" spans="1:90">
      <c r="A1158" s="7" t="str">
        <f t="shared" si="171"/>
        <v>02300998</v>
      </c>
      <c r="B1158" s="7" t="s">
        <v>2569</v>
      </c>
      <c r="C1158" s="7" t="s">
        <v>2781</v>
      </c>
      <c r="D1158" s="7">
        <v>1149</v>
      </c>
      <c r="E1158" s="7">
        <v>230</v>
      </c>
      <c r="F1158" s="7" t="s">
        <v>2135</v>
      </c>
      <c r="G1158" s="7">
        <v>998</v>
      </c>
      <c r="H1158" s="7" t="s">
        <v>2135</v>
      </c>
      <c r="I1158" s="37">
        <v>0</v>
      </c>
      <c r="J1158" s="122">
        <v>0</v>
      </c>
      <c r="K1158" s="123">
        <f t="shared" si="180"/>
        <v>0</v>
      </c>
      <c r="L1158" s="122">
        <f>IF(K1159&gt;0, K1158/K1159, 0)</f>
        <v>0</v>
      </c>
      <c r="M1158" s="71"/>
      <c r="N1158" s="10">
        <f>ROUND(M1159*L1158,0)</f>
        <v>0</v>
      </c>
      <c r="O1158" s="70">
        <v>0</v>
      </c>
      <c r="P1158" s="10">
        <f>N1158-O1158</f>
        <v>0</v>
      </c>
      <c r="Q1158" s="46">
        <f t="shared" si="179"/>
        <v>0</v>
      </c>
      <c r="R1158" s="10">
        <v>0</v>
      </c>
      <c r="S1158" s="7">
        <f t="shared" si="172"/>
        <v>0</v>
      </c>
      <c r="T1158" s="124">
        <f t="shared" si="173"/>
        <v>230</v>
      </c>
      <c r="U1158" s="124">
        <f t="shared" si="174"/>
        <v>998</v>
      </c>
      <c r="V1158" s="124">
        <f t="shared" si="175"/>
        <v>1149</v>
      </c>
      <c r="W1158" s="124">
        <f t="shared" si="176"/>
        <v>0</v>
      </c>
      <c r="X1158" s="124">
        <f t="shared" si="177"/>
        <v>0</v>
      </c>
      <c r="Y1158" s="264">
        <f t="shared" si="178"/>
        <v>1149</v>
      </c>
      <c r="Z1158" s="10">
        <v>230</v>
      </c>
      <c r="AA1158" s="7">
        <v>998</v>
      </c>
      <c r="AB1158" s="7">
        <v>1149</v>
      </c>
      <c r="AC1158" s="109">
        <v>0</v>
      </c>
      <c r="AD1158" s="109">
        <v>0</v>
      </c>
      <c r="AE1158" s="125"/>
      <c r="AF1158" s="10"/>
      <c r="AI1158" s="109"/>
      <c r="AJ1158" s="109"/>
      <c r="AL1158" s="10"/>
      <c r="AO1158" s="109"/>
      <c r="AP1158" s="109"/>
      <c r="AR1158" s="10"/>
      <c r="AU1158" s="109"/>
      <c r="AV1158" s="109"/>
      <c r="AX1158" s="10"/>
      <c r="BA1158" s="109"/>
      <c r="BB1158" s="109"/>
      <c r="BD1158" s="10"/>
      <c r="BG1158" s="109"/>
      <c r="BH1158" s="109"/>
      <c r="BJ1158" s="10"/>
      <c r="BM1158" s="109"/>
      <c r="BN1158" s="109"/>
      <c r="BP1158" s="10"/>
      <c r="BS1158" s="109"/>
      <c r="BT1158" s="109"/>
      <c r="BV1158" s="10"/>
      <c r="BY1158" s="109"/>
      <c r="BZ1158" s="109"/>
      <c r="CB1158" s="10"/>
      <c r="CE1158" s="109"/>
      <c r="CF1158" s="109"/>
      <c r="CH1158" s="10"/>
      <c r="CK1158" s="109"/>
      <c r="CL1158" s="109"/>
    </row>
    <row r="1159" spans="1:90">
      <c r="A1159" s="7" t="str">
        <f t="shared" si="171"/>
        <v>02300999</v>
      </c>
      <c r="B1159" s="7" t="s">
        <v>2569</v>
      </c>
      <c r="C1159" s="7" t="s">
        <v>2782</v>
      </c>
      <c r="D1159" s="7">
        <v>1150</v>
      </c>
      <c r="E1159" s="11">
        <v>230</v>
      </c>
      <c r="F1159" s="11" t="s">
        <v>1935</v>
      </c>
      <c r="G1159" s="11">
        <v>999</v>
      </c>
      <c r="H1159" s="11" t="s">
        <v>1132</v>
      </c>
      <c r="I1159" s="105">
        <v>1305761.01</v>
      </c>
      <c r="J1159" s="126">
        <v>1</v>
      </c>
      <c r="K1159" s="127">
        <f>SUM(K1155:K1158)</f>
        <v>1546350.2718169419</v>
      </c>
      <c r="L1159" s="126">
        <f>SUM(L1155:L1158)</f>
        <v>1</v>
      </c>
      <c r="M1159" s="105">
        <f>VLOOKUP(E1159,town351,22)</f>
        <v>1155697</v>
      </c>
      <c r="N1159" s="105">
        <f>SUM(N1155:N1158)</f>
        <v>1155697</v>
      </c>
      <c r="O1159" s="128">
        <v>1098154</v>
      </c>
      <c r="P1159" s="105">
        <f>SUM(P1155:P1158)</f>
        <v>57543</v>
      </c>
      <c r="Q1159" s="45">
        <f t="shared" si="179"/>
        <v>5.239975449709239</v>
      </c>
      <c r="R1159" s="105">
        <v>130</v>
      </c>
      <c r="S1159" s="7">
        <f t="shared" si="172"/>
        <v>0</v>
      </c>
      <c r="T1159" s="124">
        <f t="shared" si="173"/>
        <v>230</v>
      </c>
      <c r="U1159" s="124">
        <f t="shared" si="174"/>
        <v>999</v>
      </c>
      <c r="V1159" s="124">
        <f t="shared" si="175"/>
        <v>1150</v>
      </c>
      <c r="W1159" s="124">
        <f t="shared" si="176"/>
        <v>148.35048678020001</v>
      </c>
      <c r="X1159" s="124">
        <f t="shared" si="177"/>
        <v>1546350.2718169419</v>
      </c>
      <c r="Y1159" s="264">
        <f t="shared" si="178"/>
        <v>1150</v>
      </c>
      <c r="Z1159" s="10">
        <v>230</v>
      </c>
      <c r="AA1159" s="7">
        <v>999</v>
      </c>
      <c r="AB1159" s="7">
        <v>1150</v>
      </c>
      <c r="AC1159" s="109">
        <v>148.35048678020001</v>
      </c>
      <c r="AD1159" s="109">
        <v>1546350.2718169419</v>
      </c>
      <c r="AE1159" s="125"/>
      <c r="AF1159" s="10"/>
      <c r="AI1159" s="109"/>
      <c r="AJ1159" s="109"/>
      <c r="AL1159" s="10"/>
      <c r="AO1159" s="109"/>
      <c r="AP1159" s="109"/>
      <c r="AR1159" s="10"/>
      <c r="AU1159" s="109"/>
      <c r="AV1159" s="109"/>
      <c r="AX1159" s="10"/>
      <c r="BA1159" s="109"/>
      <c r="BB1159" s="109"/>
      <c r="BD1159" s="10"/>
      <c r="BG1159" s="109"/>
      <c r="BH1159" s="109"/>
      <c r="BJ1159" s="10"/>
      <c r="BM1159" s="109"/>
      <c r="BN1159" s="109"/>
      <c r="BP1159" s="10"/>
      <c r="BS1159" s="109"/>
      <c r="BT1159" s="109"/>
      <c r="BV1159" s="10"/>
      <c r="BY1159" s="109"/>
      <c r="BZ1159" s="109"/>
      <c r="CB1159" s="10"/>
      <c r="CE1159" s="109"/>
      <c r="CF1159" s="109"/>
      <c r="CH1159" s="10"/>
      <c r="CK1159" s="109"/>
      <c r="CL1159" s="109"/>
    </row>
    <row r="1160" spans="1:90">
      <c r="A1160" s="7" t="str">
        <f t="shared" si="171"/>
        <v>02310231</v>
      </c>
      <c r="B1160" s="7" t="s">
        <v>2570</v>
      </c>
      <c r="C1160" s="7" t="s">
        <v>2570</v>
      </c>
      <c r="D1160" s="7">
        <v>1151</v>
      </c>
      <c r="E1160" s="7">
        <v>231</v>
      </c>
      <c r="F1160" s="7" t="s">
        <v>1936</v>
      </c>
      <c r="G1160" s="7">
        <v>231</v>
      </c>
      <c r="H1160" s="7" t="s">
        <v>1497</v>
      </c>
      <c r="I1160" s="37">
        <v>30278155.873739995</v>
      </c>
      <c r="J1160" s="122">
        <v>1</v>
      </c>
      <c r="K1160" s="123">
        <f>X1160</f>
        <v>30076801.769575488</v>
      </c>
      <c r="L1160" s="122">
        <f>IF(K1164&gt;0, K1160/K1164, 0)</f>
        <v>1</v>
      </c>
      <c r="M1160" s="71"/>
      <c r="N1160" s="10">
        <f>ROUND(M1164*L1160,0)</f>
        <v>18988785</v>
      </c>
      <c r="O1160" s="70">
        <v>18592537</v>
      </c>
      <c r="P1160" s="10">
        <f>N1160-O1160</f>
        <v>396248</v>
      </c>
      <c r="Q1160" s="46">
        <f t="shared" si="179"/>
        <v>2.1312207150643294</v>
      </c>
      <c r="R1160" s="10">
        <v>3091</v>
      </c>
      <c r="S1160" s="7">
        <f t="shared" si="172"/>
        <v>0</v>
      </c>
      <c r="T1160" s="124">
        <f t="shared" si="173"/>
        <v>231</v>
      </c>
      <c r="U1160" s="124">
        <f t="shared" si="174"/>
        <v>231</v>
      </c>
      <c r="V1160" s="124">
        <f t="shared" si="175"/>
        <v>1151</v>
      </c>
      <c r="W1160" s="124">
        <f t="shared" si="176"/>
        <v>3005</v>
      </c>
      <c r="X1160" s="124">
        <f t="shared" si="177"/>
        <v>30076801.769575488</v>
      </c>
      <c r="Y1160" s="264">
        <f t="shared" si="178"/>
        <v>1151</v>
      </c>
      <c r="Z1160" s="10">
        <v>231</v>
      </c>
      <c r="AA1160" s="7">
        <v>231</v>
      </c>
      <c r="AB1160" s="7">
        <v>1151</v>
      </c>
      <c r="AC1160" s="109">
        <v>3005</v>
      </c>
      <c r="AD1160" s="109">
        <v>30076801.769575488</v>
      </c>
      <c r="AE1160" s="125"/>
      <c r="AF1160" s="10"/>
      <c r="AI1160" s="109"/>
      <c r="AJ1160" s="109"/>
      <c r="AL1160" s="10"/>
      <c r="AO1160" s="109"/>
      <c r="AP1160" s="109"/>
      <c r="AR1160" s="10"/>
      <c r="AU1160" s="109"/>
      <c r="AV1160" s="109"/>
      <c r="AX1160" s="10"/>
      <c r="BA1160" s="109"/>
      <c r="BB1160" s="109"/>
      <c r="BD1160" s="10"/>
      <c r="BG1160" s="109"/>
      <c r="BH1160" s="109"/>
      <c r="BJ1160" s="10"/>
      <c r="BM1160" s="109"/>
      <c r="BN1160" s="109"/>
      <c r="BP1160" s="10"/>
      <c r="BS1160" s="109"/>
      <c r="BT1160" s="109"/>
      <c r="BV1160" s="10"/>
      <c r="BY1160" s="109"/>
      <c r="BZ1160" s="109"/>
      <c r="CB1160" s="10"/>
      <c r="CE1160" s="109"/>
      <c r="CF1160" s="109"/>
      <c r="CH1160" s="10"/>
      <c r="CK1160" s="109"/>
      <c r="CL1160" s="109"/>
    </row>
    <row r="1161" spans="1:90">
      <c r="A1161" s="7" t="str">
        <f t="shared" si="171"/>
        <v>02310998</v>
      </c>
      <c r="B1161" s="7" t="s">
        <v>2570</v>
      </c>
      <c r="C1161" s="7" t="s">
        <v>2781</v>
      </c>
      <c r="D1161" s="7">
        <v>1152</v>
      </c>
      <c r="E1161" s="7">
        <v>231</v>
      </c>
      <c r="F1161" s="7" t="s">
        <v>2135</v>
      </c>
      <c r="G1161" s="7">
        <v>998</v>
      </c>
      <c r="H1161" s="7" t="s">
        <v>2135</v>
      </c>
      <c r="I1161" s="37">
        <v>0</v>
      </c>
      <c r="J1161" s="122">
        <v>0</v>
      </c>
      <c r="K1161" s="123">
        <f t="shared" si="180"/>
        <v>0</v>
      </c>
      <c r="L1161" s="122">
        <f>IF(K1164&gt;0, K1161/K1164, 0)</f>
        <v>0</v>
      </c>
      <c r="M1161" s="71"/>
      <c r="N1161" s="10">
        <f>ROUND(M1164*L1161,0)</f>
        <v>0</v>
      </c>
      <c r="O1161" s="70">
        <v>0</v>
      </c>
      <c r="P1161" s="10">
        <f>N1161-O1161</f>
        <v>0</v>
      </c>
      <c r="Q1161" s="46">
        <f t="shared" si="179"/>
        <v>0</v>
      </c>
      <c r="R1161" s="10">
        <v>0</v>
      </c>
      <c r="S1161" s="7">
        <f t="shared" si="172"/>
        <v>0</v>
      </c>
      <c r="T1161" s="124">
        <f t="shared" si="173"/>
        <v>231</v>
      </c>
      <c r="U1161" s="124">
        <f t="shared" si="174"/>
        <v>998</v>
      </c>
      <c r="V1161" s="124">
        <f t="shared" si="175"/>
        <v>1152</v>
      </c>
      <c r="W1161" s="124">
        <f t="shared" si="176"/>
        <v>0</v>
      </c>
      <c r="X1161" s="124">
        <f t="shared" si="177"/>
        <v>0</v>
      </c>
      <c r="Y1161" s="264">
        <f t="shared" si="178"/>
        <v>1152</v>
      </c>
      <c r="Z1161" s="10">
        <v>231</v>
      </c>
      <c r="AA1161" s="7">
        <v>998</v>
      </c>
      <c r="AB1161" s="7">
        <v>1152</v>
      </c>
      <c r="AC1161" s="109">
        <v>0</v>
      </c>
      <c r="AD1161" s="109">
        <v>0</v>
      </c>
      <c r="AE1161" s="125"/>
      <c r="AF1161" s="10"/>
      <c r="AI1161" s="109"/>
      <c r="AJ1161" s="109"/>
      <c r="AL1161" s="10"/>
      <c r="AO1161" s="109"/>
      <c r="AP1161" s="109"/>
      <c r="AR1161" s="10"/>
      <c r="AU1161" s="109"/>
      <c r="AV1161" s="109"/>
      <c r="AX1161" s="10"/>
      <c r="BA1161" s="109"/>
      <c r="BB1161" s="109"/>
      <c r="BD1161" s="10"/>
      <c r="BG1161" s="109"/>
      <c r="BH1161" s="109"/>
      <c r="BJ1161" s="10"/>
      <c r="BM1161" s="109"/>
      <c r="BN1161" s="109"/>
      <c r="BP1161" s="10"/>
      <c r="BS1161" s="109"/>
      <c r="BT1161" s="109"/>
      <c r="BV1161" s="10"/>
      <c r="BY1161" s="109"/>
      <c r="BZ1161" s="109"/>
      <c r="CB1161" s="10"/>
      <c r="CE1161" s="109"/>
      <c r="CF1161" s="109"/>
      <c r="CH1161" s="10"/>
      <c r="CK1161" s="109"/>
      <c r="CL1161" s="109"/>
    </row>
    <row r="1162" spans="1:90">
      <c r="A1162" s="7" t="str">
        <f t="shared" ref="A1162:A1225" si="181">B1162&amp;C1162</f>
        <v>02310998</v>
      </c>
      <c r="B1162" s="7" t="s">
        <v>2570</v>
      </c>
      <c r="C1162" s="7" t="s">
        <v>2781</v>
      </c>
      <c r="D1162" s="7">
        <v>1153</v>
      </c>
      <c r="E1162" s="7">
        <v>231</v>
      </c>
      <c r="F1162" s="7" t="s">
        <v>2135</v>
      </c>
      <c r="G1162" s="7">
        <v>998</v>
      </c>
      <c r="H1162" s="7" t="s">
        <v>2135</v>
      </c>
      <c r="I1162" s="37">
        <v>0</v>
      </c>
      <c r="J1162" s="122">
        <v>0</v>
      </c>
      <c r="K1162" s="123">
        <f t="shared" si="180"/>
        <v>0</v>
      </c>
      <c r="L1162" s="122">
        <f>IF(K1164&gt;0, K1162/K1164, 0)</f>
        <v>0</v>
      </c>
      <c r="M1162" s="71"/>
      <c r="N1162" s="10">
        <f>ROUND(M1164*L1162,0)</f>
        <v>0</v>
      </c>
      <c r="O1162" s="70">
        <v>0</v>
      </c>
      <c r="P1162" s="10">
        <f>N1162-O1162</f>
        <v>0</v>
      </c>
      <c r="Q1162" s="46">
        <f t="shared" si="179"/>
        <v>0</v>
      </c>
      <c r="R1162" s="10">
        <v>0</v>
      </c>
      <c r="S1162" s="7">
        <f t="shared" ref="S1162:S1225" si="182">ABS(T1162-E1162)+ABS(U1162-G1162)</f>
        <v>0</v>
      </c>
      <c r="T1162" s="124">
        <f t="shared" ref="T1162:T1225" si="183">VLOOKUP($D1162, foundoptions, VLOOKUP($T$6, foundoptcell, 2, FALSE), FALSE)</f>
        <v>231</v>
      </c>
      <c r="U1162" s="124">
        <f t="shared" ref="U1162:U1225" si="184">VLOOKUP($D1162, foundoptions, VLOOKUP($T$6, foundoptcell, 2, FALSE)+1, FALSE)</f>
        <v>998</v>
      </c>
      <c r="V1162" s="124">
        <f t="shared" ref="V1162:V1225" si="185">VLOOKUP($D1162, foundoptions, VLOOKUP($T$6, foundoptcell, 2, FALSE)+2, FALSE)</f>
        <v>1153</v>
      </c>
      <c r="W1162" s="124">
        <f t="shared" ref="W1162:W1225" si="186">VLOOKUP($D1162, foundoptions, VLOOKUP($T$6, foundoptcell, 2, FALSE)+3, FALSE)</f>
        <v>0</v>
      </c>
      <c r="X1162" s="124">
        <f t="shared" ref="X1162:X1225" si="187">VLOOKUP($D1162, foundoptions, VLOOKUP($T$6, foundoptcell, 2, FALSE)+4, FALSE)</f>
        <v>0</v>
      </c>
      <c r="Y1162" s="264">
        <f t="shared" si="178"/>
        <v>1153</v>
      </c>
      <c r="Z1162" s="10">
        <v>231</v>
      </c>
      <c r="AA1162" s="7">
        <v>998</v>
      </c>
      <c r="AB1162" s="7">
        <v>1153</v>
      </c>
      <c r="AC1162" s="109">
        <v>0</v>
      </c>
      <c r="AD1162" s="109">
        <v>0</v>
      </c>
      <c r="AE1162" s="125"/>
      <c r="AF1162" s="10"/>
      <c r="AI1162" s="109"/>
      <c r="AJ1162" s="109"/>
      <c r="AL1162" s="10"/>
      <c r="AO1162" s="109"/>
      <c r="AP1162" s="109"/>
      <c r="AR1162" s="10"/>
      <c r="AU1162" s="109"/>
      <c r="AV1162" s="109"/>
      <c r="AX1162" s="10"/>
      <c r="BA1162" s="109"/>
      <c r="BB1162" s="109"/>
      <c r="BD1162" s="10"/>
      <c r="BG1162" s="109"/>
      <c r="BH1162" s="109"/>
      <c r="BJ1162" s="10"/>
      <c r="BM1162" s="109"/>
      <c r="BN1162" s="109"/>
      <c r="BP1162" s="10"/>
      <c r="BS1162" s="109"/>
      <c r="BT1162" s="109"/>
      <c r="BV1162" s="10"/>
      <c r="BY1162" s="109"/>
      <c r="BZ1162" s="109"/>
      <c r="CB1162" s="10"/>
      <c r="CE1162" s="109"/>
      <c r="CF1162" s="109"/>
      <c r="CH1162" s="10"/>
      <c r="CK1162" s="109"/>
      <c r="CL1162" s="109"/>
    </row>
    <row r="1163" spans="1:90">
      <c r="A1163" s="7" t="str">
        <f t="shared" si="181"/>
        <v>02310998</v>
      </c>
      <c r="B1163" s="7" t="s">
        <v>2570</v>
      </c>
      <c r="C1163" s="7" t="s">
        <v>2781</v>
      </c>
      <c r="D1163" s="7">
        <v>1154</v>
      </c>
      <c r="E1163" s="7">
        <v>231</v>
      </c>
      <c r="F1163" s="7" t="s">
        <v>2135</v>
      </c>
      <c r="G1163" s="7">
        <v>998</v>
      </c>
      <c r="H1163" s="7" t="s">
        <v>2135</v>
      </c>
      <c r="I1163" s="37">
        <v>0</v>
      </c>
      <c r="J1163" s="122">
        <v>0</v>
      </c>
      <c r="K1163" s="123">
        <f t="shared" si="180"/>
        <v>0</v>
      </c>
      <c r="L1163" s="122">
        <f>IF(K1164&gt;0, K1163/K1164, 0)</f>
        <v>0</v>
      </c>
      <c r="M1163" s="71"/>
      <c r="N1163" s="10">
        <f>ROUND(M1164*L1163,0)</f>
        <v>0</v>
      </c>
      <c r="O1163" s="70">
        <v>0</v>
      </c>
      <c r="P1163" s="10">
        <f>N1163-O1163</f>
        <v>0</v>
      </c>
      <c r="Q1163" s="46">
        <f t="shared" si="179"/>
        <v>0</v>
      </c>
      <c r="R1163" s="10">
        <v>0</v>
      </c>
      <c r="S1163" s="7">
        <f t="shared" si="182"/>
        <v>0</v>
      </c>
      <c r="T1163" s="124">
        <f t="shared" si="183"/>
        <v>231</v>
      </c>
      <c r="U1163" s="124">
        <f t="shared" si="184"/>
        <v>998</v>
      </c>
      <c r="V1163" s="124">
        <f t="shared" si="185"/>
        <v>1154</v>
      </c>
      <c r="W1163" s="124">
        <f t="shared" si="186"/>
        <v>0</v>
      </c>
      <c r="X1163" s="124">
        <f t="shared" si="187"/>
        <v>0</v>
      </c>
      <c r="Y1163" s="264">
        <f t="shared" ref="Y1163:Y1226" si="188">D1163</f>
        <v>1154</v>
      </c>
      <c r="Z1163" s="10">
        <v>231</v>
      </c>
      <c r="AA1163" s="7">
        <v>998</v>
      </c>
      <c r="AB1163" s="7">
        <v>1154</v>
      </c>
      <c r="AC1163" s="109">
        <v>0</v>
      </c>
      <c r="AD1163" s="109">
        <v>0</v>
      </c>
      <c r="AE1163" s="125"/>
      <c r="AF1163" s="10"/>
      <c r="AI1163" s="109"/>
      <c r="AJ1163" s="109"/>
      <c r="AL1163" s="10"/>
      <c r="AO1163" s="109"/>
      <c r="AP1163" s="109"/>
      <c r="AR1163" s="10"/>
      <c r="AU1163" s="109"/>
      <c r="AV1163" s="109"/>
      <c r="AX1163" s="10"/>
      <c r="BA1163" s="109"/>
      <c r="BB1163" s="109"/>
      <c r="BD1163" s="10"/>
      <c r="BG1163" s="109"/>
      <c r="BH1163" s="109"/>
      <c r="BJ1163" s="10"/>
      <c r="BM1163" s="109"/>
      <c r="BN1163" s="109"/>
      <c r="BP1163" s="10"/>
      <c r="BS1163" s="109"/>
      <c r="BT1163" s="109"/>
      <c r="BV1163" s="10"/>
      <c r="BY1163" s="109"/>
      <c r="BZ1163" s="109"/>
      <c r="CB1163" s="10"/>
      <c r="CE1163" s="109"/>
      <c r="CF1163" s="109"/>
      <c r="CH1163" s="10"/>
      <c r="CK1163" s="109"/>
      <c r="CL1163" s="109"/>
    </row>
    <row r="1164" spans="1:90">
      <c r="A1164" s="7" t="str">
        <f t="shared" si="181"/>
        <v>02310999</v>
      </c>
      <c r="B1164" s="7" t="s">
        <v>2570</v>
      </c>
      <c r="C1164" s="7" t="s">
        <v>2782</v>
      </c>
      <c r="D1164" s="7">
        <v>1155</v>
      </c>
      <c r="E1164" s="11">
        <v>231</v>
      </c>
      <c r="F1164" s="11" t="s">
        <v>1936</v>
      </c>
      <c r="G1164" s="11">
        <v>999</v>
      </c>
      <c r="H1164" s="11" t="s">
        <v>1132</v>
      </c>
      <c r="I1164" s="105">
        <v>30278155.873739995</v>
      </c>
      <c r="J1164" s="126">
        <v>1</v>
      </c>
      <c r="K1164" s="127">
        <f>SUM(K1160:K1163)</f>
        <v>30076801.769575488</v>
      </c>
      <c r="L1164" s="126">
        <f>SUM(L1160:L1163)</f>
        <v>1</v>
      </c>
      <c r="M1164" s="105">
        <f>VLOOKUP(E1164,town351,22)</f>
        <v>18988785</v>
      </c>
      <c r="N1164" s="105">
        <f>SUM(N1160:N1163)</f>
        <v>18988785</v>
      </c>
      <c r="O1164" s="128">
        <v>18592537</v>
      </c>
      <c r="P1164" s="105">
        <f>SUM(P1160:P1163)</f>
        <v>396248</v>
      </c>
      <c r="Q1164" s="45">
        <f t="shared" si="179"/>
        <v>2.1312207150643294</v>
      </c>
      <c r="R1164" s="105">
        <v>3091</v>
      </c>
      <c r="S1164" s="7">
        <f t="shared" si="182"/>
        <v>0</v>
      </c>
      <c r="T1164" s="124">
        <f t="shared" si="183"/>
        <v>231</v>
      </c>
      <c r="U1164" s="124">
        <f t="shared" si="184"/>
        <v>999</v>
      </c>
      <c r="V1164" s="124">
        <f t="shared" si="185"/>
        <v>1155</v>
      </c>
      <c r="W1164" s="124">
        <f t="shared" si="186"/>
        <v>3005</v>
      </c>
      <c r="X1164" s="124">
        <f t="shared" si="187"/>
        <v>30076801.769575488</v>
      </c>
      <c r="Y1164" s="264">
        <f t="shared" si="188"/>
        <v>1155</v>
      </c>
      <c r="Z1164" s="10">
        <v>231</v>
      </c>
      <c r="AA1164" s="7">
        <v>999</v>
      </c>
      <c r="AB1164" s="7">
        <v>1155</v>
      </c>
      <c r="AC1164" s="109">
        <v>3005</v>
      </c>
      <c r="AD1164" s="109">
        <v>30076801.769575488</v>
      </c>
      <c r="AE1164" s="125"/>
      <c r="AF1164" s="10"/>
      <c r="AI1164" s="109"/>
      <c r="AJ1164" s="109"/>
      <c r="AL1164" s="10"/>
      <c r="AO1164" s="109"/>
      <c r="AP1164" s="109"/>
      <c r="AR1164" s="10"/>
      <c r="AU1164" s="109"/>
      <c r="AV1164" s="109"/>
      <c r="AX1164" s="10"/>
      <c r="BA1164" s="109"/>
      <c r="BB1164" s="109"/>
      <c r="BD1164" s="10"/>
      <c r="BG1164" s="109"/>
      <c r="BH1164" s="109"/>
      <c r="BJ1164" s="10"/>
      <c r="BM1164" s="109"/>
      <c r="BN1164" s="109"/>
      <c r="BP1164" s="10"/>
      <c r="BS1164" s="109"/>
      <c r="BT1164" s="109"/>
      <c r="BV1164" s="10"/>
      <c r="BY1164" s="109"/>
      <c r="BZ1164" s="109"/>
      <c r="CB1164" s="10"/>
      <c r="CE1164" s="109"/>
      <c r="CF1164" s="109"/>
      <c r="CH1164" s="10"/>
      <c r="CK1164" s="109"/>
      <c r="CL1164" s="109"/>
    </row>
    <row r="1165" spans="1:90">
      <c r="A1165" s="7" t="str">
        <f t="shared" si="181"/>
        <v>02320232</v>
      </c>
      <c r="B1165" s="7" t="s">
        <v>2571</v>
      </c>
      <c r="C1165" s="7" t="s">
        <v>2571</v>
      </c>
      <c r="D1165" s="7">
        <v>1156</v>
      </c>
      <c r="E1165" s="7">
        <v>232</v>
      </c>
      <c r="F1165" s="7" t="s">
        <v>1937</v>
      </c>
      <c r="G1165" s="7">
        <v>232</v>
      </c>
      <c r="H1165" s="7" t="s">
        <v>1498</v>
      </c>
      <c r="I1165" s="37">
        <v>0</v>
      </c>
      <c r="J1165" s="122">
        <v>0</v>
      </c>
      <c r="K1165" s="123">
        <f>X1165</f>
        <v>0</v>
      </c>
      <c r="L1165" s="122">
        <f>IF(K1169&gt;0, K1165/K1169, 0)</f>
        <v>0</v>
      </c>
      <c r="M1165" s="71"/>
      <c r="N1165" s="10">
        <f>ROUND(M1169*L1165,0)</f>
        <v>0</v>
      </c>
      <c r="O1165" s="70">
        <v>0</v>
      </c>
      <c r="P1165" s="10">
        <f>N1165-O1165</f>
        <v>0</v>
      </c>
      <c r="Q1165" s="46">
        <f t="shared" si="179"/>
        <v>0</v>
      </c>
      <c r="R1165" s="10">
        <v>0</v>
      </c>
      <c r="S1165" s="7">
        <f t="shared" si="182"/>
        <v>0</v>
      </c>
      <c r="T1165" s="124">
        <f t="shared" si="183"/>
        <v>232</v>
      </c>
      <c r="U1165" s="124">
        <f t="shared" si="184"/>
        <v>232</v>
      </c>
      <c r="V1165" s="124">
        <f t="shared" si="185"/>
        <v>1156</v>
      </c>
      <c r="W1165" s="124">
        <f t="shared" si="186"/>
        <v>0</v>
      </c>
      <c r="X1165" s="124">
        <f t="shared" si="187"/>
        <v>0</v>
      </c>
      <c r="Y1165" s="264">
        <f t="shared" si="188"/>
        <v>1156</v>
      </c>
      <c r="Z1165" s="10">
        <v>232</v>
      </c>
      <c r="AA1165" s="7">
        <v>232</v>
      </c>
      <c r="AB1165" s="7">
        <v>1156</v>
      </c>
      <c r="AC1165" s="109">
        <v>0</v>
      </c>
      <c r="AD1165" s="109">
        <v>0</v>
      </c>
      <c r="AE1165" s="125"/>
      <c r="AF1165" s="10"/>
      <c r="AI1165" s="109"/>
      <c r="AJ1165" s="109"/>
      <c r="AL1165" s="10"/>
      <c r="AO1165" s="109"/>
      <c r="AP1165" s="109"/>
      <c r="AR1165" s="10"/>
      <c r="AU1165" s="109"/>
      <c r="AV1165" s="109"/>
      <c r="AX1165" s="10"/>
      <c r="BA1165" s="109"/>
      <c r="BB1165" s="109"/>
      <c r="BD1165" s="10"/>
      <c r="BG1165" s="109"/>
      <c r="BH1165" s="109"/>
      <c r="BJ1165" s="10"/>
      <c r="BM1165" s="109"/>
      <c r="BN1165" s="109"/>
      <c r="BP1165" s="10"/>
      <c r="BS1165" s="109"/>
      <c r="BT1165" s="109"/>
      <c r="BV1165" s="10"/>
      <c r="BY1165" s="109"/>
      <c r="BZ1165" s="109"/>
      <c r="CB1165" s="10"/>
      <c r="CE1165" s="109"/>
      <c r="CF1165" s="109"/>
      <c r="CH1165" s="10"/>
      <c r="CK1165" s="109"/>
      <c r="CL1165" s="109"/>
    </row>
    <row r="1166" spans="1:90">
      <c r="A1166" s="7" t="str">
        <f t="shared" si="181"/>
        <v>02320735</v>
      </c>
      <c r="B1166" s="7" t="s">
        <v>2571</v>
      </c>
      <c r="C1166" s="7" t="s">
        <v>2735</v>
      </c>
      <c r="D1166" s="7">
        <v>1157</v>
      </c>
      <c r="E1166" s="7">
        <v>232</v>
      </c>
      <c r="F1166" s="7" t="s">
        <v>1937</v>
      </c>
      <c r="G1166" s="7">
        <v>735</v>
      </c>
      <c r="H1166" s="7" t="s">
        <v>1662</v>
      </c>
      <c r="I1166" s="37">
        <v>15395859</v>
      </c>
      <c r="J1166" s="122">
        <v>0.86637354355933216</v>
      </c>
      <c r="K1166" s="123">
        <f t="shared" si="180"/>
        <v>15393485.754308254</v>
      </c>
      <c r="L1166" s="122">
        <f>IF(K1169&gt;0, K1166/K1169, 0)</f>
        <v>0.8631724425313807</v>
      </c>
      <c r="M1166" s="71"/>
      <c r="N1166" s="10">
        <f>ROUND(M1169*L1166,0)</f>
        <v>8714788</v>
      </c>
      <c r="O1166" s="70">
        <v>8769140</v>
      </c>
      <c r="P1166" s="10">
        <f>N1166-O1166</f>
        <v>-54352</v>
      </c>
      <c r="Q1166" s="46">
        <f t="shared" si="179"/>
        <v>-0.6198099243483397</v>
      </c>
      <c r="R1166" s="10">
        <v>1603</v>
      </c>
      <c r="S1166" s="7">
        <f t="shared" si="182"/>
        <v>0</v>
      </c>
      <c r="T1166" s="124">
        <f t="shared" si="183"/>
        <v>232</v>
      </c>
      <c r="U1166" s="124">
        <f t="shared" si="184"/>
        <v>735</v>
      </c>
      <c r="V1166" s="124">
        <f t="shared" si="185"/>
        <v>1157</v>
      </c>
      <c r="W1166" s="124">
        <f t="shared" si="186"/>
        <v>1570.9023714248799</v>
      </c>
      <c r="X1166" s="124">
        <f t="shared" si="187"/>
        <v>15393485.754308254</v>
      </c>
      <c r="Y1166" s="264">
        <f t="shared" si="188"/>
        <v>1157</v>
      </c>
      <c r="Z1166" s="10">
        <v>232</v>
      </c>
      <c r="AA1166" s="7">
        <v>735</v>
      </c>
      <c r="AB1166" s="7">
        <v>1157</v>
      </c>
      <c r="AC1166" s="109">
        <v>1570.9023714248799</v>
      </c>
      <c r="AD1166" s="109">
        <v>15393485.754308254</v>
      </c>
      <c r="AE1166" s="125"/>
      <c r="AF1166" s="10"/>
      <c r="AI1166" s="109"/>
      <c r="AJ1166" s="109"/>
      <c r="AL1166" s="10"/>
      <c r="AO1166" s="109"/>
      <c r="AP1166" s="109"/>
      <c r="AR1166" s="10"/>
      <c r="AU1166" s="109"/>
      <c r="AV1166" s="109"/>
      <c r="AX1166" s="10"/>
      <c r="BA1166" s="109"/>
      <c r="BB1166" s="109"/>
      <c r="BD1166" s="10"/>
      <c r="BG1166" s="109"/>
      <c r="BH1166" s="109"/>
      <c r="BJ1166" s="10"/>
      <c r="BM1166" s="109"/>
      <c r="BN1166" s="109"/>
      <c r="BP1166" s="10"/>
      <c r="BS1166" s="109"/>
      <c r="BT1166" s="109"/>
      <c r="BV1166" s="10"/>
      <c r="BY1166" s="109"/>
      <c r="BZ1166" s="109"/>
      <c r="CB1166" s="10"/>
      <c r="CE1166" s="109"/>
      <c r="CF1166" s="109"/>
      <c r="CH1166" s="10"/>
      <c r="CK1166" s="109"/>
      <c r="CL1166" s="109"/>
    </row>
    <row r="1167" spans="1:90">
      <c r="A1167" s="7" t="str">
        <f t="shared" si="181"/>
        <v>02320852</v>
      </c>
      <c r="B1167" s="7" t="s">
        <v>2571</v>
      </c>
      <c r="C1167" s="7" t="s">
        <v>2767</v>
      </c>
      <c r="D1167" s="7">
        <v>1158</v>
      </c>
      <c r="E1167" s="7">
        <v>232</v>
      </c>
      <c r="F1167" s="7" t="s">
        <v>1937</v>
      </c>
      <c r="G1167" s="7">
        <v>852</v>
      </c>
      <c r="H1167" s="7" t="s">
        <v>1694</v>
      </c>
      <c r="I1167" s="37">
        <v>2374604</v>
      </c>
      <c r="J1167" s="122">
        <v>0.13362645644066787</v>
      </c>
      <c r="K1167" s="123">
        <f t="shared" si="180"/>
        <v>2440130.0978899277</v>
      </c>
      <c r="L1167" s="122">
        <f>IF(K1169&gt;0, K1167/K1169, 0)</f>
        <v>0.13682755746861935</v>
      </c>
      <c r="M1167" s="71"/>
      <c r="N1167" s="10">
        <f>ROUND(M1169*L1167,0)</f>
        <v>1381442</v>
      </c>
      <c r="O1167" s="70">
        <v>1352522</v>
      </c>
      <c r="P1167" s="10">
        <f>N1167-O1167</f>
        <v>28920</v>
      </c>
      <c r="Q1167" s="46">
        <f t="shared" si="179"/>
        <v>2.1382276961114126</v>
      </c>
      <c r="R1167" s="10">
        <v>152</v>
      </c>
      <c r="S1167" s="7">
        <f t="shared" si="182"/>
        <v>0</v>
      </c>
      <c r="T1167" s="124">
        <f t="shared" si="183"/>
        <v>232</v>
      </c>
      <c r="U1167" s="124">
        <f t="shared" si="184"/>
        <v>852</v>
      </c>
      <c r="V1167" s="124">
        <f t="shared" si="185"/>
        <v>1158</v>
      </c>
      <c r="W1167" s="124">
        <f t="shared" si="186"/>
        <v>153.00000000225</v>
      </c>
      <c r="X1167" s="124">
        <f t="shared" si="187"/>
        <v>2440130.0978899277</v>
      </c>
      <c r="Y1167" s="264">
        <f t="shared" si="188"/>
        <v>1158</v>
      </c>
      <c r="Z1167" s="10">
        <v>232</v>
      </c>
      <c r="AA1167" s="7">
        <v>852</v>
      </c>
      <c r="AB1167" s="7">
        <v>1158</v>
      </c>
      <c r="AC1167" s="109">
        <v>153.00000000225</v>
      </c>
      <c r="AD1167" s="109">
        <v>2440130.0978899277</v>
      </c>
      <c r="AE1167" s="125"/>
      <c r="AF1167" s="10"/>
      <c r="AI1167" s="109"/>
      <c r="AJ1167" s="109"/>
      <c r="AL1167" s="10"/>
      <c r="AO1167" s="109"/>
      <c r="AP1167" s="109"/>
      <c r="AR1167" s="10"/>
      <c r="AU1167" s="109"/>
      <c r="AV1167" s="109"/>
      <c r="AX1167" s="10"/>
      <c r="BA1167" s="109"/>
      <c r="BB1167" s="109"/>
      <c r="BD1167" s="10"/>
      <c r="BG1167" s="109"/>
      <c r="BH1167" s="109"/>
      <c r="BJ1167" s="10"/>
      <c r="BM1167" s="109"/>
      <c r="BN1167" s="109"/>
      <c r="BP1167" s="10"/>
      <c r="BS1167" s="109"/>
      <c r="BT1167" s="109"/>
      <c r="BV1167" s="10"/>
      <c r="BY1167" s="109"/>
      <c r="BZ1167" s="109"/>
      <c r="CB1167" s="10"/>
      <c r="CE1167" s="109"/>
      <c r="CF1167" s="109"/>
      <c r="CH1167" s="10"/>
      <c r="CK1167" s="109"/>
      <c r="CL1167" s="109"/>
    </row>
    <row r="1168" spans="1:90">
      <c r="A1168" s="7" t="str">
        <f t="shared" si="181"/>
        <v>02320998</v>
      </c>
      <c r="B1168" s="7" t="s">
        <v>2571</v>
      </c>
      <c r="C1168" s="7" t="s">
        <v>2781</v>
      </c>
      <c r="D1168" s="7">
        <v>1159</v>
      </c>
      <c r="E1168" s="7">
        <v>232</v>
      </c>
      <c r="F1168" s="7" t="s">
        <v>2135</v>
      </c>
      <c r="G1168" s="7">
        <v>998</v>
      </c>
      <c r="H1168" s="7" t="s">
        <v>2135</v>
      </c>
      <c r="I1168" s="37">
        <v>0</v>
      </c>
      <c r="J1168" s="122">
        <v>0</v>
      </c>
      <c r="K1168" s="123">
        <f t="shared" si="180"/>
        <v>0</v>
      </c>
      <c r="L1168" s="122">
        <f>IF(K1169&gt;0, K1168/K1169, 0)</f>
        <v>0</v>
      </c>
      <c r="M1168" s="71"/>
      <c r="N1168" s="10">
        <f>ROUND(M1169*L1168,0)</f>
        <v>0</v>
      </c>
      <c r="O1168" s="70">
        <v>0</v>
      </c>
      <c r="P1168" s="10">
        <f>N1168-O1168</f>
        <v>0</v>
      </c>
      <c r="Q1168" s="46">
        <f>IF(O1168&gt;0,P1168*100/O1168,IF(P1168&gt;0,100,0))</f>
        <v>0</v>
      </c>
      <c r="R1168" s="10">
        <v>0</v>
      </c>
      <c r="S1168" s="7">
        <f t="shared" si="182"/>
        <v>0</v>
      </c>
      <c r="T1168" s="124">
        <f t="shared" si="183"/>
        <v>232</v>
      </c>
      <c r="U1168" s="124">
        <f t="shared" si="184"/>
        <v>998</v>
      </c>
      <c r="V1168" s="124">
        <f t="shared" si="185"/>
        <v>1159</v>
      </c>
      <c r="W1168" s="124">
        <f t="shared" si="186"/>
        <v>0</v>
      </c>
      <c r="X1168" s="124">
        <f t="shared" si="187"/>
        <v>0</v>
      </c>
      <c r="Y1168" s="264">
        <f t="shared" si="188"/>
        <v>1159</v>
      </c>
      <c r="Z1168" s="10">
        <v>232</v>
      </c>
      <c r="AA1168" s="7">
        <v>998</v>
      </c>
      <c r="AB1168" s="7">
        <v>1159</v>
      </c>
      <c r="AC1168" s="109">
        <v>0</v>
      </c>
      <c r="AD1168" s="109">
        <v>0</v>
      </c>
      <c r="AE1168" s="125"/>
      <c r="AF1168" s="10"/>
      <c r="AI1168" s="109"/>
      <c r="AJ1168" s="109"/>
      <c r="AL1168" s="10"/>
      <c r="AO1168" s="109"/>
      <c r="AP1168" s="109"/>
      <c r="AR1168" s="10"/>
      <c r="AU1168" s="109"/>
      <c r="AV1168" s="109"/>
      <c r="AX1168" s="10"/>
      <c r="BA1168" s="109"/>
      <c r="BB1168" s="109"/>
      <c r="BD1168" s="10"/>
      <c r="BG1168" s="109"/>
      <c r="BH1168" s="109"/>
      <c r="BJ1168" s="10"/>
      <c r="BM1168" s="109"/>
      <c r="BN1168" s="109"/>
      <c r="BP1168" s="10"/>
      <c r="BS1168" s="109"/>
      <c r="BT1168" s="109"/>
      <c r="BV1168" s="10"/>
      <c r="BY1168" s="109"/>
      <c r="BZ1168" s="109"/>
      <c r="CB1168" s="10"/>
      <c r="CE1168" s="109"/>
      <c r="CF1168" s="109"/>
      <c r="CH1168" s="10"/>
      <c r="CK1168" s="109"/>
      <c r="CL1168" s="109"/>
    </row>
    <row r="1169" spans="1:90">
      <c r="A1169" s="7" t="str">
        <f t="shared" si="181"/>
        <v>02320999</v>
      </c>
      <c r="B1169" s="7" t="s">
        <v>2571</v>
      </c>
      <c r="C1169" s="7" t="s">
        <v>2782</v>
      </c>
      <c r="D1169" s="7">
        <v>1160</v>
      </c>
      <c r="E1169" s="11">
        <v>232</v>
      </c>
      <c r="F1169" s="11" t="s">
        <v>1937</v>
      </c>
      <c r="G1169" s="11">
        <v>999</v>
      </c>
      <c r="H1169" s="11" t="s">
        <v>1132</v>
      </c>
      <c r="I1169" s="105">
        <v>17770463</v>
      </c>
      <c r="J1169" s="126">
        <v>1</v>
      </c>
      <c r="K1169" s="127">
        <f>SUM(K1165:K1168)</f>
        <v>17833615.85219818</v>
      </c>
      <c r="L1169" s="126">
        <f>SUM(L1165:L1168)</f>
        <v>1</v>
      </c>
      <c r="M1169" s="105">
        <f>VLOOKUP(E1169,town351,22)</f>
        <v>10096230</v>
      </c>
      <c r="N1169" s="105">
        <f>SUM(N1165:N1168)</f>
        <v>10096230</v>
      </c>
      <c r="O1169" s="128">
        <v>10121662</v>
      </c>
      <c r="P1169" s="105">
        <f>SUM(P1165:P1168)</f>
        <v>-25432</v>
      </c>
      <c r="Q1169" s="45">
        <f t="shared" ref="Q1169:Q1231" si="189">IF(O1169&gt;0,P1169*100/O1169,IF(P1169&gt;0,100,0))</f>
        <v>-0.25126308307864853</v>
      </c>
      <c r="R1169" s="105">
        <v>1755</v>
      </c>
      <c r="S1169" s="7">
        <f t="shared" si="182"/>
        <v>0</v>
      </c>
      <c r="T1169" s="124">
        <f t="shared" si="183"/>
        <v>232</v>
      </c>
      <c r="U1169" s="124">
        <f t="shared" si="184"/>
        <v>999</v>
      </c>
      <c r="V1169" s="124">
        <f t="shared" si="185"/>
        <v>1160</v>
      </c>
      <c r="W1169" s="124">
        <f t="shared" si="186"/>
        <v>1723.90237142713</v>
      </c>
      <c r="X1169" s="124">
        <f t="shared" si="187"/>
        <v>17833615.85219818</v>
      </c>
      <c r="Y1169" s="264">
        <f t="shared" si="188"/>
        <v>1160</v>
      </c>
      <c r="Z1169" s="10">
        <v>232</v>
      </c>
      <c r="AA1169" s="7">
        <v>999</v>
      </c>
      <c r="AB1169" s="7">
        <v>1160</v>
      </c>
      <c r="AC1169" s="109">
        <v>1723.90237142713</v>
      </c>
      <c r="AD1169" s="109">
        <v>17833615.85219818</v>
      </c>
      <c r="AE1169" s="125"/>
      <c r="AF1169" s="10"/>
      <c r="AI1169" s="109"/>
      <c r="AJ1169" s="109"/>
      <c r="AL1169" s="10"/>
      <c r="AO1169" s="109"/>
      <c r="AP1169" s="109"/>
      <c r="AR1169" s="10"/>
      <c r="AU1169" s="109"/>
      <c r="AV1169" s="109"/>
      <c r="AX1169" s="10"/>
      <c r="BA1169" s="109"/>
      <c r="BB1169" s="109"/>
      <c r="BD1169" s="10"/>
      <c r="BG1169" s="109"/>
      <c r="BH1169" s="109"/>
      <c r="BJ1169" s="10"/>
      <c r="BM1169" s="109"/>
      <c r="BN1169" s="109"/>
      <c r="BP1169" s="10"/>
      <c r="BS1169" s="109"/>
      <c r="BT1169" s="109"/>
      <c r="BV1169" s="10"/>
      <c r="BY1169" s="109"/>
      <c r="BZ1169" s="109"/>
      <c r="CB1169" s="10"/>
      <c r="CE1169" s="109"/>
      <c r="CF1169" s="109"/>
      <c r="CH1169" s="10"/>
      <c r="CK1169" s="109"/>
      <c r="CL1169" s="109"/>
    </row>
    <row r="1170" spans="1:90">
      <c r="A1170" s="7" t="str">
        <f t="shared" si="181"/>
        <v>02330233</v>
      </c>
      <c r="B1170" s="7" t="s">
        <v>2572</v>
      </c>
      <c r="C1170" s="7" t="s">
        <v>2572</v>
      </c>
      <c r="D1170" s="7">
        <v>1161</v>
      </c>
      <c r="E1170" s="7">
        <v>233</v>
      </c>
      <c r="F1170" s="7" t="s">
        <v>1938</v>
      </c>
      <c r="G1170" s="7">
        <v>233</v>
      </c>
      <c r="H1170" s="7" t="s">
        <v>1499</v>
      </c>
      <c r="I1170" s="37">
        <v>170156.80000000002</v>
      </c>
      <c r="J1170" s="122">
        <v>0.14141294936812587</v>
      </c>
      <c r="K1170" s="123">
        <f>X1170</f>
        <v>107334.66674871638</v>
      </c>
      <c r="L1170" s="122">
        <f>IF(K1174&gt;0, K1170/K1174, 0)</f>
        <v>8.8973190950630054E-2</v>
      </c>
      <c r="M1170" s="71"/>
      <c r="N1170" s="10">
        <f>ROUND(M1174*L1170,0)</f>
        <v>47752</v>
      </c>
      <c r="O1170" s="70">
        <v>80315</v>
      </c>
      <c r="P1170" s="10">
        <f>N1170-O1170</f>
        <v>-32563</v>
      </c>
      <c r="Q1170" s="46">
        <f t="shared" si="189"/>
        <v>-40.544107576417858</v>
      </c>
      <c r="R1170" s="10">
        <v>11</v>
      </c>
      <c r="S1170" s="7">
        <f t="shared" si="182"/>
        <v>0</v>
      </c>
      <c r="T1170" s="124">
        <f t="shared" si="183"/>
        <v>233</v>
      </c>
      <c r="U1170" s="124">
        <f t="shared" si="184"/>
        <v>233</v>
      </c>
      <c r="V1170" s="124">
        <f t="shared" si="185"/>
        <v>1161</v>
      </c>
      <c r="W1170" s="124">
        <f t="shared" si="186"/>
        <v>8</v>
      </c>
      <c r="X1170" s="124">
        <f t="shared" si="187"/>
        <v>107334.66674871638</v>
      </c>
      <c r="Y1170" s="264">
        <f t="shared" si="188"/>
        <v>1161</v>
      </c>
      <c r="Z1170" s="10">
        <v>233</v>
      </c>
      <c r="AA1170" s="7">
        <v>233</v>
      </c>
      <c r="AB1170" s="7">
        <v>1161</v>
      </c>
      <c r="AC1170" s="109">
        <v>8</v>
      </c>
      <c r="AD1170" s="109">
        <v>107334.66674871638</v>
      </c>
      <c r="AE1170" s="125"/>
      <c r="AF1170" s="10"/>
      <c r="AI1170" s="109"/>
      <c r="AJ1170" s="109"/>
      <c r="AL1170" s="10"/>
      <c r="AO1170" s="109"/>
      <c r="AP1170" s="109"/>
      <c r="AR1170" s="10"/>
      <c r="AU1170" s="109"/>
      <c r="AV1170" s="109"/>
      <c r="AX1170" s="10"/>
      <c r="BA1170" s="109"/>
      <c r="BB1170" s="109"/>
      <c r="BD1170" s="10"/>
      <c r="BG1170" s="109"/>
      <c r="BH1170" s="109"/>
      <c r="BJ1170" s="10"/>
      <c r="BM1170" s="109"/>
      <c r="BN1170" s="109"/>
      <c r="BP1170" s="10"/>
      <c r="BS1170" s="109"/>
      <c r="BT1170" s="109"/>
      <c r="BV1170" s="10"/>
      <c r="BY1170" s="109"/>
      <c r="BZ1170" s="109"/>
      <c r="CB1170" s="10"/>
      <c r="CE1170" s="109"/>
      <c r="CF1170" s="109"/>
      <c r="CH1170" s="10"/>
      <c r="CK1170" s="109"/>
      <c r="CL1170" s="109"/>
    </row>
    <row r="1171" spans="1:90">
      <c r="A1171" s="7" t="str">
        <f t="shared" si="181"/>
        <v>02330635</v>
      </c>
      <c r="B1171" s="7" t="s">
        <v>2572</v>
      </c>
      <c r="C1171" s="7" t="s">
        <v>2705</v>
      </c>
      <c r="D1171" s="7">
        <v>1162</v>
      </c>
      <c r="E1171" s="7">
        <v>233</v>
      </c>
      <c r="F1171" s="7" t="s">
        <v>1938</v>
      </c>
      <c r="G1171" s="7">
        <v>635</v>
      </c>
      <c r="H1171" s="7" t="s">
        <v>1632</v>
      </c>
      <c r="I1171" s="37">
        <v>1033105</v>
      </c>
      <c r="J1171" s="122">
        <v>0.85858705063187413</v>
      </c>
      <c r="K1171" s="123">
        <f t="shared" si="180"/>
        <v>1099036.214208839</v>
      </c>
      <c r="L1171" s="122">
        <f>IF(K1174&gt;0, K1171/K1174, 0)</f>
        <v>0.91102680904936983</v>
      </c>
      <c r="M1171" s="71"/>
      <c r="N1171" s="10">
        <f>ROUND(M1174*L1171,0)</f>
        <v>488951</v>
      </c>
      <c r="O1171" s="70">
        <v>487633</v>
      </c>
      <c r="P1171" s="10">
        <f>N1171-O1171</f>
        <v>1318</v>
      </c>
      <c r="Q1171" s="46">
        <f t="shared" si="189"/>
        <v>0.27028523500255314</v>
      </c>
      <c r="R1171" s="10">
        <v>102</v>
      </c>
      <c r="S1171" s="7">
        <f t="shared" si="182"/>
        <v>0</v>
      </c>
      <c r="T1171" s="124">
        <f t="shared" si="183"/>
        <v>233</v>
      </c>
      <c r="U1171" s="124">
        <f t="shared" si="184"/>
        <v>635</v>
      </c>
      <c r="V1171" s="124">
        <f t="shared" si="185"/>
        <v>1162</v>
      </c>
      <c r="W1171" s="124">
        <f t="shared" si="186"/>
        <v>106.36165048133999</v>
      </c>
      <c r="X1171" s="124">
        <f t="shared" si="187"/>
        <v>1099036.214208839</v>
      </c>
      <c r="Y1171" s="264">
        <f t="shared" si="188"/>
        <v>1162</v>
      </c>
      <c r="Z1171" s="10">
        <v>233</v>
      </c>
      <c r="AA1171" s="7">
        <v>635</v>
      </c>
      <c r="AB1171" s="7">
        <v>1162</v>
      </c>
      <c r="AC1171" s="109">
        <v>106.36165048133999</v>
      </c>
      <c r="AD1171" s="109">
        <v>1099036.214208839</v>
      </c>
      <c r="AE1171" s="125"/>
      <c r="AF1171" s="10"/>
      <c r="AI1171" s="109"/>
      <c r="AJ1171" s="109"/>
      <c r="AL1171" s="10"/>
      <c r="AO1171" s="109"/>
      <c r="AP1171" s="109"/>
      <c r="AR1171" s="10"/>
      <c r="AU1171" s="109"/>
      <c r="AV1171" s="109"/>
      <c r="AX1171" s="10"/>
      <c r="BA1171" s="109"/>
      <c r="BB1171" s="109"/>
      <c r="BD1171" s="10"/>
      <c r="BG1171" s="109"/>
      <c r="BH1171" s="109"/>
      <c r="BJ1171" s="10"/>
      <c r="BM1171" s="109"/>
      <c r="BN1171" s="109"/>
      <c r="BP1171" s="10"/>
      <c r="BS1171" s="109"/>
      <c r="BT1171" s="109"/>
      <c r="BV1171" s="10"/>
      <c r="BY1171" s="109"/>
      <c r="BZ1171" s="109"/>
      <c r="CB1171" s="10"/>
      <c r="CE1171" s="109"/>
      <c r="CF1171" s="109"/>
      <c r="CH1171" s="10"/>
      <c r="CK1171" s="109"/>
      <c r="CL1171" s="109"/>
    </row>
    <row r="1172" spans="1:90">
      <c r="A1172" s="7" t="str">
        <f t="shared" si="181"/>
        <v>02330998</v>
      </c>
      <c r="B1172" s="7" t="s">
        <v>2572</v>
      </c>
      <c r="C1172" s="7" t="s">
        <v>2781</v>
      </c>
      <c r="D1172" s="7">
        <v>1163</v>
      </c>
      <c r="E1172" s="7">
        <v>233</v>
      </c>
      <c r="F1172" s="7" t="s">
        <v>2135</v>
      </c>
      <c r="G1172" s="7">
        <v>998</v>
      </c>
      <c r="H1172" s="7" t="s">
        <v>2135</v>
      </c>
      <c r="I1172" s="37">
        <v>0</v>
      </c>
      <c r="J1172" s="122">
        <v>0</v>
      </c>
      <c r="K1172" s="123">
        <f t="shared" si="180"/>
        <v>0</v>
      </c>
      <c r="L1172" s="122">
        <f>IF(K1174&gt;0, K1172/K1174, 0)</f>
        <v>0</v>
      </c>
      <c r="M1172" s="71"/>
      <c r="N1172" s="10">
        <f>ROUND(M1174*L1172,0)</f>
        <v>0</v>
      </c>
      <c r="O1172" s="70">
        <v>0</v>
      </c>
      <c r="P1172" s="10">
        <f>N1172-O1172</f>
        <v>0</v>
      </c>
      <c r="Q1172" s="46">
        <f t="shared" si="189"/>
        <v>0</v>
      </c>
      <c r="R1172" s="10">
        <v>0</v>
      </c>
      <c r="S1172" s="7">
        <f t="shared" si="182"/>
        <v>0</v>
      </c>
      <c r="T1172" s="124">
        <f t="shared" si="183"/>
        <v>233</v>
      </c>
      <c r="U1172" s="124">
        <f t="shared" si="184"/>
        <v>998</v>
      </c>
      <c r="V1172" s="124">
        <f t="shared" si="185"/>
        <v>1163</v>
      </c>
      <c r="W1172" s="124">
        <f t="shared" si="186"/>
        <v>0</v>
      </c>
      <c r="X1172" s="124">
        <f t="shared" si="187"/>
        <v>0</v>
      </c>
      <c r="Y1172" s="264">
        <f t="shared" si="188"/>
        <v>1163</v>
      </c>
      <c r="Z1172" s="10">
        <v>233</v>
      </c>
      <c r="AA1172" s="7">
        <v>998</v>
      </c>
      <c r="AB1172" s="7">
        <v>1163</v>
      </c>
      <c r="AC1172" s="109">
        <v>0</v>
      </c>
      <c r="AD1172" s="109">
        <v>0</v>
      </c>
      <c r="AE1172" s="125"/>
      <c r="AF1172" s="10"/>
      <c r="AI1172" s="109"/>
      <c r="AJ1172" s="109"/>
      <c r="AL1172" s="10"/>
      <c r="AO1172" s="109"/>
      <c r="AP1172" s="109"/>
      <c r="AR1172" s="10"/>
      <c r="AU1172" s="109"/>
      <c r="AV1172" s="109"/>
      <c r="AX1172" s="10"/>
      <c r="BA1172" s="109"/>
      <c r="BB1172" s="109"/>
      <c r="BD1172" s="10"/>
      <c r="BG1172" s="109"/>
      <c r="BH1172" s="109"/>
      <c r="BJ1172" s="10"/>
      <c r="BM1172" s="109"/>
      <c r="BN1172" s="109"/>
      <c r="BP1172" s="10"/>
      <c r="BS1172" s="109"/>
      <c r="BT1172" s="109"/>
      <c r="BV1172" s="10"/>
      <c r="BY1172" s="109"/>
      <c r="BZ1172" s="109"/>
      <c r="CB1172" s="10"/>
      <c r="CE1172" s="109"/>
      <c r="CF1172" s="109"/>
      <c r="CH1172" s="10"/>
      <c r="CK1172" s="109"/>
      <c r="CL1172" s="109"/>
    </row>
    <row r="1173" spans="1:90">
      <c r="A1173" s="7" t="str">
        <f t="shared" si="181"/>
        <v>02330998</v>
      </c>
      <c r="B1173" s="7" t="s">
        <v>2572</v>
      </c>
      <c r="C1173" s="7" t="s">
        <v>2781</v>
      </c>
      <c r="D1173" s="7">
        <v>1164</v>
      </c>
      <c r="E1173" s="7">
        <v>233</v>
      </c>
      <c r="F1173" s="7" t="s">
        <v>2135</v>
      </c>
      <c r="G1173" s="7">
        <v>998</v>
      </c>
      <c r="H1173" s="7" t="s">
        <v>2135</v>
      </c>
      <c r="I1173" s="37">
        <v>0</v>
      </c>
      <c r="J1173" s="122">
        <v>0</v>
      </c>
      <c r="K1173" s="123">
        <f t="shared" si="180"/>
        <v>0</v>
      </c>
      <c r="L1173" s="122">
        <f>IF(K1174&gt;0, K1173/K1174, 0)</f>
        <v>0</v>
      </c>
      <c r="M1173" s="71"/>
      <c r="N1173" s="10">
        <f>ROUND(M1174*L1173,0)</f>
        <v>0</v>
      </c>
      <c r="O1173" s="70">
        <v>0</v>
      </c>
      <c r="P1173" s="10">
        <f>N1173-O1173</f>
        <v>0</v>
      </c>
      <c r="Q1173" s="46">
        <f t="shared" si="189"/>
        <v>0</v>
      </c>
      <c r="R1173" s="10">
        <v>0</v>
      </c>
      <c r="S1173" s="7">
        <f t="shared" si="182"/>
        <v>0</v>
      </c>
      <c r="T1173" s="124">
        <f t="shared" si="183"/>
        <v>233</v>
      </c>
      <c r="U1173" s="124">
        <f t="shared" si="184"/>
        <v>998</v>
      </c>
      <c r="V1173" s="124">
        <f t="shared" si="185"/>
        <v>1164</v>
      </c>
      <c r="W1173" s="124">
        <f t="shared" si="186"/>
        <v>0</v>
      </c>
      <c r="X1173" s="124">
        <f t="shared" si="187"/>
        <v>0</v>
      </c>
      <c r="Y1173" s="264">
        <f t="shared" si="188"/>
        <v>1164</v>
      </c>
      <c r="Z1173" s="10">
        <v>233</v>
      </c>
      <c r="AA1173" s="7">
        <v>998</v>
      </c>
      <c r="AB1173" s="7">
        <v>1164</v>
      </c>
      <c r="AC1173" s="109">
        <v>0</v>
      </c>
      <c r="AD1173" s="109">
        <v>0</v>
      </c>
      <c r="AE1173" s="125"/>
      <c r="AF1173" s="10"/>
      <c r="AI1173" s="109"/>
      <c r="AJ1173" s="109"/>
      <c r="AL1173" s="10"/>
      <c r="AO1173" s="109"/>
      <c r="AP1173" s="109"/>
      <c r="AR1173" s="10"/>
      <c r="AU1173" s="109"/>
      <c r="AV1173" s="109"/>
      <c r="AX1173" s="10"/>
      <c r="BA1173" s="109"/>
      <c r="BB1173" s="109"/>
      <c r="BD1173" s="10"/>
      <c r="BG1173" s="109"/>
      <c r="BH1173" s="109"/>
      <c r="BJ1173" s="10"/>
      <c r="BM1173" s="109"/>
      <c r="BN1173" s="109"/>
      <c r="BP1173" s="10"/>
      <c r="BS1173" s="109"/>
      <c r="BT1173" s="109"/>
      <c r="BV1173" s="10"/>
      <c r="BY1173" s="109"/>
      <c r="BZ1173" s="109"/>
      <c r="CB1173" s="10"/>
      <c r="CE1173" s="109"/>
      <c r="CF1173" s="109"/>
      <c r="CH1173" s="10"/>
      <c r="CK1173" s="109"/>
      <c r="CL1173" s="109"/>
    </row>
    <row r="1174" spans="1:90">
      <c r="A1174" s="7" t="str">
        <f t="shared" si="181"/>
        <v>02330999</v>
      </c>
      <c r="B1174" s="7" t="s">
        <v>2572</v>
      </c>
      <c r="C1174" s="7" t="s">
        <v>2782</v>
      </c>
      <c r="D1174" s="7">
        <v>1165</v>
      </c>
      <c r="E1174" s="11">
        <v>233</v>
      </c>
      <c r="F1174" s="11" t="s">
        <v>1938</v>
      </c>
      <c r="G1174" s="11">
        <v>999</v>
      </c>
      <c r="H1174" s="11" t="s">
        <v>1132</v>
      </c>
      <c r="I1174" s="105">
        <v>1203261.8</v>
      </c>
      <c r="J1174" s="126">
        <v>1</v>
      </c>
      <c r="K1174" s="127">
        <f>SUM(K1170:K1173)</f>
        <v>1206370.8809575555</v>
      </c>
      <c r="L1174" s="126">
        <f>SUM(L1170:L1173)</f>
        <v>0.99999999999999989</v>
      </c>
      <c r="M1174" s="105">
        <f>VLOOKUP(E1174,town351,22)</f>
        <v>536703</v>
      </c>
      <c r="N1174" s="105">
        <f>SUM(N1170:N1173)</f>
        <v>536703</v>
      </c>
      <c r="O1174" s="128">
        <v>567948</v>
      </c>
      <c r="P1174" s="105">
        <f>SUM(P1170:P1173)</f>
        <v>-31245</v>
      </c>
      <c r="Q1174" s="45">
        <f t="shared" si="189"/>
        <v>-5.5013839295146738</v>
      </c>
      <c r="R1174" s="105">
        <v>113</v>
      </c>
      <c r="S1174" s="7">
        <f t="shared" si="182"/>
        <v>0</v>
      </c>
      <c r="T1174" s="124">
        <f t="shared" si="183"/>
        <v>233</v>
      </c>
      <c r="U1174" s="124">
        <f t="shared" si="184"/>
        <v>999</v>
      </c>
      <c r="V1174" s="124">
        <f t="shared" si="185"/>
        <v>1165</v>
      </c>
      <c r="W1174" s="124">
        <f t="shared" si="186"/>
        <v>114.36165048133999</v>
      </c>
      <c r="X1174" s="124">
        <f t="shared" si="187"/>
        <v>1206370.8809575555</v>
      </c>
      <c r="Y1174" s="264">
        <f t="shared" si="188"/>
        <v>1165</v>
      </c>
      <c r="Z1174" s="10">
        <v>233</v>
      </c>
      <c r="AA1174" s="7">
        <v>999</v>
      </c>
      <c r="AB1174" s="7">
        <v>1165</v>
      </c>
      <c r="AC1174" s="109">
        <v>114.36165048133999</v>
      </c>
      <c r="AD1174" s="109">
        <v>1206370.8809575555</v>
      </c>
      <c r="AE1174" s="125"/>
      <c r="AF1174" s="10"/>
      <c r="AI1174" s="109"/>
      <c r="AJ1174" s="109"/>
      <c r="AL1174" s="10"/>
      <c r="AO1174" s="109"/>
      <c r="AP1174" s="109"/>
      <c r="AR1174" s="10"/>
      <c r="AU1174" s="109"/>
      <c r="AV1174" s="109"/>
      <c r="AX1174" s="10"/>
      <c r="BA1174" s="109"/>
      <c r="BB1174" s="109"/>
      <c r="BD1174" s="10"/>
      <c r="BG1174" s="109"/>
      <c r="BH1174" s="109"/>
      <c r="BJ1174" s="10"/>
      <c r="BM1174" s="109"/>
      <c r="BN1174" s="109"/>
      <c r="BP1174" s="10"/>
      <c r="BS1174" s="109"/>
      <c r="BT1174" s="109"/>
      <c r="BV1174" s="10"/>
      <c r="BY1174" s="109"/>
      <c r="BZ1174" s="109"/>
      <c r="CB1174" s="10"/>
      <c r="CE1174" s="109"/>
      <c r="CF1174" s="109"/>
      <c r="CH1174" s="10"/>
      <c r="CK1174" s="109"/>
      <c r="CL1174" s="109"/>
    </row>
    <row r="1175" spans="1:90">
      <c r="A1175" s="7" t="str">
        <f t="shared" si="181"/>
        <v>02340234</v>
      </c>
      <c r="B1175" s="7" t="s">
        <v>2573</v>
      </c>
      <c r="C1175" s="7" t="s">
        <v>2573</v>
      </c>
      <c r="D1175" s="7">
        <v>1166</v>
      </c>
      <c r="E1175" s="7">
        <v>234</v>
      </c>
      <c r="F1175" s="7" t="s">
        <v>1939</v>
      </c>
      <c r="G1175" s="7">
        <v>234</v>
      </c>
      <c r="H1175" s="7" t="s">
        <v>1500</v>
      </c>
      <c r="I1175" s="37">
        <v>627194.55000000005</v>
      </c>
      <c r="J1175" s="122">
        <v>0.47423715640332909</v>
      </c>
      <c r="K1175" s="123">
        <f>X1175</f>
        <v>716629.18602344103</v>
      </c>
      <c r="L1175" s="122">
        <f>IF(K1179&gt;0, K1175/K1179, 0)</f>
        <v>0.52799239244090279</v>
      </c>
      <c r="M1175" s="71"/>
      <c r="N1175" s="10">
        <f>ROUND(M1179*L1175,0)</f>
        <v>573272</v>
      </c>
      <c r="O1175" s="70">
        <v>512362</v>
      </c>
      <c r="P1175" s="10">
        <f>N1175-O1175</f>
        <v>60910</v>
      </c>
      <c r="Q1175" s="46">
        <f t="shared" si="189"/>
        <v>11.888079131551521</v>
      </c>
      <c r="R1175" s="10">
        <v>63</v>
      </c>
      <c r="S1175" s="7">
        <f t="shared" si="182"/>
        <v>0</v>
      </c>
      <c r="T1175" s="124">
        <f t="shared" si="183"/>
        <v>234</v>
      </c>
      <c r="U1175" s="124">
        <f t="shared" si="184"/>
        <v>234</v>
      </c>
      <c r="V1175" s="124">
        <f t="shared" si="185"/>
        <v>1166</v>
      </c>
      <c r="W1175" s="124">
        <f t="shared" si="186"/>
        <v>70</v>
      </c>
      <c r="X1175" s="124">
        <f t="shared" si="187"/>
        <v>716629.18602344103</v>
      </c>
      <c r="Y1175" s="264">
        <f t="shared" si="188"/>
        <v>1166</v>
      </c>
      <c r="Z1175" s="10">
        <v>234</v>
      </c>
      <c r="AA1175" s="7">
        <v>234</v>
      </c>
      <c r="AB1175" s="7">
        <v>1166</v>
      </c>
      <c r="AC1175" s="109">
        <v>70</v>
      </c>
      <c r="AD1175" s="109">
        <v>716629.18602344103</v>
      </c>
      <c r="AE1175" s="125"/>
      <c r="AF1175" s="10"/>
      <c r="AI1175" s="109"/>
      <c r="AJ1175" s="109"/>
      <c r="AL1175" s="10"/>
      <c r="AO1175" s="109"/>
      <c r="AP1175" s="109"/>
      <c r="AR1175" s="10"/>
      <c r="AU1175" s="109"/>
      <c r="AV1175" s="109"/>
      <c r="AX1175" s="10"/>
      <c r="BA1175" s="109"/>
      <c r="BB1175" s="109"/>
      <c r="BD1175" s="10"/>
      <c r="BG1175" s="109"/>
      <c r="BH1175" s="109"/>
      <c r="BJ1175" s="10"/>
      <c r="BM1175" s="109"/>
      <c r="BN1175" s="109"/>
      <c r="BP1175" s="10"/>
      <c r="BS1175" s="109"/>
      <c r="BT1175" s="109"/>
      <c r="BV1175" s="10"/>
      <c r="BY1175" s="109"/>
      <c r="BZ1175" s="109"/>
      <c r="CB1175" s="10"/>
      <c r="CE1175" s="109"/>
      <c r="CF1175" s="109"/>
      <c r="CH1175" s="10"/>
      <c r="CK1175" s="109"/>
      <c r="CL1175" s="109"/>
    </row>
    <row r="1176" spans="1:90">
      <c r="A1176" s="7" t="str">
        <f t="shared" si="181"/>
        <v>02340755</v>
      </c>
      <c r="B1176" s="7" t="s">
        <v>2573</v>
      </c>
      <c r="C1176" s="7" t="s">
        <v>2740</v>
      </c>
      <c r="D1176" s="7">
        <v>1167</v>
      </c>
      <c r="E1176" s="7">
        <v>234</v>
      </c>
      <c r="F1176" s="7" t="s">
        <v>1939</v>
      </c>
      <c r="G1176" s="7">
        <v>755</v>
      </c>
      <c r="H1176" s="7" t="s">
        <v>1667</v>
      </c>
      <c r="I1176" s="37">
        <v>634050</v>
      </c>
      <c r="J1176" s="122">
        <v>0.4794207300071896</v>
      </c>
      <c r="K1176" s="123">
        <f t="shared" si="180"/>
        <v>609418.97518215503</v>
      </c>
      <c r="L1176" s="122">
        <f>IF(K1179&gt;0, K1176/K1179, 0)</f>
        <v>0.44900289993880343</v>
      </c>
      <c r="M1176" s="71"/>
      <c r="N1176" s="10">
        <f>ROUND(M1179*L1176,0)</f>
        <v>487508</v>
      </c>
      <c r="O1176" s="70">
        <v>517962</v>
      </c>
      <c r="P1176" s="10">
        <f>N1176-O1176</f>
        <v>-30454</v>
      </c>
      <c r="Q1176" s="46">
        <f t="shared" si="189"/>
        <v>-5.8795818998304892</v>
      </c>
      <c r="R1176" s="10">
        <v>56</v>
      </c>
      <c r="S1176" s="7">
        <f t="shared" si="182"/>
        <v>0</v>
      </c>
      <c r="T1176" s="124">
        <f t="shared" si="183"/>
        <v>234</v>
      </c>
      <c r="U1176" s="124">
        <f t="shared" si="184"/>
        <v>755</v>
      </c>
      <c r="V1176" s="124">
        <f t="shared" si="185"/>
        <v>1167</v>
      </c>
      <c r="W1176" s="124">
        <f t="shared" si="186"/>
        <v>53.08333333121</v>
      </c>
      <c r="X1176" s="124">
        <f t="shared" si="187"/>
        <v>609418.97518215503</v>
      </c>
      <c r="Y1176" s="264">
        <f t="shared" si="188"/>
        <v>1167</v>
      </c>
      <c r="Z1176" s="10">
        <v>234</v>
      </c>
      <c r="AA1176" s="7">
        <v>755</v>
      </c>
      <c r="AB1176" s="7">
        <v>1167</v>
      </c>
      <c r="AC1176" s="109">
        <v>53.08333333121</v>
      </c>
      <c r="AD1176" s="109">
        <v>609418.97518215503</v>
      </c>
      <c r="AE1176" s="125"/>
      <c r="AF1176" s="10"/>
      <c r="AI1176" s="109"/>
      <c r="AJ1176" s="109"/>
      <c r="AL1176" s="10"/>
      <c r="AO1176" s="109"/>
      <c r="AP1176" s="109"/>
      <c r="AR1176" s="10"/>
      <c r="AU1176" s="109"/>
      <c r="AV1176" s="109"/>
      <c r="AX1176" s="10"/>
      <c r="BA1176" s="109"/>
      <c r="BB1176" s="109"/>
      <c r="BD1176" s="10"/>
      <c r="BG1176" s="109"/>
      <c r="BH1176" s="109"/>
      <c r="BJ1176" s="10"/>
      <c r="BM1176" s="109"/>
      <c r="BN1176" s="109"/>
      <c r="BP1176" s="10"/>
      <c r="BS1176" s="109"/>
      <c r="BT1176" s="109"/>
      <c r="BV1176" s="10"/>
      <c r="BY1176" s="109"/>
      <c r="BZ1176" s="109"/>
      <c r="CB1176" s="10"/>
      <c r="CE1176" s="109"/>
      <c r="CF1176" s="109"/>
      <c r="CH1176" s="10"/>
      <c r="CK1176" s="109"/>
      <c r="CL1176" s="109"/>
    </row>
    <row r="1177" spans="1:90">
      <c r="A1177" s="7" t="str">
        <f t="shared" si="181"/>
        <v>02340832</v>
      </c>
      <c r="B1177" s="7" t="s">
        <v>2573</v>
      </c>
      <c r="C1177" s="7" t="s">
        <v>2765</v>
      </c>
      <c r="D1177" s="7">
        <v>1168</v>
      </c>
      <c r="E1177" s="7">
        <v>234</v>
      </c>
      <c r="F1177" s="7" t="s">
        <v>1939</v>
      </c>
      <c r="G1177" s="7">
        <v>832</v>
      </c>
      <c r="H1177" s="7" t="s">
        <v>1692</v>
      </c>
      <c r="I1177" s="37">
        <v>61289</v>
      </c>
      <c r="J1177" s="122">
        <v>4.6342113589481336E-2</v>
      </c>
      <c r="K1177" s="123">
        <f t="shared" si="180"/>
        <v>31223.640970326203</v>
      </c>
      <c r="L1177" s="122">
        <f>IF(K1179&gt;0, K1177/K1179, 0)</f>
        <v>2.3004707620293701E-2</v>
      </c>
      <c r="M1177" s="71"/>
      <c r="N1177" s="10">
        <f>ROUND(M1179*L1177,0)</f>
        <v>24978</v>
      </c>
      <c r="O1177" s="70">
        <v>50068</v>
      </c>
      <c r="P1177" s="10">
        <f>N1177-O1177</f>
        <v>-25090</v>
      </c>
      <c r="Q1177" s="46">
        <f t="shared" si="189"/>
        <v>-50.111847886873853</v>
      </c>
      <c r="R1177" s="10">
        <v>4</v>
      </c>
      <c r="S1177" s="7">
        <f t="shared" si="182"/>
        <v>0</v>
      </c>
      <c r="T1177" s="124">
        <f t="shared" si="183"/>
        <v>234</v>
      </c>
      <c r="U1177" s="124">
        <f t="shared" si="184"/>
        <v>832</v>
      </c>
      <c r="V1177" s="124">
        <f t="shared" si="185"/>
        <v>1168</v>
      </c>
      <c r="W1177" s="124">
        <f t="shared" si="186"/>
        <v>2.00133778944</v>
      </c>
      <c r="X1177" s="124">
        <f t="shared" si="187"/>
        <v>31223.640970326203</v>
      </c>
      <c r="Y1177" s="264">
        <f t="shared" si="188"/>
        <v>1168</v>
      </c>
      <c r="Z1177" s="10">
        <v>234</v>
      </c>
      <c r="AA1177" s="7">
        <v>832</v>
      </c>
      <c r="AB1177" s="7">
        <v>1168</v>
      </c>
      <c r="AC1177" s="109">
        <v>2.00133778944</v>
      </c>
      <c r="AD1177" s="109">
        <v>31223.640970326203</v>
      </c>
      <c r="AE1177" s="125"/>
      <c r="AF1177" s="10"/>
      <c r="AI1177" s="109"/>
      <c r="AJ1177" s="109"/>
      <c r="AL1177" s="10"/>
      <c r="AO1177" s="109"/>
      <c r="AP1177" s="109"/>
      <c r="AR1177" s="10"/>
      <c r="AU1177" s="109"/>
      <c r="AV1177" s="109"/>
      <c r="AX1177" s="10"/>
      <c r="BA1177" s="109"/>
      <c r="BB1177" s="109"/>
      <c r="BD1177" s="10"/>
      <c r="BG1177" s="109"/>
      <c r="BH1177" s="109"/>
      <c r="BJ1177" s="10"/>
      <c r="BM1177" s="109"/>
      <c r="BN1177" s="109"/>
      <c r="BP1177" s="10"/>
      <c r="BS1177" s="109"/>
      <c r="BT1177" s="109"/>
      <c r="BV1177" s="10"/>
      <c r="BY1177" s="109"/>
      <c r="BZ1177" s="109"/>
      <c r="CB1177" s="10"/>
      <c r="CE1177" s="109"/>
      <c r="CF1177" s="109"/>
      <c r="CH1177" s="10"/>
      <c r="CK1177" s="109"/>
      <c r="CL1177" s="109"/>
    </row>
    <row r="1178" spans="1:90">
      <c r="A1178" s="7" t="str">
        <f t="shared" si="181"/>
        <v>02340998</v>
      </c>
      <c r="B1178" s="7" t="s">
        <v>2573</v>
      </c>
      <c r="C1178" s="7" t="s">
        <v>2781</v>
      </c>
      <c r="D1178" s="7">
        <v>1169</v>
      </c>
      <c r="E1178" s="7">
        <v>234</v>
      </c>
      <c r="F1178" s="7" t="s">
        <v>2135</v>
      </c>
      <c r="G1178" s="7">
        <v>998</v>
      </c>
      <c r="H1178" s="7" t="s">
        <v>2135</v>
      </c>
      <c r="I1178" s="37">
        <v>0</v>
      </c>
      <c r="J1178" s="122">
        <v>0</v>
      </c>
      <c r="K1178" s="123">
        <f t="shared" si="180"/>
        <v>0</v>
      </c>
      <c r="L1178" s="122">
        <f>IF(K1179&gt;0, K1178/K1179, 0)</f>
        <v>0</v>
      </c>
      <c r="M1178" s="71"/>
      <c r="N1178" s="10">
        <f>ROUND(M1179*L1178,0)</f>
        <v>0</v>
      </c>
      <c r="O1178" s="70">
        <v>0</v>
      </c>
      <c r="P1178" s="10">
        <f>N1178-O1178</f>
        <v>0</v>
      </c>
      <c r="Q1178" s="46">
        <f t="shared" si="189"/>
        <v>0</v>
      </c>
      <c r="R1178" s="10">
        <v>0</v>
      </c>
      <c r="S1178" s="7">
        <f t="shared" si="182"/>
        <v>0</v>
      </c>
      <c r="T1178" s="124">
        <f t="shared" si="183"/>
        <v>234</v>
      </c>
      <c r="U1178" s="124">
        <f t="shared" si="184"/>
        <v>998</v>
      </c>
      <c r="V1178" s="124">
        <f t="shared" si="185"/>
        <v>1169</v>
      </c>
      <c r="W1178" s="124">
        <f t="shared" si="186"/>
        <v>0</v>
      </c>
      <c r="X1178" s="124">
        <f t="shared" si="187"/>
        <v>0</v>
      </c>
      <c r="Y1178" s="264">
        <f t="shared" si="188"/>
        <v>1169</v>
      </c>
      <c r="Z1178" s="10">
        <v>234</v>
      </c>
      <c r="AA1178" s="7">
        <v>998</v>
      </c>
      <c r="AB1178" s="7">
        <v>1169</v>
      </c>
      <c r="AC1178" s="109">
        <v>0</v>
      </c>
      <c r="AD1178" s="109">
        <v>0</v>
      </c>
      <c r="AE1178" s="125"/>
      <c r="AF1178" s="10"/>
      <c r="AI1178" s="109"/>
      <c r="AJ1178" s="109"/>
      <c r="AL1178" s="10"/>
      <c r="AO1178" s="109"/>
      <c r="AP1178" s="109"/>
      <c r="AR1178" s="10"/>
      <c r="AU1178" s="109"/>
      <c r="AV1178" s="109"/>
      <c r="AX1178" s="10"/>
      <c r="BA1178" s="109"/>
      <c r="BB1178" s="109"/>
      <c r="BD1178" s="10"/>
      <c r="BG1178" s="109"/>
      <c r="BH1178" s="109"/>
      <c r="BJ1178" s="10"/>
      <c r="BM1178" s="109"/>
      <c r="BN1178" s="109"/>
      <c r="BP1178" s="10"/>
      <c r="BS1178" s="109"/>
      <c r="BT1178" s="109"/>
      <c r="BV1178" s="10"/>
      <c r="BY1178" s="109"/>
      <c r="BZ1178" s="109"/>
      <c r="CB1178" s="10"/>
      <c r="CE1178" s="109"/>
      <c r="CF1178" s="109"/>
      <c r="CH1178" s="10"/>
      <c r="CK1178" s="109"/>
      <c r="CL1178" s="109"/>
    </row>
    <row r="1179" spans="1:90">
      <c r="A1179" s="7" t="str">
        <f t="shared" si="181"/>
        <v>02340999</v>
      </c>
      <c r="B1179" s="7" t="s">
        <v>2573</v>
      </c>
      <c r="C1179" s="7" t="s">
        <v>2782</v>
      </c>
      <c r="D1179" s="7">
        <v>1170</v>
      </c>
      <c r="E1179" s="11">
        <v>234</v>
      </c>
      <c r="F1179" s="11" t="s">
        <v>1939</v>
      </c>
      <c r="G1179" s="11">
        <v>999</v>
      </c>
      <c r="H1179" s="11" t="s">
        <v>1132</v>
      </c>
      <c r="I1179" s="105">
        <v>1322533.55</v>
      </c>
      <c r="J1179" s="126">
        <v>1</v>
      </c>
      <c r="K1179" s="127">
        <f>SUM(K1175:K1178)</f>
        <v>1357271.8021759223</v>
      </c>
      <c r="L1179" s="126">
        <f>SUM(L1175:L1178)</f>
        <v>1</v>
      </c>
      <c r="M1179" s="105">
        <f>VLOOKUP(E1179,town351,22)</f>
        <v>1085758</v>
      </c>
      <c r="N1179" s="105">
        <f>SUM(N1175:N1178)</f>
        <v>1085758</v>
      </c>
      <c r="O1179" s="128">
        <v>1080392</v>
      </c>
      <c r="P1179" s="105">
        <f>SUM(P1175:P1178)</f>
        <v>5366</v>
      </c>
      <c r="Q1179" s="45">
        <f t="shared" si="189"/>
        <v>0.49667157846411303</v>
      </c>
      <c r="R1179" s="105">
        <v>123</v>
      </c>
      <c r="S1179" s="7">
        <f t="shared" si="182"/>
        <v>0</v>
      </c>
      <c r="T1179" s="124">
        <f t="shared" si="183"/>
        <v>234</v>
      </c>
      <c r="U1179" s="124">
        <f t="shared" si="184"/>
        <v>999</v>
      </c>
      <c r="V1179" s="124">
        <f t="shared" si="185"/>
        <v>1170</v>
      </c>
      <c r="W1179" s="124">
        <f t="shared" si="186"/>
        <v>125.08467112065</v>
      </c>
      <c r="X1179" s="124">
        <f t="shared" si="187"/>
        <v>1357271.8021759223</v>
      </c>
      <c r="Y1179" s="264">
        <f t="shared" si="188"/>
        <v>1170</v>
      </c>
      <c r="Z1179" s="10">
        <v>234</v>
      </c>
      <c r="AA1179" s="7">
        <v>999</v>
      </c>
      <c r="AB1179" s="7">
        <v>1170</v>
      </c>
      <c r="AC1179" s="109">
        <v>125.08467112065</v>
      </c>
      <c r="AD1179" s="109">
        <v>1357271.8021759223</v>
      </c>
      <c r="AE1179" s="125"/>
      <c r="AF1179" s="10"/>
      <c r="AI1179" s="109"/>
      <c r="AJ1179" s="109"/>
      <c r="AL1179" s="10"/>
      <c r="AO1179" s="109"/>
      <c r="AP1179" s="109"/>
      <c r="AR1179" s="10"/>
      <c r="AU1179" s="109"/>
      <c r="AV1179" s="109"/>
      <c r="AX1179" s="10"/>
      <c r="BA1179" s="109"/>
      <c r="BB1179" s="109"/>
      <c r="BD1179" s="10"/>
      <c r="BG1179" s="109"/>
      <c r="BH1179" s="109"/>
      <c r="BJ1179" s="10"/>
      <c r="BM1179" s="109"/>
      <c r="BN1179" s="109"/>
      <c r="BP1179" s="10"/>
      <c r="BS1179" s="109"/>
      <c r="BT1179" s="109"/>
      <c r="BV1179" s="10"/>
      <c r="BY1179" s="109"/>
      <c r="BZ1179" s="109"/>
      <c r="CB1179" s="10"/>
      <c r="CE1179" s="109"/>
      <c r="CF1179" s="109"/>
      <c r="CH1179" s="10"/>
      <c r="CK1179" s="109"/>
      <c r="CL1179" s="109"/>
    </row>
    <row r="1180" spans="1:90">
      <c r="A1180" s="7" t="str">
        <f t="shared" si="181"/>
        <v>02350235</v>
      </c>
      <c r="B1180" s="7" t="s">
        <v>2574</v>
      </c>
      <c r="C1180" s="7" t="s">
        <v>2574</v>
      </c>
      <c r="D1180" s="7">
        <v>1171</v>
      </c>
      <c r="E1180" s="7">
        <v>235</v>
      </c>
      <c r="F1180" s="7" t="s">
        <v>1940</v>
      </c>
      <c r="G1180" s="7">
        <v>235</v>
      </c>
      <c r="H1180" s="7" t="s">
        <v>1501</v>
      </c>
      <c r="I1180" s="37">
        <v>0</v>
      </c>
      <c r="J1180" s="122">
        <v>0</v>
      </c>
      <c r="K1180" s="123">
        <f>X1180</f>
        <v>0</v>
      </c>
      <c r="L1180" s="122">
        <f>IF(K1184&gt;0, K1180/K1184, 0)</f>
        <v>0</v>
      </c>
      <c r="M1180" s="71"/>
      <c r="N1180" s="10">
        <f>ROUND(M1184*L1180,0)</f>
        <v>0</v>
      </c>
      <c r="O1180" s="70">
        <v>0</v>
      </c>
      <c r="P1180" s="10">
        <f>N1180-O1180</f>
        <v>0</v>
      </c>
      <c r="Q1180" s="46">
        <f t="shared" si="189"/>
        <v>0</v>
      </c>
      <c r="R1180" s="10">
        <v>0</v>
      </c>
      <c r="S1180" s="7">
        <f t="shared" si="182"/>
        <v>0</v>
      </c>
      <c r="T1180" s="124">
        <f t="shared" si="183"/>
        <v>235</v>
      </c>
      <c r="U1180" s="124">
        <f t="shared" si="184"/>
        <v>235</v>
      </c>
      <c r="V1180" s="124">
        <f t="shared" si="185"/>
        <v>1171</v>
      </c>
      <c r="W1180" s="124">
        <f t="shared" si="186"/>
        <v>0</v>
      </c>
      <c r="X1180" s="124">
        <f t="shared" si="187"/>
        <v>0</v>
      </c>
      <c r="Y1180" s="264">
        <f t="shared" si="188"/>
        <v>1171</v>
      </c>
      <c r="Z1180" s="10">
        <v>235</v>
      </c>
      <c r="AA1180" s="7">
        <v>235</v>
      </c>
      <c r="AB1180" s="7">
        <v>1171</v>
      </c>
      <c r="AC1180" s="109">
        <v>0</v>
      </c>
      <c r="AD1180" s="109">
        <v>0</v>
      </c>
      <c r="AE1180" s="125"/>
      <c r="AF1180" s="10"/>
      <c r="AI1180" s="109"/>
      <c r="AJ1180" s="109"/>
      <c r="AL1180" s="10"/>
      <c r="AO1180" s="109"/>
      <c r="AP1180" s="109"/>
      <c r="AR1180" s="10"/>
      <c r="AU1180" s="109"/>
      <c r="AV1180" s="109"/>
      <c r="AX1180" s="10"/>
      <c r="BA1180" s="109"/>
      <c r="BB1180" s="109"/>
      <c r="BD1180" s="10"/>
      <c r="BG1180" s="109"/>
      <c r="BH1180" s="109"/>
      <c r="BJ1180" s="10"/>
      <c r="BM1180" s="109"/>
      <c r="BN1180" s="109"/>
      <c r="BP1180" s="10"/>
      <c r="BS1180" s="109"/>
      <c r="BT1180" s="109"/>
      <c r="BV1180" s="10"/>
      <c r="BY1180" s="109"/>
      <c r="BZ1180" s="109"/>
      <c r="CB1180" s="10"/>
      <c r="CE1180" s="109"/>
      <c r="CF1180" s="109"/>
      <c r="CH1180" s="10"/>
      <c r="CK1180" s="109"/>
      <c r="CL1180" s="109"/>
    </row>
    <row r="1181" spans="1:90">
      <c r="A1181" s="7" t="str">
        <f t="shared" si="181"/>
        <v>02350720</v>
      </c>
      <c r="B1181" s="7" t="s">
        <v>2574</v>
      </c>
      <c r="C1181" s="7" t="s">
        <v>2731</v>
      </c>
      <c r="D1181" s="7">
        <v>1172</v>
      </c>
      <c r="E1181" s="7">
        <v>235</v>
      </c>
      <c r="F1181" s="7" t="s">
        <v>1940</v>
      </c>
      <c r="G1181" s="7">
        <v>720</v>
      </c>
      <c r="H1181" s="7" t="s">
        <v>1658</v>
      </c>
      <c r="I1181" s="37">
        <v>2229930</v>
      </c>
      <c r="J1181" s="122">
        <v>0.88452325278365829</v>
      </c>
      <c r="K1181" s="123">
        <f t="shared" si="180"/>
        <v>2278112.2702496811</v>
      </c>
      <c r="L1181" s="122">
        <f>IF(K1184&gt;0, K1181/K1184, 0)</f>
        <v>0.84876886414114627</v>
      </c>
      <c r="M1181" s="71"/>
      <c r="N1181" s="10">
        <f>ROUND(M1184*L1181,0)</f>
        <v>1111627</v>
      </c>
      <c r="O1181" s="70">
        <v>1188477</v>
      </c>
      <c r="P1181" s="10">
        <f>N1181-O1181</f>
        <v>-76850</v>
      </c>
      <c r="Q1181" s="46">
        <f t="shared" si="189"/>
        <v>-6.4662589179260515</v>
      </c>
      <c r="R1181" s="10">
        <v>216</v>
      </c>
      <c r="S1181" s="7">
        <f t="shared" si="182"/>
        <v>0</v>
      </c>
      <c r="T1181" s="124">
        <f t="shared" si="183"/>
        <v>235</v>
      </c>
      <c r="U1181" s="124">
        <f t="shared" si="184"/>
        <v>720</v>
      </c>
      <c r="V1181" s="124">
        <f t="shared" si="185"/>
        <v>1172</v>
      </c>
      <c r="W1181" s="124">
        <f t="shared" si="186"/>
        <v>219.97568389247999</v>
      </c>
      <c r="X1181" s="124">
        <f t="shared" si="187"/>
        <v>2278112.2702496811</v>
      </c>
      <c r="Y1181" s="264">
        <f t="shared" si="188"/>
        <v>1172</v>
      </c>
      <c r="Z1181" s="10">
        <v>235</v>
      </c>
      <c r="AA1181" s="7">
        <v>720</v>
      </c>
      <c r="AB1181" s="7">
        <v>1172</v>
      </c>
      <c r="AC1181" s="109">
        <v>219.97568389247999</v>
      </c>
      <c r="AD1181" s="109">
        <v>2278112.2702496811</v>
      </c>
      <c r="AE1181" s="125"/>
      <c r="AF1181" s="10"/>
      <c r="AI1181" s="109"/>
      <c r="AJ1181" s="109"/>
      <c r="AL1181" s="10"/>
      <c r="AO1181" s="109"/>
      <c r="AP1181" s="109"/>
      <c r="AR1181" s="10"/>
      <c r="AU1181" s="109"/>
      <c r="AV1181" s="109"/>
      <c r="AX1181" s="10"/>
      <c r="BA1181" s="109"/>
      <c r="BB1181" s="109"/>
      <c r="BD1181" s="10"/>
      <c r="BG1181" s="109"/>
      <c r="BH1181" s="109"/>
      <c r="BJ1181" s="10"/>
      <c r="BM1181" s="109"/>
      <c r="BN1181" s="109"/>
      <c r="BP1181" s="10"/>
      <c r="BS1181" s="109"/>
      <c r="BT1181" s="109"/>
      <c r="BV1181" s="10"/>
      <c r="BY1181" s="109"/>
      <c r="BZ1181" s="109"/>
      <c r="CB1181" s="10"/>
      <c r="CE1181" s="109"/>
      <c r="CF1181" s="109"/>
      <c r="CH1181" s="10"/>
      <c r="CK1181" s="109"/>
      <c r="CL1181" s="109"/>
    </row>
    <row r="1182" spans="1:90">
      <c r="A1182" s="7" t="str">
        <f t="shared" si="181"/>
        <v>02350832</v>
      </c>
      <c r="B1182" s="7" t="s">
        <v>2574</v>
      </c>
      <c r="C1182" s="7" t="s">
        <v>2765</v>
      </c>
      <c r="D1182" s="7">
        <v>1173</v>
      </c>
      <c r="E1182" s="7">
        <v>235</v>
      </c>
      <c r="F1182" s="7" t="s">
        <v>1940</v>
      </c>
      <c r="G1182" s="7">
        <v>832</v>
      </c>
      <c r="H1182" s="7" t="s">
        <v>1692</v>
      </c>
      <c r="I1182" s="37">
        <v>291123</v>
      </c>
      <c r="J1182" s="122">
        <v>0.11547674721634174</v>
      </c>
      <c r="K1182" s="123">
        <f t="shared" si="180"/>
        <v>405907.33331443084</v>
      </c>
      <c r="L1182" s="122">
        <f>IF(K1184&gt;0, K1182/K1184, 0)</f>
        <v>0.1512311358588537</v>
      </c>
      <c r="M1182" s="71"/>
      <c r="N1182" s="10">
        <f>ROUND(M1184*L1182,0)</f>
        <v>198067</v>
      </c>
      <c r="O1182" s="70">
        <v>155159</v>
      </c>
      <c r="P1182" s="10">
        <f>N1182-O1182</f>
        <v>42908</v>
      </c>
      <c r="Q1182" s="46">
        <f t="shared" si="189"/>
        <v>27.654212775282129</v>
      </c>
      <c r="R1182" s="10">
        <v>19</v>
      </c>
      <c r="S1182" s="7">
        <f t="shared" si="182"/>
        <v>0</v>
      </c>
      <c r="T1182" s="124">
        <f t="shared" si="183"/>
        <v>235</v>
      </c>
      <c r="U1182" s="124">
        <f t="shared" si="184"/>
        <v>832</v>
      </c>
      <c r="V1182" s="124">
        <f t="shared" si="185"/>
        <v>1173</v>
      </c>
      <c r="W1182" s="124">
        <f t="shared" si="186"/>
        <v>26.017391307600001</v>
      </c>
      <c r="X1182" s="124">
        <f t="shared" si="187"/>
        <v>405907.33331443084</v>
      </c>
      <c r="Y1182" s="264">
        <f t="shared" si="188"/>
        <v>1173</v>
      </c>
      <c r="Z1182" s="10">
        <v>235</v>
      </c>
      <c r="AA1182" s="7">
        <v>832</v>
      </c>
      <c r="AB1182" s="7">
        <v>1173</v>
      </c>
      <c r="AC1182" s="109">
        <v>26.017391307600001</v>
      </c>
      <c r="AD1182" s="109">
        <v>405907.33331443084</v>
      </c>
      <c r="AE1182" s="125"/>
      <c r="AF1182" s="10"/>
      <c r="AI1182" s="109"/>
      <c r="AJ1182" s="109"/>
      <c r="AL1182" s="10"/>
      <c r="AO1182" s="109"/>
      <c r="AP1182" s="109"/>
      <c r="AR1182" s="10"/>
      <c r="AU1182" s="109"/>
      <c r="AV1182" s="109"/>
      <c r="AX1182" s="10"/>
      <c r="BA1182" s="109"/>
      <c r="BB1182" s="109"/>
      <c r="BD1182" s="10"/>
      <c r="BG1182" s="109"/>
      <c r="BH1182" s="109"/>
      <c r="BJ1182" s="10"/>
      <c r="BM1182" s="109"/>
      <c r="BN1182" s="109"/>
      <c r="BP1182" s="10"/>
      <c r="BS1182" s="109"/>
      <c r="BT1182" s="109"/>
      <c r="BV1182" s="10"/>
      <c r="BY1182" s="109"/>
      <c r="BZ1182" s="109"/>
      <c r="CB1182" s="10"/>
      <c r="CE1182" s="109"/>
      <c r="CF1182" s="109"/>
      <c r="CH1182" s="10"/>
      <c r="CK1182" s="109"/>
      <c r="CL1182" s="109"/>
    </row>
    <row r="1183" spans="1:90">
      <c r="A1183" s="7" t="str">
        <f t="shared" si="181"/>
        <v>02350998</v>
      </c>
      <c r="B1183" s="7" t="s">
        <v>2574</v>
      </c>
      <c r="C1183" s="7" t="s">
        <v>2781</v>
      </c>
      <c r="D1183" s="7">
        <v>1174</v>
      </c>
      <c r="E1183" s="7">
        <v>235</v>
      </c>
      <c r="F1183" s="7" t="s">
        <v>2135</v>
      </c>
      <c r="G1183" s="7">
        <v>998</v>
      </c>
      <c r="H1183" s="7" t="s">
        <v>2135</v>
      </c>
      <c r="I1183" s="37">
        <v>0</v>
      </c>
      <c r="J1183" s="122">
        <v>0</v>
      </c>
      <c r="K1183" s="123">
        <f t="shared" si="180"/>
        <v>0</v>
      </c>
      <c r="L1183" s="122">
        <f>IF(K1184&gt;0, K1183/K1184, 0)</f>
        <v>0</v>
      </c>
      <c r="M1183" s="71"/>
      <c r="N1183" s="10">
        <f>ROUND(M1184*L1183,0)</f>
        <v>0</v>
      </c>
      <c r="O1183" s="70">
        <v>0</v>
      </c>
      <c r="P1183" s="10">
        <f>N1183-O1183</f>
        <v>0</v>
      </c>
      <c r="Q1183" s="46">
        <f t="shared" si="189"/>
        <v>0</v>
      </c>
      <c r="R1183" s="10">
        <v>0</v>
      </c>
      <c r="S1183" s="7">
        <f t="shared" si="182"/>
        <v>0</v>
      </c>
      <c r="T1183" s="124">
        <f t="shared" si="183"/>
        <v>235</v>
      </c>
      <c r="U1183" s="124">
        <f t="shared" si="184"/>
        <v>998</v>
      </c>
      <c r="V1183" s="124">
        <f t="shared" si="185"/>
        <v>1174</v>
      </c>
      <c r="W1183" s="124">
        <f t="shared" si="186"/>
        <v>0</v>
      </c>
      <c r="X1183" s="124">
        <f t="shared" si="187"/>
        <v>0</v>
      </c>
      <c r="Y1183" s="264">
        <f t="shared" si="188"/>
        <v>1174</v>
      </c>
      <c r="Z1183" s="10">
        <v>235</v>
      </c>
      <c r="AA1183" s="7">
        <v>998</v>
      </c>
      <c r="AB1183" s="7">
        <v>1174</v>
      </c>
      <c r="AC1183" s="109">
        <v>0</v>
      </c>
      <c r="AD1183" s="109">
        <v>0</v>
      </c>
      <c r="AE1183" s="125"/>
      <c r="AF1183" s="10"/>
      <c r="AI1183" s="109"/>
      <c r="AJ1183" s="109"/>
      <c r="AL1183" s="10"/>
      <c r="AO1183" s="109"/>
      <c r="AP1183" s="109"/>
      <c r="AR1183" s="10"/>
      <c r="AU1183" s="109"/>
      <c r="AV1183" s="109"/>
      <c r="AX1183" s="10"/>
      <c r="BA1183" s="109"/>
      <c r="BB1183" s="109"/>
      <c r="BD1183" s="10"/>
      <c r="BG1183" s="109"/>
      <c r="BH1183" s="109"/>
      <c r="BJ1183" s="10"/>
      <c r="BM1183" s="109"/>
      <c r="BN1183" s="109"/>
      <c r="BP1183" s="10"/>
      <c r="BS1183" s="109"/>
      <c r="BT1183" s="109"/>
      <c r="BV1183" s="10"/>
      <c r="BY1183" s="109"/>
      <c r="BZ1183" s="109"/>
      <c r="CB1183" s="10"/>
      <c r="CE1183" s="109"/>
      <c r="CF1183" s="109"/>
      <c r="CH1183" s="10"/>
      <c r="CK1183" s="109"/>
      <c r="CL1183" s="109"/>
    </row>
    <row r="1184" spans="1:90">
      <c r="A1184" s="7" t="str">
        <f t="shared" si="181"/>
        <v>02350999</v>
      </c>
      <c r="B1184" s="7" t="s">
        <v>2574</v>
      </c>
      <c r="C1184" s="7" t="s">
        <v>2782</v>
      </c>
      <c r="D1184" s="7">
        <v>1175</v>
      </c>
      <c r="E1184" s="11">
        <v>235</v>
      </c>
      <c r="F1184" s="11" t="s">
        <v>1940</v>
      </c>
      <c r="G1184" s="11">
        <v>999</v>
      </c>
      <c r="H1184" s="11" t="s">
        <v>1132</v>
      </c>
      <c r="I1184" s="105">
        <v>2521053</v>
      </c>
      <c r="J1184" s="126">
        <v>1</v>
      </c>
      <c r="K1184" s="127">
        <f>SUM(K1180:K1183)</f>
        <v>2684019.603564112</v>
      </c>
      <c r="L1184" s="126">
        <f>SUM(L1180:L1183)</f>
        <v>1</v>
      </c>
      <c r="M1184" s="105">
        <f>VLOOKUP(E1184,town351,22)</f>
        <v>1309694</v>
      </c>
      <c r="N1184" s="105">
        <f>SUM(N1180:N1183)</f>
        <v>1309694</v>
      </c>
      <c r="O1184" s="128">
        <v>1343636</v>
      </c>
      <c r="P1184" s="105">
        <f>SUM(P1180:P1183)</f>
        <v>-33942</v>
      </c>
      <c r="Q1184" s="45">
        <f t="shared" si="189"/>
        <v>-2.5261305889392665</v>
      </c>
      <c r="R1184" s="105">
        <v>235</v>
      </c>
      <c r="S1184" s="7">
        <f t="shared" si="182"/>
        <v>0</v>
      </c>
      <c r="T1184" s="124">
        <f t="shared" si="183"/>
        <v>235</v>
      </c>
      <c r="U1184" s="124">
        <f t="shared" si="184"/>
        <v>999</v>
      </c>
      <c r="V1184" s="124">
        <f t="shared" si="185"/>
        <v>1175</v>
      </c>
      <c r="W1184" s="124">
        <f t="shared" si="186"/>
        <v>245.99307520008</v>
      </c>
      <c r="X1184" s="124">
        <f t="shared" si="187"/>
        <v>2684019.603564112</v>
      </c>
      <c r="Y1184" s="264">
        <f t="shared" si="188"/>
        <v>1175</v>
      </c>
      <c r="Z1184" s="10">
        <v>235</v>
      </c>
      <c r="AA1184" s="7">
        <v>999</v>
      </c>
      <c r="AB1184" s="7">
        <v>1175</v>
      </c>
      <c r="AC1184" s="109">
        <v>245.99307520008</v>
      </c>
      <c r="AD1184" s="109">
        <v>2684019.603564112</v>
      </c>
      <c r="AE1184" s="125"/>
      <c r="AF1184" s="10"/>
      <c r="AI1184" s="109"/>
      <c r="AJ1184" s="109"/>
      <c r="AL1184" s="10"/>
      <c r="AO1184" s="109"/>
      <c r="AP1184" s="109"/>
      <c r="AR1184" s="10"/>
      <c r="AU1184" s="109"/>
      <c r="AV1184" s="109"/>
      <c r="AX1184" s="10"/>
      <c r="BA1184" s="109"/>
      <c r="BB1184" s="109"/>
      <c r="BD1184" s="10"/>
      <c r="BG1184" s="109"/>
      <c r="BH1184" s="109"/>
      <c r="BJ1184" s="10"/>
      <c r="BM1184" s="109"/>
      <c r="BN1184" s="109"/>
      <c r="BP1184" s="10"/>
      <c r="BS1184" s="109"/>
      <c r="BT1184" s="109"/>
      <c r="BV1184" s="10"/>
      <c r="BY1184" s="109"/>
      <c r="BZ1184" s="109"/>
      <c r="CB1184" s="10"/>
      <c r="CE1184" s="109"/>
      <c r="CF1184" s="109"/>
      <c r="CH1184" s="10"/>
      <c r="CK1184" s="109"/>
      <c r="CL1184" s="109"/>
    </row>
    <row r="1185" spans="1:90">
      <c r="A1185" s="7" t="str">
        <f t="shared" si="181"/>
        <v>02360236</v>
      </c>
      <c r="B1185" s="7" t="s">
        <v>2575</v>
      </c>
      <c r="C1185" s="7" t="s">
        <v>2575</v>
      </c>
      <c r="D1185" s="7">
        <v>1176</v>
      </c>
      <c r="E1185" s="7">
        <v>236</v>
      </c>
      <c r="F1185" s="7" t="s">
        <v>1941</v>
      </c>
      <c r="G1185" s="7">
        <v>236</v>
      </c>
      <c r="H1185" s="7" t="s">
        <v>1502</v>
      </c>
      <c r="I1185" s="37">
        <v>68494174.319999993</v>
      </c>
      <c r="J1185" s="122">
        <v>1</v>
      </c>
      <c r="K1185" s="123">
        <f t="shared" ref="K1185:K1248" si="190">X1185</f>
        <v>68570957.773763955</v>
      </c>
      <c r="L1185" s="122">
        <f>IF(K1189&gt;0, K1185/K1189, 0)</f>
        <v>1</v>
      </c>
      <c r="M1185" s="71"/>
      <c r="N1185" s="10">
        <f>ROUND(M1189*L1185,0)</f>
        <v>28025316</v>
      </c>
      <c r="O1185" s="70">
        <v>28442404</v>
      </c>
      <c r="P1185" s="10">
        <f>N1185-O1185</f>
        <v>-417088</v>
      </c>
      <c r="Q1185" s="46">
        <f t="shared" si="189"/>
        <v>-1.4664301934534085</v>
      </c>
      <c r="R1185" s="10">
        <v>6115</v>
      </c>
      <c r="S1185" s="7">
        <f t="shared" si="182"/>
        <v>0</v>
      </c>
      <c r="T1185" s="124">
        <f t="shared" si="183"/>
        <v>236</v>
      </c>
      <c r="U1185" s="124">
        <f t="shared" si="184"/>
        <v>236</v>
      </c>
      <c r="V1185" s="124">
        <f t="shared" si="185"/>
        <v>1176</v>
      </c>
      <c r="W1185" s="124">
        <f t="shared" si="186"/>
        <v>6026</v>
      </c>
      <c r="X1185" s="124">
        <f t="shared" si="187"/>
        <v>68570957.773763955</v>
      </c>
      <c r="Y1185" s="264">
        <f t="shared" si="188"/>
        <v>1176</v>
      </c>
      <c r="Z1185" s="10">
        <v>236</v>
      </c>
      <c r="AA1185" s="7">
        <v>236</v>
      </c>
      <c r="AB1185" s="7">
        <v>1176</v>
      </c>
      <c r="AC1185" s="109">
        <v>6026</v>
      </c>
      <c r="AD1185" s="109">
        <v>68570957.773763955</v>
      </c>
      <c r="AE1185" s="125"/>
      <c r="AF1185" s="10"/>
      <c r="AI1185" s="109"/>
      <c r="AJ1185" s="109"/>
      <c r="AL1185" s="10"/>
      <c r="AO1185" s="109"/>
      <c r="AP1185" s="109"/>
      <c r="AR1185" s="10"/>
      <c r="AU1185" s="109"/>
      <c r="AV1185" s="109"/>
      <c r="AX1185" s="10"/>
      <c r="BA1185" s="109"/>
      <c r="BB1185" s="109"/>
      <c r="BD1185" s="10"/>
      <c r="BG1185" s="109"/>
      <c r="BH1185" s="109"/>
      <c r="BJ1185" s="10"/>
      <c r="BM1185" s="109"/>
      <c r="BN1185" s="109"/>
      <c r="BP1185" s="10"/>
      <c r="BS1185" s="109"/>
      <c r="BT1185" s="109"/>
      <c r="BV1185" s="10"/>
      <c r="BY1185" s="109"/>
      <c r="BZ1185" s="109"/>
      <c r="CB1185" s="10"/>
      <c r="CE1185" s="109"/>
      <c r="CF1185" s="109"/>
      <c r="CH1185" s="10"/>
      <c r="CK1185" s="109"/>
      <c r="CL1185" s="109"/>
    </row>
    <row r="1186" spans="1:90">
      <c r="A1186" s="7" t="str">
        <f t="shared" si="181"/>
        <v>02360998</v>
      </c>
      <c r="B1186" s="7" t="s">
        <v>2575</v>
      </c>
      <c r="C1186" s="7" t="s">
        <v>2781</v>
      </c>
      <c r="D1186" s="7">
        <v>1177</v>
      </c>
      <c r="E1186" s="7">
        <v>236</v>
      </c>
      <c r="F1186" s="7" t="s">
        <v>2135</v>
      </c>
      <c r="G1186" s="7">
        <v>998</v>
      </c>
      <c r="H1186" s="7" t="s">
        <v>2135</v>
      </c>
      <c r="I1186" s="37">
        <v>0</v>
      </c>
      <c r="J1186" s="122">
        <v>0</v>
      </c>
      <c r="K1186" s="123">
        <f t="shared" si="190"/>
        <v>0</v>
      </c>
      <c r="L1186" s="122">
        <f>IF(K1189&gt;0, K1186/K1189, 0)</f>
        <v>0</v>
      </c>
      <c r="M1186" s="71"/>
      <c r="N1186" s="10">
        <f>ROUND(M1189*L1186,0)</f>
        <v>0</v>
      </c>
      <c r="O1186" s="70">
        <v>0</v>
      </c>
      <c r="P1186" s="10">
        <f>N1186-O1186</f>
        <v>0</v>
      </c>
      <c r="Q1186" s="46">
        <f t="shared" si="189"/>
        <v>0</v>
      </c>
      <c r="R1186" s="10">
        <v>0</v>
      </c>
      <c r="S1186" s="7">
        <f t="shared" si="182"/>
        <v>0</v>
      </c>
      <c r="T1186" s="124">
        <f t="shared" si="183"/>
        <v>236</v>
      </c>
      <c r="U1186" s="124">
        <f t="shared" si="184"/>
        <v>998</v>
      </c>
      <c r="V1186" s="124">
        <f t="shared" si="185"/>
        <v>1177</v>
      </c>
      <c r="W1186" s="124">
        <f t="shared" si="186"/>
        <v>0</v>
      </c>
      <c r="X1186" s="124">
        <f t="shared" si="187"/>
        <v>0</v>
      </c>
      <c r="Y1186" s="264">
        <f t="shared" si="188"/>
        <v>1177</v>
      </c>
      <c r="Z1186" s="10">
        <v>236</v>
      </c>
      <c r="AA1186" s="7">
        <v>998</v>
      </c>
      <c r="AB1186" s="7">
        <v>1177</v>
      </c>
      <c r="AC1186" s="109">
        <v>0</v>
      </c>
      <c r="AD1186" s="109">
        <v>0</v>
      </c>
      <c r="AE1186" s="125"/>
      <c r="AF1186" s="10"/>
      <c r="AI1186" s="109"/>
      <c r="AJ1186" s="109"/>
      <c r="AL1186" s="10"/>
      <c r="AO1186" s="109"/>
      <c r="AP1186" s="109"/>
      <c r="AR1186" s="10"/>
      <c r="AU1186" s="109"/>
      <c r="AV1186" s="109"/>
      <c r="AX1186" s="10"/>
      <c r="BA1186" s="109"/>
      <c r="BB1186" s="109"/>
      <c r="BD1186" s="10"/>
      <c r="BG1186" s="109"/>
      <c r="BH1186" s="109"/>
      <c r="BJ1186" s="10"/>
      <c r="BM1186" s="109"/>
      <c r="BN1186" s="109"/>
      <c r="BP1186" s="10"/>
      <c r="BS1186" s="109"/>
      <c r="BT1186" s="109"/>
      <c r="BV1186" s="10"/>
      <c r="BY1186" s="109"/>
      <c r="BZ1186" s="109"/>
      <c r="CB1186" s="10"/>
      <c r="CE1186" s="109"/>
      <c r="CF1186" s="109"/>
      <c r="CH1186" s="10"/>
      <c r="CK1186" s="109"/>
      <c r="CL1186" s="109"/>
    </row>
    <row r="1187" spans="1:90">
      <c r="A1187" s="7" t="str">
        <f t="shared" si="181"/>
        <v>02360998</v>
      </c>
      <c r="B1187" s="7" t="s">
        <v>2575</v>
      </c>
      <c r="C1187" s="7" t="s">
        <v>2781</v>
      </c>
      <c r="D1187" s="7">
        <v>1178</v>
      </c>
      <c r="E1187" s="7">
        <v>236</v>
      </c>
      <c r="F1187" s="7" t="s">
        <v>2135</v>
      </c>
      <c r="G1187" s="7">
        <v>998</v>
      </c>
      <c r="H1187" s="7" t="s">
        <v>2135</v>
      </c>
      <c r="I1187" s="37">
        <v>0</v>
      </c>
      <c r="J1187" s="122">
        <v>0</v>
      </c>
      <c r="K1187" s="123">
        <f t="shared" si="190"/>
        <v>0</v>
      </c>
      <c r="L1187" s="122">
        <f>IF(K1189&gt;0, K1187/K1189, 0)</f>
        <v>0</v>
      </c>
      <c r="M1187" s="71"/>
      <c r="N1187" s="10">
        <f>ROUND(M1189*L1187,0)</f>
        <v>0</v>
      </c>
      <c r="O1187" s="70">
        <v>0</v>
      </c>
      <c r="P1187" s="10">
        <f>N1187-O1187</f>
        <v>0</v>
      </c>
      <c r="Q1187" s="46">
        <f t="shared" si="189"/>
        <v>0</v>
      </c>
      <c r="R1187" s="10">
        <v>0</v>
      </c>
      <c r="S1187" s="7">
        <f t="shared" si="182"/>
        <v>0</v>
      </c>
      <c r="T1187" s="124">
        <f t="shared" si="183"/>
        <v>236</v>
      </c>
      <c r="U1187" s="124">
        <f t="shared" si="184"/>
        <v>998</v>
      </c>
      <c r="V1187" s="124">
        <f t="shared" si="185"/>
        <v>1178</v>
      </c>
      <c r="W1187" s="124">
        <f t="shared" si="186"/>
        <v>0</v>
      </c>
      <c r="X1187" s="124">
        <f t="shared" si="187"/>
        <v>0</v>
      </c>
      <c r="Y1187" s="264">
        <f t="shared" si="188"/>
        <v>1178</v>
      </c>
      <c r="Z1187" s="10">
        <v>236</v>
      </c>
      <c r="AA1187" s="7">
        <v>998</v>
      </c>
      <c r="AB1187" s="7">
        <v>1178</v>
      </c>
      <c r="AC1187" s="109">
        <v>0</v>
      </c>
      <c r="AD1187" s="109">
        <v>0</v>
      </c>
      <c r="AE1187" s="125"/>
      <c r="AF1187" s="10"/>
      <c r="AI1187" s="109"/>
      <c r="AJ1187" s="109"/>
      <c r="AL1187" s="10"/>
      <c r="AO1187" s="109"/>
      <c r="AP1187" s="109"/>
      <c r="AR1187" s="10"/>
      <c r="AU1187" s="109"/>
      <c r="AV1187" s="109"/>
      <c r="AX1187" s="10"/>
      <c r="BA1187" s="109"/>
      <c r="BB1187" s="109"/>
      <c r="BD1187" s="10"/>
      <c r="BG1187" s="109"/>
      <c r="BH1187" s="109"/>
      <c r="BJ1187" s="10"/>
      <c r="BM1187" s="109"/>
      <c r="BN1187" s="109"/>
      <c r="BP1187" s="10"/>
      <c r="BS1187" s="109"/>
      <c r="BT1187" s="109"/>
      <c r="BV1187" s="10"/>
      <c r="BY1187" s="109"/>
      <c r="BZ1187" s="109"/>
      <c r="CB1187" s="10"/>
      <c r="CE1187" s="109"/>
      <c r="CF1187" s="109"/>
      <c r="CH1187" s="10"/>
      <c r="CK1187" s="109"/>
      <c r="CL1187" s="109"/>
    </row>
    <row r="1188" spans="1:90">
      <c r="A1188" s="7" t="str">
        <f t="shared" si="181"/>
        <v>02360998</v>
      </c>
      <c r="B1188" s="7" t="s">
        <v>2575</v>
      </c>
      <c r="C1188" s="7" t="s">
        <v>2781</v>
      </c>
      <c r="D1188" s="7">
        <v>1179</v>
      </c>
      <c r="E1188" s="7">
        <v>236</v>
      </c>
      <c r="F1188" s="7" t="s">
        <v>2135</v>
      </c>
      <c r="G1188" s="7">
        <v>998</v>
      </c>
      <c r="H1188" s="7" t="s">
        <v>2135</v>
      </c>
      <c r="I1188" s="37">
        <v>0</v>
      </c>
      <c r="J1188" s="122">
        <v>0</v>
      </c>
      <c r="K1188" s="123">
        <f t="shared" si="190"/>
        <v>0</v>
      </c>
      <c r="L1188" s="122">
        <f>IF(K1189&gt;0, K1188/K1189, 0)</f>
        <v>0</v>
      </c>
      <c r="M1188" s="71"/>
      <c r="N1188" s="10">
        <f>ROUND(M1189*L1188,0)</f>
        <v>0</v>
      </c>
      <c r="O1188" s="70">
        <v>0</v>
      </c>
      <c r="P1188" s="10">
        <f>N1188-O1188</f>
        <v>0</v>
      </c>
      <c r="Q1188" s="46">
        <f t="shared" si="189"/>
        <v>0</v>
      </c>
      <c r="R1188" s="10">
        <v>0</v>
      </c>
      <c r="S1188" s="7">
        <f t="shared" si="182"/>
        <v>0</v>
      </c>
      <c r="T1188" s="124">
        <f t="shared" si="183"/>
        <v>236</v>
      </c>
      <c r="U1188" s="124">
        <f t="shared" si="184"/>
        <v>998</v>
      </c>
      <c r="V1188" s="124">
        <f t="shared" si="185"/>
        <v>1179</v>
      </c>
      <c r="W1188" s="124">
        <f t="shared" si="186"/>
        <v>0</v>
      </c>
      <c r="X1188" s="124">
        <f t="shared" si="187"/>
        <v>0</v>
      </c>
      <c r="Y1188" s="264">
        <f t="shared" si="188"/>
        <v>1179</v>
      </c>
      <c r="Z1188" s="10">
        <v>236</v>
      </c>
      <c r="AA1188" s="7">
        <v>998</v>
      </c>
      <c r="AB1188" s="7">
        <v>1179</v>
      </c>
      <c r="AC1188" s="109">
        <v>0</v>
      </c>
      <c r="AD1188" s="109">
        <v>0</v>
      </c>
      <c r="AE1188" s="125"/>
      <c r="AF1188" s="10"/>
      <c r="AI1188" s="109"/>
      <c r="AJ1188" s="109"/>
      <c r="AL1188" s="10"/>
      <c r="AO1188" s="109"/>
      <c r="AP1188" s="109"/>
      <c r="AR1188" s="10"/>
      <c r="AU1188" s="109"/>
      <c r="AV1188" s="109"/>
      <c r="AX1188" s="10"/>
      <c r="BA1188" s="109"/>
      <c r="BB1188" s="109"/>
      <c r="BD1188" s="10"/>
      <c r="BG1188" s="109"/>
      <c r="BH1188" s="109"/>
      <c r="BJ1188" s="10"/>
      <c r="BM1188" s="109"/>
      <c r="BN1188" s="109"/>
      <c r="BP1188" s="10"/>
      <c r="BS1188" s="109"/>
      <c r="BT1188" s="109"/>
      <c r="BV1188" s="10"/>
      <c r="BY1188" s="109"/>
      <c r="BZ1188" s="109"/>
      <c r="CB1188" s="10"/>
      <c r="CE1188" s="109"/>
      <c r="CF1188" s="109"/>
      <c r="CH1188" s="10"/>
      <c r="CK1188" s="109"/>
      <c r="CL1188" s="109"/>
    </row>
    <row r="1189" spans="1:90">
      <c r="A1189" s="7" t="str">
        <f t="shared" si="181"/>
        <v>02360999</v>
      </c>
      <c r="B1189" s="7" t="s">
        <v>2575</v>
      </c>
      <c r="C1189" s="7" t="s">
        <v>2782</v>
      </c>
      <c r="D1189" s="7">
        <v>1180</v>
      </c>
      <c r="E1189" s="11">
        <v>236</v>
      </c>
      <c r="F1189" s="11" t="s">
        <v>1941</v>
      </c>
      <c r="G1189" s="11">
        <v>999</v>
      </c>
      <c r="H1189" s="11" t="s">
        <v>1132</v>
      </c>
      <c r="I1189" s="105">
        <v>68494174.319999993</v>
      </c>
      <c r="J1189" s="126">
        <v>1</v>
      </c>
      <c r="K1189" s="127">
        <f>SUM(K1185:K1188)</f>
        <v>68570957.773763955</v>
      </c>
      <c r="L1189" s="126">
        <f>SUM(L1185:L1188)</f>
        <v>1</v>
      </c>
      <c r="M1189" s="105">
        <f>VLOOKUP(E1189,town351,22)</f>
        <v>28025316</v>
      </c>
      <c r="N1189" s="105">
        <f>SUM(N1185:N1188)</f>
        <v>28025316</v>
      </c>
      <c r="O1189" s="128">
        <v>28442404</v>
      </c>
      <c r="P1189" s="105">
        <f>SUM(P1185:P1188)</f>
        <v>-417088</v>
      </c>
      <c r="Q1189" s="45">
        <f t="shared" si="189"/>
        <v>-1.4664301934534085</v>
      </c>
      <c r="R1189" s="105">
        <v>6115</v>
      </c>
      <c r="S1189" s="7">
        <f t="shared" si="182"/>
        <v>0</v>
      </c>
      <c r="T1189" s="124">
        <f t="shared" si="183"/>
        <v>236</v>
      </c>
      <c r="U1189" s="124">
        <f t="shared" si="184"/>
        <v>999</v>
      </c>
      <c r="V1189" s="124">
        <f t="shared" si="185"/>
        <v>1180</v>
      </c>
      <c r="W1189" s="124">
        <f t="shared" si="186"/>
        <v>6026</v>
      </c>
      <c r="X1189" s="124">
        <f t="shared" si="187"/>
        <v>68570957.773763955</v>
      </c>
      <c r="Y1189" s="264">
        <f t="shared" si="188"/>
        <v>1180</v>
      </c>
      <c r="Z1189" s="10">
        <v>236</v>
      </c>
      <c r="AA1189" s="7">
        <v>999</v>
      </c>
      <c r="AB1189" s="7">
        <v>1180</v>
      </c>
      <c r="AC1189" s="109">
        <v>6026</v>
      </c>
      <c r="AD1189" s="109">
        <v>68570957.773763955</v>
      </c>
      <c r="AE1189" s="125"/>
      <c r="AF1189" s="10"/>
      <c r="AI1189" s="109"/>
      <c r="AJ1189" s="109"/>
      <c r="AL1189" s="10"/>
      <c r="AO1189" s="109"/>
      <c r="AP1189" s="109"/>
      <c r="AR1189" s="10"/>
      <c r="AU1189" s="109"/>
      <c r="AV1189" s="109"/>
      <c r="AX1189" s="10"/>
      <c r="BA1189" s="109"/>
      <c r="BB1189" s="109"/>
      <c r="BD1189" s="10"/>
      <c r="BG1189" s="109"/>
      <c r="BH1189" s="109"/>
      <c r="BJ1189" s="10"/>
      <c r="BM1189" s="109"/>
      <c r="BN1189" s="109"/>
      <c r="BP1189" s="10"/>
      <c r="BS1189" s="109"/>
      <c r="BT1189" s="109"/>
      <c r="BV1189" s="10"/>
      <c r="BY1189" s="109"/>
      <c r="BZ1189" s="109"/>
      <c r="CB1189" s="10"/>
      <c r="CE1189" s="109"/>
      <c r="CF1189" s="109"/>
      <c r="CH1189" s="10"/>
      <c r="CK1189" s="109"/>
      <c r="CL1189" s="109"/>
    </row>
    <row r="1190" spans="1:90">
      <c r="A1190" s="7" t="str">
        <f t="shared" si="181"/>
        <v>02370237</v>
      </c>
      <c r="B1190" s="7" t="s">
        <v>2576</v>
      </c>
      <c r="C1190" s="7" t="s">
        <v>2576</v>
      </c>
      <c r="D1190" s="7">
        <v>1181</v>
      </c>
      <c r="E1190" s="7">
        <v>237</v>
      </c>
      <c r="F1190" s="7" t="s">
        <v>1942</v>
      </c>
      <c r="G1190" s="7">
        <v>237</v>
      </c>
      <c r="H1190" s="7" t="s">
        <v>1503</v>
      </c>
      <c r="I1190" s="37">
        <v>39512.76</v>
      </c>
      <c r="J1190" s="122">
        <v>5.726298071675201E-2</v>
      </c>
      <c r="K1190" s="123">
        <f>X1190</f>
        <v>40250.500030768642</v>
      </c>
      <c r="L1190" s="122">
        <f>IF(K1194&gt;0, K1190/K1194, 0)</f>
        <v>5.6926315063478949E-2</v>
      </c>
      <c r="M1190" s="71"/>
      <c r="N1190" s="10">
        <f>ROUND(M1194*L1190,0)</f>
        <v>28875</v>
      </c>
      <c r="O1190" s="70">
        <v>29669</v>
      </c>
      <c r="P1190" s="10">
        <f>N1190-O1190</f>
        <v>-794</v>
      </c>
      <c r="Q1190" s="46">
        <f t="shared" si="189"/>
        <v>-2.6761940072129158</v>
      </c>
      <c r="R1190" s="10">
        <v>3</v>
      </c>
      <c r="S1190" s="7">
        <f t="shared" si="182"/>
        <v>0</v>
      </c>
      <c r="T1190" s="124">
        <f t="shared" si="183"/>
        <v>237</v>
      </c>
      <c r="U1190" s="124">
        <f t="shared" si="184"/>
        <v>237</v>
      </c>
      <c r="V1190" s="124">
        <f t="shared" si="185"/>
        <v>1181</v>
      </c>
      <c r="W1190" s="124">
        <f t="shared" si="186"/>
        <v>3</v>
      </c>
      <c r="X1190" s="124">
        <f t="shared" si="187"/>
        <v>40250.500030768642</v>
      </c>
      <c r="Y1190" s="264">
        <f t="shared" si="188"/>
        <v>1181</v>
      </c>
      <c r="Z1190" s="10">
        <v>237</v>
      </c>
      <c r="AA1190" s="7">
        <v>237</v>
      </c>
      <c r="AB1190" s="7">
        <v>1181</v>
      </c>
      <c r="AC1190" s="109">
        <v>3</v>
      </c>
      <c r="AD1190" s="109">
        <v>40250.500030768642</v>
      </c>
      <c r="AE1190" s="125"/>
      <c r="AF1190" s="10"/>
      <c r="AI1190" s="109"/>
      <c r="AJ1190" s="109"/>
      <c r="AL1190" s="10"/>
      <c r="AO1190" s="109"/>
      <c r="AP1190" s="109"/>
      <c r="AR1190" s="10"/>
      <c r="AU1190" s="109"/>
      <c r="AV1190" s="109"/>
      <c r="AX1190" s="10"/>
      <c r="BA1190" s="109"/>
      <c r="BB1190" s="109"/>
      <c r="BD1190" s="10"/>
      <c r="BG1190" s="109"/>
      <c r="BH1190" s="109"/>
      <c r="BJ1190" s="10"/>
      <c r="BM1190" s="109"/>
      <c r="BN1190" s="109"/>
      <c r="BP1190" s="10"/>
      <c r="BS1190" s="109"/>
      <c r="BT1190" s="109"/>
      <c r="BV1190" s="10"/>
      <c r="BY1190" s="109"/>
      <c r="BZ1190" s="109"/>
      <c r="CB1190" s="10"/>
      <c r="CE1190" s="109"/>
      <c r="CF1190" s="109"/>
      <c r="CH1190" s="10"/>
      <c r="CK1190" s="109"/>
      <c r="CL1190" s="109"/>
    </row>
    <row r="1191" spans="1:90">
      <c r="A1191" s="7" t="str">
        <f t="shared" si="181"/>
        <v>02370717</v>
      </c>
      <c r="B1191" s="7" t="s">
        <v>2576</v>
      </c>
      <c r="C1191" s="7" t="s">
        <v>2730</v>
      </c>
      <c r="D1191" s="7">
        <v>1182</v>
      </c>
      <c r="E1191" s="7">
        <v>237</v>
      </c>
      <c r="F1191" s="7" t="s">
        <v>1942</v>
      </c>
      <c r="G1191" s="7">
        <v>717</v>
      </c>
      <c r="H1191" s="7" t="s">
        <v>1657</v>
      </c>
      <c r="I1191" s="37">
        <v>650510</v>
      </c>
      <c r="J1191" s="122">
        <v>0.94273701928324793</v>
      </c>
      <c r="K1191" s="123">
        <f t="shared" si="190"/>
        <v>666812.65671642311</v>
      </c>
      <c r="L1191" s="122">
        <f>IF(K1194&gt;0, K1191/K1194, 0)</f>
        <v>0.943073684936521</v>
      </c>
      <c r="M1191" s="71"/>
      <c r="N1191" s="10">
        <f>ROUND(M1194*L1191,0)</f>
        <v>478351</v>
      </c>
      <c r="O1191" s="70">
        <v>488457</v>
      </c>
      <c r="P1191" s="10">
        <f>N1191-O1191</f>
        <v>-10106</v>
      </c>
      <c r="Q1191" s="46">
        <f t="shared" si="189"/>
        <v>-2.0689641053357817</v>
      </c>
      <c r="R1191" s="10">
        <v>62</v>
      </c>
      <c r="S1191" s="7">
        <f t="shared" si="182"/>
        <v>0</v>
      </c>
      <c r="T1191" s="124">
        <f t="shared" si="183"/>
        <v>237</v>
      </c>
      <c r="U1191" s="124">
        <f t="shared" si="184"/>
        <v>717</v>
      </c>
      <c r="V1191" s="124">
        <f t="shared" si="185"/>
        <v>1182</v>
      </c>
      <c r="W1191" s="124">
        <f t="shared" si="186"/>
        <v>63.305526588260001</v>
      </c>
      <c r="X1191" s="124">
        <f t="shared" si="187"/>
        <v>666812.65671642311</v>
      </c>
      <c r="Y1191" s="264">
        <f t="shared" si="188"/>
        <v>1182</v>
      </c>
      <c r="Z1191" s="10">
        <v>237</v>
      </c>
      <c r="AA1191" s="7">
        <v>717</v>
      </c>
      <c r="AB1191" s="7">
        <v>1182</v>
      </c>
      <c r="AC1191" s="109">
        <v>63.305526588260001</v>
      </c>
      <c r="AD1191" s="109">
        <v>666812.65671642311</v>
      </c>
      <c r="AE1191" s="125"/>
      <c r="AF1191" s="10"/>
      <c r="AI1191" s="109"/>
      <c r="AJ1191" s="109"/>
      <c r="AL1191" s="10"/>
      <c r="AO1191" s="109"/>
      <c r="AP1191" s="109"/>
      <c r="AR1191" s="10"/>
      <c r="AU1191" s="109"/>
      <c r="AV1191" s="109"/>
      <c r="AX1191" s="10"/>
      <c r="BA1191" s="109"/>
      <c r="BB1191" s="109"/>
      <c r="BD1191" s="10"/>
      <c r="BG1191" s="109"/>
      <c r="BH1191" s="109"/>
      <c r="BJ1191" s="10"/>
      <c r="BM1191" s="109"/>
      <c r="BN1191" s="109"/>
      <c r="BP1191" s="10"/>
      <c r="BS1191" s="109"/>
      <c r="BT1191" s="109"/>
      <c r="BV1191" s="10"/>
      <c r="BY1191" s="109"/>
      <c r="BZ1191" s="109"/>
      <c r="CB1191" s="10"/>
      <c r="CE1191" s="109"/>
      <c r="CF1191" s="109"/>
      <c r="CH1191" s="10"/>
      <c r="CK1191" s="109"/>
      <c r="CL1191" s="109"/>
    </row>
    <row r="1192" spans="1:90">
      <c r="A1192" s="7" t="str">
        <f t="shared" si="181"/>
        <v>02370998</v>
      </c>
      <c r="B1192" s="7" t="s">
        <v>2576</v>
      </c>
      <c r="C1192" s="7" t="s">
        <v>2781</v>
      </c>
      <c r="D1192" s="7">
        <v>1183</v>
      </c>
      <c r="E1192" s="7">
        <v>237</v>
      </c>
      <c r="F1192" s="7" t="s">
        <v>2135</v>
      </c>
      <c r="G1192" s="7">
        <v>998</v>
      </c>
      <c r="H1192" s="7" t="s">
        <v>2135</v>
      </c>
      <c r="I1192" s="37">
        <v>0</v>
      </c>
      <c r="J1192" s="122">
        <v>0</v>
      </c>
      <c r="K1192" s="123">
        <f t="shared" si="190"/>
        <v>0</v>
      </c>
      <c r="L1192" s="122">
        <f>IF(K1194&gt;0, K1192/K1194, 0)</f>
        <v>0</v>
      </c>
      <c r="M1192" s="71"/>
      <c r="N1192" s="10">
        <f>ROUND(M1194*L1192,0)</f>
        <v>0</v>
      </c>
      <c r="O1192" s="70">
        <v>0</v>
      </c>
      <c r="P1192" s="10">
        <f>N1192-O1192</f>
        <v>0</v>
      </c>
      <c r="Q1192" s="46">
        <f t="shared" si="189"/>
        <v>0</v>
      </c>
      <c r="R1192" s="10">
        <v>0</v>
      </c>
      <c r="S1192" s="7">
        <f t="shared" si="182"/>
        <v>0</v>
      </c>
      <c r="T1192" s="124">
        <f t="shared" si="183"/>
        <v>237</v>
      </c>
      <c r="U1192" s="124">
        <f t="shared" si="184"/>
        <v>998</v>
      </c>
      <c r="V1192" s="124">
        <f t="shared" si="185"/>
        <v>1183</v>
      </c>
      <c r="W1192" s="124">
        <f t="shared" si="186"/>
        <v>0</v>
      </c>
      <c r="X1192" s="124">
        <f t="shared" si="187"/>
        <v>0</v>
      </c>
      <c r="Y1192" s="264">
        <f t="shared" si="188"/>
        <v>1183</v>
      </c>
      <c r="Z1192" s="10">
        <v>237</v>
      </c>
      <c r="AA1192" s="7">
        <v>998</v>
      </c>
      <c r="AB1192" s="7">
        <v>1183</v>
      </c>
      <c r="AC1192" s="109">
        <v>0</v>
      </c>
      <c r="AD1192" s="109">
        <v>0</v>
      </c>
      <c r="AE1192" s="125"/>
      <c r="AF1192" s="10"/>
      <c r="AI1192" s="109"/>
      <c r="AJ1192" s="109"/>
      <c r="AL1192" s="10"/>
      <c r="AO1192" s="109"/>
      <c r="AP1192" s="109"/>
      <c r="AR1192" s="10"/>
      <c r="AU1192" s="109"/>
      <c r="AV1192" s="109"/>
      <c r="AX1192" s="10"/>
      <c r="BA1192" s="109"/>
      <c r="BB1192" s="109"/>
      <c r="BD1192" s="10"/>
      <c r="BG1192" s="109"/>
      <c r="BH1192" s="109"/>
      <c r="BJ1192" s="10"/>
      <c r="BM1192" s="109"/>
      <c r="BN1192" s="109"/>
      <c r="BP1192" s="10"/>
      <c r="BS1192" s="109"/>
      <c r="BT1192" s="109"/>
      <c r="BV1192" s="10"/>
      <c r="BY1192" s="109"/>
      <c r="BZ1192" s="109"/>
      <c r="CB1192" s="10"/>
      <c r="CE1192" s="109"/>
      <c r="CF1192" s="109"/>
      <c r="CH1192" s="10"/>
      <c r="CK1192" s="109"/>
      <c r="CL1192" s="109"/>
    </row>
    <row r="1193" spans="1:90">
      <c r="A1193" s="7" t="str">
        <f t="shared" si="181"/>
        <v>02370998</v>
      </c>
      <c r="B1193" s="7" t="s">
        <v>2576</v>
      </c>
      <c r="C1193" s="7" t="s">
        <v>2781</v>
      </c>
      <c r="D1193" s="7">
        <v>1184</v>
      </c>
      <c r="E1193" s="7">
        <v>237</v>
      </c>
      <c r="F1193" s="7" t="s">
        <v>2135</v>
      </c>
      <c r="G1193" s="7">
        <v>998</v>
      </c>
      <c r="H1193" s="7" t="s">
        <v>2135</v>
      </c>
      <c r="I1193" s="37">
        <v>0</v>
      </c>
      <c r="J1193" s="122">
        <v>0</v>
      </c>
      <c r="K1193" s="123">
        <f t="shared" si="190"/>
        <v>0</v>
      </c>
      <c r="L1193" s="122">
        <f>IF(K1194&gt;0, K1193/K1194, 0)</f>
        <v>0</v>
      </c>
      <c r="M1193" s="71"/>
      <c r="N1193" s="10">
        <f>ROUND(M1194*L1193,0)</f>
        <v>0</v>
      </c>
      <c r="O1193" s="70">
        <v>0</v>
      </c>
      <c r="P1193" s="10">
        <f>N1193-O1193</f>
        <v>0</v>
      </c>
      <c r="Q1193" s="46">
        <f t="shared" si="189"/>
        <v>0</v>
      </c>
      <c r="R1193" s="10">
        <v>0</v>
      </c>
      <c r="S1193" s="7">
        <f t="shared" si="182"/>
        <v>0</v>
      </c>
      <c r="T1193" s="124">
        <f t="shared" si="183"/>
        <v>237</v>
      </c>
      <c r="U1193" s="124">
        <f t="shared" si="184"/>
        <v>998</v>
      </c>
      <c r="V1193" s="124">
        <f t="shared" si="185"/>
        <v>1184</v>
      </c>
      <c r="W1193" s="124">
        <f t="shared" si="186"/>
        <v>0</v>
      </c>
      <c r="X1193" s="124">
        <f t="shared" si="187"/>
        <v>0</v>
      </c>
      <c r="Y1193" s="264">
        <f t="shared" si="188"/>
        <v>1184</v>
      </c>
      <c r="Z1193" s="10">
        <v>237</v>
      </c>
      <c r="AA1193" s="7">
        <v>998</v>
      </c>
      <c r="AB1193" s="7">
        <v>1184</v>
      </c>
      <c r="AC1193" s="109">
        <v>0</v>
      </c>
      <c r="AD1193" s="109">
        <v>0</v>
      </c>
      <c r="AE1193" s="125"/>
      <c r="AF1193" s="10"/>
      <c r="AI1193" s="109"/>
      <c r="AJ1193" s="109"/>
      <c r="AL1193" s="10"/>
      <c r="AO1193" s="109"/>
      <c r="AP1193" s="109"/>
      <c r="AR1193" s="10"/>
      <c r="AU1193" s="109"/>
      <c r="AV1193" s="109"/>
      <c r="AX1193" s="10"/>
      <c r="BA1193" s="109"/>
      <c r="BB1193" s="109"/>
      <c r="BD1193" s="10"/>
      <c r="BG1193" s="109"/>
      <c r="BH1193" s="109"/>
      <c r="BJ1193" s="10"/>
      <c r="BM1193" s="109"/>
      <c r="BN1193" s="109"/>
      <c r="BP1193" s="10"/>
      <c r="BS1193" s="109"/>
      <c r="BT1193" s="109"/>
      <c r="BV1193" s="10"/>
      <c r="BY1193" s="109"/>
      <c r="BZ1193" s="109"/>
      <c r="CB1193" s="10"/>
      <c r="CE1193" s="109"/>
      <c r="CF1193" s="109"/>
      <c r="CH1193" s="10"/>
      <c r="CK1193" s="109"/>
      <c r="CL1193" s="109"/>
    </row>
    <row r="1194" spans="1:90">
      <c r="A1194" s="7" t="str">
        <f t="shared" si="181"/>
        <v>02370999</v>
      </c>
      <c r="B1194" s="7" t="s">
        <v>2576</v>
      </c>
      <c r="C1194" s="7" t="s">
        <v>2782</v>
      </c>
      <c r="D1194" s="7">
        <v>1185</v>
      </c>
      <c r="E1194" s="11">
        <v>237</v>
      </c>
      <c r="F1194" s="11" t="s">
        <v>1942</v>
      </c>
      <c r="G1194" s="11">
        <v>999</v>
      </c>
      <c r="H1194" s="11" t="s">
        <v>1132</v>
      </c>
      <c r="I1194" s="105">
        <v>690022.76</v>
      </c>
      <c r="J1194" s="126">
        <v>1</v>
      </c>
      <c r="K1194" s="127">
        <f>SUM(K1190:K1193)</f>
        <v>707063.1567471918</v>
      </c>
      <c r="L1194" s="126">
        <f>SUM(L1190:L1193)</f>
        <v>1</v>
      </c>
      <c r="M1194" s="105">
        <f>VLOOKUP(E1194,town351,22)</f>
        <v>507226</v>
      </c>
      <c r="N1194" s="105">
        <f>SUM(N1190:N1193)</f>
        <v>507226</v>
      </c>
      <c r="O1194" s="128">
        <v>518126</v>
      </c>
      <c r="P1194" s="105">
        <f>SUM(P1190:P1193)</f>
        <v>-10900</v>
      </c>
      <c r="Q1194" s="45">
        <f t="shared" si="189"/>
        <v>-2.1037353848291729</v>
      </c>
      <c r="R1194" s="105">
        <v>65</v>
      </c>
      <c r="S1194" s="7">
        <f t="shared" si="182"/>
        <v>0</v>
      </c>
      <c r="T1194" s="124">
        <f t="shared" si="183"/>
        <v>237</v>
      </c>
      <c r="U1194" s="124">
        <f t="shared" si="184"/>
        <v>999</v>
      </c>
      <c r="V1194" s="124">
        <f t="shared" si="185"/>
        <v>1185</v>
      </c>
      <c r="W1194" s="124">
        <f t="shared" si="186"/>
        <v>66.305526588259994</v>
      </c>
      <c r="X1194" s="124">
        <f t="shared" si="187"/>
        <v>707063.1567471918</v>
      </c>
      <c r="Y1194" s="264">
        <f t="shared" si="188"/>
        <v>1185</v>
      </c>
      <c r="Z1194" s="10">
        <v>237</v>
      </c>
      <c r="AA1194" s="7">
        <v>999</v>
      </c>
      <c r="AB1194" s="7">
        <v>1185</v>
      </c>
      <c r="AC1194" s="109">
        <v>66.305526588259994</v>
      </c>
      <c r="AD1194" s="109">
        <v>707063.1567471918</v>
      </c>
      <c r="AE1194" s="125"/>
      <c r="AF1194" s="10"/>
      <c r="AI1194" s="109"/>
      <c r="AJ1194" s="109"/>
      <c r="AL1194" s="10"/>
      <c r="AO1194" s="109"/>
      <c r="AP1194" s="109"/>
      <c r="AR1194" s="10"/>
      <c r="AU1194" s="109"/>
      <c r="AV1194" s="109"/>
      <c r="AX1194" s="10"/>
      <c r="BA1194" s="109"/>
      <c r="BB1194" s="109"/>
      <c r="BD1194" s="10"/>
      <c r="BG1194" s="109"/>
      <c r="BH1194" s="109"/>
      <c r="BJ1194" s="10"/>
      <c r="BM1194" s="109"/>
      <c r="BN1194" s="109"/>
      <c r="BP1194" s="10"/>
      <c r="BS1194" s="109"/>
      <c r="BT1194" s="109"/>
      <c r="BV1194" s="10"/>
      <c r="BY1194" s="109"/>
      <c r="BZ1194" s="109"/>
      <c r="CB1194" s="10"/>
      <c r="CE1194" s="109"/>
      <c r="CF1194" s="109"/>
      <c r="CH1194" s="10"/>
      <c r="CK1194" s="109"/>
      <c r="CL1194" s="109"/>
    </row>
    <row r="1195" spans="1:90">
      <c r="A1195" s="7" t="str">
        <f t="shared" si="181"/>
        <v>02380238</v>
      </c>
      <c r="B1195" s="7" t="s">
        <v>2577</v>
      </c>
      <c r="C1195" s="7" t="s">
        <v>2577</v>
      </c>
      <c r="D1195" s="7">
        <v>1186</v>
      </c>
      <c r="E1195" s="7">
        <v>238</v>
      </c>
      <c r="F1195" s="7" t="s">
        <v>1943</v>
      </c>
      <c r="G1195" s="7">
        <v>238</v>
      </c>
      <c r="H1195" s="7" t="s">
        <v>1504</v>
      </c>
      <c r="I1195" s="37">
        <v>6794336.419999999</v>
      </c>
      <c r="J1195" s="122">
        <v>0.49343351310674555</v>
      </c>
      <c r="K1195" s="123">
        <f>X1195</f>
        <v>6634193.2430846673</v>
      </c>
      <c r="L1195" s="122">
        <f>IF(K1199&gt;0, K1195/K1199, 0)</f>
        <v>0.47712246881491288</v>
      </c>
      <c r="M1195" s="71"/>
      <c r="N1195" s="10">
        <f>ROUND(M1199*L1195,0)</f>
        <v>4712959</v>
      </c>
      <c r="O1195" s="70">
        <v>4700337</v>
      </c>
      <c r="P1195" s="10">
        <f>N1195-O1195</f>
        <v>12622</v>
      </c>
      <c r="Q1195" s="46">
        <f t="shared" si="189"/>
        <v>0.2685339370347275</v>
      </c>
      <c r="R1195" s="10">
        <v>734</v>
      </c>
      <c r="S1195" s="7">
        <f t="shared" si="182"/>
        <v>0</v>
      </c>
      <c r="T1195" s="124">
        <f t="shared" si="183"/>
        <v>238</v>
      </c>
      <c r="U1195" s="124">
        <f t="shared" si="184"/>
        <v>238</v>
      </c>
      <c r="V1195" s="124">
        <f t="shared" si="185"/>
        <v>1186</v>
      </c>
      <c r="W1195" s="124">
        <f t="shared" si="186"/>
        <v>701</v>
      </c>
      <c r="X1195" s="124">
        <f t="shared" si="187"/>
        <v>6634193.2430846673</v>
      </c>
      <c r="Y1195" s="264">
        <f t="shared" si="188"/>
        <v>1186</v>
      </c>
      <c r="Z1195" s="10">
        <v>238</v>
      </c>
      <c r="AA1195" s="7">
        <v>238</v>
      </c>
      <c r="AB1195" s="7">
        <v>1186</v>
      </c>
      <c r="AC1195" s="109">
        <v>701</v>
      </c>
      <c r="AD1195" s="109">
        <v>6634193.2430846673</v>
      </c>
      <c r="AE1195" s="125"/>
      <c r="AF1195" s="10"/>
      <c r="AI1195" s="109"/>
      <c r="AJ1195" s="109"/>
      <c r="AL1195" s="10"/>
      <c r="AO1195" s="109"/>
      <c r="AP1195" s="109"/>
      <c r="AR1195" s="10"/>
      <c r="AU1195" s="109"/>
      <c r="AV1195" s="109"/>
      <c r="AX1195" s="10"/>
      <c r="BA1195" s="109"/>
      <c r="BB1195" s="109"/>
      <c r="BD1195" s="10"/>
      <c r="BG1195" s="109"/>
      <c r="BH1195" s="109"/>
      <c r="BJ1195" s="10"/>
      <c r="BM1195" s="109"/>
      <c r="BN1195" s="109"/>
      <c r="BP1195" s="10"/>
      <c r="BS1195" s="109"/>
      <c r="BT1195" s="109"/>
      <c r="BV1195" s="10"/>
      <c r="BY1195" s="109"/>
      <c r="BZ1195" s="109"/>
      <c r="CB1195" s="10"/>
      <c r="CE1195" s="109"/>
      <c r="CF1195" s="109"/>
      <c r="CH1195" s="10"/>
      <c r="CK1195" s="109"/>
      <c r="CL1195" s="109"/>
    </row>
    <row r="1196" spans="1:90">
      <c r="A1196" s="7" t="str">
        <f t="shared" si="181"/>
        <v>02380690</v>
      </c>
      <c r="B1196" s="7" t="s">
        <v>2577</v>
      </c>
      <c r="C1196" s="7" t="s">
        <v>2722</v>
      </c>
      <c r="D1196" s="7">
        <v>1187</v>
      </c>
      <c r="E1196" s="7">
        <v>238</v>
      </c>
      <c r="F1196" s="7" t="s">
        <v>1943</v>
      </c>
      <c r="G1196" s="7">
        <v>690</v>
      </c>
      <c r="H1196" s="7" t="s">
        <v>1649</v>
      </c>
      <c r="I1196" s="37">
        <v>5526631</v>
      </c>
      <c r="J1196" s="122">
        <v>0.40136737149890006</v>
      </c>
      <c r="K1196" s="123">
        <f t="shared" si="190"/>
        <v>5660931.7658215426</v>
      </c>
      <c r="L1196" s="122">
        <f>IF(K1199&gt;0, K1196/K1199, 0)</f>
        <v>0.40712678104710859</v>
      </c>
      <c r="M1196" s="71"/>
      <c r="N1196" s="10">
        <f>ROUND(M1199*L1196,0)</f>
        <v>4021550</v>
      </c>
      <c r="O1196" s="70">
        <v>3823335</v>
      </c>
      <c r="P1196" s="10">
        <f>N1196-O1196</f>
        <v>198215</v>
      </c>
      <c r="Q1196" s="46">
        <f t="shared" si="189"/>
        <v>5.1843482195517785</v>
      </c>
      <c r="R1196" s="10">
        <v>568</v>
      </c>
      <c r="S1196" s="7">
        <f t="shared" si="182"/>
        <v>0</v>
      </c>
      <c r="T1196" s="124">
        <f t="shared" si="183"/>
        <v>238</v>
      </c>
      <c r="U1196" s="124">
        <f t="shared" si="184"/>
        <v>690</v>
      </c>
      <c r="V1196" s="124">
        <f t="shared" si="185"/>
        <v>1187</v>
      </c>
      <c r="W1196" s="124">
        <f t="shared" si="186"/>
        <v>567.99999998976</v>
      </c>
      <c r="X1196" s="124">
        <f t="shared" si="187"/>
        <v>5660931.7658215426</v>
      </c>
      <c r="Y1196" s="264">
        <f t="shared" si="188"/>
        <v>1187</v>
      </c>
      <c r="Z1196" s="10">
        <v>238</v>
      </c>
      <c r="AA1196" s="7">
        <v>690</v>
      </c>
      <c r="AB1196" s="7">
        <v>1187</v>
      </c>
      <c r="AC1196" s="109">
        <v>567.99999998976</v>
      </c>
      <c r="AD1196" s="109">
        <v>5660931.7658215426</v>
      </c>
      <c r="AE1196" s="125"/>
      <c r="AF1196" s="10"/>
      <c r="AI1196" s="109"/>
      <c r="AJ1196" s="109"/>
      <c r="AL1196" s="10"/>
      <c r="AO1196" s="109"/>
      <c r="AP1196" s="109"/>
      <c r="AR1196" s="10"/>
      <c r="AU1196" s="109"/>
      <c r="AV1196" s="109"/>
      <c r="AX1196" s="10"/>
      <c r="BA1196" s="109"/>
      <c r="BB1196" s="109"/>
      <c r="BD1196" s="10"/>
      <c r="BG1196" s="109"/>
      <c r="BH1196" s="109"/>
      <c r="BJ1196" s="10"/>
      <c r="BM1196" s="109"/>
      <c r="BN1196" s="109"/>
      <c r="BP1196" s="10"/>
      <c r="BS1196" s="109"/>
      <c r="BT1196" s="109"/>
      <c r="BV1196" s="10"/>
      <c r="BY1196" s="109"/>
      <c r="BZ1196" s="109"/>
      <c r="CB1196" s="10"/>
      <c r="CE1196" s="109"/>
      <c r="CF1196" s="109"/>
      <c r="CH1196" s="10"/>
      <c r="CK1196" s="109"/>
      <c r="CL1196" s="109"/>
    </row>
    <row r="1197" spans="1:90">
      <c r="A1197" s="7" t="str">
        <f t="shared" si="181"/>
        <v>02380878</v>
      </c>
      <c r="B1197" s="7" t="s">
        <v>2577</v>
      </c>
      <c r="C1197" s="7" t="s">
        <v>2775</v>
      </c>
      <c r="D1197" s="7">
        <v>1188</v>
      </c>
      <c r="E1197" s="7">
        <v>238</v>
      </c>
      <c r="F1197" s="7" t="s">
        <v>1943</v>
      </c>
      <c r="G1197" s="7">
        <v>878</v>
      </c>
      <c r="H1197" s="7" t="s">
        <v>1702</v>
      </c>
      <c r="I1197" s="37">
        <v>1367853</v>
      </c>
      <c r="J1197" s="122">
        <v>9.9339283409166437E-2</v>
      </c>
      <c r="K1197" s="123">
        <f t="shared" si="190"/>
        <v>1494160.8681227374</v>
      </c>
      <c r="L1197" s="122">
        <f>IF(K1199&gt;0, K1197/K1199, 0)</f>
        <v>0.10745808813279027</v>
      </c>
      <c r="M1197" s="71"/>
      <c r="N1197" s="10">
        <f>ROUND(M1199*L1197,0)</f>
        <v>1061458</v>
      </c>
      <c r="O1197" s="70">
        <v>946284</v>
      </c>
      <c r="P1197" s="10">
        <f>N1197-O1197</f>
        <v>115174</v>
      </c>
      <c r="Q1197" s="46">
        <f t="shared" si="189"/>
        <v>12.171187508189931</v>
      </c>
      <c r="R1197" s="10">
        <v>86</v>
      </c>
      <c r="S1197" s="7">
        <f t="shared" si="182"/>
        <v>0</v>
      </c>
      <c r="T1197" s="124">
        <f t="shared" si="183"/>
        <v>238</v>
      </c>
      <c r="U1197" s="124">
        <f t="shared" si="184"/>
        <v>878</v>
      </c>
      <c r="V1197" s="124">
        <f t="shared" si="185"/>
        <v>1188</v>
      </c>
      <c r="W1197" s="124">
        <f t="shared" si="186"/>
        <v>90.999999995760007</v>
      </c>
      <c r="X1197" s="124">
        <f t="shared" si="187"/>
        <v>1494160.8681227374</v>
      </c>
      <c r="Y1197" s="264">
        <f t="shared" si="188"/>
        <v>1188</v>
      </c>
      <c r="Z1197" s="10">
        <v>238</v>
      </c>
      <c r="AA1197" s="7">
        <v>878</v>
      </c>
      <c r="AB1197" s="7">
        <v>1188</v>
      </c>
      <c r="AC1197" s="109">
        <v>90.999999995760007</v>
      </c>
      <c r="AD1197" s="109">
        <v>1494160.8681227374</v>
      </c>
      <c r="AE1197" s="125"/>
      <c r="AF1197" s="10"/>
      <c r="AI1197" s="109"/>
      <c r="AJ1197" s="109"/>
      <c r="AL1197" s="10"/>
      <c r="AO1197" s="109"/>
      <c r="AP1197" s="109"/>
      <c r="AR1197" s="10"/>
      <c r="AU1197" s="109"/>
      <c r="AV1197" s="109"/>
      <c r="AX1197" s="10"/>
      <c r="BA1197" s="109"/>
      <c r="BB1197" s="109"/>
      <c r="BD1197" s="10"/>
      <c r="BG1197" s="109"/>
      <c r="BH1197" s="109"/>
      <c r="BJ1197" s="10"/>
      <c r="BM1197" s="109"/>
      <c r="BN1197" s="109"/>
      <c r="BP1197" s="10"/>
      <c r="BS1197" s="109"/>
      <c r="BT1197" s="109"/>
      <c r="BV1197" s="10"/>
      <c r="BY1197" s="109"/>
      <c r="BZ1197" s="109"/>
      <c r="CB1197" s="10"/>
      <c r="CE1197" s="109"/>
      <c r="CF1197" s="109"/>
      <c r="CH1197" s="10"/>
      <c r="CK1197" s="109"/>
      <c r="CL1197" s="109"/>
    </row>
    <row r="1198" spans="1:90">
      <c r="A1198" s="7" t="str">
        <f t="shared" si="181"/>
        <v>02380915</v>
      </c>
      <c r="B1198" s="7" t="s">
        <v>2577</v>
      </c>
      <c r="C1198" s="7" t="s">
        <v>2779</v>
      </c>
      <c r="D1198" s="7">
        <v>1189</v>
      </c>
      <c r="E1198" s="7">
        <v>238</v>
      </c>
      <c r="F1198" s="7" t="s">
        <v>1943</v>
      </c>
      <c r="G1198" s="7">
        <v>915</v>
      </c>
      <c r="H1198" s="7" t="s">
        <v>1706</v>
      </c>
      <c r="I1198" s="37">
        <v>80687</v>
      </c>
      <c r="J1198" s="122">
        <v>5.8598319851880373E-3</v>
      </c>
      <c r="K1198" s="123">
        <f t="shared" si="190"/>
        <v>115306.0814315711</v>
      </c>
      <c r="L1198" s="122">
        <f>IF(K1199&gt;0, K1198/K1199, 0)</f>
        <v>8.292662005188212E-3</v>
      </c>
      <c r="M1198" s="71"/>
      <c r="N1198" s="10">
        <f>ROUND(M1199*L1198,0)</f>
        <v>81914</v>
      </c>
      <c r="O1198" s="70">
        <v>55819</v>
      </c>
      <c r="P1198" s="10">
        <f>N1198-O1198</f>
        <v>26095</v>
      </c>
      <c r="Q1198" s="46">
        <f t="shared" si="189"/>
        <v>46.749314749458073</v>
      </c>
      <c r="R1198" s="10">
        <v>5</v>
      </c>
      <c r="S1198" s="7">
        <f t="shared" si="182"/>
        <v>0</v>
      </c>
      <c r="T1198" s="124">
        <f t="shared" si="183"/>
        <v>238</v>
      </c>
      <c r="U1198" s="124">
        <f t="shared" si="184"/>
        <v>915</v>
      </c>
      <c r="V1198" s="124">
        <f t="shared" si="185"/>
        <v>1189</v>
      </c>
      <c r="W1198" s="124">
        <f t="shared" si="186"/>
        <v>6.9999999986699999</v>
      </c>
      <c r="X1198" s="124">
        <f t="shared" si="187"/>
        <v>115306.0814315711</v>
      </c>
      <c r="Y1198" s="264">
        <f t="shared" si="188"/>
        <v>1189</v>
      </c>
      <c r="Z1198" s="10">
        <v>238</v>
      </c>
      <c r="AA1198" s="7">
        <v>915</v>
      </c>
      <c r="AB1198" s="7">
        <v>1189</v>
      </c>
      <c r="AC1198" s="109">
        <v>6.9999999986699999</v>
      </c>
      <c r="AD1198" s="109">
        <v>115306.0814315711</v>
      </c>
      <c r="AE1198" s="125"/>
      <c r="AF1198" s="10"/>
      <c r="AI1198" s="109"/>
      <c r="AJ1198" s="109"/>
      <c r="AL1198" s="10"/>
      <c r="AO1198" s="109"/>
      <c r="AP1198" s="109"/>
      <c r="AR1198" s="10"/>
      <c r="AU1198" s="109"/>
      <c r="AV1198" s="109"/>
      <c r="AX1198" s="10"/>
      <c r="BA1198" s="109"/>
      <c r="BB1198" s="109"/>
      <c r="BD1198" s="10"/>
      <c r="BG1198" s="109"/>
      <c r="BH1198" s="109"/>
      <c r="BJ1198" s="10"/>
      <c r="BM1198" s="109"/>
      <c r="BN1198" s="109"/>
      <c r="BP1198" s="10"/>
      <c r="BS1198" s="109"/>
      <c r="BT1198" s="109"/>
      <c r="BV1198" s="10"/>
      <c r="BY1198" s="109"/>
      <c r="BZ1198" s="109"/>
      <c r="CB1198" s="10"/>
      <c r="CE1198" s="109"/>
      <c r="CF1198" s="109"/>
      <c r="CH1198" s="10"/>
      <c r="CK1198" s="109"/>
      <c r="CL1198" s="109"/>
    </row>
    <row r="1199" spans="1:90">
      <c r="A1199" s="7" t="str">
        <f t="shared" si="181"/>
        <v>02380999</v>
      </c>
      <c r="B1199" s="7" t="s">
        <v>2577</v>
      </c>
      <c r="C1199" s="7" t="s">
        <v>2782</v>
      </c>
      <c r="D1199" s="7">
        <v>1190</v>
      </c>
      <c r="E1199" s="11">
        <v>238</v>
      </c>
      <c r="F1199" s="11" t="s">
        <v>1943</v>
      </c>
      <c r="G1199" s="11">
        <v>999</v>
      </c>
      <c r="H1199" s="11" t="s">
        <v>1132</v>
      </c>
      <c r="I1199" s="105">
        <v>13769507.419999998</v>
      </c>
      <c r="J1199" s="126">
        <v>1.0000000000000002</v>
      </c>
      <c r="K1199" s="127">
        <f>SUM(K1195:K1198)</f>
        <v>13904591.958460519</v>
      </c>
      <c r="L1199" s="126">
        <f>SUM(L1195:L1198)</f>
        <v>0.99999999999999989</v>
      </c>
      <c r="M1199" s="105">
        <f>VLOOKUP(E1199,town351,22)</f>
        <v>9877881</v>
      </c>
      <c r="N1199" s="105">
        <f>SUM(N1195:N1198)</f>
        <v>9877881</v>
      </c>
      <c r="O1199" s="128">
        <v>9525775</v>
      </c>
      <c r="P1199" s="105">
        <f>SUM(P1195:P1198)</f>
        <v>352106</v>
      </c>
      <c r="Q1199" s="45">
        <f t="shared" si="189"/>
        <v>3.6963501657345463</v>
      </c>
      <c r="R1199" s="105">
        <v>1393</v>
      </c>
      <c r="S1199" s="7">
        <f t="shared" si="182"/>
        <v>0</v>
      </c>
      <c r="T1199" s="124">
        <f t="shared" si="183"/>
        <v>238</v>
      </c>
      <c r="U1199" s="124">
        <f t="shared" si="184"/>
        <v>999</v>
      </c>
      <c r="V1199" s="124">
        <f t="shared" si="185"/>
        <v>1190</v>
      </c>
      <c r="W1199" s="124">
        <f t="shared" si="186"/>
        <v>1366.99999998419</v>
      </c>
      <c r="X1199" s="124">
        <f t="shared" si="187"/>
        <v>13904591.958460519</v>
      </c>
      <c r="Y1199" s="264">
        <f t="shared" si="188"/>
        <v>1190</v>
      </c>
      <c r="Z1199" s="10">
        <v>238</v>
      </c>
      <c r="AA1199" s="7">
        <v>999</v>
      </c>
      <c r="AB1199" s="7">
        <v>1190</v>
      </c>
      <c r="AC1199" s="109">
        <v>1366.99999998419</v>
      </c>
      <c r="AD1199" s="109">
        <v>13904591.958460519</v>
      </c>
      <c r="AE1199" s="125"/>
      <c r="AF1199" s="10"/>
      <c r="AI1199" s="109"/>
      <c r="AJ1199" s="109"/>
      <c r="AL1199" s="10"/>
      <c r="AO1199" s="109"/>
      <c r="AP1199" s="109"/>
      <c r="AR1199" s="10"/>
      <c r="AU1199" s="109"/>
      <c r="AV1199" s="109"/>
      <c r="AX1199" s="10"/>
      <c r="BA1199" s="109"/>
      <c r="BB1199" s="109"/>
      <c r="BD1199" s="10"/>
      <c r="BG1199" s="109"/>
      <c r="BH1199" s="109"/>
      <c r="BJ1199" s="10"/>
      <c r="BM1199" s="109"/>
      <c r="BN1199" s="109"/>
      <c r="BP1199" s="10"/>
      <c r="BS1199" s="109"/>
      <c r="BT1199" s="109"/>
      <c r="BV1199" s="10"/>
      <c r="BY1199" s="109"/>
      <c r="BZ1199" s="109"/>
      <c r="CB1199" s="10"/>
      <c r="CE1199" s="109"/>
      <c r="CF1199" s="109"/>
      <c r="CH1199" s="10"/>
      <c r="CK1199" s="109"/>
      <c r="CL1199" s="109"/>
    </row>
    <row r="1200" spans="1:90">
      <c r="A1200" s="7" t="str">
        <f t="shared" si="181"/>
        <v>02390239</v>
      </c>
      <c r="B1200" s="7" t="s">
        <v>2578</v>
      </c>
      <c r="C1200" s="7" t="s">
        <v>2578</v>
      </c>
      <c r="D1200" s="7">
        <v>1191</v>
      </c>
      <c r="E1200" s="7">
        <v>239</v>
      </c>
      <c r="F1200" s="7" t="s">
        <v>1944</v>
      </c>
      <c r="G1200" s="7">
        <v>239</v>
      </c>
      <c r="H1200" s="7" t="s">
        <v>1505</v>
      </c>
      <c r="I1200" s="37">
        <v>84727196.122590005</v>
      </c>
      <c r="J1200" s="122">
        <v>1</v>
      </c>
      <c r="K1200" s="123">
        <f>X1200</f>
        <v>88349686.529343486</v>
      </c>
      <c r="L1200" s="122">
        <f>IF(K1204&gt;0, K1200/K1204, 0)</f>
        <v>1</v>
      </c>
      <c r="M1200" s="71"/>
      <c r="N1200" s="10">
        <f>ROUND(M1204*L1200,0)</f>
        <v>62464730</v>
      </c>
      <c r="O1200" s="70">
        <v>61058495</v>
      </c>
      <c r="P1200" s="10">
        <f>N1200-O1200</f>
        <v>1406235</v>
      </c>
      <c r="Q1200" s="46">
        <f t="shared" si="189"/>
        <v>2.3030947618345325</v>
      </c>
      <c r="R1200" s="10">
        <v>8046</v>
      </c>
      <c r="S1200" s="7">
        <f t="shared" si="182"/>
        <v>0</v>
      </c>
      <c r="T1200" s="124">
        <f t="shared" si="183"/>
        <v>239</v>
      </c>
      <c r="U1200" s="124">
        <f t="shared" si="184"/>
        <v>239</v>
      </c>
      <c r="V1200" s="124">
        <f t="shared" si="185"/>
        <v>1191</v>
      </c>
      <c r="W1200" s="124">
        <f t="shared" si="186"/>
        <v>8212</v>
      </c>
      <c r="X1200" s="124">
        <f t="shared" si="187"/>
        <v>88349686.529343486</v>
      </c>
      <c r="Y1200" s="264">
        <f t="shared" si="188"/>
        <v>1191</v>
      </c>
      <c r="Z1200" s="10">
        <v>239</v>
      </c>
      <c r="AA1200" s="7">
        <v>239</v>
      </c>
      <c r="AB1200" s="7">
        <v>1191</v>
      </c>
      <c r="AC1200" s="109">
        <v>8212</v>
      </c>
      <c r="AD1200" s="109">
        <v>88349686.529343486</v>
      </c>
      <c r="AE1200" s="125"/>
      <c r="AF1200" s="10"/>
      <c r="AI1200" s="109"/>
      <c r="AJ1200" s="109"/>
      <c r="AL1200" s="10"/>
      <c r="AO1200" s="109"/>
      <c r="AP1200" s="109"/>
      <c r="AR1200" s="10"/>
      <c r="AU1200" s="109"/>
      <c r="AV1200" s="109"/>
      <c r="AX1200" s="10"/>
      <c r="BA1200" s="109"/>
      <c r="BB1200" s="109"/>
      <c r="BD1200" s="10"/>
      <c r="BG1200" s="109"/>
      <c r="BH1200" s="109"/>
      <c r="BJ1200" s="10"/>
      <c r="BM1200" s="109"/>
      <c r="BN1200" s="109"/>
      <c r="BP1200" s="10"/>
      <c r="BS1200" s="109"/>
      <c r="BT1200" s="109"/>
      <c r="BV1200" s="10"/>
      <c r="BY1200" s="109"/>
      <c r="BZ1200" s="109"/>
      <c r="CB1200" s="10"/>
      <c r="CE1200" s="109"/>
      <c r="CF1200" s="109"/>
      <c r="CH1200" s="10"/>
      <c r="CK1200" s="109"/>
      <c r="CL1200" s="109"/>
    </row>
    <row r="1201" spans="1:90">
      <c r="A1201" s="7" t="str">
        <f t="shared" si="181"/>
        <v>02390998</v>
      </c>
      <c r="B1201" s="7" t="s">
        <v>2578</v>
      </c>
      <c r="C1201" s="7" t="s">
        <v>2781</v>
      </c>
      <c r="D1201" s="7">
        <v>1192</v>
      </c>
      <c r="E1201" s="7">
        <v>239</v>
      </c>
      <c r="F1201" s="7" t="s">
        <v>2135</v>
      </c>
      <c r="G1201" s="7">
        <v>998</v>
      </c>
      <c r="H1201" s="7" t="s">
        <v>2135</v>
      </c>
      <c r="I1201" s="37">
        <v>0</v>
      </c>
      <c r="J1201" s="122">
        <v>0</v>
      </c>
      <c r="K1201" s="123">
        <f t="shared" si="190"/>
        <v>0</v>
      </c>
      <c r="L1201" s="122">
        <f>IF(K1204&gt;0, K1201/K1204, 0)</f>
        <v>0</v>
      </c>
      <c r="M1201" s="71"/>
      <c r="N1201" s="10">
        <f>ROUND(M1204*L1201,0)</f>
        <v>0</v>
      </c>
      <c r="O1201" s="70">
        <v>0</v>
      </c>
      <c r="P1201" s="10">
        <f>N1201-O1201</f>
        <v>0</v>
      </c>
      <c r="Q1201" s="46">
        <f t="shared" si="189"/>
        <v>0</v>
      </c>
      <c r="R1201" s="10">
        <v>0</v>
      </c>
      <c r="S1201" s="7">
        <f t="shared" si="182"/>
        <v>0</v>
      </c>
      <c r="T1201" s="124">
        <f t="shared" si="183"/>
        <v>239</v>
      </c>
      <c r="U1201" s="124">
        <f t="shared" si="184"/>
        <v>998</v>
      </c>
      <c r="V1201" s="124">
        <f t="shared" si="185"/>
        <v>1192</v>
      </c>
      <c r="W1201" s="124">
        <f t="shared" si="186"/>
        <v>0</v>
      </c>
      <c r="X1201" s="124">
        <f t="shared" si="187"/>
        <v>0</v>
      </c>
      <c r="Y1201" s="264">
        <f t="shared" si="188"/>
        <v>1192</v>
      </c>
      <c r="Z1201" s="10">
        <v>239</v>
      </c>
      <c r="AA1201" s="7">
        <v>998</v>
      </c>
      <c r="AB1201" s="7">
        <v>1192</v>
      </c>
      <c r="AC1201" s="109">
        <v>0</v>
      </c>
      <c r="AD1201" s="109">
        <v>0</v>
      </c>
      <c r="AE1201" s="125"/>
      <c r="AF1201" s="10"/>
      <c r="AI1201" s="109"/>
      <c r="AJ1201" s="109"/>
      <c r="AL1201" s="10"/>
      <c r="AO1201" s="109"/>
      <c r="AP1201" s="109"/>
      <c r="AR1201" s="10"/>
      <c r="AU1201" s="109"/>
      <c r="AV1201" s="109"/>
      <c r="AX1201" s="10"/>
      <c r="BA1201" s="109"/>
      <c r="BB1201" s="109"/>
      <c r="BD1201" s="10"/>
      <c r="BG1201" s="109"/>
      <c r="BH1201" s="109"/>
      <c r="BJ1201" s="10"/>
      <c r="BM1201" s="109"/>
      <c r="BN1201" s="109"/>
      <c r="BP1201" s="10"/>
      <c r="BS1201" s="109"/>
      <c r="BT1201" s="109"/>
      <c r="BV1201" s="10"/>
      <c r="BY1201" s="109"/>
      <c r="BZ1201" s="109"/>
      <c r="CB1201" s="10"/>
      <c r="CE1201" s="109"/>
      <c r="CF1201" s="109"/>
      <c r="CH1201" s="10"/>
      <c r="CK1201" s="109"/>
      <c r="CL1201" s="109"/>
    </row>
    <row r="1202" spans="1:90">
      <c r="A1202" s="7" t="str">
        <f t="shared" si="181"/>
        <v>02390998</v>
      </c>
      <c r="B1202" s="7" t="s">
        <v>2578</v>
      </c>
      <c r="C1202" s="7" t="s">
        <v>2781</v>
      </c>
      <c r="D1202" s="7">
        <v>1193</v>
      </c>
      <c r="E1202" s="7">
        <v>239</v>
      </c>
      <c r="F1202" s="7" t="s">
        <v>2135</v>
      </c>
      <c r="G1202" s="7">
        <v>998</v>
      </c>
      <c r="H1202" s="7" t="s">
        <v>2135</v>
      </c>
      <c r="I1202" s="37">
        <v>0</v>
      </c>
      <c r="J1202" s="122">
        <v>0</v>
      </c>
      <c r="K1202" s="123">
        <f t="shared" si="190"/>
        <v>0</v>
      </c>
      <c r="L1202" s="122">
        <f>IF(K1204&gt;0, K1202/K1204, 0)</f>
        <v>0</v>
      </c>
      <c r="M1202" s="71"/>
      <c r="N1202" s="10">
        <f>ROUND(M1204*L1202,0)</f>
        <v>0</v>
      </c>
      <c r="O1202" s="70">
        <v>0</v>
      </c>
      <c r="P1202" s="10">
        <f>N1202-O1202</f>
        <v>0</v>
      </c>
      <c r="Q1202" s="46">
        <f t="shared" si="189"/>
        <v>0</v>
      </c>
      <c r="R1202" s="10">
        <v>0</v>
      </c>
      <c r="S1202" s="7">
        <f t="shared" si="182"/>
        <v>0</v>
      </c>
      <c r="T1202" s="124">
        <f t="shared" si="183"/>
        <v>239</v>
      </c>
      <c r="U1202" s="124">
        <f t="shared" si="184"/>
        <v>998</v>
      </c>
      <c r="V1202" s="124">
        <f t="shared" si="185"/>
        <v>1193</v>
      </c>
      <c r="W1202" s="124">
        <f t="shared" si="186"/>
        <v>0</v>
      </c>
      <c r="X1202" s="124">
        <f t="shared" si="187"/>
        <v>0</v>
      </c>
      <c r="Y1202" s="264">
        <f t="shared" si="188"/>
        <v>1193</v>
      </c>
      <c r="Z1202" s="10">
        <v>239</v>
      </c>
      <c r="AA1202" s="7">
        <v>998</v>
      </c>
      <c r="AB1202" s="7">
        <v>1193</v>
      </c>
      <c r="AC1202" s="109">
        <v>0</v>
      </c>
      <c r="AD1202" s="109">
        <v>0</v>
      </c>
      <c r="AE1202" s="125"/>
      <c r="AF1202" s="10"/>
      <c r="AI1202" s="109"/>
      <c r="AJ1202" s="109"/>
      <c r="AL1202" s="10"/>
      <c r="AO1202" s="109"/>
      <c r="AP1202" s="109"/>
      <c r="AR1202" s="10"/>
      <c r="AU1202" s="109"/>
      <c r="AV1202" s="109"/>
      <c r="AX1202" s="10"/>
      <c r="BA1202" s="109"/>
      <c r="BB1202" s="109"/>
      <c r="BD1202" s="10"/>
      <c r="BG1202" s="109"/>
      <c r="BH1202" s="109"/>
      <c r="BJ1202" s="10"/>
      <c r="BM1202" s="109"/>
      <c r="BN1202" s="109"/>
      <c r="BP1202" s="10"/>
      <c r="BS1202" s="109"/>
      <c r="BT1202" s="109"/>
      <c r="BV1202" s="10"/>
      <c r="BY1202" s="109"/>
      <c r="BZ1202" s="109"/>
      <c r="CB1202" s="10"/>
      <c r="CE1202" s="109"/>
      <c r="CF1202" s="109"/>
      <c r="CH1202" s="10"/>
      <c r="CK1202" s="109"/>
      <c r="CL1202" s="109"/>
    </row>
    <row r="1203" spans="1:90">
      <c r="A1203" s="7" t="str">
        <f t="shared" si="181"/>
        <v>02390998</v>
      </c>
      <c r="B1203" s="7" t="s">
        <v>2578</v>
      </c>
      <c r="C1203" s="7" t="s">
        <v>2781</v>
      </c>
      <c r="D1203" s="7">
        <v>1194</v>
      </c>
      <c r="E1203" s="7">
        <v>239</v>
      </c>
      <c r="F1203" s="7" t="s">
        <v>2135</v>
      </c>
      <c r="G1203" s="7">
        <v>998</v>
      </c>
      <c r="H1203" s="7" t="s">
        <v>2135</v>
      </c>
      <c r="I1203" s="37">
        <v>0</v>
      </c>
      <c r="J1203" s="122">
        <v>0</v>
      </c>
      <c r="K1203" s="123">
        <f t="shared" si="190"/>
        <v>0</v>
      </c>
      <c r="L1203" s="122">
        <f>IF(K1204&gt;0, K1203/K1204, 0)</f>
        <v>0</v>
      </c>
      <c r="M1203" s="71"/>
      <c r="N1203" s="10">
        <f>ROUND(M1204*L1203,0)</f>
        <v>0</v>
      </c>
      <c r="O1203" s="70">
        <v>0</v>
      </c>
      <c r="P1203" s="10">
        <f>N1203-O1203</f>
        <v>0</v>
      </c>
      <c r="Q1203" s="46">
        <f t="shared" si="189"/>
        <v>0</v>
      </c>
      <c r="R1203" s="10">
        <v>0</v>
      </c>
      <c r="S1203" s="7">
        <f t="shared" si="182"/>
        <v>0</v>
      </c>
      <c r="T1203" s="124">
        <f t="shared" si="183"/>
        <v>239</v>
      </c>
      <c r="U1203" s="124">
        <f t="shared" si="184"/>
        <v>998</v>
      </c>
      <c r="V1203" s="124">
        <f t="shared" si="185"/>
        <v>1194</v>
      </c>
      <c r="W1203" s="124">
        <f t="shared" si="186"/>
        <v>0</v>
      </c>
      <c r="X1203" s="124">
        <f t="shared" si="187"/>
        <v>0</v>
      </c>
      <c r="Y1203" s="264">
        <f t="shared" si="188"/>
        <v>1194</v>
      </c>
      <c r="Z1203" s="10">
        <v>239</v>
      </c>
      <c r="AA1203" s="7">
        <v>998</v>
      </c>
      <c r="AB1203" s="7">
        <v>1194</v>
      </c>
      <c r="AC1203" s="109">
        <v>0</v>
      </c>
      <c r="AD1203" s="109">
        <v>0</v>
      </c>
      <c r="AE1203" s="125"/>
      <c r="AF1203" s="10"/>
      <c r="AI1203" s="109"/>
      <c r="AJ1203" s="109"/>
      <c r="AL1203" s="10"/>
      <c r="AO1203" s="109"/>
      <c r="AP1203" s="109"/>
      <c r="AR1203" s="10"/>
      <c r="AU1203" s="109"/>
      <c r="AV1203" s="109"/>
      <c r="AX1203" s="10"/>
      <c r="BA1203" s="109"/>
      <c r="BB1203" s="109"/>
      <c r="BD1203" s="10"/>
      <c r="BG1203" s="109"/>
      <c r="BH1203" s="109"/>
      <c r="BJ1203" s="10"/>
      <c r="BM1203" s="109"/>
      <c r="BN1203" s="109"/>
      <c r="BP1203" s="10"/>
      <c r="BS1203" s="109"/>
      <c r="BT1203" s="109"/>
      <c r="BV1203" s="10"/>
      <c r="BY1203" s="109"/>
      <c r="BZ1203" s="109"/>
      <c r="CB1203" s="10"/>
      <c r="CE1203" s="109"/>
      <c r="CF1203" s="109"/>
      <c r="CH1203" s="10"/>
      <c r="CK1203" s="109"/>
      <c r="CL1203" s="109"/>
    </row>
    <row r="1204" spans="1:90">
      <c r="A1204" s="7" t="str">
        <f t="shared" si="181"/>
        <v>02390999</v>
      </c>
      <c r="B1204" s="7" t="s">
        <v>2578</v>
      </c>
      <c r="C1204" s="7" t="s">
        <v>2782</v>
      </c>
      <c r="D1204" s="7">
        <v>1195</v>
      </c>
      <c r="E1204" s="11">
        <v>239</v>
      </c>
      <c r="F1204" s="11" t="s">
        <v>1944</v>
      </c>
      <c r="G1204" s="11">
        <v>999</v>
      </c>
      <c r="H1204" s="11" t="s">
        <v>1132</v>
      </c>
      <c r="I1204" s="105">
        <v>84727196.122590005</v>
      </c>
      <c r="J1204" s="126">
        <v>1</v>
      </c>
      <c r="K1204" s="127">
        <f>SUM(K1200:K1203)</f>
        <v>88349686.529343486</v>
      </c>
      <c r="L1204" s="126">
        <f>SUM(L1200:L1203)</f>
        <v>1</v>
      </c>
      <c r="M1204" s="105">
        <f>VLOOKUP(E1204,town351,22)</f>
        <v>62464730</v>
      </c>
      <c r="N1204" s="105">
        <f>SUM(N1200:N1203)</f>
        <v>62464730</v>
      </c>
      <c r="O1204" s="128">
        <v>61058495</v>
      </c>
      <c r="P1204" s="105">
        <f>SUM(P1200:P1203)</f>
        <v>1406235</v>
      </c>
      <c r="Q1204" s="45">
        <f t="shared" si="189"/>
        <v>2.3030947618345325</v>
      </c>
      <c r="R1204" s="105">
        <v>8046</v>
      </c>
      <c r="S1204" s="7">
        <f t="shared" si="182"/>
        <v>0</v>
      </c>
      <c r="T1204" s="124">
        <f t="shared" si="183"/>
        <v>239</v>
      </c>
      <c r="U1204" s="124">
        <f t="shared" si="184"/>
        <v>999</v>
      </c>
      <c r="V1204" s="124">
        <f t="shared" si="185"/>
        <v>1195</v>
      </c>
      <c r="W1204" s="124">
        <f t="shared" si="186"/>
        <v>8212</v>
      </c>
      <c r="X1204" s="124">
        <f t="shared" si="187"/>
        <v>88349686.529343486</v>
      </c>
      <c r="Y1204" s="264">
        <f t="shared" si="188"/>
        <v>1195</v>
      </c>
      <c r="Z1204" s="10">
        <v>239</v>
      </c>
      <c r="AA1204" s="7">
        <v>999</v>
      </c>
      <c r="AB1204" s="7">
        <v>1195</v>
      </c>
      <c r="AC1204" s="109">
        <v>8212</v>
      </c>
      <c r="AD1204" s="109">
        <v>88349686.529343486</v>
      </c>
      <c r="AE1204" s="125"/>
      <c r="AF1204" s="10"/>
      <c r="AI1204" s="109"/>
      <c r="AJ1204" s="109"/>
      <c r="AL1204" s="10"/>
      <c r="AO1204" s="109"/>
      <c r="AP1204" s="109"/>
      <c r="AR1204" s="10"/>
      <c r="AU1204" s="109"/>
      <c r="AV1204" s="109"/>
      <c r="AX1204" s="10"/>
      <c r="BA1204" s="109"/>
      <c r="BB1204" s="109"/>
      <c r="BD1204" s="10"/>
      <c r="BG1204" s="109"/>
      <c r="BH1204" s="109"/>
      <c r="BJ1204" s="10"/>
      <c r="BM1204" s="109"/>
      <c r="BN1204" s="109"/>
      <c r="BP1204" s="10"/>
      <c r="BS1204" s="109"/>
      <c r="BT1204" s="109"/>
      <c r="BV1204" s="10"/>
      <c r="BY1204" s="109"/>
      <c r="BZ1204" s="109"/>
      <c r="CB1204" s="10"/>
      <c r="CE1204" s="109"/>
      <c r="CF1204" s="109"/>
      <c r="CH1204" s="10"/>
      <c r="CK1204" s="109"/>
      <c r="CL1204" s="109"/>
    </row>
    <row r="1205" spans="1:90">
      <c r="A1205" s="7" t="str">
        <f t="shared" si="181"/>
        <v>02400240</v>
      </c>
      <c r="B1205" s="7" t="s">
        <v>2579</v>
      </c>
      <c r="C1205" s="7" t="s">
        <v>2579</v>
      </c>
      <c r="D1205" s="7">
        <v>1196</v>
      </c>
      <c r="E1205" s="7">
        <v>240</v>
      </c>
      <c r="F1205" s="7" t="s">
        <v>1945</v>
      </c>
      <c r="G1205" s="7">
        <v>240</v>
      </c>
      <c r="H1205" s="7" t="s">
        <v>1506</v>
      </c>
      <c r="I1205" s="37">
        <v>2281485.7581900004</v>
      </c>
      <c r="J1205" s="122">
        <v>0.48978316020494511</v>
      </c>
      <c r="K1205" s="123">
        <f>X1205</f>
        <v>2208586.3887203764</v>
      </c>
      <c r="L1205" s="122">
        <f>IF(K1209&gt;0, K1205/K1209, 0)</f>
        <v>0.48425384179289727</v>
      </c>
      <c r="M1205" s="71"/>
      <c r="N1205" s="10">
        <f>ROUND(M1209*L1205,0)</f>
        <v>1594867</v>
      </c>
      <c r="O1205" s="70">
        <v>1667056</v>
      </c>
      <c r="P1205" s="10">
        <f>N1205-O1205</f>
        <v>-72189</v>
      </c>
      <c r="Q1205" s="46">
        <f t="shared" si="189"/>
        <v>-4.3303284352775195</v>
      </c>
      <c r="R1205" s="10">
        <v>232</v>
      </c>
      <c r="S1205" s="7">
        <f t="shared" si="182"/>
        <v>0</v>
      </c>
      <c r="T1205" s="124">
        <f t="shared" si="183"/>
        <v>240</v>
      </c>
      <c r="U1205" s="124">
        <f t="shared" si="184"/>
        <v>240</v>
      </c>
      <c r="V1205" s="124">
        <f t="shared" si="185"/>
        <v>1196</v>
      </c>
      <c r="W1205" s="124">
        <f t="shared" si="186"/>
        <v>221</v>
      </c>
      <c r="X1205" s="124">
        <f t="shared" si="187"/>
        <v>2208586.3887203764</v>
      </c>
      <c r="Y1205" s="264">
        <f t="shared" si="188"/>
        <v>1196</v>
      </c>
      <c r="Z1205" s="10">
        <v>240</v>
      </c>
      <c r="AA1205" s="7">
        <v>240</v>
      </c>
      <c r="AB1205" s="7">
        <v>1196</v>
      </c>
      <c r="AC1205" s="109">
        <v>221</v>
      </c>
      <c r="AD1205" s="109">
        <v>2208586.3887203764</v>
      </c>
      <c r="AE1205" s="125"/>
      <c r="AF1205" s="10"/>
      <c r="AI1205" s="109"/>
      <c r="AJ1205" s="109"/>
      <c r="AL1205" s="10"/>
      <c r="AO1205" s="109"/>
      <c r="AP1205" s="109"/>
      <c r="AR1205" s="10"/>
      <c r="AU1205" s="109"/>
      <c r="AV1205" s="109"/>
      <c r="AX1205" s="10"/>
      <c r="BA1205" s="109"/>
      <c r="BB1205" s="109"/>
      <c r="BD1205" s="10"/>
      <c r="BG1205" s="109"/>
      <c r="BH1205" s="109"/>
      <c r="BJ1205" s="10"/>
      <c r="BM1205" s="109"/>
      <c r="BN1205" s="109"/>
      <c r="BP1205" s="10"/>
      <c r="BS1205" s="109"/>
      <c r="BT1205" s="109"/>
      <c r="BV1205" s="10"/>
      <c r="BY1205" s="109"/>
      <c r="BZ1205" s="109"/>
      <c r="CB1205" s="10"/>
      <c r="CE1205" s="109"/>
      <c r="CF1205" s="109"/>
      <c r="CH1205" s="10"/>
      <c r="CK1205" s="109"/>
      <c r="CL1205" s="109"/>
    </row>
    <row r="1206" spans="1:90">
      <c r="A1206" s="7" t="str">
        <f t="shared" si="181"/>
        <v>02400760</v>
      </c>
      <c r="B1206" s="7" t="s">
        <v>2579</v>
      </c>
      <c r="C1206" s="7" t="s">
        <v>2741</v>
      </c>
      <c r="D1206" s="7">
        <v>1197</v>
      </c>
      <c r="E1206" s="7">
        <v>240</v>
      </c>
      <c r="F1206" s="7" t="s">
        <v>1945</v>
      </c>
      <c r="G1206" s="7">
        <v>760</v>
      </c>
      <c r="H1206" s="7" t="s">
        <v>1668</v>
      </c>
      <c r="I1206" s="37">
        <v>2376669</v>
      </c>
      <c r="J1206" s="122">
        <v>0.51021683979505483</v>
      </c>
      <c r="K1206" s="123">
        <f t="shared" si="190"/>
        <v>2352216.6408298383</v>
      </c>
      <c r="L1206" s="122">
        <f>IF(K1209&gt;0, K1206/K1209, 0)</f>
        <v>0.51574615820710268</v>
      </c>
      <c r="M1206" s="71"/>
      <c r="N1206" s="10">
        <f>ROUND(M1209*L1206,0)</f>
        <v>1698586</v>
      </c>
      <c r="O1206" s="70">
        <v>1736605</v>
      </c>
      <c r="P1206" s="10">
        <f>N1206-O1206</f>
        <v>-38019</v>
      </c>
      <c r="Q1206" s="46">
        <f t="shared" si="189"/>
        <v>-2.1892715960163653</v>
      </c>
      <c r="R1206" s="10">
        <v>221</v>
      </c>
      <c r="S1206" s="7">
        <f t="shared" si="182"/>
        <v>0</v>
      </c>
      <c r="T1206" s="124">
        <f t="shared" si="183"/>
        <v>240</v>
      </c>
      <c r="U1206" s="124">
        <f t="shared" si="184"/>
        <v>760</v>
      </c>
      <c r="V1206" s="124">
        <f t="shared" si="185"/>
        <v>1197</v>
      </c>
      <c r="W1206" s="124">
        <f t="shared" si="186"/>
        <v>214.09440000000001</v>
      </c>
      <c r="X1206" s="124">
        <f t="shared" si="187"/>
        <v>2352216.6408298383</v>
      </c>
      <c r="Y1206" s="264">
        <f t="shared" si="188"/>
        <v>1197</v>
      </c>
      <c r="Z1206" s="10">
        <v>240</v>
      </c>
      <c r="AA1206" s="7">
        <v>760</v>
      </c>
      <c r="AB1206" s="7">
        <v>1197</v>
      </c>
      <c r="AC1206" s="109">
        <v>214.09440000000001</v>
      </c>
      <c r="AD1206" s="109">
        <v>2352216.6408298383</v>
      </c>
      <c r="AE1206" s="125"/>
      <c r="AF1206" s="10"/>
      <c r="AI1206" s="109"/>
      <c r="AJ1206" s="109"/>
      <c r="AL1206" s="10"/>
      <c r="AO1206" s="109"/>
      <c r="AP1206" s="109"/>
      <c r="AR1206" s="10"/>
      <c r="AU1206" s="109"/>
      <c r="AV1206" s="109"/>
      <c r="AX1206" s="10"/>
      <c r="BA1206" s="109"/>
      <c r="BB1206" s="109"/>
      <c r="BD1206" s="10"/>
      <c r="BG1206" s="109"/>
      <c r="BH1206" s="109"/>
      <c r="BJ1206" s="10"/>
      <c r="BM1206" s="109"/>
      <c r="BN1206" s="109"/>
      <c r="BP1206" s="10"/>
      <c r="BS1206" s="109"/>
      <c r="BT1206" s="109"/>
      <c r="BV1206" s="10"/>
      <c r="BY1206" s="109"/>
      <c r="BZ1206" s="109"/>
      <c r="CB1206" s="10"/>
      <c r="CE1206" s="109"/>
      <c r="CF1206" s="109"/>
      <c r="CH1206" s="10"/>
      <c r="CK1206" s="109"/>
      <c r="CL1206" s="109"/>
    </row>
    <row r="1207" spans="1:90">
      <c r="A1207" s="7" t="str">
        <f t="shared" si="181"/>
        <v>02400998</v>
      </c>
      <c r="B1207" s="7" t="s">
        <v>2579</v>
      </c>
      <c r="C1207" s="7" t="s">
        <v>2781</v>
      </c>
      <c r="D1207" s="7">
        <v>1198</v>
      </c>
      <c r="E1207" s="7">
        <v>240</v>
      </c>
      <c r="F1207" s="7" t="s">
        <v>2135</v>
      </c>
      <c r="G1207" s="7">
        <v>998</v>
      </c>
      <c r="H1207" s="7" t="s">
        <v>2135</v>
      </c>
      <c r="I1207" s="37">
        <v>0</v>
      </c>
      <c r="J1207" s="122">
        <v>0</v>
      </c>
      <c r="K1207" s="123">
        <f t="shared" si="190"/>
        <v>0</v>
      </c>
      <c r="L1207" s="122">
        <f>IF(K1209&gt;0, K1207/K1209, 0)</f>
        <v>0</v>
      </c>
      <c r="M1207" s="71"/>
      <c r="N1207" s="10">
        <f>ROUND(M1209*L1207,0)</f>
        <v>0</v>
      </c>
      <c r="O1207" s="70">
        <v>0</v>
      </c>
      <c r="P1207" s="10">
        <f>N1207-O1207</f>
        <v>0</v>
      </c>
      <c r="Q1207" s="46">
        <f t="shared" si="189"/>
        <v>0</v>
      </c>
      <c r="R1207" s="10">
        <v>0</v>
      </c>
      <c r="S1207" s="7">
        <f t="shared" si="182"/>
        <v>0</v>
      </c>
      <c r="T1207" s="124">
        <f t="shared" si="183"/>
        <v>240</v>
      </c>
      <c r="U1207" s="124">
        <f t="shared" si="184"/>
        <v>998</v>
      </c>
      <c r="V1207" s="124">
        <f t="shared" si="185"/>
        <v>1198</v>
      </c>
      <c r="W1207" s="124">
        <f t="shared" si="186"/>
        <v>0</v>
      </c>
      <c r="X1207" s="124">
        <f t="shared" si="187"/>
        <v>0</v>
      </c>
      <c r="Y1207" s="264">
        <f t="shared" si="188"/>
        <v>1198</v>
      </c>
      <c r="Z1207" s="10">
        <v>240</v>
      </c>
      <c r="AA1207" s="7">
        <v>998</v>
      </c>
      <c r="AB1207" s="7">
        <v>1198</v>
      </c>
      <c r="AC1207" s="109">
        <v>0</v>
      </c>
      <c r="AD1207" s="109">
        <v>0</v>
      </c>
      <c r="AE1207" s="125"/>
      <c r="AF1207" s="10"/>
      <c r="AI1207" s="109"/>
      <c r="AJ1207" s="109"/>
      <c r="AL1207" s="10"/>
      <c r="AO1207" s="109"/>
      <c r="AP1207" s="109"/>
      <c r="AR1207" s="10"/>
      <c r="AU1207" s="109"/>
      <c r="AV1207" s="109"/>
      <c r="AX1207" s="10"/>
      <c r="BA1207" s="109"/>
      <c r="BB1207" s="109"/>
      <c r="BD1207" s="10"/>
      <c r="BG1207" s="109"/>
      <c r="BH1207" s="109"/>
      <c r="BJ1207" s="10"/>
      <c r="BM1207" s="109"/>
      <c r="BN1207" s="109"/>
      <c r="BP1207" s="10"/>
      <c r="BS1207" s="109"/>
      <c r="BT1207" s="109"/>
      <c r="BV1207" s="10"/>
      <c r="BY1207" s="109"/>
      <c r="BZ1207" s="109"/>
      <c r="CB1207" s="10"/>
      <c r="CE1207" s="109"/>
      <c r="CF1207" s="109"/>
      <c r="CH1207" s="10"/>
      <c r="CK1207" s="109"/>
      <c r="CL1207" s="109"/>
    </row>
    <row r="1208" spans="1:90">
      <c r="A1208" s="7" t="str">
        <f t="shared" si="181"/>
        <v>02400998</v>
      </c>
      <c r="B1208" s="7" t="s">
        <v>2579</v>
      </c>
      <c r="C1208" s="7" t="s">
        <v>2781</v>
      </c>
      <c r="D1208" s="7">
        <v>1199</v>
      </c>
      <c r="E1208" s="7">
        <v>240</v>
      </c>
      <c r="F1208" s="7" t="s">
        <v>2135</v>
      </c>
      <c r="G1208" s="7">
        <v>998</v>
      </c>
      <c r="H1208" s="7" t="s">
        <v>2135</v>
      </c>
      <c r="I1208" s="37">
        <v>0</v>
      </c>
      <c r="J1208" s="122">
        <v>0</v>
      </c>
      <c r="K1208" s="123">
        <f t="shared" si="190"/>
        <v>0</v>
      </c>
      <c r="L1208" s="122">
        <f>IF(K1209&gt;0, K1208/K1209, 0)</f>
        <v>0</v>
      </c>
      <c r="M1208" s="71"/>
      <c r="N1208" s="10">
        <f>ROUND(M1209*L1208,0)</f>
        <v>0</v>
      </c>
      <c r="O1208" s="70">
        <v>0</v>
      </c>
      <c r="P1208" s="10">
        <f>N1208-O1208</f>
        <v>0</v>
      </c>
      <c r="Q1208" s="46">
        <f t="shared" si="189"/>
        <v>0</v>
      </c>
      <c r="R1208" s="10">
        <v>0</v>
      </c>
      <c r="S1208" s="7">
        <f t="shared" si="182"/>
        <v>0</v>
      </c>
      <c r="T1208" s="124">
        <f t="shared" si="183"/>
        <v>240</v>
      </c>
      <c r="U1208" s="124">
        <f t="shared" si="184"/>
        <v>998</v>
      </c>
      <c r="V1208" s="124">
        <f t="shared" si="185"/>
        <v>1199</v>
      </c>
      <c r="W1208" s="124">
        <f t="shared" si="186"/>
        <v>0</v>
      </c>
      <c r="X1208" s="124">
        <f t="shared" si="187"/>
        <v>0</v>
      </c>
      <c r="Y1208" s="264">
        <f t="shared" si="188"/>
        <v>1199</v>
      </c>
      <c r="Z1208" s="10">
        <v>240</v>
      </c>
      <c r="AA1208" s="7">
        <v>998</v>
      </c>
      <c r="AB1208" s="7">
        <v>1199</v>
      </c>
      <c r="AC1208" s="109">
        <v>0</v>
      </c>
      <c r="AD1208" s="109">
        <v>0</v>
      </c>
      <c r="AE1208" s="125"/>
      <c r="AF1208" s="10"/>
      <c r="AI1208" s="109"/>
      <c r="AJ1208" s="109"/>
      <c r="AL1208" s="10"/>
      <c r="AO1208" s="109"/>
      <c r="AP1208" s="109"/>
      <c r="AR1208" s="10"/>
      <c r="AU1208" s="109"/>
      <c r="AV1208" s="109"/>
      <c r="AX1208" s="10"/>
      <c r="BA1208" s="109"/>
      <c r="BB1208" s="109"/>
      <c r="BD1208" s="10"/>
      <c r="BG1208" s="109"/>
      <c r="BH1208" s="109"/>
      <c r="BJ1208" s="10"/>
      <c r="BM1208" s="109"/>
      <c r="BN1208" s="109"/>
      <c r="BP1208" s="10"/>
      <c r="BS1208" s="109"/>
      <c r="BT1208" s="109"/>
      <c r="BV1208" s="10"/>
      <c r="BY1208" s="109"/>
      <c r="BZ1208" s="109"/>
      <c r="CB1208" s="10"/>
      <c r="CE1208" s="109"/>
      <c r="CF1208" s="109"/>
      <c r="CH1208" s="10"/>
      <c r="CK1208" s="109"/>
      <c r="CL1208" s="109"/>
    </row>
    <row r="1209" spans="1:90">
      <c r="A1209" s="7" t="str">
        <f t="shared" si="181"/>
        <v>02400999</v>
      </c>
      <c r="B1209" s="7" t="s">
        <v>2579</v>
      </c>
      <c r="C1209" s="7" t="s">
        <v>2782</v>
      </c>
      <c r="D1209" s="7">
        <v>1200</v>
      </c>
      <c r="E1209" s="11">
        <v>240</v>
      </c>
      <c r="F1209" s="11" t="s">
        <v>1945</v>
      </c>
      <c r="G1209" s="11">
        <v>999</v>
      </c>
      <c r="H1209" s="11" t="s">
        <v>1132</v>
      </c>
      <c r="I1209" s="105">
        <v>4658154.7581900004</v>
      </c>
      <c r="J1209" s="126">
        <v>1</v>
      </c>
      <c r="K1209" s="127">
        <f>SUM(K1205:K1208)</f>
        <v>4560803.0295502152</v>
      </c>
      <c r="L1209" s="126">
        <f>SUM(L1205:L1208)</f>
        <v>1</v>
      </c>
      <c r="M1209" s="105">
        <f>VLOOKUP(E1209,town351,22)</f>
        <v>3293453</v>
      </c>
      <c r="N1209" s="105">
        <f>SUM(N1205:N1208)</f>
        <v>3293453</v>
      </c>
      <c r="O1209" s="128">
        <v>3403661</v>
      </c>
      <c r="P1209" s="105">
        <f>SUM(P1205:P1208)</f>
        <v>-110208</v>
      </c>
      <c r="Q1209" s="45">
        <f t="shared" si="189"/>
        <v>-3.2379252810429713</v>
      </c>
      <c r="R1209" s="105">
        <v>453</v>
      </c>
      <c r="S1209" s="7">
        <f t="shared" si="182"/>
        <v>0</v>
      </c>
      <c r="T1209" s="124">
        <f t="shared" si="183"/>
        <v>240</v>
      </c>
      <c r="U1209" s="124">
        <f t="shared" si="184"/>
        <v>999</v>
      </c>
      <c r="V1209" s="124">
        <f t="shared" si="185"/>
        <v>1200</v>
      </c>
      <c r="W1209" s="124">
        <f t="shared" si="186"/>
        <v>435.09440000000001</v>
      </c>
      <c r="X1209" s="124">
        <f t="shared" si="187"/>
        <v>4560803.0295502152</v>
      </c>
      <c r="Y1209" s="264">
        <f t="shared" si="188"/>
        <v>1200</v>
      </c>
      <c r="Z1209" s="10">
        <v>240</v>
      </c>
      <c r="AA1209" s="7">
        <v>999</v>
      </c>
      <c r="AB1209" s="7">
        <v>1200</v>
      </c>
      <c r="AC1209" s="109">
        <v>435.09440000000001</v>
      </c>
      <c r="AD1209" s="109">
        <v>4560803.0295502152</v>
      </c>
      <c r="AE1209" s="125"/>
      <c r="AF1209" s="10"/>
      <c r="AI1209" s="109"/>
      <c r="AJ1209" s="109"/>
      <c r="AL1209" s="10"/>
      <c r="AO1209" s="109"/>
      <c r="AP1209" s="109"/>
      <c r="AR1209" s="10"/>
      <c r="AU1209" s="109"/>
      <c r="AV1209" s="109"/>
      <c r="AX1209" s="10"/>
      <c r="BA1209" s="109"/>
      <c r="BB1209" s="109"/>
      <c r="BD1209" s="10"/>
      <c r="BG1209" s="109"/>
      <c r="BH1209" s="109"/>
      <c r="BJ1209" s="10"/>
      <c r="BM1209" s="109"/>
      <c r="BN1209" s="109"/>
      <c r="BP1209" s="10"/>
      <c r="BS1209" s="109"/>
      <c r="BT1209" s="109"/>
      <c r="BV1209" s="10"/>
      <c r="BY1209" s="109"/>
      <c r="BZ1209" s="109"/>
      <c r="CB1209" s="10"/>
      <c r="CE1209" s="109"/>
      <c r="CF1209" s="109"/>
      <c r="CH1209" s="10"/>
      <c r="CK1209" s="109"/>
      <c r="CL1209" s="109"/>
    </row>
    <row r="1210" spans="1:90">
      <c r="A1210" s="7" t="str">
        <f t="shared" si="181"/>
        <v>02410241</v>
      </c>
      <c r="B1210" s="7" t="s">
        <v>2580</v>
      </c>
      <c r="C1210" s="7" t="s">
        <v>2580</v>
      </c>
      <c r="D1210" s="7">
        <v>1201</v>
      </c>
      <c r="E1210" s="7">
        <v>241</v>
      </c>
      <c r="F1210" s="7" t="s">
        <v>1946</v>
      </c>
      <c r="G1210" s="7">
        <v>241</v>
      </c>
      <c r="H1210" s="7" t="s">
        <v>1507</v>
      </c>
      <c r="I1210" s="37">
        <v>0</v>
      </c>
      <c r="J1210" s="122">
        <v>0</v>
      </c>
      <c r="K1210" s="123">
        <f>X1210</f>
        <v>0</v>
      </c>
      <c r="L1210" s="122">
        <f>IF(K1214&gt;0, K1210/K1214, 0)</f>
        <v>0</v>
      </c>
      <c r="M1210" s="71"/>
      <c r="N1210" s="10">
        <f>ROUND(M1214*L1210,0)</f>
        <v>0</v>
      </c>
      <c r="O1210" s="70">
        <v>0</v>
      </c>
      <c r="P1210" s="10">
        <f>N1210-O1210</f>
        <v>0</v>
      </c>
      <c r="Q1210" s="46">
        <f t="shared" si="189"/>
        <v>0</v>
      </c>
      <c r="R1210" s="10">
        <v>0</v>
      </c>
      <c r="S1210" s="7">
        <f t="shared" si="182"/>
        <v>0</v>
      </c>
      <c r="T1210" s="124">
        <f t="shared" si="183"/>
        <v>241</v>
      </c>
      <c r="U1210" s="124">
        <f t="shared" si="184"/>
        <v>241</v>
      </c>
      <c r="V1210" s="124">
        <f t="shared" si="185"/>
        <v>1201</v>
      </c>
      <c r="W1210" s="124">
        <f t="shared" si="186"/>
        <v>0</v>
      </c>
      <c r="X1210" s="124">
        <f t="shared" si="187"/>
        <v>0</v>
      </c>
      <c r="Y1210" s="264">
        <f t="shared" si="188"/>
        <v>1201</v>
      </c>
      <c r="Z1210" s="10">
        <v>241</v>
      </c>
      <c r="AA1210" s="7">
        <v>241</v>
      </c>
      <c r="AB1210" s="7">
        <v>1201</v>
      </c>
      <c r="AC1210" s="109">
        <v>0</v>
      </c>
      <c r="AD1210" s="109">
        <v>0</v>
      </c>
      <c r="AE1210" s="125"/>
      <c r="AF1210" s="10"/>
      <c r="AI1210" s="109"/>
      <c r="AJ1210" s="109"/>
      <c r="AL1210" s="10"/>
      <c r="AO1210" s="109"/>
      <c r="AP1210" s="109"/>
      <c r="AR1210" s="10"/>
      <c r="AU1210" s="109"/>
      <c r="AV1210" s="109"/>
      <c r="AX1210" s="10"/>
      <c r="BA1210" s="109"/>
      <c r="BB1210" s="109"/>
      <c r="BD1210" s="10"/>
      <c r="BG1210" s="109"/>
      <c r="BH1210" s="109"/>
      <c r="BJ1210" s="10"/>
      <c r="BM1210" s="109"/>
      <c r="BN1210" s="109"/>
      <c r="BP1210" s="10"/>
      <c r="BS1210" s="109"/>
      <c r="BT1210" s="109"/>
      <c r="BV1210" s="10"/>
      <c r="BY1210" s="109"/>
      <c r="BZ1210" s="109"/>
      <c r="CB1210" s="10"/>
      <c r="CE1210" s="109"/>
      <c r="CF1210" s="109"/>
      <c r="CH1210" s="10"/>
      <c r="CK1210" s="109"/>
      <c r="CL1210" s="109"/>
    </row>
    <row r="1211" spans="1:90">
      <c r="A1211" s="7" t="str">
        <f t="shared" si="181"/>
        <v>02410775</v>
      </c>
      <c r="B1211" s="7" t="s">
        <v>2580</v>
      </c>
      <c r="C1211" s="7" t="s">
        <v>2749</v>
      </c>
      <c r="D1211" s="7">
        <v>1202</v>
      </c>
      <c r="E1211" s="7">
        <v>241</v>
      </c>
      <c r="F1211" s="7" t="s">
        <v>1946</v>
      </c>
      <c r="G1211" s="7">
        <v>775</v>
      </c>
      <c r="H1211" s="7" t="s">
        <v>1676</v>
      </c>
      <c r="I1211" s="37">
        <v>4116764</v>
      </c>
      <c r="J1211" s="122">
        <v>0.92114609046499851</v>
      </c>
      <c r="K1211" s="123">
        <f t="shared" si="190"/>
        <v>4184774.3920964384</v>
      </c>
      <c r="L1211" s="122">
        <f>IF(K1214&gt;0, K1211/K1214, 0)</f>
        <v>0.93056800975156928</v>
      </c>
      <c r="M1211" s="71"/>
      <c r="N1211" s="10">
        <f>ROUND(M1214*L1211,0)</f>
        <v>3467905</v>
      </c>
      <c r="O1211" s="70">
        <v>3426348</v>
      </c>
      <c r="P1211" s="10">
        <f>N1211-O1211</f>
        <v>41557</v>
      </c>
      <c r="Q1211" s="46">
        <f t="shared" si="189"/>
        <v>1.2128657100796534</v>
      </c>
      <c r="R1211" s="10">
        <v>443</v>
      </c>
      <c r="S1211" s="7">
        <f t="shared" si="182"/>
        <v>0</v>
      </c>
      <c r="T1211" s="124">
        <f t="shared" si="183"/>
        <v>241</v>
      </c>
      <c r="U1211" s="124">
        <f t="shared" si="184"/>
        <v>775</v>
      </c>
      <c r="V1211" s="124">
        <f t="shared" si="185"/>
        <v>1202</v>
      </c>
      <c r="W1211" s="124">
        <f t="shared" si="186"/>
        <v>439.20115256375999</v>
      </c>
      <c r="X1211" s="124">
        <f t="shared" si="187"/>
        <v>4184774.3920964384</v>
      </c>
      <c r="Y1211" s="264">
        <f t="shared" si="188"/>
        <v>1202</v>
      </c>
      <c r="Z1211" s="10">
        <v>241</v>
      </c>
      <c r="AA1211" s="7">
        <v>775</v>
      </c>
      <c r="AB1211" s="7">
        <v>1202</v>
      </c>
      <c r="AC1211" s="109">
        <v>439.20115256375999</v>
      </c>
      <c r="AD1211" s="109">
        <v>4184774.3920964384</v>
      </c>
      <c r="AE1211" s="125"/>
      <c r="AF1211" s="10"/>
      <c r="AI1211" s="109"/>
      <c r="AJ1211" s="109"/>
      <c r="AL1211" s="10"/>
      <c r="AO1211" s="109"/>
      <c r="AP1211" s="109"/>
      <c r="AR1211" s="10"/>
      <c r="AU1211" s="109"/>
      <c r="AV1211" s="109"/>
      <c r="AX1211" s="10"/>
      <c r="BA1211" s="109"/>
      <c r="BB1211" s="109"/>
      <c r="BD1211" s="10"/>
      <c r="BG1211" s="109"/>
      <c r="BH1211" s="109"/>
      <c r="BJ1211" s="10"/>
      <c r="BM1211" s="109"/>
      <c r="BN1211" s="109"/>
      <c r="BP1211" s="10"/>
      <c r="BS1211" s="109"/>
      <c r="BT1211" s="109"/>
      <c r="BV1211" s="10"/>
      <c r="BY1211" s="109"/>
      <c r="BZ1211" s="109"/>
      <c r="CB1211" s="10"/>
      <c r="CE1211" s="109"/>
      <c r="CF1211" s="109"/>
      <c r="CH1211" s="10"/>
      <c r="CK1211" s="109"/>
      <c r="CL1211" s="109"/>
    </row>
    <row r="1212" spans="1:90">
      <c r="A1212" s="7" t="str">
        <f t="shared" si="181"/>
        <v>02410832</v>
      </c>
      <c r="B1212" s="7" t="s">
        <v>2580</v>
      </c>
      <c r="C1212" s="7" t="s">
        <v>2765</v>
      </c>
      <c r="D1212" s="7">
        <v>1203</v>
      </c>
      <c r="E1212" s="7">
        <v>241</v>
      </c>
      <c r="F1212" s="7" t="s">
        <v>1946</v>
      </c>
      <c r="G1212" s="7">
        <v>832</v>
      </c>
      <c r="H1212" s="7" t="s">
        <v>1692</v>
      </c>
      <c r="I1212" s="37">
        <v>352412</v>
      </c>
      <c r="J1212" s="122">
        <v>7.8853909535001529E-2</v>
      </c>
      <c r="K1212" s="123">
        <f t="shared" si="190"/>
        <v>312236.41017005546</v>
      </c>
      <c r="L1212" s="122">
        <f>IF(K1214&gt;0, K1212/K1214, 0)</f>
        <v>6.9431990248430872E-2</v>
      </c>
      <c r="M1212" s="71"/>
      <c r="N1212" s="10">
        <f>ROUND(M1214*L1212,0)</f>
        <v>258749</v>
      </c>
      <c r="O1212" s="70">
        <v>293310</v>
      </c>
      <c r="P1212" s="10">
        <f>N1212-O1212</f>
        <v>-34561</v>
      </c>
      <c r="Q1212" s="46">
        <f t="shared" si="189"/>
        <v>-11.783096382666804</v>
      </c>
      <c r="R1212" s="10">
        <v>23</v>
      </c>
      <c r="S1212" s="7">
        <f t="shared" si="182"/>
        <v>0</v>
      </c>
      <c r="T1212" s="124">
        <f t="shared" si="183"/>
        <v>241</v>
      </c>
      <c r="U1212" s="124">
        <f t="shared" si="184"/>
        <v>832</v>
      </c>
      <c r="V1212" s="124">
        <f t="shared" si="185"/>
        <v>1203</v>
      </c>
      <c r="W1212" s="124">
        <f t="shared" si="186"/>
        <v>20.01337792432</v>
      </c>
      <c r="X1212" s="124">
        <f t="shared" si="187"/>
        <v>312236.41017005546</v>
      </c>
      <c r="Y1212" s="264">
        <f t="shared" si="188"/>
        <v>1203</v>
      </c>
      <c r="Z1212" s="10">
        <v>241</v>
      </c>
      <c r="AA1212" s="7">
        <v>832</v>
      </c>
      <c r="AB1212" s="7">
        <v>1203</v>
      </c>
      <c r="AC1212" s="109">
        <v>20.01337792432</v>
      </c>
      <c r="AD1212" s="109">
        <v>312236.41017005546</v>
      </c>
      <c r="AE1212" s="125"/>
      <c r="AF1212" s="10"/>
      <c r="AI1212" s="109"/>
      <c r="AJ1212" s="109"/>
      <c r="AL1212" s="10"/>
      <c r="AO1212" s="109"/>
      <c r="AP1212" s="109"/>
      <c r="AR1212" s="10"/>
      <c r="AU1212" s="109"/>
      <c r="AV1212" s="109"/>
      <c r="AX1212" s="10"/>
      <c r="BA1212" s="109"/>
      <c r="BB1212" s="109"/>
      <c r="BD1212" s="10"/>
      <c r="BG1212" s="109"/>
      <c r="BH1212" s="109"/>
      <c r="BJ1212" s="10"/>
      <c r="BM1212" s="109"/>
      <c r="BN1212" s="109"/>
      <c r="BP1212" s="10"/>
      <c r="BS1212" s="109"/>
      <c r="BT1212" s="109"/>
      <c r="BV1212" s="10"/>
      <c r="BY1212" s="109"/>
      <c r="BZ1212" s="109"/>
      <c r="CB1212" s="10"/>
      <c r="CE1212" s="109"/>
      <c r="CF1212" s="109"/>
      <c r="CH1212" s="10"/>
      <c r="CK1212" s="109"/>
      <c r="CL1212" s="109"/>
    </row>
    <row r="1213" spans="1:90">
      <c r="A1213" s="7" t="str">
        <f t="shared" si="181"/>
        <v>02410998</v>
      </c>
      <c r="B1213" s="7" t="s">
        <v>2580</v>
      </c>
      <c r="C1213" s="7" t="s">
        <v>2781</v>
      </c>
      <c r="D1213" s="7">
        <v>1204</v>
      </c>
      <c r="E1213" s="7">
        <v>241</v>
      </c>
      <c r="F1213" s="7" t="s">
        <v>2135</v>
      </c>
      <c r="G1213" s="7">
        <v>998</v>
      </c>
      <c r="H1213" s="7" t="s">
        <v>2135</v>
      </c>
      <c r="I1213" s="37">
        <v>0</v>
      </c>
      <c r="J1213" s="122">
        <v>0</v>
      </c>
      <c r="K1213" s="123">
        <f t="shared" si="190"/>
        <v>0</v>
      </c>
      <c r="L1213" s="122">
        <f>IF(K1214&gt;0, K1213/K1214, 0)</f>
        <v>0</v>
      </c>
      <c r="M1213" s="71"/>
      <c r="N1213" s="10">
        <f>ROUND(M1214*L1213,0)</f>
        <v>0</v>
      </c>
      <c r="O1213" s="70">
        <v>0</v>
      </c>
      <c r="P1213" s="10">
        <f>N1213-O1213</f>
        <v>0</v>
      </c>
      <c r="Q1213" s="46">
        <f t="shared" si="189"/>
        <v>0</v>
      </c>
      <c r="R1213" s="10">
        <v>0</v>
      </c>
      <c r="S1213" s="7">
        <f t="shared" si="182"/>
        <v>0</v>
      </c>
      <c r="T1213" s="124">
        <f t="shared" si="183"/>
        <v>241</v>
      </c>
      <c r="U1213" s="124">
        <f t="shared" si="184"/>
        <v>998</v>
      </c>
      <c r="V1213" s="124">
        <f t="shared" si="185"/>
        <v>1204</v>
      </c>
      <c r="W1213" s="124">
        <f t="shared" si="186"/>
        <v>0</v>
      </c>
      <c r="X1213" s="124">
        <f t="shared" si="187"/>
        <v>0</v>
      </c>
      <c r="Y1213" s="264">
        <f t="shared" si="188"/>
        <v>1204</v>
      </c>
      <c r="Z1213" s="10">
        <v>241</v>
      </c>
      <c r="AA1213" s="7">
        <v>998</v>
      </c>
      <c r="AB1213" s="7">
        <v>1204</v>
      </c>
      <c r="AC1213" s="109">
        <v>0</v>
      </c>
      <c r="AD1213" s="109">
        <v>0</v>
      </c>
      <c r="AE1213" s="125"/>
      <c r="AF1213" s="10"/>
      <c r="AI1213" s="109"/>
      <c r="AJ1213" s="109"/>
      <c r="AL1213" s="10"/>
      <c r="AO1213" s="109"/>
      <c r="AP1213" s="109"/>
      <c r="AR1213" s="10"/>
      <c r="AU1213" s="109"/>
      <c r="AV1213" s="109"/>
      <c r="AX1213" s="10"/>
      <c r="BA1213" s="109"/>
      <c r="BB1213" s="109"/>
      <c r="BD1213" s="10"/>
      <c r="BG1213" s="109"/>
      <c r="BH1213" s="109"/>
      <c r="BJ1213" s="10"/>
      <c r="BM1213" s="109"/>
      <c r="BN1213" s="109"/>
      <c r="BP1213" s="10"/>
      <c r="BS1213" s="109"/>
      <c r="BT1213" s="109"/>
      <c r="BV1213" s="10"/>
      <c r="BY1213" s="109"/>
      <c r="BZ1213" s="109"/>
      <c r="CB1213" s="10"/>
      <c r="CE1213" s="109"/>
      <c r="CF1213" s="109"/>
      <c r="CH1213" s="10"/>
      <c r="CK1213" s="109"/>
      <c r="CL1213" s="109"/>
    </row>
    <row r="1214" spans="1:90">
      <c r="A1214" s="7" t="str">
        <f t="shared" si="181"/>
        <v>02410999</v>
      </c>
      <c r="B1214" s="7" t="s">
        <v>2580</v>
      </c>
      <c r="C1214" s="7" t="s">
        <v>2782</v>
      </c>
      <c r="D1214" s="7">
        <v>1205</v>
      </c>
      <c r="E1214" s="11">
        <v>241</v>
      </c>
      <c r="F1214" s="11" t="s">
        <v>1946</v>
      </c>
      <c r="G1214" s="11">
        <v>999</v>
      </c>
      <c r="H1214" s="11" t="s">
        <v>1132</v>
      </c>
      <c r="I1214" s="105">
        <v>4469176</v>
      </c>
      <c r="J1214" s="126">
        <v>1</v>
      </c>
      <c r="K1214" s="127">
        <f>SUM(K1210:K1213)</f>
        <v>4497010.8022664934</v>
      </c>
      <c r="L1214" s="126">
        <f>SUM(L1210:L1213)</f>
        <v>1.0000000000000002</v>
      </c>
      <c r="M1214" s="105">
        <f>VLOOKUP(E1214,town351,22)</f>
        <v>3726654</v>
      </c>
      <c r="N1214" s="105">
        <f>SUM(N1210:N1213)</f>
        <v>3726654</v>
      </c>
      <c r="O1214" s="128">
        <v>3719658</v>
      </c>
      <c r="P1214" s="105">
        <f>SUM(P1210:P1213)</f>
        <v>6996</v>
      </c>
      <c r="Q1214" s="45">
        <f t="shared" si="189"/>
        <v>0.18808180752101403</v>
      </c>
      <c r="R1214" s="105">
        <v>466</v>
      </c>
      <c r="S1214" s="7">
        <f t="shared" si="182"/>
        <v>0</v>
      </c>
      <c r="T1214" s="124">
        <f t="shared" si="183"/>
        <v>241</v>
      </c>
      <c r="U1214" s="124">
        <f t="shared" si="184"/>
        <v>999</v>
      </c>
      <c r="V1214" s="124">
        <f t="shared" si="185"/>
        <v>1205</v>
      </c>
      <c r="W1214" s="124">
        <f t="shared" si="186"/>
        <v>459.21453048808002</v>
      </c>
      <c r="X1214" s="124">
        <f t="shared" si="187"/>
        <v>4497010.8022664934</v>
      </c>
      <c r="Y1214" s="264">
        <f t="shared" si="188"/>
        <v>1205</v>
      </c>
      <c r="Z1214" s="10">
        <v>241</v>
      </c>
      <c r="AA1214" s="7">
        <v>999</v>
      </c>
      <c r="AB1214" s="7">
        <v>1205</v>
      </c>
      <c r="AC1214" s="109">
        <v>459.21453048808002</v>
      </c>
      <c r="AD1214" s="109">
        <v>4497010.8022664934</v>
      </c>
      <c r="AE1214" s="125"/>
      <c r="AF1214" s="10"/>
      <c r="AI1214" s="109"/>
      <c r="AJ1214" s="109"/>
      <c r="AL1214" s="10"/>
      <c r="AO1214" s="109"/>
      <c r="AP1214" s="109"/>
      <c r="AR1214" s="10"/>
      <c r="AU1214" s="109"/>
      <c r="AV1214" s="109"/>
      <c r="AX1214" s="10"/>
      <c r="BA1214" s="109"/>
      <c r="BB1214" s="109"/>
      <c r="BD1214" s="10"/>
      <c r="BG1214" s="109"/>
      <c r="BH1214" s="109"/>
      <c r="BJ1214" s="10"/>
      <c r="BM1214" s="109"/>
      <c r="BN1214" s="109"/>
      <c r="BP1214" s="10"/>
      <c r="BS1214" s="109"/>
      <c r="BT1214" s="109"/>
      <c r="BV1214" s="10"/>
      <c r="BY1214" s="109"/>
      <c r="BZ1214" s="109"/>
      <c r="CB1214" s="10"/>
      <c r="CE1214" s="109"/>
      <c r="CF1214" s="109"/>
      <c r="CH1214" s="10"/>
      <c r="CK1214" s="109"/>
      <c r="CL1214" s="109"/>
    </row>
    <row r="1215" spans="1:90">
      <c r="A1215" s="7" t="str">
        <f t="shared" si="181"/>
        <v>02420242</v>
      </c>
      <c r="B1215" s="7" t="s">
        <v>2581</v>
      </c>
      <c r="C1215" s="7" t="s">
        <v>2581</v>
      </c>
      <c r="D1215" s="7">
        <v>1206</v>
      </c>
      <c r="E1215" s="7">
        <v>242</v>
      </c>
      <c r="F1215" s="7" t="s">
        <v>1947</v>
      </c>
      <c r="G1215" s="7">
        <v>242</v>
      </c>
      <c r="H1215" s="7" t="s">
        <v>1508</v>
      </c>
      <c r="I1215" s="37">
        <v>1411461.41</v>
      </c>
      <c r="J1215" s="122">
        <v>0.96717875002430009</v>
      </c>
      <c r="K1215" s="123">
        <f>X1215</f>
        <v>1300534.3107840288</v>
      </c>
      <c r="L1215" s="122">
        <f>IF(K1219&gt;0, K1215/K1219, 0)</f>
        <v>0.94069204046712473</v>
      </c>
      <c r="M1215" s="71"/>
      <c r="N1215" s="10">
        <f>ROUND(M1219*L1215,0)</f>
        <v>1090154</v>
      </c>
      <c r="O1215" s="70">
        <v>1172251</v>
      </c>
      <c r="P1215" s="10">
        <f>N1215-O1215</f>
        <v>-82097</v>
      </c>
      <c r="Q1215" s="46">
        <f t="shared" si="189"/>
        <v>-7.0033636141065356</v>
      </c>
      <c r="R1215" s="10">
        <v>137</v>
      </c>
      <c r="S1215" s="7">
        <f t="shared" si="182"/>
        <v>0</v>
      </c>
      <c r="T1215" s="124">
        <f t="shared" si="183"/>
        <v>242</v>
      </c>
      <c r="U1215" s="124">
        <f t="shared" si="184"/>
        <v>242</v>
      </c>
      <c r="V1215" s="124">
        <f t="shared" si="185"/>
        <v>1206</v>
      </c>
      <c r="W1215" s="124">
        <f t="shared" si="186"/>
        <v>115</v>
      </c>
      <c r="X1215" s="124">
        <f t="shared" si="187"/>
        <v>1300534.3107840288</v>
      </c>
      <c r="Y1215" s="264">
        <f t="shared" si="188"/>
        <v>1206</v>
      </c>
      <c r="Z1215" s="10">
        <v>242</v>
      </c>
      <c r="AA1215" s="7">
        <v>242</v>
      </c>
      <c r="AB1215" s="7">
        <v>1206</v>
      </c>
      <c r="AC1215" s="109">
        <v>115</v>
      </c>
      <c r="AD1215" s="109">
        <v>1300534.3107840288</v>
      </c>
      <c r="AE1215" s="125"/>
      <c r="AF1215" s="10"/>
      <c r="AI1215" s="109"/>
      <c r="AJ1215" s="109"/>
      <c r="AL1215" s="10"/>
      <c r="AO1215" s="109"/>
      <c r="AP1215" s="109"/>
      <c r="AR1215" s="10"/>
      <c r="AU1215" s="109"/>
      <c r="AV1215" s="109"/>
      <c r="AX1215" s="10"/>
      <c r="BA1215" s="109"/>
      <c r="BB1215" s="109"/>
      <c r="BD1215" s="10"/>
      <c r="BG1215" s="109"/>
      <c r="BH1215" s="109"/>
      <c r="BJ1215" s="10"/>
      <c r="BM1215" s="109"/>
      <c r="BN1215" s="109"/>
      <c r="BP1215" s="10"/>
      <c r="BS1215" s="109"/>
      <c r="BT1215" s="109"/>
      <c r="BV1215" s="10"/>
      <c r="BY1215" s="109"/>
      <c r="BZ1215" s="109"/>
      <c r="CB1215" s="10"/>
      <c r="CE1215" s="109"/>
      <c r="CF1215" s="109"/>
      <c r="CH1215" s="10"/>
      <c r="CK1215" s="109"/>
      <c r="CL1215" s="109"/>
    </row>
    <row r="1216" spans="1:90">
      <c r="A1216" s="7" t="str">
        <f t="shared" si="181"/>
        <v>02420815</v>
      </c>
      <c r="B1216" s="7" t="s">
        <v>2581</v>
      </c>
      <c r="C1216" s="7" t="s">
        <v>2756</v>
      </c>
      <c r="D1216" s="7">
        <v>1207</v>
      </c>
      <c r="E1216" s="7">
        <v>242</v>
      </c>
      <c r="F1216" s="7" t="s">
        <v>1947</v>
      </c>
      <c r="G1216" s="7">
        <v>815</v>
      </c>
      <c r="H1216" s="7" t="s">
        <v>1683</v>
      </c>
      <c r="I1216" s="37">
        <v>47898</v>
      </c>
      <c r="J1216" s="122">
        <v>3.2821249975699955E-2</v>
      </c>
      <c r="K1216" s="123">
        <f t="shared" si="190"/>
        <v>81994.991938906096</v>
      </c>
      <c r="L1216" s="122">
        <f>IF(K1219&gt;0, K1216/K1219, 0)</f>
        <v>5.9307959532875279E-2</v>
      </c>
      <c r="M1216" s="71"/>
      <c r="N1216" s="10">
        <f>ROUND(M1219*L1216,0)</f>
        <v>68731</v>
      </c>
      <c r="O1216" s="70">
        <v>39780</v>
      </c>
      <c r="P1216" s="10">
        <f>N1216-O1216</f>
        <v>28951</v>
      </c>
      <c r="Q1216" s="46">
        <f t="shared" si="189"/>
        <v>72.777777777777771</v>
      </c>
      <c r="R1216" s="10">
        <v>3</v>
      </c>
      <c r="S1216" s="7">
        <f t="shared" si="182"/>
        <v>0</v>
      </c>
      <c r="T1216" s="124">
        <f t="shared" si="183"/>
        <v>242</v>
      </c>
      <c r="U1216" s="124">
        <f t="shared" si="184"/>
        <v>815</v>
      </c>
      <c r="V1216" s="124">
        <f t="shared" si="185"/>
        <v>1207</v>
      </c>
      <c r="W1216" s="124">
        <f t="shared" si="186"/>
        <v>4.9999999981399998</v>
      </c>
      <c r="X1216" s="124">
        <f t="shared" si="187"/>
        <v>81994.991938906096</v>
      </c>
      <c r="Y1216" s="264">
        <f t="shared" si="188"/>
        <v>1207</v>
      </c>
      <c r="Z1216" s="10">
        <v>242</v>
      </c>
      <c r="AA1216" s="7">
        <v>815</v>
      </c>
      <c r="AB1216" s="7">
        <v>1207</v>
      </c>
      <c r="AC1216" s="109">
        <v>4.9999999981399998</v>
      </c>
      <c r="AD1216" s="109">
        <v>81994.991938906096</v>
      </c>
      <c r="AE1216" s="125"/>
      <c r="AF1216" s="10"/>
      <c r="AI1216" s="109"/>
      <c r="AJ1216" s="109"/>
      <c r="AL1216" s="10"/>
      <c r="AO1216" s="109"/>
      <c r="AP1216" s="109"/>
      <c r="AR1216" s="10"/>
      <c r="AU1216" s="109"/>
      <c r="AV1216" s="109"/>
      <c r="AX1216" s="10"/>
      <c r="BA1216" s="109"/>
      <c r="BB1216" s="109"/>
      <c r="BD1216" s="10"/>
      <c r="BG1216" s="109"/>
      <c r="BH1216" s="109"/>
      <c r="BJ1216" s="10"/>
      <c r="BM1216" s="109"/>
      <c r="BN1216" s="109"/>
      <c r="BP1216" s="10"/>
      <c r="BS1216" s="109"/>
      <c r="BT1216" s="109"/>
      <c r="BV1216" s="10"/>
      <c r="BY1216" s="109"/>
      <c r="BZ1216" s="109"/>
      <c r="CB1216" s="10"/>
      <c r="CE1216" s="109"/>
      <c r="CF1216" s="109"/>
      <c r="CH1216" s="10"/>
      <c r="CK1216" s="109"/>
      <c r="CL1216" s="109"/>
    </row>
    <row r="1217" spans="1:90">
      <c r="A1217" s="7" t="str">
        <f t="shared" si="181"/>
        <v>02420998</v>
      </c>
      <c r="B1217" s="7" t="s">
        <v>2581</v>
      </c>
      <c r="C1217" s="7" t="s">
        <v>2781</v>
      </c>
      <c r="D1217" s="7">
        <v>1208</v>
      </c>
      <c r="E1217" s="7">
        <v>242</v>
      </c>
      <c r="F1217" s="7" t="s">
        <v>2135</v>
      </c>
      <c r="G1217" s="7">
        <v>998</v>
      </c>
      <c r="H1217" s="7" t="s">
        <v>2135</v>
      </c>
      <c r="I1217" s="37">
        <v>0</v>
      </c>
      <c r="J1217" s="122">
        <v>0</v>
      </c>
      <c r="K1217" s="123">
        <f t="shared" si="190"/>
        <v>0</v>
      </c>
      <c r="L1217" s="122">
        <f>IF(K1219&gt;0, K1217/K1219, 0)</f>
        <v>0</v>
      </c>
      <c r="M1217" s="71"/>
      <c r="N1217" s="10">
        <f>ROUND(M1219*L1217,0)</f>
        <v>0</v>
      </c>
      <c r="O1217" s="70">
        <v>0</v>
      </c>
      <c r="P1217" s="10">
        <f>N1217-O1217</f>
        <v>0</v>
      </c>
      <c r="Q1217" s="46">
        <f t="shared" si="189"/>
        <v>0</v>
      </c>
      <c r="R1217" s="10">
        <v>0</v>
      </c>
      <c r="S1217" s="7">
        <f t="shared" si="182"/>
        <v>0</v>
      </c>
      <c r="T1217" s="124">
        <f t="shared" si="183"/>
        <v>242</v>
      </c>
      <c r="U1217" s="124">
        <f t="shared" si="184"/>
        <v>998</v>
      </c>
      <c r="V1217" s="124">
        <f t="shared" si="185"/>
        <v>1208</v>
      </c>
      <c r="W1217" s="124">
        <f t="shared" si="186"/>
        <v>0</v>
      </c>
      <c r="X1217" s="124">
        <f t="shared" si="187"/>
        <v>0</v>
      </c>
      <c r="Y1217" s="264">
        <f t="shared" si="188"/>
        <v>1208</v>
      </c>
      <c r="Z1217" s="10">
        <v>242</v>
      </c>
      <c r="AA1217" s="7">
        <v>998</v>
      </c>
      <c r="AB1217" s="7">
        <v>1208</v>
      </c>
      <c r="AC1217" s="109">
        <v>0</v>
      </c>
      <c r="AD1217" s="109">
        <v>0</v>
      </c>
      <c r="AE1217" s="125"/>
      <c r="AF1217" s="10"/>
      <c r="AI1217" s="109"/>
      <c r="AJ1217" s="109"/>
      <c r="AL1217" s="10"/>
      <c r="AO1217" s="109"/>
      <c r="AP1217" s="109"/>
      <c r="AR1217" s="10"/>
      <c r="AU1217" s="109"/>
      <c r="AV1217" s="109"/>
      <c r="AX1217" s="10"/>
      <c r="BA1217" s="109"/>
      <c r="BB1217" s="109"/>
      <c r="BD1217" s="10"/>
      <c r="BG1217" s="109"/>
      <c r="BH1217" s="109"/>
      <c r="BJ1217" s="10"/>
      <c r="BM1217" s="109"/>
      <c r="BN1217" s="109"/>
      <c r="BP1217" s="10"/>
      <c r="BS1217" s="109"/>
      <c r="BT1217" s="109"/>
      <c r="BV1217" s="10"/>
      <c r="BY1217" s="109"/>
      <c r="BZ1217" s="109"/>
      <c r="CB1217" s="10"/>
      <c r="CE1217" s="109"/>
      <c r="CF1217" s="109"/>
      <c r="CH1217" s="10"/>
      <c r="CK1217" s="109"/>
      <c r="CL1217" s="109"/>
    </row>
    <row r="1218" spans="1:90">
      <c r="A1218" s="7" t="str">
        <f t="shared" si="181"/>
        <v>02420998</v>
      </c>
      <c r="B1218" s="7" t="s">
        <v>2581</v>
      </c>
      <c r="C1218" s="7" t="s">
        <v>2781</v>
      </c>
      <c r="D1218" s="7">
        <v>1209</v>
      </c>
      <c r="E1218" s="7">
        <v>242</v>
      </c>
      <c r="F1218" s="7" t="s">
        <v>2135</v>
      </c>
      <c r="G1218" s="7">
        <v>998</v>
      </c>
      <c r="H1218" s="7" t="s">
        <v>2135</v>
      </c>
      <c r="I1218" s="37">
        <v>0</v>
      </c>
      <c r="J1218" s="122">
        <v>0</v>
      </c>
      <c r="K1218" s="123">
        <f t="shared" si="190"/>
        <v>0</v>
      </c>
      <c r="L1218" s="122">
        <f>IF(K1219&gt;0, K1218/K1219, 0)</f>
        <v>0</v>
      </c>
      <c r="M1218" s="71"/>
      <c r="N1218" s="10">
        <f>ROUND(M1219*L1218,0)</f>
        <v>0</v>
      </c>
      <c r="O1218" s="70">
        <v>0</v>
      </c>
      <c r="P1218" s="10">
        <f>N1218-O1218</f>
        <v>0</v>
      </c>
      <c r="Q1218" s="46">
        <f t="shared" si="189"/>
        <v>0</v>
      </c>
      <c r="R1218" s="10">
        <v>0</v>
      </c>
      <c r="S1218" s="7">
        <f t="shared" si="182"/>
        <v>0</v>
      </c>
      <c r="T1218" s="124">
        <f t="shared" si="183"/>
        <v>242</v>
      </c>
      <c r="U1218" s="124">
        <f t="shared" si="184"/>
        <v>998</v>
      </c>
      <c r="V1218" s="124">
        <f t="shared" si="185"/>
        <v>1209</v>
      </c>
      <c r="W1218" s="124">
        <f t="shared" si="186"/>
        <v>0</v>
      </c>
      <c r="X1218" s="124">
        <f t="shared" si="187"/>
        <v>0</v>
      </c>
      <c r="Y1218" s="264">
        <f t="shared" si="188"/>
        <v>1209</v>
      </c>
      <c r="Z1218" s="10">
        <v>242</v>
      </c>
      <c r="AA1218" s="7">
        <v>998</v>
      </c>
      <c r="AB1218" s="7">
        <v>1209</v>
      </c>
      <c r="AC1218" s="109">
        <v>0</v>
      </c>
      <c r="AD1218" s="109">
        <v>0</v>
      </c>
      <c r="AE1218" s="125"/>
      <c r="AF1218" s="10"/>
      <c r="AI1218" s="109"/>
      <c r="AJ1218" s="109"/>
      <c r="AL1218" s="10"/>
      <c r="AO1218" s="109"/>
      <c r="AP1218" s="109"/>
      <c r="AR1218" s="10"/>
      <c r="AU1218" s="109"/>
      <c r="AV1218" s="109"/>
      <c r="AX1218" s="10"/>
      <c r="BA1218" s="109"/>
      <c r="BB1218" s="109"/>
      <c r="BD1218" s="10"/>
      <c r="BG1218" s="109"/>
      <c r="BH1218" s="109"/>
      <c r="BJ1218" s="10"/>
      <c r="BM1218" s="109"/>
      <c r="BN1218" s="109"/>
      <c r="BP1218" s="10"/>
      <c r="BS1218" s="109"/>
      <c r="BT1218" s="109"/>
      <c r="BV1218" s="10"/>
      <c r="BY1218" s="109"/>
      <c r="BZ1218" s="109"/>
      <c r="CB1218" s="10"/>
      <c r="CE1218" s="109"/>
      <c r="CF1218" s="109"/>
      <c r="CH1218" s="10"/>
      <c r="CK1218" s="109"/>
      <c r="CL1218" s="109"/>
    </row>
    <row r="1219" spans="1:90">
      <c r="A1219" s="7" t="str">
        <f t="shared" si="181"/>
        <v>02420999</v>
      </c>
      <c r="B1219" s="7" t="s">
        <v>2581</v>
      </c>
      <c r="C1219" s="7" t="s">
        <v>2782</v>
      </c>
      <c r="D1219" s="7">
        <v>1210</v>
      </c>
      <c r="E1219" s="11">
        <v>242</v>
      </c>
      <c r="F1219" s="11" t="s">
        <v>1947</v>
      </c>
      <c r="G1219" s="11">
        <v>999</v>
      </c>
      <c r="H1219" s="11" t="s">
        <v>1132</v>
      </c>
      <c r="I1219" s="105">
        <v>1459359.41</v>
      </c>
      <c r="J1219" s="126">
        <v>1</v>
      </c>
      <c r="K1219" s="127">
        <f>SUM(K1215:K1218)</f>
        <v>1382529.3027229349</v>
      </c>
      <c r="L1219" s="126">
        <f>SUM(L1215:L1218)</f>
        <v>1</v>
      </c>
      <c r="M1219" s="105">
        <f>VLOOKUP(E1219,town351,22)</f>
        <v>1158885</v>
      </c>
      <c r="N1219" s="105">
        <f>SUM(N1215:N1218)</f>
        <v>1158885</v>
      </c>
      <c r="O1219" s="128">
        <v>1212031</v>
      </c>
      <c r="P1219" s="105">
        <f>SUM(P1215:P1218)</f>
        <v>-53146</v>
      </c>
      <c r="Q1219" s="45">
        <f t="shared" si="189"/>
        <v>-4.3848713440497811</v>
      </c>
      <c r="R1219" s="105">
        <v>140</v>
      </c>
      <c r="S1219" s="7">
        <f t="shared" si="182"/>
        <v>0</v>
      </c>
      <c r="T1219" s="124">
        <f t="shared" si="183"/>
        <v>242</v>
      </c>
      <c r="U1219" s="124">
        <f t="shared" si="184"/>
        <v>999</v>
      </c>
      <c r="V1219" s="124">
        <f t="shared" si="185"/>
        <v>1210</v>
      </c>
      <c r="W1219" s="124">
        <f t="shared" si="186"/>
        <v>119.99999999814</v>
      </c>
      <c r="X1219" s="124">
        <f t="shared" si="187"/>
        <v>1382529.3027229349</v>
      </c>
      <c r="Y1219" s="264">
        <f t="shared" si="188"/>
        <v>1210</v>
      </c>
      <c r="Z1219" s="10">
        <v>242</v>
      </c>
      <c r="AA1219" s="7">
        <v>999</v>
      </c>
      <c r="AB1219" s="7">
        <v>1210</v>
      </c>
      <c r="AC1219" s="109">
        <v>119.99999999814</v>
      </c>
      <c r="AD1219" s="109">
        <v>1382529.3027229349</v>
      </c>
      <c r="AE1219" s="125"/>
      <c r="AF1219" s="10"/>
      <c r="AI1219" s="109"/>
      <c r="AJ1219" s="109"/>
      <c r="AL1219" s="10"/>
      <c r="AO1219" s="109"/>
      <c r="AP1219" s="109"/>
      <c r="AR1219" s="10"/>
      <c r="AU1219" s="109"/>
      <c r="AV1219" s="109"/>
      <c r="AX1219" s="10"/>
      <c r="BA1219" s="109"/>
      <c r="BB1219" s="109"/>
      <c r="BD1219" s="10"/>
      <c r="BG1219" s="109"/>
      <c r="BH1219" s="109"/>
      <c r="BJ1219" s="10"/>
      <c r="BM1219" s="109"/>
      <c r="BN1219" s="109"/>
      <c r="BP1219" s="10"/>
      <c r="BS1219" s="109"/>
      <c r="BT1219" s="109"/>
      <c r="BV1219" s="10"/>
      <c r="BY1219" s="109"/>
      <c r="BZ1219" s="109"/>
      <c r="CB1219" s="10"/>
      <c r="CE1219" s="109"/>
      <c r="CF1219" s="109"/>
      <c r="CH1219" s="10"/>
      <c r="CK1219" s="109"/>
      <c r="CL1219" s="109"/>
    </row>
    <row r="1220" spans="1:90">
      <c r="A1220" s="7" t="str">
        <f t="shared" si="181"/>
        <v>02430243</v>
      </c>
      <c r="B1220" s="7" t="s">
        <v>2582</v>
      </c>
      <c r="C1220" s="7" t="s">
        <v>2582</v>
      </c>
      <c r="D1220" s="7">
        <v>1211</v>
      </c>
      <c r="E1220" s="7">
        <v>243</v>
      </c>
      <c r="F1220" s="7" t="s">
        <v>1948</v>
      </c>
      <c r="G1220" s="7">
        <v>243</v>
      </c>
      <c r="H1220" s="7" t="s">
        <v>1509</v>
      </c>
      <c r="I1220" s="37">
        <v>109074296.63971998</v>
      </c>
      <c r="J1220" s="122">
        <v>0.99660873993148635</v>
      </c>
      <c r="K1220" s="123">
        <f>X1220</f>
        <v>112465494.00668323</v>
      </c>
      <c r="L1220" s="122">
        <f>IF(K1224&gt;0, K1220/K1224, 0)</f>
        <v>0.99678811188263772</v>
      </c>
      <c r="M1220" s="71"/>
      <c r="N1220" s="10">
        <f>ROUND(M1224*L1220,0)</f>
        <v>87353305</v>
      </c>
      <c r="O1220" s="70">
        <v>85429167</v>
      </c>
      <c r="P1220" s="10">
        <f>N1220-O1220</f>
        <v>1924138</v>
      </c>
      <c r="Q1220" s="46">
        <f t="shared" si="189"/>
        <v>2.2523197492959284</v>
      </c>
      <c r="R1220" s="10">
        <v>9211</v>
      </c>
      <c r="S1220" s="7">
        <f t="shared" si="182"/>
        <v>0</v>
      </c>
      <c r="T1220" s="124">
        <f t="shared" si="183"/>
        <v>243</v>
      </c>
      <c r="U1220" s="124">
        <f t="shared" si="184"/>
        <v>243</v>
      </c>
      <c r="V1220" s="124">
        <f t="shared" si="185"/>
        <v>1211</v>
      </c>
      <c r="W1220" s="124">
        <f t="shared" si="186"/>
        <v>9321</v>
      </c>
      <c r="X1220" s="124">
        <f t="shared" si="187"/>
        <v>112465494.00668323</v>
      </c>
      <c r="Y1220" s="264">
        <f t="shared" si="188"/>
        <v>1211</v>
      </c>
      <c r="Z1220" s="10">
        <v>243</v>
      </c>
      <c r="AA1220" s="7">
        <v>243</v>
      </c>
      <c r="AB1220" s="7">
        <v>1211</v>
      </c>
      <c r="AC1220" s="109">
        <v>9321</v>
      </c>
      <c r="AD1220" s="109">
        <v>112465494.00668323</v>
      </c>
      <c r="AE1220" s="125"/>
      <c r="AF1220" s="10"/>
      <c r="AI1220" s="109"/>
      <c r="AJ1220" s="109"/>
      <c r="AL1220" s="10"/>
      <c r="AO1220" s="109"/>
      <c r="AP1220" s="109"/>
      <c r="AR1220" s="10"/>
      <c r="AU1220" s="109"/>
      <c r="AV1220" s="109"/>
      <c r="AX1220" s="10"/>
      <c r="BA1220" s="109"/>
      <c r="BB1220" s="109"/>
      <c r="BD1220" s="10"/>
      <c r="BG1220" s="109"/>
      <c r="BH1220" s="109"/>
      <c r="BJ1220" s="10"/>
      <c r="BM1220" s="109"/>
      <c r="BN1220" s="109"/>
      <c r="BP1220" s="10"/>
      <c r="BS1220" s="109"/>
      <c r="BT1220" s="109"/>
      <c r="BV1220" s="10"/>
      <c r="BY1220" s="109"/>
      <c r="BZ1220" s="109"/>
      <c r="CB1220" s="10"/>
      <c r="CE1220" s="109"/>
      <c r="CF1220" s="109"/>
      <c r="CH1220" s="10"/>
      <c r="CK1220" s="109"/>
      <c r="CL1220" s="109"/>
    </row>
    <row r="1221" spans="1:90">
      <c r="A1221" s="7" t="str">
        <f t="shared" si="181"/>
        <v>02430915</v>
      </c>
      <c r="B1221" s="7" t="s">
        <v>2582</v>
      </c>
      <c r="C1221" s="7" t="s">
        <v>2779</v>
      </c>
      <c r="D1221" s="7">
        <v>1212</v>
      </c>
      <c r="E1221" s="7">
        <v>243</v>
      </c>
      <c r="F1221" s="7" t="s">
        <v>1948</v>
      </c>
      <c r="G1221" s="7">
        <v>915</v>
      </c>
      <c r="H1221" s="7" t="s">
        <v>1706</v>
      </c>
      <c r="I1221" s="37">
        <v>371158</v>
      </c>
      <c r="J1221" s="122">
        <v>3.3912600685136103E-3</v>
      </c>
      <c r="K1221" s="123">
        <f t="shared" si="190"/>
        <v>362390.54168803839</v>
      </c>
      <c r="L1221" s="122">
        <f>IF(K1224&gt;0, K1221/K1224, 0)</f>
        <v>3.2118881173622935E-3</v>
      </c>
      <c r="M1221" s="71"/>
      <c r="N1221" s="10">
        <f>ROUND(M1224*L1221,0)</f>
        <v>281473</v>
      </c>
      <c r="O1221" s="70">
        <v>290698</v>
      </c>
      <c r="P1221" s="10">
        <f>N1221-O1221</f>
        <v>-9225</v>
      </c>
      <c r="Q1221" s="46">
        <f t="shared" si="189"/>
        <v>-3.1733964457959809</v>
      </c>
      <c r="R1221" s="10">
        <v>23</v>
      </c>
      <c r="S1221" s="7">
        <f t="shared" si="182"/>
        <v>0</v>
      </c>
      <c r="T1221" s="124">
        <f t="shared" si="183"/>
        <v>243</v>
      </c>
      <c r="U1221" s="124">
        <f t="shared" si="184"/>
        <v>915</v>
      </c>
      <c r="V1221" s="124">
        <f t="shared" si="185"/>
        <v>1212</v>
      </c>
      <c r="W1221" s="124">
        <f t="shared" si="186"/>
        <v>21.999999998610001</v>
      </c>
      <c r="X1221" s="124">
        <f t="shared" si="187"/>
        <v>362390.54168803839</v>
      </c>
      <c r="Y1221" s="264">
        <f t="shared" si="188"/>
        <v>1212</v>
      </c>
      <c r="Z1221" s="10">
        <v>243</v>
      </c>
      <c r="AA1221" s="7">
        <v>915</v>
      </c>
      <c r="AB1221" s="7">
        <v>1212</v>
      </c>
      <c r="AC1221" s="109">
        <v>21.999999998610001</v>
      </c>
      <c r="AD1221" s="109">
        <v>362390.54168803839</v>
      </c>
      <c r="AE1221" s="125"/>
      <c r="AF1221" s="10"/>
      <c r="AI1221" s="109"/>
      <c r="AJ1221" s="109"/>
      <c r="AL1221" s="10"/>
      <c r="AO1221" s="109"/>
      <c r="AP1221" s="109"/>
      <c r="AR1221" s="10"/>
      <c r="AU1221" s="109"/>
      <c r="AV1221" s="109"/>
      <c r="AX1221" s="10"/>
      <c r="BA1221" s="109"/>
      <c r="BB1221" s="109"/>
      <c r="BD1221" s="10"/>
      <c r="BG1221" s="109"/>
      <c r="BH1221" s="109"/>
      <c r="BJ1221" s="10"/>
      <c r="BM1221" s="109"/>
      <c r="BN1221" s="109"/>
      <c r="BP1221" s="10"/>
      <c r="BS1221" s="109"/>
      <c r="BT1221" s="109"/>
      <c r="BV1221" s="10"/>
      <c r="BY1221" s="109"/>
      <c r="BZ1221" s="109"/>
      <c r="CB1221" s="10"/>
      <c r="CE1221" s="109"/>
      <c r="CF1221" s="109"/>
      <c r="CH1221" s="10"/>
      <c r="CK1221" s="109"/>
      <c r="CL1221" s="109"/>
    </row>
    <row r="1222" spans="1:90">
      <c r="A1222" s="7" t="str">
        <f t="shared" si="181"/>
        <v>02430998</v>
      </c>
      <c r="B1222" s="7" t="s">
        <v>2582</v>
      </c>
      <c r="C1222" s="7" t="s">
        <v>2781</v>
      </c>
      <c r="D1222" s="7">
        <v>1213</v>
      </c>
      <c r="E1222" s="7">
        <v>243</v>
      </c>
      <c r="F1222" s="7" t="s">
        <v>2135</v>
      </c>
      <c r="G1222" s="7">
        <v>998</v>
      </c>
      <c r="H1222" s="7" t="s">
        <v>2135</v>
      </c>
      <c r="I1222" s="37">
        <v>0</v>
      </c>
      <c r="J1222" s="122">
        <v>0</v>
      </c>
      <c r="K1222" s="123">
        <f t="shared" si="190"/>
        <v>0</v>
      </c>
      <c r="L1222" s="122">
        <f>IF(K1224&gt;0, K1222/K1224, 0)</f>
        <v>0</v>
      </c>
      <c r="M1222" s="71"/>
      <c r="N1222" s="10">
        <f>ROUND(M1224*L1222,0)</f>
        <v>0</v>
      </c>
      <c r="O1222" s="70">
        <v>0</v>
      </c>
      <c r="P1222" s="10">
        <f>N1222-O1222</f>
        <v>0</v>
      </c>
      <c r="Q1222" s="46">
        <f t="shared" si="189"/>
        <v>0</v>
      </c>
      <c r="R1222" s="10">
        <v>0</v>
      </c>
      <c r="S1222" s="7">
        <f t="shared" si="182"/>
        <v>0</v>
      </c>
      <c r="T1222" s="124">
        <f t="shared" si="183"/>
        <v>243</v>
      </c>
      <c r="U1222" s="124">
        <f t="shared" si="184"/>
        <v>998</v>
      </c>
      <c r="V1222" s="124">
        <f t="shared" si="185"/>
        <v>1213</v>
      </c>
      <c r="W1222" s="124">
        <f t="shared" si="186"/>
        <v>0</v>
      </c>
      <c r="X1222" s="124">
        <f t="shared" si="187"/>
        <v>0</v>
      </c>
      <c r="Y1222" s="264">
        <f t="shared" si="188"/>
        <v>1213</v>
      </c>
      <c r="Z1222" s="10">
        <v>243</v>
      </c>
      <c r="AA1222" s="7">
        <v>998</v>
      </c>
      <c r="AB1222" s="7">
        <v>1213</v>
      </c>
      <c r="AC1222" s="109">
        <v>0</v>
      </c>
      <c r="AD1222" s="109">
        <v>0</v>
      </c>
      <c r="AE1222" s="125"/>
      <c r="AF1222" s="10"/>
      <c r="AI1222" s="109"/>
      <c r="AJ1222" s="109"/>
      <c r="AL1222" s="10"/>
      <c r="AO1222" s="109"/>
      <c r="AP1222" s="109"/>
      <c r="AR1222" s="10"/>
      <c r="AU1222" s="109"/>
      <c r="AV1222" s="109"/>
      <c r="AX1222" s="10"/>
      <c r="BA1222" s="109"/>
      <c r="BB1222" s="109"/>
      <c r="BD1222" s="10"/>
      <c r="BG1222" s="109"/>
      <c r="BH1222" s="109"/>
      <c r="BJ1222" s="10"/>
      <c r="BM1222" s="109"/>
      <c r="BN1222" s="109"/>
      <c r="BP1222" s="10"/>
      <c r="BS1222" s="109"/>
      <c r="BT1222" s="109"/>
      <c r="BV1222" s="10"/>
      <c r="BY1222" s="109"/>
      <c r="BZ1222" s="109"/>
      <c r="CB1222" s="10"/>
      <c r="CE1222" s="109"/>
      <c r="CF1222" s="109"/>
      <c r="CH1222" s="10"/>
      <c r="CK1222" s="109"/>
      <c r="CL1222" s="109"/>
    </row>
    <row r="1223" spans="1:90">
      <c r="A1223" s="7" t="str">
        <f t="shared" si="181"/>
        <v>02430998</v>
      </c>
      <c r="B1223" s="7" t="s">
        <v>2582</v>
      </c>
      <c r="C1223" s="7" t="s">
        <v>2781</v>
      </c>
      <c r="D1223" s="7">
        <v>1214</v>
      </c>
      <c r="E1223" s="7">
        <v>243</v>
      </c>
      <c r="F1223" s="7" t="s">
        <v>2135</v>
      </c>
      <c r="G1223" s="7">
        <v>998</v>
      </c>
      <c r="H1223" s="7" t="s">
        <v>2135</v>
      </c>
      <c r="I1223" s="37">
        <v>0</v>
      </c>
      <c r="J1223" s="122">
        <v>0</v>
      </c>
      <c r="K1223" s="123">
        <f t="shared" si="190"/>
        <v>0</v>
      </c>
      <c r="L1223" s="122">
        <f>IF(K1224&gt;0, K1223/K1224, 0)</f>
        <v>0</v>
      </c>
      <c r="M1223" s="71"/>
      <c r="N1223" s="10">
        <f>ROUND(M1224*L1223,0)</f>
        <v>0</v>
      </c>
      <c r="O1223" s="70">
        <v>0</v>
      </c>
      <c r="P1223" s="10">
        <f>N1223-O1223</f>
        <v>0</v>
      </c>
      <c r="Q1223" s="46">
        <f t="shared" si="189"/>
        <v>0</v>
      </c>
      <c r="R1223" s="10">
        <v>0</v>
      </c>
      <c r="S1223" s="7">
        <f t="shared" si="182"/>
        <v>0</v>
      </c>
      <c r="T1223" s="124">
        <f t="shared" si="183"/>
        <v>243</v>
      </c>
      <c r="U1223" s="124">
        <f t="shared" si="184"/>
        <v>998</v>
      </c>
      <c r="V1223" s="124">
        <f t="shared" si="185"/>
        <v>1214</v>
      </c>
      <c r="W1223" s="124">
        <f t="shared" si="186"/>
        <v>0</v>
      </c>
      <c r="X1223" s="124">
        <f t="shared" si="187"/>
        <v>0</v>
      </c>
      <c r="Y1223" s="264">
        <f t="shared" si="188"/>
        <v>1214</v>
      </c>
      <c r="Z1223" s="10">
        <v>243</v>
      </c>
      <c r="AA1223" s="7">
        <v>998</v>
      </c>
      <c r="AB1223" s="7">
        <v>1214</v>
      </c>
      <c r="AC1223" s="109">
        <v>0</v>
      </c>
      <c r="AD1223" s="109">
        <v>0</v>
      </c>
      <c r="AE1223" s="125"/>
      <c r="AF1223" s="10"/>
      <c r="AI1223" s="109"/>
      <c r="AJ1223" s="109"/>
      <c r="AL1223" s="10"/>
      <c r="AO1223" s="109"/>
      <c r="AP1223" s="109"/>
      <c r="AR1223" s="10"/>
      <c r="AU1223" s="109"/>
      <c r="AV1223" s="109"/>
      <c r="AX1223" s="10"/>
      <c r="BA1223" s="109"/>
      <c r="BB1223" s="109"/>
      <c r="BD1223" s="10"/>
      <c r="BG1223" s="109"/>
      <c r="BH1223" s="109"/>
      <c r="BJ1223" s="10"/>
      <c r="BM1223" s="109"/>
      <c r="BN1223" s="109"/>
      <c r="BP1223" s="10"/>
      <c r="BS1223" s="109"/>
      <c r="BT1223" s="109"/>
      <c r="BV1223" s="10"/>
      <c r="BY1223" s="109"/>
      <c r="BZ1223" s="109"/>
      <c r="CB1223" s="10"/>
      <c r="CE1223" s="109"/>
      <c r="CF1223" s="109"/>
      <c r="CH1223" s="10"/>
      <c r="CK1223" s="109"/>
      <c r="CL1223" s="109"/>
    </row>
    <row r="1224" spans="1:90">
      <c r="A1224" s="7" t="str">
        <f t="shared" si="181"/>
        <v>02430999</v>
      </c>
      <c r="B1224" s="7" t="s">
        <v>2582</v>
      </c>
      <c r="C1224" s="7" t="s">
        <v>2782</v>
      </c>
      <c r="D1224" s="7">
        <v>1215</v>
      </c>
      <c r="E1224" s="11">
        <v>243</v>
      </c>
      <c r="F1224" s="11" t="s">
        <v>1948</v>
      </c>
      <c r="G1224" s="11">
        <v>999</v>
      </c>
      <c r="H1224" s="11" t="s">
        <v>1132</v>
      </c>
      <c r="I1224" s="105">
        <v>109445454.63971998</v>
      </c>
      <c r="J1224" s="126">
        <v>1</v>
      </c>
      <c r="K1224" s="127">
        <f>SUM(K1220:K1223)</f>
        <v>112827884.54837127</v>
      </c>
      <c r="L1224" s="126">
        <f>SUM(L1220:L1223)</f>
        <v>1</v>
      </c>
      <c r="M1224" s="105">
        <f>VLOOKUP(E1224,town351,22)</f>
        <v>87634778</v>
      </c>
      <c r="N1224" s="105">
        <f>SUM(N1220:N1223)</f>
        <v>87634778</v>
      </c>
      <c r="O1224" s="128">
        <v>85719865</v>
      </c>
      <c r="P1224" s="105">
        <f>SUM(P1220:P1223)</f>
        <v>1914913</v>
      </c>
      <c r="Q1224" s="45">
        <f t="shared" si="189"/>
        <v>2.2339197571064768</v>
      </c>
      <c r="R1224" s="105">
        <v>9234</v>
      </c>
      <c r="S1224" s="7">
        <f t="shared" si="182"/>
        <v>0</v>
      </c>
      <c r="T1224" s="124">
        <f t="shared" si="183"/>
        <v>243</v>
      </c>
      <c r="U1224" s="124">
        <f t="shared" si="184"/>
        <v>999</v>
      </c>
      <c r="V1224" s="124">
        <f t="shared" si="185"/>
        <v>1215</v>
      </c>
      <c r="W1224" s="124">
        <f t="shared" si="186"/>
        <v>9342.9999999986103</v>
      </c>
      <c r="X1224" s="124">
        <f t="shared" si="187"/>
        <v>112827884.54837127</v>
      </c>
      <c r="Y1224" s="264">
        <f t="shared" si="188"/>
        <v>1215</v>
      </c>
      <c r="Z1224" s="10">
        <v>243</v>
      </c>
      <c r="AA1224" s="7">
        <v>999</v>
      </c>
      <c r="AB1224" s="7">
        <v>1215</v>
      </c>
      <c r="AC1224" s="109">
        <v>9342.9999999986103</v>
      </c>
      <c r="AD1224" s="109">
        <v>112827884.54837127</v>
      </c>
      <c r="AE1224" s="125"/>
      <c r="AF1224" s="10"/>
      <c r="AI1224" s="109"/>
      <c r="AJ1224" s="109"/>
      <c r="AL1224" s="10"/>
      <c r="AO1224" s="109"/>
      <c r="AP1224" s="109"/>
      <c r="AR1224" s="10"/>
      <c r="AU1224" s="109"/>
      <c r="AV1224" s="109"/>
      <c r="AX1224" s="10"/>
      <c r="BA1224" s="109"/>
      <c r="BB1224" s="109"/>
      <c r="BD1224" s="10"/>
      <c r="BG1224" s="109"/>
      <c r="BH1224" s="109"/>
      <c r="BJ1224" s="10"/>
      <c r="BM1224" s="109"/>
      <c r="BN1224" s="109"/>
      <c r="BP1224" s="10"/>
      <c r="BS1224" s="109"/>
      <c r="BT1224" s="109"/>
      <c r="BV1224" s="10"/>
      <c r="BY1224" s="109"/>
      <c r="BZ1224" s="109"/>
      <c r="CB1224" s="10"/>
      <c r="CE1224" s="109"/>
      <c r="CF1224" s="109"/>
      <c r="CH1224" s="10"/>
      <c r="CK1224" s="109"/>
      <c r="CL1224" s="109"/>
    </row>
    <row r="1225" spans="1:90">
      <c r="A1225" s="7" t="str">
        <f t="shared" si="181"/>
        <v>02440244</v>
      </c>
      <c r="B1225" s="7" t="s">
        <v>2583</v>
      </c>
      <c r="C1225" s="7" t="s">
        <v>2583</v>
      </c>
      <c r="D1225" s="7">
        <v>1216</v>
      </c>
      <c r="E1225" s="7">
        <v>244</v>
      </c>
      <c r="F1225" s="7" t="s">
        <v>1949</v>
      </c>
      <c r="G1225" s="7">
        <v>244</v>
      </c>
      <c r="H1225" s="7" t="s">
        <v>1510</v>
      </c>
      <c r="I1225" s="37">
        <v>35981002.85723</v>
      </c>
      <c r="J1225" s="122">
        <v>0.88391789106870478</v>
      </c>
      <c r="K1225" s="123">
        <f>X1225</f>
        <v>37100685.939180903</v>
      </c>
      <c r="L1225" s="122">
        <f>IF(K1229&gt;0, K1225/K1229, 0)</f>
        <v>0.88176697487054168</v>
      </c>
      <c r="M1225" s="71"/>
      <c r="N1225" s="10">
        <f>ROUND(M1229*L1225,0)</f>
        <v>20804157</v>
      </c>
      <c r="O1225" s="70">
        <v>20358913</v>
      </c>
      <c r="P1225" s="10">
        <f>N1225-O1225</f>
        <v>445244</v>
      </c>
      <c r="Q1225" s="46">
        <f t="shared" si="189"/>
        <v>2.1869733418478678</v>
      </c>
      <c r="R1225" s="10">
        <v>3263</v>
      </c>
      <c r="S1225" s="7">
        <f t="shared" si="182"/>
        <v>0</v>
      </c>
      <c r="T1225" s="124">
        <f t="shared" si="183"/>
        <v>244</v>
      </c>
      <c r="U1225" s="124">
        <f t="shared" si="184"/>
        <v>244</v>
      </c>
      <c r="V1225" s="124">
        <f t="shared" si="185"/>
        <v>1216</v>
      </c>
      <c r="W1225" s="124">
        <f t="shared" si="186"/>
        <v>3266</v>
      </c>
      <c r="X1225" s="124">
        <f t="shared" si="187"/>
        <v>37100685.939180903</v>
      </c>
      <c r="Y1225" s="264">
        <f t="shared" si="188"/>
        <v>1216</v>
      </c>
      <c r="Z1225" s="10">
        <v>244</v>
      </c>
      <c r="AA1225" s="7">
        <v>244</v>
      </c>
      <c r="AB1225" s="7">
        <v>1216</v>
      </c>
      <c r="AC1225" s="109">
        <v>3266</v>
      </c>
      <c r="AD1225" s="109">
        <v>37100685.939180903</v>
      </c>
      <c r="AE1225" s="125"/>
      <c r="AF1225" s="10"/>
      <c r="AI1225" s="109"/>
      <c r="AJ1225" s="109"/>
      <c r="AL1225" s="10"/>
      <c r="AO1225" s="109"/>
      <c r="AP1225" s="109"/>
      <c r="AR1225" s="10"/>
      <c r="AU1225" s="109"/>
      <c r="AV1225" s="109"/>
      <c r="AX1225" s="10"/>
      <c r="BA1225" s="109"/>
      <c r="BB1225" s="109"/>
      <c r="BD1225" s="10"/>
      <c r="BG1225" s="109"/>
      <c r="BH1225" s="109"/>
      <c r="BJ1225" s="10"/>
      <c r="BM1225" s="109"/>
      <c r="BN1225" s="109"/>
      <c r="BP1225" s="10"/>
      <c r="BS1225" s="109"/>
      <c r="BT1225" s="109"/>
      <c r="BV1225" s="10"/>
      <c r="BY1225" s="109"/>
      <c r="BZ1225" s="109"/>
      <c r="CB1225" s="10"/>
      <c r="CE1225" s="109"/>
      <c r="CF1225" s="109"/>
      <c r="CH1225" s="10"/>
      <c r="CK1225" s="109"/>
      <c r="CL1225" s="109"/>
    </row>
    <row r="1226" spans="1:90">
      <c r="A1226" s="7" t="str">
        <f t="shared" ref="A1226:A1289" si="191">B1226&amp;C1226</f>
        <v>02440806</v>
      </c>
      <c r="B1226" s="7" t="s">
        <v>2583</v>
      </c>
      <c r="C1226" s="7" t="s">
        <v>2754</v>
      </c>
      <c r="D1226" s="7">
        <v>1217</v>
      </c>
      <c r="E1226" s="7">
        <v>244</v>
      </c>
      <c r="F1226" s="7" t="s">
        <v>1949</v>
      </c>
      <c r="G1226" s="7">
        <v>806</v>
      </c>
      <c r="H1226" s="7" t="s">
        <v>1681</v>
      </c>
      <c r="I1226" s="37">
        <v>4483210</v>
      </c>
      <c r="J1226" s="122">
        <v>0.11013560528432707</v>
      </c>
      <c r="K1226" s="123">
        <f t="shared" si="190"/>
        <v>4760560.3193837684</v>
      </c>
      <c r="L1226" s="122">
        <f>IF(K1229&gt;0, K1226/K1229, 0)</f>
        <v>0.11314359196466221</v>
      </c>
      <c r="M1226" s="71"/>
      <c r="N1226" s="10">
        <f>ROUND(M1229*L1226,0)</f>
        <v>2669477</v>
      </c>
      <c r="O1226" s="70">
        <v>2536708</v>
      </c>
      <c r="P1226" s="10">
        <f>N1226-O1226</f>
        <v>132769</v>
      </c>
      <c r="Q1226" s="46">
        <f t="shared" si="189"/>
        <v>5.2339094606080003</v>
      </c>
      <c r="R1226" s="10">
        <v>277</v>
      </c>
      <c r="S1226" s="7">
        <f t="shared" ref="S1226:S1289" si="192">ABS(T1226-E1226)+ABS(U1226-G1226)</f>
        <v>0</v>
      </c>
      <c r="T1226" s="124">
        <f t="shared" ref="T1226:T1289" si="193">VLOOKUP($D1226, foundoptions, VLOOKUP($T$6, foundoptcell, 2, FALSE), FALSE)</f>
        <v>244</v>
      </c>
      <c r="U1226" s="124">
        <f t="shared" ref="U1226:U1289" si="194">VLOOKUP($D1226, foundoptions, VLOOKUP($T$6, foundoptcell, 2, FALSE)+1, FALSE)</f>
        <v>806</v>
      </c>
      <c r="V1226" s="124">
        <f t="shared" ref="V1226:V1289" si="195">VLOOKUP($D1226, foundoptions, VLOOKUP($T$6, foundoptcell, 2, FALSE)+2, FALSE)</f>
        <v>1217</v>
      </c>
      <c r="W1226" s="124">
        <f t="shared" ref="W1226:W1289" si="196">VLOOKUP($D1226, foundoptions, VLOOKUP($T$6, foundoptcell, 2, FALSE)+3, FALSE)</f>
        <v>288.99999999916002</v>
      </c>
      <c r="X1226" s="124">
        <f t="shared" ref="X1226:X1289" si="197">VLOOKUP($D1226, foundoptions, VLOOKUP($T$6, foundoptcell, 2, FALSE)+4, FALSE)</f>
        <v>4760560.3193837684</v>
      </c>
      <c r="Y1226" s="264">
        <f t="shared" si="188"/>
        <v>1217</v>
      </c>
      <c r="Z1226" s="10">
        <v>244</v>
      </c>
      <c r="AA1226" s="7">
        <v>806</v>
      </c>
      <c r="AB1226" s="7">
        <v>1217</v>
      </c>
      <c r="AC1226" s="109">
        <v>288.99999999916002</v>
      </c>
      <c r="AD1226" s="109">
        <v>4760560.3193837684</v>
      </c>
      <c r="AE1226" s="125"/>
      <c r="AF1226" s="10"/>
      <c r="AI1226" s="109"/>
      <c r="AJ1226" s="109"/>
      <c r="AL1226" s="10"/>
      <c r="AO1226" s="109"/>
      <c r="AP1226" s="109"/>
      <c r="AR1226" s="10"/>
      <c r="AU1226" s="109"/>
      <c r="AV1226" s="109"/>
      <c r="AX1226" s="10"/>
      <c r="BA1226" s="109"/>
      <c r="BB1226" s="109"/>
      <c r="BD1226" s="10"/>
      <c r="BG1226" s="109"/>
      <c r="BH1226" s="109"/>
      <c r="BJ1226" s="10"/>
      <c r="BM1226" s="109"/>
      <c r="BN1226" s="109"/>
      <c r="BP1226" s="10"/>
      <c r="BS1226" s="109"/>
      <c r="BT1226" s="109"/>
      <c r="BV1226" s="10"/>
      <c r="BY1226" s="109"/>
      <c r="BZ1226" s="109"/>
      <c r="CB1226" s="10"/>
      <c r="CE1226" s="109"/>
      <c r="CF1226" s="109"/>
      <c r="CH1226" s="10"/>
      <c r="CK1226" s="109"/>
      <c r="CL1226" s="109"/>
    </row>
    <row r="1227" spans="1:90">
      <c r="A1227" s="7" t="str">
        <f t="shared" si="191"/>
        <v>02440915</v>
      </c>
      <c r="B1227" s="7" t="s">
        <v>2583</v>
      </c>
      <c r="C1227" s="7" t="s">
        <v>2779</v>
      </c>
      <c r="D1227" s="7">
        <v>1218</v>
      </c>
      <c r="E1227" s="7">
        <v>244</v>
      </c>
      <c r="F1227" s="7" t="s">
        <v>1949</v>
      </c>
      <c r="G1227" s="7">
        <v>915</v>
      </c>
      <c r="H1227" s="7" t="s">
        <v>1706</v>
      </c>
      <c r="I1227" s="37">
        <v>242060</v>
      </c>
      <c r="J1227" s="122">
        <v>5.9465036469681792E-3</v>
      </c>
      <c r="K1227" s="123">
        <f t="shared" si="190"/>
        <v>214139.86556173264</v>
      </c>
      <c r="L1227" s="122">
        <f>IF(K1229&gt;0, K1227/K1229, 0)</f>
        <v>5.0894331647961498E-3</v>
      </c>
      <c r="M1227" s="71"/>
      <c r="N1227" s="10">
        <f>ROUND(M1229*L1227,0)</f>
        <v>120079</v>
      </c>
      <c r="O1227" s="70">
        <v>136963</v>
      </c>
      <c r="P1227" s="10">
        <f>N1227-O1227</f>
        <v>-16884</v>
      </c>
      <c r="Q1227" s="46">
        <f t="shared" si="189"/>
        <v>-12.327416893613604</v>
      </c>
      <c r="R1227" s="10">
        <v>15</v>
      </c>
      <c r="S1227" s="7">
        <f t="shared" si="192"/>
        <v>0</v>
      </c>
      <c r="T1227" s="124">
        <f t="shared" si="193"/>
        <v>244</v>
      </c>
      <c r="U1227" s="124">
        <f t="shared" si="194"/>
        <v>915</v>
      </c>
      <c r="V1227" s="124">
        <f t="shared" si="195"/>
        <v>1218</v>
      </c>
      <c r="W1227" s="124">
        <f t="shared" si="196"/>
        <v>13.00000000032</v>
      </c>
      <c r="X1227" s="124">
        <f t="shared" si="197"/>
        <v>214139.86556173264</v>
      </c>
      <c r="Y1227" s="264">
        <f t="shared" ref="Y1227:Y1290" si="198">D1227</f>
        <v>1218</v>
      </c>
      <c r="Z1227" s="10">
        <v>244</v>
      </c>
      <c r="AA1227" s="7">
        <v>915</v>
      </c>
      <c r="AB1227" s="7">
        <v>1218</v>
      </c>
      <c r="AC1227" s="109">
        <v>13.00000000032</v>
      </c>
      <c r="AD1227" s="109">
        <v>214139.86556173264</v>
      </c>
      <c r="AE1227" s="125"/>
      <c r="AF1227" s="10"/>
      <c r="AI1227" s="109"/>
      <c r="AJ1227" s="109"/>
      <c r="AL1227" s="10"/>
      <c r="AO1227" s="109"/>
      <c r="AP1227" s="109"/>
      <c r="AR1227" s="10"/>
      <c r="AU1227" s="109"/>
      <c r="AV1227" s="109"/>
      <c r="AX1227" s="10"/>
      <c r="BA1227" s="109"/>
      <c r="BB1227" s="109"/>
      <c r="BD1227" s="10"/>
      <c r="BG1227" s="109"/>
      <c r="BH1227" s="109"/>
      <c r="BJ1227" s="10"/>
      <c r="BM1227" s="109"/>
      <c r="BN1227" s="109"/>
      <c r="BP1227" s="10"/>
      <c r="BS1227" s="109"/>
      <c r="BT1227" s="109"/>
      <c r="BV1227" s="10"/>
      <c r="BY1227" s="109"/>
      <c r="BZ1227" s="109"/>
      <c r="CB1227" s="10"/>
      <c r="CE1227" s="109"/>
      <c r="CF1227" s="109"/>
      <c r="CH1227" s="10"/>
      <c r="CK1227" s="109"/>
      <c r="CL1227" s="109"/>
    </row>
    <row r="1228" spans="1:90">
      <c r="A1228" s="7" t="str">
        <f t="shared" si="191"/>
        <v>02440998</v>
      </c>
      <c r="B1228" s="7" t="s">
        <v>2583</v>
      </c>
      <c r="C1228" s="7" t="s">
        <v>2781</v>
      </c>
      <c r="D1228" s="7">
        <v>1219</v>
      </c>
      <c r="E1228" s="7">
        <v>244</v>
      </c>
      <c r="F1228" s="7" t="s">
        <v>2135</v>
      </c>
      <c r="G1228" s="7">
        <v>998</v>
      </c>
      <c r="H1228" s="7" t="s">
        <v>2135</v>
      </c>
      <c r="I1228" s="37">
        <v>0</v>
      </c>
      <c r="J1228" s="122">
        <v>0</v>
      </c>
      <c r="K1228" s="123">
        <f t="shared" si="190"/>
        <v>0</v>
      </c>
      <c r="L1228" s="122">
        <f>IF(K1229&gt;0, K1228/K1229, 0)</f>
        <v>0</v>
      </c>
      <c r="M1228" s="71"/>
      <c r="N1228" s="10">
        <f>ROUND(M1229*L1228,0)</f>
        <v>0</v>
      </c>
      <c r="O1228" s="70">
        <v>0</v>
      </c>
      <c r="P1228" s="10">
        <f>N1228-O1228</f>
        <v>0</v>
      </c>
      <c r="Q1228" s="46">
        <f t="shared" si="189"/>
        <v>0</v>
      </c>
      <c r="R1228" s="10">
        <v>0</v>
      </c>
      <c r="S1228" s="7">
        <f t="shared" si="192"/>
        <v>0</v>
      </c>
      <c r="T1228" s="124">
        <f t="shared" si="193"/>
        <v>244</v>
      </c>
      <c r="U1228" s="124">
        <f t="shared" si="194"/>
        <v>998</v>
      </c>
      <c r="V1228" s="124">
        <f t="shared" si="195"/>
        <v>1219</v>
      </c>
      <c r="W1228" s="124">
        <f t="shared" si="196"/>
        <v>0</v>
      </c>
      <c r="X1228" s="124">
        <f t="shared" si="197"/>
        <v>0</v>
      </c>
      <c r="Y1228" s="264">
        <f t="shared" si="198"/>
        <v>1219</v>
      </c>
      <c r="Z1228" s="10">
        <v>244</v>
      </c>
      <c r="AA1228" s="7">
        <v>998</v>
      </c>
      <c r="AB1228" s="7">
        <v>1219</v>
      </c>
      <c r="AC1228" s="109">
        <v>0</v>
      </c>
      <c r="AD1228" s="109">
        <v>0</v>
      </c>
      <c r="AE1228" s="125"/>
      <c r="AF1228" s="10"/>
      <c r="AI1228" s="109"/>
      <c r="AJ1228" s="109"/>
      <c r="AL1228" s="10"/>
      <c r="AO1228" s="109"/>
      <c r="AP1228" s="109"/>
      <c r="AR1228" s="10"/>
      <c r="AU1228" s="109"/>
      <c r="AV1228" s="109"/>
      <c r="AX1228" s="10"/>
      <c r="BA1228" s="109"/>
      <c r="BB1228" s="109"/>
      <c r="BD1228" s="10"/>
      <c r="BG1228" s="109"/>
      <c r="BH1228" s="109"/>
      <c r="BJ1228" s="10"/>
      <c r="BM1228" s="109"/>
      <c r="BN1228" s="109"/>
      <c r="BP1228" s="10"/>
      <c r="BS1228" s="109"/>
      <c r="BT1228" s="109"/>
      <c r="BV1228" s="10"/>
      <c r="BY1228" s="109"/>
      <c r="BZ1228" s="109"/>
      <c r="CB1228" s="10"/>
      <c r="CE1228" s="109"/>
      <c r="CF1228" s="109"/>
      <c r="CH1228" s="10"/>
      <c r="CK1228" s="109"/>
      <c r="CL1228" s="109"/>
    </row>
    <row r="1229" spans="1:90">
      <c r="A1229" s="7" t="str">
        <f t="shared" si="191"/>
        <v>02440999</v>
      </c>
      <c r="B1229" s="7" t="s">
        <v>2583</v>
      </c>
      <c r="C1229" s="7" t="s">
        <v>2782</v>
      </c>
      <c r="D1229" s="7">
        <v>1220</v>
      </c>
      <c r="E1229" s="11">
        <v>244</v>
      </c>
      <c r="F1229" s="11" t="s">
        <v>1949</v>
      </c>
      <c r="G1229" s="11">
        <v>999</v>
      </c>
      <c r="H1229" s="11" t="s">
        <v>1132</v>
      </c>
      <c r="I1229" s="105">
        <v>40706272.85723</v>
      </c>
      <c r="J1229" s="126">
        <v>1</v>
      </c>
      <c r="K1229" s="127">
        <f>SUM(K1225:K1228)</f>
        <v>42075386.124126405</v>
      </c>
      <c r="L1229" s="126">
        <f>SUM(L1225:L1228)</f>
        <v>1</v>
      </c>
      <c r="M1229" s="105">
        <f>VLOOKUP(E1229,town351,22)</f>
        <v>23593713</v>
      </c>
      <c r="N1229" s="105">
        <f>SUM(N1225:N1228)</f>
        <v>23593713</v>
      </c>
      <c r="O1229" s="128">
        <v>23032584</v>
      </c>
      <c r="P1229" s="105">
        <f>SUM(P1225:P1228)</f>
        <v>561129</v>
      </c>
      <c r="Q1229" s="45">
        <f t="shared" si="189"/>
        <v>2.4362398938825103</v>
      </c>
      <c r="R1229" s="105">
        <v>3555</v>
      </c>
      <c r="S1229" s="7">
        <f t="shared" si="192"/>
        <v>0</v>
      </c>
      <c r="T1229" s="124">
        <f t="shared" si="193"/>
        <v>244</v>
      </c>
      <c r="U1229" s="124">
        <f t="shared" si="194"/>
        <v>999</v>
      </c>
      <c r="V1229" s="124">
        <f t="shared" si="195"/>
        <v>1220</v>
      </c>
      <c r="W1229" s="124">
        <f t="shared" si="196"/>
        <v>3567.9999999994802</v>
      </c>
      <c r="X1229" s="124">
        <f t="shared" si="197"/>
        <v>42075386.124126405</v>
      </c>
      <c r="Y1229" s="264">
        <f t="shared" si="198"/>
        <v>1220</v>
      </c>
      <c r="Z1229" s="10">
        <v>244</v>
      </c>
      <c r="AA1229" s="7">
        <v>999</v>
      </c>
      <c r="AB1229" s="7">
        <v>1220</v>
      </c>
      <c r="AC1229" s="109">
        <v>3567.9999999994802</v>
      </c>
      <c r="AD1229" s="109">
        <v>42075386.124126405</v>
      </c>
      <c r="AE1229" s="125"/>
      <c r="AF1229" s="10"/>
      <c r="AI1229" s="109"/>
      <c r="AJ1229" s="109"/>
      <c r="AL1229" s="10"/>
      <c r="AO1229" s="109"/>
      <c r="AP1229" s="109"/>
      <c r="AR1229" s="10"/>
      <c r="AU1229" s="109"/>
      <c r="AV1229" s="109"/>
      <c r="AX1229" s="10"/>
      <c r="BA1229" s="109"/>
      <c r="BB1229" s="109"/>
      <c r="BD1229" s="10"/>
      <c r="BG1229" s="109"/>
      <c r="BH1229" s="109"/>
      <c r="BJ1229" s="10"/>
      <c r="BM1229" s="109"/>
      <c r="BN1229" s="109"/>
      <c r="BP1229" s="10"/>
      <c r="BS1229" s="109"/>
      <c r="BT1229" s="109"/>
      <c r="BV1229" s="10"/>
      <c r="BY1229" s="109"/>
      <c r="BZ1229" s="109"/>
      <c r="CB1229" s="10"/>
      <c r="CE1229" s="109"/>
      <c r="CF1229" s="109"/>
      <c r="CH1229" s="10"/>
      <c r="CK1229" s="109"/>
      <c r="CL1229" s="109"/>
    </row>
    <row r="1230" spans="1:90">
      <c r="A1230" s="7" t="str">
        <f t="shared" si="191"/>
        <v>02450245</v>
      </c>
      <c r="B1230" s="7" t="s">
        <v>2584</v>
      </c>
      <c r="C1230" s="7" t="s">
        <v>2584</v>
      </c>
      <c r="D1230" s="7">
        <v>1221</v>
      </c>
      <c r="E1230" s="7">
        <v>245</v>
      </c>
      <c r="F1230" s="7" t="s">
        <v>1950</v>
      </c>
      <c r="G1230" s="7">
        <v>245</v>
      </c>
      <c r="H1230" s="7" t="s">
        <v>1511</v>
      </c>
      <c r="I1230" s="37">
        <v>0</v>
      </c>
      <c r="J1230" s="122">
        <v>0</v>
      </c>
      <c r="K1230" s="123">
        <f>X1230</f>
        <v>0</v>
      </c>
      <c r="L1230" s="122">
        <f>IF(K1234&gt;0, K1230/K1234, 0)</f>
        <v>0</v>
      </c>
      <c r="M1230" s="71"/>
      <c r="N1230" s="10">
        <f>ROUND(M1234*L1230,0)</f>
        <v>0</v>
      </c>
      <c r="O1230" s="70">
        <v>0</v>
      </c>
      <c r="P1230" s="10">
        <f>N1230-O1230</f>
        <v>0</v>
      </c>
      <c r="Q1230" s="46">
        <f t="shared" si="189"/>
        <v>0</v>
      </c>
      <c r="R1230" s="10">
        <v>0</v>
      </c>
      <c r="S1230" s="7">
        <f t="shared" si="192"/>
        <v>0</v>
      </c>
      <c r="T1230" s="124">
        <f t="shared" si="193"/>
        <v>245</v>
      </c>
      <c r="U1230" s="124">
        <f t="shared" si="194"/>
        <v>245</v>
      </c>
      <c r="V1230" s="124">
        <f t="shared" si="195"/>
        <v>1221</v>
      </c>
      <c r="W1230" s="124">
        <f t="shared" si="196"/>
        <v>0</v>
      </c>
      <c r="X1230" s="124">
        <f t="shared" si="197"/>
        <v>0</v>
      </c>
      <c r="Y1230" s="264">
        <f t="shared" si="198"/>
        <v>1221</v>
      </c>
      <c r="Z1230" s="10">
        <v>245</v>
      </c>
      <c r="AA1230" s="7">
        <v>245</v>
      </c>
      <c r="AB1230" s="7">
        <v>1221</v>
      </c>
      <c r="AC1230" s="109">
        <v>0</v>
      </c>
      <c r="AD1230" s="109">
        <v>0</v>
      </c>
      <c r="AE1230" s="125"/>
      <c r="AF1230" s="10"/>
      <c r="AI1230" s="109"/>
      <c r="AJ1230" s="109"/>
      <c r="AL1230" s="10"/>
      <c r="AO1230" s="109"/>
      <c r="AP1230" s="109"/>
      <c r="AR1230" s="10"/>
      <c r="AU1230" s="109"/>
      <c r="AV1230" s="109"/>
      <c r="AX1230" s="10"/>
      <c r="BA1230" s="109"/>
      <c r="BB1230" s="109"/>
      <c r="BD1230" s="10"/>
      <c r="BG1230" s="109"/>
      <c r="BH1230" s="109"/>
      <c r="BJ1230" s="10"/>
      <c r="BM1230" s="109"/>
      <c r="BN1230" s="109"/>
      <c r="BP1230" s="10"/>
      <c r="BS1230" s="109"/>
      <c r="BT1230" s="109"/>
      <c r="BV1230" s="10"/>
      <c r="BY1230" s="109"/>
      <c r="BZ1230" s="109"/>
      <c r="CB1230" s="10"/>
      <c r="CE1230" s="109"/>
      <c r="CF1230" s="109"/>
      <c r="CH1230" s="10"/>
      <c r="CK1230" s="109"/>
      <c r="CL1230" s="109"/>
    </row>
    <row r="1231" spans="1:90">
      <c r="A1231" s="7" t="str">
        <f t="shared" si="191"/>
        <v>02450625</v>
      </c>
      <c r="B1231" s="7" t="s">
        <v>2584</v>
      </c>
      <c r="C1231" s="7" t="s">
        <v>2703</v>
      </c>
      <c r="D1231" s="7">
        <v>1222</v>
      </c>
      <c r="E1231" s="7">
        <v>245</v>
      </c>
      <c r="F1231" s="7" t="s">
        <v>1950</v>
      </c>
      <c r="G1231" s="7">
        <v>625</v>
      </c>
      <c r="H1231" s="7" t="s">
        <v>1630</v>
      </c>
      <c r="I1231" s="70">
        <v>19905024</v>
      </c>
      <c r="J1231" s="122">
        <v>0.88413925383001069</v>
      </c>
      <c r="K1231" s="123">
        <f t="shared" si="190"/>
        <v>21173614.646341994</v>
      </c>
      <c r="L1231" s="122">
        <f>IF(K1234&gt;0, K1231/K1234, 0)</f>
        <v>0.89037081388550188</v>
      </c>
      <c r="M1231" s="71"/>
      <c r="N1231" s="10">
        <f>ROUND(M1234*L1231,0)</f>
        <v>12853478</v>
      </c>
      <c r="O1231" s="70">
        <v>12513195</v>
      </c>
      <c r="P1231" s="10">
        <f>N1231-O1231</f>
        <v>340283</v>
      </c>
      <c r="Q1231" s="46">
        <f t="shared" si="189"/>
        <v>2.7193934083181794</v>
      </c>
      <c r="R1231" s="10">
        <v>2099</v>
      </c>
      <c r="S1231" s="7">
        <f t="shared" si="192"/>
        <v>0</v>
      </c>
      <c r="T1231" s="124">
        <f t="shared" si="193"/>
        <v>245</v>
      </c>
      <c r="U1231" s="124">
        <f t="shared" si="194"/>
        <v>625</v>
      </c>
      <c r="V1231" s="124">
        <f t="shared" si="195"/>
        <v>1222</v>
      </c>
      <c r="W1231" s="124">
        <f t="shared" si="196"/>
        <v>2180.76797386305</v>
      </c>
      <c r="X1231" s="124">
        <f t="shared" si="197"/>
        <v>21173614.646341994</v>
      </c>
      <c r="Y1231" s="264">
        <f t="shared" si="198"/>
        <v>1222</v>
      </c>
      <c r="Z1231" s="10">
        <v>245</v>
      </c>
      <c r="AA1231" s="7">
        <v>625</v>
      </c>
      <c r="AB1231" s="7">
        <v>1222</v>
      </c>
      <c r="AC1231" s="109">
        <v>2180.76797386305</v>
      </c>
      <c r="AD1231" s="109">
        <v>21173614.646341994</v>
      </c>
      <c r="AE1231" s="125"/>
      <c r="AF1231" s="10"/>
      <c r="AI1231" s="109"/>
      <c r="AJ1231" s="109"/>
      <c r="AL1231" s="10"/>
      <c r="AO1231" s="109"/>
      <c r="AP1231" s="109"/>
      <c r="AR1231" s="10"/>
      <c r="AU1231" s="109"/>
      <c r="AV1231" s="109"/>
      <c r="AX1231" s="10"/>
      <c r="BA1231" s="109"/>
      <c r="BB1231" s="109"/>
      <c r="BD1231" s="10"/>
      <c r="BG1231" s="109"/>
      <c r="BH1231" s="109"/>
      <c r="BJ1231" s="10"/>
      <c r="BM1231" s="109"/>
      <c r="BN1231" s="109"/>
      <c r="BP1231" s="10"/>
      <c r="BS1231" s="109"/>
      <c r="BT1231" s="109"/>
      <c r="BV1231" s="10"/>
      <c r="BY1231" s="109"/>
      <c r="BZ1231" s="109"/>
      <c r="CB1231" s="10"/>
      <c r="CE1231" s="109"/>
      <c r="CF1231" s="109"/>
      <c r="CH1231" s="10"/>
      <c r="CK1231" s="109"/>
      <c r="CL1231" s="109"/>
    </row>
    <row r="1232" spans="1:90">
      <c r="A1232" s="7" t="str">
        <f t="shared" si="191"/>
        <v>02450810</v>
      </c>
      <c r="B1232" s="7" t="s">
        <v>2584</v>
      </c>
      <c r="C1232" s="7" t="s">
        <v>2755</v>
      </c>
      <c r="D1232" s="7">
        <v>1223</v>
      </c>
      <c r="E1232" s="7">
        <v>245</v>
      </c>
      <c r="F1232" s="7" t="s">
        <v>1950</v>
      </c>
      <c r="G1232" s="7">
        <v>810</v>
      </c>
      <c r="H1232" s="7" t="s">
        <v>1682</v>
      </c>
      <c r="I1232" s="70">
        <v>2439889</v>
      </c>
      <c r="J1232" s="122">
        <v>0.10837473192135065</v>
      </c>
      <c r="K1232" s="123">
        <f t="shared" si="190"/>
        <v>2466501.3287281161</v>
      </c>
      <c r="L1232" s="122">
        <f>IF(K1234&gt;0, K1232/K1234, 0)</f>
        <v>0.10371874770511744</v>
      </c>
      <c r="M1232" s="71"/>
      <c r="N1232" s="10">
        <f>ROUND(M1234*L1232,0)</f>
        <v>1497294</v>
      </c>
      <c r="O1232" s="70">
        <v>1533824</v>
      </c>
      <c r="P1232" s="10">
        <f>N1232-O1232</f>
        <v>-36530</v>
      </c>
      <c r="Q1232" s="46">
        <f>IF(O1232&gt;0,P1232*100/O1232,IF(P1232&gt;0,100,0))</f>
        <v>-2.3816291830092631</v>
      </c>
      <c r="R1232" s="10">
        <v>158</v>
      </c>
      <c r="S1232" s="7">
        <f t="shared" si="192"/>
        <v>0</v>
      </c>
      <c r="T1232" s="124">
        <f t="shared" si="193"/>
        <v>245</v>
      </c>
      <c r="U1232" s="124">
        <f t="shared" si="194"/>
        <v>810</v>
      </c>
      <c r="V1232" s="124">
        <f t="shared" si="195"/>
        <v>1223</v>
      </c>
      <c r="W1232" s="124">
        <f t="shared" si="196"/>
        <v>155.93023256156999</v>
      </c>
      <c r="X1232" s="124">
        <f t="shared" si="197"/>
        <v>2466501.3287281161</v>
      </c>
      <c r="Y1232" s="264">
        <f t="shared" si="198"/>
        <v>1223</v>
      </c>
      <c r="Z1232" s="10">
        <v>245</v>
      </c>
      <c r="AA1232" s="7">
        <v>810</v>
      </c>
      <c r="AB1232" s="7">
        <v>1223</v>
      </c>
      <c r="AC1232" s="109">
        <v>155.93023256156999</v>
      </c>
      <c r="AD1232" s="109">
        <v>2466501.3287281161</v>
      </c>
      <c r="AE1232" s="125"/>
      <c r="AF1232" s="10"/>
      <c r="AI1232" s="109"/>
      <c r="AJ1232" s="109"/>
      <c r="AL1232" s="10"/>
      <c r="AO1232" s="109"/>
      <c r="AP1232" s="109"/>
      <c r="AR1232" s="10"/>
      <c r="AU1232" s="109"/>
      <c r="AV1232" s="109"/>
      <c r="AX1232" s="10"/>
      <c r="BA1232" s="109"/>
      <c r="BB1232" s="109"/>
      <c r="BD1232" s="10"/>
      <c r="BG1232" s="109"/>
      <c r="BH1232" s="109"/>
      <c r="BJ1232" s="10"/>
      <c r="BM1232" s="109"/>
      <c r="BN1232" s="109"/>
      <c r="BP1232" s="10"/>
      <c r="BS1232" s="109"/>
      <c r="BT1232" s="109"/>
      <c r="BV1232" s="10"/>
      <c r="BY1232" s="109"/>
      <c r="BZ1232" s="109"/>
      <c r="CB1232" s="10"/>
      <c r="CE1232" s="109"/>
      <c r="CF1232" s="109"/>
      <c r="CH1232" s="10"/>
      <c r="CK1232" s="109"/>
      <c r="CL1232" s="109"/>
    </row>
    <row r="1233" spans="1:90">
      <c r="A1233" s="7" t="str">
        <f t="shared" si="191"/>
        <v>02450910</v>
      </c>
      <c r="B1233" s="7" t="s">
        <v>2584</v>
      </c>
      <c r="C1233" s="7" t="s">
        <v>2778</v>
      </c>
      <c r="D1233" s="7">
        <v>1224</v>
      </c>
      <c r="E1233" s="7">
        <v>245</v>
      </c>
      <c r="F1233" s="7" t="s">
        <v>1950</v>
      </c>
      <c r="G1233" s="7">
        <v>910</v>
      </c>
      <c r="H1233" s="7" t="s">
        <v>1705</v>
      </c>
      <c r="I1233" s="70">
        <v>168536</v>
      </c>
      <c r="J1233" s="122">
        <v>7.4860142486386696E-3</v>
      </c>
      <c r="K1233" s="123">
        <f t="shared" si="190"/>
        <v>140554.18632270631</v>
      </c>
      <c r="L1233" s="122">
        <f>IF(K1234&gt;0, K1233/K1234, 0)</f>
        <v>5.9104384093805595E-3</v>
      </c>
      <c r="M1233" s="71"/>
      <c r="N1233" s="10">
        <f>ROUND(M1234*L1233,0)</f>
        <v>85324</v>
      </c>
      <c r="O1233" s="70">
        <v>105949</v>
      </c>
      <c r="P1233" s="10">
        <f>N1233-O1233</f>
        <v>-20625</v>
      </c>
      <c r="Q1233" s="46">
        <f>IF(O1233&gt;0,P1233*100/O1233,IF(P1233&gt;0,100,0))</f>
        <v>-19.466913326222993</v>
      </c>
      <c r="R1233" s="10">
        <v>11</v>
      </c>
      <c r="S1233" s="7">
        <f t="shared" si="192"/>
        <v>0</v>
      </c>
      <c r="T1233" s="124">
        <f t="shared" si="193"/>
        <v>245</v>
      </c>
      <c r="U1233" s="124">
        <f t="shared" si="194"/>
        <v>910</v>
      </c>
      <c r="V1233" s="124">
        <f t="shared" si="195"/>
        <v>1224</v>
      </c>
      <c r="W1233" s="124">
        <f t="shared" si="196"/>
        <v>8.9999999982799999</v>
      </c>
      <c r="X1233" s="124">
        <f t="shared" si="197"/>
        <v>140554.18632270631</v>
      </c>
      <c r="Y1233" s="264">
        <f t="shared" si="198"/>
        <v>1224</v>
      </c>
      <c r="Z1233" s="10">
        <v>245</v>
      </c>
      <c r="AA1233" s="7">
        <v>910</v>
      </c>
      <c r="AB1233" s="7">
        <v>1224</v>
      </c>
      <c r="AC1233" s="109">
        <v>8.9999999982799999</v>
      </c>
      <c r="AD1233" s="109">
        <v>140554.18632270631</v>
      </c>
      <c r="AE1233" s="125"/>
      <c r="AF1233" s="10"/>
      <c r="AI1233" s="109"/>
      <c r="AJ1233" s="109"/>
      <c r="AL1233" s="10"/>
      <c r="AO1233" s="109"/>
      <c r="AP1233" s="109"/>
      <c r="AR1233" s="10"/>
      <c r="AU1233" s="109"/>
      <c r="AV1233" s="109"/>
      <c r="AX1233" s="10"/>
      <c r="BA1233" s="109"/>
      <c r="BB1233" s="109"/>
      <c r="BD1233" s="10"/>
      <c r="BG1233" s="109"/>
      <c r="BH1233" s="109"/>
      <c r="BJ1233" s="10"/>
      <c r="BM1233" s="109"/>
      <c r="BN1233" s="109"/>
      <c r="BP1233" s="10"/>
      <c r="BS1233" s="109"/>
      <c r="BT1233" s="109"/>
      <c r="BV1233" s="10"/>
      <c r="BY1233" s="109"/>
      <c r="BZ1233" s="109"/>
      <c r="CB1233" s="10"/>
      <c r="CE1233" s="109"/>
      <c r="CF1233" s="109"/>
      <c r="CH1233" s="10"/>
      <c r="CK1233" s="109"/>
      <c r="CL1233" s="109"/>
    </row>
    <row r="1234" spans="1:90">
      <c r="A1234" s="7" t="str">
        <f t="shared" si="191"/>
        <v>02450999</v>
      </c>
      <c r="B1234" s="7" t="s">
        <v>2584</v>
      </c>
      <c r="C1234" s="7" t="s">
        <v>2782</v>
      </c>
      <c r="D1234" s="7">
        <v>1225</v>
      </c>
      <c r="E1234" s="11">
        <v>245</v>
      </c>
      <c r="F1234" s="11" t="s">
        <v>1950</v>
      </c>
      <c r="G1234" s="11">
        <v>999</v>
      </c>
      <c r="H1234" s="11" t="s">
        <v>1132</v>
      </c>
      <c r="I1234" s="134">
        <v>22513449</v>
      </c>
      <c r="J1234" s="126">
        <v>1</v>
      </c>
      <c r="K1234" s="127">
        <f>SUM(K1230:K1233)</f>
        <v>23780670.161392819</v>
      </c>
      <c r="L1234" s="126">
        <f>SUM(L1230:L1233)</f>
        <v>0.99999999999999989</v>
      </c>
      <c r="M1234" s="105">
        <f>VLOOKUP(E1234,town351,22)</f>
        <v>14436095</v>
      </c>
      <c r="N1234" s="105">
        <f>SUM(N1230:N1233)</f>
        <v>14436096</v>
      </c>
      <c r="O1234" s="128">
        <v>14152968</v>
      </c>
      <c r="P1234" s="105">
        <f>SUM(P1230:P1233)</f>
        <v>283128</v>
      </c>
      <c r="Q1234" s="45">
        <f t="shared" ref="Q1234:Q1295" si="199">IF(O1234&gt;0,P1234*100/O1234,IF(P1234&gt;0,100,0))</f>
        <v>2.0004849866119954</v>
      </c>
      <c r="R1234" s="105">
        <v>2268</v>
      </c>
      <c r="S1234" s="7">
        <f t="shared" si="192"/>
        <v>0</v>
      </c>
      <c r="T1234" s="124">
        <f t="shared" si="193"/>
        <v>245</v>
      </c>
      <c r="U1234" s="124">
        <f t="shared" si="194"/>
        <v>999</v>
      </c>
      <c r="V1234" s="124">
        <f t="shared" si="195"/>
        <v>1225</v>
      </c>
      <c r="W1234" s="124">
        <f t="shared" si="196"/>
        <v>2345.6982064229001</v>
      </c>
      <c r="X1234" s="124">
        <f t="shared" si="197"/>
        <v>23780670.161392819</v>
      </c>
      <c r="Y1234" s="264">
        <f t="shared" si="198"/>
        <v>1225</v>
      </c>
      <c r="Z1234" s="10">
        <v>245</v>
      </c>
      <c r="AA1234" s="7">
        <v>999</v>
      </c>
      <c r="AB1234" s="7">
        <v>1225</v>
      </c>
      <c r="AC1234" s="109">
        <v>2345.6982064229001</v>
      </c>
      <c r="AD1234" s="109">
        <v>23780670.161392819</v>
      </c>
      <c r="AE1234" s="125"/>
      <c r="AF1234" s="10"/>
      <c r="AI1234" s="109"/>
      <c r="AJ1234" s="109"/>
      <c r="AL1234" s="10"/>
      <c r="AO1234" s="109"/>
      <c r="AP1234" s="109"/>
      <c r="AR1234" s="10"/>
      <c r="AU1234" s="109"/>
      <c r="AV1234" s="109"/>
      <c r="AX1234" s="10"/>
      <c r="BA1234" s="109"/>
      <c r="BB1234" s="109"/>
      <c r="BD1234" s="10"/>
      <c r="BG1234" s="109"/>
      <c r="BH1234" s="109"/>
      <c r="BJ1234" s="10"/>
      <c r="BM1234" s="109"/>
      <c r="BN1234" s="109"/>
      <c r="BP1234" s="10"/>
      <c r="BS1234" s="109"/>
      <c r="BT1234" s="109"/>
      <c r="BV1234" s="10"/>
      <c r="BY1234" s="109"/>
      <c r="BZ1234" s="109"/>
      <c r="CB1234" s="10"/>
      <c r="CE1234" s="109"/>
      <c r="CF1234" s="109"/>
      <c r="CH1234" s="10"/>
      <c r="CK1234" s="109"/>
      <c r="CL1234" s="109"/>
    </row>
    <row r="1235" spans="1:90">
      <c r="A1235" s="7" t="str">
        <f t="shared" si="191"/>
        <v>02460246</v>
      </c>
      <c r="B1235" s="7" t="s">
        <v>2585</v>
      </c>
      <c r="C1235" s="7" t="s">
        <v>2585</v>
      </c>
      <c r="D1235" s="7">
        <v>1226</v>
      </c>
      <c r="E1235" s="7">
        <v>246</v>
      </c>
      <c r="F1235" s="7" t="s">
        <v>1951</v>
      </c>
      <c r="G1235" s="7">
        <v>246</v>
      </c>
      <c r="H1235" s="7" t="s">
        <v>1512</v>
      </c>
      <c r="I1235" s="37">
        <v>39861932.613879994</v>
      </c>
      <c r="J1235" s="122">
        <v>0.99337330517802247</v>
      </c>
      <c r="K1235" s="123">
        <f>X1235</f>
        <v>40268620.860512272</v>
      </c>
      <c r="L1235" s="122">
        <f>IF(K1239&gt;0, K1235/K1239, 0)</f>
        <v>0.99248007166461993</v>
      </c>
      <c r="M1235" s="71"/>
      <c r="N1235" s="10">
        <f>ROUND(M1239*L1235,0)</f>
        <v>33365588</v>
      </c>
      <c r="O1235" s="70">
        <v>32924851</v>
      </c>
      <c r="P1235" s="10">
        <f>N1235-O1235</f>
        <v>440737</v>
      </c>
      <c r="Q1235" s="46">
        <f t="shared" si="199"/>
        <v>1.3386150175744151</v>
      </c>
      <c r="R1235" s="10">
        <v>4234</v>
      </c>
      <c r="S1235" s="7">
        <f t="shared" si="192"/>
        <v>0</v>
      </c>
      <c r="T1235" s="124">
        <f t="shared" si="193"/>
        <v>246</v>
      </c>
      <c r="U1235" s="124">
        <f t="shared" si="194"/>
        <v>246</v>
      </c>
      <c r="V1235" s="124">
        <f t="shared" si="195"/>
        <v>1226</v>
      </c>
      <c r="W1235" s="124">
        <f t="shared" si="196"/>
        <v>4191</v>
      </c>
      <c r="X1235" s="124">
        <f t="shared" si="197"/>
        <v>40268620.860512272</v>
      </c>
      <c r="Y1235" s="264">
        <f t="shared" si="198"/>
        <v>1226</v>
      </c>
      <c r="Z1235" s="10">
        <v>246</v>
      </c>
      <c r="AA1235" s="7">
        <v>246</v>
      </c>
      <c r="AB1235" s="7">
        <v>1226</v>
      </c>
      <c r="AC1235" s="109">
        <v>4191</v>
      </c>
      <c r="AD1235" s="109">
        <v>40268620.860512272</v>
      </c>
      <c r="AE1235" s="125"/>
      <c r="AF1235" s="10"/>
      <c r="AI1235" s="109"/>
      <c r="AJ1235" s="109"/>
      <c r="AL1235" s="10"/>
      <c r="AO1235" s="109"/>
      <c r="AP1235" s="109"/>
      <c r="AR1235" s="10"/>
      <c r="AU1235" s="109"/>
      <c r="AV1235" s="109"/>
      <c r="AX1235" s="10"/>
      <c r="BA1235" s="109"/>
      <c r="BB1235" s="109"/>
      <c r="BD1235" s="10"/>
      <c r="BG1235" s="109"/>
      <c r="BH1235" s="109"/>
      <c r="BJ1235" s="10"/>
      <c r="BM1235" s="109"/>
      <c r="BN1235" s="109"/>
      <c r="BP1235" s="10"/>
      <c r="BS1235" s="109"/>
      <c r="BT1235" s="109"/>
      <c r="BV1235" s="10"/>
      <c r="BY1235" s="109"/>
      <c r="BZ1235" s="109"/>
      <c r="CB1235" s="10"/>
      <c r="CE1235" s="109"/>
      <c r="CF1235" s="109"/>
      <c r="CH1235" s="10"/>
      <c r="CK1235" s="109"/>
      <c r="CL1235" s="109"/>
    </row>
    <row r="1236" spans="1:90">
      <c r="A1236" s="7" t="str">
        <f t="shared" si="191"/>
        <v>02460853</v>
      </c>
      <c r="B1236" s="7" t="s">
        <v>2585</v>
      </c>
      <c r="C1236" s="7" t="s">
        <v>2768</v>
      </c>
      <c r="D1236" s="7">
        <v>1227</v>
      </c>
      <c r="E1236" s="7">
        <v>246</v>
      </c>
      <c r="F1236" s="7" t="s">
        <v>1951</v>
      </c>
      <c r="G1236" s="7">
        <v>853</v>
      </c>
      <c r="H1236" s="7" t="s">
        <v>1695</v>
      </c>
      <c r="I1236" s="37">
        <v>265915</v>
      </c>
      <c r="J1236" s="122">
        <v>6.6266948219774816E-3</v>
      </c>
      <c r="K1236" s="123">
        <f t="shared" si="190"/>
        <v>305111.56010190037</v>
      </c>
      <c r="L1236" s="122">
        <f>IF(K1239&gt;0, K1236/K1239, 0)</f>
        <v>7.5199283353799429E-3</v>
      </c>
      <c r="M1236" s="71"/>
      <c r="N1236" s="10">
        <f>ROUND(M1239*L1236,0)</f>
        <v>252808</v>
      </c>
      <c r="O1236" s="70">
        <v>219638</v>
      </c>
      <c r="P1236" s="10">
        <f>N1236-O1236</f>
        <v>33170</v>
      </c>
      <c r="Q1236" s="46">
        <f t="shared" si="199"/>
        <v>15.102122583523798</v>
      </c>
      <c r="R1236" s="10">
        <v>16</v>
      </c>
      <c r="S1236" s="7">
        <f t="shared" si="192"/>
        <v>0</v>
      </c>
      <c r="T1236" s="124">
        <f t="shared" si="193"/>
        <v>246</v>
      </c>
      <c r="U1236" s="124">
        <f t="shared" si="194"/>
        <v>853</v>
      </c>
      <c r="V1236" s="124">
        <f t="shared" si="195"/>
        <v>1227</v>
      </c>
      <c r="W1236" s="124">
        <f t="shared" si="196"/>
        <v>18.00000000456</v>
      </c>
      <c r="X1236" s="124">
        <f t="shared" si="197"/>
        <v>305111.56010190037</v>
      </c>
      <c r="Y1236" s="264">
        <f t="shared" si="198"/>
        <v>1227</v>
      </c>
      <c r="Z1236" s="10">
        <v>246</v>
      </c>
      <c r="AA1236" s="7">
        <v>853</v>
      </c>
      <c r="AB1236" s="7">
        <v>1227</v>
      </c>
      <c r="AC1236" s="109">
        <v>18.00000000456</v>
      </c>
      <c r="AD1236" s="109">
        <v>305111.56010190037</v>
      </c>
      <c r="AE1236" s="125"/>
      <c r="AF1236" s="10"/>
      <c r="AI1236" s="109"/>
      <c r="AJ1236" s="109"/>
      <c r="AL1236" s="10"/>
      <c r="AO1236" s="109"/>
      <c r="AP1236" s="109"/>
      <c r="AR1236" s="10"/>
      <c r="AU1236" s="109"/>
      <c r="AV1236" s="109"/>
      <c r="AX1236" s="10"/>
      <c r="BA1236" s="109"/>
      <c r="BB1236" s="109"/>
      <c r="BD1236" s="10"/>
      <c r="BG1236" s="109"/>
      <c r="BH1236" s="109"/>
      <c r="BJ1236" s="10"/>
      <c r="BM1236" s="109"/>
      <c r="BN1236" s="109"/>
      <c r="BP1236" s="10"/>
      <c r="BS1236" s="109"/>
      <c r="BT1236" s="109"/>
      <c r="BV1236" s="10"/>
      <c r="BY1236" s="109"/>
      <c r="BZ1236" s="109"/>
      <c r="CB1236" s="10"/>
      <c r="CE1236" s="109"/>
      <c r="CF1236" s="109"/>
      <c r="CH1236" s="10"/>
      <c r="CK1236" s="109"/>
      <c r="CL1236" s="109"/>
    </row>
    <row r="1237" spans="1:90">
      <c r="A1237" s="7" t="str">
        <f t="shared" si="191"/>
        <v>02460998</v>
      </c>
      <c r="B1237" s="7" t="s">
        <v>2585</v>
      </c>
      <c r="C1237" s="7" t="s">
        <v>2781</v>
      </c>
      <c r="D1237" s="7">
        <v>1228</v>
      </c>
      <c r="E1237" s="7">
        <v>246</v>
      </c>
      <c r="F1237" s="7" t="s">
        <v>2135</v>
      </c>
      <c r="G1237" s="7">
        <v>998</v>
      </c>
      <c r="I1237" s="129">
        <v>0</v>
      </c>
      <c r="J1237" s="130">
        <v>0</v>
      </c>
      <c r="K1237" s="123">
        <f t="shared" si="190"/>
        <v>0</v>
      </c>
      <c r="L1237" s="122">
        <f>IF(K1239&gt;0, K1237/K1239, 0)</f>
        <v>0</v>
      </c>
      <c r="M1237" s="71"/>
      <c r="N1237" s="10">
        <f>ROUND(M1239*L1237,0)</f>
        <v>0</v>
      </c>
      <c r="O1237" s="70">
        <v>0</v>
      </c>
      <c r="P1237" s="10">
        <f>N1237-O1237</f>
        <v>0</v>
      </c>
      <c r="Q1237" s="46">
        <f t="shared" si="199"/>
        <v>0</v>
      </c>
      <c r="R1237" s="10">
        <v>0</v>
      </c>
      <c r="S1237" s="7">
        <f t="shared" si="192"/>
        <v>0</v>
      </c>
      <c r="T1237" s="124">
        <f t="shared" si="193"/>
        <v>246</v>
      </c>
      <c r="U1237" s="124">
        <f t="shared" si="194"/>
        <v>998</v>
      </c>
      <c r="V1237" s="124">
        <f t="shared" si="195"/>
        <v>1228</v>
      </c>
      <c r="W1237" s="124">
        <f t="shared" si="196"/>
        <v>0</v>
      </c>
      <c r="X1237" s="124">
        <f t="shared" si="197"/>
        <v>0</v>
      </c>
      <c r="Y1237" s="264">
        <f t="shared" si="198"/>
        <v>1228</v>
      </c>
      <c r="Z1237" s="10">
        <v>246</v>
      </c>
      <c r="AA1237" s="7">
        <v>998</v>
      </c>
      <c r="AB1237" s="7">
        <v>1228</v>
      </c>
      <c r="AC1237" s="109">
        <v>0</v>
      </c>
      <c r="AD1237" s="109">
        <v>0</v>
      </c>
      <c r="AE1237" s="125"/>
      <c r="AF1237" s="10"/>
      <c r="AI1237" s="109"/>
      <c r="AJ1237" s="109"/>
      <c r="AL1237" s="10"/>
      <c r="AO1237" s="109"/>
      <c r="AP1237" s="109"/>
      <c r="AR1237" s="10"/>
      <c r="AU1237" s="109"/>
      <c r="AV1237" s="109"/>
      <c r="AX1237" s="10"/>
      <c r="BA1237" s="109"/>
      <c r="BB1237" s="109"/>
      <c r="BD1237" s="10"/>
      <c r="BG1237" s="109"/>
      <c r="BH1237" s="109"/>
      <c r="BJ1237" s="10"/>
      <c r="BM1237" s="109"/>
      <c r="BN1237" s="109"/>
      <c r="BP1237" s="10"/>
      <c r="BS1237" s="109"/>
      <c r="BT1237" s="109"/>
      <c r="BV1237" s="10"/>
      <c r="BY1237" s="109"/>
      <c r="BZ1237" s="109"/>
      <c r="CB1237" s="10"/>
      <c r="CE1237" s="109"/>
      <c r="CF1237" s="109"/>
      <c r="CH1237" s="10"/>
      <c r="CK1237" s="109"/>
      <c r="CL1237" s="109"/>
    </row>
    <row r="1238" spans="1:90">
      <c r="A1238" s="7" t="str">
        <f t="shared" si="191"/>
        <v>02460998</v>
      </c>
      <c r="B1238" s="7" t="s">
        <v>2585</v>
      </c>
      <c r="C1238" s="7" t="s">
        <v>2781</v>
      </c>
      <c r="D1238" s="7">
        <v>1229</v>
      </c>
      <c r="E1238" s="7">
        <v>246</v>
      </c>
      <c r="F1238" s="7" t="s">
        <v>2135</v>
      </c>
      <c r="G1238" s="7">
        <v>998</v>
      </c>
      <c r="H1238" s="7" t="s">
        <v>2135</v>
      </c>
      <c r="I1238" s="37">
        <v>0</v>
      </c>
      <c r="J1238" s="122">
        <v>0</v>
      </c>
      <c r="K1238" s="123">
        <f t="shared" si="190"/>
        <v>0</v>
      </c>
      <c r="L1238" s="122">
        <f>IF(K1239&gt;0, K1238/K1239, 0)</f>
        <v>0</v>
      </c>
      <c r="M1238" s="71"/>
      <c r="N1238" s="10">
        <f>ROUND(M1239*L1238,0)</f>
        <v>0</v>
      </c>
      <c r="O1238" s="70">
        <v>0</v>
      </c>
      <c r="P1238" s="10">
        <f>N1238-O1238</f>
        <v>0</v>
      </c>
      <c r="Q1238" s="46">
        <f t="shared" si="199"/>
        <v>0</v>
      </c>
      <c r="R1238" s="10">
        <v>0</v>
      </c>
      <c r="S1238" s="7">
        <f t="shared" si="192"/>
        <v>0</v>
      </c>
      <c r="T1238" s="124">
        <f t="shared" si="193"/>
        <v>246</v>
      </c>
      <c r="U1238" s="124">
        <f t="shared" si="194"/>
        <v>998</v>
      </c>
      <c r="V1238" s="124">
        <f t="shared" si="195"/>
        <v>1229</v>
      </c>
      <c r="W1238" s="124">
        <f t="shared" si="196"/>
        <v>0</v>
      </c>
      <c r="X1238" s="124">
        <f t="shared" si="197"/>
        <v>0</v>
      </c>
      <c r="Y1238" s="264">
        <f t="shared" si="198"/>
        <v>1229</v>
      </c>
      <c r="Z1238" s="10">
        <v>246</v>
      </c>
      <c r="AA1238" s="7">
        <v>998</v>
      </c>
      <c r="AB1238" s="7">
        <v>1229</v>
      </c>
      <c r="AC1238" s="109">
        <v>0</v>
      </c>
      <c r="AD1238" s="109">
        <v>0</v>
      </c>
      <c r="AE1238" s="125"/>
      <c r="AF1238" s="10"/>
      <c r="AI1238" s="109"/>
      <c r="AJ1238" s="109"/>
      <c r="AL1238" s="10"/>
      <c r="AO1238" s="109"/>
      <c r="AP1238" s="109"/>
      <c r="AR1238" s="10"/>
      <c r="AU1238" s="109"/>
      <c r="AV1238" s="109"/>
      <c r="AX1238" s="10"/>
      <c r="BA1238" s="109"/>
      <c r="BB1238" s="109"/>
      <c r="BD1238" s="10"/>
      <c r="BG1238" s="109"/>
      <c r="BH1238" s="109"/>
      <c r="BJ1238" s="10"/>
      <c r="BM1238" s="109"/>
      <c r="BN1238" s="109"/>
      <c r="BP1238" s="10"/>
      <c r="BS1238" s="109"/>
      <c r="BT1238" s="109"/>
      <c r="BV1238" s="10"/>
      <c r="BY1238" s="109"/>
      <c r="BZ1238" s="109"/>
      <c r="CB1238" s="10"/>
      <c r="CE1238" s="109"/>
      <c r="CF1238" s="109"/>
      <c r="CH1238" s="10"/>
      <c r="CK1238" s="109"/>
      <c r="CL1238" s="109"/>
    </row>
    <row r="1239" spans="1:90">
      <c r="A1239" s="7" t="str">
        <f t="shared" si="191"/>
        <v>02460999</v>
      </c>
      <c r="B1239" s="7" t="s">
        <v>2585</v>
      </c>
      <c r="C1239" s="7" t="s">
        <v>2782</v>
      </c>
      <c r="D1239" s="7">
        <v>1230</v>
      </c>
      <c r="E1239" s="11">
        <v>246</v>
      </c>
      <c r="F1239" s="11" t="s">
        <v>1951</v>
      </c>
      <c r="G1239" s="11">
        <v>999</v>
      </c>
      <c r="H1239" s="11" t="s">
        <v>1132</v>
      </c>
      <c r="I1239" s="105">
        <v>40127847.613879994</v>
      </c>
      <c r="J1239" s="126">
        <v>1</v>
      </c>
      <c r="K1239" s="127">
        <f>SUM(K1235:K1238)</f>
        <v>40573732.420614175</v>
      </c>
      <c r="L1239" s="126">
        <f>SUM(L1235:L1238)</f>
        <v>0.99999999999999989</v>
      </c>
      <c r="M1239" s="105">
        <f>VLOOKUP(E1239,town351,22)</f>
        <v>33618396</v>
      </c>
      <c r="N1239" s="105">
        <f>SUM(N1235:N1238)</f>
        <v>33618396</v>
      </c>
      <c r="O1239" s="128">
        <v>33144489</v>
      </c>
      <c r="P1239" s="105">
        <f>SUM(P1235:P1238)</f>
        <v>473907</v>
      </c>
      <c r="Q1239" s="45">
        <f t="shared" si="199"/>
        <v>1.4298214101294486</v>
      </c>
      <c r="R1239" s="105">
        <v>4250</v>
      </c>
      <c r="S1239" s="7">
        <f t="shared" si="192"/>
        <v>0</v>
      </c>
      <c r="T1239" s="124">
        <f t="shared" si="193"/>
        <v>246</v>
      </c>
      <c r="U1239" s="124">
        <f t="shared" si="194"/>
        <v>999</v>
      </c>
      <c r="V1239" s="124">
        <f t="shared" si="195"/>
        <v>1230</v>
      </c>
      <c r="W1239" s="124">
        <f t="shared" si="196"/>
        <v>4209.0000000045602</v>
      </c>
      <c r="X1239" s="124">
        <f t="shared" si="197"/>
        <v>40573732.420614175</v>
      </c>
      <c r="Y1239" s="264">
        <f t="shared" si="198"/>
        <v>1230</v>
      </c>
      <c r="Z1239" s="10">
        <v>246</v>
      </c>
      <c r="AA1239" s="7">
        <v>999</v>
      </c>
      <c r="AB1239" s="7">
        <v>1230</v>
      </c>
      <c r="AC1239" s="109">
        <v>4209.0000000045602</v>
      </c>
      <c r="AD1239" s="109">
        <v>40573732.420614175</v>
      </c>
      <c r="AE1239" s="125"/>
      <c r="AF1239" s="10"/>
      <c r="AI1239" s="109"/>
      <c r="AJ1239" s="109"/>
      <c r="AL1239" s="10"/>
      <c r="AO1239" s="109"/>
      <c r="AP1239" s="109"/>
      <c r="AR1239" s="10"/>
      <c r="AU1239" s="109"/>
      <c r="AV1239" s="109"/>
      <c r="AX1239" s="10"/>
      <c r="BA1239" s="109"/>
      <c r="BB1239" s="109"/>
      <c r="BD1239" s="10"/>
      <c r="BG1239" s="109"/>
      <c r="BH1239" s="109"/>
      <c r="BJ1239" s="10"/>
      <c r="BM1239" s="109"/>
      <c r="BN1239" s="109"/>
      <c r="BP1239" s="10"/>
      <c r="BS1239" s="109"/>
      <c r="BT1239" s="109"/>
      <c r="BV1239" s="10"/>
      <c r="BY1239" s="109"/>
      <c r="BZ1239" s="109"/>
      <c r="CB1239" s="10"/>
      <c r="CE1239" s="109"/>
      <c r="CF1239" s="109"/>
      <c r="CH1239" s="10"/>
      <c r="CK1239" s="109"/>
      <c r="CL1239" s="109"/>
    </row>
    <row r="1240" spans="1:90">
      <c r="A1240" s="7" t="str">
        <f t="shared" si="191"/>
        <v>02470247</v>
      </c>
      <c r="B1240" s="7" t="s">
        <v>2586</v>
      </c>
      <c r="C1240" s="7" t="s">
        <v>2586</v>
      </c>
      <c r="D1240" s="7">
        <v>1231</v>
      </c>
      <c r="E1240" s="7">
        <v>247</v>
      </c>
      <c r="F1240" s="7" t="s">
        <v>1952</v>
      </c>
      <c r="G1240" s="7">
        <v>247</v>
      </c>
      <c r="H1240" s="7" t="s">
        <v>1513</v>
      </c>
      <c r="I1240" s="37">
        <v>0</v>
      </c>
      <c r="J1240" s="122">
        <v>0</v>
      </c>
      <c r="K1240" s="123">
        <f>X1240</f>
        <v>0</v>
      </c>
      <c r="L1240" s="122">
        <f>IF(K1244&gt;0, K1240/K1244, 0)</f>
        <v>0</v>
      </c>
      <c r="M1240" s="71"/>
      <c r="N1240" s="10">
        <f>ROUND(M1244*L1240,0)</f>
        <v>0</v>
      </c>
      <c r="O1240" s="70">
        <v>0</v>
      </c>
      <c r="P1240" s="10">
        <f>N1240-O1240</f>
        <v>0</v>
      </c>
      <c r="Q1240" s="46">
        <f t="shared" si="199"/>
        <v>0</v>
      </c>
      <c r="R1240" s="10">
        <v>0</v>
      </c>
      <c r="S1240" s="7">
        <f t="shared" si="192"/>
        <v>0</v>
      </c>
      <c r="T1240" s="124">
        <f t="shared" si="193"/>
        <v>247</v>
      </c>
      <c r="U1240" s="124">
        <f t="shared" si="194"/>
        <v>247</v>
      </c>
      <c r="V1240" s="124">
        <f t="shared" si="195"/>
        <v>1231</v>
      </c>
      <c r="W1240" s="124">
        <f t="shared" si="196"/>
        <v>0</v>
      </c>
      <c r="X1240" s="124">
        <f t="shared" si="197"/>
        <v>0</v>
      </c>
      <c r="Y1240" s="264">
        <f t="shared" si="198"/>
        <v>1231</v>
      </c>
      <c r="Z1240" s="10">
        <v>247</v>
      </c>
      <c r="AA1240" s="7">
        <v>247</v>
      </c>
      <c r="AB1240" s="7">
        <v>1231</v>
      </c>
      <c r="AC1240" s="109">
        <v>0</v>
      </c>
      <c r="AD1240" s="109">
        <v>0</v>
      </c>
      <c r="AE1240" s="125"/>
      <c r="AF1240" s="10"/>
      <c r="AI1240" s="109"/>
      <c r="AJ1240" s="109"/>
      <c r="AL1240" s="10"/>
      <c r="AO1240" s="109"/>
      <c r="AP1240" s="109"/>
      <c r="AR1240" s="10"/>
      <c r="AU1240" s="109"/>
      <c r="AV1240" s="109"/>
      <c r="AX1240" s="10"/>
      <c r="BA1240" s="109"/>
      <c r="BB1240" s="109"/>
      <c r="BD1240" s="10"/>
      <c r="BG1240" s="109"/>
      <c r="BH1240" s="109"/>
      <c r="BJ1240" s="10"/>
      <c r="BM1240" s="109"/>
      <c r="BN1240" s="109"/>
      <c r="BP1240" s="10"/>
      <c r="BS1240" s="109"/>
      <c r="BT1240" s="109"/>
      <c r="BV1240" s="10"/>
      <c r="BY1240" s="109"/>
      <c r="BZ1240" s="109"/>
      <c r="CB1240" s="10"/>
      <c r="CE1240" s="109"/>
      <c r="CF1240" s="109"/>
      <c r="CH1240" s="10"/>
      <c r="CK1240" s="109"/>
      <c r="CL1240" s="109"/>
    </row>
    <row r="1241" spans="1:90">
      <c r="A1241" s="7" t="str">
        <f t="shared" si="191"/>
        <v>02470650</v>
      </c>
      <c r="B1241" s="7" t="s">
        <v>2586</v>
      </c>
      <c r="C1241" s="7" t="s">
        <v>2708</v>
      </c>
      <c r="D1241" s="7">
        <v>1232</v>
      </c>
      <c r="E1241" s="7">
        <v>247</v>
      </c>
      <c r="F1241" s="7" t="s">
        <v>1952</v>
      </c>
      <c r="G1241" s="7">
        <v>650</v>
      </c>
      <c r="H1241" s="7" t="s">
        <v>1635</v>
      </c>
      <c r="I1241" s="37">
        <v>17159883</v>
      </c>
      <c r="J1241" s="122">
        <v>0.93201152269561294</v>
      </c>
      <c r="K1241" s="123">
        <f t="shared" si="190"/>
        <v>16710934.423681956</v>
      </c>
      <c r="L1241" s="122">
        <f>IF(K1244&gt;0, K1241/K1244, 0)</f>
        <v>0.92810470591706473</v>
      </c>
      <c r="M1241" s="71"/>
      <c r="N1241" s="10">
        <f>ROUND(M1244*L1241,0)</f>
        <v>12306558</v>
      </c>
      <c r="O1241" s="70">
        <v>11862509</v>
      </c>
      <c r="P1241" s="10">
        <f>N1241-O1241</f>
        <v>444049</v>
      </c>
      <c r="Q1241" s="46">
        <f t="shared" si="199"/>
        <v>3.7432974761072888</v>
      </c>
      <c r="R1241" s="10">
        <v>1729</v>
      </c>
      <c r="S1241" s="7">
        <f t="shared" si="192"/>
        <v>0</v>
      </c>
      <c r="T1241" s="124">
        <f t="shared" si="193"/>
        <v>247</v>
      </c>
      <c r="U1241" s="124">
        <f t="shared" si="194"/>
        <v>650</v>
      </c>
      <c r="V1241" s="124">
        <f t="shared" si="195"/>
        <v>1232</v>
      </c>
      <c r="W1241" s="124">
        <f t="shared" si="196"/>
        <v>1670.4204193832402</v>
      </c>
      <c r="X1241" s="124">
        <f t="shared" si="197"/>
        <v>16710934.423681956</v>
      </c>
      <c r="Y1241" s="264">
        <f t="shared" si="198"/>
        <v>1232</v>
      </c>
      <c r="Z1241" s="10">
        <v>247</v>
      </c>
      <c r="AA1241" s="7">
        <v>650</v>
      </c>
      <c r="AB1241" s="7">
        <v>1232</v>
      </c>
      <c r="AC1241" s="109">
        <v>1670.4204193832402</v>
      </c>
      <c r="AD1241" s="109">
        <v>16710934.423681956</v>
      </c>
      <c r="AE1241" s="125"/>
      <c r="AF1241" s="10"/>
      <c r="AI1241" s="109"/>
      <c r="AJ1241" s="109"/>
      <c r="AL1241" s="10"/>
      <c r="AO1241" s="109"/>
      <c r="AP1241" s="109"/>
      <c r="AR1241" s="10"/>
      <c r="AU1241" s="109"/>
      <c r="AV1241" s="109"/>
      <c r="AX1241" s="10"/>
      <c r="BA1241" s="109"/>
      <c r="BB1241" s="109"/>
      <c r="BD1241" s="10"/>
      <c r="BG1241" s="109"/>
      <c r="BH1241" s="109"/>
      <c r="BJ1241" s="10"/>
      <c r="BM1241" s="109"/>
      <c r="BN1241" s="109"/>
      <c r="BP1241" s="10"/>
      <c r="BS1241" s="109"/>
      <c r="BT1241" s="109"/>
      <c r="BV1241" s="10"/>
      <c r="BY1241" s="109"/>
      <c r="BZ1241" s="109"/>
      <c r="CB1241" s="10"/>
      <c r="CE1241" s="109"/>
      <c r="CF1241" s="109"/>
      <c r="CH1241" s="10"/>
      <c r="CK1241" s="109"/>
      <c r="CL1241" s="109"/>
    </row>
    <row r="1242" spans="1:90">
      <c r="A1242" s="7" t="str">
        <f t="shared" si="191"/>
        <v>02470810</v>
      </c>
      <c r="B1242" s="7" t="s">
        <v>2586</v>
      </c>
      <c r="C1242" s="7" t="s">
        <v>2755</v>
      </c>
      <c r="D1242" s="7">
        <v>1233</v>
      </c>
      <c r="E1242" s="7">
        <v>247</v>
      </c>
      <c r="F1242" s="7" t="s">
        <v>1952</v>
      </c>
      <c r="G1242" s="7">
        <v>810</v>
      </c>
      <c r="H1242" s="7" t="s">
        <v>1682</v>
      </c>
      <c r="I1242" s="37">
        <v>761494</v>
      </c>
      <c r="J1242" s="122">
        <v>4.1359325262507504E-2</v>
      </c>
      <c r="K1242" s="123">
        <f>X1242</f>
        <v>747906.85442313063</v>
      </c>
      <c r="L1242" s="122">
        <f>IF(K1244&gt;0, K1242/K1244, 0)</f>
        <v>4.1537825089783112E-2</v>
      </c>
      <c r="M1242" s="71"/>
      <c r="N1242" s="10">
        <f>ROUND(M1244*L1242,0)</f>
        <v>550787</v>
      </c>
      <c r="O1242" s="70">
        <v>526416</v>
      </c>
      <c r="P1242" s="10">
        <f>N1242-O1242</f>
        <v>24371</v>
      </c>
      <c r="Q1242" s="46">
        <f t="shared" si="199"/>
        <v>4.6296085225373087</v>
      </c>
      <c r="R1242" s="10">
        <v>49</v>
      </c>
      <c r="S1242" s="7">
        <f t="shared" si="192"/>
        <v>0</v>
      </c>
      <c r="T1242" s="124">
        <f t="shared" si="193"/>
        <v>247</v>
      </c>
      <c r="U1242" s="124">
        <f t="shared" si="194"/>
        <v>810</v>
      </c>
      <c r="V1242" s="124">
        <f t="shared" si="195"/>
        <v>1233</v>
      </c>
      <c r="W1242" s="124">
        <f t="shared" si="196"/>
        <v>47.282070512700002</v>
      </c>
      <c r="X1242" s="124">
        <f t="shared" si="197"/>
        <v>747906.85442313063</v>
      </c>
      <c r="Y1242" s="264">
        <f t="shared" si="198"/>
        <v>1233</v>
      </c>
      <c r="Z1242" s="10">
        <v>247</v>
      </c>
      <c r="AA1242" s="7">
        <v>810</v>
      </c>
      <c r="AB1242" s="7">
        <v>1233</v>
      </c>
      <c r="AC1242" s="109">
        <v>47.282070512700002</v>
      </c>
      <c r="AD1242" s="109">
        <v>747906.85442313063</v>
      </c>
      <c r="AE1242" s="125"/>
      <c r="AF1242" s="10"/>
      <c r="AI1242" s="109"/>
      <c r="AJ1242" s="109"/>
      <c r="AL1242" s="10"/>
      <c r="AO1242" s="109"/>
      <c r="AP1242" s="109"/>
      <c r="AR1242" s="10"/>
      <c r="AU1242" s="109"/>
      <c r="AV1242" s="109"/>
      <c r="AX1242" s="10"/>
      <c r="BA1242" s="109"/>
      <c r="BB1242" s="109"/>
      <c r="BD1242" s="10"/>
      <c r="BG1242" s="109"/>
      <c r="BH1242" s="109"/>
      <c r="BJ1242" s="10"/>
      <c r="BM1242" s="109"/>
      <c r="BN1242" s="109"/>
      <c r="BP1242" s="10"/>
      <c r="BS1242" s="109"/>
      <c r="BT1242" s="109"/>
      <c r="BV1242" s="10"/>
      <c r="BY1242" s="109"/>
      <c r="BZ1242" s="109"/>
      <c r="CB1242" s="10"/>
      <c r="CE1242" s="109"/>
      <c r="CF1242" s="109"/>
      <c r="CH1242" s="10"/>
      <c r="CK1242" s="109"/>
      <c r="CL1242" s="109"/>
    </row>
    <row r="1243" spans="1:90">
      <c r="A1243" s="7" t="str">
        <f t="shared" si="191"/>
        <v>02470910</v>
      </c>
      <c r="B1243" s="7" t="s">
        <v>2586</v>
      </c>
      <c r="C1243" s="7" t="s">
        <v>2778</v>
      </c>
      <c r="D1243" s="7">
        <v>1234</v>
      </c>
      <c r="E1243" s="7">
        <v>247</v>
      </c>
      <c r="F1243" s="7" t="s">
        <v>1952</v>
      </c>
      <c r="G1243" s="7">
        <v>910</v>
      </c>
      <c r="H1243" s="7" t="s">
        <v>1705</v>
      </c>
      <c r="I1243" s="37">
        <v>490287</v>
      </c>
      <c r="J1243" s="122">
        <v>2.6629152041879538E-2</v>
      </c>
      <c r="K1243" s="123">
        <f t="shared" si="190"/>
        <v>546599.61357727973</v>
      </c>
      <c r="L1243" s="122">
        <f>IF(K1244&gt;0, K1243/K1244, 0)</f>
        <v>3.0357468993152063E-2</v>
      </c>
      <c r="M1243" s="71"/>
      <c r="N1243" s="10">
        <f>ROUND(M1244*L1243,0)</f>
        <v>402536</v>
      </c>
      <c r="O1243" s="70">
        <v>338932</v>
      </c>
      <c r="P1243" s="10">
        <f>N1243-O1243</f>
        <v>63604</v>
      </c>
      <c r="Q1243" s="46">
        <f t="shared" si="199"/>
        <v>18.766006160527777</v>
      </c>
      <c r="R1243" s="10">
        <v>32</v>
      </c>
      <c r="S1243" s="7">
        <f t="shared" si="192"/>
        <v>0</v>
      </c>
      <c r="T1243" s="124">
        <f t="shared" si="193"/>
        <v>247</v>
      </c>
      <c r="U1243" s="124">
        <f t="shared" si="194"/>
        <v>910</v>
      </c>
      <c r="V1243" s="124">
        <f t="shared" si="195"/>
        <v>1234</v>
      </c>
      <c r="W1243" s="124">
        <f t="shared" si="196"/>
        <v>34.999999999720004</v>
      </c>
      <c r="X1243" s="124">
        <f t="shared" si="197"/>
        <v>546599.61357727973</v>
      </c>
      <c r="Y1243" s="264">
        <f t="shared" si="198"/>
        <v>1234</v>
      </c>
      <c r="Z1243" s="10">
        <v>247</v>
      </c>
      <c r="AA1243" s="7">
        <v>910</v>
      </c>
      <c r="AB1243" s="7">
        <v>1234</v>
      </c>
      <c r="AC1243" s="109">
        <v>34.999999999720004</v>
      </c>
      <c r="AD1243" s="109">
        <v>546599.61357727973</v>
      </c>
      <c r="AE1243" s="125"/>
      <c r="AF1243" s="10"/>
      <c r="AI1243" s="109"/>
      <c r="AJ1243" s="109"/>
      <c r="AL1243" s="10"/>
      <c r="AO1243" s="109"/>
      <c r="AP1243" s="109"/>
      <c r="AR1243" s="10"/>
      <c r="AU1243" s="109"/>
      <c r="AV1243" s="109"/>
      <c r="AX1243" s="10"/>
      <c r="BA1243" s="109"/>
      <c r="BB1243" s="109"/>
      <c r="BD1243" s="10"/>
      <c r="BG1243" s="109"/>
      <c r="BH1243" s="109"/>
      <c r="BJ1243" s="10"/>
      <c r="BM1243" s="109"/>
      <c r="BN1243" s="109"/>
      <c r="BP1243" s="10"/>
      <c r="BS1243" s="109"/>
      <c r="BT1243" s="109"/>
      <c r="BV1243" s="10"/>
      <c r="BY1243" s="109"/>
      <c r="BZ1243" s="109"/>
      <c r="CB1243" s="10"/>
      <c r="CE1243" s="109"/>
      <c r="CF1243" s="109"/>
      <c r="CH1243" s="10"/>
      <c r="CK1243" s="109"/>
      <c r="CL1243" s="109"/>
    </row>
    <row r="1244" spans="1:90">
      <c r="A1244" s="7" t="str">
        <f t="shared" si="191"/>
        <v>02470999</v>
      </c>
      <c r="B1244" s="7" t="s">
        <v>2586</v>
      </c>
      <c r="C1244" s="7" t="s">
        <v>2782</v>
      </c>
      <c r="D1244" s="7">
        <v>1235</v>
      </c>
      <c r="E1244" s="11">
        <v>247</v>
      </c>
      <c r="F1244" s="11" t="s">
        <v>1952</v>
      </c>
      <c r="G1244" s="11">
        <v>999</v>
      </c>
      <c r="H1244" s="11" t="s">
        <v>1132</v>
      </c>
      <c r="I1244" s="105">
        <v>18411664</v>
      </c>
      <c r="J1244" s="126">
        <v>1</v>
      </c>
      <c r="K1244" s="127">
        <f>SUM(K1240:K1243)</f>
        <v>18005440.891682368</v>
      </c>
      <c r="L1244" s="126">
        <f>SUM(L1240:L1243)</f>
        <v>0.99999999999999989</v>
      </c>
      <c r="M1244" s="105">
        <f>VLOOKUP(E1244,town351,22)</f>
        <v>13259881</v>
      </c>
      <c r="N1244" s="105">
        <f>SUM(N1240:N1243)</f>
        <v>13259881</v>
      </c>
      <c r="O1244" s="128">
        <v>12727857</v>
      </c>
      <c r="P1244" s="105">
        <f>SUM(P1240:P1243)</f>
        <v>532024</v>
      </c>
      <c r="Q1244" s="45">
        <f t="shared" si="199"/>
        <v>4.1799966797238532</v>
      </c>
      <c r="R1244" s="105">
        <v>1810</v>
      </c>
      <c r="S1244" s="7">
        <f t="shared" si="192"/>
        <v>0</v>
      </c>
      <c r="T1244" s="124">
        <f t="shared" si="193"/>
        <v>247</v>
      </c>
      <c r="U1244" s="124">
        <f t="shared" si="194"/>
        <v>999</v>
      </c>
      <c r="V1244" s="124">
        <f t="shared" si="195"/>
        <v>1235</v>
      </c>
      <c r="W1244" s="124">
        <f t="shared" si="196"/>
        <v>1752.7024898956604</v>
      </c>
      <c r="X1244" s="124">
        <f t="shared" si="197"/>
        <v>18005440.891682368</v>
      </c>
      <c r="Y1244" s="264">
        <f t="shared" si="198"/>
        <v>1235</v>
      </c>
      <c r="Z1244" s="10">
        <v>247</v>
      </c>
      <c r="AA1244" s="7">
        <v>999</v>
      </c>
      <c r="AB1244" s="7">
        <v>1235</v>
      </c>
      <c r="AC1244" s="109">
        <v>1752.7024898956604</v>
      </c>
      <c r="AD1244" s="109">
        <v>18005440.891682368</v>
      </c>
      <c r="AE1244" s="125"/>
      <c r="AF1244" s="10"/>
      <c r="AI1244" s="109"/>
      <c r="AJ1244" s="109"/>
      <c r="AL1244" s="10"/>
      <c r="AO1244" s="109"/>
      <c r="AP1244" s="109"/>
      <c r="AR1244" s="10"/>
      <c r="AU1244" s="109"/>
      <c r="AV1244" s="109"/>
      <c r="AX1244" s="10"/>
      <c r="BA1244" s="109"/>
      <c r="BB1244" s="109"/>
      <c r="BD1244" s="10"/>
      <c r="BG1244" s="109"/>
      <c r="BH1244" s="109"/>
      <c r="BJ1244" s="10"/>
      <c r="BM1244" s="109"/>
      <c r="BN1244" s="109"/>
      <c r="BP1244" s="10"/>
      <c r="BS1244" s="109"/>
      <c r="BT1244" s="109"/>
      <c r="BV1244" s="10"/>
      <c r="BY1244" s="109"/>
      <c r="BZ1244" s="109"/>
      <c r="CB1244" s="10"/>
      <c r="CE1244" s="109"/>
      <c r="CF1244" s="109"/>
      <c r="CH1244" s="10"/>
      <c r="CK1244" s="109"/>
      <c r="CL1244" s="109"/>
    </row>
    <row r="1245" spans="1:90">
      <c r="A1245" s="7" t="str">
        <f t="shared" si="191"/>
        <v>02480248</v>
      </c>
      <c r="B1245" s="7" t="s">
        <v>2587</v>
      </c>
      <c r="C1245" s="7" t="s">
        <v>2587</v>
      </c>
      <c r="D1245" s="7">
        <v>1236</v>
      </c>
      <c r="E1245" s="7">
        <v>248</v>
      </c>
      <c r="F1245" s="7" t="s">
        <v>1953</v>
      </c>
      <c r="G1245" s="7">
        <v>248</v>
      </c>
      <c r="H1245" s="7" t="s">
        <v>1514</v>
      </c>
      <c r="I1245" s="37">
        <v>82249270.676439986</v>
      </c>
      <c r="J1245" s="122">
        <v>0.95485157052408454</v>
      </c>
      <c r="K1245" s="123">
        <f>X1245</f>
        <v>88195564.570087463</v>
      </c>
      <c r="L1245" s="122">
        <f>IF(K1249&gt;0, K1245/K1249, 0)</f>
        <v>0.95467957269049686</v>
      </c>
      <c r="M1245" s="71"/>
      <c r="N1245" s="10">
        <f>ROUND(M1249*L1245,0)</f>
        <v>31495119</v>
      </c>
      <c r="O1245" s="70">
        <v>30306709</v>
      </c>
      <c r="P1245" s="10">
        <f>N1245-O1245</f>
        <v>1188410</v>
      </c>
      <c r="Q1245" s="46">
        <f t="shared" si="199"/>
        <v>3.9212769687398259</v>
      </c>
      <c r="R1245" s="10">
        <v>7305</v>
      </c>
      <c r="S1245" s="7">
        <f t="shared" si="192"/>
        <v>0</v>
      </c>
      <c r="T1245" s="124">
        <f t="shared" si="193"/>
        <v>248</v>
      </c>
      <c r="U1245" s="124">
        <f t="shared" si="194"/>
        <v>248</v>
      </c>
      <c r="V1245" s="124">
        <f t="shared" si="195"/>
        <v>1236</v>
      </c>
      <c r="W1245" s="124">
        <f t="shared" si="196"/>
        <v>7655</v>
      </c>
      <c r="X1245" s="124">
        <f t="shared" si="197"/>
        <v>88195564.570087463</v>
      </c>
      <c r="Y1245" s="264">
        <f t="shared" si="198"/>
        <v>1236</v>
      </c>
      <c r="Z1245" s="10">
        <v>248</v>
      </c>
      <c r="AA1245" s="7">
        <v>248</v>
      </c>
      <c r="AB1245" s="7">
        <v>1236</v>
      </c>
      <c r="AC1245" s="109">
        <v>7655</v>
      </c>
      <c r="AD1245" s="109">
        <v>88195564.570087463</v>
      </c>
      <c r="AE1245" s="125"/>
      <c r="AF1245" s="10"/>
      <c r="AI1245" s="109"/>
      <c r="AJ1245" s="109"/>
      <c r="AL1245" s="10"/>
      <c r="AO1245" s="109"/>
      <c r="AP1245" s="109"/>
      <c r="AR1245" s="10"/>
      <c r="AU1245" s="109"/>
      <c r="AV1245" s="109"/>
      <c r="AX1245" s="10"/>
      <c r="BA1245" s="109"/>
      <c r="BB1245" s="109"/>
      <c r="BD1245" s="10"/>
      <c r="BG1245" s="109"/>
      <c r="BH1245" s="109"/>
      <c r="BJ1245" s="10"/>
      <c r="BM1245" s="109"/>
      <c r="BN1245" s="109"/>
      <c r="BP1245" s="10"/>
      <c r="BS1245" s="109"/>
      <c r="BT1245" s="109"/>
      <c r="BV1245" s="10"/>
      <c r="BY1245" s="109"/>
      <c r="BZ1245" s="109"/>
      <c r="CB1245" s="10"/>
      <c r="CE1245" s="109"/>
      <c r="CF1245" s="109"/>
      <c r="CH1245" s="10"/>
      <c r="CK1245" s="109"/>
      <c r="CL1245" s="109"/>
    </row>
    <row r="1246" spans="1:90">
      <c r="A1246" s="7" t="str">
        <f t="shared" si="191"/>
        <v>02480853</v>
      </c>
      <c r="B1246" s="7" t="s">
        <v>2587</v>
      </c>
      <c r="C1246" s="7" t="s">
        <v>2768</v>
      </c>
      <c r="D1246" s="7">
        <v>1237</v>
      </c>
      <c r="E1246" s="7">
        <v>248</v>
      </c>
      <c r="F1246" s="7" t="s">
        <v>1953</v>
      </c>
      <c r="G1246" s="7">
        <v>853</v>
      </c>
      <c r="H1246" s="7" t="s">
        <v>1695</v>
      </c>
      <c r="I1246" s="37">
        <v>3889008</v>
      </c>
      <c r="J1246" s="122">
        <v>4.5148429475915422E-2</v>
      </c>
      <c r="K1246" s="123">
        <f t="shared" si="190"/>
        <v>4186808.6292604315</v>
      </c>
      <c r="L1246" s="122">
        <f>IF(K1249&gt;0, K1246/K1249, 0)</f>
        <v>4.5320427309503072E-2</v>
      </c>
      <c r="M1246" s="71"/>
      <c r="N1246" s="10">
        <f>ROUND(M1249*L1246,0)</f>
        <v>1495132</v>
      </c>
      <c r="O1246" s="70">
        <v>1432998</v>
      </c>
      <c r="P1246" s="10">
        <f>N1246-O1246</f>
        <v>62134</v>
      </c>
      <c r="Q1246" s="46">
        <f t="shared" si="199"/>
        <v>4.3359446419325076</v>
      </c>
      <c r="R1246" s="10">
        <v>234</v>
      </c>
      <c r="S1246" s="7">
        <f t="shared" si="192"/>
        <v>0</v>
      </c>
      <c r="T1246" s="124">
        <f t="shared" si="193"/>
        <v>248</v>
      </c>
      <c r="U1246" s="124">
        <f t="shared" si="194"/>
        <v>853</v>
      </c>
      <c r="V1246" s="124">
        <f t="shared" si="195"/>
        <v>1237</v>
      </c>
      <c r="W1246" s="124">
        <f t="shared" si="196"/>
        <v>247.00000000200001</v>
      </c>
      <c r="X1246" s="124">
        <f t="shared" si="197"/>
        <v>4186808.6292604315</v>
      </c>
      <c r="Y1246" s="264">
        <f t="shared" si="198"/>
        <v>1237</v>
      </c>
      <c r="Z1246" s="10">
        <v>248</v>
      </c>
      <c r="AA1246" s="7">
        <v>853</v>
      </c>
      <c r="AB1246" s="7">
        <v>1237</v>
      </c>
      <c r="AC1246" s="109">
        <v>247.00000000200001</v>
      </c>
      <c r="AD1246" s="109">
        <v>4186808.6292604315</v>
      </c>
      <c r="AE1246" s="125"/>
      <c r="AF1246" s="10"/>
      <c r="AI1246" s="109"/>
      <c r="AJ1246" s="109"/>
      <c r="AL1246" s="10"/>
      <c r="AO1246" s="109"/>
      <c r="AP1246" s="109"/>
      <c r="AR1246" s="10"/>
      <c r="AU1246" s="109"/>
      <c r="AV1246" s="109"/>
      <c r="AX1246" s="10"/>
      <c r="BA1246" s="109"/>
      <c r="BB1246" s="109"/>
      <c r="BD1246" s="10"/>
      <c r="BG1246" s="109"/>
      <c r="BH1246" s="109"/>
      <c r="BJ1246" s="10"/>
      <c r="BM1246" s="109"/>
      <c r="BN1246" s="109"/>
      <c r="BP1246" s="10"/>
      <c r="BS1246" s="109"/>
      <c r="BT1246" s="109"/>
      <c r="BV1246" s="10"/>
      <c r="BY1246" s="109"/>
      <c r="BZ1246" s="109"/>
      <c r="CB1246" s="10"/>
      <c r="CE1246" s="109"/>
      <c r="CF1246" s="109"/>
      <c r="CH1246" s="10"/>
      <c r="CK1246" s="109"/>
      <c r="CL1246" s="109"/>
    </row>
    <row r="1247" spans="1:90">
      <c r="A1247" s="7" t="str">
        <f t="shared" si="191"/>
        <v>02480998</v>
      </c>
      <c r="B1247" s="7" t="s">
        <v>2587</v>
      </c>
      <c r="C1247" s="7" t="s">
        <v>2781</v>
      </c>
      <c r="D1247" s="7">
        <v>1238</v>
      </c>
      <c r="E1247" s="7">
        <v>248</v>
      </c>
      <c r="F1247" s="7" t="s">
        <v>2135</v>
      </c>
      <c r="G1247" s="7">
        <v>998</v>
      </c>
      <c r="I1247" s="129">
        <v>0</v>
      </c>
      <c r="J1247" s="130">
        <v>0</v>
      </c>
      <c r="K1247" s="123">
        <f t="shared" si="190"/>
        <v>0</v>
      </c>
      <c r="L1247" s="122">
        <f>IF(K1249&gt;0, K1247/K1249, 0)</f>
        <v>0</v>
      </c>
      <c r="M1247" s="71"/>
      <c r="N1247" s="10">
        <f>ROUND(M1249*L1247,0)</f>
        <v>0</v>
      </c>
      <c r="O1247" s="70">
        <v>0</v>
      </c>
      <c r="P1247" s="10">
        <f>N1247-O1247</f>
        <v>0</v>
      </c>
      <c r="Q1247" s="46">
        <f t="shared" si="199"/>
        <v>0</v>
      </c>
      <c r="R1247" s="10">
        <v>0</v>
      </c>
      <c r="S1247" s="7">
        <f t="shared" si="192"/>
        <v>0</v>
      </c>
      <c r="T1247" s="124">
        <f t="shared" si="193"/>
        <v>248</v>
      </c>
      <c r="U1247" s="124">
        <f t="shared" si="194"/>
        <v>998</v>
      </c>
      <c r="V1247" s="124">
        <f t="shared" si="195"/>
        <v>1238</v>
      </c>
      <c r="W1247" s="124">
        <f t="shared" si="196"/>
        <v>0</v>
      </c>
      <c r="X1247" s="124">
        <f t="shared" si="197"/>
        <v>0</v>
      </c>
      <c r="Y1247" s="264">
        <f t="shared" si="198"/>
        <v>1238</v>
      </c>
      <c r="Z1247" s="10">
        <v>248</v>
      </c>
      <c r="AA1247" s="7">
        <v>998</v>
      </c>
      <c r="AB1247" s="7">
        <v>1238</v>
      </c>
      <c r="AC1247" s="109">
        <v>0</v>
      </c>
      <c r="AD1247" s="109">
        <v>0</v>
      </c>
      <c r="AE1247" s="125"/>
      <c r="AF1247" s="10"/>
      <c r="AI1247" s="109"/>
      <c r="AJ1247" s="109"/>
      <c r="AL1247" s="10"/>
      <c r="AO1247" s="109"/>
      <c r="AP1247" s="109"/>
      <c r="AR1247" s="10"/>
      <c r="AU1247" s="109"/>
      <c r="AV1247" s="109"/>
      <c r="AX1247" s="10"/>
      <c r="BA1247" s="109"/>
      <c r="BB1247" s="109"/>
      <c r="BD1247" s="10"/>
      <c r="BG1247" s="109"/>
      <c r="BH1247" s="109"/>
      <c r="BJ1247" s="10"/>
      <c r="BM1247" s="109"/>
      <c r="BN1247" s="109"/>
      <c r="BP1247" s="10"/>
      <c r="BS1247" s="109"/>
      <c r="BT1247" s="109"/>
      <c r="BV1247" s="10"/>
      <c r="BY1247" s="109"/>
      <c r="BZ1247" s="109"/>
      <c r="CB1247" s="10"/>
      <c r="CE1247" s="109"/>
      <c r="CF1247" s="109"/>
      <c r="CH1247" s="10"/>
      <c r="CK1247" s="109"/>
      <c r="CL1247" s="109"/>
    </row>
    <row r="1248" spans="1:90">
      <c r="A1248" s="7" t="str">
        <f t="shared" si="191"/>
        <v>02480998</v>
      </c>
      <c r="B1248" s="7" t="s">
        <v>2587</v>
      </c>
      <c r="C1248" s="7" t="s">
        <v>2781</v>
      </c>
      <c r="D1248" s="7">
        <v>1239</v>
      </c>
      <c r="E1248" s="7">
        <v>248</v>
      </c>
      <c r="F1248" s="7" t="s">
        <v>2135</v>
      </c>
      <c r="G1248" s="7">
        <v>998</v>
      </c>
      <c r="H1248" s="7" t="s">
        <v>2135</v>
      </c>
      <c r="I1248" s="37">
        <v>0</v>
      </c>
      <c r="J1248" s="122">
        <v>0</v>
      </c>
      <c r="K1248" s="123">
        <f t="shared" si="190"/>
        <v>0</v>
      </c>
      <c r="L1248" s="122">
        <f>IF(K1249&gt;0, K1248/K1249, 0)</f>
        <v>0</v>
      </c>
      <c r="M1248" s="71"/>
      <c r="N1248" s="10">
        <f>ROUND(M1249*L1248,0)</f>
        <v>0</v>
      </c>
      <c r="O1248" s="70">
        <v>0</v>
      </c>
      <c r="P1248" s="10">
        <f>N1248-O1248</f>
        <v>0</v>
      </c>
      <c r="Q1248" s="46">
        <f t="shared" si="199"/>
        <v>0</v>
      </c>
      <c r="R1248" s="10">
        <v>0</v>
      </c>
      <c r="S1248" s="7">
        <f t="shared" si="192"/>
        <v>0</v>
      </c>
      <c r="T1248" s="124">
        <f t="shared" si="193"/>
        <v>248</v>
      </c>
      <c r="U1248" s="124">
        <f t="shared" si="194"/>
        <v>998</v>
      </c>
      <c r="V1248" s="124">
        <f t="shared" si="195"/>
        <v>1239</v>
      </c>
      <c r="W1248" s="124">
        <f t="shared" si="196"/>
        <v>0</v>
      </c>
      <c r="X1248" s="124">
        <f t="shared" si="197"/>
        <v>0</v>
      </c>
      <c r="Y1248" s="264">
        <f t="shared" si="198"/>
        <v>1239</v>
      </c>
      <c r="Z1248" s="10">
        <v>248</v>
      </c>
      <c r="AA1248" s="7">
        <v>998</v>
      </c>
      <c r="AB1248" s="7">
        <v>1239</v>
      </c>
      <c r="AC1248" s="109">
        <v>0</v>
      </c>
      <c r="AD1248" s="109">
        <v>0</v>
      </c>
      <c r="AE1248" s="125"/>
      <c r="AF1248" s="10"/>
      <c r="AI1248" s="109"/>
      <c r="AJ1248" s="109"/>
      <c r="AL1248" s="10"/>
      <c r="AO1248" s="109"/>
      <c r="AP1248" s="109"/>
      <c r="AR1248" s="10"/>
      <c r="AU1248" s="109"/>
      <c r="AV1248" s="109"/>
      <c r="AX1248" s="10"/>
      <c r="BA1248" s="109"/>
      <c r="BB1248" s="109"/>
      <c r="BD1248" s="10"/>
      <c r="BG1248" s="109"/>
      <c r="BH1248" s="109"/>
      <c r="BJ1248" s="10"/>
      <c r="BM1248" s="109"/>
      <c r="BN1248" s="109"/>
      <c r="BP1248" s="10"/>
      <c r="BS1248" s="109"/>
      <c r="BT1248" s="109"/>
      <c r="BV1248" s="10"/>
      <c r="BY1248" s="109"/>
      <c r="BZ1248" s="109"/>
      <c r="CB1248" s="10"/>
      <c r="CE1248" s="109"/>
      <c r="CF1248" s="109"/>
      <c r="CH1248" s="10"/>
      <c r="CK1248" s="109"/>
      <c r="CL1248" s="109"/>
    </row>
    <row r="1249" spans="1:90">
      <c r="A1249" s="7" t="str">
        <f t="shared" si="191"/>
        <v>02480999</v>
      </c>
      <c r="B1249" s="7" t="s">
        <v>2587</v>
      </c>
      <c r="C1249" s="7" t="s">
        <v>2782</v>
      </c>
      <c r="D1249" s="7">
        <v>1240</v>
      </c>
      <c r="E1249" s="11">
        <v>248</v>
      </c>
      <c r="F1249" s="11" t="s">
        <v>1953</v>
      </c>
      <c r="G1249" s="11">
        <v>999</v>
      </c>
      <c r="H1249" s="11" t="s">
        <v>1132</v>
      </c>
      <c r="I1249" s="105">
        <v>86138278.676439986</v>
      </c>
      <c r="J1249" s="126">
        <v>1</v>
      </c>
      <c r="K1249" s="127">
        <f>SUM(K1245:K1248)</f>
        <v>92382373.199347898</v>
      </c>
      <c r="L1249" s="126">
        <f>SUM(L1245:L1248)</f>
        <v>0.99999999999999989</v>
      </c>
      <c r="M1249" s="105">
        <f>VLOOKUP(E1249,town351,22)</f>
        <v>32990251</v>
      </c>
      <c r="N1249" s="105">
        <f>SUM(N1245:N1248)</f>
        <v>32990251</v>
      </c>
      <c r="O1249" s="128">
        <v>31739707</v>
      </c>
      <c r="P1249" s="105">
        <f>SUM(P1245:P1248)</f>
        <v>1250544</v>
      </c>
      <c r="Q1249" s="45">
        <f t="shared" si="199"/>
        <v>3.9399985639438952</v>
      </c>
      <c r="R1249" s="105">
        <v>7539</v>
      </c>
      <c r="S1249" s="7">
        <f t="shared" si="192"/>
        <v>0</v>
      </c>
      <c r="T1249" s="124">
        <f t="shared" si="193"/>
        <v>248</v>
      </c>
      <c r="U1249" s="124">
        <f t="shared" si="194"/>
        <v>999</v>
      </c>
      <c r="V1249" s="124">
        <f t="shared" si="195"/>
        <v>1240</v>
      </c>
      <c r="W1249" s="124">
        <f t="shared" si="196"/>
        <v>7902.000000002</v>
      </c>
      <c r="X1249" s="124">
        <f t="shared" si="197"/>
        <v>92382373.199347898</v>
      </c>
      <c r="Y1249" s="264">
        <f t="shared" si="198"/>
        <v>1240</v>
      </c>
      <c r="Z1249" s="10">
        <v>248</v>
      </c>
      <c r="AA1249" s="7">
        <v>999</v>
      </c>
      <c r="AB1249" s="7">
        <v>1240</v>
      </c>
      <c r="AC1249" s="109">
        <v>7902.000000002</v>
      </c>
      <c r="AD1249" s="109">
        <v>92382373.199347898</v>
      </c>
      <c r="AE1249" s="125"/>
      <c r="AF1249" s="10"/>
      <c r="AI1249" s="109"/>
      <c r="AJ1249" s="109"/>
      <c r="AL1249" s="10"/>
      <c r="AO1249" s="109"/>
      <c r="AP1249" s="109"/>
      <c r="AR1249" s="10"/>
      <c r="AU1249" s="109"/>
      <c r="AV1249" s="109"/>
      <c r="AX1249" s="10"/>
      <c r="BA1249" s="109"/>
      <c r="BB1249" s="109"/>
      <c r="BD1249" s="10"/>
      <c r="BG1249" s="109"/>
      <c r="BH1249" s="109"/>
      <c r="BJ1249" s="10"/>
      <c r="BM1249" s="109"/>
      <c r="BN1249" s="109"/>
      <c r="BP1249" s="10"/>
      <c r="BS1249" s="109"/>
      <c r="BT1249" s="109"/>
      <c r="BV1249" s="10"/>
      <c r="BY1249" s="109"/>
      <c r="BZ1249" s="109"/>
      <c r="CB1249" s="10"/>
      <c r="CE1249" s="109"/>
      <c r="CF1249" s="109"/>
      <c r="CH1249" s="10"/>
      <c r="CK1249" s="109"/>
      <c r="CL1249" s="109"/>
    </row>
    <row r="1250" spans="1:90">
      <c r="A1250" s="7" t="str">
        <f t="shared" si="191"/>
        <v>02490249</v>
      </c>
      <c r="B1250" s="7" t="s">
        <v>2588</v>
      </c>
      <c r="C1250" s="7" t="s">
        <v>2588</v>
      </c>
      <c r="D1250" s="7">
        <v>1241</v>
      </c>
      <c r="E1250" s="7">
        <v>249</v>
      </c>
      <c r="F1250" s="7" t="s">
        <v>1954</v>
      </c>
      <c r="G1250" s="7">
        <v>249</v>
      </c>
      <c r="H1250" s="7" t="s">
        <v>1515</v>
      </c>
      <c r="I1250" s="37">
        <v>1203251.3800000001</v>
      </c>
      <c r="J1250" s="122">
        <v>1</v>
      </c>
      <c r="K1250" s="123">
        <f t="shared" ref="K1250:K1313" si="200">X1250</f>
        <v>1268580.5002314509</v>
      </c>
      <c r="L1250" s="122">
        <f>IF(K1254&gt;0, K1250/K1254, 0)</f>
        <v>1</v>
      </c>
      <c r="M1250" s="71"/>
      <c r="N1250" s="10">
        <f>ROUND(M1254*L1250,0)</f>
        <v>1047475</v>
      </c>
      <c r="O1250" s="70">
        <v>1015683</v>
      </c>
      <c r="P1250" s="10">
        <f>N1250-O1250</f>
        <v>31792</v>
      </c>
      <c r="Q1250" s="46">
        <f t="shared" si="199"/>
        <v>3.1301104773831994</v>
      </c>
      <c r="R1250" s="10">
        <v>119</v>
      </c>
      <c r="S1250" s="7">
        <f t="shared" si="192"/>
        <v>0</v>
      </c>
      <c r="T1250" s="124">
        <f t="shared" si="193"/>
        <v>249</v>
      </c>
      <c r="U1250" s="124">
        <f t="shared" si="194"/>
        <v>249</v>
      </c>
      <c r="V1250" s="124">
        <f t="shared" si="195"/>
        <v>1241</v>
      </c>
      <c r="W1250" s="124">
        <f t="shared" si="196"/>
        <v>123</v>
      </c>
      <c r="X1250" s="124">
        <f t="shared" si="197"/>
        <v>1268580.5002314509</v>
      </c>
      <c r="Y1250" s="264">
        <f t="shared" si="198"/>
        <v>1241</v>
      </c>
      <c r="Z1250" s="10">
        <v>249</v>
      </c>
      <c r="AA1250" s="7">
        <v>249</v>
      </c>
      <c r="AB1250" s="7">
        <v>1241</v>
      </c>
      <c r="AC1250" s="109">
        <v>123</v>
      </c>
      <c r="AD1250" s="109">
        <v>1268580.5002314509</v>
      </c>
      <c r="AE1250" s="125"/>
      <c r="AF1250" s="10"/>
      <c r="AI1250" s="109"/>
      <c r="AJ1250" s="109"/>
      <c r="AL1250" s="10"/>
      <c r="AO1250" s="109"/>
      <c r="AP1250" s="109"/>
      <c r="AR1250" s="10"/>
      <c r="AU1250" s="109"/>
      <c r="AV1250" s="109"/>
      <c r="AX1250" s="10"/>
      <c r="BA1250" s="109"/>
      <c r="BB1250" s="109"/>
      <c r="BD1250" s="10"/>
      <c r="BG1250" s="109"/>
      <c r="BH1250" s="109"/>
      <c r="BJ1250" s="10"/>
      <c r="BM1250" s="109"/>
      <c r="BN1250" s="109"/>
      <c r="BP1250" s="10"/>
      <c r="BS1250" s="109"/>
      <c r="BT1250" s="109"/>
      <c r="BV1250" s="10"/>
      <c r="BY1250" s="109"/>
      <c r="BZ1250" s="109"/>
      <c r="CB1250" s="10"/>
      <c r="CE1250" s="109"/>
      <c r="CF1250" s="109"/>
      <c r="CH1250" s="10"/>
      <c r="CK1250" s="109"/>
      <c r="CL1250" s="109"/>
    </row>
    <row r="1251" spans="1:90">
      <c r="A1251" s="7" t="str">
        <f t="shared" si="191"/>
        <v>02490998</v>
      </c>
      <c r="B1251" s="7" t="s">
        <v>2588</v>
      </c>
      <c r="C1251" s="7" t="s">
        <v>2781</v>
      </c>
      <c r="D1251" s="7">
        <v>1242</v>
      </c>
      <c r="E1251" s="7">
        <v>249</v>
      </c>
      <c r="F1251" s="7" t="s">
        <v>2135</v>
      </c>
      <c r="G1251" s="7">
        <v>998</v>
      </c>
      <c r="H1251" s="7" t="s">
        <v>2135</v>
      </c>
      <c r="I1251" s="37">
        <v>0</v>
      </c>
      <c r="J1251" s="122">
        <v>0</v>
      </c>
      <c r="K1251" s="123">
        <f t="shared" si="200"/>
        <v>0</v>
      </c>
      <c r="L1251" s="122">
        <f>IF(K1254&gt;0, K1251/K1254, 0)</f>
        <v>0</v>
      </c>
      <c r="M1251" s="71"/>
      <c r="N1251" s="10">
        <f>ROUND(M1254*L1251,0)</f>
        <v>0</v>
      </c>
      <c r="O1251" s="70">
        <v>0</v>
      </c>
      <c r="P1251" s="10">
        <f>N1251-O1251</f>
        <v>0</v>
      </c>
      <c r="Q1251" s="46">
        <f t="shared" si="199"/>
        <v>0</v>
      </c>
      <c r="R1251" s="10">
        <v>0</v>
      </c>
      <c r="S1251" s="7">
        <f t="shared" si="192"/>
        <v>0</v>
      </c>
      <c r="T1251" s="124">
        <f t="shared" si="193"/>
        <v>249</v>
      </c>
      <c r="U1251" s="124">
        <f t="shared" si="194"/>
        <v>998</v>
      </c>
      <c r="V1251" s="124">
        <f t="shared" si="195"/>
        <v>1242</v>
      </c>
      <c r="W1251" s="124">
        <f t="shared" si="196"/>
        <v>0</v>
      </c>
      <c r="X1251" s="124">
        <f t="shared" si="197"/>
        <v>0</v>
      </c>
      <c r="Y1251" s="264">
        <f t="shared" si="198"/>
        <v>1242</v>
      </c>
      <c r="Z1251" s="10">
        <v>249</v>
      </c>
      <c r="AA1251" s="7">
        <v>998</v>
      </c>
      <c r="AB1251" s="7">
        <v>1242</v>
      </c>
      <c r="AC1251" s="109">
        <v>0</v>
      </c>
      <c r="AD1251" s="109">
        <v>0</v>
      </c>
      <c r="AE1251" s="125"/>
      <c r="AF1251" s="10"/>
      <c r="AI1251" s="109"/>
      <c r="AJ1251" s="109"/>
      <c r="AL1251" s="10"/>
      <c r="AO1251" s="109"/>
      <c r="AP1251" s="109"/>
      <c r="AR1251" s="10"/>
      <c r="AU1251" s="109"/>
      <c r="AV1251" s="109"/>
      <c r="AX1251" s="10"/>
      <c r="BA1251" s="109"/>
      <c r="BB1251" s="109"/>
      <c r="BD1251" s="10"/>
      <c r="BG1251" s="109"/>
      <c r="BH1251" s="109"/>
      <c r="BJ1251" s="10"/>
      <c r="BM1251" s="109"/>
      <c r="BN1251" s="109"/>
      <c r="BP1251" s="10"/>
      <c r="BS1251" s="109"/>
      <c r="BT1251" s="109"/>
      <c r="BV1251" s="10"/>
      <c r="BY1251" s="109"/>
      <c r="BZ1251" s="109"/>
      <c r="CB1251" s="10"/>
      <c r="CE1251" s="109"/>
      <c r="CF1251" s="109"/>
      <c r="CH1251" s="10"/>
      <c r="CK1251" s="109"/>
      <c r="CL1251" s="109"/>
    </row>
    <row r="1252" spans="1:90">
      <c r="A1252" s="7" t="str">
        <f t="shared" si="191"/>
        <v>02490998</v>
      </c>
      <c r="B1252" s="7" t="s">
        <v>2588</v>
      </c>
      <c r="C1252" s="7" t="s">
        <v>2781</v>
      </c>
      <c r="D1252" s="7">
        <v>1243</v>
      </c>
      <c r="E1252" s="7">
        <v>249</v>
      </c>
      <c r="F1252" s="7" t="s">
        <v>2135</v>
      </c>
      <c r="G1252" s="7">
        <v>998</v>
      </c>
      <c r="H1252" s="7" t="s">
        <v>2135</v>
      </c>
      <c r="I1252" s="37">
        <v>0</v>
      </c>
      <c r="J1252" s="122">
        <v>0</v>
      </c>
      <c r="K1252" s="123">
        <f t="shared" si="200"/>
        <v>0</v>
      </c>
      <c r="L1252" s="122">
        <f>IF(K1254&gt;0, K1252/K1254, 0)</f>
        <v>0</v>
      </c>
      <c r="M1252" s="71"/>
      <c r="N1252" s="10">
        <f>ROUND(M1254*L1252,0)</f>
        <v>0</v>
      </c>
      <c r="O1252" s="70">
        <v>0</v>
      </c>
      <c r="P1252" s="10">
        <f>N1252-O1252</f>
        <v>0</v>
      </c>
      <c r="Q1252" s="46">
        <f t="shared" si="199"/>
        <v>0</v>
      </c>
      <c r="R1252" s="10">
        <v>0</v>
      </c>
      <c r="S1252" s="7">
        <f t="shared" si="192"/>
        <v>0</v>
      </c>
      <c r="T1252" s="124">
        <f t="shared" si="193"/>
        <v>249</v>
      </c>
      <c r="U1252" s="124">
        <f t="shared" si="194"/>
        <v>998</v>
      </c>
      <c r="V1252" s="124">
        <f t="shared" si="195"/>
        <v>1243</v>
      </c>
      <c r="W1252" s="124">
        <f t="shared" si="196"/>
        <v>0</v>
      </c>
      <c r="X1252" s="124">
        <f t="shared" si="197"/>
        <v>0</v>
      </c>
      <c r="Y1252" s="264">
        <f t="shared" si="198"/>
        <v>1243</v>
      </c>
      <c r="Z1252" s="10">
        <v>249</v>
      </c>
      <c r="AA1252" s="7">
        <v>998</v>
      </c>
      <c r="AB1252" s="7">
        <v>1243</v>
      </c>
      <c r="AC1252" s="109">
        <v>0</v>
      </c>
      <c r="AD1252" s="109">
        <v>0</v>
      </c>
      <c r="AE1252" s="125"/>
      <c r="AF1252" s="10"/>
      <c r="AI1252" s="109"/>
      <c r="AJ1252" s="109"/>
      <c r="AL1252" s="10"/>
      <c r="AO1252" s="109"/>
      <c r="AP1252" s="109"/>
      <c r="AR1252" s="10"/>
      <c r="AU1252" s="109"/>
      <c r="AV1252" s="109"/>
      <c r="AX1252" s="10"/>
      <c r="BA1252" s="109"/>
      <c r="BB1252" s="109"/>
      <c r="BD1252" s="10"/>
      <c r="BG1252" s="109"/>
      <c r="BH1252" s="109"/>
      <c r="BJ1252" s="10"/>
      <c r="BM1252" s="109"/>
      <c r="BN1252" s="109"/>
      <c r="BP1252" s="10"/>
      <c r="BS1252" s="109"/>
      <c r="BT1252" s="109"/>
      <c r="BV1252" s="10"/>
      <c r="BY1252" s="109"/>
      <c r="BZ1252" s="109"/>
      <c r="CB1252" s="10"/>
      <c r="CE1252" s="109"/>
      <c r="CF1252" s="109"/>
      <c r="CH1252" s="10"/>
      <c r="CK1252" s="109"/>
      <c r="CL1252" s="109"/>
    </row>
    <row r="1253" spans="1:90">
      <c r="A1253" s="7" t="str">
        <f t="shared" si="191"/>
        <v>02490998</v>
      </c>
      <c r="B1253" s="7" t="s">
        <v>2588</v>
      </c>
      <c r="C1253" s="7" t="s">
        <v>2781</v>
      </c>
      <c r="D1253" s="7">
        <v>1244</v>
      </c>
      <c r="E1253" s="7">
        <v>249</v>
      </c>
      <c r="F1253" s="7" t="s">
        <v>2135</v>
      </c>
      <c r="G1253" s="7">
        <v>998</v>
      </c>
      <c r="H1253" s="7" t="s">
        <v>2135</v>
      </c>
      <c r="I1253" s="37">
        <v>0</v>
      </c>
      <c r="J1253" s="122">
        <v>0</v>
      </c>
      <c r="K1253" s="123">
        <f t="shared" si="200"/>
        <v>0</v>
      </c>
      <c r="L1253" s="122">
        <f>IF(K1254&gt;0, K1253/K1254, 0)</f>
        <v>0</v>
      </c>
      <c r="M1253" s="71"/>
      <c r="N1253" s="10">
        <f>ROUND(M1254*L1253,0)</f>
        <v>0</v>
      </c>
      <c r="O1253" s="70">
        <v>0</v>
      </c>
      <c r="P1253" s="10">
        <f>N1253-O1253</f>
        <v>0</v>
      </c>
      <c r="Q1253" s="46">
        <f t="shared" si="199"/>
        <v>0</v>
      </c>
      <c r="R1253" s="10">
        <v>0</v>
      </c>
      <c r="S1253" s="7">
        <f t="shared" si="192"/>
        <v>0</v>
      </c>
      <c r="T1253" s="124">
        <f t="shared" si="193"/>
        <v>249</v>
      </c>
      <c r="U1253" s="124">
        <f t="shared" si="194"/>
        <v>998</v>
      </c>
      <c r="V1253" s="124">
        <f t="shared" si="195"/>
        <v>1244</v>
      </c>
      <c r="W1253" s="124">
        <f t="shared" si="196"/>
        <v>0</v>
      </c>
      <c r="X1253" s="124">
        <f t="shared" si="197"/>
        <v>0</v>
      </c>
      <c r="Y1253" s="264">
        <f t="shared" si="198"/>
        <v>1244</v>
      </c>
      <c r="Z1253" s="10">
        <v>249</v>
      </c>
      <c r="AA1253" s="7">
        <v>998</v>
      </c>
      <c r="AB1253" s="7">
        <v>1244</v>
      </c>
      <c r="AC1253" s="109">
        <v>0</v>
      </c>
      <c r="AD1253" s="109">
        <v>0</v>
      </c>
      <c r="AE1253" s="125"/>
      <c r="AF1253" s="10"/>
      <c r="AI1253" s="109"/>
      <c r="AJ1253" s="109"/>
      <c r="AL1253" s="10"/>
      <c r="AO1253" s="109"/>
      <c r="AP1253" s="109"/>
      <c r="AR1253" s="10"/>
      <c r="AU1253" s="109"/>
      <c r="AV1253" s="109"/>
      <c r="AX1253" s="10"/>
      <c r="BA1253" s="109"/>
      <c r="BB1253" s="109"/>
      <c r="BD1253" s="10"/>
      <c r="BG1253" s="109"/>
      <c r="BH1253" s="109"/>
      <c r="BJ1253" s="10"/>
      <c r="BM1253" s="109"/>
      <c r="BN1253" s="109"/>
      <c r="BP1253" s="10"/>
      <c r="BS1253" s="109"/>
      <c r="BT1253" s="109"/>
      <c r="BV1253" s="10"/>
      <c r="BY1253" s="109"/>
      <c r="BZ1253" s="109"/>
      <c r="CB1253" s="10"/>
      <c r="CE1253" s="109"/>
      <c r="CF1253" s="109"/>
      <c r="CH1253" s="10"/>
      <c r="CK1253" s="109"/>
      <c r="CL1253" s="109"/>
    </row>
    <row r="1254" spans="1:90">
      <c r="A1254" s="7" t="str">
        <f t="shared" si="191"/>
        <v>02490999</v>
      </c>
      <c r="B1254" s="7" t="s">
        <v>2588</v>
      </c>
      <c r="C1254" s="7" t="s">
        <v>2782</v>
      </c>
      <c r="D1254" s="7">
        <v>1245</v>
      </c>
      <c r="E1254" s="11">
        <v>249</v>
      </c>
      <c r="F1254" s="11" t="s">
        <v>1954</v>
      </c>
      <c r="G1254" s="11">
        <v>999</v>
      </c>
      <c r="H1254" s="11" t="s">
        <v>1132</v>
      </c>
      <c r="I1254" s="105">
        <v>1203251.3800000001</v>
      </c>
      <c r="J1254" s="126">
        <v>1</v>
      </c>
      <c r="K1254" s="127">
        <f>SUM(K1250:K1253)</f>
        <v>1268580.5002314509</v>
      </c>
      <c r="L1254" s="126">
        <f>SUM(L1250:L1253)</f>
        <v>1</v>
      </c>
      <c r="M1254" s="105">
        <f>VLOOKUP(E1254,town351,22)</f>
        <v>1047475</v>
      </c>
      <c r="N1254" s="105">
        <f>SUM(N1250:N1253)</f>
        <v>1047475</v>
      </c>
      <c r="O1254" s="128">
        <v>1015683</v>
      </c>
      <c r="P1254" s="105">
        <f>SUM(P1250:P1253)</f>
        <v>31792</v>
      </c>
      <c r="Q1254" s="45">
        <f t="shared" si="199"/>
        <v>3.1301104773831994</v>
      </c>
      <c r="R1254" s="105">
        <v>119</v>
      </c>
      <c r="S1254" s="7">
        <f t="shared" si="192"/>
        <v>0</v>
      </c>
      <c r="T1254" s="124">
        <f t="shared" si="193"/>
        <v>249</v>
      </c>
      <c r="U1254" s="124">
        <f t="shared" si="194"/>
        <v>999</v>
      </c>
      <c r="V1254" s="124">
        <f t="shared" si="195"/>
        <v>1245</v>
      </c>
      <c r="W1254" s="124">
        <f t="shared" si="196"/>
        <v>123</v>
      </c>
      <c r="X1254" s="124">
        <f t="shared" si="197"/>
        <v>1268580.5002314509</v>
      </c>
      <c r="Y1254" s="264">
        <f t="shared" si="198"/>
        <v>1245</v>
      </c>
      <c r="Z1254" s="10">
        <v>249</v>
      </c>
      <c r="AA1254" s="7">
        <v>999</v>
      </c>
      <c r="AB1254" s="7">
        <v>1245</v>
      </c>
      <c r="AC1254" s="109">
        <v>123</v>
      </c>
      <c r="AD1254" s="109">
        <v>1268580.5002314509</v>
      </c>
      <c r="AE1254" s="125"/>
      <c r="AF1254" s="10"/>
      <c r="AI1254" s="109"/>
      <c r="AJ1254" s="109"/>
      <c r="AL1254" s="10"/>
      <c r="AO1254" s="109"/>
      <c r="AP1254" s="109"/>
      <c r="AR1254" s="10"/>
      <c r="AU1254" s="109"/>
      <c r="AV1254" s="109"/>
      <c r="AX1254" s="10"/>
      <c r="BA1254" s="109"/>
      <c r="BB1254" s="109"/>
      <c r="BD1254" s="10"/>
      <c r="BG1254" s="109"/>
      <c r="BH1254" s="109"/>
      <c r="BJ1254" s="10"/>
      <c r="BM1254" s="109"/>
      <c r="BN1254" s="109"/>
      <c r="BP1254" s="10"/>
      <c r="BS1254" s="109"/>
      <c r="BT1254" s="109"/>
      <c r="BV1254" s="10"/>
      <c r="BY1254" s="109"/>
      <c r="BZ1254" s="109"/>
      <c r="CB1254" s="10"/>
      <c r="CE1254" s="109"/>
      <c r="CF1254" s="109"/>
      <c r="CH1254" s="10"/>
      <c r="CK1254" s="109"/>
      <c r="CL1254" s="109"/>
    </row>
    <row r="1255" spans="1:90">
      <c r="A1255" s="7" t="str">
        <f t="shared" si="191"/>
        <v>02500250</v>
      </c>
      <c r="B1255" s="7" t="s">
        <v>2589</v>
      </c>
      <c r="C1255" s="7" t="s">
        <v>2589</v>
      </c>
      <c r="D1255" s="7">
        <v>1246</v>
      </c>
      <c r="E1255" s="7">
        <v>250</v>
      </c>
      <c r="F1255" s="7" t="s">
        <v>1955</v>
      </c>
      <c r="G1255" s="7">
        <v>250</v>
      </c>
      <c r="H1255" s="7" t="s">
        <v>1516</v>
      </c>
      <c r="I1255" s="37">
        <v>4400657.959999999</v>
      </c>
      <c r="J1255" s="122">
        <v>0.44830679749823849</v>
      </c>
      <c r="K1255" s="123">
        <f>X1255</f>
        <v>4319981.4040858541</v>
      </c>
      <c r="L1255" s="122">
        <f>IF(K1259&gt;0, K1255/K1259, 0)</f>
        <v>0.44457141065012723</v>
      </c>
      <c r="M1255" s="71"/>
      <c r="N1255" s="10">
        <f>ROUND(M1259*L1255,0)</f>
        <v>2706641</v>
      </c>
      <c r="O1255" s="70">
        <v>2745493</v>
      </c>
      <c r="P1255" s="10">
        <f>N1255-O1255</f>
        <v>-38852</v>
      </c>
      <c r="Q1255" s="46">
        <f t="shared" si="199"/>
        <v>-1.4151192518065061</v>
      </c>
      <c r="R1255" s="10">
        <v>480</v>
      </c>
      <c r="S1255" s="7">
        <f t="shared" si="192"/>
        <v>0</v>
      </c>
      <c r="T1255" s="124">
        <f t="shared" si="193"/>
        <v>250</v>
      </c>
      <c r="U1255" s="124">
        <f t="shared" si="194"/>
        <v>250</v>
      </c>
      <c r="V1255" s="124">
        <f t="shared" si="195"/>
        <v>1246</v>
      </c>
      <c r="W1255" s="124">
        <f t="shared" si="196"/>
        <v>467</v>
      </c>
      <c r="X1255" s="124">
        <f t="shared" si="197"/>
        <v>4319981.4040858541</v>
      </c>
      <c r="Y1255" s="264">
        <f t="shared" si="198"/>
        <v>1246</v>
      </c>
      <c r="Z1255" s="10">
        <v>250</v>
      </c>
      <c r="AA1255" s="7">
        <v>250</v>
      </c>
      <c r="AB1255" s="7">
        <v>1246</v>
      </c>
      <c r="AC1255" s="109">
        <v>467</v>
      </c>
      <c r="AD1255" s="109">
        <v>4319981.4040858541</v>
      </c>
      <c r="AE1255" s="125"/>
      <c r="AF1255" s="10"/>
      <c r="AI1255" s="109"/>
      <c r="AJ1255" s="109"/>
      <c r="AL1255" s="10"/>
      <c r="AO1255" s="109"/>
      <c r="AP1255" s="109"/>
      <c r="AR1255" s="10"/>
      <c r="AU1255" s="109"/>
      <c r="AV1255" s="109"/>
      <c r="AX1255" s="10"/>
      <c r="BA1255" s="109"/>
      <c r="BB1255" s="109"/>
      <c r="BD1255" s="10"/>
      <c r="BG1255" s="109"/>
      <c r="BH1255" s="109"/>
      <c r="BJ1255" s="10"/>
      <c r="BM1255" s="109"/>
      <c r="BN1255" s="109"/>
      <c r="BP1255" s="10"/>
      <c r="BS1255" s="109"/>
      <c r="BT1255" s="109"/>
      <c r="BV1255" s="10"/>
      <c r="BY1255" s="109"/>
      <c r="BZ1255" s="109"/>
      <c r="CB1255" s="10"/>
      <c r="CE1255" s="109"/>
      <c r="CF1255" s="109"/>
      <c r="CH1255" s="10"/>
      <c r="CK1255" s="109"/>
      <c r="CL1255" s="109"/>
    </row>
    <row r="1256" spans="1:90">
      <c r="A1256" s="7" t="str">
        <f t="shared" si="191"/>
        <v>02500740</v>
      </c>
      <c r="B1256" s="7" t="s">
        <v>2589</v>
      </c>
      <c r="C1256" s="7" t="s">
        <v>2736</v>
      </c>
      <c r="D1256" s="7">
        <v>1247</v>
      </c>
      <c r="E1256" s="7">
        <v>250</v>
      </c>
      <c r="F1256" s="7" t="s">
        <v>1955</v>
      </c>
      <c r="G1256" s="7">
        <v>740</v>
      </c>
      <c r="H1256" s="7" t="s">
        <v>1663</v>
      </c>
      <c r="I1256" s="37">
        <v>4352618</v>
      </c>
      <c r="J1256" s="122">
        <v>0.44341283827320865</v>
      </c>
      <c r="K1256" s="123">
        <f t="shared" si="200"/>
        <v>4231836.8286566213</v>
      </c>
      <c r="L1256" s="122">
        <f>IF(K1259&gt;0, K1256/K1259, 0)</f>
        <v>0.43550040904751208</v>
      </c>
      <c r="M1256" s="71"/>
      <c r="N1256" s="10">
        <f>ROUND(M1259*L1256,0)</f>
        <v>2651415</v>
      </c>
      <c r="O1256" s="70">
        <v>2715522</v>
      </c>
      <c r="P1256" s="10">
        <f>N1256-O1256</f>
        <v>-64107</v>
      </c>
      <c r="Q1256" s="46">
        <f t="shared" si="199"/>
        <v>-2.3607615773320929</v>
      </c>
      <c r="R1256" s="10">
        <v>448</v>
      </c>
      <c r="S1256" s="7">
        <f t="shared" si="192"/>
        <v>0</v>
      </c>
      <c r="T1256" s="124">
        <f t="shared" si="193"/>
        <v>250</v>
      </c>
      <c r="U1256" s="124">
        <f t="shared" si="194"/>
        <v>740</v>
      </c>
      <c r="V1256" s="124">
        <f t="shared" si="195"/>
        <v>1247</v>
      </c>
      <c r="W1256" s="124">
        <f t="shared" si="196"/>
        <v>428.9999999954</v>
      </c>
      <c r="X1256" s="124">
        <f t="shared" si="197"/>
        <v>4231836.8286566213</v>
      </c>
      <c r="Y1256" s="264">
        <f t="shared" si="198"/>
        <v>1247</v>
      </c>
      <c r="Z1256" s="10">
        <v>250</v>
      </c>
      <c r="AA1256" s="7">
        <v>740</v>
      </c>
      <c r="AB1256" s="7">
        <v>1247</v>
      </c>
      <c r="AC1256" s="109">
        <v>428.9999999954</v>
      </c>
      <c r="AD1256" s="109">
        <v>4231836.8286566213</v>
      </c>
      <c r="AE1256" s="125"/>
      <c r="AF1256" s="10"/>
      <c r="AI1256" s="109"/>
      <c r="AJ1256" s="109"/>
      <c r="AL1256" s="10"/>
      <c r="AO1256" s="109"/>
      <c r="AP1256" s="109"/>
      <c r="AR1256" s="10"/>
      <c r="AU1256" s="109"/>
      <c r="AV1256" s="109"/>
      <c r="AX1256" s="10"/>
      <c r="BA1256" s="109"/>
      <c r="BB1256" s="109"/>
      <c r="BD1256" s="10"/>
      <c r="BG1256" s="109"/>
      <c r="BH1256" s="109"/>
      <c r="BJ1256" s="10"/>
      <c r="BM1256" s="109"/>
      <c r="BN1256" s="109"/>
      <c r="BP1256" s="10"/>
      <c r="BS1256" s="109"/>
      <c r="BT1256" s="109"/>
      <c r="BV1256" s="10"/>
      <c r="BY1256" s="109"/>
      <c r="BZ1256" s="109"/>
      <c r="CB1256" s="10"/>
      <c r="CE1256" s="109"/>
      <c r="CF1256" s="109"/>
      <c r="CH1256" s="10"/>
      <c r="CK1256" s="109"/>
      <c r="CL1256" s="109"/>
    </row>
    <row r="1257" spans="1:90">
      <c r="A1257" s="7" t="str">
        <f t="shared" si="191"/>
        <v>02500855</v>
      </c>
      <c r="B1257" s="7" t="s">
        <v>2589</v>
      </c>
      <c r="C1257" s="7" t="s">
        <v>2769</v>
      </c>
      <c r="D1257" s="7">
        <v>1248</v>
      </c>
      <c r="E1257" s="7">
        <v>250</v>
      </c>
      <c r="F1257" s="7" t="s">
        <v>1955</v>
      </c>
      <c r="G1257" s="7">
        <v>855</v>
      </c>
      <c r="H1257" s="7" t="s">
        <v>1696</v>
      </c>
      <c r="I1257" s="37">
        <v>1062899</v>
      </c>
      <c r="J1257" s="122">
        <v>0.10828036422855283</v>
      </c>
      <c r="K1257" s="123">
        <f t="shared" si="200"/>
        <v>1165363.9805007216</v>
      </c>
      <c r="L1257" s="122">
        <f>IF(K1259&gt;0, K1257/K1259, 0)</f>
        <v>0.11992818030236059</v>
      </c>
      <c r="M1257" s="71"/>
      <c r="N1257" s="10">
        <f>ROUND(M1259*L1257,0)</f>
        <v>730147</v>
      </c>
      <c r="O1257" s="70">
        <v>663124</v>
      </c>
      <c r="P1257" s="10">
        <f>N1257-O1257</f>
        <v>67023</v>
      </c>
      <c r="Q1257" s="46">
        <f t="shared" si="199"/>
        <v>10.107159445292282</v>
      </c>
      <c r="R1257" s="10">
        <v>69</v>
      </c>
      <c r="S1257" s="7">
        <f t="shared" si="192"/>
        <v>0</v>
      </c>
      <c r="T1257" s="124">
        <f t="shared" si="193"/>
        <v>250</v>
      </c>
      <c r="U1257" s="124">
        <f t="shared" si="194"/>
        <v>855</v>
      </c>
      <c r="V1257" s="124">
        <f t="shared" si="195"/>
        <v>1248</v>
      </c>
      <c r="W1257" s="124">
        <f t="shared" si="196"/>
        <v>74.999999999789992</v>
      </c>
      <c r="X1257" s="124">
        <f t="shared" si="197"/>
        <v>1165363.9805007216</v>
      </c>
      <c r="Y1257" s="264">
        <f t="shared" si="198"/>
        <v>1248</v>
      </c>
      <c r="Z1257" s="10">
        <v>250</v>
      </c>
      <c r="AA1257" s="7">
        <v>855</v>
      </c>
      <c r="AB1257" s="7">
        <v>1248</v>
      </c>
      <c r="AC1257" s="109">
        <v>74.999999999789992</v>
      </c>
      <c r="AD1257" s="109">
        <v>1165363.9805007216</v>
      </c>
      <c r="AE1257" s="125"/>
      <c r="AF1257" s="10"/>
      <c r="AI1257" s="109"/>
      <c r="AJ1257" s="109"/>
      <c r="AL1257" s="10"/>
      <c r="AO1257" s="109"/>
      <c r="AP1257" s="109"/>
      <c r="AR1257" s="10"/>
      <c r="AU1257" s="109"/>
      <c r="AV1257" s="109"/>
      <c r="AX1257" s="10"/>
      <c r="BA1257" s="109"/>
      <c r="BB1257" s="109"/>
      <c r="BD1257" s="10"/>
      <c r="BG1257" s="109"/>
      <c r="BH1257" s="109"/>
      <c r="BJ1257" s="10"/>
      <c r="BM1257" s="109"/>
      <c r="BN1257" s="109"/>
      <c r="BP1257" s="10"/>
      <c r="BS1257" s="109"/>
      <c r="BT1257" s="109"/>
      <c r="BV1257" s="10"/>
      <c r="BY1257" s="109"/>
      <c r="BZ1257" s="109"/>
      <c r="CB1257" s="10"/>
      <c r="CE1257" s="109"/>
      <c r="CF1257" s="109"/>
      <c r="CH1257" s="10"/>
      <c r="CK1257" s="109"/>
      <c r="CL1257" s="109"/>
    </row>
    <row r="1258" spans="1:90">
      <c r="A1258" s="7" t="str">
        <f t="shared" si="191"/>
        <v>02500998</v>
      </c>
      <c r="B1258" s="7" t="s">
        <v>2589</v>
      </c>
      <c r="C1258" s="7" t="s">
        <v>2781</v>
      </c>
      <c r="D1258" s="7">
        <v>1249</v>
      </c>
      <c r="E1258" s="7">
        <v>250</v>
      </c>
      <c r="F1258" s="7" t="s">
        <v>2135</v>
      </c>
      <c r="G1258" s="7">
        <v>998</v>
      </c>
      <c r="H1258" s="7" t="s">
        <v>2135</v>
      </c>
      <c r="I1258" s="37">
        <v>0</v>
      </c>
      <c r="J1258" s="122">
        <v>0</v>
      </c>
      <c r="K1258" s="123">
        <f t="shared" si="200"/>
        <v>0</v>
      </c>
      <c r="L1258" s="122">
        <f>IF(K1259&gt;0, K1258/K1259, 0)</f>
        <v>0</v>
      </c>
      <c r="M1258" s="71"/>
      <c r="N1258" s="10">
        <f>ROUND(M1259*L1258,0)</f>
        <v>0</v>
      </c>
      <c r="O1258" s="70">
        <v>0</v>
      </c>
      <c r="P1258" s="10">
        <f>N1258-O1258</f>
        <v>0</v>
      </c>
      <c r="Q1258" s="46">
        <f t="shared" si="199"/>
        <v>0</v>
      </c>
      <c r="R1258" s="10">
        <v>0</v>
      </c>
      <c r="S1258" s="7">
        <f t="shared" si="192"/>
        <v>0</v>
      </c>
      <c r="T1258" s="124">
        <f t="shared" si="193"/>
        <v>250</v>
      </c>
      <c r="U1258" s="124">
        <f t="shared" si="194"/>
        <v>998</v>
      </c>
      <c r="V1258" s="124">
        <f t="shared" si="195"/>
        <v>1249</v>
      </c>
      <c r="W1258" s="124">
        <f t="shared" si="196"/>
        <v>0</v>
      </c>
      <c r="X1258" s="124">
        <f t="shared" si="197"/>
        <v>0</v>
      </c>
      <c r="Y1258" s="264">
        <f t="shared" si="198"/>
        <v>1249</v>
      </c>
      <c r="Z1258" s="10">
        <v>250</v>
      </c>
      <c r="AA1258" s="7">
        <v>998</v>
      </c>
      <c r="AB1258" s="7">
        <v>1249</v>
      </c>
      <c r="AC1258" s="109">
        <v>0</v>
      </c>
      <c r="AD1258" s="109">
        <v>0</v>
      </c>
      <c r="AE1258" s="125"/>
      <c r="AF1258" s="10"/>
      <c r="AI1258" s="109"/>
      <c r="AJ1258" s="109"/>
      <c r="AL1258" s="10"/>
      <c r="AO1258" s="109"/>
      <c r="AP1258" s="109"/>
      <c r="AR1258" s="10"/>
      <c r="AU1258" s="109"/>
      <c r="AV1258" s="109"/>
      <c r="AX1258" s="10"/>
      <c r="BA1258" s="109"/>
      <c r="BB1258" s="109"/>
      <c r="BD1258" s="10"/>
      <c r="BG1258" s="109"/>
      <c r="BH1258" s="109"/>
      <c r="BJ1258" s="10"/>
      <c r="BM1258" s="109"/>
      <c r="BN1258" s="109"/>
      <c r="BP1258" s="10"/>
      <c r="BS1258" s="109"/>
      <c r="BT1258" s="109"/>
      <c r="BV1258" s="10"/>
      <c r="BY1258" s="109"/>
      <c r="BZ1258" s="109"/>
      <c r="CB1258" s="10"/>
      <c r="CE1258" s="109"/>
      <c r="CF1258" s="109"/>
      <c r="CH1258" s="10"/>
      <c r="CK1258" s="109"/>
      <c r="CL1258" s="109"/>
    </row>
    <row r="1259" spans="1:90">
      <c r="A1259" s="7" t="str">
        <f t="shared" si="191"/>
        <v>02500999</v>
      </c>
      <c r="B1259" s="7" t="s">
        <v>2589</v>
      </c>
      <c r="C1259" s="7" t="s">
        <v>2782</v>
      </c>
      <c r="D1259" s="7">
        <v>1250</v>
      </c>
      <c r="E1259" s="11">
        <v>250</v>
      </c>
      <c r="F1259" s="11" t="s">
        <v>1955</v>
      </c>
      <c r="G1259" s="11">
        <v>999</v>
      </c>
      <c r="H1259" s="11" t="s">
        <v>1132</v>
      </c>
      <c r="I1259" s="105">
        <v>9816174.959999999</v>
      </c>
      <c r="J1259" s="126">
        <v>1</v>
      </c>
      <c r="K1259" s="127">
        <f>SUM(K1255:K1258)</f>
        <v>9717182.2132431976</v>
      </c>
      <c r="L1259" s="126">
        <f>SUM(L1255:L1258)</f>
        <v>1</v>
      </c>
      <c r="M1259" s="105">
        <f>VLOOKUP(E1259,town351,22)</f>
        <v>6088204</v>
      </c>
      <c r="N1259" s="105">
        <f>SUM(N1255:N1258)</f>
        <v>6088203</v>
      </c>
      <c r="O1259" s="128">
        <v>6124139</v>
      </c>
      <c r="P1259" s="105">
        <f>SUM(P1255:P1258)</f>
        <v>-35936</v>
      </c>
      <c r="Q1259" s="45">
        <f t="shared" si="199"/>
        <v>-0.58679269036839299</v>
      </c>
      <c r="R1259" s="105">
        <v>997</v>
      </c>
      <c r="S1259" s="7">
        <f t="shared" si="192"/>
        <v>0</v>
      </c>
      <c r="T1259" s="124">
        <f t="shared" si="193"/>
        <v>250</v>
      </c>
      <c r="U1259" s="124">
        <f t="shared" si="194"/>
        <v>999</v>
      </c>
      <c r="V1259" s="124">
        <f t="shared" si="195"/>
        <v>1250</v>
      </c>
      <c r="W1259" s="124">
        <f t="shared" si="196"/>
        <v>970.99999999519002</v>
      </c>
      <c r="X1259" s="124">
        <f t="shared" si="197"/>
        <v>9717182.2132431976</v>
      </c>
      <c r="Y1259" s="264">
        <f t="shared" si="198"/>
        <v>1250</v>
      </c>
      <c r="Z1259" s="10">
        <v>250</v>
      </c>
      <c r="AA1259" s="7">
        <v>999</v>
      </c>
      <c r="AB1259" s="7">
        <v>1250</v>
      </c>
      <c r="AC1259" s="109">
        <v>970.99999999519002</v>
      </c>
      <c r="AD1259" s="109">
        <v>9717182.2132431976</v>
      </c>
      <c r="AE1259" s="125"/>
      <c r="AF1259" s="10"/>
      <c r="AI1259" s="109"/>
      <c r="AJ1259" s="109"/>
      <c r="AL1259" s="10"/>
      <c r="AO1259" s="109"/>
      <c r="AP1259" s="109"/>
      <c r="AR1259" s="10"/>
      <c r="AU1259" s="109"/>
      <c r="AV1259" s="109"/>
      <c r="AX1259" s="10"/>
      <c r="BA1259" s="109"/>
      <c r="BB1259" s="109"/>
      <c r="BD1259" s="10"/>
      <c r="BG1259" s="109"/>
      <c r="BH1259" s="109"/>
      <c r="BJ1259" s="10"/>
      <c r="BM1259" s="109"/>
      <c r="BN1259" s="109"/>
      <c r="BP1259" s="10"/>
      <c r="BS1259" s="109"/>
      <c r="BT1259" s="109"/>
      <c r="BV1259" s="10"/>
      <c r="BY1259" s="109"/>
      <c r="BZ1259" s="109"/>
      <c r="CB1259" s="10"/>
      <c r="CE1259" s="109"/>
      <c r="CF1259" s="109"/>
      <c r="CH1259" s="10"/>
      <c r="CK1259" s="109"/>
      <c r="CL1259" s="109"/>
    </row>
    <row r="1260" spans="1:90">
      <c r="A1260" s="7" t="str">
        <f t="shared" si="191"/>
        <v>02510251</v>
      </c>
      <c r="B1260" s="7" t="s">
        <v>2590</v>
      </c>
      <c r="C1260" s="7" t="s">
        <v>2590</v>
      </c>
      <c r="D1260" s="7">
        <v>1251</v>
      </c>
      <c r="E1260" s="7">
        <v>251</v>
      </c>
      <c r="F1260" s="7" t="s">
        <v>1956</v>
      </c>
      <c r="G1260" s="7">
        <v>251</v>
      </c>
      <c r="H1260" s="7" t="s">
        <v>1517</v>
      </c>
      <c r="I1260" s="37">
        <v>25814155.980160002</v>
      </c>
      <c r="J1260" s="122">
        <v>0.91481560319646782</v>
      </c>
      <c r="K1260" s="123">
        <f>X1260</f>
        <v>25966055.368246898</v>
      </c>
      <c r="L1260" s="122">
        <f>IF(K1264&gt;0, K1260/K1264, 0)</f>
        <v>0.91672947149470863</v>
      </c>
      <c r="M1260" s="71"/>
      <c r="N1260" s="10">
        <f>ROUND(M1264*L1260,0)</f>
        <v>12806197</v>
      </c>
      <c r="O1260" s="70">
        <v>12429362</v>
      </c>
      <c r="P1260" s="10">
        <f>N1260-O1260</f>
        <v>376835</v>
      </c>
      <c r="Q1260" s="46">
        <f t="shared" si="199"/>
        <v>3.0318128959475152</v>
      </c>
      <c r="R1260" s="10">
        <v>2396</v>
      </c>
      <c r="S1260" s="7">
        <f t="shared" si="192"/>
        <v>0</v>
      </c>
      <c r="T1260" s="124">
        <f t="shared" si="193"/>
        <v>251</v>
      </c>
      <c r="U1260" s="124">
        <f t="shared" si="194"/>
        <v>251</v>
      </c>
      <c r="V1260" s="124">
        <f t="shared" si="195"/>
        <v>1251</v>
      </c>
      <c r="W1260" s="124">
        <f t="shared" si="196"/>
        <v>2361</v>
      </c>
      <c r="X1260" s="124">
        <f t="shared" si="197"/>
        <v>25966055.368246898</v>
      </c>
      <c r="Y1260" s="264">
        <f t="shared" si="198"/>
        <v>1251</v>
      </c>
      <c r="Z1260" s="10">
        <v>251</v>
      </c>
      <c r="AA1260" s="7">
        <v>251</v>
      </c>
      <c r="AB1260" s="7">
        <v>1251</v>
      </c>
      <c r="AC1260" s="109">
        <v>2361</v>
      </c>
      <c r="AD1260" s="109">
        <v>25966055.368246898</v>
      </c>
      <c r="AE1260" s="125"/>
      <c r="AF1260" s="10"/>
      <c r="AI1260" s="109"/>
      <c r="AJ1260" s="109"/>
      <c r="AL1260" s="10"/>
      <c r="AO1260" s="109"/>
      <c r="AP1260" s="109"/>
      <c r="AR1260" s="10"/>
      <c r="AU1260" s="109"/>
      <c r="AV1260" s="109"/>
      <c r="AX1260" s="10"/>
      <c r="BA1260" s="109"/>
      <c r="BB1260" s="109"/>
      <c r="BD1260" s="10"/>
      <c r="BG1260" s="109"/>
      <c r="BH1260" s="109"/>
      <c r="BJ1260" s="10"/>
      <c r="BM1260" s="109"/>
      <c r="BN1260" s="109"/>
      <c r="BP1260" s="10"/>
      <c r="BS1260" s="109"/>
      <c r="BT1260" s="109"/>
      <c r="BV1260" s="10"/>
      <c r="BY1260" s="109"/>
      <c r="BZ1260" s="109"/>
      <c r="CB1260" s="10"/>
      <c r="CE1260" s="109"/>
      <c r="CF1260" s="109"/>
      <c r="CH1260" s="10"/>
      <c r="CK1260" s="109"/>
      <c r="CL1260" s="109"/>
    </row>
    <row r="1261" spans="1:90">
      <c r="A1261" s="7" t="str">
        <f t="shared" si="191"/>
        <v>02510873</v>
      </c>
      <c r="B1261" s="7" t="s">
        <v>2590</v>
      </c>
      <c r="C1261" s="7" t="s">
        <v>2773</v>
      </c>
      <c r="D1261" s="7">
        <v>1252</v>
      </c>
      <c r="E1261" s="7">
        <v>251</v>
      </c>
      <c r="F1261" s="7" t="s">
        <v>1956</v>
      </c>
      <c r="G1261" s="7">
        <v>873</v>
      </c>
      <c r="H1261" s="7" t="s">
        <v>1700</v>
      </c>
      <c r="I1261" s="37">
        <v>2403723</v>
      </c>
      <c r="J1261" s="122">
        <v>8.5184396803532195E-2</v>
      </c>
      <c r="K1261" s="123">
        <f t="shared" si="200"/>
        <v>2358609.8417738667</v>
      </c>
      <c r="L1261" s="122">
        <f>IF(K1264&gt;0, K1261/K1264, 0)</f>
        <v>8.3270528505291291E-2</v>
      </c>
      <c r="M1261" s="71"/>
      <c r="N1261" s="10">
        <f>ROUND(M1264*L1261,0)</f>
        <v>1163243</v>
      </c>
      <c r="O1261" s="70">
        <v>1157378</v>
      </c>
      <c r="P1261" s="10">
        <f>N1261-O1261</f>
        <v>5865</v>
      </c>
      <c r="Q1261" s="46">
        <f t="shared" si="199"/>
        <v>0.50674887547542813</v>
      </c>
      <c r="R1261" s="10">
        <v>152</v>
      </c>
      <c r="S1261" s="7">
        <f t="shared" si="192"/>
        <v>0</v>
      </c>
      <c r="T1261" s="124">
        <f t="shared" si="193"/>
        <v>251</v>
      </c>
      <c r="U1261" s="124">
        <f t="shared" si="194"/>
        <v>873</v>
      </c>
      <c r="V1261" s="124">
        <f t="shared" si="195"/>
        <v>1252</v>
      </c>
      <c r="W1261" s="124">
        <f t="shared" si="196"/>
        <v>144.99999999880001</v>
      </c>
      <c r="X1261" s="124">
        <f t="shared" si="197"/>
        <v>2358609.8417738667</v>
      </c>
      <c r="Y1261" s="264">
        <f t="shared" si="198"/>
        <v>1252</v>
      </c>
      <c r="Z1261" s="10">
        <v>251</v>
      </c>
      <c r="AA1261" s="7">
        <v>873</v>
      </c>
      <c r="AB1261" s="7">
        <v>1252</v>
      </c>
      <c r="AC1261" s="109">
        <v>144.99999999880001</v>
      </c>
      <c r="AD1261" s="109">
        <v>2358609.8417738667</v>
      </c>
      <c r="AE1261" s="125"/>
      <c r="AF1261" s="10"/>
      <c r="AI1261" s="109"/>
      <c r="AJ1261" s="109"/>
      <c r="AL1261" s="10"/>
      <c r="AO1261" s="109"/>
      <c r="AP1261" s="109"/>
      <c r="AR1261" s="10"/>
      <c r="AU1261" s="109"/>
      <c r="AV1261" s="109"/>
      <c r="AX1261" s="10"/>
      <c r="BA1261" s="109"/>
      <c r="BB1261" s="109"/>
      <c r="BD1261" s="10"/>
      <c r="BG1261" s="109"/>
      <c r="BH1261" s="109"/>
      <c r="BJ1261" s="10"/>
      <c r="BM1261" s="109"/>
      <c r="BN1261" s="109"/>
      <c r="BP1261" s="10"/>
      <c r="BS1261" s="109"/>
      <c r="BT1261" s="109"/>
      <c r="BV1261" s="10"/>
      <c r="BY1261" s="109"/>
      <c r="BZ1261" s="109"/>
      <c r="CB1261" s="10"/>
      <c r="CE1261" s="109"/>
      <c r="CF1261" s="109"/>
      <c r="CH1261" s="10"/>
      <c r="CK1261" s="109"/>
      <c r="CL1261" s="109"/>
    </row>
    <row r="1262" spans="1:90">
      <c r="A1262" s="7" t="str">
        <f t="shared" si="191"/>
        <v>02510998</v>
      </c>
      <c r="B1262" s="7" t="s">
        <v>2590</v>
      </c>
      <c r="C1262" s="7" t="s">
        <v>2781</v>
      </c>
      <c r="D1262" s="7">
        <v>1253</v>
      </c>
      <c r="E1262" s="7">
        <v>251</v>
      </c>
      <c r="F1262" s="7" t="s">
        <v>2135</v>
      </c>
      <c r="G1262" s="7">
        <v>998</v>
      </c>
      <c r="H1262" s="7" t="s">
        <v>2135</v>
      </c>
      <c r="I1262" s="37">
        <v>0</v>
      </c>
      <c r="J1262" s="122">
        <v>0</v>
      </c>
      <c r="K1262" s="123">
        <f t="shared" si="200"/>
        <v>0</v>
      </c>
      <c r="L1262" s="122">
        <f>IF(K1264&gt;0, K1262/K1264, 0)</f>
        <v>0</v>
      </c>
      <c r="M1262" s="71"/>
      <c r="N1262" s="10">
        <f>ROUND(M1264*L1262,0)</f>
        <v>0</v>
      </c>
      <c r="O1262" s="70">
        <v>0</v>
      </c>
      <c r="P1262" s="10">
        <f>N1262-O1262</f>
        <v>0</v>
      </c>
      <c r="Q1262" s="46">
        <f t="shared" si="199"/>
        <v>0</v>
      </c>
      <c r="R1262" s="10">
        <v>0</v>
      </c>
      <c r="S1262" s="7">
        <f t="shared" si="192"/>
        <v>0</v>
      </c>
      <c r="T1262" s="124">
        <f t="shared" si="193"/>
        <v>251</v>
      </c>
      <c r="U1262" s="124">
        <f t="shared" si="194"/>
        <v>998</v>
      </c>
      <c r="V1262" s="124">
        <f t="shared" si="195"/>
        <v>1253</v>
      </c>
      <c r="W1262" s="124">
        <f t="shared" si="196"/>
        <v>0</v>
      </c>
      <c r="X1262" s="124">
        <f t="shared" si="197"/>
        <v>0</v>
      </c>
      <c r="Y1262" s="264">
        <f t="shared" si="198"/>
        <v>1253</v>
      </c>
      <c r="Z1262" s="10">
        <v>251</v>
      </c>
      <c r="AA1262" s="7">
        <v>998</v>
      </c>
      <c r="AB1262" s="7">
        <v>1253</v>
      </c>
      <c r="AC1262" s="109">
        <v>0</v>
      </c>
      <c r="AD1262" s="109">
        <v>0</v>
      </c>
      <c r="AE1262" s="125"/>
      <c r="AF1262" s="10"/>
      <c r="AI1262" s="109"/>
      <c r="AJ1262" s="109"/>
      <c r="AL1262" s="10"/>
      <c r="AO1262" s="109"/>
      <c r="AP1262" s="109"/>
      <c r="AR1262" s="10"/>
      <c r="AU1262" s="109"/>
      <c r="AV1262" s="109"/>
      <c r="AX1262" s="10"/>
      <c r="BA1262" s="109"/>
      <c r="BB1262" s="109"/>
      <c r="BD1262" s="10"/>
      <c r="BG1262" s="109"/>
      <c r="BH1262" s="109"/>
      <c r="BJ1262" s="10"/>
      <c r="BM1262" s="109"/>
      <c r="BN1262" s="109"/>
      <c r="BP1262" s="10"/>
      <c r="BS1262" s="109"/>
      <c r="BT1262" s="109"/>
      <c r="BV1262" s="10"/>
      <c r="BY1262" s="109"/>
      <c r="BZ1262" s="109"/>
      <c r="CB1262" s="10"/>
      <c r="CE1262" s="109"/>
      <c r="CF1262" s="109"/>
      <c r="CH1262" s="10"/>
      <c r="CK1262" s="109"/>
      <c r="CL1262" s="109"/>
    </row>
    <row r="1263" spans="1:90">
      <c r="A1263" s="7" t="str">
        <f t="shared" si="191"/>
        <v>02510998</v>
      </c>
      <c r="B1263" s="7" t="s">
        <v>2590</v>
      </c>
      <c r="C1263" s="7" t="s">
        <v>2781</v>
      </c>
      <c r="D1263" s="7">
        <v>1254</v>
      </c>
      <c r="E1263" s="7">
        <v>251</v>
      </c>
      <c r="F1263" s="7" t="s">
        <v>2135</v>
      </c>
      <c r="G1263" s="7">
        <v>998</v>
      </c>
      <c r="H1263" s="7" t="s">
        <v>2135</v>
      </c>
      <c r="I1263" s="37">
        <v>0</v>
      </c>
      <c r="J1263" s="122">
        <v>0</v>
      </c>
      <c r="K1263" s="123">
        <f t="shared" si="200"/>
        <v>0</v>
      </c>
      <c r="L1263" s="122">
        <f>IF(K1264&gt;0, K1263/K1264, 0)</f>
        <v>0</v>
      </c>
      <c r="M1263" s="71"/>
      <c r="N1263" s="10">
        <f>ROUND(M1264*L1263,0)</f>
        <v>0</v>
      </c>
      <c r="O1263" s="70">
        <v>0</v>
      </c>
      <c r="P1263" s="10">
        <f>N1263-O1263</f>
        <v>0</v>
      </c>
      <c r="Q1263" s="46">
        <f t="shared" si="199"/>
        <v>0</v>
      </c>
      <c r="R1263" s="10">
        <v>0</v>
      </c>
      <c r="S1263" s="7">
        <f t="shared" si="192"/>
        <v>0</v>
      </c>
      <c r="T1263" s="124">
        <f t="shared" si="193"/>
        <v>251</v>
      </c>
      <c r="U1263" s="124">
        <f t="shared" si="194"/>
        <v>998</v>
      </c>
      <c r="V1263" s="124">
        <f t="shared" si="195"/>
        <v>1254</v>
      </c>
      <c r="W1263" s="124">
        <f t="shared" si="196"/>
        <v>0</v>
      </c>
      <c r="X1263" s="124">
        <f t="shared" si="197"/>
        <v>0</v>
      </c>
      <c r="Y1263" s="264">
        <f t="shared" si="198"/>
        <v>1254</v>
      </c>
      <c r="Z1263" s="10">
        <v>251</v>
      </c>
      <c r="AA1263" s="7">
        <v>998</v>
      </c>
      <c r="AB1263" s="7">
        <v>1254</v>
      </c>
      <c r="AC1263" s="109">
        <v>0</v>
      </c>
      <c r="AD1263" s="109">
        <v>0</v>
      </c>
      <c r="AE1263" s="125"/>
      <c r="AF1263" s="10"/>
      <c r="AI1263" s="109"/>
      <c r="AJ1263" s="109"/>
      <c r="AL1263" s="10"/>
      <c r="AO1263" s="109"/>
      <c r="AP1263" s="109"/>
      <c r="AR1263" s="10"/>
      <c r="AU1263" s="109"/>
      <c r="AV1263" s="109"/>
      <c r="AX1263" s="10"/>
      <c r="BA1263" s="109"/>
      <c r="BB1263" s="109"/>
      <c r="BD1263" s="10"/>
      <c r="BG1263" s="109"/>
      <c r="BH1263" s="109"/>
      <c r="BJ1263" s="10"/>
      <c r="BM1263" s="109"/>
      <c r="BN1263" s="109"/>
      <c r="BP1263" s="10"/>
      <c r="BS1263" s="109"/>
      <c r="BT1263" s="109"/>
      <c r="BV1263" s="10"/>
      <c r="BY1263" s="109"/>
      <c r="BZ1263" s="109"/>
      <c r="CB1263" s="10"/>
      <c r="CE1263" s="109"/>
      <c r="CF1263" s="109"/>
      <c r="CH1263" s="10"/>
      <c r="CK1263" s="109"/>
      <c r="CL1263" s="109"/>
    </row>
    <row r="1264" spans="1:90">
      <c r="A1264" s="7" t="str">
        <f t="shared" si="191"/>
        <v>02510999</v>
      </c>
      <c r="B1264" s="7" t="s">
        <v>2590</v>
      </c>
      <c r="C1264" s="7" t="s">
        <v>2782</v>
      </c>
      <c r="D1264" s="7">
        <v>1255</v>
      </c>
      <c r="E1264" s="11">
        <v>251</v>
      </c>
      <c r="F1264" s="11" t="s">
        <v>1956</v>
      </c>
      <c r="G1264" s="11">
        <v>999</v>
      </c>
      <c r="H1264" s="11" t="s">
        <v>1132</v>
      </c>
      <c r="I1264" s="105">
        <v>28217878.980160002</v>
      </c>
      <c r="J1264" s="126">
        <v>1</v>
      </c>
      <c r="K1264" s="127">
        <f>SUM(K1260:K1263)</f>
        <v>28324665.210020766</v>
      </c>
      <c r="L1264" s="126">
        <f>SUM(L1260:L1263)</f>
        <v>0.99999999999999989</v>
      </c>
      <c r="M1264" s="105">
        <f>VLOOKUP(E1264,town351,22)</f>
        <v>13969440</v>
      </c>
      <c r="N1264" s="105">
        <f>SUM(N1260:N1263)</f>
        <v>13969440</v>
      </c>
      <c r="O1264" s="128">
        <v>13586740</v>
      </c>
      <c r="P1264" s="105">
        <f>SUM(P1260:P1263)</f>
        <v>382700</v>
      </c>
      <c r="Q1264" s="45">
        <f t="shared" si="199"/>
        <v>2.8167168872003145</v>
      </c>
      <c r="R1264" s="105">
        <v>2548</v>
      </c>
      <c r="S1264" s="7">
        <f t="shared" si="192"/>
        <v>0</v>
      </c>
      <c r="T1264" s="124">
        <f t="shared" si="193"/>
        <v>251</v>
      </c>
      <c r="U1264" s="124">
        <f t="shared" si="194"/>
        <v>999</v>
      </c>
      <c r="V1264" s="124">
        <f t="shared" si="195"/>
        <v>1255</v>
      </c>
      <c r="W1264" s="124">
        <f t="shared" si="196"/>
        <v>2505.9999999987999</v>
      </c>
      <c r="X1264" s="124">
        <f t="shared" si="197"/>
        <v>28324665.210020766</v>
      </c>
      <c r="Y1264" s="264">
        <f t="shared" si="198"/>
        <v>1255</v>
      </c>
      <c r="Z1264" s="10">
        <v>251</v>
      </c>
      <c r="AA1264" s="7">
        <v>999</v>
      </c>
      <c r="AB1264" s="7">
        <v>1255</v>
      </c>
      <c r="AC1264" s="109">
        <v>2505.9999999987999</v>
      </c>
      <c r="AD1264" s="109">
        <v>28324665.210020766</v>
      </c>
      <c r="AE1264" s="125"/>
      <c r="AF1264" s="10"/>
      <c r="AI1264" s="109"/>
      <c r="AJ1264" s="109"/>
      <c r="AL1264" s="10"/>
      <c r="AO1264" s="109"/>
      <c r="AP1264" s="109"/>
      <c r="AR1264" s="10"/>
      <c r="AU1264" s="109"/>
      <c r="AV1264" s="109"/>
      <c r="AX1264" s="10"/>
      <c r="BA1264" s="109"/>
      <c r="BB1264" s="109"/>
      <c r="BD1264" s="10"/>
      <c r="BG1264" s="109"/>
      <c r="BH1264" s="109"/>
      <c r="BJ1264" s="10"/>
      <c r="BM1264" s="109"/>
      <c r="BN1264" s="109"/>
      <c r="BP1264" s="10"/>
      <c r="BS1264" s="109"/>
      <c r="BT1264" s="109"/>
      <c r="BV1264" s="10"/>
      <c r="BY1264" s="109"/>
      <c r="BZ1264" s="109"/>
      <c r="CB1264" s="10"/>
      <c r="CE1264" s="109"/>
      <c r="CF1264" s="109"/>
      <c r="CH1264" s="10"/>
      <c r="CK1264" s="109"/>
      <c r="CL1264" s="109"/>
    </row>
    <row r="1265" spans="1:90">
      <c r="A1265" s="7" t="str">
        <f t="shared" si="191"/>
        <v>02520252</v>
      </c>
      <c r="B1265" s="7" t="s">
        <v>2591</v>
      </c>
      <c r="C1265" s="7" t="s">
        <v>2591</v>
      </c>
      <c r="D1265" s="7">
        <v>1256</v>
      </c>
      <c r="E1265" s="7">
        <v>252</v>
      </c>
      <c r="F1265" s="7" t="s">
        <v>1957</v>
      </c>
      <c r="G1265" s="7">
        <v>252</v>
      </c>
      <c r="H1265" s="7" t="s">
        <v>1518</v>
      </c>
      <c r="I1265" s="37">
        <v>7673923.8114000009</v>
      </c>
      <c r="J1265" s="122">
        <v>0.96242721592956637</v>
      </c>
      <c r="K1265" s="123">
        <f>X1265</f>
        <v>7549140.3215470212</v>
      </c>
      <c r="L1265" s="122">
        <f>IF(K1269&gt;0, K1265/K1269, 0)</f>
        <v>0.96936094223279934</v>
      </c>
      <c r="M1265" s="71"/>
      <c r="N1265" s="10">
        <f>ROUND(M1269*L1265,0)</f>
        <v>6289613</v>
      </c>
      <c r="O1265" s="70">
        <v>6409651</v>
      </c>
      <c r="P1265" s="10">
        <f>N1265-O1265</f>
        <v>-120038</v>
      </c>
      <c r="Q1265" s="46">
        <f t="shared" si="199"/>
        <v>-1.8727696718588891</v>
      </c>
      <c r="R1265" s="10">
        <v>758</v>
      </c>
      <c r="S1265" s="7">
        <f t="shared" si="192"/>
        <v>0</v>
      </c>
      <c r="T1265" s="124">
        <f t="shared" si="193"/>
        <v>252</v>
      </c>
      <c r="U1265" s="124">
        <f t="shared" si="194"/>
        <v>252</v>
      </c>
      <c r="V1265" s="124">
        <f t="shared" si="195"/>
        <v>1256</v>
      </c>
      <c r="W1265" s="124">
        <f t="shared" si="196"/>
        <v>735</v>
      </c>
      <c r="X1265" s="124">
        <f t="shared" si="197"/>
        <v>7549140.3215470212</v>
      </c>
      <c r="Y1265" s="264">
        <f t="shared" si="198"/>
        <v>1256</v>
      </c>
      <c r="Z1265" s="10">
        <v>252</v>
      </c>
      <c r="AA1265" s="7">
        <v>252</v>
      </c>
      <c r="AB1265" s="7">
        <v>1256</v>
      </c>
      <c r="AC1265" s="109">
        <v>735</v>
      </c>
      <c r="AD1265" s="109">
        <v>7549140.3215470212</v>
      </c>
      <c r="AE1265" s="125"/>
      <c r="AF1265" s="10"/>
      <c r="AI1265" s="109"/>
      <c r="AJ1265" s="109"/>
      <c r="AL1265" s="10"/>
      <c r="AO1265" s="109"/>
      <c r="AP1265" s="109"/>
      <c r="AR1265" s="10"/>
      <c r="AU1265" s="109"/>
      <c r="AV1265" s="109"/>
      <c r="AX1265" s="10"/>
      <c r="BA1265" s="109"/>
      <c r="BB1265" s="109"/>
      <c r="BD1265" s="10"/>
      <c r="BG1265" s="109"/>
      <c r="BH1265" s="109"/>
      <c r="BJ1265" s="10"/>
      <c r="BM1265" s="109"/>
      <c r="BN1265" s="109"/>
      <c r="BP1265" s="10"/>
      <c r="BS1265" s="109"/>
      <c r="BT1265" s="109"/>
      <c r="BV1265" s="10"/>
      <c r="BY1265" s="109"/>
      <c r="BZ1265" s="109"/>
      <c r="CB1265" s="10"/>
      <c r="CE1265" s="109"/>
      <c r="CF1265" s="109"/>
      <c r="CH1265" s="10"/>
      <c r="CK1265" s="109"/>
      <c r="CL1265" s="109"/>
    </row>
    <row r="1266" spans="1:90">
      <c r="A1266" s="7" t="str">
        <f t="shared" si="191"/>
        <v>02520817</v>
      </c>
      <c r="B1266" s="7" t="s">
        <v>2591</v>
      </c>
      <c r="C1266" s="7" t="s">
        <v>2757</v>
      </c>
      <c r="D1266" s="7">
        <v>1257</v>
      </c>
      <c r="E1266" s="7">
        <v>252</v>
      </c>
      <c r="F1266" s="7" t="s">
        <v>1957</v>
      </c>
      <c r="G1266" s="7">
        <v>817</v>
      </c>
      <c r="H1266" s="7" t="s">
        <v>1684</v>
      </c>
      <c r="I1266" s="37">
        <v>299587</v>
      </c>
      <c r="J1266" s="122">
        <v>3.7572784070433594E-2</v>
      </c>
      <c r="K1266" s="123">
        <f t="shared" si="200"/>
        <v>238609.31086393559</v>
      </c>
      <c r="L1266" s="122">
        <f>IF(K1269&gt;0, K1266/K1269, 0)</f>
        <v>3.0639057767200734E-2</v>
      </c>
      <c r="M1266" s="71"/>
      <c r="N1266" s="10">
        <f>ROUND(M1269*L1266,0)</f>
        <v>198799</v>
      </c>
      <c r="O1266" s="70">
        <v>250230</v>
      </c>
      <c r="P1266" s="10">
        <f>N1266-O1266</f>
        <v>-51431</v>
      </c>
      <c r="Q1266" s="46">
        <f t="shared" si="199"/>
        <v>-20.553490788474605</v>
      </c>
      <c r="R1266" s="10">
        <v>19</v>
      </c>
      <c r="S1266" s="7">
        <f t="shared" si="192"/>
        <v>0</v>
      </c>
      <c r="T1266" s="124">
        <f t="shared" si="193"/>
        <v>252</v>
      </c>
      <c r="U1266" s="124">
        <f t="shared" si="194"/>
        <v>817</v>
      </c>
      <c r="V1266" s="124">
        <f t="shared" si="195"/>
        <v>1257</v>
      </c>
      <c r="W1266" s="124">
        <f t="shared" si="196"/>
        <v>15.000000001739998</v>
      </c>
      <c r="X1266" s="124">
        <f t="shared" si="197"/>
        <v>238609.31086393559</v>
      </c>
      <c r="Y1266" s="264">
        <f t="shared" si="198"/>
        <v>1257</v>
      </c>
      <c r="Z1266" s="10">
        <v>252</v>
      </c>
      <c r="AA1266" s="7">
        <v>817</v>
      </c>
      <c r="AB1266" s="7">
        <v>1257</v>
      </c>
      <c r="AC1266" s="109">
        <v>15.000000001739998</v>
      </c>
      <c r="AD1266" s="109">
        <v>238609.31086393559</v>
      </c>
      <c r="AE1266" s="125"/>
      <c r="AF1266" s="10"/>
      <c r="AI1266" s="109"/>
      <c r="AJ1266" s="109"/>
      <c r="AL1266" s="10"/>
      <c r="AO1266" s="109"/>
      <c r="AP1266" s="109"/>
      <c r="AR1266" s="10"/>
      <c r="AU1266" s="109"/>
      <c r="AV1266" s="109"/>
      <c r="AX1266" s="10"/>
      <c r="BA1266" s="109"/>
      <c r="BB1266" s="109"/>
      <c r="BD1266" s="10"/>
      <c r="BG1266" s="109"/>
      <c r="BH1266" s="109"/>
      <c r="BJ1266" s="10"/>
      <c r="BM1266" s="109"/>
      <c r="BN1266" s="109"/>
      <c r="BP1266" s="10"/>
      <c r="BS1266" s="109"/>
      <c r="BT1266" s="109"/>
      <c r="BV1266" s="10"/>
      <c r="BY1266" s="109"/>
      <c r="BZ1266" s="109"/>
      <c r="CB1266" s="10"/>
      <c r="CE1266" s="109"/>
      <c r="CF1266" s="109"/>
      <c r="CH1266" s="10"/>
      <c r="CK1266" s="109"/>
      <c r="CL1266" s="109"/>
    </row>
    <row r="1267" spans="1:90">
      <c r="A1267" s="7" t="str">
        <f t="shared" si="191"/>
        <v>02520998</v>
      </c>
      <c r="B1267" s="7" t="s">
        <v>2591</v>
      </c>
      <c r="C1267" s="7" t="s">
        <v>2781</v>
      </c>
      <c r="D1267" s="7">
        <v>1258</v>
      </c>
      <c r="E1267" s="7">
        <v>252</v>
      </c>
      <c r="F1267" s="7" t="s">
        <v>2135</v>
      </c>
      <c r="G1267" s="7">
        <v>998</v>
      </c>
      <c r="I1267" s="129">
        <v>0</v>
      </c>
      <c r="J1267" s="130">
        <v>0</v>
      </c>
      <c r="K1267" s="123">
        <f t="shared" si="200"/>
        <v>0</v>
      </c>
      <c r="L1267" s="122">
        <f>IF(K1269&gt;0, K1267/K1269, 0)</f>
        <v>0</v>
      </c>
      <c r="M1267" s="71"/>
      <c r="N1267" s="10">
        <f>ROUND(M1269*L1267,0)</f>
        <v>0</v>
      </c>
      <c r="O1267" s="70">
        <v>0</v>
      </c>
      <c r="P1267" s="10">
        <f>N1267-O1267</f>
        <v>0</v>
      </c>
      <c r="Q1267" s="46">
        <f t="shared" si="199"/>
        <v>0</v>
      </c>
      <c r="R1267" s="10">
        <v>0</v>
      </c>
      <c r="S1267" s="7">
        <f t="shared" si="192"/>
        <v>0</v>
      </c>
      <c r="T1267" s="124">
        <f t="shared" si="193"/>
        <v>252</v>
      </c>
      <c r="U1267" s="124">
        <f t="shared" si="194"/>
        <v>998</v>
      </c>
      <c r="V1267" s="124">
        <f t="shared" si="195"/>
        <v>1258</v>
      </c>
      <c r="W1267" s="124">
        <f t="shared" si="196"/>
        <v>0</v>
      </c>
      <c r="X1267" s="124">
        <f t="shared" si="197"/>
        <v>0</v>
      </c>
      <c r="Y1267" s="264">
        <f t="shared" si="198"/>
        <v>1258</v>
      </c>
      <c r="Z1267" s="10">
        <v>252</v>
      </c>
      <c r="AA1267" s="7">
        <v>998</v>
      </c>
      <c r="AB1267" s="7">
        <v>1258</v>
      </c>
      <c r="AC1267" s="109">
        <v>0</v>
      </c>
      <c r="AD1267" s="109">
        <v>0</v>
      </c>
      <c r="AE1267" s="125"/>
      <c r="AF1267" s="10"/>
      <c r="AI1267" s="109"/>
      <c r="AJ1267" s="109"/>
      <c r="AL1267" s="10"/>
      <c r="AO1267" s="109"/>
      <c r="AP1267" s="109"/>
      <c r="AR1267" s="10"/>
      <c r="AU1267" s="109"/>
      <c r="AV1267" s="109"/>
      <c r="AX1267" s="10"/>
      <c r="BA1267" s="109"/>
      <c r="BB1267" s="109"/>
      <c r="BD1267" s="10"/>
      <c r="BG1267" s="109"/>
      <c r="BH1267" s="109"/>
      <c r="BJ1267" s="10"/>
      <c r="BM1267" s="109"/>
      <c r="BN1267" s="109"/>
      <c r="BP1267" s="10"/>
      <c r="BS1267" s="109"/>
      <c r="BT1267" s="109"/>
      <c r="BV1267" s="10"/>
      <c r="BY1267" s="109"/>
      <c r="BZ1267" s="109"/>
      <c r="CB1267" s="10"/>
      <c r="CE1267" s="109"/>
      <c r="CF1267" s="109"/>
      <c r="CH1267" s="10"/>
      <c r="CK1267" s="109"/>
      <c r="CL1267" s="109"/>
    </row>
    <row r="1268" spans="1:90">
      <c r="A1268" s="7" t="str">
        <f t="shared" si="191"/>
        <v>02520998</v>
      </c>
      <c r="B1268" s="7" t="s">
        <v>2591</v>
      </c>
      <c r="C1268" s="7" t="s">
        <v>2781</v>
      </c>
      <c r="D1268" s="7">
        <v>1259</v>
      </c>
      <c r="E1268" s="7">
        <v>252</v>
      </c>
      <c r="F1268" s="7" t="s">
        <v>2135</v>
      </c>
      <c r="G1268" s="7">
        <v>998</v>
      </c>
      <c r="H1268" s="7" t="s">
        <v>2135</v>
      </c>
      <c r="I1268" s="37">
        <v>0</v>
      </c>
      <c r="J1268" s="122">
        <v>0</v>
      </c>
      <c r="K1268" s="123">
        <f t="shared" si="200"/>
        <v>0</v>
      </c>
      <c r="L1268" s="122">
        <f>IF(K1269&gt;0, K1268/K1269, 0)</f>
        <v>0</v>
      </c>
      <c r="M1268" s="71"/>
      <c r="N1268" s="10">
        <f>ROUND(M1269*L1268,0)</f>
        <v>0</v>
      </c>
      <c r="O1268" s="70">
        <v>0</v>
      </c>
      <c r="P1268" s="10">
        <f>N1268-O1268</f>
        <v>0</v>
      </c>
      <c r="Q1268" s="46">
        <f t="shared" si="199"/>
        <v>0</v>
      </c>
      <c r="R1268" s="10">
        <v>0</v>
      </c>
      <c r="S1268" s="7">
        <f t="shared" si="192"/>
        <v>0</v>
      </c>
      <c r="T1268" s="124">
        <f t="shared" si="193"/>
        <v>252</v>
      </c>
      <c r="U1268" s="124">
        <f t="shared" si="194"/>
        <v>998</v>
      </c>
      <c r="V1268" s="124">
        <f t="shared" si="195"/>
        <v>1259</v>
      </c>
      <c r="W1268" s="124">
        <f t="shared" si="196"/>
        <v>0</v>
      </c>
      <c r="X1268" s="124">
        <f t="shared" si="197"/>
        <v>0</v>
      </c>
      <c r="Y1268" s="264">
        <f t="shared" si="198"/>
        <v>1259</v>
      </c>
      <c r="Z1268" s="10">
        <v>252</v>
      </c>
      <c r="AA1268" s="7">
        <v>998</v>
      </c>
      <c r="AB1268" s="7">
        <v>1259</v>
      </c>
      <c r="AC1268" s="109">
        <v>0</v>
      </c>
      <c r="AD1268" s="109">
        <v>0</v>
      </c>
      <c r="AE1268" s="125"/>
      <c r="AF1268" s="10"/>
      <c r="AI1268" s="109"/>
      <c r="AJ1268" s="109"/>
      <c r="AL1268" s="10"/>
      <c r="AO1268" s="109"/>
      <c r="AP1268" s="109"/>
      <c r="AR1268" s="10"/>
      <c r="AU1268" s="109"/>
      <c r="AV1268" s="109"/>
      <c r="AX1268" s="10"/>
      <c r="BA1268" s="109"/>
      <c r="BB1268" s="109"/>
      <c r="BD1268" s="10"/>
      <c r="BG1268" s="109"/>
      <c r="BH1268" s="109"/>
      <c r="BJ1268" s="10"/>
      <c r="BM1268" s="109"/>
      <c r="BN1268" s="109"/>
      <c r="BP1268" s="10"/>
      <c r="BS1268" s="109"/>
      <c r="BT1268" s="109"/>
      <c r="BV1268" s="10"/>
      <c r="BY1268" s="109"/>
      <c r="BZ1268" s="109"/>
      <c r="CB1268" s="10"/>
      <c r="CE1268" s="109"/>
      <c r="CF1268" s="109"/>
      <c r="CH1268" s="10"/>
      <c r="CK1268" s="109"/>
      <c r="CL1268" s="109"/>
    </row>
    <row r="1269" spans="1:90">
      <c r="A1269" s="7" t="str">
        <f t="shared" si="191"/>
        <v>02520999</v>
      </c>
      <c r="B1269" s="7" t="s">
        <v>2591</v>
      </c>
      <c r="C1269" s="7" t="s">
        <v>2782</v>
      </c>
      <c r="D1269" s="7">
        <v>1260</v>
      </c>
      <c r="E1269" s="11">
        <v>252</v>
      </c>
      <c r="F1269" s="11" t="s">
        <v>1957</v>
      </c>
      <c r="G1269" s="11">
        <v>999</v>
      </c>
      <c r="H1269" s="11" t="s">
        <v>1132</v>
      </c>
      <c r="I1269" s="105">
        <v>7973510.8114000009</v>
      </c>
      <c r="J1269" s="126">
        <v>1</v>
      </c>
      <c r="K1269" s="127">
        <f>SUM(K1265:K1268)</f>
        <v>7787749.6324109565</v>
      </c>
      <c r="L1269" s="126">
        <f>SUM(L1265:L1268)</f>
        <v>1</v>
      </c>
      <c r="M1269" s="105">
        <f>VLOOKUP(E1269,town351,22)</f>
        <v>6488412</v>
      </c>
      <c r="N1269" s="105">
        <f>SUM(N1265:N1268)</f>
        <v>6488412</v>
      </c>
      <c r="O1269" s="128">
        <v>6659881</v>
      </c>
      <c r="P1269" s="105">
        <f>SUM(P1265:P1268)</f>
        <v>-171469</v>
      </c>
      <c r="Q1269" s="45">
        <f t="shared" si="199"/>
        <v>-2.5746556132159117</v>
      </c>
      <c r="R1269" s="105">
        <v>777</v>
      </c>
      <c r="S1269" s="7">
        <f t="shared" si="192"/>
        <v>0</v>
      </c>
      <c r="T1269" s="124">
        <f t="shared" si="193"/>
        <v>252</v>
      </c>
      <c r="U1269" s="124">
        <f t="shared" si="194"/>
        <v>999</v>
      </c>
      <c r="V1269" s="124">
        <f t="shared" si="195"/>
        <v>1260</v>
      </c>
      <c r="W1269" s="124">
        <f t="shared" si="196"/>
        <v>750.00000000173998</v>
      </c>
      <c r="X1269" s="124">
        <f t="shared" si="197"/>
        <v>7787749.6324109565</v>
      </c>
      <c r="Y1269" s="264">
        <f t="shared" si="198"/>
        <v>1260</v>
      </c>
      <c r="Z1269" s="10">
        <v>252</v>
      </c>
      <c r="AA1269" s="7">
        <v>999</v>
      </c>
      <c r="AB1269" s="7">
        <v>1260</v>
      </c>
      <c r="AC1269" s="109">
        <v>750.00000000173998</v>
      </c>
      <c r="AD1269" s="109">
        <v>7787749.6324109565</v>
      </c>
      <c r="AE1269" s="125"/>
      <c r="AF1269" s="10"/>
      <c r="AI1269" s="109"/>
      <c r="AJ1269" s="109"/>
      <c r="AL1269" s="10"/>
      <c r="AO1269" s="109"/>
      <c r="AP1269" s="109"/>
      <c r="AR1269" s="10"/>
      <c r="AU1269" s="109"/>
      <c r="AV1269" s="109"/>
      <c r="AX1269" s="10"/>
      <c r="BA1269" s="109"/>
      <c r="BB1269" s="109"/>
      <c r="BD1269" s="10"/>
      <c r="BG1269" s="109"/>
      <c r="BH1269" s="109"/>
      <c r="BJ1269" s="10"/>
      <c r="BM1269" s="109"/>
      <c r="BN1269" s="109"/>
      <c r="BP1269" s="10"/>
      <c r="BS1269" s="109"/>
      <c r="BT1269" s="109"/>
      <c r="BV1269" s="10"/>
      <c r="BY1269" s="109"/>
      <c r="BZ1269" s="109"/>
      <c r="CB1269" s="10"/>
      <c r="CE1269" s="109"/>
      <c r="CF1269" s="109"/>
      <c r="CH1269" s="10"/>
      <c r="CK1269" s="109"/>
      <c r="CL1269" s="109"/>
    </row>
    <row r="1270" spans="1:90">
      <c r="A1270" s="7" t="str">
        <f t="shared" si="191"/>
        <v>02530253</v>
      </c>
      <c r="B1270" s="7" t="s">
        <v>2592</v>
      </c>
      <c r="C1270" s="7" t="s">
        <v>2592</v>
      </c>
      <c r="D1270" s="7">
        <v>1261</v>
      </c>
      <c r="E1270" s="7">
        <v>253</v>
      </c>
      <c r="F1270" s="7" t="s">
        <v>1958</v>
      </c>
      <c r="G1270" s="7">
        <v>253</v>
      </c>
      <c r="H1270" s="7" t="s">
        <v>1519</v>
      </c>
      <c r="I1270" s="37">
        <v>642285.43000000005</v>
      </c>
      <c r="J1270" s="122">
        <v>1</v>
      </c>
      <c r="K1270" s="123">
        <f>X1270</f>
        <v>637861.27157375612</v>
      </c>
      <c r="L1270" s="122">
        <f>IF(K1274&gt;0, K1270/K1274, 0)</f>
        <v>1</v>
      </c>
      <c r="M1270" s="71"/>
      <c r="N1270" s="10">
        <f>ROUND(M1274*L1270,0)</f>
        <v>530325</v>
      </c>
      <c r="O1270" s="70">
        <v>535088</v>
      </c>
      <c r="P1270" s="10">
        <f>N1270-O1270</f>
        <v>-4763</v>
      </c>
      <c r="Q1270" s="46">
        <f t="shared" si="199"/>
        <v>-0.89013395927398853</v>
      </c>
      <c r="R1270" s="10">
        <v>66</v>
      </c>
      <c r="S1270" s="7">
        <f t="shared" si="192"/>
        <v>0</v>
      </c>
      <c r="T1270" s="124">
        <f t="shared" si="193"/>
        <v>253</v>
      </c>
      <c r="U1270" s="124">
        <f t="shared" si="194"/>
        <v>253</v>
      </c>
      <c r="V1270" s="124">
        <f t="shared" si="195"/>
        <v>1261</v>
      </c>
      <c r="W1270" s="124">
        <f t="shared" si="196"/>
        <v>64</v>
      </c>
      <c r="X1270" s="124">
        <f t="shared" si="197"/>
        <v>637861.27157375612</v>
      </c>
      <c r="Y1270" s="264">
        <f t="shared" si="198"/>
        <v>1261</v>
      </c>
      <c r="Z1270" s="10">
        <v>253</v>
      </c>
      <c r="AA1270" s="7">
        <v>253</v>
      </c>
      <c r="AB1270" s="7">
        <v>1261</v>
      </c>
      <c r="AC1270" s="109">
        <v>64</v>
      </c>
      <c r="AD1270" s="109">
        <v>637861.27157375612</v>
      </c>
      <c r="AE1270" s="125"/>
      <c r="AF1270" s="10"/>
      <c r="AI1270" s="109"/>
      <c r="AJ1270" s="109"/>
      <c r="AL1270" s="10"/>
      <c r="AO1270" s="109"/>
      <c r="AP1270" s="109"/>
      <c r="AR1270" s="10"/>
      <c r="AU1270" s="109"/>
      <c r="AV1270" s="109"/>
      <c r="AX1270" s="10"/>
      <c r="BA1270" s="109"/>
      <c r="BB1270" s="109"/>
      <c r="BD1270" s="10"/>
      <c r="BG1270" s="109"/>
      <c r="BH1270" s="109"/>
      <c r="BJ1270" s="10"/>
      <c r="BM1270" s="109"/>
      <c r="BN1270" s="109"/>
      <c r="BP1270" s="10"/>
      <c r="BS1270" s="109"/>
      <c r="BT1270" s="109"/>
      <c r="BV1270" s="10"/>
      <c r="BY1270" s="109"/>
      <c r="BZ1270" s="109"/>
      <c r="CB1270" s="10"/>
      <c r="CE1270" s="109"/>
      <c r="CF1270" s="109"/>
      <c r="CH1270" s="10"/>
      <c r="CK1270" s="109"/>
      <c r="CL1270" s="109"/>
    </row>
    <row r="1271" spans="1:90">
      <c r="A1271" s="7" t="str">
        <f t="shared" si="191"/>
        <v>02530998</v>
      </c>
      <c r="B1271" s="7" t="s">
        <v>2592</v>
      </c>
      <c r="C1271" s="7" t="s">
        <v>2781</v>
      </c>
      <c r="D1271" s="7">
        <v>1262</v>
      </c>
      <c r="E1271" s="7">
        <v>253</v>
      </c>
      <c r="F1271" s="7" t="s">
        <v>2135</v>
      </c>
      <c r="G1271" s="7">
        <v>998</v>
      </c>
      <c r="H1271" s="7" t="s">
        <v>2135</v>
      </c>
      <c r="I1271" s="37">
        <v>0</v>
      </c>
      <c r="J1271" s="122">
        <v>0</v>
      </c>
      <c r="K1271" s="123">
        <f t="shared" si="200"/>
        <v>0</v>
      </c>
      <c r="L1271" s="122">
        <f>IF(K1274&gt;0, K1271/K1274, 0)</f>
        <v>0</v>
      </c>
      <c r="M1271" s="71"/>
      <c r="N1271" s="10">
        <f>ROUND(M1274*L1271,0)</f>
        <v>0</v>
      </c>
      <c r="O1271" s="70">
        <v>0</v>
      </c>
      <c r="P1271" s="10">
        <f>N1271-O1271</f>
        <v>0</v>
      </c>
      <c r="Q1271" s="46">
        <f t="shared" si="199"/>
        <v>0</v>
      </c>
      <c r="R1271" s="10">
        <v>0</v>
      </c>
      <c r="S1271" s="7">
        <f t="shared" si="192"/>
        <v>0</v>
      </c>
      <c r="T1271" s="124">
        <f t="shared" si="193"/>
        <v>253</v>
      </c>
      <c r="U1271" s="124">
        <f t="shared" si="194"/>
        <v>998</v>
      </c>
      <c r="V1271" s="124">
        <f t="shared" si="195"/>
        <v>1262</v>
      </c>
      <c r="W1271" s="124">
        <f t="shared" si="196"/>
        <v>0</v>
      </c>
      <c r="X1271" s="124">
        <f t="shared" si="197"/>
        <v>0</v>
      </c>
      <c r="Y1271" s="264">
        <f t="shared" si="198"/>
        <v>1262</v>
      </c>
      <c r="Z1271" s="10">
        <v>253</v>
      </c>
      <c r="AA1271" s="7">
        <v>998</v>
      </c>
      <c r="AB1271" s="7">
        <v>1262</v>
      </c>
      <c r="AC1271" s="109">
        <v>0</v>
      </c>
      <c r="AD1271" s="109">
        <v>0</v>
      </c>
      <c r="AE1271" s="125"/>
      <c r="AF1271" s="10"/>
      <c r="AI1271" s="109"/>
      <c r="AJ1271" s="109"/>
      <c r="AL1271" s="10"/>
      <c r="AO1271" s="109"/>
      <c r="AP1271" s="109"/>
      <c r="AR1271" s="10"/>
      <c r="AU1271" s="109"/>
      <c r="AV1271" s="109"/>
      <c r="AX1271" s="10"/>
      <c r="BA1271" s="109"/>
      <c r="BB1271" s="109"/>
      <c r="BD1271" s="10"/>
      <c r="BG1271" s="109"/>
      <c r="BH1271" s="109"/>
      <c r="BJ1271" s="10"/>
      <c r="BM1271" s="109"/>
      <c r="BN1271" s="109"/>
      <c r="BP1271" s="10"/>
      <c r="BS1271" s="109"/>
      <c r="BT1271" s="109"/>
      <c r="BV1271" s="10"/>
      <c r="BY1271" s="109"/>
      <c r="BZ1271" s="109"/>
      <c r="CB1271" s="10"/>
      <c r="CE1271" s="109"/>
      <c r="CF1271" s="109"/>
      <c r="CH1271" s="10"/>
      <c r="CK1271" s="109"/>
      <c r="CL1271" s="109"/>
    </row>
    <row r="1272" spans="1:90">
      <c r="A1272" s="7" t="str">
        <f t="shared" si="191"/>
        <v>02530998</v>
      </c>
      <c r="B1272" s="7" t="s">
        <v>2592</v>
      </c>
      <c r="C1272" s="7" t="s">
        <v>2781</v>
      </c>
      <c r="D1272" s="7">
        <v>1263</v>
      </c>
      <c r="E1272" s="7">
        <v>253</v>
      </c>
      <c r="F1272" s="7" t="s">
        <v>2135</v>
      </c>
      <c r="G1272" s="7">
        <v>998</v>
      </c>
      <c r="H1272" s="7" t="s">
        <v>2135</v>
      </c>
      <c r="I1272" s="37">
        <v>0</v>
      </c>
      <c r="J1272" s="122">
        <v>0</v>
      </c>
      <c r="K1272" s="123">
        <f t="shared" si="200"/>
        <v>0</v>
      </c>
      <c r="L1272" s="122">
        <f>IF(K1274&gt;0, K1272/K1274, 0)</f>
        <v>0</v>
      </c>
      <c r="M1272" s="71"/>
      <c r="N1272" s="10">
        <f>ROUND(M1274*L1272,0)</f>
        <v>0</v>
      </c>
      <c r="O1272" s="70">
        <v>0</v>
      </c>
      <c r="P1272" s="10">
        <f>N1272-O1272</f>
        <v>0</v>
      </c>
      <c r="Q1272" s="46">
        <f t="shared" si="199"/>
        <v>0</v>
      </c>
      <c r="R1272" s="10">
        <v>0</v>
      </c>
      <c r="S1272" s="7">
        <f t="shared" si="192"/>
        <v>0</v>
      </c>
      <c r="T1272" s="124">
        <f t="shared" si="193"/>
        <v>253</v>
      </c>
      <c r="U1272" s="124">
        <f t="shared" si="194"/>
        <v>998</v>
      </c>
      <c r="V1272" s="124">
        <f t="shared" si="195"/>
        <v>1263</v>
      </c>
      <c r="W1272" s="124">
        <f t="shared" si="196"/>
        <v>0</v>
      </c>
      <c r="X1272" s="124">
        <f t="shared" si="197"/>
        <v>0</v>
      </c>
      <c r="Y1272" s="264">
        <f t="shared" si="198"/>
        <v>1263</v>
      </c>
      <c r="Z1272" s="10">
        <v>253</v>
      </c>
      <c r="AA1272" s="7">
        <v>998</v>
      </c>
      <c r="AB1272" s="7">
        <v>1263</v>
      </c>
      <c r="AC1272" s="109">
        <v>0</v>
      </c>
      <c r="AD1272" s="109">
        <v>0</v>
      </c>
      <c r="AE1272" s="125"/>
      <c r="AF1272" s="10"/>
      <c r="AI1272" s="109"/>
      <c r="AJ1272" s="109"/>
      <c r="AL1272" s="10"/>
      <c r="AO1272" s="109"/>
      <c r="AP1272" s="109"/>
      <c r="AR1272" s="10"/>
      <c r="AU1272" s="109"/>
      <c r="AV1272" s="109"/>
      <c r="AX1272" s="10"/>
      <c r="BA1272" s="109"/>
      <c r="BB1272" s="109"/>
      <c r="BD1272" s="10"/>
      <c r="BG1272" s="109"/>
      <c r="BH1272" s="109"/>
      <c r="BJ1272" s="10"/>
      <c r="BM1272" s="109"/>
      <c r="BN1272" s="109"/>
      <c r="BP1272" s="10"/>
      <c r="BS1272" s="109"/>
      <c r="BT1272" s="109"/>
      <c r="BV1272" s="10"/>
      <c r="BY1272" s="109"/>
      <c r="BZ1272" s="109"/>
      <c r="CB1272" s="10"/>
      <c r="CE1272" s="109"/>
      <c r="CF1272" s="109"/>
      <c r="CH1272" s="10"/>
      <c r="CK1272" s="109"/>
      <c r="CL1272" s="109"/>
    </row>
    <row r="1273" spans="1:90">
      <c r="A1273" s="7" t="str">
        <f t="shared" si="191"/>
        <v>02530998</v>
      </c>
      <c r="B1273" s="7" t="s">
        <v>2592</v>
      </c>
      <c r="C1273" s="7" t="s">
        <v>2781</v>
      </c>
      <c r="D1273" s="7">
        <v>1264</v>
      </c>
      <c r="E1273" s="7">
        <v>253</v>
      </c>
      <c r="F1273" s="7" t="s">
        <v>2135</v>
      </c>
      <c r="G1273" s="7">
        <v>998</v>
      </c>
      <c r="H1273" s="7" t="s">
        <v>2135</v>
      </c>
      <c r="I1273" s="37">
        <v>0</v>
      </c>
      <c r="J1273" s="122">
        <v>0</v>
      </c>
      <c r="K1273" s="123">
        <f t="shared" si="200"/>
        <v>0</v>
      </c>
      <c r="L1273" s="122">
        <f>IF(K1274&gt;0, K1273/K1274, 0)</f>
        <v>0</v>
      </c>
      <c r="M1273" s="71"/>
      <c r="N1273" s="10">
        <f>ROUND(M1274*L1273,0)</f>
        <v>0</v>
      </c>
      <c r="O1273" s="70">
        <v>0</v>
      </c>
      <c r="P1273" s="10">
        <f>N1273-O1273</f>
        <v>0</v>
      </c>
      <c r="Q1273" s="46">
        <f t="shared" si="199"/>
        <v>0</v>
      </c>
      <c r="R1273" s="10">
        <v>0</v>
      </c>
      <c r="S1273" s="7">
        <f t="shared" si="192"/>
        <v>0</v>
      </c>
      <c r="T1273" s="124">
        <f t="shared" si="193"/>
        <v>253</v>
      </c>
      <c r="U1273" s="124">
        <f t="shared" si="194"/>
        <v>998</v>
      </c>
      <c r="V1273" s="124">
        <f t="shared" si="195"/>
        <v>1264</v>
      </c>
      <c r="W1273" s="124">
        <f t="shared" si="196"/>
        <v>0</v>
      </c>
      <c r="X1273" s="124">
        <f t="shared" si="197"/>
        <v>0</v>
      </c>
      <c r="Y1273" s="264">
        <f t="shared" si="198"/>
        <v>1264</v>
      </c>
      <c r="Z1273" s="10">
        <v>253</v>
      </c>
      <c r="AA1273" s="7">
        <v>998</v>
      </c>
      <c r="AB1273" s="7">
        <v>1264</v>
      </c>
      <c r="AC1273" s="109">
        <v>0</v>
      </c>
      <c r="AD1273" s="109">
        <v>0</v>
      </c>
      <c r="AE1273" s="125"/>
      <c r="AF1273" s="10"/>
      <c r="AI1273" s="109"/>
      <c r="AJ1273" s="109"/>
      <c r="AL1273" s="10"/>
      <c r="AO1273" s="109"/>
      <c r="AP1273" s="109"/>
      <c r="AR1273" s="10"/>
      <c r="AU1273" s="109"/>
      <c r="AV1273" s="109"/>
      <c r="AX1273" s="10"/>
      <c r="BA1273" s="109"/>
      <c r="BB1273" s="109"/>
      <c r="BD1273" s="10"/>
      <c r="BG1273" s="109"/>
      <c r="BH1273" s="109"/>
      <c r="BJ1273" s="10"/>
      <c r="BM1273" s="109"/>
      <c r="BN1273" s="109"/>
      <c r="BP1273" s="10"/>
      <c r="BS1273" s="109"/>
      <c r="BT1273" s="109"/>
      <c r="BV1273" s="10"/>
      <c r="BY1273" s="109"/>
      <c r="BZ1273" s="109"/>
      <c r="CB1273" s="10"/>
      <c r="CE1273" s="109"/>
      <c r="CF1273" s="109"/>
      <c r="CH1273" s="10"/>
      <c r="CK1273" s="109"/>
      <c r="CL1273" s="109"/>
    </row>
    <row r="1274" spans="1:90">
      <c r="A1274" s="7" t="str">
        <f t="shared" si="191"/>
        <v>02530999</v>
      </c>
      <c r="B1274" s="7" t="s">
        <v>2592</v>
      </c>
      <c r="C1274" s="7" t="s">
        <v>2782</v>
      </c>
      <c r="D1274" s="7">
        <v>1265</v>
      </c>
      <c r="E1274" s="11">
        <v>253</v>
      </c>
      <c r="F1274" s="11" t="s">
        <v>1958</v>
      </c>
      <c r="G1274" s="11">
        <v>999</v>
      </c>
      <c r="H1274" s="11" t="s">
        <v>1132</v>
      </c>
      <c r="I1274" s="105">
        <v>642285.43000000005</v>
      </c>
      <c r="J1274" s="126">
        <v>1</v>
      </c>
      <c r="K1274" s="127">
        <f>SUM(K1270:K1273)</f>
        <v>637861.27157375612</v>
      </c>
      <c r="L1274" s="126">
        <f>SUM(L1270:L1273)</f>
        <v>1</v>
      </c>
      <c r="M1274" s="105">
        <f>VLOOKUP(E1274,town351,22)</f>
        <v>530325</v>
      </c>
      <c r="N1274" s="105">
        <f>SUM(N1270:N1273)</f>
        <v>530325</v>
      </c>
      <c r="O1274" s="128">
        <v>535088</v>
      </c>
      <c r="P1274" s="105">
        <f>SUM(P1270:P1273)</f>
        <v>-4763</v>
      </c>
      <c r="Q1274" s="45">
        <f t="shared" si="199"/>
        <v>-0.89013395927398853</v>
      </c>
      <c r="R1274" s="105">
        <v>66</v>
      </c>
      <c r="S1274" s="7">
        <f t="shared" si="192"/>
        <v>0</v>
      </c>
      <c r="T1274" s="124">
        <f t="shared" si="193"/>
        <v>253</v>
      </c>
      <c r="U1274" s="124">
        <f t="shared" si="194"/>
        <v>999</v>
      </c>
      <c r="V1274" s="124">
        <f t="shared" si="195"/>
        <v>1265</v>
      </c>
      <c r="W1274" s="124">
        <f t="shared" si="196"/>
        <v>64</v>
      </c>
      <c r="X1274" s="124">
        <f t="shared" si="197"/>
        <v>637861.27157375612</v>
      </c>
      <c r="Y1274" s="264">
        <f t="shared" si="198"/>
        <v>1265</v>
      </c>
      <c r="Z1274" s="10">
        <v>253</v>
      </c>
      <c r="AA1274" s="7">
        <v>999</v>
      </c>
      <c r="AB1274" s="7">
        <v>1265</v>
      </c>
      <c r="AC1274" s="109">
        <v>64</v>
      </c>
      <c r="AD1274" s="109">
        <v>637861.27157375612</v>
      </c>
      <c r="AE1274" s="125"/>
      <c r="AF1274" s="10"/>
      <c r="AI1274" s="109"/>
      <c r="AJ1274" s="109"/>
      <c r="AL1274" s="10"/>
      <c r="AO1274" s="109"/>
      <c r="AP1274" s="109"/>
      <c r="AR1274" s="10"/>
      <c r="AU1274" s="109"/>
      <c r="AV1274" s="109"/>
      <c r="AX1274" s="10"/>
      <c r="BA1274" s="109"/>
      <c r="BB1274" s="109"/>
      <c r="BD1274" s="10"/>
      <c r="BG1274" s="109"/>
      <c r="BH1274" s="109"/>
      <c r="BJ1274" s="10"/>
      <c r="BM1274" s="109"/>
      <c r="BN1274" s="109"/>
      <c r="BP1274" s="10"/>
      <c r="BS1274" s="109"/>
      <c r="BT1274" s="109"/>
      <c r="BV1274" s="10"/>
      <c r="BY1274" s="109"/>
      <c r="BZ1274" s="109"/>
      <c r="CB1274" s="10"/>
      <c r="CE1274" s="109"/>
      <c r="CF1274" s="109"/>
      <c r="CH1274" s="10"/>
      <c r="CK1274" s="109"/>
      <c r="CL1274" s="109"/>
    </row>
    <row r="1275" spans="1:90">
      <c r="A1275" s="7" t="str">
        <f t="shared" si="191"/>
        <v>02540254</v>
      </c>
      <c r="B1275" s="7" t="s">
        <v>2593</v>
      </c>
      <c r="C1275" s="7" t="s">
        <v>2593</v>
      </c>
      <c r="D1275" s="7">
        <v>1266</v>
      </c>
      <c r="E1275" s="7">
        <v>254</v>
      </c>
      <c r="F1275" s="7" t="s">
        <v>1959</v>
      </c>
      <c r="G1275" s="7">
        <v>254</v>
      </c>
      <c r="H1275" s="7" t="s">
        <v>1520</v>
      </c>
      <c r="I1275" s="37">
        <v>27164.907080000004</v>
      </c>
      <c r="J1275" s="122">
        <v>3.2015755338087532E-3</v>
      </c>
      <c r="K1275" s="123">
        <f>X1275</f>
        <v>69109.922267947739</v>
      </c>
      <c r="L1275" s="122">
        <f>IF(K1279&gt;0, K1275/K1279, 0)</f>
        <v>8.2253313381429327E-3</v>
      </c>
      <c r="M1275" s="71"/>
      <c r="N1275" s="10">
        <f>ROUND(M1279*L1275,0)</f>
        <v>57514</v>
      </c>
      <c r="O1275" s="70">
        <v>22563</v>
      </c>
      <c r="P1275" s="10">
        <f>N1275-O1275</f>
        <v>34951</v>
      </c>
      <c r="Q1275" s="46">
        <f t="shared" si="199"/>
        <v>154.90404644772414</v>
      </c>
      <c r="R1275" s="10">
        <v>2</v>
      </c>
      <c r="S1275" s="7">
        <f t="shared" si="192"/>
        <v>0</v>
      </c>
      <c r="T1275" s="124">
        <f t="shared" si="193"/>
        <v>254</v>
      </c>
      <c r="U1275" s="124">
        <f t="shared" si="194"/>
        <v>254</v>
      </c>
      <c r="V1275" s="124">
        <f t="shared" si="195"/>
        <v>1266</v>
      </c>
      <c r="W1275" s="124">
        <f t="shared" si="196"/>
        <v>5</v>
      </c>
      <c r="X1275" s="124">
        <f t="shared" si="197"/>
        <v>69109.922267947739</v>
      </c>
      <c r="Y1275" s="264">
        <f t="shared" si="198"/>
        <v>1266</v>
      </c>
      <c r="Z1275" s="10">
        <v>254</v>
      </c>
      <c r="AA1275" s="7">
        <v>254</v>
      </c>
      <c r="AB1275" s="7">
        <v>1266</v>
      </c>
      <c r="AC1275" s="109">
        <v>5</v>
      </c>
      <c r="AD1275" s="109">
        <v>69109.922267947739</v>
      </c>
      <c r="AE1275" s="125"/>
      <c r="AF1275" s="10"/>
      <c r="AI1275" s="109"/>
      <c r="AJ1275" s="109"/>
      <c r="AL1275" s="10"/>
      <c r="AO1275" s="109"/>
      <c r="AP1275" s="109"/>
      <c r="AR1275" s="10"/>
      <c r="AU1275" s="109"/>
      <c r="AV1275" s="109"/>
      <c r="AX1275" s="10"/>
      <c r="BA1275" s="109"/>
      <c r="BB1275" s="109"/>
      <c r="BD1275" s="10"/>
      <c r="BG1275" s="109"/>
      <c r="BH1275" s="109"/>
      <c r="BJ1275" s="10"/>
      <c r="BM1275" s="109"/>
      <c r="BN1275" s="109"/>
      <c r="BP1275" s="10"/>
      <c r="BS1275" s="109"/>
      <c r="BT1275" s="109"/>
      <c r="BV1275" s="10"/>
      <c r="BY1275" s="109"/>
      <c r="BZ1275" s="109"/>
      <c r="CB1275" s="10"/>
      <c r="CE1275" s="109"/>
      <c r="CF1275" s="109"/>
      <c r="CH1275" s="10"/>
      <c r="CK1275" s="109"/>
      <c r="CL1275" s="109"/>
    </row>
    <row r="1276" spans="1:90">
      <c r="A1276" s="7" t="str">
        <f t="shared" si="191"/>
        <v>02540773</v>
      </c>
      <c r="B1276" s="7" t="s">
        <v>2593</v>
      </c>
      <c r="C1276" s="7" t="s">
        <v>2747</v>
      </c>
      <c r="D1276" s="7">
        <v>1267</v>
      </c>
      <c r="E1276" s="7">
        <v>254</v>
      </c>
      <c r="F1276" s="7" t="s">
        <v>1959</v>
      </c>
      <c r="G1276" s="7">
        <v>773</v>
      </c>
      <c r="H1276" s="7" t="s">
        <v>1674</v>
      </c>
      <c r="I1276" s="37">
        <v>8141959</v>
      </c>
      <c r="J1276" s="122">
        <v>0.95958718558863476</v>
      </c>
      <c r="K1276" s="123">
        <f t="shared" si="200"/>
        <v>8027452.3234286206</v>
      </c>
      <c r="L1276" s="122">
        <f>IF(K1279&gt;0, K1276/K1279, 0)</f>
        <v>0.95541208837343528</v>
      </c>
      <c r="M1276" s="71"/>
      <c r="N1276" s="10">
        <f>ROUND(M1279*L1276,0)</f>
        <v>6680536</v>
      </c>
      <c r="O1276" s="70">
        <v>6762603</v>
      </c>
      <c r="P1276" s="10">
        <f>N1276-O1276</f>
        <v>-82067</v>
      </c>
      <c r="Q1276" s="46">
        <f t="shared" si="199"/>
        <v>-1.2135415904201385</v>
      </c>
      <c r="R1276" s="10">
        <v>815</v>
      </c>
      <c r="S1276" s="7">
        <f t="shared" si="192"/>
        <v>0</v>
      </c>
      <c r="T1276" s="124">
        <f t="shared" si="193"/>
        <v>254</v>
      </c>
      <c r="U1276" s="124">
        <f t="shared" si="194"/>
        <v>773</v>
      </c>
      <c r="V1276" s="124">
        <f t="shared" si="195"/>
        <v>1267</v>
      </c>
      <c r="W1276" s="124">
        <f t="shared" si="196"/>
        <v>787.04508857159999</v>
      </c>
      <c r="X1276" s="124">
        <f t="shared" si="197"/>
        <v>8027452.3234286206</v>
      </c>
      <c r="Y1276" s="264">
        <f t="shared" si="198"/>
        <v>1267</v>
      </c>
      <c r="Z1276" s="10">
        <v>254</v>
      </c>
      <c r="AA1276" s="7">
        <v>773</v>
      </c>
      <c r="AB1276" s="7">
        <v>1267</v>
      </c>
      <c r="AC1276" s="109">
        <v>787.04508857159999</v>
      </c>
      <c r="AD1276" s="109">
        <v>8027452.3234286206</v>
      </c>
      <c r="AE1276" s="125"/>
      <c r="AF1276" s="10"/>
      <c r="AI1276" s="109"/>
      <c r="AJ1276" s="109"/>
      <c r="AL1276" s="10"/>
      <c r="AO1276" s="109"/>
      <c r="AP1276" s="109"/>
      <c r="AR1276" s="10"/>
      <c r="AU1276" s="109"/>
      <c r="AV1276" s="109"/>
      <c r="AX1276" s="10"/>
      <c r="BA1276" s="109"/>
      <c r="BB1276" s="109"/>
      <c r="BD1276" s="10"/>
      <c r="BG1276" s="109"/>
      <c r="BH1276" s="109"/>
      <c r="BJ1276" s="10"/>
      <c r="BM1276" s="109"/>
      <c r="BN1276" s="109"/>
      <c r="BP1276" s="10"/>
      <c r="BS1276" s="109"/>
      <c r="BT1276" s="109"/>
      <c r="BV1276" s="10"/>
      <c r="BY1276" s="109"/>
      <c r="BZ1276" s="109"/>
      <c r="CB1276" s="10"/>
      <c r="CE1276" s="109"/>
      <c r="CF1276" s="109"/>
      <c r="CH1276" s="10"/>
      <c r="CK1276" s="109"/>
      <c r="CL1276" s="109"/>
    </row>
    <row r="1277" spans="1:90">
      <c r="A1277" s="7" t="str">
        <f t="shared" si="191"/>
        <v>02540885</v>
      </c>
      <c r="B1277" s="7" t="s">
        <v>2593</v>
      </c>
      <c r="C1277" s="7" t="s">
        <v>2777</v>
      </c>
      <c r="D1277" s="7">
        <v>1268</v>
      </c>
      <c r="E1277" s="7">
        <v>254</v>
      </c>
      <c r="F1277" s="7" t="s">
        <v>1959</v>
      </c>
      <c r="G1277" s="7">
        <v>885</v>
      </c>
      <c r="H1277" s="7" t="s">
        <v>1704</v>
      </c>
      <c r="I1277" s="37">
        <v>315732</v>
      </c>
      <c r="J1277" s="122">
        <v>3.7211238877556473E-2</v>
      </c>
      <c r="K1277" s="123">
        <f t="shared" si="200"/>
        <v>305521.44270971231</v>
      </c>
      <c r="L1277" s="122">
        <f>IF(K1279&gt;0, K1277/K1279, 0)</f>
        <v>3.6362580288421771E-2</v>
      </c>
      <c r="M1277" s="71"/>
      <c r="N1277" s="10">
        <f>ROUND(M1279*L1277,0)</f>
        <v>254258</v>
      </c>
      <c r="O1277" s="70">
        <v>262243</v>
      </c>
      <c r="P1277" s="10">
        <f>N1277-O1277</f>
        <v>-7985</v>
      </c>
      <c r="Q1277" s="46">
        <f t="shared" si="199"/>
        <v>-3.0448858501466196</v>
      </c>
      <c r="R1277" s="10">
        <v>20</v>
      </c>
      <c r="S1277" s="7">
        <f t="shared" si="192"/>
        <v>0</v>
      </c>
      <c r="T1277" s="124">
        <f t="shared" si="193"/>
        <v>254</v>
      </c>
      <c r="U1277" s="124">
        <f t="shared" si="194"/>
        <v>885</v>
      </c>
      <c r="V1277" s="124">
        <f t="shared" si="195"/>
        <v>1268</v>
      </c>
      <c r="W1277" s="124">
        <f t="shared" si="196"/>
        <v>18.9845402738</v>
      </c>
      <c r="X1277" s="124">
        <f t="shared" si="197"/>
        <v>305521.44270971231</v>
      </c>
      <c r="Y1277" s="264">
        <f t="shared" si="198"/>
        <v>1268</v>
      </c>
      <c r="Z1277" s="10">
        <v>254</v>
      </c>
      <c r="AA1277" s="7">
        <v>885</v>
      </c>
      <c r="AB1277" s="7">
        <v>1268</v>
      </c>
      <c r="AC1277" s="109">
        <v>18.9845402738</v>
      </c>
      <c r="AD1277" s="109">
        <v>305521.44270971231</v>
      </c>
      <c r="AE1277" s="125"/>
      <c r="AF1277" s="10"/>
      <c r="AI1277" s="109"/>
      <c r="AJ1277" s="109"/>
      <c r="AL1277" s="10"/>
      <c r="AO1277" s="109"/>
      <c r="AP1277" s="109"/>
      <c r="AR1277" s="10"/>
      <c r="AU1277" s="109"/>
      <c r="AV1277" s="109"/>
      <c r="AX1277" s="10"/>
      <c r="BA1277" s="109"/>
      <c r="BB1277" s="109"/>
      <c r="BD1277" s="10"/>
      <c r="BG1277" s="109"/>
      <c r="BH1277" s="109"/>
      <c r="BJ1277" s="10"/>
      <c r="BM1277" s="109"/>
      <c r="BN1277" s="109"/>
      <c r="BP1277" s="10"/>
      <c r="BS1277" s="109"/>
      <c r="BT1277" s="109"/>
      <c r="BV1277" s="10"/>
      <c r="BY1277" s="109"/>
      <c r="BZ1277" s="109"/>
      <c r="CB1277" s="10"/>
      <c r="CE1277" s="109"/>
      <c r="CF1277" s="109"/>
      <c r="CH1277" s="10"/>
      <c r="CK1277" s="109"/>
      <c r="CL1277" s="109"/>
    </row>
    <row r="1278" spans="1:90">
      <c r="A1278" s="7" t="str">
        <f t="shared" si="191"/>
        <v>02540998</v>
      </c>
      <c r="B1278" s="7" t="s">
        <v>2593</v>
      </c>
      <c r="C1278" s="7" t="s">
        <v>2781</v>
      </c>
      <c r="D1278" s="7">
        <v>1269</v>
      </c>
      <c r="E1278" s="7">
        <v>254</v>
      </c>
      <c r="F1278" s="7" t="s">
        <v>2135</v>
      </c>
      <c r="G1278" s="7">
        <v>998</v>
      </c>
      <c r="I1278" s="129">
        <v>0</v>
      </c>
      <c r="J1278" s="130">
        <v>0</v>
      </c>
      <c r="K1278" s="123">
        <f t="shared" si="200"/>
        <v>0</v>
      </c>
      <c r="L1278" s="122">
        <f>IF(K1279&gt;0, K1278/K1279, 0)</f>
        <v>0</v>
      </c>
      <c r="M1278" s="71"/>
      <c r="N1278" s="10">
        <f>ROUND(M1279*L1278,0)</f>
        <v>0</v>
      </c>
      <c r="O1278" s="70">
        <v>0</v>
      </c>
      <c r="P1278" s="10">
        <f>N1278-O1278</f>
        <v>0</v>
      </c>
      <c r="Q1278" s="46">
        <f t="shared" si="199"/>
        <v>0</v>
      </c>
      <c r="R1278" s="10">
        <v>0</v>
      </c>
      <c r="S1278" s="7">
        <f t="shared" si="192"/>
        <v>0</v>
      </c>
      <c r="T1278" s="124">
        <f t="shared" si="193"/>
        <v>254</v>
      </c>
      <c r="U1278" s="124">
        <f t="shared" si="194"/>
        <v>998</v>
      </c>
      <c r="V1278" s="124">
        <f t="shared" si="195"/>
        <v>1269</v>
      </c>
      <c r="W1278" s="124">
        <f t="shared" si="196"/>
        <v>0</v>
      </c>
      <c r="X1278" s="124">
        <f t="shared" si="197"/>
        <v>0</v>
      </c>
      <c r="Y1278" s="264">
        <f t="shared" si="198"/>
        <v>1269</v>
      </c>
      <c r="Z1278" s="10">
        <v>254</v>
      </c>
      <c r="AA1278" s="7">
        <v>998</v>
      </c>
      <c r="AB1278" s="7">
        <v>1269</v>
      </c>
      <c r="AC1278" s="109">
        <v>0</v>
      </c>
      <c r="AD1278" s="109">
        <v>0</v>
      </c>
      <c r="AE1278" s="125"/>
      <c r="AF1278" s="10"/>
      <c r="AI1278" s="109"/>
      <c r="AJ1278" s="109"/>
      <c r="AL1278" s="10"/>
      <c r="AO1278" s="109"/>
      <c r="AP1278" s="109"/>
      <c r="AR1278" s="10"/>
      <c r="AU1278" s="109"/>
      <c r="AV1278" s="109"/>
      <c r="AX1278" s="10"/>
      <c r="BA1278" s="109"/>
      <c r="BB1278" s="109"/>
      <c r="BD1278" s="10"/>
      <c r="BG1278" s="109"/>
      <c r="BH1278" s="109"/>
      <c r="BJ1278" s="10"/>
      <c r="BM1278" s="109"/>
      <c r="BN1278" s="109"/>
      <c r="BP1278" s="10"/>
      <c r="BS1278" s="109"/>
      <c r="BT1278" s="109"/>
      <c r="BV1278" s="10"/>
      <c r="BY1278" s="109"/>
      <c r="BZ1278" s="109"/>
      <c r="CB1278" s="10"/>
      <c r="CE1278" s="109"/>
      <c r="CF1278" s="109"/>
      <c r="CH1278" s="10"/>
      <c r="CK1278" s="109"/>
      <c r="CL1278" s="109"/>
    </row>
    <row r="1279" spans="1:90">
      <c r="A1279" s="7" t="str">
        <f t="shared" si="191"/>
        <v>02540999</v>
      </c>
      <c r="B1279" s="7" t="s">
        <v>2593</v>
      </c>
      <c r="C1279" s="7" t="s">
        <v>2782</v>
      </c>
      <c r="D1279" s="7">
        <v>1270</v>
      </c>
      <c r="E1279" s="11">
        <v>254</v>
      </c>
      <c r="F1279" s="11" t="s">
        <v>1959</v>
      </c>
      <c r="G1279" s="11">
        <v>999</v>
      </c>
      <c r="H1279" s="11" t="s">
        <v>1132</v>
      </c>
      <c r="I1279" s="105">
        <v>8484855.9070800003</v>
      </c>
      <c r="J1279" s="126">
        <v>1</v>
      </c>
      <c r="K1279" s="127">
        <f>SUM(K1275:K1278)</f>
        <v>8402083.6884062812</v>
      </c>
      <c r="L1279" s="126">
        <f>SUM(L1275:L1278)</f>
        <v>1</v>
      </c>
      <c r="M1279" s="105">
        <f>VLOOKUP(E1279,town351,22)</f>
        <v>6992308</v>
      </c>
      <c r="N1279" s="105">
        <f>SUM(N1275:N1278)</f>
        <v>6992308</v>
      </c>
      <c r="O1279" s="128">
        <v>7047409</v>
      </c>
      <c r="P1279" s="105">
        <f>SUM(P1275:P1278)</f>
        <v>-55101</v>
      </c>
      <c r="Q1279" s="45">
        <f t="shared" si="199"/>
        <v>-0.78186181616534534</v>
      </c>
      <c r="R1279" s="105">
        <v>837</v>
      </c>
      <c r="S1279" s="7">
        <f t="shared" si="192"/>
        <v>0</v>
      </c>
      <c r="T1279" s="124">
        <f t="shared" si="193"/>
        <v>254</v>
      </c>
      <c r="U1279" s="124">
        <f t="shared" si="194"/>
        <v>999</v>
      </c>
      <c r="V1279" s="124">
        <f t="shared" si="195"/>
        <v>1270</v>
      </c>
      <c r="W1279" s="124">
        <f t="shared" si="196"/>
        <v>811.0296288454</v>
      </c>
      <c r="X1279" s="124">
        <f t="shared" si="197"/>
        <v>8402083.6884062812</v>
      </c>
      <c r="Y1279" s="264">
        <f t="shared" si="198"/>
        <v>1270</v>
      </c>
      <c r="Z1279" s="10">
        <v>254</v>
      </c>
      <c r="AA1279" s="7">
        <v>999</v>
      </c>
      <c r="AB1279" s="7">
        <v>1270</v>
      </c>
      <c r="AC1279" s="109">
        <v>811.0296288454</v>
      </c>
      <c r="AD1279" s="109">
        <v>8402083.6884062812</v>
      </c>
      <c r="AE1279" s="125"/>
      <c r="AF1279" s="10"/>
      <c r="AI1279" s="109"/>
      <c r="AJ1279" s="109"/>
      <c r="AL1279" s="10"/>
      <c r="AO1279" s="109"/>
      <c r="AP1279" s="109"/>
      <c r="AR1279" s="10"/>
      <c r="AU1279" s="109"/>
      <c r="AV1279" s="109"/>
      <c r="AX1279" s="10"/>
      <c r="BA1279" s="109"/>
      <c r="BB1279" s="109"/>
      <c r="BD1279" s="10"/>
      <c r="BG1279" s="109"/>
      <c r="BH1279" s="109"/>
      <c r="BJ1279" s="10"/>
      <c r="BM1279" s="109"/>
      <c r="BN1279" s="109"/>
      <c r="BP1279" s="10"/>
      <c r="BS1279" s="109"/>
      <c r="BT1279" s="109"/>
      <c r="BV1279" s="10"/>
      <c r="BY1279" s="109"/>
      <c r="BZ1279" s="109"/>
      <c r="CB1279" s="10"/>
      <c r="CE1279" s="109"/>
      <c r="CF1279" s="109"/>
      <c r="CH1279" s="10"/>
      <c r="CK1279" s="109"/>
      <c r="CL1279" s="109"/>
    </row>
    <row r="1280" spans="1:90">
      <c r="A1280" s="7" t="str">
        <f t="shared" si="191"/>
        <v>02550255</v>
      </c>
      <c r="B1280" s="7" t="s">
        <v>2594</v>
      </c>
      <c r="C1280" s="7" t="s">
        <v>2594</v>
      </c>
      <c r="D1280" s="7">
        <v>1271</v>
      </c>
      <c r="E1280" s="7">
        <v>255</v>
      </c>
      <c r="F1280" s="7" t="s">
        <v>1960</v>
      </c>
      <c r="G1280" s="7">
        <v>255</v>
      </c>
      <c r="H1280" s="7" t="s">
        <v>1521</v>
      </c>
      <c r="I1280" s="37">
        <v>0</v>
      </c>
      <c r="J1280" s="122">
        <v>0</v>
      </c>
      <c r="K1280" s="123">
        <f>X1280</f>
        <v>0</v>
      </c>
      <c r="L1280" s="122">
        <f>IF(K1284&gt;0, K1280/K1284, 0)</f>
        <v>0</v>
      </c>
      <c r="M1280" s="71"/>
      <c r="N1280" s="10">
        <f>ROUND(M1284*L1280,0)</f>
        <v>0</v>
      </c>
      <c r="O1280" s="70">
        <v>0</v>
      </c>
      <c r="P1280" s="10">
        <f>N1280-O1280</f>
        <v>0</v>
      </c>
      <c r="Q1280" s="46">
        <f t="shared" si="199"/>
        <v>0</v>
      </c>
      <c r="R1280" s="10">
        <v>0</v>
      </c>
      <c r="S1280" s="7">
        <f t="shared" si="192"/>
        <v>0</v>
      </c>
      <c r="T1280" s="124">
        <f t="shared" si="193"/>
        <v>255</v>
      </c>
      <c r="U1280" s="124">
        <f t="shared" si="194"/>
        <v>255</v>
      </c>
      <c r="V1280" s="124">
        <f t="shared" si="195"/>
        <v>1271</v>
      </c>
      <c r="W1280" s="124">
        <f t="shared" si="196"/>
        <v>0</v>
      </c>
      <c r="X1280" s="124">
        <f t="shared" si="197"/>
        <v>0</v>
      </c>
      <c r="Y1280" s="264">
        <f t="shared" si="198"/>
        <v>1271</v>
      </c>
      <c r="Z1280" s="10">
        <v>255</v>
      </c>
      <c r="AA1280" s="7">
        <v>255</v>
      </c>
      <c r="AB1280" s="7">
        <v>1271</v>
      </c>
      <c r="AC1280" s="109">
        <v>0</v>
      </c>
      <c r="AD1280" s="109">
        <v>0</v>
      </c>
      <c r="AE1280" s="125"/>
      <c r="AF1280" s="10"/>
      <c r="AI1280" s="109"/>
      <c r="AJ1280" s="109"/>
      <c r="AL1280" s="10"/>
      <c r="AO1280" s="109"/>
      <c r="AP1280" s="109"/>
      <c r="AR1280" s="10"/>
      <c r="AU1280" s="109"/>
      <c r="AV1280" s="109"/>
      <c r="AX1280" s="10"/>
      <c r="BA1280" s="109"/>
      <c r="BB1280" s="109"/>
      <c r="BD1280" s="10"/>
      <c r="BG1280" s="109"/>
      <c r="BH1280" s="109"/>
      <c r="BJ1280" s="10"/>
      <c r="BM1280" s="109"/>
      <c r="BN1280" s="109"/>
      <c r="BP1280" s="10"/>
      <c r="BS1280" s="109"/>
      <c r="BT1280" s="109"/>
      <c r="BV1280" s="10"/>
      <c r="BY1280" s="109"/>
      <c r="BZ1280" s="109"/>
      <c r="CB1280" s="10"/>
      <c r="CE1280" s="109"/>
      <c r="CF1280" s="109"/>
      <c r="CH1280" s="10"/>
      <c r="CK1280" s="109"/>
      <c r="CL1280" s="109"/>
    </row>
    <row r="1281" spans="1:90">
      <c r="A1281" s="7" t="str">
        <f t="shared" si="191"/>
        <v>02550615</v>
      </c>
      <c r="B1281" s="7" t="s">
        <v>2594</v>
      </c>
      <c r="C1281" s="7" t="s">
        <v>2698</v>
      </c>
      <c r="D1281" s="7">
        <v>1272</v>
      </c>
      <c r="E1281" s="7">
        <v>255</v>
      </c>
      <c r="F1281" s="7" t="s">
        <v>1960</v>
      </c>
      <c r="G1281" s="7">
        <v>615</v>
      </c>
      <c r="H1281" s="7" t="s">
        <v>1625</v>
      </c>
      <c r="I1281" s="37">
        <v>1387400</v>
      </c>
      <c r="J1281" s="122">
        <v>0.82656001734858564</v>
      </c>
      <c r="K1281" s="123">
        <f t="shared" si="200"/>
        <v>1376112.9684709888</v>
      </c>
      <c r="L1281" s="122">
        <f>IF(K1284&gt;0, K1281/K1284, 0)</f>
        <v>0.85457447566867117</v>
      </c>
      <c r="M1281" s="71"/>
      <c r="N1281" s="10">
        <f>ROUND(M1284*L1281,0)</f>
        <v>454797</v>
      </c>
      <c r="O1281" s="70">
        <v>419140</v>
      </c>
      <c r="P1281" s="10">
        <f>N1281-O1281</f>
        <v>35657</v>
      </c>
      <c r="Q1281" s="46">
        <f t="shared" si="199"/>
        <v>8.5071813713794917</v>
      </c>
      <c r="R1281" s="10">
        <v>131</v>
      </c>
      <c r="S1281" s="7">
        <f t="shared" si="192"/>
        <v>0</v>
      </c>
      <c r="T1281" s="124">
        <f t="shared" si="193"/>
        <v>255</v>
      </c>
      <c r="U1281" s="124">
        <f t="shared" si="194"/>
        <v>615</v>
      </c>
      <c r="V1281" s="124">
        <f t="shared" si="195"/>
        <v>1272</v>
      </c>
      <c r="W1281" s="124">
        <f t="shared" si="196"/>
        <v>127.89328062874999</v>
      </c>
      <c r="X1281" s="124">
        <f t="shared" si="197"/>
        <v>1376112.9684709888</v>
      </c>
      <c r="Y1281" s="264">
        <f t="shared" si="198"/>
        <v>1272</v>
      </c>
      <c r="Z1281" s="10">
        <v>255</v>
      </c>
      <c r="AA1281" s="7">
        <v>615</v>
      </c>
      <c r="AB1281" s="7">
        <v>1272</v>
      </c>
      <c r="AC1281" s="109">
        <v>127.89328062874999</v>
      </c>
      <c r="AD1281" s="109">
        <v>1376112.9684709888</v>
      </c>
      <c r="AE1281" s="125"/>
      <c r="AF1281" s="10"/>
      <c r="AI1281" s="109"/>
      <c r="AJ1281" s="109"/>
      <c r="AL1281" s="10"/>
      <c r="AO1281" s="109"/>
      <c r="AP1281" s="109"/>
      <c r="AR1281" s="10"/>
      <c r="AU1281" s="109"/>
      <c r="AV1281" s="109"/>
      <c r="AX1281" s="10"/>
      <c r="BA1281" s="109"/>
      <c r="BB1281" s="109"/>
      <c r="BD1281" s="10"/>
      <c r="BG1281" s="109"/>
      <c r="BH1281" s="109"/>
      <c r="BJ1281" s="10"/>
      <c r="BM1281" s="109"/>
      <c r="BN1281" s="109"/>
      <c r="BP1281" s="10"/>
      <c r="BS1281" s="109"/>
      <c r="BT1281" s="109"/>
      <c r="BV1281" s="10"/>
      <c r="BY1281" s="109"/>
      <c r="BZ1281" s="109"/>
      <c r="CB1281" s="10"/>
      <c r="CE1281" s="109"/>
      <c r="CF1281" s="109"/>
      <c r="CH1281" s="10"/>
      <c r="CK1281" s="109"/>
      <c r="CL1281" s="109"/>
    </row>
    <row r="1282" spans="1:90">
      <c r="A1282" s="7" t="str">
        <f t="shared" si="191"/>
        <v>02550832</v>
      </c>
      <c r="B1282" s="7" t="s">
        <v>2594</v>
      </c>
      <c r="C1282" s="7" t="s">
        <v>2765</v>
      </c>
      <c r="D1282" s="7">
        <v>1273</v>
      </c>
      <c r="E1282" s="7">
        <v>255</v>
      </c>
      <c r="F1282" s="7" t="s">
        <v>1960</v>
      </c>
      <c r="G1282" s="7">
        <v>832</v>
      </c>
      <c r="H1282" s="7" t="s">
        <v>1692</v>
      </c>
      <c r="I1282" s="37">
        <v>291123</v>
      </c>
      <c r="J1282" s="122">
        <v>0.17343998265141436</v>
      </c>
      <c r="K1282" s="123">
        <f t="shared" si="200"/>
        <v>234177.30774423995</v>
      </c>
      <c r="L1282" s="122">
        <f>IF(K1284&gt;0, K1282/K1284, 0)</f>
        <v>0.14542552433132883</v>
      </c>
      <c r="M1282" s="71"/>
      <c r="N1282" s="10">
        <f>ROUND(M1284*L1282,0)</f>
        <v>77394</v>
      </c>
      <c r="O1282" s="70">
        <v>87950</v>
      </c>
      <c r="P1282" s="10">
        <f>N1282-O1282</f>
        <v>-10556</v>
      </c>
      <c r="Q1282" s="46">
        <f t="shared" si="199"/>
        <v>-12.002274019329164</v>
      </c>
      <c r="R1282" s="10">
        <v>19</v>
      </c>
      <c r="S1282" s="7">
        <f t="shared" si="192"/>
        <v>0</v>
      </c>
      <c r="T1282" s="124">
        <f t="shared" si="193"/>
        <v>255</v>
      </c>
      <c r="U1282" s="124">
        <f t="shared" si="194"/>
        <v>832</v>
      </c>
      <c r="V1282" s="124">
        <f t="shared" si="195"/>
        <v>1273</v>
      </c>
      <c r="W1282" s="124">
        <f t="shared" si="196"/>
        <v>15.010033450719998</v>
      </c>
      <c r="X1282" s="124">
        <f t="shared" si="197"/>
        <v>234177.30774423995</v>
      </c>
      <c r="Y1282" s="264">
        <f t="shared" si="198"/>
        <v>1273</v>
      </c>
      <c r="Z1282" s="10">
        <v>255</v>
      </c>
      <c r="AA1282" s="7">
        <v>832</v>
      </c>
      <c r="AB1282" s="7">
        <v>1273</v>
      </c>
      <c r="AC1282" s="109">
        <v>15.010033450719998</v>
      </c>
      <c r="AD1282" s="109">
        <v>234177.30774423995</v>
      </c>
      <c r="AE1282" s="125"/>
      <c r="AF1282" s="10"/>
      <c r="AI1282" s="109"/>
      <c r="AJ1282" s="109"/>
      <c r="AL1282" s="10"/>
      <c r="AO1282" s="109"/>
      <c r="AP1282" s="109"/>
      <c r="AR1282" s="10"/>
      <c r="AU1282" s="109"/>
      <c r="AV1282" s="109"/>
      <c r="AX1282" s="10"/>
      <c r="BA1282" s="109"/>
      <c r="BB1282" s="109"/>
      <c r="BD1282" s="10"/>
      <c r="BG1282" s="109"/>
      <c r="BH1282" s="109"/>
      <c r="BJ1282" s="10"/>
      <c r="BM1282" s="109"/>
      <c r="BN1282" s="109"/>
      <c r="BP1282" s="10"/>
      <c r="BS1282" s="109"/>
      <c r="BT1282" s="109"/>
      <c r="BV1282" s="10"/>
      <c r="BY1282" s="109"/>
      <c r="BZ1282" s="109"/>
      <c r="CB1282" s="10"/>
      <c r="CE1282" s="109"/>
      <c r="CF1282" s="109"/>
      <c r="CH1282" s="10"/>
      <c r="CK1282" s="109"/>
      <c r="CL1282" s="109"/>
    </row>
    <row r="1283" spans="1:90">
      <c r="A1283" s="7" t="str">
        <f t="shared" si="191"/>
        <v>02550998</v>
      </c>
      <c r="B1283" s="7" t="s">
        <v>2594</v>
      </c>
      <c r="C1283" s="7" t="s">
        <v>2781</v>
      </c>
      <c r="D1283" s="7">
        <v>1274</v>
      </c>
      <c r="E1283" s="7">
        <v>255</v>
      </c>
      <c r="F1283" s="7" t="s">
        <v>2135</v>
      </c>
      <c r="G1283" s="7">
        <v>998</v>
      </c>
      <c r="H1283" s="7" t="s">
        <v>2135</v>
      </c>
      <c r="I1283" s="37">
        <v>0</v>
      </c>
      <c r="J1283" s="122">
        <v>0</v>
      </c>
      <c r="K1283" s="123">
        <f t="shared" si="200"/>
        <v>0</v>
      </c>
      <c r="L1283" s="122">
        <f>IF(K1284&gt;0, K1283/K1284, 0)</f>
        <v>0</v>
      </c>
      <c r="M1283" s="71"/>
      <c r="N1283" s="10">
        <f>ROUND(M1284*L1283,0)</f>
        <v>0</v>
      </c>
      <c r="O1283" s="70">
        <v>0</v>
      </c>
      <c r="P1283" s="10">
        <f>N1283-O1283</f>
        <v>0</v>
      </c>
      <c r="Q1283" s="46">
        <f t="shared" si="199"/>
        <v>0</v>
      </c>
      <c r="R1283" s="10">
        <v>0</v>
      </c>
      <c r="S1283" s="7">
        <f t="shared" si="192"/>
        <v>0</v>
      </c>
      <c r="T1283" s="124">
        <f t="shared" si="193"/>
        <v>255</v>
      </c>
      <c r="U1283" s="124">
        <f t="shared" si="194"/>
        <v>998</v>
      </c>
      <c r="V1283" s="124">
        <f t="shared" si="195"/>
        <v>1274</v>
      </c>
      <c r="W1283" s="124">
        <f t="shared" si="196"/>
        <v>0</v>
      </c>
      <c r="X1283" s="124">
        <f t="shared" si="197"/>
        <v>0</v>
      </c>
      <c r="Y1283" s="264">
        <f t="shared" si="198"/>
        <v>1274</v>
      </c>
      <c r="Z1283" s="10">
        <v>255</v>
      </c>
      <c r="AA1283" s="7">
        <v>998</v>
      </c>
      <c r="AB1283" s="7">
        <v>1274</v>
      </c>
      <c r="AC1283" s="109">
        <v>0</v>
      </c>
      <c r="AD1283" s="109">
        <v>0</v>
      </c>
      <c r="AE1283" s="125"/>
      <c r="AF1283" s="10"/>
      <c r="AI1283" s="109"/>
      <c r="AJ1283" s="109"/>
      <c r="AL1283" s="10"/>
      <c r="AO1283" s="109"/>
      <c r="AP1283" s="109"/>
      <c r="AR1283" s="10"/>
      <c r="AU1283" s="109"/>
      <c r="AV1283" s="109"/>
      <c r="AX1283" s="10"/>
      <c r="BA1283" s="109"/>
      <c r="BB1283" s="109"/>
      <c r="BD1283" s="10"/>
      <c r="BG1283" s="109"/>
      <c r="BH1283" s="109"/>
      <c r="BJ1283" s="10"/>
      <c r="BM1283" s="109"/>
      <c r="BN1283" s="109"/>
      <c r="BP1283" s="10"/>
      <c r="BS1283" s="109"/>
      <c r="BT1283" s="109"/>
      <c r="BV1283" s="10"/>
      <c r="BY1283" s="109"/>
      <c r="BZ1283" s="109"/>
      <c r="CB1283" s="10"/>
      <c r="CE1283" s="109"/>
      <c r="CF1283" s="109"/>
      <c r="CH1283" s="10"/>
      <c r="CK1283" s="109"/>
      <c r="CL1283" s="109"/>
    </row>
    <row r="1284" spans="1:90">
      <c r="A1284" s="7" t="str">
        <f t="shared" si="191"/>
        <v>02550999</v>
      </c>
      <c r="B1284" s="7" t="s">
        <v>2594</v>
      </c>
      <c r="C1284" s="7" t="s">
        <v>2782</v>
      </c>
      <c r="D1284" s="7">
        <v>1275</v>
      </c>
      <c r="E1284" s="11">
        <v>255</v>
      </c>
      <c r="F1284" s="11" t="s">
        <v>1960</v>
      </c>
      <c r="G1284" s="11">
        <v>999</v>
      </c>
      <c r="H1284" s="11" t="s">
        <v>1132</v>
      </c>
      <c r="I1284" s="105">
        <v>1678523</v>
      </c>
      <c r="J1284" s="126">
        <v>1</v>
      </c>
      <c r="K1284" s="127">
        <f>SUM(K1280:K1283)</f>
        <v>1610290.2762152287</v>
      </c>
      <c r="L1284" s="126">
        <f>SUM(L1280:L1283)</f>
        <v>1</v>
      </c>
      <c r="M1284" s="105">
        <f>VLOOKUP(E1284,town351,22)</f>
        <v>532191</v>
      </c>
      <c r="N1284" s="105">
        <f>SUM(N1280:N1283)</f>
        <v>532191</v>
      </c>
      <c r="O1284" s="128">
        <v>507090</v>
      </c>
      <c r="P1284" s="105">
        <f>SUM(P1280:P1283)</f>
        <v>25101</v>
      </c>
      <c r="Q1284" s="45">
        <f t="shared" si="199"/>
        <v>4.9500088741643493</v>
      </c>
      <c r="R1284" s="105">
        <v>150</v>
      </c>
      <c r="S1284" s="7">
        <f t="shared" si="192"/>
        <v>0</v>
      </c>
      <c r="T1284" s="124">
        <f t="shared" si="193"/>
        <v>255</v>
      </c>
      <c r="U1284" s="124">
        <f t="shared" si="194"/>
        <v>999</v>
      </c>
      <c r="V1284" s="124">
        <f t="shared" si="195"/>
        <v>1275</v>
      </c>
      <c r="W1284" s="124">
        <f t="shared" si="196"/>
        <v>142.90331407946999</v>
      </c>
      <c r="X1284" s="124">
        <f t="shared" si="197"/>
        <v>1610290.2762152287</v>
      </c>
      <c r="Y1284" s="264">
        <f t="shared" si="198"/>
        <v>1275</v>
      </c>
      <c r="Z1284" s="10">
        <v>255</v>
      </c>
      <c r="AA1284" s="7">
        <v>999</v>
      </c>
      <c r="AB1284" s="7">
        <v>1275</v>
      </c>
      <c r="AC1284" s="109">
        <v>142.90331407946999</v>
      </c>
      <c r="AD1284" s="109">
        <v>1610290.2762152287</v>
      </c>
      <c r="AE1284" s="125"/>
      <c r="AF1284" s="10"/>
      <c r="AI1284" s="109"/>
      <c r="AJ1284" s="109"/>
      <c r="AL1284" s="10"/>
      <c r="AO1284" s="109"/>
      <c r="AP1284" s="109"/>
      <c r="AR1284" s="10"/>
      <c r="AU1284" s="109"/>
      <c r="AV1284" s="109"/>
      <c r="AX1284" s="10"/>
      <c r="BA1284" s="109"/>
      <c r="BB1284" s="109"/>
      <c r="BD1284" s="10"/>
      <c r="BG1284" s="109"/>
      <c r="BH1284" s="109"/>
      <c r="BJ1284" s="10"/>
      <c r="BM1284" s="109"/>
      <c r="BN1284" s="109"/>
      <c r="BP1284" s="10"/>
      <c r="BS1284" s="109"/>
      <c r="BT1284" s="109"/>
      <c r="BV1284" s="10"/>
      <c r="BY1284" s="109"/>
      <c r="BZ1284" s="109"/>
      <c r="CB1284" s="10"/>
      <c r="CE1284" s="109"/>
      <c r="CF1284" s="109"/>
      <c r="CH1284" s="10"/>
      <c r="CK1284" s="109"/>
      <c r="CL1284" s="109"/>
    </row>
    <row r="1285" spans="1:90">
      <c r="A1285" s="7" t="str">
        <f t="shared" si="191"/>
        <v>02560256</v>
      </c>
      <c r="B1285" s="7" t="s">
        <v>2595</v>
      </c>
      <c r="C1285" s="7" t="s">
        <v>2595</v>
      </c>
      <c r="D1285" s="7">
        <v>1276</v>
      </c>
      <c r="E1285" s="7">
        <v>256</v>
      </c>
      <c r="F1285" s="7" t="s">
        <v>1961</v>
      </c>
      <c r="G1285" s="7">
        <v>256</v>
      </c>
      <c r="H1285" s="7" t="s">
        <v>1522</v>
      </c>
      <c r="I1285" s="37">
        <v>236011.40000000002</v>
      </c>
      <c r="J1285" s="122">
        <v>8.622292210420239E-2</v>
      </c>
      <c r="K1285" s="123">
        <f>X1285</f>
        <v>240301.01604183207</v>
      </c>
      <c r="L1285" s="122">
        <f>IF(K1289&gt;0, K1285/K1289, 0)</f>
        <v>8.3660925460689262E-2</v>
      </c>
      <c r="M1285" s="71"/>
      <c r="N1285" s="10">
        <f>ROUND(M1289*L1285,0)</f>
        <v>93424</v>
      </c>
      <c r="O1285" s="70">
        <v>100692</v>
      </c>
      <c r="P1285" s="10">
        <f>N1285-O1285</f>
        <v>-7268</v>
      </c>
      <c r="Q1285" s="46">
        <f t="shared" si="199"/>
        <v>-7.2180510864815473</v>
      </c>
      <c r="R1285" s="10">
        <v>16</v>
      </c>
      <c r="S1285" s="7">
        <f t="shared" si="192"/>
        <v>0</v>
      </c>
      <c r="T1285" s="124">
        <f t="shared" si="193"/>
        <v>256</v>
      </c>
      <c r="U1285" s="124">
        <f t="shared" si="194"/>
        <v>256</v>
      </c>
      <c r="V1285" s="124">
        <f t="shared" si="195"/>
        <v>1276</v>
      </c>
      <c r="W1285" s="124">
        <f t="shared" si="196"/>
        <v>16</v>
      </c>
      <c r="X1285" s="124">
        <f t="shared" si="197"/>
        <v>240301.01604183207</v>
      </c>
      <c r="Y1285" s="264">
        <f t="shared" si="198"/>
        <v>1276</v>
      </c>
      <c r="Z1285" s="10">
        <v>256</v>
      </c>
      <c r="AA1285" s="7">
        <v>256</v>
      </c>
      <c r="AB1285" s="7">
        <v>1276</v>
      </c>
      <c r="AC1285" s="109">
        <v>16</v>
      </c>
      <c r="AD1285" s="109">
        <v>240301.01604183207</v>
      </c>
      <c r="AE1285" s="125"/>
      <c r="AF1285" s="10"/>
      <c r="AI1285" s="109"/>
      <c r="AJ1285" s="109"/>
      <c r="AL1285" s="10"/>
      <c r="AO1285" s="109"/>
      <c r="AP1285" s="109"/>
      <c r="AR1285" s="10"/>
      <c r="AU1285" s="109"/>
      <c r="AV1285" s="109"/>
      <c r="AX1285" s="10"/>
      <c r="BA1285" s="109"/>
      <c r="BB1285" s="109"/>
      <c r="BD1285" s="10"/>
      <c r="BG1285" s="109"/>
      <c r="BH1285" s="109"/>
      <c r="BJ1285" s="10"/>
      <c r="BM1285" s="109"/>
      <c r="BN1285" s="109"/>
      <c r="BP1285" s="10"/>
      <c r="BS1285" s="109"/>
      <c r="BT1285" s="109"/>
      <c r="BV1285" s="10"/>
      <c r="BY1285" s="109"/>
      <c r="BZ1285" s="109"/>
      <c r="CB1285" s="10"/>
      <c r="CE1285" s="109"/>
      <c r="CF1285" s="109"/>
      <c r="CH1285" s="10"/>
      <c r="CK1285" s="109"/>
      <c r="CL1285" s="109"/>
    </row>
    <row r="1286" spans="1:90">
      <c r="A1286" s="7" t="str">
        <f t="shared" si="191"/>
        <v>02560672</v>
      </c>
      <c r="B1286" s="7" t="s">
        <v>2595</v>
      </c>
      <c r="C1286" s="7" t="s">
        <v>2715</v>
      </c>
      <c r="D1286" s="7">
        <v>1277</v>
      </c>
      <c r="E1286" s="7">
        <v>256</v>
      </c>
      <c r="F1286" s="7" t="s">
        <v>1961</v>
      </c>
      <c r="G1286" s="7">
        <v>672</v>
      </c>
      <c r="H1286" s="7" t="s">
        <v>1642</v>
      </c>
      <c r="I1286" s="37">
        <v>2501212</v>
      </c>
      <c r="J1286" s="122">
        <v>0.91377707789579765</v>
      </c>
      <c r="K1286" s="123">
        <f t="shared" si="200"/>
        <v>2632019.7802986903</v>
      </c>
      <c r="L1286" s="122">
        <f>IF(K1289&gt;0, K1286/K1289, 0)</f>
        <v>0.91633907453931074</v>
      </c>
      <c r="M1286" s="71"/>
      <c r="N1286" s="10">
        <f>ROUND(M1289*L1286,0)</f>
        <v>1023275</v>
      </c>
      <c r="O1286" s="70">
        <v>1067119</v>
      </c>
      <c r="P1286" s="10">
        <f>N1286-O1286</f>
        <v>-43844</v>
      </c>
      <c r="Q1286" s="46">
        <f t="shared" si="199"/>
        <v>-4.1086326829528854</v>
      </c>
      <c r="R1286" s="10">
        <v>244</v>
      </c>
      <c r="S1286" s="7">
        <f t="shared" si="192"/>
        <v>0</v>
      </c>
      <c r="T1286" s="124">
        <f t="shared" si="193"/>
        <v>256</v>
      </c>
      <c r="U1286" s="124">
        <f t="shared" si="194"/>
        <v>672</v>
      </c>
      <c r="V1286" s="124">
        <f t="shared" si="195"/>
        <v>1277</v>
      </c>
      <c r="W1286" s="124">
        <f t="shared" si="196"/>
        <v>252.12931995680003</v>
      </c>
      <c r="X1286" s="124">
        <f t="shared" si="197"/>
        <v>2632019.7802986903</v>
      </c>
      <c r="Y1286" s="264">
        <f t="shared" si="198"/>
        <v>1277</v>
      </c>
      <c r="Z1286" s="10">
        <v>256</v>
      </c>
      <c r="AA1286" s="7">
        <v>672</v>
      </c>
      <c r="AB1286" s="7">
        <v>1277</v>
      </c>
      <c r="AC1286" s="109">
        <v>252.12931995680003</v>
      </c>
      <c r="AD1286" s="109">
        <v>2632019.7802986903</v>
      </c>
      <c r="AE1286" s="125"/>
      <c r="AF1286" s="10"/>
      <c r="AI1286" s="109"/>
      <c r="AJ1286" s="109"/>
      <c r="AL1286" s="10"/>
      <c r="AO1286" s="109"/>
      <c r="AP1286" s="109"/>
      <c r="AR1286" s="10"/>
      <c r="AU1286" s="109"/>
      <c r="AV1286" s="109"/>
      <c r="AX1286" s="10"/>
      <c r="BA1286" s="109"/>
      <c r="BB1286" s="109"/>
      <c r="BD1286" s="10"/>
      <c r="BG1286" s="109"/>
      <c r="BH1286" s="109"/>
      <c r="BJ1286" s="10"/>
      <c r="BM1286" s="109"/>
      <c r="BN1286" s="109"/>
      <c r="BP1286" s="10"/>
      <c r="BS1286" s="109"/>
      <c r="BT1286" s="109"/>
      <c r="BV1286" s="10"/>
      <c r="BY1286" s="109"/>
      <c r="BZ1286" s="109"/>
      <c r="CB1286" s="10"/>
      <c r="CE1286" s="109"/>
      <c r="CF1286" s="109"/>
      <c r="CH1286" s="10"/>
      <c r="CK1286" s="109"/>
      <c r="CL1286" s="109"/>
    </row>
    <row r="1287" spans="1:90">
      <c r="A1287" s="7" t="str">
        <f t="shared" si="191"/>
        <v>02560998</v>
      </c>
      <c r="B1287" s="7" t="s">
        <v>2595</v>
      </c>
      <c r="C1287" s="7" t="s">
        <v>2781</v>
      </c>
      <c r="D1287" s="7">
        <v>1278</v>
      </c>
      <c r="E1287" s="7">
        <v>256</v>
      </c>
      <c r="F1287" s="7" t="s">
        <v>2135</v>
      </c>
      <c r="G1287" s="7">
        <v>998</v>
      </c>
      <c r="H1287" s="7" t="s">
        <v>2135</v>
      </c>
      <c r="I1287" s="37">
        <v>0</v>
      </c>
      <c r="J1287" s="122">
        <v>0</v>
      </c>
      <c r="K1287" s="123">
        <f t="shared" si="200"/>
        <v>0</v>
      </c>
      <c r="L1287" s="122">
        <f>IF(K1289&gt;0, K1287/K1289, 0)</f>
        <v>0</v>
      </c>
      <c r="M1287" s="71"/>
      <c r="N1287" s="10">
        <f>ROUND(M1289*L1287,0)</f>
        <v>0</v>
      </c>
      <c r="O1287" s="70">
        <v>0</v>
      </c>
      <c r="P1287" s="10">
        <f>N1287-O1287</f>
        <v>0</v>
      </c>
      <c r="Q1287" s="46">
        <f t="shared" si="199"/>
        <v>0</v>
      </c>
      <c r="R1287" s="10">
        <v>0</v>
      </c>
      <c r="S1287" s="7">
        <f t="shared" si="192"/>
        <v>0</v>
      </c>
      <c r="T1287" s="124">
        <f t="shared" si="193"/>
        <v>256</v>
      </c>
      <c r="U1287" s="124">
        <f t="shared" si="194"/>
        <v>998</v>
      </c>
      <c r="V1287" s="124">
        <f t="shared" si="195"/>
        <v>1278</v>
      </c>
      <c r="W1287" s="124">
        <f t="shared" si="196"/>
        <v>0</v>
      </c>
      <c r="X1287" s="124">
        <f t="shared" si="197"/>
        <v>0</v>
      </c>
      <c r="Y1287" s="264">
        <f t="shared" si="198"/>
        <v>1278</v>
      </c>
      <c r="Z1287" s="10">
        <v>256</v>
      </c>
      <c r="AA1287" s="7">
        <v>998</v>
      </c>
      <c r="AB1287" s="7">
        <v>1278</v>
      </c>
      <c r="AC1287" s="109">
        <v>0</v>
      </c>
      <c r="AD1287" s="109">
        <v>0</v>
      </c>
      <c r="AE1287" s="125"/>
      <c r="AF1287" s="10"/>
      <c r="AI1287" s="109"/>
      <c r="AJ1287" s="109"/>
      <c r="AL1287" s="10"/>
      <c r="AO1287" s="109"/>
      <c r="AP1287" s="109"/>
      <c r="AR1287" s="10"/>
      <c r="AU1287" s="109"/>
      <c r="AV1287" s="109"/>
      <c r="AX1287" s="10"/>
      <c r="BA1287" s="109"/>
      <c r="BB1287" s="109"/>
      <c r="BD1287" s="10"/>
      <c r="BG1287" s="109"/>
      <c r="BH1287" s="109"/>
      <c r="BJ1287" s="10"/>
      <c r="BM1287" s="109"/>
      <c r="BN1287" s="109"/>
      <c r="BP1287" s="10"/>
      <c r="BS1287" s="109"/>
      <c r="BT1287" s="109"/>
      <c r="BV1287" s="10"/>
      <c r="BY1287" s="109"/>
      <c r="BZ1287" s="109"/>
      <c r="CB1287" s="10"/>
      <c r="CE1287" s="109"/>
      <c r="CF1287" s="109"/>
      <c r="CH1287" s="10"/>
      <c r="CK1287" s="109"/>
      <c r="CL1287" s="109"/>
    </row>
    <row r="1288" spans="1:90">
      <c r="A1288" s="7" t="str">
        <f t="shared" si="191"/>
        <v>02560998</v>
      </c>
      <c r="B1288" s="7" t="s">
        <v>2595</v>
      </c>
      <c r="C1288" s="7" t="s">
        <v>2781</v>
      </c>
      <c r="D1288" s="7">
        <v>1279</v>
      </c>
      <c r="E1288" s="7">
        <v>256</v>
      </c>
      <c r="F1288" s="7" t="s">
        <v>2135</v>
      </c>
      <c r="G1288" s="7">
        <v>998</v>
      </c>
      <c r="H1288" s="7" t="s">
        <v>2135</v>
      </c>
      <c r="I1288" s="37">
        <v>0</v>
      </c>
      <c r="J1288" s="122">
        <v>0</v>
      </c>
      <c r="K1288" s="123">
        <f t="shared" si="200"/>
        <v>0</v>
      </c>
      <c r="L1288" s="122">
        <f>IF(K1289&gt;0, K1288/K1289, 0)</f>
        <v>0</v>
      </c>
      <c r="M1288" s="71"/>
      <c r="N1288" s="10">
        <f>ROUND(M1289*L1288,0)</f>
        <v>0</v>
      </c>
      <c r="O1288" s="70">
        <v>0</v>
      </c>
      <c r="P1288" s="10">
        <f>N1288-O1288</f>
        <v>0</v>
      </c>
      <c r="Q1288" s="46">
        <f t="shared" si="199"/>
        <v>0</v>
      </c>
      <c r="R1288" s="10">
        <v>0</v>
      </c>
      <c r="S1288" s="7">
        <f t="shared" si="192"/>
        <v>0</v>
      </c>
      <c r="T1288" s="124">
        <f t="shared" si="193"/>
        <v>256</v>
      </c>
      <c r="U1288" s="124">
        <f t="shared" si="194"/>
        <v>998</v>
      </c>
      <c r="V1288" s="124">
        <f t="shared" si="195"/>
        <v>1279</v>
      </c>
      <c r="W1288" s="124">
        <f t="shared" si="196"/>
        <v>0</v>
      </c>
      <c r="X1288" s="124">
        <f t="shared" si="197"/>
        <v>0</v>
      </c>
      <c r="Y1288" s="264">
        <f t="shared" si="198"/>
        <v>1279</v>
      </c>
      <c r="Z1288" s="10">
        <v>256</v>
      </c>
      <c r="AA1288" s="7">
        <v>998</v>
      </c>
      <c r="AB1288" s="7">
        <v>1279</v>
      </c>
      <c r="AC1288" s="109">
        <v>0</v>
      </c>
      <c r="AD1288" s="109">
        <v>0</v>
      </c>
      <c r="AE1288" s="125"/>
      <c r="AF1288" s="10"/>
      <c r="AI1288" s="109"/>
      <c r="AJ1288" s="109"/>
      <c r="AL1288" s="10"/>
      <c r="AO1288" s="109"/>
      <c r="AP1288" s="109"/>
      <c r="AR1288" s="10"/>
      <c r="AU1288" s="109"/>
      <c r="AV1288" s="109"/>
      <c r="AX1288" s="10"/>
      <c r="BA1288" s="109"/>
      <c r="BB1288" s="109"/>
      <c r="BD1288" s="10"/>
      <c r="BG1288" s="109"/>
      <c r="BH1288" s="109"/>
      <c r="BJ1288" s="10"/>
      <c r="BM1288" s="109"/>
      <c r="BN1288" s="109"/>
      <c r="BP1288" s="10"/>
      <c r="BS1288" s="109"/>
      <c r="BT1288" s="109"/>
      <c r="BV1288" s="10"/>
      <c r="BY1288" s="109"/>
      <c r="BZ1288" s="109"/>
      <c r="CB1288" s="10"/>
      <c r="CE1288" s="109"/>
      <c r="CF1288" s="109"/>
      <c r="CH1288" s="10"/>
      <c r="CK1288" s="109"/>
      <c r="CL1288" s="109"/>
    </row>
    <row r="1289" spans="1:90">
      <c r="A1289" s="7" t="str">
        <f t="shared" si="191"/>
        <v>02560999</v>
      </c>
      <c r="B1289" s="7" t="s">
        <v>2595</v>
      </c>
      <c r="C1289" s="7" t="s">
        <v>2782</v>
      </c>
      <c r="D1289" s="7">
        <v>1280</v>
      </c>
      <c r="E1289" s="11">
        <v>256</v>
      </c>
      <c r="F1289" s="11" t="s">
        <v>1961</v>
      </c>
      <c r="G1289" s="11">
        <v>999</v>
      </c>
      <c r="H1289" s="11" t="s">
        <v>1132</v>
      </c>
      <c r="I1289" s="105">
        <v>2737223.4</v>
      </c>
      <c r="J1289" s="126">
        <v>1</v>
      </c>
      <c r="K1289" s="127">
        <f>SUM(K1285:K1288)</f>
        <v>2872320.7963405224</v>
      </c>
      <c r="L1289" s="126">
        <f>SUM(L1285:L1288)</f>
        <v>1</v>
      </c>
      <c r="M1289" s="105">
        <f>VLOOKUP(E1289,town351,22)</f>
        <v>1116699</v>
      </c>
      <c r="N1289" s="105">
        <f>SUM(N1285:N1288)</f>
        <v>1116699</v>
      </c>
      <c r="O1289" s="128">
        <v>1167811</v>
      </c>
      <c r="P1289" s="105">
        <f>SUM(P1285:P1288)</f>
        <v>-51112</v>
      </c>
      <c r="Q1289" s="45">
        <f t="shared" si="199"/>
        <v>-4.3767356190342444</v>
      </c>
      <c r="R1289" s="105">
        <v>260</v>
      </c>
      <c r="S1289" s="7">
        <f t="shared" si="192"/>
        <v>0</v>
      </c>
      <c r="T1289" s="124">
        <f t="shared" si="193"/>
        <v>256</v>
      </c>
      <c r="U1289" s="124">
        <f t="shared" si="194"/>
        <v>999</v>
      </c>
      <c r="V1289" s="124">
        <f t="shared" si="195"/>
        <v>1280</v>
      </c>
      <c r="W1289" s="124">
        <f t="shared" si="196"/>
        <v>268.12931995680003</v>
      </c>
      <c r="X1289" s="124">
        <f t="shared" si="197"/>
        <v>2872320.7963405224</v>
      </c>
      <c r="Y1289" s="264">
        <f t="shared" si="198"/>
        <v>1280</v>
      </c>
      <c r="Z1289" s="10">
        <v>256</v>
      </c>
      <c r="AA1289" s="7">
        <v>999</v>
      </c>
      <c r="AB1289" s="7">
        <v>1280</v>
      </c>
      <c r="AC1289" s="109">
        <v>268.12931995680003</v>
      </c>
      <c r="AD1289" s="109">
        <v>2872320.7963405224</v>
      </c>
      <c r="AE1289" s="125"/>
      <c r="AF1289" s="10"/>
      <c r="AI1289" s="109"/>
      <c r="AJ1289" s="109"/>
      <c r="AL1289" s="10"/>
      <c r="AO1289" s="109"/>
      <c r="AP1289" s="109"/>
      <c r="AR1289" s="10"/>
      <c r="AU1289" s="109"/>
      <c r="AV1289" s="109"/>
      <c r="AX1289" s="10"/>
      <c r="BA1289" s="109"/>
      <c r="BB1289" s="109"/>
      <c r="BD1289" s="10"/>
      <c r="BG1289" s="109"/>
      <c r="BH1289" s="109"/>
      <c r="BJ1289" s="10"/>
      <c r="BM1289" s="109"/>
      <c r="BN1289" s="109"/>
      <c r="BP1289" s="10"/>
      <c r="BS1289" s="109"/>
      <c r="BT1289" s="109"/>
      <c r="BV1289" s="10"/>
      <c r="BY1289" s="109"/>
      <c r="BZ1289" s="109"/>
      <c r="CB1289" s="10"/>
      <c r="CE1289" s="109"/>
      <c r="CF1289" s="109"/>
      <c r="CH1289" s="10"/>
      <c r="CK1289" s="109"/>
      <c r="CL1289" s="109"/>
    </row>
    <row r="1290" spans="1:90">
      <c r="A1290" s="7" t="str">
        <f t="shared" ref="A1290:A1353" si="201">B1290&amp;C1290</f>
        <v>02570257</v>
      </c>
      <c r="B1290" s="7" t="s">
        <v>2596</v>
      </c>
      <c r="C1290" s="7" t="s">
        <v>2596</v>
      </c>
      <c r="D1290" s="7">
        <v>1281</v>
      </c>
      <c r="E1290" s="7">
        <v>257</v>
      </c>
      <c r="F1290" s="7" t="s">
        <v>1962</v>
      </c>
      <c r="G1290" s="7">
        <v>257</v>
      </c>
      <c r="H1290" s="7" t="s">
        <v>1523</v>
      </c>
      <c r="I1290" s="37">
        <v>0</v>
      </c>
      <c r="J1290" s="122">
        <v>0</v>
      </c>
      <c r="K1290" s="123">
        <f>X1290</f>
        <v>0</v>
      </c>
      <c r="L1290" s="122">
        <f>IF(K1294&gt;0, K1290/K1294, 0)</f>
        <v>0</v>
      </c>
      <c r="M1290" s="71"/>
      <c r="N1290" s="10">
        <f>ROUND(M1294*L1290,0)</f>
        <v>0</v>
      </c>
      <c r="O1290" s="70">
        <v>0</v>
      </c>
      <c r="P1290" s="10">
        <f>N1290-O1290</f>
        <v>0</v>
      </c>
      <c r="Q1290" s="46">
        <f t="shared" si="199"/>
        <v>0</v>
      </c>
      <c r="R1290" s="10">
        <v>0</v>
      </c>
      <c r="S1290" s="7">
        <f t="shared" ref="S1290:S1353" si="202">ABS(T1290-E1290)+ABS(U1290-G1290)</f>
        <v>0</v>
      </c>
      <c r="T1290" s="124">
        <f t="shared" ref="T1290:T1353" si="203">VLOOKUP($D1290, foundoptions, VLOOKUP($T$6, foundoptcell, 2, FALSE), FALSE)</f>
        <v>257</v>
      </c>
      <c r="U1290" s="124">
        <f t="shared" ref="U1290:U1353" si="204">VLOOKUP($D1290, foundoptions, VLOOKUP($T$6, foundoptcell, 2, FALSE)+1, FALSE)</f>
        <v>257</v>
      </c>
      <c r="V1290" s="124">
        <f t="shared" ref="V1290:V1353" si="205">VLOOKUP($D1290, foundoptions, VLOOKUP($T$6, foundoptcell, 2, FALSE)+2, FALSE)</f>
        <v>1281</v>
      </c>
      <c r="W1290" s="124">
        <f t="shared" ref="W1290:W1353" si="206">VLOOKUP($D1290, foundoptions, VLOOKUP($T$6, foundoptcell, 2, FALSE)+3, FALSE)</f>
        <v>0</v>
      </c>
      <c r="X1290" s="124">
        <f t="shared" ref="X1290:X1353" si="207">VLOOKUP($D1290, foundoptions, VLOOKUP($T$6, foundoptcell, 2, FALSE)+4, FALSE)</f>
        <v>0</v>
      </c>
      <c r="Y1290" s="264">
        <f t="shared" si="198"/>
        <v>1281</v>
      </c>
      <c r="Z1290" s="10">
        <v>257</v>
      </c>
      <c r="AA1290" s="7">
        <v>257</v>
      </c>
      <c r="AB1290" s="7">
        <v>1281</v>
      </c>
      <c r="AC1290" s="109">
        <v>0</v>
      </c>
      <c r="AD1290" s="109">
        <v>0</v>
      </c>
      <c r="AE1290" s="125"/>
      <c r="AF1290" s="10"/>
      <c r="AI1290" s="109"/>
      <c r="AJ1290" s="109"/>
      <c r="AL1290" s="10"/>
      <c r="AO1290" s="109"/>
      <c r="AP1290" s="109"/>
      <c r="AR1290" s="10"/>
      <c r="AU1290" s="109"/>
      <c r="AV1290" s="109"/>
      <c r="AX1290" s="10"/>
      <c r="BA1290" s="109"/>
      <c r="BB1290" s="109"/>
      <c r="BD1290" s="10"/>
      <c r="BG1290" s="109"/>
      <c r="BH1290" s="109"/>
      <c r="BJ1290" s="10"/>
      <c r="BM1290" s="109"/>
      <c r="BN1290" s="109"/>
      <c r="BP1290" s="10"/>
      <c r="BS1290" s="109"/>
      <c r="BT1290" s="109"/>
      <c r="BV1290" s="10"/>
      <c r="BY1290" s="109"/>
      <c r="BZ1290" s="109"/>
      <c r="CB1290" s="10"/>
      <c r="CE1290" s="109"/>
      <c r="CF1290" s="109"/>
      <c r="CH1290" s="10"/>
      <c r="CK1290" s="109"/>
      <c r="CL1290" s="109"/>
    </row>
    <row r="1291" spans="1:90">
      <c r="A1291" s="7" t="str">
        <f t="shared" si="201"/>
        <v>02570775</v>
      </c>
      <c r="B1291" s="7" t="s">
        <v>2596</v>
      </c>
      <c r="C1291" s="7" t="s">
        <v>2749</v>
      </c>
      <c r="D1291" s="7">
        <v>1282</v>
      </c>
      <c r="E1291" s="7">
        <v>257</v>
      </c>
      <c r="F1291" s="7" t="s">
        <v>1962</v>
      </c>
      <c r="G1291" s="7">
        <v>775</v>
      </c>
      <c r="H1291" s="7" t="s">
        <v>1676</v>
      </c>
      <c r="I1291" s="37">
        <v>15483003</v>
      </c>
      <c r="J1291" s="122">
        <v>0.96878119927868578</v>
      </c>
      <c r="K1291" s="123">
        <f t="shared" si="200"/>
        <v>15676737.6238048</v>
      </c>
      <c r="L1291" s="122">
        <f>IF(K1294&gt;0, K1291/K1294, 0)</f>
        <v>0.96773577470778271</v>
      </c>
      <c r="M1291" s="71"/>
      <c r="N1291" s="10">
        <f>ROUND(M1294*L1291,0)</f>
        <v>7036196</v>
      </c>
      <c r="O1291" s="70">
        <v>6813218</v>
      </c>
      <c r="P1291" s="10">
        <f>N1291-O1291</f>
        <v>222978</v>
      </c>
      <c r="Q1291" s="46">
        <f t="shared" si="199"/>
        <v>3.272726632260996</v>
      </c>
      <c r="R1291" s="10">
        <v>1667</v>
      </c>
      <c r="S1291" s="7">
        <f t="shared" si="202"/>
        <v>0</v>
      </c>
      <c r="T1291" s="124">
        <f t="shared" si="203"/>
        <v>257</v>
      </c>
      <c r="U1291" s="124">
        <f t="shared" si="204"/>
        <v>775</v>
      </c>
      <c r="V1291" s="124">
        <f t="shared" si="205"/>
        <v>1282</v>
      </c>
      <c r="W1291" s="124">
        <f t="shared" si="206"/>
        <v>1645.3076289652602</v>
      </c>
      <c r="X1291" s="124">
        <f t="shared" si="207"/>
        <v>15676737.6238048</v>
      </c>
      <c r="Y1291" s="264">
        <f t="shared" ref="Y1291:Y1354" si="208">D1291</f>
        <v>1282</v>
      </c>
      <c r="Z1291" s="10">
        <v>257</v>
      </c>
      <c r="AA1291" s="7">
        <v>775</v>
      </c>
      <c r="AB1291" s="7">
        <v>1282</v>
      </c>
      <c r="AC1291" s="109">
        <v>1645.3076289652602</v>
      </c>
      <c r="AD1291" s="109">
        <v>15676737.6238048</v>
      </c>
      <c r="AE1291" s="125"/>
      <c r="AF1291" s="10"/>
      <c r="AI1291" s="109"/>
      <c r="AJ1291" s="109"/>
      <c r="AL1291" s="10"/>
      <c r="AO1291" s="109"/>
      <c r="AP1291" s="109"/>
      <c r="AR1291" s="10"/>
      <c r="AU1291" s="109"/>
      <c r="AV1291" s="109"/>
      <c r="AX1291" s="10"/>
      <c r="BA1291" s="109"/>
      <c r="BB1291" s="109"/>
      <c r="BD1291" s="10"/>
      <c r="BG1291" s="109"/>
      <c r="BH1291" s="109"/>
      <c r="BJ1291" s="10"/>
      <c r="BM1291" s="109"/>
      <c r="BN1291" s="109"/>
      <c r="BP1291" s="10"/>
      <c r="BS1291" s="109"/>
      <c r="BT1291" s="109"/>
      <c r="BV1291" s="10"/>
      <c r="BY1291" s="109"/>
      <c r="BZ1291" s="109"/>
      <c r="CB1291" s="10"/>
      <c r="CE1291" s="109"/>
      <c r="CF1291" s="109"/>
      <c r="CH1291" s="10"/>
      <c r="CK1291" s="109"/>
      <c r="CL1291" s="109"/>
    </row>
    <row r="1292" spans="1:90">
      <c r="A1292" s="7" t="str">
        <f t="shared" si="201"/>
        <v>02570876</v>
      </c>
      <c r="B1292" s="7" t="s">
        <v>2596</v>
      </c>
      <c r="C1292" s="7" t="s">
        <v>2774</v>
      </c>
      <c r="D1292" s="7">
        <v>1283</v>
      </c>
      <c r="E1292" s="7">
        <v>257</v>
      </c>
      <c r="F1292" s="7" t="s">
        <v>1962</v>
      </c>
      <c r="G1292" s="7">
        <v>876</v>
      </c>
      <c r="H1292" s="7" t="s">
        <v>1701</v>
      </c>
      <c r="I1292" s="37">
        <v>498937</v>
      </c>
      <c r="J1292" s="122">
        <v>3.1218800721314183E-2</v>
      </c>
      <c r="K1292" s="123">
        <f t="shared" si="200"/>
        <v>522661.04835707659</v>
      </c>
      <c r="L1292" s="122">
        <f>IF(K1294&gt;0, K1292/K1294, 0)</f>
        <v>3.22642252922173E-2</v>
      </c>
      <c r="M1292" s="71"/>
      <c r="N1292" s="10">
        <f>ROUND(M1294*L1292,0)</f>
        <v>234586</v>
      </c>
      <c r="O1292" s="70">
        <v>219555</v>
      </c>
      <c r="P1292" s="10">
        <f>N1292-O1292</f>
        <v>15031</v>
      </c>
      <c r="Q1292" s="46">
        <f t="shared" si="199"/>
        <v>6.8461205620459564</v>
      </c>
      <c r="R1292" s="10">
        <v>32</v>
      </c>
      <c r="S1292" s="7">
        <f t="shared" si="202"/>
        <v>0</v>
      </c>
      <c r="T1292" s="124">
        <f t="shared" si="203"/>
        <v>257</v>
      </c>
      <c r="U1292" s="124">
        <f t="shared" si="204"/>
        <v>876</v>
      </c>
      <c r="V1292" s="124">
        <f t="shared" si="205"/>
        <v>1283</v>
      </c>
      <c r="W1292" s="124">
        <f t="shared" si="206"/>
        <v>33.000000001499998</v>
      </c>
      <c r="X1292" s="124">
        <f t="shared" si="207"/>
        <v>522661.04835707659</v>
      </c>
      <c r="Y1292" s="264">
        <f t="shared" si="208"/>
        <v>1283</v>
      </c>
      <c r="Z1292" s="10">
        <v>257</v>
      </c>
      <c r="AA1292" s="7">
        <v>876</v>
      </c>
      <c r="AB1292" s="7">
        <v>1283</v>
      </c>
      <c r="AC1292" s="109">
        <v>33.000000001499998</v>
      </c>
      <c r="AD1292" s="109">
        <v>522661.04835707659</v>
      </c>
      <c r="AE1292" s="125"/>
      <c r="AF1292" s="10"/>
      <c r="AI1292" s="109"/>
      <c r="AJ1292" s="109"/>
      <c r="AL1292" s="10"/>
      <c r="AO1292" s="109"/>
      <c r="AP1292" s="109"/>
      <c r="AR1292" s="10"/>
      <c r="AU1292" s="109"/>
      <c r="AV1292" s="109"/>
      <c r="AX1292" s="10"/>
      <c r="BA1292" s="109"/>
      <c r="BB1292" s="109"/>
      <c r="BD1292" s="10"/>
      <c r="BG1292" s="109"/>
      <c r="BH1292" s="109"/>
      <c r="BJ1292" s="10"/>
      <c r="BM1292" s="109"/>
      <c r="BN1292" s="109"/>
      <c r="BP1292" s="10"/>
      <c r="BS1292" s="109"/>
      <c r="BT1292" s="109"/>
      <c r="BV1292" s="10"/>
      <c r="BY1292" s="109"/>
      <c r="BZ1292" s="109"/>
      <c r="CB1292" s="10"/>
      <c r="CE1292" s="109"/>
      <c r="CF1292" s="109"/>
      <c r="CH1292" s="10"/>
      <c r="CK1292" s="109"/>
      <c r="CL1292" s="109"/>
    </row>
    <row r="1293" spans="1:90">
      <c r="A1293" s="7" t="str">
        <f t="shared" si="201"/>
        <v>02570998</v>
      </c>
      <c r="B1293" s="7" t="s">
        <v>2596</v>
      </c>
      <c r="C1293" s="7" t="s">
        <v>2781</v>
      </c>
      <c r="D1293" s="7">
        <v>1284</v>
      </c>
      <c r="E1293" s="7">
        <v>257</v>
      </c>
      <c r="F1293" s="7" t="s">
        <v>2135</v>
      </c>
      <c r="G1293" s="7">
        <v>998</v>
      </c>
      <c r="H1293" s="7" t="s">
        <v>2135</v>
      </c>
      <c r="I1293" s="37">
        <v>0</v>
      </c>
      <c r="J1293" s="122">
        <v>0</v>
      </c>
      <c r="K1293" s="123">
        <f t="shared" si="200"/>
        <v>0</v>
      </c>
      <c r="L1293" s="122">
        <f>IF(K1294&gt;0, K1293/K1294, 0)</f>
        <v>0</v>
      </c>
      <c r="M1293" s="71"/>
      <c r="N1293" s="10">
        <f>ROUND(M1294*L1293,0)</f>
        <v>0</v>
      </c>
      <c r="O1293" s="70">
        <v>0</v>
      </c>
      <c r="P1293" s="10">
        <f>N1293-O1293</f>
        <v>0</v>
      </c>
      <c r="Q1293" s="46">
        <f t="shared" si="199"/>
        <v>0</v>
      </c>
      <c r="R1293" s="10">
        <v>0</v>
      </c>
      <c r="S1293" s="7">
        <f t="shared" si="202"/>
        <v>0</v>
      </c>
      <c r="T1293" s="124">
        <f t="shared" si="203"/>
        <v>257</v>
      </c>
      <c r="U1293" s="124">
        <f t="shared" si="204"/>
        <v>998</v>
      </c>
      <c r="V1293" s="124">
        <f t="shared" si="205"/>
        <v>1284</v>
      </c>
      <c r="W1293" s="124">
        <f t="shared" si="206"/>
        <v>0</v>
      </c>
      <c r="X1293" s="124">
        <f t="shared" si="207"/>
        <v>0</v>
      </c>
      <c r="Y1293" s="264">
        <f t="shared" si="208"/>
        <v>1284</v>
      </c>
      <c r="Z1293" s="10">
        <v>257</v>
      </c>
      <c r="AA1293" s="7">
        <v>998</v>
      </c>
      <c r="AB1293" s="7">
        <v>1284</v>
      </c>
      <c r="AC1293" s="109">
        <v>0</v>
      </c>
      <c r="AD1293" s="109">
        <v>0</v>
      </c>
      <c r="AE1293" s="125"/>
      <c r="AF1293" s="10"/>
      <c r="AI1293" s="109"/>
      <c r="AJ1293" s="109"/>
      <c r="AL1293" s="10"/>
      <c r="AO1293" s="109"/>
      <c r="AP1293" s="109"/>
      <c r="AR1293" s="10"/>
      <c r="AU1293" s="109"/>
      <c r="AV1293" s="109"/>
      <c r="AX1293" s="10"/>
      <c r="BA1293" s="109"/>
      <c r="BB1293" s="109"/>
      <c r="BD1293" s="10"/>
      <c r="BG1293" s="109"/>
      <c r="BH1293" s="109"/>
      <c r="BJ1293" s="10"/>
      <c r="BM1293" s="109"/>
      <c r="BN1293" s="109"/>
      <c r="BP1293" s="10"/>
      <c r="BS1293" s="109"/>
      <c r="BT1293" s="109"/>
      <c r="BV1293" s="10"/>
      <c r="BY1293" s="109"/>
      <c r="BZ1293" s="109"/>
      <c r="CB1293" s="10"/>
      <c r="CE1293" s="109"/>
      <c r="CF1293" s="109"/>
      <c r="CH1293" s="10"/>
      <c r="CK1293" s="109"/>
      <c r="CL1293" s="109"/>
    </row>
    <row r="1294" spans="1:90">
      <c r="A1294" s="7" t="str">
        <f t="shared" si="201"/>
        <v>02570999</v>
      </c>
      <c r="B1294" s="7" t="s">
        <v>2596</v>
      </c>
      <c r="C1294" s="7" t="s">
        <v>2782</v>
      </c>
      <c r="D1294" s="7">
        <v>1285</v>
      </c>
      <c r="E1294" s="11">
        <v>257</v>
      </c>
      <c r="F1294" s="11" t="s">
        <v>1962</v>
      </c>
      <c r="G1294" s="11">
        <v>999</v>
      </c>
      <c r="H1294" s="11" t="s">
        <v>1132</v>
      </c>
      <c r="I1294" s="105">
        <v>15981940</v>
      </c>
      <c r="J1294" s="126">
        <v>1</v>
      </c>
      <c r="K1294" s="127">
        <f>SUM(K1290:K1293)</f>
        <v>16199398.672161877</v>
      </c>
      <c r="L1294" s="126">
        <f>SUM(L1290:L1293)</f>
        <v>1</v>
      </c>
      <c r="M1294" s="105">
        <f>VLOOKUP(E1294,town351,22)</f>
        <v>7270782</v>
      </c>
      <c r="N1294" s="105">
        <f>SUM(N1290:N1293)</f>
        <v>7270782</v>
      </c>
      <c r="O1294" s="128">
        <v>7032773</v>
      </c>
      <c r="P1294" s="105">
        <f>SUM(P1290:P1293)</f>
        <v>238009</v>
      </c>
      <c r="Q1294" s="45">
        <f t="shared" si="199"/>
        <v>3.3842838379683235</v>
      </c>
      <c r="R1294" s="105">
        <v>1699</v>
      </c>
      <c r="S1294" s="7">
        <f t="shared" si="202"/>
        <v>0</v>
      </c>
      <c r="T1294" s="124">
        <f t="shared" si="203"/>
        <v>257</v>
      </c>
      <c r="U1294" s="124">
        <f t="shared" si="204"/>
        <v>999</v>
      </c>
      <c r="V1294" s="124">
        <f t="shared" si="205"/>
        <v>1285</v>
      </c>
      <c r="W1294" s="124">
        <f t="shared" si="206"/>
        <v>1678.3076289667601</v>
      </c>
      <c r="X1294" s="124">
        <f t="shared" si="207"/>
        <v>16199398.672161877</v>
      </c>
      <c r="Y1294" s="264">
        <f t="shared" si="208"/>
        <v>1285</v>
      </c>
      <c r="Z1294" s="10">
        <v>257</v>
      </c>
      <c r="AA1294" s="7">
        <v>999</v>
      </c>
      <c r="AB1294" s="7">
        <v>1285</v>
      </c>
      <c r="AC1294" s="109">
        <v>1678.3076289667601</v>
      </c>
      <c r="AD1294" s="109">
        <v>16199398.672161877</v>
      </c>
      <c r="AE1294" s="125"/>
      <c r="AF1294" s="10"/>
      <c r="AI1294" s="109"/>
      <c r="AJ1294" s="109"/>
      <c r="AL1294" s="10"/>
      <c r="AO1294" s="109"/>
      <c r="AP1294" s="109"/>
      <c r="AR1294" s="10"/>
      <c r="AU1294" s="109"/>
      <c r="AV1294" s="109"/>
      <c r="AX1294" s="10"/>
      <c r="BA1294" s="109"/>
      <c r="BB1294" s="109"/>
      <c r="BD1294" s="10"/>
      <c r="BG1294" s="109"/>
      <c r="BH1294" s="109"/>
      <c r="BJ1294" s="10"/>
      <c r="BM1294" s="109"/>
      <c r="BN1294" s="109"/>
      <c r="BP1294" s="10"/>
      <c r="BS1294" s="109"/>
      <c r="BT1294" s="109"/>
      <c r="BV1294" s="10"/>
      <c r="BY1294" s="109"/>
      <c r="BZ1294" s="109"/>
      <c r="CB1294" s="10"/>
      <c r="CE1294" s="109"/>
      <c r="CF1294" s="109"/>
      <c r="CH1294" s="10"/>
      <c r="CK1294" s="109"/>
      <c r="CL1294" s="109"/>
    </row>
    <row r="1295" spans="1:90">
      <c r="A1295" s="7" t="str">
        <f t="shared" si="201"/>
        <v>02580258</v>
      </c>
      <c r="B1295" s="7" t="s">
        <v>2597</v>
      </c>
      <c r="C1295" s="7" t="s">
        <v>2597</v>
      </c>
      <c r="D1295" s="7">
        <v>1286</v>
      </c>
      <c r="E1295" s="7">
        <v>258</v>
      </c>
      <c r="F1295" s="7" t="s">
        <v>1963</v>
      </c>
      <c r="G1295" s="7">
        <v>258</v>
      </c>
      <c r="H1295" s="7" t="s">
        <v>1524</v>
      </c>
      <c r="I1295" s="37">
        <v>52561026.710000008</v>
      </c>
      <c r="J1295" s="122">
        <v>0.95093368493860964</v>
      </c>
      <c r="K1295" s="123">
        <f>X1295</f>
        <v>52768572.013673805</v>
      </c>
      <c r="L1295" s="122">
        <f>IF(K1299&gt;0, K1295/K1299, 0)</f>
        <v>0.94663634511234429</v>
      </c>
      <c r="M1295" s="71"/>
      <c r="N1295" s="10">
        <f>ROUND(M1299*L1295,0)</f>
        <v>32317455</v>
      </c>
      <c r="O1295" s="70">
        <v>31386760</v>
      </c>
      <c r="P1295" s="10">
        <f>N1295-O1295</f>
        <v>930695</v>
      </c>
      <c r="Q1295" s="46">
        <f t="shared" si="199"/>
        <v>2.9652471296814324</v>
      </c>
      <c r="R1295" s="10">
        <v>4586</v>
      </c>
      <c r="S1295" s="7">
        <f t="shared" si="202"/>
        <v>0</v>
      </c>
      <c r="T1295" s="124">
        <f t="shared" si="203"/>
        <v>258</v>
      </c>
      <c r="U1295" s="124">
        <f t="shared" si="204"/>
        <v>258</v>
      </c>
      <c r="V1295" s="124">
        <f t="shared" si="205"/>
        <v>1286</v>
      </c>
      <c r="W1295" s="124">
        <f t="shared" si="206"/>
        <v>4537</v>
      </c>
      <c r="X1295" s="124">
        <f t="shared" si="207"/>
        <v>52768572.013673805</v>
      </c>
      <c r="Y1295" s="264">
        <f t="shared" si="208"/>
        <v>1286</v>
      </c>
      <c r="Z1295" s="10">
        <v>258</v>
      </c>
      <c r="AA1295" s="7">
        <v>258</v>
      </c>
      <c r="AB1295" s="7">
        <v>1286</v>
      </c>
      <c r="AC1295" s="109">
        <v>4537</v>
      </c>
      <c r="AD1295" s="109">
        <v>52768572.013673805</v>
      </c>
      <c r="AE1295" s="125"/>
      <c r="AF1295" s="10"/>
      <c r="AI1295" s="109"/>
      <c r="AJ1295" s="109"/>
      <c r="AL1295" s="10"/>
      <c r="AO1295" s="109"/>
      <c r="AP1295" s="109"/>
      <c r="AR1295" s="10"/>
      <c r="AU1295" s="109"/>
      <c r="AV1295" s="109"/>
      <c r="AX1295" s="10"/>
      <c r="BA1295" s="109"/>
      <c r="BB1295" s="109"/>
      <c r="BD1295" s="10"/>
      <c r="BG1295" s="109"/>
      <c r="BH1295" s="109"/>
      <c r="BJ1295" s="10"/>
      <c r="BM1295" s="109"/>
      <c r="BN1295" s="109"/>
      <c r="BP1295" s="10"/>
      <c r="BS1295" s="109"/>
      <c r="BT1295" s="109"/>
      <c r="BV1295" s="10"/>
      <c r="BY1295" s="109"/>
      <c r="BZ1295" s="109"/>
      <c r="CB1295" s="10"/>
      <c r="CE1295" s="109"/>
      <c r="CF1295" s="109"/>
      <c r="CH1295" s="10"/>
      <c r="CK1295" s="109"/>
      <c r="CL1295" s="109"/>
    </row>
    <row r="1296" spans="1:90">
      <c r="A1296" s="7" t="str">
        <f t="shared" si="201"/>
        <v>02580817</v>
      </c>
      <c r="B1296" s="7" t="s">
        <v>2597</v>
      </c>
      <c r="C1296" s="7" t="s">
        <v>2757</v>
      </c>
      <c r="D1296" s="7">
        <v>1287</v>
      </c>
      <c r="E1296" s="7">
        <v>258</v>
      </c>
      <c r="F1296" s="7" t="s">
        <v>1963</v>
      </c>
      <c r="G1296" s="7">
        <v>817</v>
      </c>
      <c r="H1296" s="7" t="s">
        <v>1684</v>
      </c>
      <c r="I1296" s="37">
        <v>2712046</v>
      </c>
      <c r="J1296" s="122">
        <v>4.9066315061390399E-2</v>
      </c>
      <c r="K1296" s="123">
        <f t="shared" si="200"/>
        <v>2974662.7418133905</v>
      </c>
      <c r="L1296" s="122">
        <f>IF(K1299&gt;0, K1296/K1299, 0)</f>
        <v>5.3363654887655647E-2</v>
      </c>
      <c r="M1296" s="71"/>
      <c r="N1296" s="10">
        <f>ROUND(M1299*L1296,0)</f>
        <v>1821795</v>
      </c>
      <c r="O1296" s="70">
        <v>1619495</v>
      </c>
      <c r="P1296" s="10">
        <f>N1296-O1296</f>
        <v>202300</v>
      </c>
      <c r="Q1296" s="46">
        <f>IF(O1296&gt;0,P1296*100/O1296,IF(P1296&gt;0,100,0))</f>
        <v>12.491548291288334</v>
      </c>
      <c r="R1296" s="10">
        <v>172</v>
      </c>
      <c r="S1296" s="7">
        <f t="shared" si="202"/>
        <v>0</v>
      </c>
      <c r="T1296" s="124">
        <f t="shared" si="203"/>
        <v>258</v>
      </c>
      <c r="U1296" s="124">
        <f t="shared" si="204"/>
        <v>817</v>
      </c>
      <c r="V1296" s="124">
        <f t="shared" si="205"/>
        <v>1287</v>
      </c>
      <c r="W1296" s="124">
        <f t="shared" si="206"/>
        <v>187.00000000343999</v>
      </c>
      <c r="X1296" s="124">
        <f t="shared" si="207"/>
        <v>2974662.7418133905</v>
      </c>
      <c r="Y1296" s="264">
        <f t="shared" si="208"/>
        <v>1287</v>
      </c>
      <c r="Z1296" s="10">
        <v>258</v>
      </c>
      <c r="AA1296" s="7">
        <v>817</v>
      </c>
      <c r="AB1296" s="7">
        <v>1287</v>
      </c>
      <c r="AC1296" s="109">
        <v>187.00000000343999</v>
      </c>
      <c r="AD1296" s="109">
        <v>2974662.7418133905</v>
      </c>
      <c r="AE1296" s="125"/>
      <c r="AF1296" s="10"/>
      <c r="AI1296" s="109"/>
      <c r="AJ1296" s="109"/>
      <c r="AL1296" s="10"/>
      <c r="AO1296" s="109"/>
      <c r="AP1296" s="109"/>
      <c r="AR1296" s="10"/>
      <c r="AU1296" s="109"/>
      <c r="AV1296" s="109"/>
      <c r="AX1296" s="10"/>
      <c r="BA1296" s="109"/>
      <c r="BB1296" s="109"/>
      <c r="BD1296" s="10"/>
      <c r="BG1296" s="109"/>
      <c r="BH1296" s="109"/>
      <c r="BJ1296" s="10"/>
      <c r="BM1296" s="109"/>
      <c r="BN1296" s="109"/>
      <c r="BP1296" s="10"/>
      <c r="BS1296" s="109"/>
      <c r="BT1296" s="109"/>
      <c r="BV1296" s="10"/>
      <c r="BY1296" s="109"/>
      <c r="BZ1296" s="109"/>
      <c r="CB1296" s="10"/>
      <c r="CE1296" s="109"/>
      <c r="CF1296" s="109"/>
      <c r="CH1296" s="10"/>
      <c r="CK1296" s="109"/>
      <c r="CL1296" s="109"/>
    </row>
    <row r="1297" spans="1:90">
      <c r="A1297" s="7" t="str">
        <f t="shared" si="201"/>
        <v>02580998</v>
      </c>
      <c r="B1297" s="7" t="s">
        <v>2597</v>
      </c>
      <c r="C1297" s="7" t="s">
        <v>2781</v>
      </c>
      <c r="D1297" s="7">
        <v>1288</v>
      </c>
      <c r="E1297" s="7">
        <v>258</v>
      </c>
      <c r="F1297" s="7" t="s">
        <v>2135</v>
      </c>
      <c r="G1297" s="7">
        <v>998</v>
      </c>
      <c r="I1297" s="129">
        <v>0</v>
      </c>
      <c r="J1297" s="130">
        <v>0</v>
      </c>
      <c r="K1297" s="123">
        <f t="shared" si="200"/>
        <v>0</v>
      </c>
      <c r="L1297" s="122">
        <f>IF(K1299&gt;0, K1297/K1299, 0)</f>
        <v>0</v>
      </c>
      <c r="M1297" s="71"/>
      <c r="N1297" s="10">
        <f>ROUND(M1299*L1297,0)</f>
        <v>0</v>
      </c>
      <c r="O1297" s="70">
        <v>0</v>
      </c>
      <c r="P1297" s="10">
        <f>N1297-O1297</f>
        <v>0</v>
      </c>
      <c r="Q1297" s="46">
        <f>IF(O1297&gt;0,P1297*100/O1297,IF(P1297&gt;0,100,0))</f>
        <v>0</v>
      </c>
      <c r="R1297" s="10">
        <v>0</v>
      </c>
      <c r="S1297" s="7">
        <f t="shared" si="202"/>
        <v>0</v>
      </c>
      <c r="T1297" s="124">
        <f t="shared" si="203"/>
        <v>258</v>
      </c>
      <c r="U1297" s="124">
        <f t="shared" si="204"/>
        <v>998</v>
      </c>
      <c r="V1297" s="124">
        <f t="shared" si="205"/>
        <v>1288</v>
      </c>
      <c r="W1297" s="124">
        <f t="shared" si="206"/>
        <v>0</v>
      </c>
      <c r="X1297" s="124">
        <f t="shared" si="207"/>
        <v>0</v>
      </c>
      <c r="Y1297" s="264">
        <f t="shared" si="208"/>
        <v>1288</v>
      </c>
      <c r="Z1297" s="10">
        <v>258</v>
      </c>
      <c r="AA1297" s="7">
        <v>998</v>
      </c>
      <c r="AB1297" s="7">
        <v>1288</v>
      </c>
      <c r="AC1297" s="109">
        <v>0</v>
      </c>
      <c r="AD1297" s="109">
        <v>0</v>
      </c>
      <c r="AE1297" s="125"/>
      <c r="AF1297" s="10"/>
      <c r="AI1297" s="109"/>
      <c r="AJ1297" s="109"/>
      <c r="AL1297" s="10"/>
      <c r="AO1297" s="109"/>
      <c r="AP1297" s="109"/>
      <c r="AR1297" s="10"/>
      <c r="AU1297" s="109"/>
      <c r="AV1297" s="109"/>
      <c r="AX1297" s="10"/>
      <c r="BA1297" s="109"/>
      <c r="BB1297" s="109"/>
      <c r="BD1297" s="10"/>
      <c r="BG1297" s="109"/>
      <c r="BH1297" s="109"/>
      <c r="BJ1297" s="10"/>
      <c r="BM1297" s="109"/>
      <c r="BN1297" s="109"/>
      <c r="BP1297" s="10"/>
      <c r="BS1297" s="109"/>
      <c r="BT1297" s="109"/>
      <c r="BV1297" s="10"/>
      <c r="BY1297" s="109"/>
      <c r="BZ1297" s="109"/>
      <c r="CB1297" s="10"/>
      <c r="CE1297" s="109"/>
      <c r="CF1297" s="109"/>
      <c r="CH1297" s="10"/>
      <c r="CK1297" s="109"/>
      <c r="CL1297" s="109"/>
    </row>
    <row r="1298" spans="1:90">
      <c r="A1298" s="7" t="str">
        <f t="shared" si="201"/>
        <v>02580998</v>
      </c>
      <c r="B1298" s="7" t="s">
        <v>2597</v>
      </c>
      <c r="C1298" s="7" t="s">
        <v>2781</v>
      </c>
      <c r="D1298" s="7">
        <v>1289</v>
      </c>
      <c r="E1298" s="7">
        <v>258</v>
      </c>
      <c r="F1298" s="7" t="s">
        <v>2135</v>
      </c>
      <c r="G1298" s="7">
        <v>998</v>
      </c>
      <c r="H1298" s="7" t="s">
        <v>2135</v>
      </c>
      <c r="I1298" s="37">
        <v>0</v>
      </c>
      <c r="J1298" s="122">
        <v>0</v>
      </c>
      <c r="K1298" s="123">
        <f t="shared" si="200"/>
        <v>0</v>
      </c>
      <c r="L1298" s="122">
        <f>IF(K1299&gt;0, K1298/K1299, 0)</f>
        <v>0</v>
      </c>
      <c r="M1298" s="71"/>
      <c r="N1298" s="10">
        <f>ROUND(M1299*L1298,0)</f>
        <v>0</v>
      </c>
      <c r="O1298" s="70">
        <v>0</v>
      </c>
      <c r="P1298" s="10">
        <f>N1298-O1298</f>
        <v>0</v>
      </c>
      <c r="Q1298" s="46">
        <f>IF(O1298&gt;0,P1298*100/O1298,IF(P1298&gt;0,100,0))</f>
        <v>0</v>
      </c>
      <c r="R1298" s="10">
        <v>0</v>
      </c>
      <c r="S1298" s="7">
        <f t="shared" si="202"/>
        <v>0</v>
      </c>
      <c r="T1298" s="124">
        <f t="shared" si="203"/>
        <v>258</v>
      </c>
      <c r="U1298" s="124">
        <f t="shared" si="204"/>
        <v>998</v>
      </c>
      <c r="V1298" s="124">
        <f t="shared" si="205"/>
        <v>1289</v>
      </c>
      <c r="W1298" s="124">
        <f t="shared" si="206"/>
        <v>0</v>
      </c>
      <c r="X1298" s="124">
        <f t="shared" si="207"/>
        <v>0</v>
      </c>
      <c r="Y1298" s="264">
        <f t="shared" si="208"/>
        <v>1289</v>
      </c>
      <c r="Z1298" s="10">
        <v>258</v>
      </c>
      <c r="AA1298" s="7">
        <v>998</v>
      </c>
      <c r="AB1298" s="7">
        <v>1289</v>
      </c>
      <c r="AC1298" s="109">
        <v>0</v>
      </c>
      <c r="AD1298" s="109">
        <v>0</v>
      </c>
      <c r="AE1298" s="125"/>
      <c r="AF1298" s="10"/>
      <c r="AI1298" s="109"/>
      <c r="AJ1298" s="109"/>
      <c r="AL1298" s="10"/>
      <c r="AO1298" s="109"/>
      <c r="AP1298" s="109"/>
      <c r="AR1298" s="10"/>
      <c r="AU1298" s="109"/>
      <c r="AV1298" s="109"/>
      <c r="AX1298" s="10"/>
      <c r="BA1298" s="109"/>
      <c r="BB1298" s="109"/>
      <c r="BD1298" s="10"/>
      <c r="BG1298" s="109"/>
      <c r="BH1298" s="109"/>
      <c r="BJ1298" s="10"/>
      <c r="BM1298" s="109"/>
      <c r="BN1298" s="109"/>
      <c r="BP1298" s="10"/>
      <c r="BS1298" s="109"/>
      <c r="BT1298" s="109"/>
      <c r="BV1298" s="10"/>
      <c r="BY1298" s="109"/>
      <c r="BZ1298" s="109"/>
      <c r="CB1298" s="10"/>
      <c r="CE1298" s="109"/>
      <c r="CF1298" s="109"/>
      <c r="CH1298" s="10"/>
      <c r="CK1298" s="109"/>
      <c r="CL1298" s="109"/>
    </row>
    <row r="1299" spans="1:90">
      <c r="A1299" s="7" t="str">
        <f t="shared" si="201"/>
        <v>02580999</v>
      </c>
      <c r="B1299" s="7" t="s">
        <v>2597</v>
      </c>
      <c r="C1299" s="7" t="s">
        <v>2782</v>
      </c>
      <c r="D1299" s="7">
        <v>1290</v>
      </c>
      <c r="E1299" s="11">
        <v>258</v>
      </c>
      <c r="F1299" s="11" t="s">
        <v>1963</v>
      </c>
      <c r="G1299" s="11">
        <v>999</v>
      </c>
      <c r="H1299" s="11" t="s">
        <v>1132</v>
      </c>
      <c r="I1299" s="105">
        <v>55273072.710000008</v>
      </c>
      <c r="J1299" s="126">
        <v>1</v>
      </c>
      <c r="K1299" s="127">
        <f>SUM(K1295:K1298)</f>
        <v>55743234.755487196</v>
      </c>
      <c r="L1299" s="126">
        <f>SUM(L1295:L1298)</f>
        <v>0.99999999999999989</v>
      </c>
      <c r="M1299" s="105">
        <f>VLOOKUP(E1299,town351,22)</f>
        <v>34139250</v>
      </c>
      <c r="N1299" s="105">
        <f>SUM(N1295:N1298)</f>
        <v>34139250</v>
      </c>
      <c r="O1299" s="128">
        <v>33006255</v>
      </c>
      <c r="P1299" s="105">
        <f>SUM(P1295:P1298)</f>
        <v>1132995</v>
      </c>
      <c r="Q1299" s="45">
        <f t="shared" ref="Q1299:Q1359" si="209">IF(O1299&gt;0,P1299*100/O1299,IF(P1299&gt;0,100,0))</f>
        <v>3.4326675352899017</v>
      </c>
      <c r="R1299" s="105">
        <v>4758</v>
      </c>
      <c r="S1299" s="7">
        <f t="shared" si="202"/>
        <v>0</v>
      </c>
      <c r="T1299" s="124">
        <f t="shared" si="203"/>
        <v>258</v>
      </c>
      <c r="U1299" s="124">
        <f t="shared" si="204"/>
        <v>999</v>
      </c>
      <c r="V1299" s="124">
        <f t="shared" si="205"/>
        <v>1290</v>
      </c>
      <c r="W1299" s="124">
        <f t="shared" si="206"/>
        <v>4724.0000000034397</v>
      </c>
      <c r="X1299" s="124">
        <f t="shared" si="207"/>
        <v>55743234.755487196</v>
      </c>
      <c r="Y1299" s="264">
        <f t="shared" si="208"/>
        <v>1290</v>
      </c>
      <c r="Z1299" s="10">
        <v>258</v>
      </c>
      <c r="AA1299" s="7">
        <v>999</v>
      </c>
      <c r="AB1299" s="7">
        <v>1290</v>
      </c>
      <c r="AC1299" s="109">
        <v>4724.0000000034397</v>
      </c>
      <c r="AD1299" s="109">
        <v>55743234.755487196</v>
      </c>
      <c r="AE1299" s="125"/>
      <c r="AF1299" s="10"/>
      <c r="AI1299" s="109"/>
      <c r="AJ1299" s="109"/>
      <c r="AL1299" s="10"/>
      <c r="AO1299" s="109"/>
      <c r="AP1299" s="109"/>
      <c r="AR1299" s="10"/>
      <c r="AU1299" s="109"/>
      <c r="AV1299" s="109"/>
      <c r="AX1299" s="10"/>
      <c r="BA1299" s="109"/>
      <c r="BB1299" s="109"/>
      <c r="BD1299" s="10"/>
      <c r="BG1299" s="109"/>
      <c r="BH1299" s="109"/>
      <c r="BJ1299" s="10"/>
      <c r="BM1299" s="109"/>
      <c r="BN1299" s="109"/>
      <c r="BP1299" s="10"/>
      <c r="BS1299" s="109"/>
      <c r="BT1299" s="109"/>
      <c r="BV1299" s="10"/>
      <c r="BY1299" s="109"/>
      <c r="BZ1299" s="109"/>
      <c r="CB1299" s="10"/>
      <c r="CE1299" s="109"/>
      <c r="CF1299" s="109"/>
      <c r="CH1299" s="10"/>
      <c r="CK1299" s="109"/>
      <c r="CL1299" s="109"/>
    </row>
    <row r="1300" spans="1:90">
      <c r="A1300" s="7" t="str">
        <f t="shared" si="201"/>
        <v>02590259</v>
      </c>
      <c r="B1300" s="7" t="s">
        <v>2598</v>
      </c>
      <c r="C1300" s="7" t="s">
        <v>2598</v>
      </c>
      <c r="D1300" s="7">
        <v>1291</v>
      </c>
      <c r="E1300" s="7">
        <v>259</v>
      </c>
      <c r="F1300" s="7" t="s">
        <v>1964</v>
      </c>
      <c r="G1300" s="7">
        <v>259</v>
      </c>
      <c r="H1300" s="7" t="s">
        <v>1525</v>
      </c>
      <c r="I1300" s="37">
        <v>79025.52</v>
      </c>
      <c r="J1300" s="122">
        <v>7.8257241117401597E-3</v>
      </c>
      <c r="K1300" s="123">
        <f>X1300</f>
        <v>40250.500030768642</v>
      </c>
      <c r="L1300" s="122">
        <f>IF(K1304&gt;0, K1300/K1304, 0)</f>
        <v>4.0481104606680711E-3</v>
      </c>
      <c r="M1300" s="71"/>
      <c r="N1300" s="10">
        <f>ROUND(M1304*L1300,0)</f>
        <v>33612</v>
      </c>
      <c r="O1300" s="70">
        <v>66069</v>
      </c>
      <c r="P1300" s="10">
        <f>N1300-O1300</f>
        <v>-32457</v>
      </c>
      <c r="Q1300" s="46">
        <f t="shared" si="209"/>
        <v>-49.125913817372748</v>
      </c>
      <c r="R1300" s="10">
        <v>6</v>
      </c>
      <c r="S1300" s="7">
        <f t="shared" si="202"/>
        <v>0</v>
      </c>
      <c r="T1300" s="124">
        <f t="shared" si="203"/>
        <v>259</v>
      </c>
      <c r="U1300" s="124">
        <f t="shared" si="204"/>
        <v>259</v>
      </c>
      <c r="V1300" s="124">
        <f t="shared" si="205"/>
        <v>1291</v>
      </c>
      <c r="W1300" s="124">
        <f t="shared" si="206"/>
        <v>3</v>
      </c>
      <c r="X1300" s="124">
        <f t="shared" si="207"/>
        <v>40250.500030768642</v>
      </c>
      <c r="Y1300" s="264">
        <f t="shared" si="208"/>
        <v>1291</v>
      </c>
      <c r="Z1300" s="10">
        <v>259</v>
      </c>
      <c r="AA1300" s="7">
        <v>259</v>
      </c>
      <c r="AB1300" s="7">
        <v>1291</v>
      </c>
      <c r="AC1300" s="109">
        <v>3</v>
      </c>
      <c r="AD1300" s="109">
        <v>40250.500030768642</v>
      </c>
      <c r="AE1300" s="125"/>
      <c r="AF1300" s="10"/>
      <c r="AI1300" s="109"/>
      <c r="AJ1300" s="109"/>
      <c r="AL1300" s="10"/>
      <c r="AO1300" s="109"/>
      <c r="AP1300" s="109"/>
      <c r="AR1300" s="10"/>
      <c r="AU1300" s="109"/>
      <c r="AV1300" s="109"/>
      <c r="AX1300" s="10"/>
      <c r="BA1300" s="109"/>
      <c r="BB1300" s="109"/>
      <c r="BD1300" s="10"/>
      <c r="BG1300" s="109"/>
      <c r="BH1300" s="109"/>
      <c r="BJ1300" s="10"/>
      <c r="BM1300" s="109"/>
      <c r="BN1300" s="109"/>
      <c r="BP1300" s="10"/>
      <c r="BS1300" s="109"/>
      <c r="BT1300" s="109"/>
      <c r="BV1300" s="10"/>
      <c r="BY1300" s="109"/>
      <c r="BZ1300" s="109"/>
      <c r="CB1300" s="10"/>
      <c r="CE1300" s="109"/>
      <c r="CF1300" s="109"/>
      <c r="CH1300" s="10"/>
      <c r="CK1300" s="109"/>
      <c r="CL1300" s="109"/>
    </row>
    <row r="1301" spans="1:90">
      <c r="A1301" s="7" t="str">
        <f t="shared" si="201"/>
        <v>02590773</v>
      </c>
      <c r="B1301" s="7" t="s">
        <v>2598</v>
      </c>
      <c r="C1301" s="7" t="s">
        <v>2747</v>
      </c>
      <c r="D1301" s="7">
        <v>1292</v>
      </c>
      <c r="E1301" s="7">
        <v>259</v>
      </c>
      <c r="F1301" s="7" t="s">
        <v>1964</v>
      </c>
      <c r="G1301" s="7">
        <v>773</v>
      </c>
      <c r="H1301" s="7" t="s">
        <v>1674</v>
      </c>
      <c r="I1301" s="37">
        <v>9214032</v>
      </c>
      <c r="J1301" s="122">
        <v>0.91244540230479232</v>
      </c>
      <c r="K1301" s="123">
        <f t="shared" si="200"/>
        <v>9195260.1796558984</v>
      </c>
      <c r="L1301" s="122">
        <f>IF(K1304&gt;0, K1301/K1304, 0)</f>
        <v>0.9247941986652326</v>
      </c>
      <c r="M1301" s="71"/>
      <c r="N1301" s="10">
        <f>ROUND(M1304*L1301,0)</f>
        <v>7678686</v>
      </c>
      <c r="O1301" s="70">
        <v>7703306</v>
      </c>
      <c r="P1301" s="10">
        <f>N1301-O1301</f>
        <v>-24620</v>
      </c>
      <c r="Q1301" s="46">
        <f t="shared" si="209"/>
        <v>-0.31960303796837358</v>
      </c>
      <c r="R1301" s="10">
        <v>922</v>
      </c>
      <c r="S1301" s="7">
        <f t="shared" si="202"/>
        <v>0</v>
      </c>
      <c r="T1301" s="124">
        <f t="shared" si="203"/>
        <v>259</v>
      </c>
      <c r="U1301" s="124">
        <f t="shared" si="204"/>
        <v>773</v>
      </c>
      <c r="V1301" s="124">
        <f t="shared" si="205"/>
        <v>1292</v>
      </c>
      <c r="W1301" s="124">
        <f t="shared" si="206"/>
        <v>901.54186794910004</v>
      </c>
      <c r="X1301" s="124">
        <f t="shared" si="207"/>
        <v>9195260.1796558984</v>
      </c>
      <c r="Y1301" s="264">
        <f t="shared" si="208"/>
        <v>1292</v>
      </c>
      <c r="Z1301" s="10">
        <v>259</v>
      </c>
      <c r="AA1301" s="7">
        <v>773</v>
      </c>
      <c r="AB1301" s="7">
        <v>1292</v>
      </c>
      <c r="AC1301" s="109">
        <v>901.54186794910004</v>
      </c>
      <c r="AD1301" s="109">
        <v>9195260.1796558984</v>
      </c>
      <c r="AE1301" s="125"/>
      <c r="AF1301" s="10"/>
      <c r="AI1301" s="109"/>
      <c r="AJ1301" s="109"/>
      <c r="AL1301" s="10"/>
      <c r="AO1301" s="109"/>
      <c r="AP1301" s="109"/>
      <c r="AR1301" s="10"/>
      <c r="AU1301" s="109"/>
      <c r="AV1301" s="109"/>
      <c r="AX1301" s="10"/>
      <c r="BA1301" s="109"/>
      <c r="BB1301" s="109"/>
      <c r="BD1301" s="10"/>
      <c r="BG1301" s="109"/>
      <c r="BH1301" s="109"/>
      <c r="BJ1301" s="10"/>
      <c r="BM1301" s="109"/>
      <c r="BN1301" s="109"/>
      <c r="BP1301" s="10"/>
      <c r="BS1301" s="109"/>
      <c r="BT1301" s="109"/>
      <c r="BV1301" s="10"/>
      <c r="BY1301" s="109"/>
      <c r="BZ1301" s="109"/>
      <c r="CB1301" s="10"/>
      <c r="CE1301" s="109"/>
      <c r="CF1301" s="109"/>
      <c r="CH1301" s="10"/>
      <c r="CK1301" s="109"/>
      <c r="CL1301" s="109"/>
    </row>
    <row r="1302" spans="1:90">
      <c r="A1302" s="7" t="str">
        <f t="shared" si="201"/>
        <v>02590885</v>
      </c>
      <c r="B1302" s="7" t="s">
        <v>2598</v>
      </c>
      <c r="C1302" s="7" t="s">
        <v>2777</v>
      </c>
      <c r="D1302" s="7">
        <v>1293</v>
      </c>
      <c r="E1302" s="7">
        <v>259</v>
      </c>
      <c r="F1302" s="7" t="s">
        <v>1964</v>
      </c>
      <c r="G1302" s="7">
        <v>885</v>
      </c>
      <c r="H1302" s="7" t="s">
        <v>1704</v>
      </c>
      <c r="I1302" s="37">
        <v>805116</v>
      </c>
      <c r="J1302" s="122">
        <v>7.9728873583467599E-2</v>
      </c>
      <c r="K1302" s="123">
        <f t="shared" si="200"/>
        <v>707523.3412095895</v>
      </c>
      <c r="L1302" s="122">
        <f>IF(K1304&gt;0, K1302/K1304, 0)</f>
        <v>7.1157690874099414E-2</v>
      </c>
      <c r="M1302" s="71"/>
      <c r="N1302" s="10">
        <f>ROUND(M1304*L1302,0)</f>
        <v>590832</v>
      </c>
      <c r="O1302" s="70">
        <v>673110</v>
      </c>
      <c r="P1302" s="10">
        <f>N1302-O1302</f>
        <v>-82278</v>
      </c>
      <c r="Q1302" s="46">
        <f t="shared" si="209"/>
        <v>-12.223559299371574</v>
      </c>
      <c r="R1302" s="10">
        <v>51</v>
      </c>
      <c r="S1302" s="7">
        <f t="shared" si="202"/>
        <v>0</v>
      </c>
      <c r="T1302" s="124">
        <f t="shared" si="203"/>
        <v>259</v>
      </c>
      <c r="U1302" s="124">
        <f t="shared" si="204"/>
        <v>885</v>
      </c>
      <c r="V1302" s="124">
        <f t="shared" si="205"/>
        <v>1293</v>
      </c>
      <c r="W1302" s="124">
        <f t="shared" si="206"/>
        <v>43.964198541080002</v>
      </c>
      <c r="X1302" s="124">
        <f t="shared" si="207"/>
        <v>707523.3412095895</v>
      </c>
      <c r="Y1302" s="264">
        <f t="shared" si="208"/>
        <v>1293</v>
      </c>
      <c r="Z1302" s="10">
        <v>259</v>
      </c>
      <c r="AA1302" s="7">
        <v>885</v>
      </c>
      <c r="AB1302" s="7">
        <v>1293</v>
      </c>
      <c r="AC1302" s="109">
        <v>43.964198541080002</v>
      </c>
      <c r="AD1302" s="109">
        <v>707523.3412095895</v>
      </c>
      <c r="AE1302" s="125"/>
      <c r="AF1302" s="10"/>
      <c r="AI1302" s="109"/>
      <c r="AJ1302" s="109"/>
      <c r="AL1302" s="10"/>
      <c r="AO1302" s="109"/>
      <c r="AP1302" s="109"/>
      <c r="AR1302" s="10"/>
      <c r="AU1302" s="109"/>
      <c r="AV1302" s="109"/>
      <c r="AX1302" s="10"/>
      <c r="BA1302" s="109"/>
      <c r="BB1302" s="109"/>
      <c r="BD1302" s="10"/>
      <c r="BG1302" s="109"/>
      <c r="BH1302" s="109"/>
      <c r="BJ1302" s="10"/>
      <c r="BM1302" s="109"/>
      <c r="BN1302" s="109"/>
      <c r="BP1302" s="10"/>
      <c r="BS1302" s="109"/>
      <c r="BT1302" s="109"/>
      <c r="BV1302" s="10"/>
      <c r="BY1302" s="109"/>
      <c r="BZ1302" s="109"/>
      <c r="CB1302" s="10"/>
      <c r="CE1302" s="109"/>
      <c r="CF1302" s="109"/>
      <c r="CH1302" s="10"/>
      <c r="CK1302" s="109"/>
      <c r="CL1302" s="109"/>
    </row>
    <row r="1303" spans="1:90">
      <c r="A1303" s="7" t="str">
        <f t="shared" si="201"/>
        <v>02590998</v>
      </c>
      <c r="B1303" s="7" t="s">
        <v>2598</v>
      </c>
      <c r="C1303" s="7" t="s">
        <v>2781</v>
      </c>
      <c r="D1303" s="7">
        <v>1294</v>
      </c>
      <c r="E1303" s="7">
        <v>259</v>
      </c>
      <c r="F1303" s="7" t="s">
        <v>2135</v>
      </c>
      <c r="G1303" s="7">
        <v>998</v>
      </c>
      <c r="I1303" s="129">
        <v>0</v>
      </c>
      <c r="J1303" s="130">
        <v>0</v>
      </c>
      <c r="K1303" s="123">
        <f t="shared" si="200"/>
        <v>0</v>
      </c>
      <c r="L1303" s="122">
        <f>IF(K1304&gt;0, K1303/K1304, 0)</f>
        <v>0</v>
      </c>
      <c r="M1303" s="71"/>
      <c r="N1303" s="10">
        <f>ROUND(M1304*L1303,0)</f>
        <v>0</v>
      </c>
      <c r="O1303" s="70">
        <v>0</v>
      </c>
      <c r="P1303" s="10">
        <f>N1303-O1303</f>
        <v>0</v>
      </c>
      <c r="Q1303" s="46">
        <f t="shared" si="209"/>
        <v>0</v>
      </c>
      <c r="R1303" s="10">
        <v>0</v>
      </c>
      <c r="S1303" s="7">
        <f t="shared" si="202"/>
        <v>0</v>
      </c>
      <c r="T1303" s="124">
        <f t="shared" si="203"/>
        <v>259</v>
      </c>
      <c r="U1303" s="124">
        <f t="shared" si="204"/>
        <v>998</v>
      </c>
      <c r="V1303" s="124">
        <f t="shared" si="205"/>
        <v>1294</v>
      </c>
      <c r="W1303" s="124">
        <f t="shared" si="206"/>
        <v>0</v>
      </c>
      <c r="X1303" s="124">
        <f t="shared" si="207"/>
        <v>0</v>
      </c>
      <c r="Y1303" s="264">
        <f t="shared" si="208"/>
        <v>1294</v>
      </c>
      <c r="Z1303" s="10">
        <v>259</v>
      </c>
      <c r="AA1303" s="7">
        <v>998</v>
      </c>
      <c r="AB1303" s="7">
        <v>1294</v>
      </c>
      <c r="AC1303" s="109">
        <v>0</v>
      </c>
      <c r="AD1303" s="109">
        <v>0</v>
      </c>
      <c r="AE1303" s="125"/>
      <c r="AF1303" s="10"/>
      <c r="AI1303" s="109"/>
      <c r="AJ1303" s="109"/>
      <c r="AL1303" s="10"/>
      <c r="AO1303" s="109"/>
      <c r="AP1303" s="109"/>
      <c r="AR1303" s="10"/>
      <c r="AU1303" s="109"/>
      <c r="AV1303" s="109"/>
      <c r="AX1303" s="10"/>
      <c r="BA1303" s="109"/>
      <c r="BB1303" s="109"/>
      <c r="BD1303" s="10"/>
      <c r="BG1303" s="109"/>
      <c r="BH1303" s="109"/>
      <c r="BJ1303" s="10"/>
      <c r="BM1303" s="109"/>
      <c r="BN1303" s="109"/>
      <c r="BP1303" s="10"/>
      <c r="BS1303" s="109"/>
      <c r="BT1303" s="109"/>
      <c r="BV1303" s="10"/>
      <c r="BY1303" s="109"/>
      <c r="BZ1303" s="109"/>
      <c r="CB1303" s="10"/>
      <c r="CE1303" s="109"/>
      <c r="CF1303" s="109"/>
      <c r="CH1303" s="10"/>
      <c r="CK1303" s="109"/>
      <c r="CL1303" s="109"/>
    </row>
    <row r="1304" spans="1:90">
      <c r="A1304" s="7" t="str">
        <f t="shared" si="201"/>
        <v>02590999</v>
      </c>
      <c r="B1304" s="7" t="s">
        <v>2598</v>
      </c>
      <c r="C1304" s="7" t="s">
        <v>2782</v>
      </c>
      <c r="D1304" s="7">
        <v>1295</v>
      </c>
      <c r="E1304" s="11">
        <v>259</v>
      </c>
      <c r="F1304" s="11" t="s">
        <v>1964</v>
      </c>
      <c r="G1304" s="11">
        <v>999</v>
      </c>
      <c r="H1304" s="11" t="s">
        <v>1132</v>
      </c>
      <c r="I1304" s="105">
        <v>10098173.52</v>
      </c>
      <c r="J1304" s="126">
        <v>1.0000000000000002</v>
      </c>
      <c r="K1304" s="127">
        <f>SUM(K1300:K1303)</f>
        <v>9943034.020896256</v>
      </c>
      <c r="L1304" s="126">
        <f>SUM(L1300:L1303)</f>
        <v>1.0000000000000002</v>
      </c>
      <c r="M1304" s="105">
        <f>VLOOKUP(E1304,town351,22)</f>
        <v>8303130</v>
      </c>
      <c r="N1304" s="105">
        <f>SUM(N1300:N1303)</f>
        <v>8303130</v>
      </c>
      <c r="O1304" s="128">
        <v>8442485</v>
      </c>
      <c r="P1304" s="105">
        <f>SUM(P1300:P1303)</f>
        <v>-139355</v>
      </c>
      <c r="Q1304" s="45">
        <f t="shared" si="209"/>
        <v>-1.650639592489652</v>
      </c>
      <c r="R1304" s="105">
        <v>979</v>
      </c>
      <c r="S1304" s="7">
        <f t="shared" si="202"/>
        <v>0</v>
      </c>
      <c r="T1304" s="124">
        <f t="shared" si="203"/>
        <v>259</v>
      </c>
      <c r="U1304" s="124">
        <f t="shared" si="204"/>
        <v>999</v>
      </c>
      <c r="V1304" s="124">
        <f t="shared" si="205"/>
        <v>1295</v>
      </c>
      <c r="W1304" s="124">
        <f t="shared" si="206"/>
        <v>948.50606649018005</v>
      </c>
      <c r="X1304" s="124">
        <f t="shared" si="207"/>
        <v>9943034.020896256</v>
      </c>
      <c r="Y1304" s="264">
        <f t="shared" si="208"/>
        <v>1295</v>
      </c>
      <c r="Z1304" s="10">
        <v>259</v>
      </c>
      <c r="AA1304" s="7">
        <v>999</v>
      </c>
      <c r="AB1304" s="7">
        <v>1295</v>
      </c>
      <c r="AC1304" s="109">
        <v>948.50606649018005</v>
      </c>
      <c r="AD1304" s="109">
        <v>9943034.020896256</v>
      </c>
      <c r="AE1304" s="125"/>
      <c r="AF1304" s="10"/>
      <c r="AI1304" s="109"/>
      <c r="AJ1304" s="109"/>
      <c r="AL1304" s="10"/>
      <c r="AO1304" s="109"/>
      <c r="AP1304" s="109"/>
      <c r="AR1304" s="10"/>
      <c r="AU1304" s="109"/>
      <c r="AV1304" s="109"/>
      <c r="AX1304" s="10"/>
      <c r="BA1304" s="109"/>
      <c r="BB1304" s="109"/>
      <c r="BD1304" s="10"/>
      <c r="BG1304" s="109"/>
      <c r="BH1304" s="109"/>
      <c r="BJ1304" s="10"/>
      <c r="BM1304" s="109"/>
      <c r="BN1304" s="109"/>
      <c r="BP1304" s="10"/>
      <c r="BS1304" s="109"/>
      <c r="BT1304" s="109"/>
      <c r="BV1304" s="10"/>
      <c r="BY1304" s="109"/>
      <c r="BZ1304" s="109"/>
      <c r="CB1304" s="10"/>
      <c r="CE1304" s="109"/>
      <c r="CF1304" s="109"/>
      <c r="CH1304" s="10"/>
      <c r="CK1304" s="109"/>
      <c r="CL1304" s="109"/>
    </row>
    <row r="1305" spans="1:90">
      <c r="A1305" s="7" t="str">
        <f t="shared" si="201"/>
        <v>02600260</v>
      </c>
      <c r="B1305" s="7" t="s">
        <v>2599</v>
      </c>
      <c r="C1305" s="7" t="s">
        <v>2599</v>
      </c>
      <c r="D1305" s="7">
        <v>1296</v>
      </c>
      <c r="E1305" s="7">
        <v>260</v>
      </c>
      <c r="F1305" s="7" t="s">
        <v>1965</v>
      </c>
      <c r="G1305" s="7">
        <v>260</v>
      </c>
      <c r="H1305" s="7" t="s">
        <v>1526</v>
      </c>
      <c r="I1305" s="37">
        <v>0</v>
      </c>
      <c r="J1305" s="122">
        <v>0</v>
      </c>
      <c r="K1305" s="123">
        <f>X1305</f>
        <v>0</v>
      </c>
      <c r="L1305" s="122">
        <f>IF(K1309&gt;0, K1305/K1309, 0)</f>
        <v>0</v>
      </c>
      <c r="M1305" s="71"/>
      <c r="N1305" s="10">
        <f>ROUND(M1309*L1305,0)</f>
        <v>0</v>
      </c>
      <c r="O1305" s="70">
        <v>0</v>
      </c>
      <c r="P1305" s="10">
        <f>N1305-O1305</f>
        <v>0</v>
      </c>
      <c r="Q1305" s="46">
        <f t="shared" si="209"/>
        <v>0</v>
      </c>
      <c r="R1305" s="10">
        <v>0</v>
      </c>
      <c r="S1305" s="7">
        <f t="shared" si="202"/>
        <v>0</v>
      </c>
      <c r="T1305" s="124">
        <f t="shared" si="203"/>
        <v>260</v>
      </c>
      <c r="U1305" s="124">
        <f t="shared" si="204"/>
        <v>260</v>
      </c>
      <c r="V1305" s="124">
        <f t="shared" si="205"/>
        <v>1296</v>
      </c>
      <c r="W1305" s="124">
        <f t="shared" si="206"/>
        <v>0</v>
      </c>
      <c r="X1305" s="124">
        <f t="shared" si="207"/>
        <v>0</v>
      </c>
      <c r="Y1305" s="264">
        <f t="shared" si="208"/>
        <v>1296</v>
      </c>
      <c r="Z1305" s="10">
        <v>260</v>
      </c>
      <c r="AA1305" s="7">
        <v>260</v>
      </c>
      <c r="AB1305" s="7">
        <v>1296</v>
      </c>
      <c r="AC1305" s="109">
        <v>0</v>
      </c>
      <c r="AD1305" s="109">
        <v>0</v>
      </c>
      <c r="AE1305" s="125"/>
      <c r="AF1305" s="10"/>
      <c r="AI1305" s="109"/>
      <c r="AJ1305" s="109"/>
      <c r="AL1305" s="10"/>
      <c r="AO1305" s="109"/>
      <c r="AP1305" s="109"/>
      <c r="AR1305" s="10"/>
      <c r="AU1305" s="109"/>
      <c r="AV1305" s="109"/>
      <c r="AX1305" s="10"/>
      <c r="BA1305" s="109"/>
      <c r="BB1305" s="109"/>
      <c r="BD1305" s="10"/>
      <c r="BG1305" s="109"/>
      <c r="BH1305" s="109"/>
      <c r="BJ1305" s="10"/>
      <c r="BM1305" s="109"/>
      <c r="BN1305" s="109"/>
      <c r="BP1305" s="10"/>
      <c r="BS1305" s="109"/>
      <c r="BT1305" s="109"/>
      <c r="BV1305" s="10"/>
      <c r="BY1305" s="109"/>
      <c r="BZ1305" s="109"/>
      <c r="CB1305" s="10"/>
      <c r="CE1305" s="109"/>
      <c r="CF1305" s="109"/>
      <c r="CH1305" s="10"/>
      <c r="CK1305" s="109"/>
      <c r="CL1305" s="109"/>
    </row>
    <row r="1306" spans="1:90">
      <c r="A1306" s="7" t="str">
        <f t="shared" si="201"/>
        <v>02600662</v>
      </c>
      <c r="B1306" s="7" t="s">
        <v>2599</v>
      </c>
      <c r="C1306" s="7" t="s">
        <v>2712</v>
      </c>
      <c r="D1306" s="7">
        <v>1297</v>
      </c>
      <c r="E1306" s="7">
        <v>260</v>
      </c>
      <c r="F1306" s="7" t="s">
        <v>1965</v>
      </c>
      <c r="G1306" s="7">
        <v>662</v>
      </c>
      <c r="H1306" s="7" t="s">
        <v>1639</v>
      </c>
      <c r="I1306" s="37">
        <v>916786</v>
      </c>
      <c r="J1306" s="122">
        <v>1</v>
      </c>
      <c r="K1306" s="123">
        <f t="shared" si="200"/>
        <v>854038.81944231491</v>
      </c>
      <c r="L1306" s="122">
        <f>IF(K1309&gt;0, K1306/K1309, 0)</f>
        <v>1</v>
      </c>
      <c r="M1306" s="71"/>
      <c r="N1306" s="10">
        <f>ROUND(M1309*L1306,0)</f>
        <v>716788</v>
      </c>
      <c r="O1306" s="70">
        <v>763139</v>
      </c>
      <c r="P1306" s="10">
        <f>N1306-O1306</f>
        <v>-46351</v>
      </c>
      <c r="Q1306" s="46">
        <f t="shared" si="209"/>
        <v>-6.0737296875143318</v>
      </c>
      <c r="R1306" s="10">
        <v>92</v>
      </c>
      <c r="S1306" s="7">
        <f t="shared" si="202"/>
        <v>0</v>
      </c>
      <c r="T1306" s="124">
        <f t="shared" si="203"/>
        <v>260</v>
      </c>
      <c r="U1306" s="124">
        <f t="shared" si="204"/>
        <v>662</v>
      </c>
      <c r="V1306" s="124">
        <f t="shared" si="205"/>
        <v>1297</v>
      </c>
      <c r="W1306" s="124">
        <f t="shared" si="206"/>
        <v>85.802575107479996</v>
      </c>
      <c r="X1306" s="124">
        <f t="shared" si="207"/>
        <v>854038.81944231491</v>
      </c>
      <c r="Y1306" s="264">
        <f t="shared" si="208"/>
        <v>1297</v>
      </c>
      <c r="Z1306" s="10">
        <v>260</v>
      </c>
      <c r="AA1306" s="7">
        <v>662</v>
      </c>
      <c r="AB1306" s="7">
        <v>1297</v>
      </c>
      <c r="AC1306" s="109">
        <v>85.802575107479996</v>
      </c>
      <c r="AD1306" s="109">
        <v>854038.81944231491</v>
      </c>
      <c r="AE1306" s="125"/>
      <c r="AF1306" s="10"/>
      <c r="AI1306" s="109"/>
      <c r="AJ1306" s="109"/>
      <c r="AL1306" s="10"/>
      <c r="AO1306" s="109"/>
      <c r="AP1306" s="109"/>
      <c r="AR1306" s="10"/>
      <c r="AU1306" s="109"/>
      <c r="AV1306" s="109"/>
      <c r="AX1306" s="10"/>
      <c r="BA1306" s="109"/>
      <c r="BB1306" s="109"/>
      <c r="BD1306" s="10"/>
      <c r="BG1306" s="109"/>
      <c r="BH1306" s="109"/>
      <c r="BJ1306" s="10"/>
      <c r="BM1306" s="109"/>
      <c r="BN1306" s="109"/>
      <c r="BP1306" s="10"/>
      <c r="BS1306" s="109"/>
      <c r="BT1306" s="109"/>
      <c r="BV1306" s="10"/>
      <c r="BY1306" s="109"/>
      <c r="BZ1306" s="109"/>
      <c r="CB1306" s="10"/>
      <c r="CE1306" s="109"/>
      <c r="CF1306" s="109"/>
      <c r="CH1306" s="10"/>
      <c r="CK1306" s="109"/>
      <c r="CL1306" s="109"/>
    </row>
    <row r="1307" spans="1:90">
      <c r="A1307" s="7" t="str">
        <f t="shared" si="201"/>
        <v>02600998</v>
      </c>
      <c r="B1307" s="7" t="s">
        <v>2599</v>
      </c>
      <c r="C1307" s="7" t="s">
        <v>2781</v>
      </c>
      <c r="D1307" s="7">
        <v>1298</v>
      </c>
      <c r="E1307" s="7">
        <v>260</v>
      </c>
      <c r="F1307" s="7" t="s">
        <v>2135</v>
      </c>
      <c r="G1307" s="7">
        <v>998</v>
      </c>
      <c r="H1307" s="7" t="s">
        <v>2135</v>
      </c>
      <c r="I1307" s="37">
        <v>0</v>
      </c>
      <c r="J1307" s="122">
        <v>0</v>
      </c>
      <c r="K1307" s="123">
        <f t="shared" si="200"/>
        <v>0</v>
      </c>
      <c r="L1307" s="122">
        <f>IF(K1309&gt;0, K1307/K1309, 0)</f>
        <v>0</v>
      </c>
      <c r="M1307" s="71"/>
      <c r="N1307" s="10">
        <f>ROUND(M1309*L1307,0)</f>
        <v>0</v>
      </c>
      <c r="O1307" s="70">
        <v>0</v>
      </c>
      <c r="P1307" s="10">
        <f>N1307-O1307</f>
        <v>0</v>
      </c>
      <c r="Q1307" s="46">
        <f t="shared" si="209"/>
        <v>0</v>
      </c>
      <c r="R1307" s="10">
        <v>0</v>
      </c>
      <c r="S1307" s="7">
        <f t="shared" si="202"/>
        <v>0</v>
      </c>
      <c r="T1307" s="124">
        <f t="shared" si="203"/>
        <v>260</v>
      </c>
      <c r="U1307" s="124">
        <f t="shared" si="204"/>
        <v>998</v>
      </c>
      <c r="V1307" s="124">
        <f t="shared" si="205"/>
        <v>1298</v>
      </c>
      <c r="W1307" s="124">
        <f t="shared" si="206"/>
        <v>0</v>
      </c>
      <c r="X1307" s="124">
        <f t="shared" si="207"/>
        <v>0</v>
      </c>
      <c r="Y1307" s="264">
        <f t="shared" si="208"/>
        <v>1298</v>
      </c>
      <c r="Z1307" s="10">
        <v>260</v>
      </c>
      <c r="AA1307" s="7">
        <v>998</v>
      </c>
      <c r="AB1307" s="7">
        <v>1298</v>
      </c>
      <c r="AC1307" s="109">
        <v>0</v>
      </c>
      <c r="AD1307" s="109">
        <v>0</v>
      </c>
      <c r="AE1307" s="125"/>
      <c r="AF1307" s="10"/>
      <c r="AI1307" s="109"/>
      <c r="AJ1307" s="109"/>
      <c r="AL1307" s="10"/>
      <c r="AO1307" s="109"/>
      <c r="AP1307" s="109"/>
      <c r="AR1307" s="10"/>
      <c r="AU1307" s="109"/>
      <c r="AV1307" s="109"/>
      <c r="AX1307" s="10"/>
      <c r="BA1307" s="109"/>
      <c r="BB1307" s="109"/>
      <c r="BD1307" s="10"/>
      <c r="BG1307" s="109"/>
      <c r="BH1307" s="109"/>
      <c r="BJ1307" s="10"/>
      <c r="BM1307" s="109"/>
      <c r="BN1307" s="109"/>
      <c r="BP1307" s="10"/>
      <c r="BS1307" s="109"/>
      <c r="BT1307" s="109"/>
      <c r="BV1307" s="10"/>
      <c r="BY1307" s="109"/>
      <c r="BZ1307" s="109"/>
      <c r="CB1307" s="10"/>
      <c r="CE1307" s="109"/>
      <c r="CF1307" s="109"/>
      <c r="CH1307" s="10"/>
      <c r="CK1307" s="109"/>
      <c r="CL1307" s="109"/>
    </row>
    <row r="1308" spans="1:90">
      <c r="A1308" s="7" t="str">
        <f t="shared" si="201"/>
        <v>02600998</v>
      </c>
      <c r="B1308" s="7" t="s">
        <v>2599</v>
      </c>
      <c r="C1308" s="7" t="s">
        <v>2781</v>
      </c>
      <c r="D1308" s="7">
        <v>1299</v>
      </c>
      <c r="E1308" s="7">
        <v>260</v>
      </c>
      <c r="F1308" s="7" t="s">
        <v>2135</v>
      </c>
      <c r="G1308" s="7">
        <v>998</v>
      </c>
      <c r="H1308" s="7" t="s">
        <v>2135</v>
      </c>
      <c r="I1308" s="37">
        <v>0</v>
      </c>
      <c r="J1308" s="122">
        <v>0</v>
      </c>
      <c r="K1308" s="123">
        <f t="shared" si="200"/>
        <v>0</v>
      </c>
      <c r="L1308" s="122">
        <f>IF(K1309&gt;0, K1308/K1309, 0)</f>
        <v>0</v>
      </c>
      <c r="M1308" s="71"/>
      <c r="N1308" s="10">
        <f>ROUND(M1309*L1308,0)</f>
        <v>0</v>
      </c>
      <c r="O1308" s="70">
        <v>0</v>
      </c>
      <c r="P1308" s="10">
        <f>N1308-O1308</f>
        <v>0</v>
      </c>
      <c r="Q1308" s="46">
        <f t="shared" si="209"/>
        <v>0</v>
      </c>
      <c r="R1308" s="10">
        <v>0</v>
      </c>
      <c r="S1308" s="7">
        <f t="shared" si="202"/>
        <v>0</v>
      </c>
      <c r="T1308" s="124">
        <f t="shared" si="203"/>
        <v>260</v>
      </c>
      <c r="U1308" s="124">
        <f t="shared" si="204"/>
        <v>998</v>
      </c>
      <c r="V1308" s="124">
        <f t="shared" si="205"/>
        <v>1299</v>
      </c>
      <c r="W1308" s="124">
        <f t="shared" si="206"/>
        <v>0</v>
      </c>
      <c r="X1308" s="124">
        <f t="shared" si="207"/>
        <v>0</v>
      </c>
      <c r="Y1308" s="264">
        <f t="shared" si="208"/>
        <v>1299</v>
      </c>
      <c r="Z1308" s="10">
        <v>260</v>
      </c>
      <c r="AA1308" s="7">
        <v>998</v>
      </c>
      <c r="AB1308" s="7">
        <v>1299</v>
      </c>
      <c r="AC1308" s="109">
        <v>0</v>
      </c>
      <c r="AD1308" s="109">
        <v>0</v>
      </c>
      <c r="AE1308" s="125"/>
      <c r="AF1308" s="10"/>
      <c r="AI1308" s="109"/>
      <c r="AJ1308" s="109"/>
      <c r="AL1308" s="10"/>
      <c r="AO1308" s="109"/>
      <c r="AP1308" s="109"/>
      <c r="AR1308" s="10"/>
      <c r="AU1308" s="109"/>
      <c r="AV1308" s="109"/>
      <c r="AX1308" s="10"/>
      <c r="BA1308" s="109"/>
      <c r="BB1308" s="109"/>
      <c r="BD1308" s="10"/>
      <c r="BG1308" s="109"/>
      <c r="BH1308" s="109"/>
      <c r="BJ1308" s="10"/>
      <c r="BM1308" s="109"/>
      <c r="BN1308" s="109"/>
      <c r="BP1308" s="10"/>
      <c r="BS1308" s="109"/>
      <c r="BT1308" s="109"/>
      <c r="BV1308" s="10"/>
      <c r="BY1308" s="109"/>
      <c r="BZ1308" s="109"/>
      <c r="CB1308" s="10"/>
      <c r="CE1308" s="109"/>
      <c r="CF1308" s="109"/>
      <c r="CH1308" s="10"/>
      <c r="CK1308" s="109"/>
      <c r="CL1308" s="109"/>
    </row>
    <row r="1309" spans="1:90">
      <c r="A1309" s="7" t="str">
        <f t="shared" si="201"/>
        <v>02600999</v>
      </c>
      <c r="B1309" s="7" t="s">
        <v>2599</v>
      </c>
      <c r="C1309" s="7" t="s">
        <v>2782</v>
      </c>
      <c r="D1309" s="7">
        <v>1300</v>
      </c>
      <c r="E1309" s="11">
        <v>260</v>
      </c>
      <c r="F1309" s="11" t="s">
        <v>1965</v>
      </c>
      <c r="G1309" s="11">
        <v>999</v>
      </c>
      <c r="H1309" s="11" t="s">
        <v>1132</v>
      </c>
      <c r="I1309" s="105">
        <v>916786</v>
      </c>
      <c r="J1309" s="126">
        <v>1</v>
      </c>
      <c r="K1309" s="127">
        <f>SUM(K1305:K1308)</f>
        <v>854038.81944231491</v>
      </c>
      <c r="L1309" s="126">
        <f>SUM(L1305:L1308)</f>
        <v>1</v>
      </c>
      <c r="M1309" s="105">
        <f>VLOOKUP(E1309,town351,22)</f>
        <v>716788</v>
      </c>
      <c r="N1309" s="105">
        <f>SUM(N1305:N1308)</f>
        <v>716788</v>
      </c>
      <c r="O1309" s="128">
        <v>763139</v>
      </c>
      <c r="P1309" s="105">
        <f>SUM(P1305:P1308)</f>
        <v>-46351</v>
      </c>
      <c r="Q1309" s="45">
        <f t="shared" si="209"/>
        <v>-6.0737296875143318</v>
      </c>
      <c r="R1309" s="105">
        <v>92</v>
      </c>
      <c r="S1309" s="7">
        <f t="shared" si="202"/>
        <v>0</v>
      </c>
      <c r="T1309" s="124">
        <f t="shared" si="203"/>
        <v>260</v>
      </c>
      <c r="U1309" s="124">
        <f t="shared" si="204"/>
        <v>999</v>
      </c>
      <c r="V1309" s="124">
        <f t="shared" si="205"/>
        <v>1300</v>
      </c>
      <c r="W1309" s="124">
        <f t="shared" si="206"/>
        <v>85.802575107479996</v>
      </c>
      <c r="X1309" s="124">
        <f t="shared" si="207"/>
        <v>854038.81944231491</v>
      </c>
      <c r="Y1309" s="264">
        <f t="shared" si="208"/>
        <v>1300</v>
      </c>
      <c r="Z1309" s="10">
        <v>260</v>
      </c>
      <c r="AA1309" s="7">
        <v>999</v>
      </c>
      <c r="AB1309" s="7">
        <v>1300</v>
      </c>
      <c r="AC1309" s="109">
        <v>85.802575107479996</v>
      </c>
      <c r="AD1309" s="109">
        <v>854038.81944231491</v>
      </c>
      <c r="AE1309" s="125"/>
      <c r="AF1309" s="10"/>
      <c r="AI1309" s="109"/>
      <c r="AJ1309" s="109"/>
      <c r="AL1309" s="10"/>
      <c r="AO1309" s="109"/>
      <c r="AP1309" s="109"/>
      <c r="AR1309" s="10"/>
      <c r="AU1309" s="109"/>
      <c r="AV1309" s="109"/>
      <c r="AX1309" s="10"/>
      <c r="BA1309" s="109"/>
      <c r="BB1309" s="109"/>
      <c r="BD1309" s="10"/>
      <c r="BG1309" s="109"/>
      <c r="BH1309" s="109"/>
      <c r="BJ1309" s="10"/>
      <c r="BM1309" s="109"/>
      <c r="BN1309" s="109"/>
      <c r="BP1309" s="10"/>
      <c r="BS1309" s="109"/>
      <c r="BT1309" s="109"/>
      <c r="BV1309" s="10"/>
      <c r="BY1309" s="109"/>
      <c r="BZ1309" s="109"/>
      <c r="CB1309" s="10"/>
      <c r="CE1309" s="109"/>
      <c r="CF1309" s="109"/>
      <c r="CH1309" s="10"/>
      <c r="CK1309" s="109"/>
      <c r="CL1309" s="109"/>
    </row>
    <row r="1310" spans="1:90">
      <c r="A1310" s="7" t="str">
        <f t="shared" si="201"/>
        <v>02610261</v>
      </c>
      <c r="B1310" s="7" t="s">
        <v>2600</v>
      </c>
      <c r="C1310" s="7" t="s">
        <v>2600</v>
      </c>
      <c r="D1310" s="7">
        <v>1301</v>
      </c>
      <c r="E1310" s="7">
        <v>261</v>
      </c>
      <c r="F1310" s="7" t="s">
        <v>1966</v>
      </c>
      <c r="G1310" s="7">
        <v>261</v>
      </c>
      <c r="H1310" s="7" t="s">
        <v>1527</v>
      </c>
      <c r="I1310" s="37">
        <v>27982398.590000007</v>
      </c>
      <c r="J1310" s="122">
        <v>0.93110469134222817</v>
      </c>
      <c r="K1310" s="123">
        <f>X1310</f>
        <v>28141702.856564838</v>
      </c>
      <c r="L1310" s="122">
        <f>IF(K1314&gt;0, K1310/K1314, 0)</f>
        <v>0.93422708458172543</v>
      </c>
      <c r="M1310" s="71"/>
      <c r="N1310" s="10">
        <f>ROUND(M1314*L1310,0)</f>
        <v>23400169</v>
      </c>
      <c r="O1310" s="70">
        <v>23359532</v>
      </c>
      <c r="P1310" s="10">
        <f>N1310-O1310</f>
        <v>40637</v>
      </c>
      <c r="Q1310" s="46">
        <f t="shared" si="209"/>
        <v>0.17396324549652792</v>
      </c>
      <c r="R1310" s="10">
        <v>2960</v>
      </c>
      <c r="S1310" s="7">
        <f t="shared" si="202"/>
        <v>0</v>
      </c>
      <c r="T1310" s="124">
        <f t="shared" si="203"/>
        <v>261</v>
      </c>
      <c r="U1310" s="124">
        <f t="shared" si="204"/>
        <v>261</v>
      </c>
      <c r="V1310" s="124">
        <f t="shared" si="205"/>
        <v>1301</v>
      </c>
      <c r="W1310" s="124">
        <f t="shared" si="206"/>
        <v>2886</v>
      </c>
      <c r="X1310" s="124">
        <f t="shared" si="207"/>
        <v>28141702.856564838</v>
      </c>
      <c r="Y1310" s="264">
        <f t="shared" si="208"/>
        <v>1301</v>
      </c>
      <c r="Z1310" s="10">
        <v>261</v>
      </c>
      <c r="AA1310" s="7">
        <v>261</v>
      </c>
      <c r="AB1310" s="7">
        <v>1301</v>
      </c>
      <c r="AC1310" s="109">
        <v>2886</v>
      </c>
      <c r="AD1310" s="109">
        <v>28141702.856564838</v>
      </c>
      <c r="AE1310" s="125"/>
      <c r="AF1310" s="10"/>
      <c r="AI1310" s="109"/>
      <c r="AJ1310" s="109"/>
      <c r="AL1310" s="10"/>
      <c r="AO1310" s="109"/>
      <c r="AP1310" s="109"/>
      <c r="AR1310" s="10"/>
      <c r="AU1310" s="109"/>
      <c r="AV1310" s="109"/>
      <c r="AX1310" s="10"/>
      <c r="BA1310" s="109"/>
      <c r="BB1310" s="109"/>
      <c r="BD1310" s="10"/>
      <c r="BG1310" s="109"/>
      <c r="BH1310" s="109"/>
      <c r="BJ1310" s="10"/>
      <c r="BM1310" s="109"/>
      <c r="BN1310" s="109"/>
      <c r="BP1310" s="10"/>
      <c r="BS1310" s="109"/>
      <c r="BT1310" s="109"/>
      <c r="BV1310" s="10"/>
      <c r="BY1310" s="109"/>
      <c r="BZ1310" s="109"/>
      <c r="CB1310" s="10"/>
      <c r="CE1310" s="109"/>
      <c r="CF1310" s="109"/>
      <c r="CH1310" s="10"/>
      <c r="CK1310" s="109"/>
      <c r="CL1310" s="109"/>
    </row>
    <row r="1311" spans="1:90">
      <c r="A1311" s="7" t="str">
        <f t="shared" si="201"/>
        <v>02610879</v>
      </c>
      <c r="B1311" s="7" t="s">
        <v>2600</v>
      </c>
      <c r="C1311" s="7" t="s">
        <v>2776</v>
      </c>
      <c r="D1311" s="7">
        <v>1302</v>
      </c>
      <c r="E1311" s="7">
        <v>261</v>
      </c>
      <c r="F1311" s="7" t="s">
        <v>1966</v>
      </c>
      <c r="G1311" s="7">
        <v>879</v>
      </c>
      <c r="H1311" s="7" t="s">
        <v>1703</v>
      </c>
      <c r="I1311" s="37">
        <v>2070504</v>
      </c>
      <c r="J1311" s="122">
        <v>6.8895308657771798E-2</v>
      </c>
      <c r="K1311" s="123">
        <f t="shared" si="200"/>
        <v>1981276.150369555</v>
      </c>
      <c r="L1311" s="122">
        <f>IF(K1314&gt;0, K1311/K1314, 0)</f>
        <v>6.5772915418274527E-2</v>
      </c>
      <c r="M1311" s="71"/>
      <c r="N1311" s="10">
        <f>ROUND(M1314*L1311,0)</f>
        <v>1647455</v>
      </c>
      <c r="O1311" s="70">
        <v>1728444</v>
      </c>
      <c r="P1311" s="10">
        <f>N1311-O1311</f>
        <v>-80989</v>
      </c>
      <c r="Q1311" s="46">
        <f t="shared" si="209"/>
        <v>-4.6856594717560993</v>
      </c>
      <c r="R1311" s="10">
        <v>133</v>
      </c>
      <c r="S1311" s="7">
        <f t="shared" si="202"/>
        <v>0</v>
      </c>
      <c r="T1311" s="124">
        <f t="shared" si="203"/>
        <v>261</v>
      </c>
      <c r="U1311" s="124">
        <f t="shared" si="204"/>
        <v>879</v>
      </c>
      <c r="V1311" s="124">
        <f t="shared" si="205"/>
        <v>1302</v>
      </c>
      <c r="W1311" s="124">
        <f t="shared" si="206"/>
        <v>125.82972972953</v>
      </c>
      <c r="X1311" s="124">
        <f t="shared" si="207"/>
        <v>1981276.150369555</v>
      </c>
      <c r="Y1311" s="264">
        <f t="shared" si="208"/>
        <v>1302</v>
      </c>
      <c r="Z1311" s="10">
        <v>261</v>
      </c>
      <c r="AA1311" s="7">
        <v>879</v>
      </c>
      <c r="AB1311" s="7">
        <v>1302</v>
      </c>
      <c r="AC1311" s="109">
        <v>125.82972972953</v>
      </c>
      <c r="AD1311" s="109">
        <v>1981276.150369555</v>
      </c>
      <c r="AE1311" s="125"/>
      <c r="AF1311" s="10"/>
      <c r="AI1311" s="109"/>
      <c r="AJ1311" s="109"/>
      <c r="AL1311" s="10"/>
      <c r="AO1311" s="109"/>
      <c r="AP1311" s="109"/>
      <c r="AR1311" s="10"/>
      <c r="AU1311" s="109"/>
      <c r="AV1311" s="109"/>
      <c r="AX1311" s="10"/>
      <c r="BA1311" s="109"/>
      <c r="BB1311" s="109"/>
      <c r="BD1311" s="10"/>
      <c r="BG1311" s="109"/>
      <c r="BH1311" s="109"/>
      <c r="BJ1311" s="10"/>
      <c r="BM1311" s="109"/>
      <c r="BN1311" s="109"/>
      <c r="BP1311" s="10"/>
      <c r="BS1311" s="109"/>
      <c r="BT1311" s="109"/>
      <c r="BV1311" s="10"/>
      <c r="BY1311" s="109"/>
      <c r="BZ1311" s="109"/>
      <c r="CB1311" s="10"/>
      <c r="CE1311" s="109"/>
      <c r="CF1311" s="109"/>
      <c r="CH1311" s="10"/>
      <c r="CK1311" s="109"/>
      <c r="CL1311" s="109"/>
    </row>
    <row r="1312" spans="1:90">
      <c r="A1312" s="7" t="str">
        <f t="shared" si="201"/>
        <v>02610998</v>
      </c>
      <c r="B1312" s="7" t="s">
        <v>2600</v>
      </c>
      <c r="C1312" s="7" t="s">
        <v>2781</v>
      </c>
      <c r="D1312" s="7">
        <v>1303</v>
      </c>
      <c r="E1312" s="7">
        <v>261</v>
      </c>
      <c r="F1312" s="7" t="s">
        <v>2135</v>
      </c>
      <c r="G1312" s="7">
        <v>998</v>
      </c>
      <c r="H1312" s="7" t="s">
        <v>2135</v>
      </c>
      <c r="I1312" s="37">
        <v>0</v>
      </c>
      <c r="J1312" s="122">
        <v>0</v>
      </c>
      <c r="K1312" s="123">
        <f t="shared" si="200"/>
        <v>0</v>
      </c>
      <c r="L1312" s="122">
        <f>IF(K1314&gt;0, K1312/K1314, 0)</f>
        <v>0</v>
      </c>
      <c r="M1312" s="71"/>
      <c r="N1312" s="10">
        <f>ROUND(M1314*L1312,0)</f>
        <v>0</v>
      </c>
      <c r="O1312" s="70">
        <v>0</v>
      </c>
      <c r="P1312" s="10">
        <f>N1312-O1312</f>
        <v>0</v>
      </c>
      <c r="Q1312" s="46">
        <f t="shared" si="209"/>
        <v>0</v>
      </c>
      <c r="R1312" s="10">
        <v>0</v>
      </c>
      <c r="S1312" s="7">
        <f t="shared" si="202"/>
        <v>0</v>
      </c>
      <c r="T1312" s="124">
        <f t="shared" si="203"/>
        <v>261</v>
      </c>
      <c r="U1312" s="124">
        <f t="shared" si="204"/>
        <v>998</v>
      </c>
      <c r="V1312" s="124">
        <f t="shared" si="205"/>
        <v>1303</v>
      </c>
      <c r="W1312" s="124">
        <f t="shared" si="206"/>
        <v>0</v>
      </c>
      <c r="X1312" s="124">
        <f t="shared" si="207"/>
        <v>0</v>
      </c>
      <c r="Y1312" s="264">
        <f t="shared" si="208"/>
        <v>1303</v>
      </c>
      <c r="Z1312" s="10">
        <v>261</v>
      </c>
      <c r="AA1312" s="7">
        <v>998</v>
      </c>
      <c r="AB1312" s="7">
        <v>1303</v>
      </c>
      <c r="AC1312" s="109">
        <v>0</v>
      </c>
      <c r="AD1312" s="109">
        <v>0</v>
      </c>
      <c r="AE1312" s="125"/>
      <c r="AF1312" s="10"/>
      <c r="AI1312" s="109"/>
      <c r="AJ1312" s="109"/>
      <c r="AL1312" s="10"/>
      <c r="AO1312" s="109"/>
      <c r="AP1312" s="109"/>
      <c r="AR1312" s="10"/>
      <c r="AU1312" s="109"/>
      <c r="AV1312" s="109"/>
      <c r="AX1312" s="10"/>
      <c r="BA1312" s="109"/>
      <c r="BB1312" s="109"/>
      <c r="BD1312" s="10"/>
      <c r="BG1312" s="109"/>
      <c r="BH1312" s="109"/>
      <c r="BJ1312" s="10"/>
      <c r="BM1312" s="109"/>
      <c r="BN1312" s="109"/>
      <c r="BP1312" s="10"/>
      <c r="BS1312" s="109"/>
      <c r="BT1312" s="109"/>
      <c r="BV1312" s="10"/>
      <c r="BY1312" s="109"/>
      <c r="BZ1312" s="109"/>
      <c r="CB1312" s="10"/>
      <c r="CE1312" s="109"/>
      <c r="CF1312" s="109"/>
      <c r="CH1312" s="10"/>
      <c r="CK1312" s="109"/>
      <c r="CL1312" s="109"/>
    </row>
    <row r="1313" spans="1:90">
      <c r="A1313" s="7" t="str">
        <f t="shared" si="201"/>
        <v>02610998</v>
      </c>
      <c r="B1313" s="7" t="s">
        <v>2600</v>
      </c>
      <c r="C1313" s="7" t="s">
        <v>2781</v>
      </c>
      <c r="D1313" s="7">
        <v>1304</v>
      </c>
      <c r="E1313" s="7">
        <v>261</v>
      </c>
      <c r="F1313" s="7" t="s">
        <v>2135</v>
      </c>
      <c r="G1313" s="7">
        <v>998</v>
      </c>
      <c r="H1313" s="7" t="s">
        <v>2135</v>
      </c>
      <c r="I1313" s="37">
        <v>0</v>
      </c>
      <c r="J1313" s="122">
        <v>0</v>
      </c>
      <c r="K1313" s="123">
        <f t="shared" si="200"/>
        <v>0</v>
      </c>
      <c r="L1313" s="122">
        <f>IF(K1314&gt;0, K1313/K1314, 0)</f>
        <v>0</v>
      </c>
      <c r="M1313" s="71"/>
      <c r="N1313" s="10">
        <f>ROUND(M1314*L1313,0)</f>
        <v>0</v>
      </c>
      <c r="O1313" s="70">
        <v>0</v>
      </c>
      <c r="P1313" s="10">
        <f>N1313-O1313</f>
        <v>0</v>
      </c>
      <c r="Q1313" s="46">
        <f t="shared" si="209"/>
        <v>0</v>
      </c>
      <c r="R1313" s="10">
        <v>0</v>
      </c>
      <c r="S1313" s="7">
        <f t="shared" si="202"/>
        <v>0</v>
      </c>
      <c r="T1313" s="124">
        <f t="shared" si="203"/>
        <v>261</v>
      </c>
      <c r="U1313" s="124">
        <f t="shared" si="204"/>
        <v>998</v>
      </c>
      <c r="V1313" s="124">
        <f t="shared" si="205"/>
        <v>1304</v>
      </c>
      <c r="W1313" s="124">
        <f t="shared" si="206"/>
        <v>0</v>
      </c>
      <c r="X1313" s="124">
        <f t="shared" si="207"/>
        <v>0</v>
      </c>
      <c r="Y1313" s="264">
        <f t="shared" si="208"/>
        <v>1304</v>
      </c>
      <c r="Z1313" s="10">
        <v>261</v>
      </c>
      <c r="AA1313" s="7">
        <v>998</v>
      </c>
      <c r="AB1313" s="7">
        <v>1304</v>
      </c>
      <c r="AC1313" s="109">
        <v>0</v>
      </c>
      <c r="AD1313" s="109">
        <v>0</v>
      </c>
      <c r="AE1313" s="125"/>
      <c r="AF1313" s="10"/>
      <c r="AI1313" s="109"/>
      <c r="AJ1313" s="109"/>
      <c r="AL1313" s="10"/>
      <c r="AO1313" s="109"/>
      <c r="AP1313" s="109"/>
      <c r="AR1313" s="10"/>
      <c r="AU1313" s="109"/>
      <c r="AV1313" s="109"/>
      <c r="AX1313" s="10"/>
      <c r="BA1313" s="109"/>
      <c r="BB1313" s="109"/>
      <c r="BD1313" s="10"/>
      <c r="BG1313" s="109"/>
      <c r="BH1313" s="109"/>
      <c r="BJ1313" s="10"/>
      <c r="BM1313" s="109"/>
      <c r="BN1313" s="109"/>
      <c r="BP1313" s="10"/>
      <c r="BS1313" s="109"/>
      <c r="BT1313" s="109"/>
      <c r="BV1313" s="10"/>
      <c r="BY1313" s="109"/>
      <c r="BZ1313" s="109"/>
      <c r="CB1313" s="10"/>
      <c r="CE1313" s="109"/>
      <c r="CF1313" s="109"/>
      <c r="CH1313" s="10"/>
      <c r="CK1313" s="109"/>
      <c r="CL1313" s="109"/>
    </row>
    <row r="1314" spans="1:90">
      <c r="A1314" s="7" t="str">
        <f t="shared" si="201"/>
        <v>02610999</v>
      </c>
      <c r="B1314" s="7" t="s">
        <v>2600</v>
      </c>
      <c r="C1314" s="7" t="s">
        <v>2782</v>
      </c>
      <c r="D1314" s="7">
        <v>1305</v>
      </c>
      <c r="E1314" s="11">
        <v>261</v>
      </c>
      <c r="F1314" s="11" t="s">
        <v>1966</v>
      </c>
      <c r="G1314" s="11">
        <v>999</v>
      </c>
      <c r="H1314" s="11" t="s">
        <v>1132</v>
      </c>
      <c r="I1314" s="105">
        <v>30052902.590000007</v>
      </c>
      <c r="J1314" s="126">
        <v>1</v>
      </c>
      <c r="K1314" s="127">
        <f>SUM(K1310:K1313)</f>
        <v>30122979.006934393</v>
      </c>
      <c r="L1314" s="126">
        <f>SUM(L1310:L1313)</f>
        <v>1</v>
      </c>
      <c r="M1314" s="105">
        <f>VLOOKUP(E1314,town351,22)</f>
        <v>25047624</v>
      </c>
      <c r="N1314" s="105">
        <f>SUM(N1310:N1313)</f>
        <v>25047624</v>
      </c>
      <c r="O1314" s="128">
        <v>25087976</v>
      </c>
      <c r="P1314" s="105">
        <f>SUM(P1310:P1313)</f>
        <v>-40352</v>
      </c>
      <c r="Q1314" s="45">
        <f t="shared" si="209"/>
        <v>-0.16084199060139406</v>
      </c>
      <c r="R1314" s="105">
        <v>3093</v>
      </c>
      <c r="S1314" s="7">
        <f t="shared" si="202"/>
        <v>0</v>
      </c>
      <c r="T1314" s="124">
        <f t="shared" si="203"/>
        <v>261</v>
      </c>
      <c r="U1314" s="124">
        <f t="shared" si="204"/>
        <v>999</v>
      </c>
      <c r="V1314" s="124">
        <f t="shared" si="205"/>
        <v>1305</v>
      </c>
      <c r="W1314" s="124">
        <f t="shared" si="206"/>
        <v>3011.8297297295298</v>
      </c>
      <c r="X1314" s="124">
        <f t="shared" si="207"/>
        <v>30122979.006934393</v>
      </c>
      <c r="Y1314" s="264">
        <f t="shared" si="208"/>
        <v>1305</v>
      </c>
      <c r="Z1314" s="10">
        <v>261</v>
      </c>
      <c r="AA1314" s="7">
        <v>999</v>
      </c>
      <c r="AB1314" s="7">
        <v>1305</v>
      </c>
      <c r="AC1314" s="109">
        <v>3011.8297297295298</v>
      </c>
      <c r="AD1314" s="109">
        <v>30122979.006934393</v>
      </c>
      <c r="AE1314" s="125"/>
      <c r="AF1314" s="10"/>
      <c r="AI1314" s="109"/>
      <c r="AJ1314" s="109"/>
      <c r="AL1314" s="10"/>
      <c r="AO1314" s="109"/>
      <c r="AP1314" s="109"/>
      <c r="AR1314" s="10"/>
      <c r="AU1314" s="109"/>
      <c r="AV1314" s="109"/>
      <c r="AX1314" s="10"/>
      <c r="BA1314" s="109"/>
      <c r="BB1314" s="109"/>
      <c r="BD1314" s="10"/>
      <c r="BG1314" s="109"/>
      <c r="BH1314" s="109"/>
      <c r="BJ1314" s="10"/>
      <c r="BM1314" s="109"/>
      <c r="BN1314" s="109"/>
      <c r="BP1314" s="10"/>
      <c r="BS1314" s="109"/>
      <c r="BT1314" s="109"/>
      <c r="BV1314" s="10"/>
      <c r="BY1314" s="109"/>
      <c r="BZ1314" s="109"/>
      <c r="CB1314" s="10"/>
      <c r="CE1314" s="109"/>
      <c r="CF1314" s="109"/>
      <c r="CH1314" s="10"/>
      <c r="CK1314" s="109"/>
      <c r="CL1314" s="109"/>
    </row>
    <row r="1315" spans="1:90">
      <c r="A1315" s="7" t="str">
        <f t="shared" si="201"/>
        <v>02620262</v>
      </c>
      <c r="B1315" s="7" t="s">
        <v>2601</v>
      </c>
      <c r="C1315" s="7" t="s">
        <v>2601</v>
      </c>
      <c r="D1315" s="7">
        <v>1306</v>
      </c>
      <c r="E1315" s="7">
        <v>262</v>
      </c>
      <c r="F1315" s="7" t="s">
        <v>1967</v>
      </c>
      <c r="G1315" s="7">
        <v>262</v>
      </c>
      <c r="H1315" s="7" t="s">
        <v>1528</v>
      </c>
      <c r="I1315" s="37">
        <v>27795391.629999999</v>
      </c>
      <c r="J1315" s="122">
        <v>0.89894848807084982</v>
      </c>
      <c r="K1315" s="123">
        <f t="shared" ref="K1315:K1378" si="210">X1315</f>
        <v>27708148.930856943</v>
      </c>
      <c r="L1315" s="122">
        <f>IF(K1319&gt;0, K1315/K1319, 0)</f>
        <v>0.89195897093074672</v>
      </c>
      <c r="M1315" s="71"/>
      <c r="N1315" s="10">
        <f>ROUND(M1319*L1315,0)</f>
        <v>23048854</v>
      </c>
      <c r="O1315" s="70">
        <v>23261068</v>
      </c>
      <c r="P1315" s="10">
        <f>N1315-O1315</f>
        <v>-212214</v>
      </c>
      <c r="Q1315" s="46">
        <f t="shared" si="209"/>
        <v>-0.91231408635235489</v>
      </c>
      <c r="R1315" s="10">
        <v>2742</v>
      </c>
      <c r="S1315" s="7">
        <f t="shared" si="202"/>
        <v>0</v>
      </c>
      <c r="T1315" s="124">
        <f t="shared" si="203"/>
        <v>262</v>
      </c>
      <c r="U1315" s="124">
        <f t="shared" si="204"/>
        <v>262</v>
      </c>
      <c r="V1315" s="124">
        <f t="shared" si="205"/>
        <v>1306</v>
      </c>
      <c r="W1315" s="124">
        <f t="shared" si="206"/>
        <v>2678</v>
      </c>
      <c r="X1315" s="124">
        <f t="shared" si="207"/>
        <v>27708148.930856943</v>
      </c>
      <c r="Y1315" s="264">
        <f t="shared" si="208"/>
        <v>1306</v>
      </c>
      <c r="Z1315" s="10">
        <v>262</v>
      </c>
      <c r="AA1315" s="7">
        <v>262</v>
      </c>
      <c r="AB1315" s="7">
        <v>1306</v>
      </c>
      <c r="AC1315" s="109">
        <v>2678</v>
      </c>
      <c r="AD1315" s="109">
        <v>27708148.930856943</v>
      </c>
      <c r="AE1315" s="125"/>
      <c r="AF1315" s="10"/>
      <c r="AI1315" s="109"/>
      <c r="AJ1315" s="109"/>
      <c r="AL1315" s="10"/>
      <c r="AO1315" s="109"/>
      <c r="AP1315" s="109"/>
      <c r="AR1315" s="10"/>
      <c r="AU1315" s="109"/>
      <c r="AV1315" s="109"/>
      <c r="AX1315" s="10"/>
      <c r="BA1315" s="109"/>
      <c r="BB1315" s="109"/>
      <c r="BD1315" s="10"/>
      <c r="BG1315" s="109"/>
      <c r="BH1315" s="109"/>
      <c r="BJ1315" s="10"/>
      <c r="BM1315" s="109"/>
      <c r="BN1315" s="109"/>
      <c r="BP1315" s="10"/>
      <c r="BS1315" s="109"/>
      <c r="BT1315" s="109"/>
      <c r="BV1315" s="10"/>
      <c r="BY1315" s="109"/>
      <c r="BZ1315" s="109"/>
      <c r="CB1315" s="10"/>
      <c r="CE1315" s="109"/>
      <c r="CF1315" s="109"/>
      <c r="CH1315" s="10"/>
      <c r="CK1315" s="109"/>
      <c r="CL1315" s="109"/>
    </row>
    <row r="1316" spans="1:90">
      <c r="A1316" s="7" t="str">
        <f t="shared" si="201"/>
        <v>02620853</v>
      </c>
      <c r="B1316" s="7" t="s">
        <v>2601</v>
      </c>
      <c r="C1316" s="7" t="s">
        <v>2768</v>
      </c>
      <c r="D1316" s="7">
        <v>1307</v>
      </c>
      <c r="E1316" s="7">
        <v>262</v>
      </c>
      <c r="F1316" s="7" t="s">
        <v>1967</v>
      </c>
      <c r="G1316" s="7">
        <v>853</v>
      </c>
      <c r="H1316" s="7" t="s">
        <v>1695</v>
      </c>
      <c r="I1316" s="37">
        <v>3124502</v>
      </c>
      <c r="J1316" s="122">
        <v>0.1010515119291502</v>
      </c>
      <c r="K1316" s="123">
        <f t="shared" si="210"/>
        <v>3356227.1602808302</v>
      </c>
      <c r="L1316" s="122">
        <f>IF(K1319&gt;0, K1316/K1319, 0)</f>
        <v>0.1080410290692532</v>
      </c>
      <c r="M1316" s="71"/>
      <c r="N1316" s="10">
        <f>ROUND(M1319*L1316,0)</f>
        <v>2791857</v>
      </c>
      <c r="O1316" s="70">
        <v>2614795</v>
      </c>
      <c r="P1316" s="10">
        <f>N1316-O1316</f>
        <v>177062</v>
      </c>
      <c r="Q1316" s="46">
        <f t="shared" si="209"/>
        <v>6.7715442319569989</v>
      </c>
      <c r="R1316" s="10">
        <v>188</v>
      </c>
      <c r="S1316" s="7">
        <f t="shared" si="202"/>
        <v>0</v>
      </c>
      <c r="T1316" s="124">
        <f t="shared" si="203"/>
        <v>262</v>
      </c>
      <c r="U1316" s="124">
        <f t="shared" si="204"/>
        <v>853</v>
      </c>
      <c r="V1316" s="124">
        <f t="shared" si="205"/>
        <v>1307</v>
      </c>
      <c r="W1316" s="124">
        <f t="shared" si="206"/>
        <v>198.00000000059998</v>
      </c>
      <c r="X1316" s="124">
        <f t="shared" si="207"/>
        <v>3356227.1602808302</v>
      </c>
      <c r="Y1316" s="264">
        <f t="shared" si="208"/>
        <v>1307</v>
      </c>
      <c r="Z1316" s="10">
        <v>262</v>
      </c>
      <c r="AA1316" s="7">
        <v>853</v>
      </c>
      <c r="AB1316" s="7">
        <v>1307</v>
      </c>
      <c r="AC1316" s="109">
        <v>198.00000000059998</v>
      </c>
      <c r="AD1316" s="109">
        <v>3356227.1602808302</v>
      </c>
      <c r="AE1316" s="125"/>
      <c r="AF1316" s="10"/>
      <c r="AI1316" s="109"/>
      <c r="AJ1316" s="109"/>
      <c r="AL1316" s="10"/>
      <c r="AO1316" s="109"/>
      <c r="AP1316" s="109"/>
      <c r="AR1316" s="10"/>
      <c r="AU1316" s="109"/>
      <c r="AV1316" s="109"/>
      <c r="AX1316" s="10"/>
      <c r="BA1316" s="109"/>
      <c r="BB1316" s="109"/>
      <c r="BD1316" s="10"/>
      <c r="BG1316" s="109"/>
      <c r="BH1316" s="109"/>
      <c r="BJ1316" s="10"/>
      <c r="BM1316" s="109"/>
      <c r="BN1316" s="109"/>
      <c r="BP1316" s="10"/>
      <c r="BS1316" s="109"/>
      <c r="BT1316" s="109"/>
      <c r="BV1316" s="10"/>
      <c r="BY1316" s="109"/>
      <c r="BZ1316" s="109"/>
      <c r="CB1316" s="10"/>
      <c r="CE1316" s="109"/>
      <c r="CF1316" s="109"/>
      <c r="CH1316" s="10"/>
      <c r="CK1316" s="109"/>
      <c r="CL1316" s="109"/>
    </row>
    <row r="1317" spans="1:90">
      <c r="A1317" s="7" t="str">
        <f t="shared" si="201"/>
        <v>02620998</v>
      </c>
      <c r="B1317" s="7" t="s">
        <v>2601</v>
      </c>
      <c r="C1317" s="7" t="s">
        <v>2781</v>
      </c>
      <c r="D1317" s="7">
        <v>1308</v>
      </c>
      <c r="E1317" s="7">
        <v>262</v>
      </c>
      <c r="F1317" s="7" t="s">
        <v>2135</v>
      </c>
      <c r="G1317" s="7">
        <v>998</v>
      </c>
      <c r="I1317" s="129">
        <v>0</v>
      </c>
      <c r="J1317" s="130">
        <v>0</v>
      </c>
      <c r="K1317" s="123">
        <f t="shared" si="210"/>
        <v>0</v>
      </c>
      <c r="L1317" s="122">
        <f>IF(K1319&gt;0, K1317/K1319, 0)</f>
        <v>0</v>
      </c>
      <c r="M1317" s="71"/>
      <c r="N1317" s="10">
        <f>ROUND(M1319*L1317,0)</f>
        <v>0</v>
      </c>
      <c r="O1317" s="70">
        <v>0</v>
      </c>
      <c r="P1317" s="10">
        <f>N1317-O1317</f>
        <v>0</v>
      </c>
      <c r="Q1317" s="46">
        <f t="shared" si="209"/>
        <v>0</v>
      </c>
      <c r="R1317" s="10">
        <v>0</v>
      </c>
      <c r="S1317" s="7">
        <f t="shared" si="202"/>
        <v>0</v>
      </c>
      <c r="T1317" s="124">
        <f t="shared" si="203"/>
        <v>262</v>
      </c>
      <c r="U1317" s="124">
        <f t="shared" si="204"/>
        <v>998</v>
      </c>
      <c r="V1317" s="124">
        <f t="shared" si="205"/>
        <v>1308</v>
      </c>
      <c r="W1317" s="124">
        <f t="shared" si="206"/>
        <v>0</v>
      </c>
      <c r="X1317" s="124">
        <f t="shared" si="207"/>
        <v>0</v>
      </c>
      <c r="Y1317" s="264">
        <f t="shared" si="208"/>
        <v>1308</v>
      </c>
      <c r="Z1317" s="10">
        <v>262</v>
      </c>
      <c r="AA1317" s="7">
        <v>998</v>
      </c>
      <c r="AB1317" s="7">
        <v>1308</v>
      </c>
      <c r="AC1317" s="109">
        <v>0</v>
      </c>
      <c r="AD1317" s="109">
        <v>0</v>
      </c>
      <c r="AE1317" s="125"/>
      <c r="AF1317" s="10"/>
      <c r="AI1317" s="109"/>
      <c r="AJ1317" s="109"/>
      <c r="AL1317" s="10"/>
      <c r="AO1317" s="109"/>
      <c r="AP1317" s="109"/>
      <c r="AR1317" s="10"/>
      <c r="AU1317" s="109"/>
      <c r="AV1317" s="109"/>
      <c r="AX1317" s="10"/>
      <c r="BA1317" s="109"/>
      <c r="BB1317" s="109"/>
      <c r="BD1317" s="10"/>
      <c r="BG1317" s="109"/>
      <c r="BH1317" s="109"/>
      <c r="BJ1317" s="10"/>
      <c r="BM1317" s="109"/>
      <c r="BN1317" s="109"/>
      <c r="BP1317" s="10"/>
      <c r="BS1317" s="109"/>
      <c r="BT1317" s="109"/>
      <c r="BV1317" s="10"/>
      <c r="BY1317" s="109"/>
      <c r="BZ1317" s="109"/>
      <c r="CB1317" s="10"/>
      <c r="CE1317" s="109"/>
      <c r="CF1317" s="109"/>
      <c r="CH1317" s="10"/>
      <c r="CK1317" s="109"/>
      <c r="CL1317" s="109"/>
    </row>
    <row r="1318" spans="1:90">
      <c r="A1318" s="7" t="str">
        <f t="shared" si="201"/>
        <v>02620998</v>
      </c>
      <c r="B1318" s="7" t="s">
        <v>2601</v>
      </c>
      <c r="C1318" s="7" t="s">
        <v>2781</v>
      </c>
      <c r="D1318" s="7">
        <v>1309</v>
      </c>
      <c r="E1318" s="7">
        <v>262</v>
      </c>
      <c r="F1318" s="7" t="s">
        <v>2135</v>
      </c>
      <c r="G1318" s="7">
        <v>998</v>
      </c>
      <c r="H1318" s="7" t="s">
        <v>2135</v>
      </c>
      <c r="I1318" s="37">
        <v>0</v>
      </c>
      <c r="J1318" s="122">
        <v>0</v>
      </c>
      <c r="K1318" s="123">
        <f t="shared" si="210"/>
        <v>0</v>
      </c>
      <c r="L1318" s="122">
        <f>IF(K1319&gt;0, K1318/K1319, 0)</f>
        <v>0</v>
      </c>
      <c r="M1318" s="71"/>
      <c r="N1318" s="10">
        <f>ROUND(M1319*L1318,0)</f>
        <v>0</v>
      </c>
      <c r="O1318" s="70">
        <v>0</v>
      </c>
      <c r="P1318" s="10">
        <f>N1318-O1318</f>
        <v>0</v>
      </c>
      <c r="Q1318" s="46">
        <f t="shared" si="209"/>
        <v>0</v>
      </c>
      <c r="R1318" s="10">
        <v>0</v>
      </c>
      <c r="S1318" s="7">
        <f t="shared" si="202"/>
        <v>0</v>
      </c>
      <c r="T1318" s="124">
        <f t="shared" si="203"/>
        <v>262</v>
      </c>
      <c r="U1318" s="124">
        <f t="shared" si="204"/>
        <v>998</v>
      </c>
      <c r="V1318" s="124">
        <f t="shared" si="205"/>
        <v>1309</v>
      </c>
      <c r="W1318" s="124">
        <f t="shared" si="206"/>
        <v>0</v>
      </c>
      <c r="X1318" s="124">
        <f t="shared" si="207"/>
        <v>0</v>
      </c>
      <c r="Y1318" s="264">
        <f t="shared" si="208"/>
        <v>1309</v>
      </c>
      <c r="Z1318" s="10">
        <v>262</v>
      </c>
      <c r="AA1318" s="7">
        <v>998</v>
      </c>
      <c r="AB1318" s="7">
        <v>1309</v>
      </c>
      <c r="AC1318" s="109">
        <v>0</v>
      </c>
      <c r="AD1318" s="109">
        <v>0</v>
      </c>
      <c r="AE1318" s="125"/>
      <c r="AF1318" s="10"/>
      <c r="AI1318" s="109"/>
      <c r="AJ1318" s="109"/>
      <c r="AL1318" s="10"/>
      <c r="AO1318" s="109"/>
      <c r="AP1318" s="109"/>
      <c r="AR1318" s="10"/>
      <c r="AU1318" s="109"/>
      <c r="AV1318" s="109"/>
      <c r="AX1318" s="10"/>
      <c r="BA1318" s="109"/>
      <c r="BB1318" s="109"/>
      <c r="BD1318" s="10"/>
      <c r="BG1318" s="109"/>
      <c r="BH1318" s="109"/>
      <c r="BJ1318" s="10"/>
      <c r="BM1318" s="109"/>
      <c r="BN1318" s="109"/>
      <c r="BP1318" s="10"/>
      <c r="BS1318" s="109"/>
      <c r="BT1318" s="109"/>
      <c r="BV1318" s="10"/>
      <c r="BY1318" s="109"/>
      <c r="BZ1318" s="109"/>
      <c r="CB1318" s="10"/>
      <c r="CE1318" s="109"/>
      <c r="CF1318" s="109"/>
      <c r="CH1318" s="10"/>
      <c r="CK1318" s="109"/>
      <c r="CL1318" s="109"/>
    </row>
    <row r="1319" spans="1:90">
      <c r="A1319" s="7" t="str">
        <f t="shared" si="201"/>
        <v>02620999</v>
      </c>
      <c r="B1319" s="7" t="s">
        <v>2601</v>
      </c>
      <c r="C1319" s="7" t="s">
        <v>2782</v>
      </c>
      <c r="D1319" s="7">
        <v>1310</v>
      </c>
      <c r="E1319" s="11">
        <v>262</v>
      </c>
      <c r="F1319" s="11" t="s">
        <v>1967</v>
      </c>
      <c r="G1319" s="11">
        <v>999</v>
      </c>
      <c r="H1319" s="11" t="s">
        <v>1132</v>
      </c>
      <c r="I1319" s="105">
        <v>30919893.629999999</v>
      </c>
      <c r="J1319" s="126">
        <v>1</v>
      </c>
      <c r="K1319" s="127">
        <f>SUM(K1315:K1318)</f>
        <v>31064376.091137774</v>
      </c>
      <c r="L1319" s="126">
        <f>SUM(L1315:L1318)</f>
        <v>0.99999999999999989</v>
      </c>
      <c r="M1319" s="105">
        <f>VLOOKUP(E1319,town351,22)</f>
        <v>25840711</v>
      </c>
      <c r="N1319" s="105">
        <f>SUM(N1315:N1318)</f>
        <v>25840711</v>
      </c>
      <c r="O1319" s="128">
        <v>25875863</v>
      </c>
      <c r="P1319" s="105">
        <f>SUM(P1315:P1318)</f>
        <v>-35152</v>
      </c>
      <c r="Q1319" s="45">
        <f t="shared" si="209"/>
        <v>-0.13584860918455163</v>
      </c>
      <c r="R1319" s="105">
        <v>2930</v>
      </c>
      <c r="S1319" s="7">
        <f t="shared" si="202"/>
        <v>0</v>
      </c>
      <c r="T1319" s="124">
        <f t="shared" si="203"/>
        <v>262</v>
      </c>
      <c r="U1319" s="124">
        <f t="shared" si="204"/>
        <v>999</v>
      </c>
      <c r="V1319" s="124">
        <f t="shared" si="205"/>
        <v>1310</v>
      </c>
      <c r="W1319" s="124">
        <f t="shared" si="206"/>
        <v>2876.0000000005998</v>
      </c>
      <c r="X1319" s="124">
        <f t="shared" si="207"/>
        <v>31064376.091137774</v>
      </c>
      <c r="Y1319" s="264">
        <f t="shared" si="208"/>
        <v>1310</v>
      </c>
      <c r="Z1319" s="10">
        <v>262</v>
      </c>
      <c r="AA1319" s="7">
        <v>999</v>
      </c>
      <c r="AB1319" s="7">
        <v>1310</v>
      </c>
      <c r="AC1319" s="109">
        <v>2876.0000000005998</v>
      </c>
      <c r="AD1319" s="109">
        <v>31064376.091137774</v>
      </c>
      <c r="AE1319" s="125"/>
      <c r="AF1319" s="10"/>
      <c r="AI1319" s="109"/>
      <c r="AJ1319" s="109"/>
      <c r="AL1319" s="10"/>
      <c r="AO1319" s="109"/>
      <c r="AP1319" s="109"/>
      <c r="AR1319" s="10"/>
      <c r="AU1319" s="109"/>
      <c r="AV1319" s="109"/>
      <c r="AX1319" s="10"/>
      <c r="BA1319" s="109"/>
      <c r="BB1319" s="109"/>
      <c r="BD1319" s="10"/>
      <c r="BG1319" s="109"/>
      <c r="BH1319" s="109"/>
      <c r="BJ1319" s="10"/>
      <c r="BM1319" s="109"/>
      <c r="BN1319" s="109"/>
      <c r="BP1319" s="10"/>
      <c r="BS1319" s="109"/>
      <c r="BT1319" s="109"/>
      <c r="BV1319" s="10"/>
      <c r="BY1319" s="109"/>
      <c r="BZ1319" s="109"/>
      <c r="CB1319" s="10"/>
      <c r="CE1319" s="109"/>
      <c r="CF1319" s="109"/>
      <c r="CH1319" s="10"/>
      <c r="CK1319" s="109"/>
      <c r="CL1319" s="109"/>
    </row>
    <row r="1320" spans="1:90">
      <c r="A1320" s="7" t="str">
        <f t="shared" si="201"/>
        <v>02630263</v>
      </c>
      <c r="B1320" s="7" t="s">
        <v>2602</v>
      </c>
      <c r="C1320" s="7" t="s">
        <v>2602</v>
      </c>
      <c r="D1320" s="7">
        <v>1311</v>
      </c>
      <c r="E1320" s="7">
        <v>263</v>
      </c>
      <c r="F1320" s="7" t="s">
        <v>1968</v>
      </c>
      <c r="G1320" s="7">
        <v>263</v>
      </c>
      <c r="H1320" s="7" t="s">
        <v>1529</v>
      </c>
      <c r="I1320" s="37">
        <v>644284.77</v>
      </c>
      <c r="J1320" s="122">
        <v>0.64902736221197621</v>
      </c>
      <c r="K1320" s="123">
        <f>X1320</f>
        <v>634366.34950279677</v>
      </c>
      <c r="L1320" s="122">
        <f>IF(K1324&gt;0, K1320/K1324, 0)</f>
        <v>0.65256604116465899</v>
      </c>
      <c r="M1320" s="71"/>
      <c r="N1320" s="10">
        <f>ROUND(M1324*L1320,0)</f>
        <v>316323</v>
      </c>
      <c r="O1320" s="70">
        <v>314279</v>
      </c>
      <c r="P1320" s="10">
        <f>N1320-O1320</f>
        <v>2044</v>
      </c>
      <c r="Q1320" s="46">
        <f t="shared" si="209"/>
        <v>0.65037753079270333</v>
      </c>
      <c r="R1320" s="10">
        <v>66</v>
      </c>
      <c r="S1320" s="7">
        <f t="shared" si="202"/>
        <v>0</v>
      </c>
      <c r="T1320" s="124">
        <f t="shared" si="203"/>
        <v>263</v>
      </c>
      <c r="U1320" s="124">
        <f t="shared" si="204"/>
        <v>263</v>
      </c>
      <c r="V1320" s="124">
        <f t="shared" si="205"/>
        <v>1311</v>
      </c>
      <c r="W1320" s="124">
        <f t="shared" si="206"/>
        <v>60</v>
      </c>
      <c r="X1320" s="124">
        <f t="shared" si="207"/>
        <v>634366.34950279677</v>
      </c>
      <c r="Y1320" s="264">
        <f t="shared" si="208"/>
        <v>1311</v>
      </c>
      <c r="Z1320" s="10">
        <v>263</v>
      </c>
      <c r="AA1320" s="7">
        <v>263</v>
      </c>
      <c r="AB1320" s="7">
        <v>1311</v>
      </c>
      <c r="AC1320" s="109">
        <v>60</v>
      </c>
      <c r="AD1320" s="109">
        <v>634366.34950279677</v>
      </c>
      <c r="AE1320" s="125"/>
      <c r="AF1320" s="10"/>
      <c r="AI1320" s="109"/>
      <c r="AJ1320" s="109"/>
      <c r="AL1320" s="10"/>
      <c r="AO1320" s="109"/>
      <c r="AP1320" s="109"/>
      <c r="AR1320" s="10"/>
      <c r="AU1320" s="109"/>
      <c r="AV1320" s="109"/>
      <c r="AX1320" s="10"/>
      <c r="BA1320" s="109"/>
      <c r="BB1320" s="109"/>
      <c r="BD1320" s="10"/>
      <c r="BG1320" s="109"/>
      <c r="BH1320" s="109"/>
      <c r="BJ1320" s="10"/>
      <c r="BM1320" s="109"/>
      <c r="BN1320" s="109"/>
      <c r="BP1320" s="10"/>
      <c r="BS1320" s="109"/>
      <c r="BT1320" s="109"/>
      <c r="BV1320" s="10"/>
      <c r="BY1320" s="109"/>
      <c r="BZ1320" s="109"/>
      <c r="CB1320" s="10"/>
      <c r="CE1320" s="109"/>
      <c r="CF1320" s="109"/>
      <c r="CH1320" s="10"/>
      <c r="CK1320" s="109"/>
      <c r="CL1320" s="109"/>
    </row>
    <row r="1321" spans="1:90">
      <c r="A1321" s="7" t="str">
        <f t="shared" si="201"/>
        <v>02630851</v>
      </c>
      <c r="B1321" s="7" t="s">
        <v>2602</v>
      </c>
      <c r="C1321" s="7" t="s">
        <v>2766</v>
      </c>
      <c r="D1321" s="7">
        <v>1312</v>
      </c>
      <c r="E1321" s="7">
        <v>263</v>
      </c>
      <c r="F1321" s="7" t="s">
        <v>1968</v>
      </c>
      <c r="G1321" s="7">
        <v>851</v>
      </c>
      <c r="H1321" s="7" t="s">
        <v>1693</v>
      </c>
      <c r="I1321" s="37">
        <v>348408</v>
      </c>
      <c r="J1321" s="122">
        <v>0.35097263778802379</v>
      </c>
      <c r="K1321" s="123">
        <f t="shared" si="210"/>
        <v>337744.22549834708</v>
      </c>
      <c r="L1321" s="122">
        <f>IF(K1324&gt;0, K1321/K1324, 0)</f>
        <v>0.34743395883534101</v>
      </c>
      <c r="M1321" s="71"/>
      <c r="N1321" s="10">
        <f>ROUND(M1324*L1321,0)</f>
        <v>168414</v>
      </c>
      <c r="O1321" s="70">
        <v>169952</v>
      </c>
      <c r="P1321" s="10">
        <f>N1321-O1321</f>
        <v>-1538</v>
      </c>
      <c r="Q1321" s="46">
        <f t="shared" si="209"/>
        <v>-0.90496140086612686</v>
      </c>
      <c r="R1321" s="10">
        <v>22</v>
      </c>
      <c r="S1321" s="7">
        <f t="shared" si="202"/>
        <v>0</v>
      </c>
      <c r="T1321" s="124">
        <f t="shared" si="203"/>
        <v>263</v>
      </c>
      <c r="U1321" s="124">
        <f t="shared" si="204"/>
        <v>851</v>
      </c>
      <c r="V1321" s="124">
        <f t="shared" si="205"/>
        <v>1312</v>
      </c>
      <c r="W1321" s="124">
        <f t="shared" si="206"/>
        <v>21.00000000048</v>
      </c>
      <c r="X1321" s="124">
        <f t="shared" si="207"/>
        <v>337744.22549834708</v>
      </c>
      <c r="Y1321" s="264">
        <f t="shared" si="208"/>
        <v>1312</v>
      </c>
      <c r="Z1321" s="10">
        <v>263</v>
      </c>
      <c r="AA1321" s="7">
        <v>851</v>
      </c>
      <c r="AB1321" s="7">
        <v>1312</v>
      </c>
      <c r="AC1321" s="109">
        <v>21.00000000048</v>
      </c>
      <c r="AD1321" s="109">
        <v>337744.22549834708</v>
      </c>
      <c r="AE1321" s="125"/>
      <c r="AF1321" s="10"/>
      <c r="AI1321" s="109"/>
      <c r="AJ1321" s="109"/>
      <c r="AL1321" s="10"/>
      <c r="AO1321" s="109"/>
      <c r="AP1321" s="109"/>
      <c r="AR1321" s="10"/>
      <c r="AU1321" s="109"/>
      <c r="AV1321" s="109"/>
      <c r="AX1321" s="10"/>
      <c r="BA1321" s="109"/>
      <c r="BB1321" s="109"/>
      <c r="BD1321" s="10"/>
      <c r="BG1321" s="109"/>
      <c r="BH1321" s="109"/>
      <c r="BJ1321" s="10"/>
      <c r="BM1321" s="109"/>
      <c r="BN1321" s="109"/>
      <c r="BP1321" s="10"/>
      <c r="BS1321" s="109"/>
      <c r="BT1321" s="109"/>
      <c r="BV1321" s="10"/>
      <c r="BY1321" s="109"/>
      <c r="BZ1321" s="109"/>
      <c r="CB1321" s="10"/>
      <c r="CE1321" s="109"/>
      <c r="CF1321" s="109"/>
      <c r="CH1321" s="10"/>
      <c r="CK1321" s="109"/>
      <c r="CL1321" s="109"/>
    </row>
    <row r="1322" spans="1:90">
      <c r="A1322" s="7" t="str">
        <f t="shared" si="201"/>
        <v>02630998</v>
      </c>
      <c r="B1322" s="7" t="s">
        <v>2602</v>
      </c>
      <c r="C1322" s="7" t="s">
        <v>2781</v>
      </c>
      <c r="D1322" s="7">
        <v>1313</v>
      </c>
      <c r="E1322" s="7">
        <v>263</v>
      </c>
      <c r="F1322" s="7" t="s">
        <v>2135</v>
      </c>
      <c r="G1322" s="7">
        <v>998</v>
      </c>
      <c r="H1322" s="7" t="s">
        <v>2135</v>
      </c>
      <c r="I1322" s="37">
        <v>0</v>
      </c>
      <c r="J1322" s="122">
        <v>0</v>
      </c>
      <c r="K1322" s="123">
        <f t="shared" si="210"/>
        <v>0</v>
      </c>
      <c r="L1322" s="122">
        <f>IF(K1324&gt;0, K1322/K1324, 0)</f>
        <v>0</v>
      </c>
      <c r="M1322" s="71"/>
      <c r="N1322" s="10">
        <f>ROUND(M1324*L1322,0)</f>
        <v>0</v>
      </c>
      <c r="O1322" s="70">
        <v>0</v>
      </c>
      <c r="P1322" s="10">
        <f>N1322-O1322</f>
        <v>0</v>
      </c>
      <c r="Q1322" s="46">
        <f t="shared" si="209"/>
        <v>0</v>
      </c>
      <c r="R1322" s="10">
        <v>0</v>
      </c>
      <c r="S1322" s="7">
        <f t="shared" si="202"/>
        <v>0</v>
      </c>
      <c r="T1322" s="124">
        <f t="shared" si="203"/>
        <v>263</v>
      </c>
      <c r="U1322" s="124">
        <f t="shared" si="204"/>
        <v>998</v>
      </c>
      <c r="V1322" s="124">
        <f t="shared" si="205"/>
        <v>1313</v>
      </c>
      <c r="W1322" s="124">
        <f t="shared" si="206"/>
        <v>0</v>
      </c>
      <c r="X1322" s="124">
        <f t="shared" si="207"/>
        <v>0</v>
      </c>
      <c r="Y1322" s="264">
        <f t="shared" si="208"/>
        <v>1313</v>
      </c>
      <c r="Z1322" s="10">
        <v>263</v>
      </c>
      <c r="AA1322" s="7">
        <v>998</v>
      </c>
      <c r="AB1322" s="7">
        <v>1313</v>
      </c>
      <c r="AC1322" s="109">
        <v>0</v>
      </c>
      <c r="AD1322" s="109">
        <v>0</v>
      </c>
      <c r="AE1322" s="125"/>
      <c r="AF1322" s="10"/>
      <c r="AI1322" s="109"/>
      <c r="AJ1322" s="109"/>
      <c r="AL1322" s="10"/>
      <c r="AO1322" s="109"/>
      <c r="AP1322" s="109"/>
      <c r="AR1322" s="10"/>
      <c r="AU1322" s="109"/>
      <c r="AV1322" s="109"/>
      <c r="AX1322" s="10"/>
      <c r="BA1322" s="109"/>
      <c r="BB1322" s="109"/>
      <c r="BD1322" s="10"/>
      <c r="BG1322" s="109"/>
      <c r="BH1322" s="109"/>
      <c r="BJ1322" s="10"/>
      <c r="BM1322" s="109"/>
      <c r="BN1322" s="109"/>
      <c r="BP1322" s="10"/>
      <c r="BS1322" s="109"/>
      <c r="BT1322" s="109"/>
      <c r="BV1322" s="10"/>
      <c r="BY1322" s="109"/>
      <c r="BZ1322" s="109"/>
      <c r="CB1322" s="10"/>
      <c r="CE1322" s="109"/>
      <c r="CF1322" s="109"/>
      <c r="CH1322" s="10"/>
      <c r="CK1322" s="109"/>
      <c r="CL1322" s="109"/>
    </row>
    <row r="1323" spans="1:90">
      <c r="A1323" s="7" t="str">
        <f t="shared" si="201"/>
        <v>02630998</v>
      </c>
      <c r="B1323" s="7" t="s">
        <v>2602</v>
      </c>
      <c r="C1323" s="7" t="s">
        <v>2781</v>
      </c>
      <c r="D1323" s="7">
        <v>1314</v>
      </c>
      <c r="E1323" s="7">
        <v>263</v>
      </c>
      <c r="F1323" s="7" t="s">
        <v>2135</v>
      </c>
      <c r="G1323" s="7">
        <v>998</v>
      </c>
      <c r="H1323" s="7" t="s">
        <v>2135</v>
      </c>
      <c r="I1323" s="37">
        <v>0</v>
      </c>
      <c r="J1323" s="122">
        <v>0</v>
      </c>
      <c r="K1323" s="123">
        <f t="shared" si="210"/>
        <v>0</v>
      </c>
      <c r="L1323" s="122">
        <f>IF(K1324&gt;0, K1323/K1324, 0)</f>
        <v>0</v>
      </c>
      <c r="M1323" s="71"/>
      <c r="N1323" s="10">
        <f>ROUND(M1324*L1323,0)</f>
        <v>0</v>
      </c>
      <c r="O1323" s="70">
        <v>0</v>
      </c>
      <c r="P1323" s="10">
        <f>N1323-O1323</f>
        <v>0</v>
      </c>
      <c r="Q1323" s="46">
        <f t="shared" si="209"/>
        <v>0</v>
      </c>
      <c r="R1323" s="10">
        <v>0</v>
      </c>
      <c r="S1323" s="7">
        <f t="shared" si="202"/>
        <v>0</v>
      </c>
      <c r="T1323" s="124">
        <f t="shared" si="203"/>
        <v>263</v>
      </c>
      <c r="U1323" s="124">
        <f t="shared" si="204"/>
        <v>998</v>
      </c>
      <c r="V1323" s="124">
        <f t="shared" si="205"/>
        <v>1314</v>
      </c>
      <c r="W1323" s="124">
        <f t="shared" si="206"/>
        <v>0</v>
      </c>
      <c r="X1323" s="124">
        <f t="shared" si="207"/>
        <v>0</v>
      </c>
      <c r="Y1323" s="264">
        <f t="shared" si="208"/>
        <v>1314</v>
      </c>
      <c r="Z1323" s="10">
        <v>263</v>
      </c>
      <c r="AA1323" s="7">
        <v>998</v>
      </c>
      <c r="AB1323" s="7">
        <v>1314</v>
      </c>
      <c r="AC1323" s="109">
        <v>0</v>
      </c>
      <c r="AD1323" s="109">
        <v>0</v>
      </c>
      <c r="AE1323" s="125"/>
      <c r="AF1323" s="10"/>
      <c r="AI1323" s="109"/>
      <c r="AJ1323" s="109"/>
      <c r="AL1323" s="10"/>
      <c r="AO1323" s="109"/>
      <c r="AP1323" s="109"/>
      <c r="AR1323" s="10"/>
      <c r="AU1323" s="109"/>
      <c r="AV1323" s="109"/>
      <c r="AX1323" s="10"/>
      <c r="BA1323" s="109"/>
      <c r="BB1323" s="109"/>
      <c r="BD1323" s="10"/>
      <c r="BG1323" s="109"/>
      <c r="BH1323" s="109"/>
      <c r="BJ1323" s="10"/>
      <c r="BM1323" s="109"/>
      <c r="BN1323" s="109"/>
      <c r="BP1323" s="10"/>
      <c r="BS1323" s="109"/>
      <c r="BT1323" s="109"/>
      <c r="BV1323" s="10"/>
      <c r="BY1323" s="109"/>
      <c r="BZ1323" s="109"/>
      <c r="CB1323" s="10"/>
      <c r="CE1323" s="109"/>
      <c r="CF1323" s="109"/>
      <c r="CH1323" s="10"/>
      <c r="CK1323" s="109"/>
      <c r="CL1323" s="109"/>
    </row>
    <row r="1324" spans="1:90">
      <c r="A1324" s="7" t="str">
        <f t="shared" si="201"/>
        <v>02630999</v>
      </c>
      <c r="B1324" s="7" t="s">
        <v>2602</v>
      </c>
      <c r="C1324" s="7" t="s">
        <v>2782</v>
      </c>
      <c r="D1324" s="7">
        <v>1315</v>
      </c>
      <c r="E1324" s="11">
        <v>263</v>
      </c>
      <c r="F1324" s="11" t="s">
        <v>1968</v>
      </c>
      <c r="G1324" s="11">
        <v>999</v>
      </c>
      <c r="H1324" s="11" t="s">
        <v>1132</v>
      </c>
      <c r="I1324" s="105">
        <v>992692.77</v>
      </c>
      <c r="J1324" s="126">
        <v>1</v>
      </c>
      <c r="K1324" s="127">
        <f>SUM(K1320:K1323)</f>
        <v>972110.57500114385</v>
      </c>
      <c r="L1324" s="126">
        <f>SUM(L1320:L1323)</f>
        <v>1</v>
      </c>
      <c r="M1324" s="105">
        <f>VLOOKUP(E1324,town351,22)</f>
        <v>484737</v>
      </c>
      <c r="N1324" s="105">
        <f>SUM(N1320:N1323)</f>
        <v>484737</v>
      </c>
      <c r="O1324" s="128">
        <v>484231</v>
      </c>
      <c r="P1324" s="105">
        <f>SUM(P1320:P1323)</f>
        <v>506</v>
      </c>
      <c r="Q1324" s="45">
        <f t="shared" si="209"/>
        <v>0.1044955816542105</v>
      </c>
      <c r="R1324" s="105">
        <v>88</v>
      </c>
      <c r="S1324" s="7">
        <f t="shared" si="202"/>
        <v>0</v>
      </c>
      <c r="T1324" s="124">
        <f t="shared" si="203"/>
        <v>263</v>
      </c>
      <c r="U1324" s="124">
        <f t="shared" si="204"/>
        <v>999</v>
      </c>
      <c r="V1324" s="124">
        <f t="shared" si="205"/>
        <v>1315</v>
      </c>
      <c r="W1324" s="124">
        <f t="shared" si="206"/>
        <v>81.00000000048</v>
      </c>
      <c r="X1324" s="124">
        <f t="shared" si="207"/>
        <v>972110.57500114385</v>
      </c>
      <c r="Y1324" s="264">
        <f t="shared" si="208"/>
        <v>1315</v>
      </c>
      <c r="Z1324" s="10">
        <v>263</v>
      </c>
      <c r="AA1324" s="7">
        <v>999</v>
      </c>
      <c r="AB1324" s="7">
        <v>1315</v>
      </c>
      <c r="AC1324" s="109">
        <v>81.00000000048</v>
      </c>
      <c r="AD1324" s="109">
        <v>972110.57500114385</v>
      </c>
      <c r="AE1324" s="125"/>
      <c r="AF1324" s="10"/>
      <c r="AI1324" s="109"/>
      <c r="AJ1324" s="109"/>
      <c r="AL1324" s="10"/>
      <c r="AO1324" s="109"/>
      <c r="AP1324" s="109"/>
      <c r="AR1324" s="10"/>
      <c r="AU1324" s="109"/>
      <c r="AV1324" s="109"/>
      <c r="AX1324" s="10"/>
      <c r="BA1324" s="109"/>
      <c r="BB1324" s="109"/>
      <c r="BD1324" s="10"/>
      <c r="BG1324" s="109"/>
      <c r="BH1324" s="109"/>
      <c r="BJ1324" s="10"/>
      <c r="BM1324" s="109"/>
      <c r="BN1324" s="109"/>
      <c r="BP1324" s="10"/>
      <c r="BS1324" s="109"/>
      <c r="BT1324" s="109"/>
      <c r="BV1324" s="10"/>
      <c r="BY1324" s="109"/>
      <c r="BZ1324" s="109"/>
      <c r="CB1324" s="10"/>
      <c r="CE1324" s="109"/>
      <c r="CF1324" s="109"/>
      <c r="CH1324" s="10"/>
      <c r="CK1324" s="109"/>
      <c r="CL1324" s="109"/>
    </row>
    <row r="1325" spans="1:90">
      <c r="A1325" s="7" t="str">
        <f t="shared" si="201"/>
        <v>02640264</v>
      </c>
      <c r="B1325" s="7" t="s">
        <v>2603</v>
      </c>
      <c r="C1325" s="7" t="s">
        <v>2603</v>
      </c>
      <c r="D1325" s="7">
        <v>1316</v>
      </c>
      <c r="E1325" s="7">
        <v>264</v>
      </c>
      <c r="F1325" s="7" t="s">
        <v>1969</v>
      </c>
      <c r="G1325" s="7">
        <v>264</v>
      </c>
      <c r="H1325" s="7" t="s">
        <v>1530</v>
      </c>
      <c r="I1325" s="37">
        <v>27740691.55742</v>
      </c>
      <c r="J1325" s="122">
        <v>0.97661715051316422</v>
      </c>
      <c r="K1325" s="123">
        <f>X1325</f>
        <v>28537003.198598668</v>
      </c>
      <c r="L1325" s="122">
        <f>IF(K1329&gt;0, K1325/K1329, 0)</f>
        <v>0.97499119458380523</v>
      </c>
      <c r="M1325" s="71"/>
      <c r="N1325" s="10">
        <f>ROUND(M1329*L1325,0)</f>
        <v>23614603</v>
      </c>
      <c r="O1325" s="70">
        <v>23172735</v>
      </c>
      <c r="P1325" s="10">
        <f>N1325-O1325</f>
        <v>441868</v>
      </c>
      <c r="Q1325" s="46">
        <f t="shared" si="209"/>
        <v>1.9068444014053585</v>
      </c>
      <c r="R1325" s="10">
        <v>2918</v>
      </c>
      <c r="S1325" s="7">
        <f t="shared" si="202"/>
        <v>0</v>
      </c>
      <c r="T1325" s="124">
        <f t="shared" si="203"/>
        <v>264</v>
      </c>
      <c r="U1325" s="124">
        <f t="shared" si="204"/>
        <v>264</v>
      </c>
      <c r="V1325" s="124">
        <f t="shared" si="205"/>
        <v>1316</v>
      </c>
      <c r="W1325" s="124">
        <f t="shared" si="206"/>
        <v>2932</v>
      </c>
      <c r="X1325" s="124">
        <f t="shared" si="207"/>
        <v>28537003.198598668</v>
      </c>
      <c r="Y1325" s="264">
        <f t="shared" si="208"/>
        <v>1316</v>
      </c>
      <c r="Z1325" s="10">
        <v>264</v>
      </c>
      <c r="AA1325" s="7">
        <v>264</v>
      </c>
      <c r="AB1325" s="7">
        <v>1316</v>
      </c>
      <c r="AC1325" s="109">
        <v>2932</v>
      </c>
      <c r="AD1325" s="109">
        <v>28537003.198598668</v>
      </c>
      <c r="AE1325" s="125"/>
      <c r="AF1325" s="10"/>
      <c r="AI1325" s="109"/>
      <c r="AJ1325" s="109"/>
      <c r="AL1325" s="10"/>
      <c r="AO1325" s="109"/>
      <c r="AP1325" s="109"/>
      <c r="AR1325" s="10"/>
      <c r="AU1325" s="109"/>
      <c r="AV1325" s="109"/>
      <c r="AX1325" s="10"/>
      <c r="BA1325" s="109"/>
      <c r="BB1325" s="109"/>
      <c r="BD1325" s="10"/>
      <c r="BG1325" s="109"/>
      <c r="BH1325" s="109"/>
      <c r="BJ1325" s="10"/>
      <c r="BM1325" s="109"/>
      <c r="BN1325" s="109"/>
      <c r="BP1325" s="10"/>
      <c r="BS1325" s="109"/>
      <c r="BT1325" s="109"/>
      <c r="BV1325" s="10"/>
      <c r="BY1325" s="109"/>
      <c r="BZ1325" s="109"/>
      <c r="CB1325" s="10"/>
      <c r="CE1325" s="109"/>
      <c r="CF1325" s="109"/>
      <c r="CH1325" s="10"/>
      <c r="CK1325" s="109"/>
      <c r="CL1325" s="109"/>
    </row>
    <row r="1326" spans="1:90">
      <c r="A1326" s="7" t="str">
        <f t="shared" si="201"/>
        <v>02640873</v>
      </c>
      <c r="B1326" s="7" t="s">
        <v>2603</v>
      </c>
      <c r="C1326" s="7" t="s">
        <v>2773</v>
      </c>
      <c r="D1326" s="7">
        <v>1317</v>
      </c>
      <c r="E1326" s="7">
        <v>264</v>
      </c>
      <c r="F1326" s="7" t="s">
        <v>1969</v>
      </c>
      <c r="G1326" s="7">
        <v>873</v>
      </c>
      <c r="H1326" s="7" t="s">
        <v>1700</v>
      </c>
      <c r="I1326" s="37">
        <v>664187</v>
      </c>
      <c r="J1326" s="122">
        <v>2.3382849486835749E-2</v>
      </c>
      <c r="K1326" s="123">
        <f t="shared" si="210"/>
        <v>731982.36468148604</v>
      </c>
      <c r="L1326" s="122">
        <f>IF(K1329&gt;0, K1326/K1329, 0)</f>
        <v>2.500880541619473E-2</v>
      </c>
      <c r="M1326" s="71"/>
      <c r="N1326" s="10">
        <f>ROUND(M1329*L1326,0)</f>
        <v>605721</v>
      </c>
      <c r="O1326" s="70">
        <v>554818</v>
      </c>
      <c r="P1326" s="10">
        <f>N1326-O1326</f>
        <v>50903</v>
      </c>
      <c r="Q1326" s="46">
        <f t="shared" si="209"/>
        <v>9.1747203587482744</v>
      </c>
      <c r="R1326" s="10">
        <v>42</v>
      </c>
      <c r="S1326" s="7">
        <f t="shared" si="202"/>
        <v>0</v>
      </c>
      <c r="T1326" s="124">
        <f t="shared" si="203"/>
        <v>264</v>
      </c>
      <c r="U1326" s="124">
        <f t="shared" si="204"/>
        <v>873</v>
      </c>
      <c r="V1326" s="124">
        <f t="shared" si="205"/>
        <v>1317</v>
      </c>
      <c r="W1326" s="124">
        <f t="shared" si="206"/>
        <v>44.9999999992</v>
      </c>
      <c r="X1326" s="124">
        <f t="shared" si="207"/>
        <v>731982.36468148604</v>
      </c>
      <c r="Y1326" s="264">
        <f t="shared" si="208"/>
        <v>1317</v>
      </c>
      <c r="Z1326" s="10">
        <v>264</v>
      </c>
      <c r="AA1326" s="7">
        <v>873</v>
      </c>
      <c r="AB1326" s="7">
        <v>1317</v>
      </c>
      <c r="AC1326" s="109">
        <v>44.9999999992</v>
      </c>
      <c r="AD1326" s="109">
        <v>731982.36468148604</v>
      </c>
      <c r="AE1326" s="125"/>
      <c r="AF1326" s="10"/>
      <c r="AI1326" s="109"/>
      <c r="AJ1326" s="109"/>
      <c r="AL1326" s="10"/>
      <c r="AO1326" s="109"/>
      <c r="AP1326" s="109"/>
      <c r="AR1326" s="10"/>
      <c r="AU1326" s="109"/>
      <c r="AV1326" s="109"/>
      <c r="AX1326" s="10"/>
      <c r="BA1326" s="109"/>
      <c r="BB1326" s="109"/>
      <c r="BD1326" s="10"/>
      <c r="BG1326" s="109"/>
      <c r="BH1326" s="109"/>
      <c r="BJ1326" s="10"/>
      <c r="BM1326" s="109"/>
      <c r="BN1326" s="109"/>
      <c r="BP1326" s="10"/>
      <c r="BS1326" s="109"/>
      <c r="BT1326" s="109"/>
      <c r="BV1326" s="10"/>
      <c r="BY1326" s="109"/>
      <c r="BZ1326" s="109"/>
      <c r="CB1326" s="10"/>
      <c r="CE1326" s="109"/>
      <c r="CF1326" s="109"/>
      <c r="CH1326" s="10"/>
      <c r="CK1326" s="109"/>
      <c r="CL1326" s="109"/>
    </row>
    <row r="1327" spans="1:90">
      <c r="A1327" s="7" t="str">
        <f t="shared" si="201"/>
        <v>02640998</v>
      </c>
      <c r="B1327" s="7" t="s">
        <v>2603</v>
      </c>
      <c r="C1327" s="7" t="s">
        <v>2781</v>
      </c>
      <c r="D1327" s="7">
        <v>1318</v>
      </c>
      <c r="E1327" s="7">
        <v>264</v>
      </c>
      <c r="F1327" s="7" t="s">
        <v>2135</v>
      </c>
      <c r="G1327" s="7">
        <v>998</v>
      </c>
      <c r="H1327" s="7" t="s">
        <v>2135</v>
      </c>
      <c r="I1327" s="37">
        <v>0</v>
      </c>
      <c r="J1327" s="122">
        <v>0</v>
      </c>
      <c r="K1327" s="123">
        <f t="shared" si="210"/>
        <v>0</v>
      </c>
      <c r="L1327" s="122">
        <f>IF(K1329&gt;0, K1327/K1329, 0)</f>
        <v>0</v>
      </c>
      <c r="M1327" s="71"/>
      <c r="N1327" s="10">
        <f>ROUND(M1329*L1327,0)</f>
        <v>0</v>
      </c>
      <c r="O1327" s="70">
        <v>0</v>
      </c>
      <c r="P1327" s="10">
        <f>N1327-O1327</f>
        <v>0</v>
      </c>
      <c r="Q1327" s="46">
        <f t="shared" si="209"/>
        <v>0</v>
      </c>
      <c r="R1327" s="10">
        <v>0</v>
      </c>
      <c r="S1327" s="7">
        <f t="shared" si="202"/>
        <v>0</v>
      </c>
      <c r="T1327" s="124">
        <f t="shared" si="203"/>
        <v>264</v>
      </c>
      <c r="U1327" s="124">
        <f t="shared" si="204"/>
        <v>998</v>
      </c>
      <c r="V1327" s="124">
        <f t="shared" si="205"/>
        <v>1318</v>
      </c>
      <c r="W1327" s="124">
        <f t="shared" si="206"/>
        <v>0</v>
      </c>
      <c r="X1327" s="124">
        <f t="shared" si="207"/>
        <v>0</v>
      </c>
      <c r="Y1327" s="264">
        <f t="shared" si="208"/>
        <v>1318</v>
      </c>
      <c r="Z1327" s="10">
        <v>264</v>
      </c>
      <c r="AA1327" s="7">
        <v>998</v>
      </c>
      <c r="AB1327" s="7">
        <v>1318</v>
      </c>
      <c r="AC1327" s="109">
        <v>0</v>
      </c>
      <c r="AD1327" s="109">
        <v>0</v>
      </c>
      <c r="AE1327" s="125"/>
      <c r="AF1327" s="10"/>
      <c r="AI1327" s="109"/>
      <c r="AJ1327" s="109"/>
      <c r="AL1327" s="10"/>
      <c r="AO1327" s="109"/>
      <c r="AP1327" s="109"/>
      <c r="AR1327" s="10"/>
      <c r="AU1327" s="109"/>
      <c r="AV1327" s="109"/>
      <c r="AX1327" s="10"/>
      <c r="BA1327" s="109"/>
      <c r="BB1327" s="109"/>
      <c r="BD1327" s="10"/>
      <c r="BG1327" s="109"/>
      <c r="BH1327" s="109"/>
      <c r="BJ1327" s="10"/>
      <c r="BM1327" s="109"/>
      <c r="BN1327" s="109"/>
      <c r="BP1327" s="10"/>
      <c r="BS1327" s="109"/>
      <c r="BT1327" s="109"/>
      <c r="BV1327" s="10"/>
      <c r="BY1327" s="109"/>
      <c r="BZ1327" s="109"/>
      <c r="CB1327" s="10"/>
      <c r="CE1327" s="109"/>
      <c r="CF1327" s="109"/>
      <c r="CH1327" s="10"/>
      <c r="CK1327" s="109"/>
      <c r="CL1327" s="109"/>
    </row>
    <row r="1328" spans="1:90">
      <c r="A1328" s="7" t="str">
        <f t="shared" si="201"/>
        <v>02640998</v>
      </c>
      <c r="B1328" s="7" t="s">
        <v>2603</v>
      </c>
      <c r="C1328" s="7" t="s">
        <v>2781</v>
      </c>
      <c r="D1328" s="7">
        <v>1319</v>
      </c>
      <c r="E1328" s="7">
        <v>264</v>
      </c>
      <c r="F1328" s="7" t="s">
        <v>2135</v>
      </c>
      <c r="G1328" s="7">
        <v>998</v>
      </c>
      <c r="H1328" s="7" t="s">
        <v>2135</v>
      </c>
      <c r="I1328" s="37">
        <v>0</v>
      </c>
      <c r="J1328" s="122">
        <v>0</v>
      </c>
      <c r="K1328" s="123">
        <f t="shared" si="210"/>
        <v>0</v>
      </c>
      <c r="L1328" s="122">
        <f>IF(K1329&gt;0, K1328/K1329, 0)</f>
        <v>0</v>
      </c>
      <c r="M1328" s="71"/>
      <c r="N1328" s="10">
        <f>ROUND(M1329*L1328,0)</f>
        <v>0</v>
      </c>
      <c r="O1328" s="70">
        <v>0</v>
      </c>
      <c r="P1328" s="10">
        <f>N1328-O1328</f>
        <v>0</v>
      </c>
      <c r="Q1328" s="46">
        <f t="shared" si="209"/>
        <v>0</v>
      </c>
      <c r="R1328" s="10">
        <v>0</v>
      </c>
      <c r="S1328" s="7">
        <f t="shared" si="202"/>
        <v>0</v>
      </c>
      <c r="T1328" s="124">
        <f t="shared" si="203"/>
        <v>264</v>
      </c>
      <c r="U1328" s="124">
        <f t="shared" si="204"/>
        <v>998</v>
      </c>
      <c r="V1328" s="124">
        <f t="shared" si="205"/>
        <v>1319</v>
      </c>
      <c r="W1328" s="124">
        <f t="shared" si="206"/>
        <v>0</v>
      </c>
      <c r="X1328" s="124">
        <f t="shared" si="207"/>
        <v>0</v>
      </c>
      <c r="Y1328" s="264">
        <f t="shared" si="208"/>
        <v>1319</v>
      </c>
      <c r="Z1328" s="10">
        <v>264</v>
      </c>
      <c r="AA1328" s="7">
        <v>998</v>
      </c>
      <c r="AB1328" s="7">
        <v>1319</v>
      </c>
      <c r="AC1328" s="109">
        <v>0</v>
      </c>
      <c r="AD1328" s="109">
        <v>0</v>
      </c>
      <c r="AE1328" s="125"/>
      <c r="AF1328" s="10"/>
      <c r="AI1328" s="109"/>
      <c r="AJ1328" s="109"/>
      <c r="AL1328" s="10"/>
      <c r="AO1328" s="109"/>
      <c r="AP1328" s="109"/>
      <c r="AR1328" s="10"/>
      <c r="AU1328" s="109"/>
      <c r="AV1328" s="109"/>
      <c r="AX1328" s="10"/>
      <c r="BA1328" s="109"/>
      <c r="BB1328" s="109"/>
      <c r="BD1328" s="10"/>
      <c r="BG1328" s="109"/>
      <c r="BH1328" s="109"/>
      <c r="BJ1328" s="10"/>
      <c r="BM1328" s="109"/>
      <c r="BN1328" s="109"/>
      <c r="BP1328" s="10"/>
      <c r="BS1328" s="109"/>
      <c r="BT1328" s="109"/>
      <c r="BV1328" s="10"/>
      <c r="BY1328" s="109"/>
      <c r="BZ1328" s="109"/>
      <c r="CB1328" s="10"/>
      <c r="CE1328" s="109"/>
      <c r="CF1328" s="109"/>
      <c r="CH1328" s="10"/>
      <c r="CK1328" s="109"/>
      <c r="CL1328" s="109"/>
    </row>
    <row r="1329" spans="1:90">
      <c r="A1329" s="7" t="str">
        <f t="shared" si="201"/>
        <v>02640999</v>
      </c>
      <c r="B1329" s="7" t="s">
        <v>2603</v>
      </c>
      <c r="C1329" s="7" t="s">
        <v>2782</v>
      </c>
      <c r="D1329" s="7">
        <v>1320</v>
      </c>
      <c r="E1329" s="11">
        <v>264</v>
      </c>
      <c r="F1329" s="11" t="s">
        <v>1969</v>
      </c>
      <c r="G1329" s="11">
        <v>999</v>
      </c>
      <c r="H1329" s="11" t="s">
        <v>1132</v>
      </c>
      <c r="I1329" s="105">
        <v>28404878.55742</v>
      </c>
      <c r="J1329" s="126">
        <v>1</v>
      </c>
      <c r="K1329" s="127">
        <f>SUM(K1325:K1328)</f>
        <v>29268985.563280154</v>
      </c>
      <c r="L1329" s="126">
        <f>SUM(L1325:L1328)</f>
        <v>1</v>
      </c>
      <c r="M1329" s="105">
        <f>VLOOKUP(E1329,town351,22)</f>
        <v>24220324</v>
      </c>
      <c r="N1329" s="105">
        <f>SUM(N1325:N1328)</f>
        <v>24220324</v>
      </c>
      <c r="O1329" s="128">
        <v>23727553</v>
      </c>
      <c r="P1329" s="105">
        <f>SUM(P1325:P1328)</f>
        <v>492771</v>
      </c>
      <c r="Q1329" s="45">
        <f t="shared" si="209"/>
        <v>2.0767881121159015</v>
      </c>
      <c r="R1329" s="105">
        <v>2960</v>
      </c>
      <c r="S1329" s="7">
        <f t="shared" si="202"/>
        <v>0</v>
      </c>
      <c r="T1329" s="124">
        <f t="shared" si="203"/>
        <v>264</v>
      </c>
      <c r="U1329" s="124">
        <f t="shared" si="204"/>
        <v>999</v>
      </c>
      <c r="V1329" s="124">
        <f t="shared" si="205"/>
        <v>1320</v>
      </c>
      <c r="W1329" s="124">
        <f t="shared" si="206"/>
        <v>2976.9999999992001</v>
      </c>
      <c r="X1329" s="124">
        <f t="shared" si="207"/>
        <v>29268985.563280154</v>
      </c>
      <c r="Y1329" s="264">
        <f t="shared" si="208"/>
        <v>1320</v>
      </c>
      <c r="Z1329" s="10">
        <v>264</v>
      </c>
      <c r="AA1329" s="7">
        <v>999</v>
      </c>
      <c r="AB1329" s="7">
        <v>1320</v>
      </c>
      <c r="AC1329" s="109">
        <v>2976.9999999992001</v>
      </c>
      <c r="AD1329" s="109">
        <v>29268985.563280154</v>
      </c>
      <c r="AE1329" s="125"/>
      <c r="AF1329" s="10"/>
      <c r="AI1329" s="109"/>
      <c r="AJ1329" s="109"/>
      <c r="AL1329" s="10"/>
      <c r="AO1329" s="109"/>
      <c r="AP1329" s="109"/>
      <c r="AR1329" s="10"/>
      <c r="AU1329" s="109"/>
      <c r="AV1329" s="109"/>
      <c r="AX1329" s="10"/>
      <c r="BA1329" s="109"/>
      <c r="BB1329" s="109"/>
      <c r="BD1329" s="10"/>
      <c r="BG1329" s="109"/>
      <c r="BH1329" s="109"/>
      <c r="BJ1329" s="10"/>
      <c r="BM1329" s="109"/>
      <c r="BN1329" s="109"/>
      <c r="BP1329" s="10"/>
      <c r="BS1329" s="109"/>
      <c r="BT1329" s="109"/>
      <c r="BV1329" s="10"/>
      <c r="BY1329" s="109"/>
      <c r="BZ1329" s="109"/>
      <c r="CB1329" s="10"/>
      <c r="CE1329" s="109"/>
      <c r="CF1329" s="109"/>
      <c r="CH1329" s="10"/>
      <c r="CK1329" s="109"/>
      <c r="CL1329" s="109"/>
    </row>
    <row r="1330" spans="1:90">
      <c r="A1330" s="7" t="str">
        <f t="shared" si="201"/>
        <v>02650265</v>
      </c>
      <c r="B1330" s="7" t="s">
        <v>2604</v>
      </c>
      <c r="C1330" s="7" t="s">
        <v>2604</v>
      </c>
      <c r="D1330" s="7">
        <v>1321</v>
      </c>
      <c r="E1330" s="7">
        <v>265</v>
      </c>
      <c r="F1330" s="7" t="s">
        <v>1970</v>
      </c>
      <c r="G1330" s="7">
        <v>265</v>
      </c>
      <c r="H1330" s="7" t="s">
        <v>1531</v>
      </c>
      <c r="I1330" s="37">
        <v>18466575.149999999</v>
      </c>
      <c r="J1330" s="122">
        <v>0.93203074879900616</v>
      </c>
      <c r="K1330" s="123">
        <f>X1330</f>
        <v>18642353.387814865</v>
      </c>
      <c r="L1330" s="122">
        <f>IF(K1334&gt;0, K1330/K1334, 0)</f>
        <v>0.92465887287514648</v>
      </c>
      <c r="M1330" s="71"/>
      <c r="N1330" s="10">
        <f>ROUND(M1334*L1330,0)</f>
        <v>14172922</v>
      </c>
      <c r="O1330" s="70">
        <v>14127909</v>
      </c>
      <c r="P1330" s="10">
        <f>N1330-O1330</f>
        <v>45013</v>
      </c>
      <c r="Q1330" s="46">
        <f t="shared" si="209"/>
        <v>0.31861048935125502</v>
      </c>
      <c r="R1330" s="10">
        <v>1940</v>
      </c>
      <c r="S1330" s="7">
        <f t="shared" si="202"/>
        <v>0</v>
      </c>
      <c r="T1330" s="124">
        <f t="shared" si="203"/>
        <v>265</v>
      </c>
      <c r="U1330" s="124">
        <f t="shared" si="204"/>
        <v>265</v>
      </c>
      <c r="V1330" s="124">
        <f t="shared" si="205"/>
        <v>1321</v>
      </c>
      <c r="W1330" s="124">
        <f t="shared" si="206"/>
        <v>1912</v>
      </c>
      <c r="X1330" s="124">
        <f t="shared" si="207"/>
        <v>18642353.387814865</v>
      </c>
      <c r="Y1330" s="264">
        <f t="shared" si="208"/>
        <v>1321</v>
      </c>
      <c r="Z1330" s="10">
        <v>265</v>
      </c>
      <c r="AA1330" s="7">
        <v>265</v>
      </c>
      <c r="AB1330" s="7">
        <v>1321</v>
      </c>
      <c r="AC1330" s="109">
        <v>1912</v>
      </c>
      <c r="AD1330" s="109">
        <v>18642353.387814865</v>
      </c>
      <c r="AE1330" s="125"/>
      <c r="AF1330" s="10"/>
      <c r="AI1330" s="109"/>
      <c r="AJ1330" s="109"/>
      <c r="AL1330" s="10"/>
      <c r="AO1330" s="109"/>
      <c r="AP1330" s="109"/>
      <c r="AR1330" s="10"/>
      <c r="AU1330" s="109"/>
      <c r="AV1330" s="109"/>
      <c r="AX1330" s="10"/>
      <c r="BA1330" s="109"/>
      <c r="BB1330" s="109"/>
      <c r="BD1330" s="10"/>
      <c r="BG1330" s="109"/>
      <c r="BH1330" s="109"/>
      <c r="BJ1330" s="10"/>
      <c r="BM1330" s="109"/>
      <c r="BN1330" s="109"/>
      <c r="BP1330" s="10"/>
      <c r="BS1330" s="109"/>
      <c r="BT1330" s="109"/>
      <c r="BV1330" s="10"/>
      <c r="BY1330" s="109"/>
      <c r="BZ1330" s="109"/>
      <c r="CB1330" s="10"/>
      <c r="CE1330" s="109"/>
      <c r="CF1330" s="109"/>
      <c r="CH1330" s="10"/>
      <c r="CK1330" s="109"/>
      <c r="CL1330" s="109"/>
    </row>
    <row r="1331" spans="1:90">
      <c r="A1331" s="7" t="str">
        <f t="shared" si="201"/>
        <v>02650878</v>
      </c>
      <c r="B1331" s="7" t="s">
        <v>2604</v>
      </c>
      <c r="C1331" s="7" t="s">
        <v>2775</v>
      </c>
      <c r="D1331" s="7">
        <v>1322</v>
      </c>
      <c r="E1331" s="7">
        <v>265</v>
      </c>
      <c r="F1331" s="7" t="s">
        <v>1970</v>
      </c>
      <c r="G1331" s="7">
        <v>878</v>
      </c>
      <c r="H1331" s="7" t="s">
        <v>1702</v>
      </c>
      <c r="I1331" s="37">
        <v>1208800</v>
      </c>
      <c r="J1331" s="122">
        <v>6.1009621978996946E-2</v>
      </c>
      <c r="K1331" s="123">
        <f t="shared" si="210"/>
        <v>1362806.0665764438</v>
      </c>
      <c r="L1331" s="122">
        <f>IF(K1334&gt;0, K1331/K1334, 0)</f>
        <v>6.7595045284982169E-2</v>
      </c>
      <c r="M1331" s="71"/>
      <c r="N1331" s="10">
        <f>ROUND(M1334*L1331,0)</f>
        <v>1036079</v>
      </c>
      <c r="O1331" s="70">
        <v>924796</v>
      </c>
      <c r="P1331" s="10">
        <f>N1331-O1331</f>
        <v>111283</v>
      </c>
      <c r="Q1331" s="46">
        <f t="shared" si="209"/>
        <v>12.033248413704211</v>
      </c>
      <c r="R1331" s="10">
        <v>76</v>
      </c>
      <c r="S1331" s="7">
        <f t="shared" si="202"/>
        <v>0</v>
      </c>
      <c r="T1331" s="124">
        <f t="shared" si="203"/>
        <v>265</v>
      </c>
      <c r="U1331" s="124">
        <f t="shared" si="204"/>
        <v>878</v>
      </c>
      <c r="V1331" s="124">
        <f t="shared" si="205"/>
        <v>1322</v>
      </c>
      <c r="W1331" s="124">
        <f t="shared" si="206"/>
        <v>82.999999998989992</v>
      </c>
      <c r="X1331" s="124">
        <f t="shared" si="207"/>
        <v>1362806.0665764438</v>
      </c>
      <c r="Y1331" s="264">
        <f t="shared" si="208"/>
        <v>1322</v>
      </c>
      <c r="Z1331" s="10">
        <v>265</v>
      </c>
      <c r="AA1331" s="7">
        <v>878</v>
      </c>
      <c r="AB1331" s="7">
        <v>1322</v>
      </c>
      <c r="AC1331" s="109">
        <v>82.999999998989992</v>
      </c>
      <c r="AD1331" s="109">
        <v>1362806.0665764438</v>
      </c>
      <c r="AE1331" s="125"/>
      <c r="AF1331" s="10"/>
      <c r="AI1331" s="109"/>
      <c r="AJ1331" s="109"/>
      <c r="AL1331" s="10"/>
      <c r="AO1331" s="109"/>
      <c r="AP1331" s="109"/>
      <c r="AR1331" s="10"/>
      <c r="AU1331" s="109"/>
      <c r="AV1331" s="109"/>
      <c r="AX1331" s="10"/>
      <c r="BA1331" s="109"/>
      <c r="BB1331" s="109"/>
      <c r="BD1331" s="10"/>
      <c r="BG1331" s="109"/>
      <c r="BH1331" s="109"/>
      <c r="BJ1331" s="10"/>
      <c r="BM1331" s="109"/>
      <c r="BN1331" s="109"/>
      <c r="BP1331" s="10"/>
      <c r="BS1331" s="109"/>
      <c r="BT1331" s="109"/>
      <c r="BV1331" s="10"/>
      <c r="BY1331" s="109"/>
      <c r="BZ1331" s="109"/>
      <c r="CB1331" s="10"/>
      <c r="CE1331" s="109"/>
      <c r="CF1331" s="109"/>
      <c r="CH1331" s="10"/>
      <c r="CK1331" s="109"/>
      <c r="CL1331" s="109"/>
    </row>
    <row r="1332" spans="1:90">
      <c r="A1332" s="7" t="str">
        <f t="shared" si="201"/>
        <v>02650910</v>
      </c>
      <c r="B1332" s="7" t="s">
        <v>2604</v>
      </c>
      <c r="C1332" s="7" t="s">
        <v>2778</v>
      </c>
      <c r="D1332" s="7">
        <v>1323</v>
      </c>
      <c r="E1332" s="7">
        <v>265</v>
      </c>
      <c r="F1332" s="7" t="s">
        <v>1970</v>
      </c>
      <c r="G1332" s="7">
        <v>910</v>
      </c>
      <c r="H1332" s="7" t="s">
        <v>1705</v>
      </c>
      <c r="I1332" s="37">
        <v>137893</v>
      </c>
      <c r="J1332" s="122">
        <v>6.9596292219968776E-3</v>
      </c>
      <c r="K1332" s="123">
        <f t="shared" si="210"/>
        <v>156171.31816493705</v>
      </c>
      <c r="L1332" s="122">
        <f>IF(K1334&gt;0, K1332/K1334, 0)</f>
        <v>7.7460818398713358E-3</v>
      </c>
      <c r="M1332" s="71"/>
      <c r="N1332" s="10">
        <f>ROUND(M1334*L1332,0)</f>
        <v>118730</v>
      </c>
      <c r="O1332" s="70">
        <v>105495</v>
      </c>
      <c r="P1332" s="10">
        <f>N1332-O1332</f>
        <v>13235</v>
      </c>
      <c r="Q1332" s="46">
        <f t="shared" si="209"/>
        <v>12.545618275747666</v>
      </c>
      <c r="R1332" s="10">
        <v>9</v>
      </c>
      <c r="S1332" s="7">
        <f t="shared" si="202"/>
        <v>0</v>
      </c>
      <c r="T1332" s="124">
        <f t="shared" si="203"/>
        <v>265</v>
      </c>
      <c r="U1332" s="124">
        <f t="shared" si="204"/>
        <v>910</v>
      </c>
      <c r="V1332" s="124">
        <f t="shared" si="205"/>
        <v>1323</v>
      </c>
      <c r="W1332" s="124">
        <f t="shared" si="206"/>
        <v>9.99999999992</v>
      </c>
      <c r="X1332" s="124">
        <f t="shared" si="207"/>
        <v>156171.31816493705</v>
      </c>
      <c r="Y1332" s="264">
        <f t="shared" si="208"/>
        <v>1323</v>
      </c>
      <c r="Z1332" s="10">
        <v>265</v>
      </c>
      <c r="AA1332" s="7">
        <v>910</v>
      </c>
      <c r="AB1332" s="7">
        <v>1323</v>
      </c>
      <c r="AC1332" s="109">
        <v>9.99999999992</v>
      </c>
      <c r="AD1332" s="109">
        <v>156171.31816493705</v>
      </c>
      <c r="AE1332" s="125"/>
      <c r="AF1332" s="10"/>
      <c r="AI1332" s="109"/>
      <c r="AJ1332" s="109"/>
      <c r="AL1332" s="10"/>
      <c r="AO1332" s="109"/>
      <c r="AP1332" s="109"/>
      <c r="AR1332" s="10"/>
      <c r="AU1332" s="109"/>
      <c r="AV1332" s="109"/>
      <c r="AX1332" s="10"/>
      <c r="BA1332" s="109"/>
      <c r="BB1332" s="109"/>
      <c r="BD1332" s="10"/>
      <c r="BG1332" s="109"/>
      <c r="BH1332" s="109"/>
      <c r="BJ1332" s="10"/>
      <c r="BM1332" s="109"/>
      <c r="BN1332" s="109"/>
      <c r="BP1332" s="10"/>
      <c r="BS1332" s="109"/>
      <c r="BT1332" s="109"/>
      <c r="BV1332" s="10"/>
      <c r="BY1332" s="109"/>
      <c r="BZ1332" s="109"/>
      <c r="CB1332" s="10"/>
      <c r="CE1332" s="109"/>
      <c r="CF1332" s="109"/>
      <c r="CH1332" s="10"/>
      <c r="CK1332" s="109"/>
      <c r="CL1332" s="109"/>
    </row>
    <row r="1333" spans="1:90">
      <c r="A1333" s="7" t="str">
        <f t="shared" si="201"/>
        <v>02650998</v>
      </c>
      <c r="B1333" s="7" t="s">
        <v>2604</v>
      </c>
      <c r="C1333" s="7" t="s">
        <v>2781</v>
      </c>
      <c r="D1333" s="7">
        <v>1324</v>
      </c>
      <c r="E1333" s="7">
        <v>265</v>
      </c>
      <c r="F1333" s="7" t="s">
        <v>2135</v>
      </c>
      <c r="G1333" s="7">
        <v>998</v>
      </c>
      <c r="H1333" s="7" t="s">
        <v>2135</v>
      </c>
      <c r="I1333" s="37">
        <v>0</v>
      </c>
      <c r="J1333" s="122">
        <v>0</v>
      </c>
      <c r="K1333" s="123">
        <f t="shared" si="210"/>
        <v>0</v>
      </c>
      <c r="L1333" s="122">
        <f>IF(K1334&gt;0, K1333/K1334, 0)</f>
        <v>0</v>
      </c>
      <c r="M1333" s="71"/>
      <c r="N1333" s="10">
        <f>ROUND(M1334*L1333,0)</f>
        <v>0</v>
      </c>
      <c r="O1333" s="70">
        <v>0</v>
      </c>
      <c r="P1333" s="10">
        <f>N1333-O1333</f>
        <v>0</v>
      </c>
      <c r="Q1333" s="46">
        <f t="shared" si="209"/>
        <v>0</v>
      </c>
      <c r="R1333" s="10">
        <v>0</v>
      </c>
      <c r="S1333" s="7">
        <f t="shared" si="202"/>
        <v>0</v>
      </c>
      <c r="T1333" s="124">
        <f t="shared" si="203"/>
        <v>265</v>
      </c>
      <c r="U1333" s="124">
        <f t="shared" si="204"/>
        <v>998</v>
      </c>
      <c r="V1333" s="124">
        <f t="shared" si="205"/>
        <v>1324</v>
      </c>
      <c r="W1333" s="124">
        <f t="shared" si="206"/>
        <v>0</v>
      </c>
      <c r="X1333" s="124">
        <f t="shared" si="207"/>
        <v>0</v>
      </c>
      <c r="Y1333" s="264">
        <f t="shared" si="208"/>
        <v>1324</v>
      </c>
      <c r="Z1333" s="10">
        <v>265</v>
      </c>
      <c r="AA1333" s="7">
        <v>998</v>
      </c>
      <c r="AB1333" s="7">
        <v>1324</v>
      </c>
      <c r="AC1333" s="109">
        <v>0</v>
      </c>
      <c r="AD1333" s="109">
        <v>0</v>
      </c>
      <c r="AE1333" s="125"/>
      <c r="AF1333" s="10"/>
      <c r="AI1333" s="109"/>
      <c r="AJ1333" s="109"/>
      <c r="AL1333" s="10"/>
      <c r="AO1333" s="109"/>
      <c r="AP1333" s="109"/>
      <c r="AR1333" s="10"/>
      <c r="AU1333" s="109"/>
      <c r="AV1333" s="109"/>
      <c r="AX1333" s="10"/>
      <c r="BA1333" s="109"/>
      <c r="BB1333" s="109"/>
      <c r="BD1333" s="10"/>
      <c r="BG1333" s="109"/>
      <c r="BH1333" s="109"/>
      <c r="BJ1333" s="10"/>
      <c r="BM1333" s="109"/>
      <c r="BN1333" s="109"/>
      <c r="BP1333" s="10"/>
      <c r="BS1333" s="109"/>
      <c r="BT1333" s="109"/>
      <c r="BV1333" s="10"/>
      <c r="BY1333" s="109"/>
      <c r="BZ1333" s="109"/>
      <c r="CB1333" s="10"/>
      <c r="CE1333" s="109"/>
      <c r="CF1333" s="109"/>
      <c r="CH1333" s="10"/>
      <c r="CK1333" s="109"/>
      <c r="CL1333" s="109"/>
    </row>
    <row r="1334" spans="1:90">
      <c r="A1334" s="7" t="str">
        <f t="shared" si="201"/>
        <v>02650999</v>
      </c>
      <c r="B1334" s="7" t="s">
        <v>2604</v>
      </c>
      <c r="C1334" s="7" t="s">
        <v>2782</v>
      </c>
      <c r="D1334" s="7">
        <v>1325</v>
      </c>
      <c r="E1334" s="11">
        <v>265</v>
      </c>
      <c r="F1334" s="11" t="s">
        <v>1970</v>
      </c>
      <c r="G1334" s="11">
        <v>999</v>
      </c>
      <c r="H1334" s="11" t="s">
        <v>1132</v>
      </c>
      <c r="I1334" s="105">
        <v>19813268.149999999</v>
      </c>
      <c r="J1334" s="126">
        <v>1</v>
      </c>
      <c r="K1334" s="127">
        <f>SUM(K1330:K1333)</f>
        <v>20161330.772556245</v>
      </c>
      <c r="L1334" s="126">
        <f>SUM(L1330:L1333)</f>
        <v>1</v>
      </c>
      <c r="M1334" s="105">
        <f>VLOOKUP(E1334,town351,22)</f>
        <v>15327731</v>
      </c>
      <c r="N1334" s="105">
        <f>SUM(N1330:N1333)</f>
        <v>15327731</v>
      </c>
      <c r="O1334" s="128">
        <v>15158200</v>
      </c>
      <c r="P1334" s="105">
        <f>SUM(P1330:P1333)</f>
        <v>169531</v>
      </c>
      <c r="Q1334" s="45">
        <f t="shared" si="209"/>
        <v>1.1184111569975328</v>
      </c>
      <c r="R1334" s="105">
        <v>2025</v>
      </c>
      <c r="S1334" s="7">
        <f t="shared" si="202"/>
        <v>0</v>
      </c>
      <c r="T1334" s="124">
        <f t="shared" si="203"/>
        <v>265</v>
      </c>
      <c r="U1334" s="124">
        <f t="shared" si="204"/>
        <v>999</v>
      </c>
      <c r="V1334" s="124">
        <f t="shared" si="205"/>
        <v>1325</v>
      </c>
      <c r="W1334" s="124">
        <f t="shared" si="206"/>
        <v>2004.99999999891</v>
      </c>
      <c r="X1334" s="124">
        <f t="shared" si="207"/>
        <v>20161330.772556245</v>
      </c>
      <c r="Y1334" s="264">
        <f t="shared" si="208"/>
        <v>1325</v>
      </c>
      <c r="Z1334" s="10">
        <v>265</v>
      </c>
      <c r="AA1334" s="7">
        <v>999</v>
      </c>
      <c r="AB1334" s="7">
        <v>1325</v>
      </c>
      <c r="AC1334" s="109">
        <v>2004.99999999891</v>
      </c>
      <c r="AD1334" s="109">
        <v>20161330.772556245</v>
      </c>
      <c r="AE1334" s="125"/>
      <c r="AF1334" s="10"/>
      <c r="AI1334" s="109"/>
      <c r="AJ1334" s="109"/>
      <c r="AL1334" s="10"/>
      <c r="AO1334" s="109"/>
      <c r="AP1334" s="109"/>
      <c r="AR1334" s="10"/>
      <c r="AU1334" s="109"/>
      <c r="AV1334" s="109"/>
      <c r="AX1334" s="10"/>
      <c r="BA1334" s="109"/>
      <c r="BB1334" s="109"/>
      <c r="BD1334" s="10"/>
      <c r="BG1334" s="109"/>
      <c r="BH1334" s="109"/>
      <c r="BJ1334" s="10"/>
      <c r="BM1334" s="109"/>
      <c r="BN1334" s="109"/>
      <c r="BP1334" s="10"/>
      <c r="BS1334" s="109"/>
      <c r="BT1334" s="109"/>
      <c r="BV1334" s="10"/>
      <c r="BY1334" s="109"/>
      <c r="BZ1334" s="109"/>
      <c r="CB1334" s="10"/>
      <c r="CE1334" s="109"/>
      <c r="CF1334" s="109"/>
      <c r="CH1334" s="10"/>
      <c r="CK1334" s="109"/>
      <c r="CL1334" s="109"/>
    </row>
    <row r="1335" spans="1:90">
      <c r="A1335" s="7" t="str">
        <f t="shared" si="201"/>
        <v>02660266</v>
      </c>
      <c r="B1335" s="7" t="s">
        <v>2605</v>
      </c>
      <c r="C1335" s="7" t="s">
        <v>2605</v>
      </c>
      <c r="D1335" s="7">
        <v>1326</v>
      </c>
      <c r="E1335" s="7">
        <v>266</v>
      </c>
      <c r="F1335" s="7" t="s">
        <v>1971</v>
      </c>
      <c r="G1335" s="7">
        <v>266</v>
      </c>
      <c r="H1335" s="7" t="s">
        <v>1532</v>
      </c>
      <c r="I1335" s="37">
        <v>32581200.061299995</v>
      </c>
      <c r="J1335" s="122">
        <v>0.98880068177652591</v>
      </c>
      <c r="K1335" s="123">
        <f>X1335</f>
        <v>33110463.782192025</v>
      </c>
      <c r="L1335" s="122">
        <f>IF(K1339&gt;0, K1335/K1339, 0)</f>
        <v>0.99019783104243009</v>
      </c>
      <c r="M1335" s="71"/>
      <c r="N1335" s="10">
        <f>ROUND(M1339*L1335,0)</f>
        <v>27317316</v>
      </c>
      <c r="O1335" s="70">
        <v>26421487</v>
      </c>
      <c r="P1335" s="10">
        <f>N1335-O1335</f>
        <v>895829</v>
      </c>
      <c r="Q1335" s="46">
        <f t="shared" si="209"/>
        <v>3.3905321074472456</v>
      </c>
      <c r="R1335" s="10">
        <v>3418</v>
      </c>
      <c r="S1335" s="7">
        <f t="shared" si="202"/>
        <v>0</v>
      </c>
      <c r="T1335" s="124">
        <f t="shared" si="203"/>
        <v>266</v>
      </c>
      <c r="U1335" s="124">
        <f t="shared" si="204"/>
        <v>266</v>
      </c>
      <c r="V1335" s="124">
        <f t="shared" si="205"/>
        <v>1326</v>
      </c>
      <c r="W1335" s="124">
        <f t="shared" si="206"/>
        <v>3401</v>
      </c>
      <c r="X1335" s="124">
        <f t="shared" si="207"/>
        <v>33110463.782192025</v>
      </c>
      <c r="Y1335" s="264">
        <f t="shared" si="208"/>
        <v>1326</v>
      </c>
      <c r="Z1335" s="10">
        <v>266</v>
      </c>
      <c r="AA1335" s="7">
        <v>266</v>
      </c>
      <c r="AB1335" s="7">
        <v>1326</v>
      </c>
      <c r="AC1335" s="109">
        <v>3401</v>
      </c>
      <c r="AD1335" s="109">
        <v>33110463.782192025</v>
      </c>
      <c r="AE1335" s="125"/>
      <c r="AF1335" s="10"/>
      <c r="AI1335" s="109"/>
      <c r="AJ1335" s="109"/>
      <c r="AL1335" s="10"/>
      <c r="AO1335" s="109"/>
      <c r="AP1335" s="109"/>
      <c r="AR1335" s="10"/>
      <c r="AU1335" s="109"/>
      <c r="AV1335" s="109"/>
      <c r="AX1335" s="10"/>
      <c r="BA1335" s="109"/>
      <c r="BB1335" s="109"/>
      <c r="BD1335" s="10"/>
      <c r="BG1335" s="109"/>
      <c r="BH1335" s="109"/>
      <c r="BJ1335" s="10"/>
      <c r="BM1335" s="109"/>
      <c r="BN1335" s="109"/>
      <c r="BP1335" s="10"/>
      <c r="BS1335" s="109"/>
      <c r="BT1335" s="109"/>
      <c r="BV1335" s="10"/>
      <c r="BY1335" s="109"/>
      <c r="BZ1335" s="109"/>
      <c r="CB1335" s="10"/>
      <c r="CE1335" s="109"/>
      <c r="CF1335" s="109"/>
      <c r="CH1335" s="10"/>
      <c r="CK1335" s="109"/>
      <c r="CL1335" s="109"/>
    </row>
    <row r="1336" spans="1:90">
      <c r="A1336" s="7" t="str">
        <f t="shared" si="201"/>
        <v>02660872</v>
      </c>
      <c r="B1336" s="7" t="s">
        <v>2605</v>
      </c>
      <c r="C1336" s="7" t="s">
        <v>2772</v>
      </c>
      <c r="D1336" s="7">
        <v>1327</v>
      </c>
      <c r="E1336" s="7">
        <v>266</v>
      </c>
      <c r="F1336" s="7" t="s">
        <v>1971</v>
      </c>
      <c r="G1336" s="7">
        <v>872</v>
      </c>
      <c r="H1336" s="7" t="s">
        <v>1699</v>
      </c>
      <c r="I1336" s="37">
        <v>320608</v>
      </c>
      <c r="J1336" s="122">
        <v>9.7300715868830819E-3</v>
      </c>
      <c r="K1336" s="123">
        <f t="shared" si="210"/>
        <v>278350.29758592625</v>
      </c>
      <c r="L1336" s="122">
        <f>IF(K1339&gt;0, K1336/K1339, 0)</f>
        <v>8.3243129046062566E-3</v>
      </c>
      <c r="M1336" s="71"/>
      <c r="N1336" s="10">
        <f>ROUND(M1339*L1336,0)</f>
        <v>229649</v>
      </c>
      <c r="O1336" s="70">
        <v>259995</v>
      </c>
      <c r="P1336" s="10">
        <f>N1336-O1336</f>
        <v>-30346</v>
      </c>
      <c r="Q1336" s="46">
        <f t="shared" si="209"/>
        <v>-11.671762918517663</v>
      </c>
      <c r="R1336" s="10">
        <v>20</v>
      </c>
      <c r="S1336" s="7">
        <f t="shared" si="202"/>
        <v>0</v>
      </c>
      <c r="T1336" s="124">
        <f t="shared" si="203"/>
        <v>266</v>
      </c>
      <c r="U1336" s="124">
        <f t="shared" si="204"/>
        <v>872</v>
      </c>
      <c r="V1336" s="124">
        <f t="shared" si="205"/>
        <v>1327</v>
      </c>
      <c r="W1336" s="124">
        <f t="shared" si="206"/>
        <v>17.033864540490001</v>
      </c>
      <c r="X1336" s="124">
        <f t="shared" si="207"/>
        <v>278350.29758592625</v>
      </c>
      <c r="Y1336" s="264">
        <f t="shared" si="208"/>
        <v>1327</v>
      </c>
      <c r="Z1336" s="10">
        <v>266</v>
      </c>
      <c r="AA1336" s="7">
        <v>872</v>
      </c>
      <c r="AB1336" s="7">
        <v>1327</v>
      </c>
      <c r="AC1336" s="109">
        <v>17.033864540490001</v>
      </c>
      <c r="AD1336" s="109">
        <v>278350.29758592625</v>
      </c>
      <c r="AE1336" s="125"/>
      <c r="AF1336" s="10"/>
      <c r="AI1336" s="109"/>
      <c r="AJ1336" s="109"/>
      <c r="AL1336" s="10"/>
      <c r="AO1336" s="109"/>
      <c r="AP1336" s="109"/>
      <c r="AR1336" s="10"/>
      <c r="AU1336" s="109"/>
      <c r="AV1336" s="109"/>
      <c r="AX1336" s="10"/>
      <c r="BA1336" s="109"/>
      <c r="BB1336" s="109"/>
      <c r="BD1336" s="10"/>
      <c r="BG1336" s="109"/>
      <c r="BH1336" s="109"/>
      <c r="BJ1336" s="10"/>
      <c r="BM1336" s="109"/>
      <c r="BN1336" s="109"/>
      <c r="BP1336" s="10"/>
      <c r="BS1336" s="109"/>
      <c r="BT1336" s="109"/>
      <c r="BV1336" s="10"/>
      <c r="BY1336" s="109"/>
      <c r="BZ1336" s="109"/>
      <c r="CB1336" s="10"/>
      <c r="CE1336" s="109"/>
      <c r="CF1336" s="109"/>
      <c r="CH1336" s="10"/>
      <c r="CK1336" s="109"/>
      <c r="CL1336" s="109"/>
    </row>
    <row r="1337" spans="1:90">
      <c r="A1337" s="7" t="str">
        <f t="shared" si="201"/>
        <v>02660915</v>
      </c>
      <c r="B1337" s="7" t="s">
        <v>2605</v>
      </c>
      <c r="C1337" s="7" t="s">
        <v>2779</v>
      </c>
      <c r="D1337" s="7">
        <v>1328</v>
      </c>
      <c r="E1337" s="7">
        <v>266</v>
      </c>
      <c r="F1337" s="7" t="s">
        <v>1971</v>
      </c>
      <c r="G1337" s="7">
        <v>915</v>
      </c>
      <c r="H1337" s="7" t="s">
        <v>1706</v>
      </c>
      <c r="I1337" s="37">
        <v>48412</v>
      </c>
      <c r="J1337" s="122">
        <v>1.4692466365910514E-3</v>
      </c>
      <c r="K1337" s="123">
        <f t="shared" si="210"/>
        <v>49416.892042101907</v>
      </c>
      <c r="L1337" s="122">
        <f>IF(K1339&gt;0, K1337/K1339, 0)</f>
        <v>1.4778560529636814E-3</v>
      </c>
      <c r="M1337" s="71"/>
      <c r="N1337" s="10">
        <f>ROUND(M1339*L1337,0)</f>
        <v>40771</v>
      </c>
      <c r="O1337" s="70">
        <v>39259</v>
      </c>
      <c r="P1337" s="10">
        <f>N1337-O1337</f>
        <v>1512</v>
      </c>
      <c r="Q1337" s="46">
        <f t="shared" si="209"/>
        <v>3.8513461881352047</v>
      </c>
      <c r="R1337" s="10">
        <v>3</v>
      </c>
      <c r="S1337" s="7">
        <f t="shared" si="202"/>
        <v>0</v>
      </c>
      <c r="T1337" s="124">
        <f t="shared" si="203"/>
        <v>266</v>
      </c>
      <c r="U1337" s="124">
        <f t="shared" si="204"/>
        <v>915</v>
      </c>
      <c r="V1337" s="124">
        <f t="shared" si="205"/>
        <v>1328</v>
      </c>
      <c r="W1337" s="124">
        <f t="shared" si="206"/>
        <v>2.99999999943</v>
      </c>
      <c r="X1337" s="124">
        <f t="shared" si="207"/>
        <v>49416.892042101907</v>
      </c>
      <c r="Y1337" s="264">
        <f t="shared" si="208"/>
        <v>1328</v>
      </c>
      <c r="Z1337" s="10">
        <v>266</v>
      </c>
      <c r="AA1337" s="7">
        <v>915</v>
      </c>
      <c r="AB1337" s="7">
        <v>1328</v>
      </c>
      <c r="AC1337" s="109">
        <v>2.99999999943</v>
      </c>
      <c r="AD1337" s="109">
        <v>49416.892042101907</v>
      </c>
      <c r="AE1337" s="125"/>
      <c r="AF1337" s="10"/>
      <c r="AI1337" s="109"/>
      <c r="AJ1337" s="109"/>
      <c r="AL1337" s="10"/>
      <c r="AO1337" s="109"/>
      <c r="AP1337" s="109"/>
      <c r="AR1337" s="10"/>
      <c r="AU1337" s="109"/>
      <c r="AV1337" s="109"/>
      <c r="AX1337" s="10"/>
      <c r="BA1337" s="109"/>
      <c r="BB1337" s="109"/>
      <c r="BD1337" s="10"/>
      <c r="BG1337" s="109"/>
      <c r="BH1337" s="109"/>
      <c r="BJ1337" s="10"/>
      <c r="BM1337" s="109"/>
      <c r="BN1337" s="109"/>
      <c r="BP1337" s="10"/>
      <c r="BS1337" s="109"/>
      <c r="BT1337" s="109"/>
      <c r="BV1337" s="10"/>
      <c r="BY1337" s="109"/>
      <c r="BZ1337" s="109"/>
      <c r="CB1337" s="10"/>
      <c r="CE1337" s="109"/>
      <c r="CF1337" s="109"/>
      <c r="CH1337" s="10"/>
      <c r="CK1337" s="109"/>
      <c r="CL1337" s="109"/>
    </row>
    <row r="1338" spans="1:90">
      <c r="A1338" s="7" t="str">
        <f t="shared" si="201"/>
        <v>02660998</v>
      </c>
      <c r="B1338" s="7" t="s">
        <v>2605</v>
      </c>
      <c r="C1338" s="7" t="s">
        <v>2781</v>
      </c>
      <c r="D1338" s="7">
        <v>1329</v>
      </c>
      <c r="E1338" s="7">
        <v>266</v>
      </c>
      <c r="F1338" s="7" t="s">
        <v>2135</v>
      </c>
      <c r="G1338" s="7">
        <v>998</v>
      </c>
      <c r="H1338" s="7" t="s">
        <v>2135</v>
      </c>
      <c r="I1338" s="37">
        <v>0</v>
      </c>
      <c r="J1338" s="122">
        <v>0</v>
      </c>
      <c r="K1338" s="123">
        <f t="shared" si="210"/>
        <v>0</v>
      </c>
      <c r="L1338" s="122">
        <f>IF(K1339&gt;0, K1338/K1339, 0)</f>
        <v>0</v>
      </c>
      <c r="M1338" s="71"/>
      <c r="N1338" s="10">
        <f>ROUND(M1339*L1338,0)</f>
        <v>0</v>
      </c>
      <c r="O1338" s="70">
        <v>0</v>
      </c>
      <c r="P1338" s="10">
        <f>N1338-O1338</f>
        <v>0</v>
      </c>
      <c r="Q1338" s="46">
        <f t="shared" si="209"/>
        <v>0</v>
      </c>
      <c r="R1338" s="10">
        <v>0</v>
      </c>
      <c r="S1338" s="7">
        <f t="shared" si="202"/>
        <v>0</v>
      </c>
      <c r="T1338" s="124">
        <f t="shared" si="203"/>
        <v>266</v>
      </c>
      <c r="U1338" s="124">
        <f t="shared" si="204"/>
        <v>998</v>
      </c>
      <c r="V1338" s="124">
        <f t="shared" si="205"/>
        <v>1329</v>
      </c>
      <c r="W1338" s="124">
        <f t="shared" si="206"/>
        <v>0</v>
      </c>
      <c r="X1338" s="124">
        <f t="shared" si="207"/>
        <v>0</v>
      </c>
      <c r="Y1338" s="264">
        <f t="shared" si="208"/>
        <v>1329</v>
      </c>
      <c r="Z1338" s="10">
        <v>266</v>
      </c>
      <c r="AA1338" s="7">
        <v>998</v>
      </c>
      <c r="AB1338" s="7">
        <v>1329</v>
      </c>
      <c r="AC1338" s="109">
        <v>0</v>
      </c>
      <c r="AD1338" s="109">
        <v>0</v>
      </c>
      <c r="AE1338" s="125"/>
      <c r="AF1338" s="10"/>
      <c r="AI1338" s="109"/>
      <c r="AJ1338" s="109"/>
      <c r="AL1338" s="10"/>
      <c r="AO1338" s="109"/>
      <c r="AP1338" s="109"/>
      <c r="AR1338" s="10"/>
      <c r="AU1338" s="109"/>
      <c r="AV1338" s="109"/>
      <c r="AX1338" s="10"/>
      <c r="BA1338" s="109"/>
      <c r="BB1338" s="109"/>
      <c r="BD1338" s="10"/>
      <c r="BG1338" s="109"/>
      <c r="BH1338" s="109"/>
      <c r="BJ1338" s="10"/>
      <c r="BM1338" s="109"/>
      <c r="BN1338" s="109"/>
      <c r="BP1338" s="10"/>
      <c r="BS1338" s="109"/>
      <c r="BT1338" s="109"/>
      <c r="BV1338" s="10"/>
      <c r="BY1338" s="109"/>
      <c r="BZ1338" s="109"/>
      <c r="CB1338" s="10"/>
      <c r="CE1338" s="109"/>
      <c r="CF1338" s="109"/>
      <c r="CH1338" s="10"/>
      <c r="CK1338" s="109"/>
      <c r="CL1338" s="109"/>
    </row>
    <row r="1339" spans="1:90">
      <c r="A1339" s="7" t="str">
        <f t="shared" si="201"/>
        <v>02660999</v>
      </c>
      <c r="B1339" s="7" t="s">
        <v>2605</v>
      </c>
      <c r="C1339" s="7" t="s">
        <v>2782</v>
      </c>
      <c r="D1339" s="7">
        <v>1330</v>
      </c>
      <c r="E1339" s="11">
        <v>266</v>
      </c>
      <c r="F1339" s="11" t="s">
        <v>1971</v>
      </c>
      <c r="G1339" s="11">
        <v>999</v>
      </c>
      <c r="H1339" s="11" t="s">
        <v>1132</v>
      </c>
      <c r="I1339" s="105">
        <v>32950220.061299995</v>
      </c>
      <c r="J1339" s="126">
        <v>1</v>
      </c>
      <c r="K1339" s="127">
        <f>SUM(K1335:K1338)</f>
        <v>33438230.971820053</v>
      </c>
      <c r="L1339" s="126">
        <f>SUM(L1335:L1338)</f>
        <v>1</v>
      </c>
      <c r="M1339" s="105">
        <f>VLOOKUP(E1339,town351,22)</f>
        <v>27587736</v>
      </c>
      <c r="N1339" s="105">
        <f>SUM(N1335:N1338)</f>
        <v>27587736</v>
      </c>
      <c r="O1339" s="128">
        <v>26720741</v>
      </c>
      <c r="P1339" s="105">
        <f>SUM(P1335:P1338)</f>
        <v>866995</v>
      </c>
      <c r="Q1339" s="45">
        <f t="shared" si="209"/>
        <v>3.2446517856671715</v>
      </c>
      <c r="R1339" s="105">
        <v>3441</v>
      </c>
      <c r="S1339" s="7">
        <f t="shared" si="202"/>
        <v>0</v>
      </c>
      <c r="T1339" s="124">
        <f t="shared" si="203"/>
        <v>266</v>
      </c>
      <c r="U1339" s="124">
        <f t="shared" si="204"/>
        <v>999</v>
      </c>
      <c r="V1339" s="124">
        <f t="shared" si="205"/>
        <v>1330</v>
      </c>
      <c r="W1339" s="124">
        <f t="shared" si="206"/>
        <v>3421.0338645399202</v>
      </c>
      <c r="X1339" s="124">
        <f t="shared" si="207"/>
        <v>33438230.971820053</v>
      </c>
      <c r="Y1339" s="264">
        <f t="shared" si="208"/>
        <v>1330</v>
      </c>
      <c r="Z1339" s="10">
        <v>266</v>
      </c>
      <c r="AA1339" s="7">
        <v>999</v>
      </c>
      <c r="AB1339" s="7">
        <v>1330</v>
      </c>
      <c r="AC1339" s="109">
        <v>3421.0338645399202</v>
      </c>
      <c r="AD1339" s="109">
        <v>33438230.971820053</v>
      </c>
      <c r="AE1339" s="125"/>
      <c r="AF1339" s="10"/>
      <c r="AI1339" s="109"/>
      <c r="AJ1339" s="109"/>
      <c r="AL1339" s="10"/>
      <c r="AO1339" s="109"/>
      <c r="AP1339" s="109"/>
      <c r="AR1339" s="10"/>
      <c r="AU1339" s="109"/>
      <c r="AV1339" s="109"/>
      <c r="AX1339" s="10"/>
      <c r="BA1339" s="109"/>
      <c r="BB1339" s="109"/>
      <c r="BD1339" s="10"/>
      <c r="BG1339" s="109"/>
      <c r="BH1339" s="109"/>
      <c r="BJ1339" s="10"/>
      <c r="BM1339" s="109"/>
      <c r="BN1339" s="109"/>
      <c r="BP1339" s="10"/>
      <c r="BS1339" s="109"/>
      <c r="BT1339" s="109"/>
      <c r="BV1339" s="10"/>
      <c r="BY1339" s="109"/>
      <c r="BZ1339" s="109"/>
      <c r="CB1339" s="10"/>
      <c r="CE1339" s="109"/>
      <c r="CF1339" s="109"/>
      <c r="CH1339" s="10"/>
      <c r="CK1339" s="109"/>
      <c r="CL1339" s="109"/>
    </row>
    <row r="1340" spans="1:90">
      <c r="A1340" s="7" t="str">
        <f t="shared" si="201"/>
        <v>02670267</v>
      </c>
      <c r="B1340" s="7" t="s">
        <v>2606</v>
      </c>
      <c r="C1340" s="7" t="s">
        <v>2606</v>
      </c>
      <c r="D1340" s="7">
        <v>1331</v>
      </c>
      <c r="E1340" s="7">
        <v>267</v>
      </c>
      <c r="F1340" s="7" t="s">
        <v>1972</v>
      </c>
      <c r="G1340" s="7">
        <v>267</v>
      </c>
      <c r="H1340" s="7" t="s">
        <v>1533</v>
      </c>
      <c r="I1340" s="37">
        <v>105367.36000000002</v>
      </c>
      <c r="J1340" s="122">
        <v>2.7646663254071079E-2</v>
      </c>
      <c r="K1340" s="123">
        <f>X1340</f>
        <v>93917.833405126818</v>
      </c>
      <c r="L1340" s="122">
        <f>IF(K1344&gt;0, K1340/K1344, 0)</f>
        <v>2.6137271163974799E-2</v>
      </c>
      <c r="M1340" s="71"/>
      <c r="N1340" s="10">
        <f>ROUND(M1344*L1340,0)</f>
        <v>79039</v>
      </c>
      <c r="O1340" s="70">
        <v>88541</v>
      </c>
      <c r="P1340" s="10">
        <f>N1340-O1340</f>
        <v>-9502</v>
      </c>
      <c r="Q1340" s="46">
        <f t="shared" si="209"/>
        <v>-10.731751392010482</v>
      </c>
      <c r="R1340" s="10">
        <v>8</v>
      </c>
      <c r="S1340" s="7">
        <f t="shared" si="202"/>
        <v>0</v>
      </c>
      <c r="T1340" s="124">
        <f t="shared" si="203"/>
        <v>267</v>
      </c>
      <c r="U1340" s="124">
        <f t="shared" si="204"/>
        <v>267</v>
      </c>
      <c r="V1340" s="124">
        <f t="shared" si="205"/>
        <v>1331</v>
      </c>
      <c r="W1340" s="124">
        <f t="shared" si="206"/>
        <v>7</v>
      </c>
      <c r="X1340" s="124">
        <f t="shared" si="207"/>
        <v>93917.833405126818</v>
      </c>
      <c r="Y1340" s="264">
        <f t="shared" si="208"/>
        <v>1331</v>
      </c>
      <c r="Z1340" s="10">
        <v>267</v>
      </c>
      <c r="AA1340" s="7">
        <v>267</v>
      </c>
      <c r="AB1340" s="7">
        <v>1331</v>
      </c>
      <c r="AC1340" s="109">
        <v>7</v>
      </c>
      <c r="AD1340" s="109">
        <v>93917.833405126818</v>
      </c>
      <c r="AE1340" s="125"/>
      <c r="AF1340" s="10"/>
      <c r="AI1340" s="109"/>
      <c r="AJ1340" s="109"/>
      <c r="AL1340" s="10"/>
      <c r="AO1340" s="109"/>
      <c r="AP1340" s="109"/>
      <c r="AR1340" s="10"/>
      <c r="AU1340" s="109"/>
      <c r="AV1340" s="109"/>
      <c r="AX1340" s="10"/>
      <c r="BA1340" s="109"/>
      <c r="BB1340" s="109"/>
      <c r="BD1340" s="10"/>
      <c r="BG1340" s="109"/>
      <c r="BH1340" s="109"/>
      <c r="BJ1340" s="10"/>
      <c r="BM1340" s="109"/>
      <c r="BN1340" s="109"/>
      <c r="BP1340" s="10"/>
      <c r="BS1340" s="109"/>
      <c r="BT1340" s="109"/>
      <c r="BV1340" s="10"/>
      <c r="BY1340" s="109"/>
      <c r="BZ1340" s="109"/>
      <c r="CB1340" s="10"/>
      <c r="CE1340" s="109"/>
      <c r="CF1340" s="109"/>
      <c r="CH1340" s="10"/>
      <c r="CK1340" s="109"/>
      <c r="CL1340" s="109"/>
    </row>
    <row r="1341" spans="1:90">
      <c r="A1341" s="7" t="str">
        <f t="shared" si="201"/>
        <v>02670765</v>
      </c>
      <c r="B1341" s="7" t="s">
        <v>2606</v>
      </c>
      <c r="C1341" s="7" t="s">
        <v>2743</v>
      </c>
      <c r="D1341" s="7">
        <v>1332</v>
      </c>
      <c r="E1341" s="7">
        <v>267</v>
      </c>
      <c r="F1341" s="7" t="s">
        <v>1972</v>
      </c>
      <c r="G1341" s="7">
        <v>765</v>
      </c>
      <c r="H1341" s="7" t="s">
        <v>1670</v>
      </c>
      <c r="I1341" s="37">
        <v>3705847</v>
      </c>
      <c r="J1341" s="122">
        <v>0.97235333674592894</v>
      </c>
      <c r="K1341" s="123">
        <f t="shared" si="210"/>
        <v>3499335.37255979</v>
      </c>
      <c r="L1341" s="122">
        <f>IF(K1344&gt;0, K1341/K1344, 0)</f>
        <v>0.9738627288360252</v>
      </c>
      <c r="M1341" s="71"/>
      <c r="N1341" s="10">
        <f>ROUND(M1344*L1341,0)</f>
        <v>2944948</v>
      </c>
      <c r="O1341" s="70">
        <v>3114063</v>
      </c>
      <c r="P1341" s="10">
        <f>N1341-O1341</f>
        <v>-169115</v>
      </c>
      <c r="Q1341" s="46">
        <f t="shared" si="209"/>
        <v>-5.4306865339590109</v>
      </c>
      <c r="R1341" s="10">
        <v>358</v>
      </c>
      <c r="S1341" s="7">
        <f t="shared" si="202"/>
        <v>0</v>
      </c>
      <c r="T1341" s="124">
        <f t="shared" si="203"/>
        <v>267</v>
      </c>
      <c r="U1341" s="124">
        <f t="shared" si="204"/>
        <v>765</v>
      </c>
      <c r="V1341" s="124">
        <f t="shared" si="205"/>
        <v>1332</v>
      </c>
      <c r="W1341" s="124">
        <f t="shared" si="206"/>
        <v>329.05865102616002</v>
      </c>
      <c r="X1341" s="124">
        <f t="shared" si="207"/>
        <v>3499335.37255979</v>
      </c>
      <c r="Y1341" s="264">
        <f t="shared" si="208"/>
        <v>1332</v>
      </c>
      <c r="Z1341" s="10">
        <v>267</v>
      </c>
      <c r="AA1341" s="7">
        <v>765</v>
      </c>
      <c r="AB1341" s="7">
        <v>1332</v>
      </c>
      <c r="AC1341" s="109">
        <v>329.05865102616002</v>
      </c>
      <c r="AD1341" s="109">
        <v>3499335.37255979</v>
      </c>
      <c r="AE1341" s="125"/>
      <c r="AF1341" s="10"/>
      <c r="AI1341" s="109"/>
      <c r="AJ1341" s="109"/>
      <c r="AL1341" s="10"/>
      <c r="AO1341" s="109"/>
      <c r="AP1341" s="109"/>
      <c r="AR1341" s="10"/>
      <c r="AU1341" s="109"/>
      <c r="AV1341" s="109"/>
      <c r="AX1341" s="10"/>
      <c r="BA1341" s="109"/>
      <c r="BB1341" s="109"/>
      <c r="BD1341" s="10"/>
      <c r="BG1341" s="109"/>
      <c r="BH1341" s="109"/>
      <c r="BJ1341" s="10"/>
      <c r="BM1341" s="109"/>
      <c r="BN1341" s="109"/>
      <c r="BP1341" s="10"/>
      <c r="BS1341" s="109"/>
      <c r="BT1341" s="109"/>
      <c r="BV1341" s="10"/>
      <c r="BY1341" s="109"/>
      <c r="BZ1341" s="109"/>
      <c r="CB1341" s="10"/>
      <c r="CE1341" s="109"/>
      <c r="CF1341" s="109"/>
      <c r="CH1341" s="10"/>
      <c r="CK1341" s="109"/>
      <c r="CL1341" s="109"/>
    </row>
    <row r="1342" spans="1:90">
      <c r="A1342" s="7" t="str">
        <f t="shared" si="201"/>
        <v>02670998</v>
      </c>
      <c r="B1342" s="7" t="s">
        <v>2606</v>
      </c>
      <c r="C1342" s="7" t="s">
        <v>2781</v>
      </c>
      <c r="D1342" s="7">
        <v>1333</v>
      </c>
      <c r="E1342" s="7">
        <v>267</v>
      </c>
      <c r="F1342" s="7" t="s">
        <v>2135</v>
      </c>
      <c r="G1342" s="7">
        <v>998</v>
      </c>
      <c r="H1342" s="7" t="s">
        <v>2135</v>
      </c>
      <c r="I1342" s="37">
        <v>0</v>
      </c>
      <c r="J1342" s="122">
        <v>0</v>
      </c>
      <c r="K1342" s="123">
        <f t="shared" si="210"/>
        <v>0</v>
      </c>
      <c r="L1342" s="122">
        <f>IF(K1344&gt;0, K1342/K1344, 0)</f>
        <v>0</v>
      </c>
      <c r="M1342" s="71"/>
      <c r="N1342" s="10">
        <f>ROUND(M1344*L1342,0)</f>
        <v>0</v>
      </c>
      <c r="O1342" s="70">
        <v>0</v>
      </c>
      <c r="P1342" s="10">
        <f>N1342-O1342</f>
        <v>0</v>
      </c>
      <c r="Q1342" s="46">
        <f t="shared" si="209"/>
        <v>0</v>
      </c>
      <c r="R1342" s="10">
        <v>0</v>
      </c>
      <c r="S1342" s="7">
        <f t="shared" si="202"/>
        <v>0</v>
      </c>
      <c r="T1342" s="124">
        <f t="shared" si="203"/>
        <v>267</v>
      </c>
      <c r="U1342" s="124">
        <f t="shared" si="204"/>
        <v>998</v>
      </c>
      <c r="V1342" s="124">
        <f t="shared" si="205"/>
        <v>1333</v>
      </c>
      <c r="W1342" s="124">
        <f t="shared" si="206"/>
        <v>0</v>
      </c>
      <c r="X1342" s="124">
        <f t="shared" si="207"/>
        <v>0</v>
      </c>
      <c r="Y1342" s="264">
        <f t="shared" si="208"/>
        <v>1333</v>
      </c>
      <c r="Z1342" s="10">
        <v>267</v>
      </c>
      <c r="AA1342" s="7">
        <v>998</v>
      </c>
      <c r="AB1342" s="7">
        <v>1333</v>
      </c>
      <c r="AC1342" s="109">
        <v>0</v>
      </c>
      <c r="AD1342" s="109">
        <v>0</v>
      </c>
      <c r="AE1342" s="125"/>
      <c r="AF1342" s="10"/>
      <c r="AI1342" s="109"/>
      <c r="AJ1342" s="109"/>
      <c r="AL1342" s="10"/>
      <c r="AO1342" s="109"/>
      <c r="AP1342" s="109"/>
      <c r="AR1342" s="10"/>
      <c r="AU1342" s="109"/>
      <c r="AV1342" s="109"/>
      <c r="AX1342" s="10"/>
      <c r="BA1342" s="109"/>
      <c r="BB1342" s="109"/>
      <c r="BD1342" s="10"/>
      <c r="BG1342" s="109"/>
      <c r="BH1342" s="109"/>
      <c r="BJ1342" s="10"/>
      <c r="BM1342" s="109"/>
      <c r="BN1342" s="109"/>
      <c r="BP1342" s="10"/>
      <c r="BS1342" s="109"/>
      <c r="BT1342" s="109"/>
      <c r="BV1342" s="10"/>
      <c r="BY1342" s="109"/>
      <c r="BZ1342" s="109"/>
      <c r="CB1342" s="10"/>
      <c r="CE1342" s="109"/>
      <c r="CF1342" s="109"/>
      <c r="CH1342" s="10"/>
      <c r="CK1342" s="109"/>
      <c r="CL1342" s="109"/>
    </row>
    <row r="1343" spans="1:90">
      <c r="A1343" s="7" t="str">
        <f t="shared" si="201"/>
        <v>02670998</v>
      </c>
      <c r="B1343" s="7" t="s">
        <v>2606</v>
      </c>
      <c r="C1343" s="7" t="s">
        <v>2781</v>
      </c>
      <c r="D1343" s="7">
        <v>1334</v>
      </c>
      <c r="E1343" s="7">
        <v>267</v>
      </c>
      <c r="F1343" s="7" t="s">
        <v>2135</v>
      </c>
      <c r="G1343" s="7">
        <v>998</v>
      </c>
      <c r="H1343" s="7" t="s">
        <v>2135</v>
      </c>
      <c r="I1343" s="37">
        <v>0</v>
      </c>
      <c r="J1343" s="122">
        <v>0</v>
      </c>
      <c r="K1343" s="123">
        <f t="shared" si="210"/>
        <v>0</v>
      </c>
      <c r="L1343" s="122">
        <f>IF(K1344&gt;0, K1343/K1344, 0)</f>
        <v>0</v>
      </c>
      <c r="M1343" s="71"/>
      <c r="N1343" s="10">
        <f>ROUND(M1344*L1343,0)</f>
        <v>0</v>
      </c>
      <c r="O1343" s="70">
        <v>0</v>
      </c>
      <c r="P1343" s="10">
        <f>N1343-O1343</f>
        <v>0</v>
      </c>
      <c r="Q1343" s="46">
        <f t="shared" si="209"/>
        <v>0</v>
      </c>
      <c r="R1343" s="10">
        <v>0</v>
      </c>
      <c r="S1343" s="7">
        <f t="shared" si="202"/>
        <v>0</v>
      </c>
      <c r="T1343" s="124">
        <f t="shared" si="203"/>
        <v>267</v>
      </c>
      <c r="U1343" s="124">
        <f t="shared" si="204"/>
        <v>998</v>
      </c>
      <c r="V1343" s="124">
        <f t="shared" si="205"/>
        <v>1334</v>
      </c>
      <c r="W1343" s="124">
        <f t="shared" si="206"/>
        <v>0</v>
      </c>
      <c r="X1343" s="124">
        <f t="shared" si="207"/>
        <v>0</v>
      </c>
      <c r="Y1343" s="264">
        <f t="shared" si="208"/>
        <v>1334</v>
      </c>
      <c r="Z1343" s="10">
        <v>267</v>
      </c>
      <c r="AA1343" s="7">
        <v>998</v>
      </c>
      <c r="AB1343" s="7">
        <v>1334</v>
      </c>
      <c r="AC1343" s="109">
        <v>0</v>
      </c>
      <c r="AD1343" s="109">
        <v>0</v>
      </c>
      <c r="AE1343" s="125"/>
      <c r="AF1343" s="10"/>
      <c r="AI1343" s="109"/>
      <c r="AJ1343" s="109"/>
      <c r="AL1343" s="10"/>
      <c r="AO1343" s="109"/>
      <c r="AP1343" s="109"/>
      <c r="AR1343" s="10"/>
      <c r="AU1343" s="109"/>
      <c r="AV1343" s="109"/>
      <c r="AX1343" s="10"/>
      <c r="BA1343" s="109"/>
      <c r="BB1343" s="109"/>
      <c r="BD1343" s="10"/>
      <c r="BG1343" s="109"/>
      <c r="BH1343" s="109"/>
      <c r="BJ1343" s="10"/>
      <c r="BM1343" s="109"/>
      <c r="BN1343" s="109"/>
      <c r="BP1343" s="10"/>
      <c r="BS1343" s="109"/>
      <c r="BT1343" s="109"/>
      <c r="BV1343" s="10"/>
      <c r="BY1343" s="109"/>
      <c r="BZ1343" s="109"/>
      <c r="CB1343" s="10"/>
      <c r="CE1343" s="109"/>
      <c r="CF1343" s="109"/>
      <c r="CH1343" s="10"/>
      <c r="CK1343" s="109"/>
      <c r="CL1343" s="109"/>
    </row>
    <row r="1344" spans="1:90">
      <c r="A1344" s="7" t="str">
        <f t="shared" si="201"/>
        <v>02670999</v>
      </c>
      <c r="B1344" s="7" t="s">
        <v>2606</v>
      </c>
      <c r="C1344" s="7" t="s">
        <v>2782</v>
      </c>
      <c r="D1344" s="7">
        <v>1335</v>
      </c>
      <c r="E1344" s="11">
        <v>267</v>
      </c>
      <c r="F1344" s="11" t="s">
        <v>1972</v>
      </c>
      <c r="G1344" s="11">
        <v>999</v>
      </c>
      <c r="H1344" s="11" t="s">
        <v>1132</v>
      </c>
      <c r="I1344" s="105">
        <v>3811214.36</v>
      </c>
      <c r="J1344" s="126">
        <v>1</v>
      </c>
      <c r="K1344" s="127">
        <f>SUM(K1340:K1343)</f>
        <v>3593253.2059649169</v>
      </c>
      <c r="L1344" s="126">
        <f>SUM(L1340:L1343)</f>
        <v>1</v>
      </c>
      <c r="M1344" s="105">
        <f>VLOOKUP(E1344,town351,22)</f>
        <v>3023987</v>
      </c>
      <c r="N1344" s="105">
        <f>SUM(N1340:N1343)</f>
        <v>3023987</v>
      </c>
      <c r="O1344" s="128">
        <v>3202604</v>
      </c>
      <c r="P1344" s="105">
        <f>SUM(P1340:P1343)</f>
        <v>-178617</v>
      </c>
      <c r="Q1344" s="45">
        <f t="shared" si="209"/>
        <v>-5.5772427686969728</v>
      </c>
      <c r="R1344" s="105">
        <v>366</v>
      </c>
      <c r="S1344" s="7">
        <f t="shared" si="202"/>
        <v>0</v>
      </c>
      <c r="T1344" s="124">
        <f t="shared" si="203"/>
        <v>267</v>
      </c>
      <c r="U1344" s="124">
        <f t="shared" si="204"/>
        <v>999</v>
      </c>
      <c r="V1344" s="124">
        <f t="shared" si="205"/>
        <v>1335</v>
      </c>
      <c r="W1344" s="124">
        <f t="shared" si="206"/>
        <v>336.05865102616002</v>
      </c>
      <c r="X1344" s="124">
        <f t="shared" si="207"/>
        <v>3593253.2059649169</v>
      </c>
      <c r="Y1344" s="264">
        <f t="shared" si="208"/>
        <v>1335</v>
      </c>
      <c r="Z1344" s="10">
        <v>267</v>
      </c>
      <c r="AA1344" s="7">
        <v>999</v>
      </c>
      <c r="AB1344" s="7">
        <v>1335</v>
      </c>
      <c r="AC1344" s="109">
        <v>336.05865102616002</v>
      </c>
      <c r="AD1344" s="109">
        <v>3593253.2059649169</v>
      </c>
      <c r="AE1344" s="125"/>
      <c r="AF1344" s="10"/>
      <c r="AI1344" s="109"/>
      <c r="AJ1344" s="109"/>
      <c r="AL1344" s="10"/>
      <c r="AO1344" s="109"/>
      <c r="AP1344" s="109"/>
      <c r="AR1344" s="10"/>
      <c r="AU1344" s="109"/>
      <c r="AV1344" s="109"/>
      <c r="AX1344" s="10"/>
      <c r="BA1344" s="109"/>
      <c r="BB1344" s="109"/>
      <c r="BD1344" s="10"/>
      <c r="BG1344" s="109"/>
      <c r="BH1344" s="109"/>
      <c r="BJ1344" s="10"/>
      <c r="BM1344" s="109"/>
      <c r="BN1344" s="109"/>
      <c r="BP1344" s="10"/>
      <c r="BS1344" s="109"/>
      <c r="BT1344" s="109"/>
      <c r="BV1344" s="10"/>
      <c r="BY1344" s="109"/>
      <c r="BZ1344" s="109"/>
      <c r="CB1344" s="10"/>
      <c r="CE1344" s="109"/>
      <c r="CF1344" s="109"/>
      <c r="CH1344" s="10"/>
      <c r="CK1344" s="109"/>
      <c r="CL1344" s="109"/>
    </row>
    <row r="1345" spans="1:90">
      <c r="A1345" s="7" t="str">
        <f t="shared" si="201"/>
        <v>02680268</v>
      </c>
      <c r="B1345" s="7" t="s">
        <v>2607</v>
      </c>
      <c r="C1345" s="7" t="s">
        <v>2607</v>
      </c>
      <c r="D1345" s="7">
        <v>1336</v>
      </c>
      <c r="E1345" s="7">
        <v>268</v>
      </c>
      <c r="F1345" s="7" t="s">
        <v>1973</v>
      </c>
      <c r="G1345" s="7">
        <v>268</v>
      </c>
      <c r="H1345" s="7" t="s">
        <v>1534</v>
      </c>
      <c r="I1345" s="37">
        <v>0</v>
      </c>
      <c r="J1345" s="122">
        <v>0</v>
      </c>
      <c r="K1345" s="123">
        <f>X1345</f>
        <v>0</v>
      </c>
      <c r="L1345" s="122">
        <f>IF(K1349&gt;0, K1345/K1349, 0)</f>
        <v>0</v>
      </c>
      <c r="M1345" s="71"/>
      <c r="N1345" s="10">
        <f>ROUND(M1349*L1345,0)</f>
        <v>0</v>
      </c>
      <c r="O1345" s="70">
        <v>0</v>
      </c>
      <c r="P1345" s="10">
        <f>N1345-O1345</f>
        <v>0</v>
      </c>
      <c r="Q1345" s="46">
        <f t="shared" si="209"/>
        <v>0</v>
      </c>
      <c r="R1345" s="10">
        <v>0</v>
      </c>
      <c r="S1345" s="7">
        <f t="shared" si="202"/>
        <v>0</v>
      </c>
      <c r="T1345" s="124">
        <f t="shared" si="203"/>
        <v>268</v>
      </c>
      <c r="U1345" s="124">
        <f t="shared" si="204"/>
        <v>268</v>
      </c>
      <c r="V1345" s="124">
        <f t="shared" si="205"/>
        <v>1336</v>
      </c>
      <c r="W1345" s="124">
        <f t="shared" si="206"/>
        <v>0</v>
      </c>
      <c r="X1345" s="124">
        <f t="shared" si="207"/>
        <v>0</v>
      </c>
      <c r="Y1345" s="264">
        <f t="shared" si="208"/>
        <v>1336</v>
      </c>
      <c r="Z1345" s="10">
        <v>268</v>
      </c>
      <c r="AA1345" s="7">
        <v>268</v>
      </c>
      <c r="AB1345" s="7">
        <v>1336</v>
      </c>
      <c r="AC1345" s="109">
        <v>0</v>
      </c>
      <c r="AD1345" s="109">
        <v>0</v>
      </c>
      <c r="AE1345" s="125"/>
      <c r="AF1345" s="10"/>
      <c r="AI1345" s="109"/>
      <c r="AJ1345" s="109"/>
      <c r="AL1345" s="10"/>
      <c r="AO1345" s="109"/>
      <c r="AP1345" s="109"/>
      <c r="AR1345" s="10"/>
      <c r="AU1345" s="109"/>
      <c r="AV1345" s="109"/>
      <c r="AX1345" s="10"/>
      <c r="BA1345" s="109"/>
      <c r="BB1345" s="109"/>
      <c r="BD1345" s="10"/>
      <c r="BG1345" s="109"/>
      <c r="BH1345" s="109"/>
      <c r="BJ1345" s="10"/>
      <c r="BM1345" s="109"/>
      <c r="BN1345" s="109"/>
      <c r="BP1345" s="10"/>
      <c r="BS1345" s="109"/>
      <c r="BT1345" s="109"/>
      <c r="BV1345" s="10"/>
      <c r="BY1345" s="109"/>
      <c r="BZ1345" s="109"/>
      <c r="CB1345" s="10"/>
      <c r="CE1345" s="109"/>
      <c r="CF1345" s="109"/>
      <c r="CH1345" s="10"/>
      <c r="CK1345" s="109"/>
      <c r="CL1345" s="109"/>
    </row>
    <row r="1346" spans="1:90">
      <c r="A1346" s="7" t="str">
        <f t="shared" si="201"/>
        <v>02680717</v>
      </c>
      <c r="B1346" s="7" t="s">
        <v>2607</v>
      </c>
      <c r="C1346" s="7" t="s">
        <v>2730</v>
      </c>
      <c r="D1346" s="7">
        <v>1337</v>
      </c>
      <c r="E1346" s="7">
        <v>268</v>
      </c>
      <c r="F1346" s="7" t="s">
        <v>1973</v>
      </c>
      <c r="G1346" s="7">
        <v>717</v>
      </c>
      <c r="H1346" s="7" t="s">
        <v>1657</v>
      </c>
      <c r="I1346" s="37">
        <v>1921962</v>
      </c>
      <c r="J1346" s="122">
        <v>0.94421875652479359</v>
      </c>
      <c r="K1346" s="123">
        <f t="shared" si="210"/>
        <v>1785006.18883031</v>
      </c>
      <c r="L1346" s="122">
        <f>IF(K1349&gt;0, K1346/K1349, 0)</f>
        <v>0.97290282294776953</v>
      </c>
      <c r="M1346" s="71"/>
      <c r="N1346" s="10">
        <f>ROUND(M1349*L1346,0)</f>
        <v>1372903</v>
      </c>
      <c r="O1346" s="70">
        <v>1364819</v>
      </c>
      <c r="P1346" s="10">
        <f>N1346-O1346</f>
        <v>8084</v>
      </c>
      <c r="Q1346" s="46">
        <f t="shared" si="209"/>
        <v>0.59231297336862987</v>
      </c>
      <c r="R1346" s="10">
        <v>184</v>
      </c>
      <c r="S1346" s="7">
        <f t="shared" si="202"/>
        <v>0</v>
      </c>
      <c r="T1346" s="124">
        <f t="shared" si="203"/>
        <v>268</v>
      </c>
      <c r="U1346" s="124">
        <f t="shared" si="204"/>
        <v>717</v>
      </c>
      <c r="V1346" s="124">
        <f t="shared" si="205"/>
        <v>1337</v>
      </c>
      <c r="W1346" s="124">
        <f t="shared" si="206"/>
        <v>169.46402502863998</v>
      </c>
      <c r="X1346" s="124">
        <f t="shared" si="207"/>
        <v>1785006.18883031</v>
      </c>
      <c r="Y1346" s="264">
        <f t="shared" si="208"/>
        <v>1337</v>
      </c>
      <c r="Z1346" s="10">
        <v>268</v>
      </c>
      <c r="AA1346" s="7">
        <v>717</v>
      </c>
      <c r="AB1346" s="7">
        <v>1337</v>
      </c>
      <c r="AC1346" s="109">
        <v>169.46402502863998</v>
      </c>
      <c r="AD1346" s="109">
        <v>1785006.18883031</v>
      </c>
      <c r="AE1346" s="125"/>
      <c r="AF1346" s="10"/>
      <c r="AI1346" s="109"/>
      <c r="AJ1346" s="109"/>
      <c r="AL1346" s="10"/>
      <c r="AO1346" s="109"/>
      <c r="AP1346" s="109"/>
      <c r="AR1346" s="10"/>
      <c r="AU1346" s="109"/>
      <c r="AV1346" s="109"/>
      <c r="AX1346" s="10"/>
      <c r="BA1346" s="109"/>
      <c r="BB1346" s="109"/>
      <c r="BD1346" s="10"/>
      <c r="BG1346" s="109"/>
      <c r="BH1346" s="109"/>
      <c r="BJ1346" s="10"/>
      <c r="BM1346" s="109"/>
      <c r="BN1346" s="109"/>
      <c r="BP1346" s="10"/>
      <c r="BS1346" s="109"/>
      <c r="BT1346" s="109"/>
      <c r="BV1346" s="10"/>
      <c r="BY1346" s="109"/>
      <c r="BZ1346" s="109"/>
      <c r="CB1346" s="10"/>
      <c r="CE1346" s="109"/>
      <c r="CF1346" s="109"/>
      <c r="CH1346" s="10"/>
      <c r="CK1346" s="109"/>
      <c r="CL1346" s="109"/>
    </row>
    <row r="1347" spans="1:90">
      <c r="A1347" s="7" t="str">
        <f t="shared" si="201"/>
        <v>02680818</v>
      </c>
      <c r="B1347" s="7" t="s">
        <v>2607</v>
      </c>
      <c r="C1347" s="7" t="s">
        <v>2758</v>
      </c>
      <c r="D1347" s="7">
        <v>1338</v>
      </c>
      <c r="E1347" s="7">
        <v>268</v>
      </c>
      <c r="F1347" s="7" t="s">
        <v>1973</v>
      </c>
      <c r="G1347" s="7">
        <v>818</v>
      </c>
      <c r="H1347" s="7" t="s">
        <v>1685</v>
      </c>
      <c r="I1347" s="37">
        <v>113543</v>
      </c>
      <c r="J1347" s="122">
        <v>5.5781243475206396E-2</v>
      </c>
      <c r="K1347" s="123">
        <f t="shared" si="210"/>
        <v>49715.786198986825</v>
      </c>
      <c r="L1347" s="122">
        <f>IF(K1349&gt;0, K1347/K1349, 0)</f>
        <v>2.7097177052230467E-2</v>
      </c>
      <c r="M1347" s="71"/>
      <c r="N1347" s="10">
        <f>ROUND(M1349*L1347,0)</f>
        <v>38238</v>
      </c>
      <c r="O1347" s="70">
        <v>80629</v>
      </c>
      <c r="P1347" s="10">
        <f>N1347-O1347</f>
        <v>-42391</v>
      </c>
      <c r="Q1347" s="46">
        <f t="shared" si="209"/>
        <v>-52.575376105371518</v>
      </c>
      <c r="R1347" s="10">
        <v>7</v>
      </c>
      <c r="S1347" s="7">
        <f t="shared" si="202"/>
        <v>0</v>
      </c>
      <c r="T1347" s="124">
        <f t="shared" si="203"/>
        <v>268</v>
      </c>
      <c r="U1347" s="124">
        <f t="shared" si="204"/>
        <v>818</v>
      </c>
      <c r="V1347" s="124">
        <f t="shared" si="205"/>
        <v>1338</v>
      </c>
      <c r="W1347" s="124">
        <f t="shared" si="206"/>
        <v>3.0000000007200001</v>
      </c>
      <c r="X1347" s="124">
        <f t="shared" si="207"/>
        <v>49715.786198986825</v>
      </c>
      <c r="Y1347" s="264">
        <f t="shared" si="208"/>
        <v>1338</v>
      </c>
      <c r="Z1347" s="10">
        <v>268</v>
      </c>
      <c r="AA1347" s="7">
        <v>818</v>
      </c>
      <c r="AB1347" s="7">
        <v>1338</v>
      </c>
      <c r="AC1347" s="109">
        <v>3.0000000007200001</v>
      </c>
      <c r="AD1347" s="109">
        <v>49715.786198986825</v>
      </c>
      <c r="AE1347" s="125"/>
      <c r="AF1347" s="10"/>
      <c r="AI1347" s="109"/>
      <c r="AJ1347" s="109"/>
      <c r="AL1347" s="10"/>
      <c r="AO1347" s="109"/>
      <c r="AP1347" s="109"/>
      <c r="AR1347" s="10"/>
      <c r="AU1347" s="109"/>
      <c r="AV1347" s="109"/>
      <c r="AX1347" s="10"/>
      <c r="BA1347" s="109"/>
      <c r="BB1347" s="109"/>
      <c r="BD1347" s="10"/>
      <c r="BG1347" s="109"/>
      <c r="BH1347" s="109"/>
      <c r="BJ1347" s="10"/>
      <c r="BM1347" s="109"/>
      <c r="BN1347" s="109"/>
      <c r="BP1347" s="10"/>
      <c r="BS1347" s="109"/>
      <c r="BT1347" s="109"/>
      <c r="BV1347" s="10"/>
      <c r="BY1347" s="109"/>
      <c r="BZ1347" s="109"/>
      <c r="CB1347" s="10"/>
      <c r="CE1347" s="109"/>
      <c r="CF1347" s="109"/>
      <c r="CH1347" s="10"/>
      <c r="CK1347" s="109"/>
      <c r="CL1347" s="109"/>
    </row>
    <row r="1348" spans="1:90">
      <c r="A1348" s="7" t="str">
        <f t="shared" si="201"/>
        <v>02680998</v>
      </c>
      <c r="B1348" s="7" t="s">
        <v>2607</v>
      </c>
      <c r="C1348" s="7" t="s">
        <v>2781</v>
      </c>
      <c r="D1348" s="7">
        <v>1339</v>
      </c>
      <c r="E1348" s="7">
        <v>268</v>
      </c>
      <c r="F1348" s="7" t="s">
        <v>2135</v>
      </c>
      <c r="G1348" s="7">
        <v>998</v>
      </c>
      <c r="H1348" s="7" t="s">
        <v>2135</v>
      </c>
      <c r="I1348" s="37">
        <v>0</v>
      </c>
      <c r="J1348" s="122">
        <v>0</v>
      </c>
      <c r="K1348" s="123">
        <f t="shared" si="210"/>
        <v>0</v>
      </c>
      <c r="L1348" s="122">
        <f>IF(K1349&gt;0, K1348/K1349, 0)</f>
        <v>0</v>
      </c>
      <c r="M1348" s="71"/>
      <c r="N1348" s="10">
        <f>ROUND(M1349*L1348,0)</f>
        <v>0</v>
      </c>
      <c r="O1348" s="70">
        <v>0</v>
      </c>
      <c r="P1348" s="10">
        <f>N1348-O1348</f>
        <v>0</v>
      </c>
      <c r="Q1348" s="46">
        <f t="shared" si="209"/>
        <v>0</v>
      </c>
      <c r="R1348" s="10">
        <v>0</v>
      </c>
      <c r="S1348" s="7">
        <f t="shared" si="202"/>
        <v>0</v>
      </c>
      <c r="T1348" s="124">
        <f t="shared" si="203"/>
        <v>268</v>
      </c>
      <c r="U1348" s="124">
        <f t="shared" si="204"/>
        <v>998</v>
      </c>
      <c r="V1348" s="124">
        <f t="shared" si="205"/>
        <v>1339</v>
      </c>
      <c r="W1348" s="124">
        <f t="shared" si="206"/>
        <v>0</v>
      </c>
      <c r="X1348" s="124">
        <f t="shared" si="207"/>
        <v>0</v>
      </c>
      <c r="Y1348" s="264">
        <f t="shared" si="208"/>
        <v>1339</v>
      </c>
      <c r="Z1348" s="10">
        <v>268</v>
      </c>
      <c r="AA1348" s="7">
        <v>998</v>
      </c>
      <c r="AB1348" s="7">
        <v>1339</v>
      </c>
      <c r="AC1348" s="109">
        <v>0</v>
      </c>
      <c r="AD1348" s="109">
        <v>0</v>
      </c>
      <c r="AE1348" s="125"/>
      <c r="AF1348" s="10"/>
      <c r="AI1348" s="109"/>
      <c r="AJ1348" s="109"/>
      <c r="AL1348" s="10"/>
      <c r="AO1348" s="109"/>
      <c r="AP1348" s="109"/>
      <c r="AR1348" s="10"/>
      <c r="AU1348" s="109"/>
      <c r="AV1348" s="109"/>
      <c r="AX1348" s="10"/>
      <c r="BA1348" s="109"/>
      <c r="BB1348" s="109"/>
      <c r="BD1348" s="10"/>
      <c r="BG1348" s="109"/>
      <c r="BH1348" s="109"/>
      <c r="BJ1348" s="10"/>
      <c r="BM1348" s="109"/>
      <c r="BN1348" s="109"/>
      <c r="BP1348" s="10"/>
      <c r="BS1348" s="109"/>
      <c r="BT1348" s="109"/>
      <c r="BV1348" s="10"/>
      <c r="BY1348" s="109"/>
      <c r="BZ1348" s="109"/>
      <c r="CB1348" s="10"/>
      <c r="CE1348" s="109"/>
      <c r="CF1348" s="109"/>
      <c r="CH1348" s="10"/>
      <c r="CK1348" s="109"/>
      <c r="CL1348" s="109"/>
    </row>
    <row r="1349" spans="1:90">
      <c r="A1349" s="7" t="str">
        <f t="shared" si="201"/>
        <v>02680999</v>
      </c>
      <c r="B1349" s="7" t="s">
        <v>2607</v>
      </c>
      <c r="C1349" s="7" t="s">
        <v>2782</v>
      </c>
      <c r="D1349" s="7">
        <v>1340</v>
      </c>
      <c r="E1349" s="11">
        <v>268</v>
      </c>
      <c r="F1349" s="11" t="s">
        <v>1973</v>
      </c>
      <c r="G1349" s="11">
        <v>999</v>
      </c>
      <c r="H1349" s="11" t="s">
        <v>1132</v>
      </c>
      <c r="I1349" s="105">
        <v>2035505</v>
      </c>
      <c r="J1349" s="126">
        <v>1</v>
      </c>
      <c r="K1349" s="127">
        <f>SUM(K1345:K1348)</f>
        <v>1834721.9750292969</v>
      </c>
      <c r="L1349" s="126">
        <f>SUM(L1345:L1348)</f>
        <v>1</v>
      </c>
      <c r="M1349" s="105">
        <f>VLOOKUP(E1349,town351,22)</f>
        <v>1411141</v>
      </c>
      <c r="N1349" s="105">
        <f>SUM(N1345:N1348)</f>
        <v>1411141</v>
      </c>
      <c r="O1349" s="128">
        <v>1445448</v>
      </c>
      <c r="P1349" s="105">
        <f>SUM(P1345:P1348)</f>
        <v>-34307</v>
      </c>
      <c r="Q1349" s="45">
        <f t="shared" si="209"/>
        <v>-2.3734509992749651</v>
      </c>
      <c r="R1349" s="105">
        <v>191</v>
      </c>
      <c r="S1349" s="7">
        <f t="shared" si="202"/>
        <v>0</v>
      </c>
      <c r="T1349" s="124">
        <f t="shared" si="203"/>
        <v>268</v>
      </c>
      <c r="U1349" s="124">
        <f t="shared" si="204"/>
        <v>999</v>
      </c>
      <c r="V1349" s="124">
        <f t="shared" si="205"/>
        <v>1340</v>
      </c>
      <c r="W1349" s="124">
        <f t="shared" si="206"/>
        <v>172.46402502935999</v>
      </c>
      <c r="X1349" s="124">
        <f t="shared" si="207"/>
        <v>1834721.9750292969</v>
      </c>
      <c r="Y1349" s="264">
        <f t="shared" si="208"/>
        <v>1340</v>
      </c>
      <c r="Z1349" s="10">
        <v>268</v>
      </c>
      <c r="AA1349" s="7">
        <v>999</v>
      </c>
      <c r="AB1349" s="7">
        <v>1340</v>
      </c>
      <c r="AC1349" s="109">
        <v>172.46402502935999</v>
      </c>
      <c r="AD1349" s="109">
        <v>1834721.9750292969</v>
      </c>
      <c r="AE1349" s="125"/>
      <c r="AF1349" s="10"/>
      <c r="AI1349" s="109"/>
      <c r="AJ1349" s="109"/>
      <c r="AL1349" s="10"/>
      <c r="AO1349" s="109"/>
      <c r="AP1349" s="109"/>
      <c r="AR1349" s="10"/>
      <c r="AU1349" s="109"/>
      <c r="AV1349" s="109"/>
      <c r="AX1349" s="10"/>
      <c r="BA1349" s="109"/>
      <c r="BB1349" s="109"/>
      <c r="BD1349" s="10"/>
      <c r="BG1349" s="109"/>
      <c r="BH1349" s="109"/>
      <c r="BJ1349" s="10"/>
      <c r="BM1349" s="109"/>
      <c r="BN1349" s="109"/>
      <c r="BP1349" s="10"/>
      <c r="BS1349" s="109"/>
      <c r="BT1349" s="109"/>
      <c r="BV1349" s="10"/>
      <c r="BY1349" s="109"/>
      <c r="BZ1349" s="109"/>
      <c r="CB1349" s="10"/>
      <c r="CE1349" s="109"/>
      <c r="CF1349" s="109"/>
      <c r="CH1349" s="10"/>
      <c r="CK1349" s="109"/>
      <c r="CL1349" s="109"/>
    </row>
    <row r="1350" spans="1:90">
      <c r="A1350" s="7" t="str">
        <f t="shared" si="201"/>
        <v>02690269</v>
      </c>
      <c r="B1350" s="7" t="s">
        <v>2608</v>
      </c>
      <c r="C1350" s="7" t="s">
        <v>2608</v>
      </c>
      <c r="D1350" s="7">
        <v>1341</v>
      </c>
      <c r="E1350" s="7">
        <v>269</v>
      </c>
      <c r="F1350" s="7" t="s">
        <v>1974</v>
      </c>
      <c r="G1350" s="7">
        <v>269</v>
      </c>
      <c r="H1350" s="7" t="s">
        <v>1535</v>
      </c>
      <c r="I1350" s="37">
        <v>3478451.7794499998</v>
      </c>
      <c r="J1350" s="122">
        <v>0.39910375871475612</v>
      </c>
      <c r="K1350" s="123">
        <f>X1350</f>
        <v>3806638.9460125784</v>
      </c>
      <c r="L1350" s="122">
        <f>IF(K1354&gt;0, K1350/K1354, 0)</f>
        <v>0.42132800265314846</v>
      </c>
      <c r="M1350" s="71"/>
      <c r="N1350" s="10">
        <f>ROUND(M1354*L1350,0)</f>
        <v>3143918</v>
      </c>
      <c r="O1350" s="70">
        <v>2909277</v>
      </c>
      <c r="P1350" s="10">
        <f>N1350-O1350</f>
        <v>234641</v>
      </c>
      <c r="Q1350" s="46">
        <f t="shared" si="209"/>
        <v>8.0652684498588485</v>
      </c>
      <c r="R1350" s="10">
        <v>383</v>
      </c>
      <c r="S1350" s="7">
        <f t="shared" si="202"/>
        <v>0</v>
      </c>
      <c r="T1350" s="124">
        <f t="shared" si="203"/>
        <v>269</v>
      </c>
      <c r="U1350" s="124">
        <f t="shared" si="204"/>
        <v>269</v>
      </c>
      <c r="V1350" s="124">
        <f t="shared" si="205"/>
        <v>1341</v>
      </c>
      <c r="W1350" s="124">
        <f t="shared" si="206"/>
        <v>415</v>
      </c>
      <c r="X1350" s="124">
        <f t="shared" si="207"/>
        <v>3806638.9460125784</v>
      </c>
      <c r="Y1350" s="264">
        <f t="shared" si="208"/>
        <v>1341</v>
      </c>
      <c r="Z1350" s="10">
        <v>269</v>
      </c>
      <c r="AA1350" s="7">
        <v>269</v>
      </c>
      <c r="AB1350" s="7">
        <v>1341</v>
      </c>
      <c r="AC1350" s="109">
        <v>415</v>
      </c>
      <c r="AD1350" s="109">
        <v>3806638.9460125784</v>
      </c>
      <c r="AE1350" s="125"/>
      <c r="AF1350" s="10"/>
      <c r="AI1350" s="109"/>
      <c r="AJ1350" s="109"/>
      <c r="AL1350" s="10"/>
      <c r="AO1350" s="109"/>
      <c r="AP1350" s="109"/>
      <c r="AR1350" s="10"/>
      <c r="AU1350" s="109"/>
      <c r="AV1350" s="109"/>
      <c r="AX1350" s="10"/>
      <c r="BA1350" s="109"/>
      <c r="BB1350" s="109"/>
      <c r="BD1350" s="10"/>
      <c r="BG1350" s="109"/>
      <c r="BH1350" s="109"/>
      <c r="BJ1350" s="10"/>
      <c r="BM1350" s="109"/>
      <c r="BN1350" s="109"/>
      <c r="BP1350" s="10"/>
      <c r="BS1350" s="109"/>
      <c r="BT1350" s="109"/>
      <c r="BV1350" s="10"/>
      <c r="BY1350" s="109"/>
      <c r="BZ1350" s="109"/>
      <c r="CB1350" s="10"/>
      <c r="CE1350" s="109"/>
      <c r="CF1350" s="109"/>
      <c r="CH1350" s="10"/>
      <c r="CK1350" s="109"/>
      <c r="CL1350" s="109"/>
    </row>
    <row r="1351" spans="1:90">
      <c r="A1351" s="7" t="str">
        <f t="shared" si="201"/>
        <v>02690655</v>
      </c>
      <c r="B1351" s="7" t="s">
        <v>2608</v>
      </c>
      <c r="C1351" s="7" t="s">
        <v>2709</v>
      </c>
      <c r="D1351" s="7">
        <v>1342</v>
      </c>
      <c r="E1351" s="7">
        <v>269</v>
      </c>
      <c r="F1351" s="7" t="s">
        <v>1974</v>
      </c>
      <c r="G1351" s="7">
        <v>655</v>
      </c>
      <c r="H1351" s="7" t="s">
        <v>1636</v>
      </c>
      <c r="I1351" s="37">
        <v>5237206</v>
      </c>
      <c r="J1351" s="122">
        <v>0.60089624128524388</v>
      </c>
      <c r="K1351" s="123">
        <f t="shared" si="210"/>
        <v>5228219.6962845325</v>
      </c>
      <c r="L1351" s="122">
        <f>IF(K1354&gt;0, K1351/K1354, 0)</f>
        <v>0.57867199734685149</v>
      </c>
      <c r="M1351" s="71"/>
      <c r="N1351" s="10">
        <f>ROUND(M1354*L1351,0)</f>
        <v>4318008</v>
      </c>
      <c r="O1351" s="70">
        <v>4380249</v>
      </c>
      <c r="P1351" s="10">
        <f>N1351-O1351</f>
        <v>-62241</v>
      </c>
      <c r="Q1351" s="46">
        <f t="shared" si="209"/>
        <v>-1.420946617418325</v>
      </c>
      <c r="R1351" s="10">
        <v>543</v>
      </c>
      <c r="S1351" s="7">
        <f t="shared" si="202"/>
        <v>0</v>
      </c>
      <c r="T1351" s="124">
        <f t="shared" si="203"/>
        <v>269</v>
      </c>
      <c r="U1351" s="124">
        <f t="shared" si="204"/>
        <v>655</v>
      </c>
      <c r="V1351" s="124">
        <f t="shared" si="205"/>
        <v>1342</v>
      </c>
      <c r="W1351" s="124">
        <f t="shared" si="206"/>
        <v>532.59002536447997</v>
      </c>
      <c r="X1351" s="124">
        <f t="shared" si="207"/>
        <v>5228219.6962845325</v>
      </c>
      <c r="Y1351" s="264">
        <f t="shared" si="208"/>
        <v>1342</v>
      </c>
      <c r="Z1351" s="10">
        <v>269</v>
      </c>
      <c r="AA1351" s="7">
        <v>655</v>
      </c>
      <c r="AB1351" s="7">
        <v>1342</v>
      </c>
      <c r="AC1351" s="109">
        <v>532.59002536447997</v>
      </c>
      <c r="AD1351" s="109">
        <v>5228219.6962845325</v>
      </c>
      <c r="AE1351" s="125"/>
      <c r="AF1351" s="10"/>
      <c r="AI1351" s="109"/>
      <c r="AJ1351" s="109"/>
      <c r="AL1351" s="10"/>
      <c r="AO1351" s="109"/>
      <c r="AP1351" s="109"/>
      <c r="AR1351" s="10"/>
      <c r="AU1351" s="109"/>
      <c r="AV1351" s="109"/>
      <c r="AX1351" s="10"/>
      <c r="BA1351" s="109"/>
      <c r="BB1351" s="109"/>
      <c r="BD1351" s="10"/>
      <c r="BG1351" s="109"/>
      <c r="BH1351" s="109"/>
      <c r="BJ1351" s="10"/>
      <c r="BM1351" s="109"/>
      <c r="BN1351" s="109"/>
      <c r="BP1351" s="10"/>
      <c r="BS1351" s="109"/>
      <c r="BT1351" s="109"/>
      <c r="BV1351" s="10"/>
      <c r="BY1351" s="109"/>
      <c r="BZ1351" s="109"/>
      <c r="CB1351" s="10"/>
      <c r="CE1351" s="109"/>
      <c r="CF1351" s="109"/>
      <c r="CH1351" s="10"/>
      <c r="CK1351" s="109"/>
      <c r="CL1351" s="109"/>
    </row>
    <row r="1352" spans="1:90">
      <c r="A1352" s="7" t="str">
        <f t="shared" si="201"/>
        <v>02690878</v>
      </c>
      <c r="B1352" s="7" t="s">
        <v>2608</v>
      </c>
      <c r="C1352" s="7" t="s">
        <v>2775</v>
      </c>
      <c r="D1352" s="7">
        <v>1343</v>
      </c>
      <c r="E1352" s="7">
        <v>269</v>
      </c>
      <c r="F1352" s="7" t="s">
        <v>1974</v>
      </c>
      <c r="G1352" s="7">
        <v>878</v>
      </c>
      <c r="H1352" s="7" t="s">
        <v>1702</v>
      </c>
      <c r="I1352" s="37">
        <v>0</v>
      </c>
      <c r="J1352" s="122">
        <v>0</v>
      </c>
      <c r="K1352" s="123">
        <f t="shared" si="210"/>
        <v>0</v>
      </c>
      <c r="L1352" s="122">
        <f>IF(K1354&gt;0, K1352/K1354, 0)</f>
        <v>0</v>
      </c>
      <c r="M1352" s="71"/>
      <c r="N1352" s="10">
        <f>ROUND(M1354*L1352,0)</f>
        <v>0</v>
      </c>
      <c r="O1352" s="70">
        <v>0</v>
      </c>
      <c r="P1352" s="10">
        <f>N1352-O1352</f>
        <v>0</v>
      </c>
      <c r="Q1352" s="46">
        <f t="shared" si="209"/>
        <v>0</v>
      </c>
      <c r="R1352" s="10">
        <v>0</v>
      </c>
      <c r="S1352" s="7">
        <f t="shared" si="202"/>
        <v>0</v>
      </c>
      <c r="T1352" s="124">
        <f t="shared" si="203"/>
        <v>269</v>
      </c>
      <c r="U1352" s="124">
        <f t="shared" si="204"/>
        <v>878</v>
      </c>
      <c r="V1352" s="124">
        <f t="shared" si="205"/>
        <v>1343</v>
      </c>
      <c r="W1352" s="124">
        <f t="shared" si="206"/>
        <v>0</v>
      </c>
      <c r="X1352" s="124">
        <f t="shared" si="207"/>
        <v>0</v>
      </c>
      <c r="Y1352" s="264">
        <f t="shared" si="208"/>
        <v>1343</v>
      </c>
      <c r="Z1352" s="10">
        <v>269</v>
      </c>
      <c r="AA1352" s="7">
        <v>878</v>
      </c>
      <c r="AB1352" s="7">
        <v>1343</v>
      </c>
      <c r="AC1352" s="109">
        <v>0</v>
      </c>
      <c r="AD1352" s="109">
        <v>0</v>
      </c>
      <c r="AE1352" s="125"/>
      <c r="AF1352" s="10"/>
      <c r="AI1352" s="109"/>
      <c r="AJ1352" s="109"/>
      <c r="AL1352" s="10"/>
      <c r="AO1352" s="109"/>
      <c r="AP1352" s="109"/>
      <c r="AR1352" s="10"/>
      <c r="AU1352" s="109"/>
      <c r="AV1352" s="109"/>
      <c r="AX1352" s="10"/>
      <c r="BA1352" s="109"/>
      <c r="BB1352" s="109"/>
      <c r="BD1352" s="10"/>
      <c r="BG1352" s="109"/>
      <c r="BH1352" s="109"/>
      <c r="BJ1352" s="10"/>
      <c r="BM1352" s="109"/>
      <c r="BN1352" s="109"/>
      <c r="BP1352" s="10"/>
      <c r="BS1352" s="109"/>
      <c r="BT1352" s="109"/>
      <c r="BV1352" s="10"/>
      <c r="BY1352" s="109"/>
      <c r="BZ1352" s="109"/>
      <c r="CB1352" s="10"/>
      <c r="CE1352" s="109"/>
      <c r="CF1352" s="109"/>
      <c r="CH1352" s="10"/>
      <c r="CK1352" s="109"/>
      <c r="CL1352" s="109"/>
    </row>
    <row r="1353" spans="1:90">
      <c r="A1353" s="7" t="str">
        <f t="shared" si="201"/>
        <v>02690998</v>
      </c>
      <c r="B1353" s="7" t="s">
        <v>2608</v>
      </c>
      <c r="C1353" s="7" t="s">
        <v>2781</v>
      </c>
      <c r="D1353" s="7">
        <v>1344</v>
      </c>
      <c r="E1353" s="7">
        <v>269</v>
      </c>
      <c r="F1353" s="7" t="s">
        <v>2135</v>
      </c>
      <c r="G1353" s="7">
        <v>998</v>
      </c>
      <c r="H1353" s="7" t="s">
        <v>2135</v>
      </c>
      <c r="I1353" s="37">
        <v>0</v>
      </c>
      <c r="J1353" s="122">
        <v>0</v>
      </c>
      <c r="K1353" s="123">
        <f t="shared" si="210"/>
        <v>0</v>
      </c>
      <c r="L1353" s="122">
        <f>IF(K1354&gt;0, K1353/K1354, 0)</f>
        <v>0</v>
      </c>
      <c r="M1353" s="71"/>
      <c r="N1353" s="10">
        <f>ROUND(M1354*L1353,0)</f>
        <v>0</v>
      </c>
      <c r="O1353" s="70">
        <v>0</v>
      </c>
      <c r="P1353" s="10">
        <f>N1353-O1353</f>
        <v>0</v>
      </c>
      <c r="Q1353" s="46">
        <f t="shared" si="209"/>
        <v>0</v>
      </c>
      <c r="R1353" s="10">
        <v>0</v>
      </c>
      <c r="S1353" s="7">
        <f t="shared" si="202"/>
        <v>0</v>
      </c>
      <c r="T1353" s="124">
        <f t="shared" si="203"/>
        <v>269</v>
      </c>
      <c r="U1353" s="124">
        <f t="shared" si="204"/>
        <v>998</v>
      </c>
      <c r="V1353" s="124">
        <f t="shared" si="205"/>
        <v>1344</v>
      </c>
      <c r="W1353" s="124">
        <f t="shared" si="206"/>
        <v>0</v>
      </c>
      <c r="X1353" s="124">
        <f t="shared" si="207"/>
        <v>0</v>
      </c>
      <c r="Y1353" s="264">
        <f t="shared" si="208"/>
        <v>1344</v>
      </c>
      <c r="Z1353" s="10">
        <v>269</v>
      </c>
      <c r="AA1353" s="7">
        <v>998</v>
      </c>
      <c r="AB1353" s="7">
        <v>1344</v>
      </c>
      <c r="AC1353" s="109">
        <v>0</v>
      </c>
      <c r="AD1353" s="109">
        <v>0</v>
      </c>
      <c r="AE1353" s="125"/>
      <c r="AF1353" s="10"/>
      <c r="AI1353" s="109"/>
      <c r="AJ1353" s="109"/>
      <c r="AL1353" s="10"/>
      <c r="AO1353" s="109"/>
      <c r="AP1353" s="109"/>
      <c r="AR1353" s="10"/>
      <c r="AU1353" s="109"/>
      <c r="AV1353" s="109"/>
      <c r="AX1353" s="10"/>
      <c r="BA1353" s="109"/>
      <c r="BB1353" s="109"/>
      <c r="BD1353" s="10"/>
      <c r="BG1353" s="109"/>
      <c r="BH1353" s="109"/>
      <c r="BJ1353" s="10"/>
      <c r="BM1353" s="109"/>
      <c r="BN1353" s="109"/>
      <c r="BP1353" s="10"/>
      <c r="BS1353" s="109"/>
      <c r="BT1353" s="109"/>
      <c r="BV1353" s="10"/>
      <c r="BY1353" s="109"/>
      <c r="BZ1353" s="109"/>
      <c r="CB1353" s="10"/>
      <c r="CE1353" s="109"/>
      <c r="CF1353" s="109"/>
      <c r="CH1353" s="10"/>
      <c r="CK1353" s="109"/>
      <c r="CL1353" s="109"/>
    </row>
    <row r="1354" spans="1:90">
      <c r="A1354" s="7" t="str">
        <f t="shared" ref="A1354:A1417" si="211">B1354&amp;C1354</f>
        <v>02690999</v>
      </c>
      <c r="B1354" s="7" t="s">
        <v>2608</v>
      </c>
      <c r="C1354" s="7" t="s">
        <v>2782</v>
      </c>
      <c r="D1354" s="7">
        <v>1345</v>
      </c>
      <c r="E1354" s="11">
        <v>269</v>
      </c>
      <c r="F1354" s="11" t="s">
        <v>1974</v>
      </c>
      <c r="G1354" s="11">
        <v>999</v>
      </c>
      <c r="H1354" s="11" t="s">
        <v>1132</v>
      </c>
      <c r="I1354" s="105">
        <v>8715657.7794499993</v>
      </c>
      <c r="J1354" s="126">
        <v>1</v>
      </c>
      <c r="K1354" s="127">
        <f>SUM(K1350:K1353)</f>
        <v>9034858.6422971115</v>
      </c>
      <c r="L1354" s="126">
        <f>SUM(L1350:L1353)</f>
        <v>1</v>
      </c>
      <c r="M1354" s="105">
        <f>VLOOKUP(E1354,town351,22)</f>
        <v>7461926</v>
      </c>
      <c r="N1354" s="105">
        <f>SUM(N1350:N1353)</f>
        <v>7461926</v>
      </c>
      <c r="O1354" s="128">
        <v>7289526</v>
      </c>
      <c r="P1354" s="105">
        <f>SUM(P1350:P1353)</f>
        <v>172400</v>
      </c>
      <c r="Q1354" s="45">
        <f t="shared" si="209"/>
        <v>2.3650371780003252</v>
      </c>
      <c r="R1354" s="105">
        <v>926</v>
      </c>
      <c r="S1354" s="7">
        <f t="shared" ref="S1354:S1417" si="212">ABS(T1354-E1354)+ABS(U1354-G1354)</f>
        <v>0</v>
      </c>
      <c r="T1354" s="124">
        <f t="shared" ref="T1354:T1417" si="213">VLOOKUP($D1354, foundoptions, VLOOKUP($T$6, foundoptcell, 2, FALSE), FALSE)</f>
        <v>269</v>
      </c>
      <c r="U1354" s="124">
        <f t="shared" ref="U1354:U1417" si="214">VLOOKUP($D1354, foundoptions, VLOOKUP($T$6, foundoptcell, 2, FALSE)+1, FALSE)</f>
        <v>999</v>
      </c>
      <c r="V1354" s="124">
        <f t="shared" ref="V1354:V1417" si="215">VLOOKUP($D1354, foundoptions, VLOOKUP($T$6, foundoptcell, 2, FALSE)+2, FALSE)</f>
        <v>1345</v>
      </c>
      <c r="W1354" s="124">
        <f t="shared" ref="W1354:W1417" si="216">VLOOKUP($D1354, foundoptions, VLOOKUP($T$6, foundoptcell, 2, FALSE)+3, FALSE)</f>
        <v>947.59002536447997</v>
      </c>
      <c r="X1354" s="124">
        <f t="shared" ref="X1354:X1417" si="217">VLOOKUP($D1354, foundoptions, VLOOKUP($T$6, foundoptcell, 2, FALSE)+4, FALSE)</f>
        <v>9034858.6422971115</v>
      </c>
      <c r="Y1354" s="264">
        <f t="shared" si="208"/>
        <v>1345</v>
      </c>
      <c r="Z1354" s="10">
        <v>269</v>
      </c>
      <c r="AA1354" s="7">
        <v>999</v>
      </c>
      <c r="AB1354" s="7">
        <v>1345</v>
      </c>
      <c r="AC1354" s="109">
        <v>947.59002536447997</v>
      </c>
      <c r="AD1354" s="109">
        <v>9034858.6422971115</v>
      </c>
      <c r="AE1354" s="125"/>
      <c r="AF1354" s="10"/>
      <c r="AI1354" s="109"/>
      <c r="AJ1354" s="109"/>
      <c r="AL1354" s="10"/>
      <c r="AO1354" s="109"/>
      <c r="AP1354" s="109"/>
      <c r="AR1354" s="10"/>
      <c r="AU1354" s="109"/>
      <c r="AV1354" s="109"/>
      <c r="AX1354" s="10"/>
      <c r="BA1354" s="109"/>
      <c r="BB1354" s="109"/>
      <c r="BD1354" s="10"/>
      <c r="BG1354" s="109"/>
      <c r="BH1354" s="109"/>
      <c r="BJ1354" s="10"/>
      <c r="BM1354" s="109"/>
      <c r="BN1354" s="109"/>
      <c r="BP1354" s="10"/>
      <c r="BS1354" s="109"/>
      <c r="BT1354" s="109"/>
      <c r="BV1354" s="10"/>
      <c r="BY1354" s="109"/>
      <c r="BZ1354" s="109"/>
      <c r="CB1354" s="10"/>
      <c r="CE1354" s="109"/>
      <c r="CF1354" s="109"/>
      <c r="CH1354" s="10"/>
      <c r="CK1354" s="109"/>
      <c r="CL1354" s="109"/>
    </row>
    <row r="1355" spans="1:90">
      <c r="A1355" s="7" t="str">
        <f t="shared" si="211"/>
        <v>02700270</v>
      </c>
      <c r="B1355" s="7" t="s">
        <v>2609</v>
      </c>
      <c r="C1355" s="7" t="s">
        <v>2609</v>
      </c>
      <c r="D1355" s="7">
        <v>1346</v>
      </c>
      <c r="E1355" s="7">
        <v>270</v>
      </c>
      <c r="F1355" s="7" t="s">
        <v>1975</v>
      </c>
      <c r="G1355" s="7">
        <v>270</v>
      </c>
      <c r="H1355" s="7" t="s">
        <v>1536</v>
      </c>
      <c r="I1355" s="70">
        <v>0</v>
      </c>
      <c r="J1355" s="131">
        <v>0</v>
      </c>
      <c r="K1355" s="123">
        <f>X1355</f>
        <v>0</v>
      </c>
      <c r="L1355" s="122">
        <f>IF(K1359&gt;0, K1355/K1359, 0)</f>
        <v>0</v>
      </c>
      <c r="M1355" s="71"/>
      <c r="N1355" s="10">
        <f>ROUND(M1359*L1355,0)</f>
        <v>0</v>
      </c>
      <c r="O1355" s="70">
        <v>0</v>
      </c>
      <c r="P1355" s="10">
        <f>N1355-O1355</f>
        <v>0</v>
      </c>
      <c r="Q1355" s="46">
        <f t="shared" si="209"/>
        <v>0</v>
      </c>
      <c r="R1355" s="62">
        <v>0</v>
      </c>
      <c r="S1355" s="7">
        <f t="shared" si="212"/>
        <v>0</v>
      </c>
      <c r="T1355" s="124">
        <f t="shared" si="213"/>
        <v>270</v>
      </c>
      <c r="U1355" s="124">
        <f t="shared" si="214"/>
        <v>270</v>
      </c>
      <c r="V1355" s="124">
        <f t="shared" si="215"/>
        <v>1346</v>
      </c>
      <c r="W1355" s="124">
        <f t="shared" si="216"/>
        <v>0</v>
      </c>
      <c r="X1355" s="124">
        <f t="shared" si="217"/>
        <v>0</v>
      </c>
      <c r="Y1355" s="264">
        <f t="shared" ref="Y1355:Y1418" si="218">D1355</f>
        <v>1346</v>
      </c>
      <c r="Z1355" s="10">
        <v>270</v>
      </c>
      <c r="AA1355" s="7">
        <v>270</v>
      </c>
      <c r="AB1355" s="7">
        <v>1346</v>
      </c>
      <c r="AC1355" s="109">
        <v>0</v>
      </c>
      <c r="AD1355" s="109">
        <v>0</v>
      </c>
      <c r="AE1355" s="125"/>
      <c r="AF1355" s="10"/>
      <c r="AI1355" s="109"/>
      <c r="AJ1355" s="109"/>
      <c r="AL1355" s="10"/>
      <c r="AO1355" s="109"/>
      <c r="AP1355" s="109"/>
      <c r="AR1355" s="10"/>
      <c r="AU1355" s="109"/>
      <c r="AV1355" s="109"/>
      <c r="AX1355" s="10"/>
      <c r="BA1355" s="109"/>
      <c r="BB1355" s="109"/>
      <c r="BD1355" s="10"/>
      <c r="BG1355" s="109"/>
      <c r="BH1355" s="109"/>
      <c r="BJ1355" s="10"/>
      <c r="BM1355" s="109"/>
      <c r="BN1355" s="109"/>
      <c r="BP1355" s="10"/>
      <c r="BS1355" s="109"/>
      <c r="BT1355" s="109"/>
      <c r="BV1355" s="10"/>
      <c r="BY1355" s="109"/>
      <c r="BZ1355" s="109"/>
      <c r="CB1355" s="10"/>
      <c r="CE1355" s="109"/>
      <c r="CF1355" s="109"/>
      <c r="CH1355" s="10"/>
      <c r="CK1355" s="109"/>
      <c r="CL1355" s="109"/>
    </row>
    <row r="1356" spans="1:90">
      <c r="A1356" s="7" t="str">
        <f t="shared" si="211"/>
        <v>02700616</v>
      </c>
      <c r="B1356" s="7" t="s">
        <v>2609</v>
      </c>
      <c r="C1356" s="7" t="s">
        <v>2699</v>
      </c>
      <c r="D1356" s="7">
        <v>1347</v>
      </c>
      <c r="E1356" s="7">
        <v>270</v>
      </c>
      <c r="F1356" s="7" t="s">
        <v>1975</v>
      </c>
      <c r="G1356" s="7">
        <v>616</v>
      </c>
      <c r="H1356" s="7" t="s">
        <v>1626</v>
      </c>
      <c r="I1356" s="70">
        <v>7563503</v>
      </c>
      <c r="J1356" s="131">
        <v>0.87053728248374018</v>
      </c>
      <c r="K1356" s="123">
        <f t="shared" si="210"/>
        <v>7788093.9463285636</v>
      </c>
      <c r="L1356" s="122">
        <f>IF(K1359&gt;0, K1356/K1359, 0)</f>
        <v>0.89383623340412677</v>
      </c>
      <c r="M1356" s="71"/>
      <c r="N1356" s="10">
        <f>ROUND(M1359*L1356,0)</f>
        <v>4447922</v>
      </c>
      <c r="O1356" s="70">
        <v>4201731</v>
      </c>
      <c r="P1356" s="10">
        <f>N1356-O1356</f>
        <v>246191</v>
      </c>
      <c r="Q1356" s="46">
        <f t="shared" si="209"/>
        <v>5.8592756175966523</v>
      </c>
      <c r="R1356" s="62">
        <v>758</v>
      </c>
      <c r="S1356" s="7">
        <f t="shared" si="212"/>
        <v>0</v>
      </c>
      <c r="T1356" s="124">
        <f t="shared" si="213"/>
        <v>270</v>
      </c>
      <c r="U1356" s="124">
        <f t="shared" si="214"/>
        <v>616</v>
      </c>
      <c r="V1356" s="124">
        <f t="shared" si="215"/>
        <v>1347</v>
      </c>
      <c r="W1356" s="124">
        <f t="shared" si="216"/>
        <v>772.27861529126005</v>
      </c>
      <c r="X1356" s="124">
        <f t="shared" si="217"/>
        <v>7788093.9463285636</v>
      </c>
      <c r="Y1356" s="264">
        <f t="shared" si="218"/>
        <v>1347</v>
      </c>
      <c r="Z1356" s="10">
        <v>270</v>
      </c>
      <c r="AA1356" s="7">
        <v>616</v>
      </c>
      <c r="AB1356" s="7">
        <v>1347</v>
      </c>
      <c r="AC1356" s="109">
        <v>772.27861529126005</v>
      </c>
      <c r="AD1356" s="109">
        <v>7788093.9463285636</v>
      </c>
      <c r="AE1356" s="125"/>
      <c r="AF1356" s="10"/>
      <c r="AI1356" s="109"/>
      <c r="AJ1356" s="109"/>
      <c r="AL1356" s="10"/>
      <c r="AO1356" s="109"/>
      <c r="AP1356" s="109"/>
      <c r="AR1356" s="10"/>
      <c r="AU1356" s="109"/>
      <c r="AV1356" s="109"/>
      <c r="AX1356" s="10"/>
      <c r="BA1356" s="109"/>
      <c r="BB1356" s="109"/>
      <c r="BD1356" s="10"/>
      <c r="BG1356" s="109"/>
      <c r="BH1356" s="109"/>
      <c r="BJ1356" s="10"/>
      <c r="BM1356" s="109"/>
      <c r="BN1356" s="109"/>
      <c r="BP1356" s="10"/>
      <c r="BS1356" s="109"/>
      <c r="BT1356" s="109"/>
      <c r="BV1356" s="10"/>
      <c r="BY1356" s="109"/>
      <c r="BZ1356" s="109"/>
      <c r="CB1356" s="10"/>
      <c r="CE1356" s="109"/>
      <c r="CF1356" s="109"/>
      <c r="CH1356" s="10"/>
      <c r="CK1356" s="109"/>
      <c r="CL1356" s="109"/>
    </row>
    <row r="1357" spans="1:90">
      <c r="A1357" s="7" t="str">
        <f t="shared" si="211"/>
        <v>02700852</v>
      </c>
      <c r="B1357" s="7" t="s">
        <v>2609</v>
      </c>
      <c r="C1357" s="7" t="s">
        <v>2767</v>
      </c>
      <c r="D1357" s="7">
        <v>1348</v>
      </c>
      <c r="E1357" s="7">
        <v>270</v>
      </c>
      <c r="F1357" s="7" t="s">
        <v>1975</v>
      </c>
      <c r="G1357" s="7">
        <v>852</v>
      </c>
      <c r="H1357" s="7" t="s">
        <v>1694</v>
      </c>
      <c r="I1357" s="70">
        <v>1124813</v>
      </c>
      <c r="J1357" s="131">
        <v>0.12946271751625976</v>
      </c>
      <c r="K1357" s="123">
        <f t="shared" si="210"/>
        <v>925016.63844604488</v>
      </c>
      <c r="L1357" s="122">
        <f>IF(K1359&gt;0, K1357/K1359, 0)</f>
        <v>0.10616376659587333</v>
      </c>
      <c r="M1357" s="71"/>
      <c r="N1357" s="10">
        <f>ROUND(M1359*L1357,0)</f>
        <v>528294</v>
      </c>
      <c r="O1357" s="70">
        <v>624864</v>
      </c>
      <c r="P1357" s="10">
        <f>N1357-O1357</f>
        <v>-96570</v>
      </c>
      <c r="Q1357" s="46">
        <f t="shared" si="209"/>
        <v>-15.454562912889845</v>
      </c>
      <c r="R1357" s="62">
        <v>72</v>
      </c>
      <c r="S1357" s="7">
        <f t="shared" si="212"/>
        <v>0</v>
      </c>
      <c r="T1357" s="124">
        <f t="shared" si="213"/>
        <v>270</v>
      </c>
      <c r="U1357" s="124">
        <f t="shared" si="214"/>
        <v>852</v>
      </c>
      <c r="V1357" s="124">
        <f t="shared" si="215"/>
        <v>1348</v>
      </c>
      <c r="W1357" s="124">
        <f t="shared" si="216"/>
        <v>58.000000002749999</v>
      </c>
      <c r="X1357" s="124">
        <f t="shared" si="217"/>
        <v>925016.63844604488</v>
      </c>
      <c r="Y1357" s="264">
        <f t="shared" si="218"/>
        <v>1348</v>
      </c>
      <c r="Z1357" s="10">
        <v>270</v>
      </c>
      <c r="AA1357" s="7">
        <v>852</v>
      </c>
      <c r="AB1357" s="7">
        <v>1348</v>
      </c>
      <c r="AC1357" s="109">
        <v>58.000000002749999</v>
      </c>
      <c r="AD1357" s="109">
        <v>925016.63844604488</v>
      </c>
      <c r="AE1357" s="125"/>
      <c r="AF1357" s="10"/>
      <c r="AI1357" s="109"/>
      <c r="AJ1357" s="109"/>
      <c r="AL1357" s="10"/>
      <c r="AO1357" s="109"/>
      <c r="AP1357" s="109"/>
      <c r="AR1357" s="10"/>
      <c r="AU1357" s="109"/>
      <c r="AV1357" s="109"/>
      <c r="AX1357" s="10"/>
      <c r="BA1357" s="109"/>
      <c r="BB1357" s="109"/>
      <c r="BD1357" s="10"/>
      <c r="BG1357" s="109"/>
      <c r="BH1357" s="109"/>
      <c r="BJ1357" s="10"/>
      <c r="BM1357" s="109"/>
      <c r="BN1357" s="109"/>
      <c r="BP1357" s="10"/>
      <c r="BS1357" s="109"/>
      <c r="BT1357" s="109"/>
      <c r="BV1357" s="10"/>
      <c r="BY1357" s="109"/>
      <c r="BZ1357" s="109"/>
      <c r="CB1357" s="10"/>
      <c r="CE1357" s="109"/>
      <c r="CF1357" s="109"/>
      <c r="CH1357" s="10"/>
      <c r="CK1357" s="109"/>
      <c r="CL1357" s="109"/>
    </row>
    <row r="1358" spans="1:90">
      <c r="A1358" s="7" t="str">
        <f t="shared" si="211"/>
        <v>02700998</v>
      </c>
      <c r="B1358" s="7" t="s">
        <v>2609</v>
      </c>
      <c r="C1358" s="7" t="s">
        <v>2781</v>
      </c>
      <c r="D1358" s="7">
        <v>1349</v>
      </c>
      <c r="E1358" s="7">
        <v>270</v>
      </c>
      <c r="F1358" s="7" t="s">
        <v>2135</v>
      </c>
      <c r="G1358" s="7">
        <v>998</v>
      </c>
      <c r="H1358" s="7" t="s">
        <v>2135</v>
      </c>
      <c r="I1358" s="70">
        <v>0</v>
      </c>
      <c r="J1358" s="131">
        <v>0</v>
      </c>
      <c r="K1358" s="123">
        <f t="shared" si="210"/>
        <v>0</v>
      </c>
      <c r="L1358" s="122">
        <f>IF(K1359&gt;0, K1358/K1359, 0)</f>
        <v>0</v>
      </c>
      <c r="M1358" s="71"/>
      <c r="N1358" s="10">
        <f>ROUND(M1359*L1358,0)</f>
        <v>0</v>
      </c>
      <c r="O1358" s="70">
        <v>0</v>
      </c>
      <c r="P1358" s="10">
        <f>N1358-O1358</f>
        <v>0</v>
      </c>
      <c r="Q1358" s="46">
        <f t="shared" si="209"/>
        <v>0</v>
      </c>
      <c r="R1358" s="62">
        <v>0</v>
      </c>
      <c r="S1358" s="7">
        <f t="shared" si="212"/>
        <v>0</v>
      </c>
      <c r="T1358" s="124">
        <f t="shared" si="213"/>
        <v>270</v>
      </c>
      <c r="U1358" s="124">
        <f t="shared" si="214"/>
        <v>998</v>
      </c>
      <c r="V1358" s="124">
        <f t="shared" si="215"/>
        <v>1349</v>
      </c>
      <c r="W1358" s="124">
        <f t="shared" si="216"/>
        <v>0</v>
      </c>
      <c r="X1358" s="124">
        <f t="shared" si="217"/>
        <v>0</v>
      </c>
      <c r="Y1358" s="264">
        <f t="shared" si="218"/>
        <v>1349</v>
      </c>
      <c r="Z1358" s="10">
        <v>270</v>
      </c>
      <c r="AA1358" s="7">
        <v>998</v>
      </c>
      <c r="AB1358" s="7">
        <v>1349</v>
      </c>
      <c r="AC1358" s="109">
        <v>0</v>
      </c>
      <c r="AD1358" s="109">
        <v>0</v>
      </c>
      <c r="AE1358" s="125"/>
      <c r="AF1358" s="10"/>
      <c r="AI1358" s="109"/>
      <c r="AJ1358" s="109"/>
      <c r="AL1358" s="10"/>
      <c r="AO1358" s="109"/>
      <c r="AP1358" s="109"/>
      <c r="AR1358" s="10"/>
      <c r="AU1358" s="109"/>
      <c r="AV1358" s="109"/>
      <c r="AX1358" s="10"/>
      <c r="BA1358" s="109"/>
      <c r="BB1358" s="109"/>
      <c r="BD1358" s="10"/>
      <c r="BG1358" s="109"/>
      <c r="BH1358" s="109"/>
      <c r="BJ1358" s="10"/>
      <c r="BM1358" s="109"/>
      <c r="BN1358" s="109"/>
      <c r="BP1358" s="10"/>
      <c r="BS1358" s="109"/>
      <c r="BT1358" s="109"/>
      <c r="BV1358" s="10"/>
      <c r="BY1358" s="109"/>
      <c r="BZ1358" s="109"/>
      <c r="CB1358" s="10"/>
      <c r="CE1358" s="109"/>
      <c r="CF1358" s="109"/>
      <c r="CH1358" s="10"/>
      <c r="CK1358" s="109"/>
      <c r="CL1358" s="109"/>
    </row>
    <row r="1359" spans="1:90">
      <c r="A1359" s="7" t="str">
        <f t="shared" si="211"/>
        <v>02700999</v>
      </c>
      <c r="B1359" s="7" t="s">
        <v>2609</v>
      </c>
      <c r="C1359" s="7" t="s">
        <v>2782</v>
      </c>
      <c r="D1359" s="7">
        <v>1350</v>
      </c>
      <c r="E1359" s="11">
        <v>270</v>
      </c>
      <c r="F1359" s="11" t="s">
        <v>1975</v>
      </c>
      <c r="G1359" s="11">
        <v>999</v>
      </c>
      <c r="H1359" s="11" t="s">
        <v>1132</v>
      </c>
      <c r="I1359" s="134">
        <v>8688316</v>
      </c>
      <c r="J1359" s="131">
        <v>1</v>
      </c>
      <c r="K1359" s="127">
        <f>SUM(K1355:K1358)</f>
        <v>8713110.5847746078</v>
      </c>
      <c r="L1359" s="126">
        <f>SUM(L1355:L1358)</f>
        <v>1</v>
      </c>
      <c r="M1359" s="105">
        <f>VLOOKUP(E1359,town351,22)</f>
        <v>4976216</v>
      </c>
      <c r="N1359" s="105">
        <f>SUM(N1355:N1358)</f>
        <v>4976216</v>
      </c>
      <c r="O1359" s="128">
        <v>4826595</v>
      </c>
      <c r="P1359" s="134">
        <f>SUM(P1355:P1358)</f>
        <v>149621</v>
      </c>
      <c r="Q1359" s="138">
        <f t="shared" si="209"/>
        <v>3.0999286246308215</v>
      </c>
      <c r="R1359" s="134">
        <v>830</v>
      </c>
      <c r="S1359" s="7">
        <f t="shared" si="212"/>
        <v>0</v>
      </c>
      <c r="T1359" s="124">
        <f t="shared" si="213"/>
        <v>270</v>
      </c>
      <c r="U1359" s="124">
        <f t="shared" si="214"/>
        <v>999</v>
      </c>
      <c r="V1359" s="124">
        <f t="shared" si="215"/>
        <v>1350</v>
      </c>
      <c r="W1359" s="124">
        <f t="shared" si="216"/>
        <v>830.27861529401002</v>
      </c>
      <c r="X1359" s="124">
        <f t="shared" si="217"/>
        <v>8713110.5847746078</v>
      </c>
      <c r="Y1359" s="264">
        <f t="shared" si="218"/>
        <v>1350</v>
      </c>
      <c r="Z1359" s="10">
        <v>270</v>
      </c>
      <c r="AA1359" s="7">
        <v>999</v>
      </c>
      <c r="AB1359" s="7">
        <v>1350</v>
      </c>
      <c r="AC1359" s="109">
        <v>830.27861529401002</v>
      </c>
      <c r="AD1359" s="109">
        <v>8713110.5847746078</v>
      </c>
      <c r="AE1359" s="125"/>
      <c r="AF1359" s="10"/>
      <c r="AI1359" s="109"/>
      <c r="AJ1359" s="109"/>
      <c r="AL1359" s="10"/>
      <c r="AO1359" s="109"/>
      <c r="AP1359" s="109"/>
      <c r="AR1359" s="10"/>
      <c r="AU1359" s="109"/>
      <c r="AV1359" s="109"/>
      <c r="AX1359" s="10"/>
      <c r="BA1359" s="109"/>
      <c r="BB1359" s="109"/>
      <c r="BD1359" s="10"/>
      <c r="BG1359" s="109"/>
      <c r="BH1359" s="109"/>
      <c r="BJ1359" s="10"/>
      <c r="BM1359" s="109"/>
      <c r="BN1359" s="109"/>
      <c r="BP1359" s="10"/>
      <c r="BS1359" s="109"/>
      <c r="BT1359" s="109"/>
      <c r="BV1359" s="10"/>
      <c r="BY1359" s="109"/>
      <c r="BZ1359" s="109"/>
      <c r="CB1359" s="10"/>
      <c r="CE1359" s="109"/>
      <c r="CF1359" s="109"/>
      <c r="CH1359" s="10"/>
      <c r="CK1359" s="109"/>
      <c r="CL1359" s="109"/>
    </row>
    <row r="1360" spans="1:90">
      <c r="A1360" s="7" t="str">
        <f t="shared" si="211"/>
        <v>02710271</v>
      </c>
      <c r="B1360" s="7" t="s">
        <v>2610</v>
      </c>
      <c r="C1360" s="7" t="s">
        <v>2610</v>
      </c>
      <c r="D1360" s="7">
        <v>1351</v>
      </c>
      <c r="E1360" s="7">
        <v>271</v>
      </c>
      <c r="F1360" s="7" t="s">
        <v>1976</v>
      </c>
      <c r="G1360" s="7">
        <v>271</v>
      </c>
      <c r="H1360" s="7" t="s">
        <v>1537</v>
      </c>
      <c r="I1360" s="70">
        <v>56301993.68999999</v>
      </c>
      <c r="J1360" s="131">
        <v>1</v>
      </c>
      <c r="K1360" s="123">
        <f>X1360</f>
        <v>58194036.86341849</v>
      </c>
      <c r="L1360" s="122">
        <f>IF(K1364&gt;0, K1360/K1364, 0)</f>
        <v>1</v>
      </c>
      <c r="M1360" s="71"/>
      <c r="N1360" s="10">
        <f>ROUND(M1364*L1360,0)</f>
        <v>44655044</v>
      </c>
      <c r="O1360" s="70">
        <v>42573214</v>
      </c>
      <c r="P1360" s="10">
        <f>N1360-O1360</f>
        <v>2081830</v>
      </c>
      <c r="Q1360" s="46">
        <f>IF(O1360&gt;0,P1360*100/O1360,IF(P1360&gt;0,100,0))</f>
        <v>4.8899996133719199</v>
      </c>
      <c r="R1360" s="10">
        <v>5986</v>
      </c>
      <c r="S1360" s="7">
        <f t="shared" si="212"/>
        <v>0</v>
      </c>
      <c r="T1360" s="124">
        <f t="shared" si="213"/>
        <v>271</v>
      </c>
      <c r="U1360" s="124">
        <f t="shared" si="214"/>
        <v>271</v>
      </c>
      <c r="V1360" s="124">
        <f t="shared" si="215"/>
        <v>1351</v>
      </c>
      <c r="W1360" s="124">
        <f t="shared" si="216"/>
        <v>6039</v>
      </c>
      <c r="X1360" s="124">
        <f t="shared" si="217"/>
        <v>58194036.86341849</v>
      </c>
      <c r="Y1360" s="264">
        <f t="shared" si="218"/>
        <v>1351</v>
      </c>
      <c r="Z1360" s="10">
        <v>271</v>
      </c>
      <c r="AA1360" s="7">
        <v>271</v>
      </c>
      <c r="AB1360" s="7">
        <v>1351</v>
      </c>
      <c r="AC1360" s="109">
        <v>6039</v>
      </c>
      <c r="AD1360" s="109">
        <v>58194036.86341849</v>
      </c>
      <c r="AE1360" s="125"/>
      <c r="AF1360" s="10"/>
      <c r="AI1360" s="109"/>
      <c r="AJ1360" s="109"/>
      <c r="AL1360" s="10"/>
      <c r="AO1360" s="109"/>
      <c r="AP1360" s="109"/>
      <c r="AR1360" s="10"/>
      <c r="AU1360" s="109"/>
      <c r="AV1360" s="109"/>
      <c r="AX1360" s="10"/>
      <c r="BA1360" s="109"/>
      <c r="BB1360" s="109"/>
      <c r="BD1360" s="10"/>
      <c r="BG1360" s="109"/>
      <c r="BH1360" s="109"/>
      <c r="BJ1360" s="10"/>
      <c r="BM1360" s="109"/>
      <c r="BN1360" s="109"/>
      <c r="BP1360" s="10"/>
      <c r="BS1360" s="109"/>
      <c r="BT1360" s="109"/>
      <c r="BV1360" s="10"/>
      <c r="BY1360" s="109"/>
      <c r="BZ1360" s="109"/>
      <c r="CB1360" s="10"/>
      <c r="CE1360" s="109"/>
      <c r="CF1360" s="109"/>
      <c r="CH1360" s="10"/>
      <c r="CK1360" s="109"/>
      <c r="CL1360" s="109"/>
    </row>
    <row r="1361" spans="1:90">
      <c r="A1361" s="7" t="str">
        <f t="shared" si="211"/>
        <v>02710998</v>
      </c>
      <c r="B1361" s="7" t="s">
        <v>2610</v>
      </c>
      <c r="C1361" s="7" t="s">
        <v>2781</v>
      </c>
      <c r="D1361" s="7">
        <v>1352</v>
      </c>
      <c r="E1361" s="7">
        <v>271</v>
      </c>
      <c r="F1361" s="7" t="s">
        <v>2135</v>
      </c>
      <c r="G1361" s="7">
        <v>998</v>
      </c>
      <c r="H1361" s="7" t="s">
        <v>2135</v>
      </c>
      <c r="I1361" s="70">
        <v>0</v>
      </c>
      <c r="J1361" s="131">
        <v>0</v>
      </c>
      <c r="K1361" s="123">
        <f t="shared" si="210"/>
        <v>0</v>
      </c>
      <c r="L1361" s="122">
        <f>IF(K1364&gt;0, K1361/K1364, 0)</f>
        <v>0</v>
      </c>
      <c r="M1361" s="71"/>
      <c r="N1361" s="10">
        <f>ROUND(M1364*L1361,0)</f>
        <v>0</v>
      </c>
      <c r="O1361" s="70">
        <v>0</v>
      </c>
      <c r="P1361" s="10">
        <f>N1361-O1361</f>
        <v>0</v>
      </c>
      <c r="Q1361" s="46">
        <f>IF(O1361&gt;0,P1361*100/O1361,IF(P1361&gt;0,100,0))</f>
        <v>0</v>
      </c>
      <c r="R1361" s="10">
        <v>0</v>
      </c>
      <c r="S1361" s="7">
        <f t="shared" si="212"/>
        <v>0</v>
      </c>
      <c r="T1361" s="124">
        <f t="shared" si="213"/>
        <v>271</v>
      </c>
      <c r="U1361" s="124">
        <f t="shared" si="214"/>
        <v>998</v>
      </c>
      <c r="V1361" s="124">
        <f t="shared" si="215"/>
        <v>1352</v>
      </c>
      <c r="W1361" s="124">
        <f t="shared" si="216"/>
        <v>0</v>
      </c>
      <c r="X1361" s="124">
        <f t="shared" si="217"/>
        <v>0</v>
      </c>
      <c r="Y1361" s="264">
        <f t="shared" si="218"/>
        <v>1352</v>
      </c>
      <c r="Z1361" s="10">
        <v>271</v>
      </c>
      <c r="AA1361" s="7">
        <v>998</v>
      </c>
      <c r="AB1361" s="7">
        <v>1352</v>
      </c>
      <c r="AC1361" s="109">
        <v>0</v>
      </c>
      <c r="AD1361" s="109">
        <v>0</v>
      </c>
      <c r="AE1361" s="125"/>
      <c r="AF1361" s="10"/>
      <c r="AI1361" s="109"/>
      <c r="AJ1361" s="109"/>
      <c r="AL1361" s="10"/>
      <c r="AO1361" s="109"/>
      <c r="AP1361" s="109"/>
      <c r="AR1361" s="10"/>
      <c r="AU1361" s="109"/>
      <c r="AV1361" s="109"/>
      <c r="AX1361" s="10"/>
      <c r="BA1361" s="109"/>
      <c r="BB1361" s="109"/>
      <c r="BD1361" s="10"/>
      <c r="BG1361" s="109"/>
      <c r="BH1361" s="109"/>
      <c r="BJ1361" s="10"/>
      <c r="BM1361" s="109"/>
      <c r="BN1361" s="109"/>
      <c r="BP1361" s="10"/>
      <c r="BS1361" s="109"/>
      <c r="BT1361" s="109"/>
      <c r="BV1361" s="10"/>
      <c r="BY1361" s="109"/>
      <c r="BZ1361" s="109"/>
      <c r="CB1361" s="10"/>
      <c r="CE1361" s="109"/>
      <c r="CF1361" s="109"/>
      <c r="CH1361" s="10"/>
      <c r="CK1361" s="109"/>
      <c r="CL1361" s="109"/>
    </row>
    <row r="1362" spans="1:90">
      <c r="A1362" s="7" t="str">
        <f t="shared" si="211"/>
        <v>02710998</v>
      </c>
      <c r="B1362" s="7" t="s">
        <v>2610</v>
      </c>
      <c r="C1362" s="7" t="s">
        <v>2781</v>
      </c>
      <c r="D1362" s="7">
        <v>1353</v>
      </c>
      <c r="E1362" s="7">
        <v>271</v>
      </c>
      <c r="F1362" s="7" t="s">
        <v>2135</v>
      </c>
      <c r="G1362" s="7">
        <v>998</v>
      </c>
      <c r="H1362" s="7" t="s">
        <v>2135</v>
      </c>
      <c r="I1362" s="70">
        <v>0</v>
      </c>
      <c r="J1362" s="131">
        <v>0</v>
      </c>
      <c r="K1362" s="123">
        <f t="shared" si="210"/>
        <v>0</v>
      </c>
      <c r="L1362" s="122">
        <f>IF(K1364&gt;0, K1362/K1364, 0)</f>
        <v>0</v>
      </c>
      <c r="M1362" s="71"/>
      <c r="N1362" s="10">
        <f>ROUND(M1364*L1362,0)</f>
        <v>0</v>
      </c>
      <c r="O1362" s="70">
        <v>0</v>
      </c>
      <c r="P1362" s="10">
        <f>N1362-O1362</f>
        <v>0</v>
      </c>
      <c r="Q1362" s="46">
        <f>IF(O1362&gt;0,P1362*100/O1362,IF(P1362&gt;0,100,0))</f>
        <v>0</v>
      </c>
      <c r="R1362" s="10">
        <v>0</v>
      </c>
      <c r="S1362" s="7">
        <f t="shared" si="212"/>
        <v>0</v>
      </c>
      <c r="T1362" s="124">
        <f t="shared" si="213"/>
        <v>271</v>
      </c>
      <c r="U1362" s="124">
        <f t="shared" si="214"/>
        <v>998</v>
      </c>
      <c r="V1362" s="124">
        <f t="shared" si="215"/>
        <v>1353</v>
      </c>
      <c r="W1362" s="124">
        <f t="shared" si="216"/>
        <v>0</v>
      </c>
      <c r="X1362" s="124">
        <f t="shared" si="217"/>
        <v>0</v>
      </c>
      <c r="Y1362" s="264">
        <f t="shared" si="218"/>
        <v>1353</v>
      </c>
      <c r="Z1362" s="10">
        <v>271</v>
      </c>
      <c r="AA1362" s="7">
        <v>998</v>
      </c>
      <c r="AB1362" s="7">
        <v>1353</v>
      </c>
      <c r="AC1362" s="109">
        <v>0</v>
      </c>
      <c r="AD1362" s="109">
        <v>0</v>
      </c>
      <c r="AE1362" s="125"/>
      <c r="AF1362" s="10"/>
      <c r="AI1362" s="109"/>
      <c r="AJ1362" s="109"/>
      <c r="AL1362" s="10"/>
      <c r="AO1362" s="109"/>
      <c r="AP1362" s="109"/>
      <c r="AR1362" s="10"/>
      <c r="AU1362" s="109"/>
      <c r="AV1362" s="109"/>
      <c r="AX1362" s="10"/>
      <c r="BA1362" s="109"/>
      <c r="BB1362" s="109"/>
      <c r="BD1362" s="10"/>
      <c r="BG1362" s="109"/>
      <c r="BH1362" s="109"/>
      <c r="BJ1362" s="10"/>
      <c r="BM1362" s="109"/>
      <c r="BN1362" s="109"/>
      <c r="BP1362" s="10"/>
      <c r="BS1362" s="109"/>
      <c r="BT1362" s="109"/>
      <c r="BV1362" s="10"/>
      <c r="BY1362" s="109"/>
      <c r="BZ1362" s="109"/>
      <c r="CB1362" s="10"/>
      <c r="CE1362" s="109"/>
      <c r="CF1362" s="109"/>
      <c r="CH1362" s="10"/>
      <c r="CK1362" s="109"/>
      <c r="CL1362" s="109"/>
    </row>
    <row r="1363" spans="1:90">
      <c r="A1363" s="7" t="str">
        <f t="shared" si="211"/>
        <v>02710998</v>
      </c>
      <c r="B1363" s="7" t="s">
        <v>2610</v>
      </c>
      <c r="C1363" s="7" t="s">
        <v>2781</v>
      </c>
      <c r="D1363" s="7">
        <v>1354</v>
      </c>
      <c r="E1363" s="7">
        <v>271</v>
      </c>
      <c r="F1363" s="7" t="s">
        <v>2135</v>
      </c>
      <c r="G1363" s="7">
        <v>998</v>
      </c>
      <c r="H1363" s="7" t="s">
        <v>2135</v>
      </c>
      <c r="I1363" s="70">
        <v>0</v>
      </c>
      <c r="J1363" s="131">
        <v>0</v>
      </c>
      <c r="K1363" s="123">
        <f t="shared" si="210"/>
        <v>0</v>
      </c>
      <c r="L1363" s="122">
        <f>IF(K1364&gt;0, K1363/K1364, 0)</f>
        <v>0</v>
      </c>
      <c r="M1363" s="71"/>
      <c r="N1363" s="10">
        <f>ROUND(M1364*L1363,0)</f>
        <v>0</v>
      </c>
      <c r="O1363" s="70">
        <v>0</v>
      </c>
      <c r="P1363" s="10">
        <f>N1363-O1363</f>
        <v>0</v>
      </c>
      <c r="Q1363" s="46">
        <f>IF(O1363&gt;0,P1363*100/O1363,IF(P1363&gt;0,100,0))</f>
        <v>0</v>
      </c>
      <c r="R1363" s="10">
        <v>0</v>
      </c>
      <c r="S1363" s="7">
        <f t="shared" si="212"/>
        <v>0</v>
      </c>
      <c r="T1363" s="124">
        <f t="shared" si="213"/>
        <v>271</v>
      </c>
      <c r="U1363" s="124">
        <f t="shared" si="214"/>
        <v>998</v>
      </c>
      <c r="V1363" s="124">
        <f t="shared" si="215"/>
        <v>1354</v>
      </c>
      <c r="W1363" s="124">
        <f t="shared" si="216"/>
        <v>0</v>
      </c>
      <c r="X1363" s="124">
        <f t="shared" si="217"/>
        <v>0</v>
      </c>
      <c r="Y1363" s="264">
        <f t="shared" si="218"/>
        <v>1354</v>
      </c>
      <c r="Z1363" s="10">
        <v>271</v>
      </c>
      <c r="AA1363" s="7">
        <v>998</v>
      </c>
      <c r="AB1363" s="7">
        <v>1354</v>
      </c>
      <c r="AC1363" s="109">
        <v>0</v>
      </c>
      <c r="AD1363" s="109">
        <v>0</v>
      </c>
      <c r="AE1363" s="125"/>
      <c r="AF1363" s="10"/>
      <c r="AI1363" s="109"/>
      <c r="AJ1363" s="109"/>
      <c r="AL1363" s="10"/>
      <c r="AO1363" s="109"/>
      <c r="AP1363" s="109"/>
      <c r="AR1363" s="10"/>
      <c r="AU1363" s="109"/>
      <c r="AV1363" s="109"/>
      <c r="AX1363" s="10"/>
      <c r="BA1363" s="109"/>
      <c r="BB1363" s="109"/>
      <c r="BD1363" s="10"/>
      <c r="BG1363" s="109"/>
      <c r="BH1363" s="109"/>
      <c r="BJ1363" s="10"/>
      <c r="BM1363" s="109"/>
      <c r="BN1363" s="109"/>
      <c r="BP1363" s="10"/>
      <c r="BS1363" s="109"/>
      <c r="BT1363" s="109"/>
      <c r="BV1363" s="10"/>
      <c r="BY1363" s="109"/>
      <c r="BZ1363" s="109"/>
      <c r="CB1363" s="10"/>
      <c r="CE1363" s="109"/>
      <c r="CF1363" s="109"/>
      <c r="CH1363" s="10"/>
      <c r="CK1363" s="109"/>
      <c r="CL1363" s="109"/>
    </row>
    <row r="1364" spans="1:90">
      <c r="A1364" s="7" t="str">
        <f t="shared" si="211"/>
        <v>02710999</v>
      </c>
      <c r="B1364" s="7" t="s">
        <v>2610</v>
      </c>
      <c r="C1364" s="7" t="s">
        <v>2782</v>
      </c>
      <c r="D1364" s="7">
        <v>1355</v>
      </c>
      <c r="E1364" s="11">
        <v>271</v>
      </c>
      <c r="F1364" s="11" t="s">
        <v>1976</v>
      </c>
      <c r="G1364" s="11">
        <v>999</v>
      </c>
      <c r="H1364" s="11" t="s">
        <v>1132</v>
      </c>
      <c r="I1364" s="134">
        <v>56301993.68999999</v>
      </c>
      <c r="J1364" s="135">
        <v>1</v>
      </c>
      <c r="K1364" s="127">
        <f>SUM(K1360:K1363)</f>
        <v>58194036.86341849</v>
      </c>
      <c r="L1364" s="126">
        <f>SUM(L1360:L1363)</f>
        <v>1</v>
      </c>
      <c r="M1364" s="105">
        <f>VLOOKUP(E1364,town351,22)</f>
        <v>44655044</v>
      </c>
      <c r="N1364" s="105">
        <f>SUM(N1360:N1363)</f>
        <v>44655044</v>
      </c>
      <c r="O1364" s="128">
        <v>42573214</v>
      </c>
      <c r="P1364" s="105">
        <f>SUM(P1360:P1363)</f>
        <v>2081830</v>
      </c>
      <c r="Q1364" s="45">
        <f t="shared" ref="Q1364:Q1423" si="219">IF(O1364&gt;0,P1364*100/O1364,IF(P1364&gt;0,100,0))</f>
        <v>4.8899996133719199</v>
      </c>
      <c r="R1364" s="105">
        <v>5986</v>
      </c>
      <c r="S1364" s="7">
        <f t="shared" si="212"/>
        <v>0</v>
      </c>
      <c r="T1364" s="124">
        <f t="shared" si="213"/>
        <v>271</v>
      </c>
      <c r="U1364" s="124">
        <f t="shared" si="214"/>
        <v>999</v>
      </c>
      <c r="V1364" s="124">
        <f t="shared" si="215"/>
        <v>1355</v>
      </c>
      <c r="W1364" s="124">
        <f t="shared" si="216"/>
        <v>6039</v>
      </c>
      <c r="X1364" s="124">
        <f t="shared" si="217"/>
        <v>58194036.86341849</v>
      </c>
      <c r="Y1364" s="264">
        <f t="shared" si="218"/>
        <v>1355</v>
      </c>
      <c r="Z1364" s="10">
        <v>271</v>
      </c>
      <c r="AA1364" s="7">
        <v>999</v>
      </c>
      <c r="AB1364" s="7">
        <v>1355</v>
      </c>
      <c r="AC1364" s="109">
        <v>6039</v>
      </c>
      <c r="AD1364" s="109">
        <v>58194036.86341849</v>
      </c>
      <c r="AE1364" s="125"/>
      <c r="AF1364" s="10"/>
      <c r="AI1364" s="109"/>
      <c r="AJ1364" s="109"/>
      <c r="AL1364" s="10"/>
      <c r="AO1364" s="109"/>
      <c r="AP1364" s="109"/>
      <c r="AR1364" s="10"/>
      <c r="AU1364" s="109"/>
      <c r="AV1364" s="109"/>
      <c r="AX1364" s="10"/>
      <c r="BA1364" s="109"/>
      <c r="BB1364" s="109"/>
      <c r="BD1364" s="10"/>
      <c r="BG1364" s="109"/>
      <c r="BH1364" s="109"/>
      <c r="BJ1364" s="10"/>
      <c r="BM1364" s="109"/>
      <c r="BN1364" s="109"/>
      <c r="BP1364" s="10"/>
      <c r="BS1364" s="109"/>
      <c r="BT1364" s="109"/>
      <c r="BV1364" s="10"/>
      <c r="BY1364" s="109"/>
      <c r="BZ1364" s="109"/>
      <c r="CB1364" s="10"/>
      <c r="CE1364" s="109"/>
      <c r="CF1364" s="109"/>
      <c r="CH1364" s="10"/>
      <c r="CK1364" s="109"/>
      <c r="CL1364" s="109"/>
    </row>
    <row r="1365" spans="1:90">
      <c r="A1365" s="7" t="str">
        <f t="shared" si="211"/>
        <v>02720272</v>
      </c>
      <c r="B1365" s="7" t="s">
        <v>2611</v>
      </c>
      <c r="C1365" s="7" t="s">
        <v>2611</v>
      </c>
      <c r="D1365" s="7">
        <v>1356</v>
      </c>
      <c r="E1365" s="7">
        <v>272</v>
      </c>
      <c r="F1365" s="7" t="s">
        <v>1977</v>
      </c>
      <c r="G1365" s="7">
        <v>272</v>
      </c>
      <c r="H1365" s="7" t="s">
        <v>1538</v>
      </c>
      <c r="I1365" s="70">
        <v>1115064.6000000001</v>
      </c>
      <c r="J1365" s="131">
        <v>0.43057914057212199</v>
      </c>
      <c r="K1365" s="123">
        <f>X1365</f>
        <v>1157848.556575418</v>
      </c>
      <c r="L1365" s="122">
        <f>IF(K1369&gt;0, K1365/K1369, 0)</f>
        <v>0.46475233149183476</v>
      </c>
      <c r="M1365" s="71"/>
      <c r="N1365" s="10">
        <f>ROUND(M1369*L1365,0)</f>
        <v>680124</v>
      </c>
      <c r="O1365" s="70">
        <v>624029</v>
      </c>
      <c r="P1365" s="10">
        <f>N1365-O1365</f>
        <v>56095</v>
      </c>
      <c r="Q1365" s="46">
        <f t="shared" si="219"/>
        <v>8.9891655676258644</v>
      </c>
      <c r="R1365" s="10">
        <v>118</v>
      </c>
      <c r="S1365" s="7">
        <f t="shared" si="212"/>
        <v>0</v>
      </c>
      <c r="T1365" s="124">
        <f t="shared" si="213"/>
        <v>272</v>
      </c>
      <c r="U1365" s="124">
        <f t="shared" si="214"/>
        <v>272</v>
      </c>
      <c r="V1365" s="124">
        <f t="shared" si="215"/>
        <v>1356</v>
      </c>
      <c r="W1365" s="124">
        <f t="shared" si="216"/>
        <v>116</v>
      </c>
      <c r="X1365" s="124">
        <f t="shared" si="217"/>
        <v>1157848.556575418</v>
      </c>
      <c r="Y1365" s="264">
        <f t="shared" si="218"/>
        <v>1356</v>
      </c>
      <c r="Z1365" s="10">
        <v>272</v>
      </c>
      <c r="AA1365" s="7">
        <v>272</v>
      </c>
      <c r="AB1365" s="7">
        <v>1356</v>
      </c>
      <c r="AC1365" s="109">
        <v>116</v>
      </c>
      <c r="AD1365" s="109">
        <v>1157848.556575418</v>
      </c>
      <c r="AE1365" s="125"/>
      <c r="AF1365" s="10"/>
      <c r="AI1365" s="109"/>
      <c r="AJ1365" s="109"/>
      <c r="AL1365" s="10"/>
      <c r="AO1365" s="109"/>
      <c r="AP1365" s="109"/>
      <c r="AR1365" s="10"/>
      <c r="AU1365" s="109"/>
      <c r="AV1365" s="109"/>
      <c r="AX1365" s="10"/>
      <c r="BA1365" s="109"/>
      <c r="BB1365" s="109"/>
      <c r="BD1365" s="10"/>
      <c r="BG1365" s="109"/>
      <c r="BH1365" s="109"/>
      <c r="BJ1365" s="10"/>
      <c r="BM1365" s="109"/>
      <c r="BN1365" s="109"/>
      <c r="BP1365" s="10"/>
      <c r="BS1365" s="109"/>
      <c r="BT1365" s="109"/>
      <c r="BV1365" s="10"/>
      <c r="BY1365" s="109"/>
      <c r="BZ1365" s="109"/>
      <c r="CB1365" s="10"/>
      <c r="CE1365" s="109"/>
      <c r="CF1365" s="109"/>
      <c r="CH1365" s="10"/>
      <c r="CK1365" s="109"/>
      <c r="CL1365" s="109"/>
    </row>
    <row r="1366" spans="1:90">
      <c r="A1366" s="7" t="str">
        <f t="shared" si="211"/>
        <v>02720605</v>
      </c>
      <c r="B1366" s="7" t="s">
        <v>2611</v>
      </c>
      <c r="C1366" s="7" t="s">
        <v>2696</v>
      </c>
      <c r="D1366" s="7">
        <v>1357</v>
      </c>
      <c r="E1366" s="7">
        <v>272</v>
      </c>
      <c r="F1366" s="7" t="s">
        <v>1977</v>
      </c>
      <c r="G1366" s="7">
        <v>605</v>
      </c>
      <c r="H1366" s="7" t="s">
        <v>1623</v>
      </c>
      <c r="I1366" s="70">
        <v>1474621</v>
      </c>
      <c r="J1366" s="131">
        <v>0.56942085942787801</v>
      </c>
      <c r="K1366" s="123">
        <f t="shared" si="210"/>
        <v>1333475.269297116</v>
      </c>
      <c r="L1366" s="122">
        <f>IF(K1369&gt;0, K1366/K1369, 0)</f>
        <v>0.53524766850816519</v>
      </c>
      <c r="M1366" s="71"/>
      <c r="N1366" s="10">
        <f>ROUND(M1369*L1366,0)</f>
        <v>783288</v>
      </c>
      <c r="O1366" s="70">
        <v>825250</v>
      </c>
      <c r="P1366" s="10">
        <f>N1366-O1366</f>
        <v>-41962</v>
      </c>
      <c r="Q1366" s="46">
        <f t="shared" si="219"/>
        <v>-5.0847621932747655</v>
      </c>
      <c r="R1366" s="10">
        <v>142</v>
      </c>
      <c r="S1366" s="7">
        <f t="shared" si="212"/>
        <v>0</v>
      </c>
      <c r="T1366" s="124">
        <f t="shared" si="213"/>
        <v>272</v>
      </c>
      <c r="U1366" s="124">
        <f t="shared" si="214"/>
        <v>605</v>
      </c>
      <c r="V1366" s="124">
        <f t="shared" si="215"/>
        <v>1357</v>
      </c>
      <c r="W1366" s="124">
        <f t="shared" si="216"/>
        <v>125.37552155660001</v>
      </c>
      <c r="X1366" s="124">
        <f t="shared" si="217"/>
        <v>1333475.269297116</v>
      </c>
      <c r="Y1366" s="264">
        <f t="shared" si="218"/>
        <v>1357</v>
      </c>
      <c r="Z1366" s="10">
        <v>272</v>
      </c>
      <c r="AA1366" s="7">
        <v>605</v>
      </c>
      <c r="AB1366" s="7">
        <v>1357</v>
      </c>
      <c r="AC1366" s="109">
        <v>125.37552155660001</v>
      </c>
      <c r="AD1366" s="109">
        <v>1333475.269297116</v>
      </c>
      <c r="AE1366" s="125"/>
      <c r="AF1366" s="10"/>
      <c r="AI1366" s="109"/>
      <c r="AJ1366" s="109"/>
      <c r="AL1366" s="10"/>
      <c r="AO1366" s="109"/>
      <c r="AP1366" s="109"/>
      <c r="AR1366" s="10"/>
      <c r="AU1366" s="109"/>
      <c r="AV1366" s="109"/>
      <c r="AX1366" s="10"/>
      <c r="BA1366" s="109"/>
      <c r="BB1366" s="109"/>
      <c r="BD1366" s="10"/>
      <c r="BG1366" s="109"/>
      <c r="BH1366" s="109"/>
      <c r="BJ1366" s="10"/>
      <c r="BM1366" s="109"/>
      <c r="BN1366" s="109"/>
      <c r="BP1366" s="10"/>
      <c r="BS1366" s="109"/>
      <c r="BT1366" s="109"/>
      <c r="BV1366" s="10"/>
      <c r="BY1366" s="109"/>
      <c r="BZ1366" s="109"/>
      <c r="CB1366" s="10"/>
      <c r="CE1366" s="109"/>
      <c r="CF1366" s="109"/>
      <c r="CH1366" s="10"/>
      <c r="CK1366" s="109"/>
      <c r="CL1366" s="109"/>
    </row>
    <row r="1367" spans="1:90">
      <c r="A1367" s="7" t="str">
        <f t="shared" si="211"/>
        <v>02720998</v>
      </c>
      <c r="B1367" s="7" t="s">
        <v>2611</v>
      </c>
      <c r="C1367" s="7" t="s">
        <v>2781</v>
      </c>
      <c r="D1367" s="7">
        <v>1358</v>
      </c>
      <c r="E1367" s="7">
        <v>272</v>
      </c>
      <c r="F1367" s="7" t="s">
        <v>2135</v>
      </c>
      <c r="G1367" s="7">
        <v>998</v>
      </c>
      <c r="H1367" s="7" t="s">
        <v>2135</v>
      </c>
      <c r="I1367" s="70">
        <v>0</v>
      </c>
      <c r="J1367" s="131">
        <v>0</v>
      </c>
      <c r="K1367" s="123">
        <f t="shared" si="210"/>
        <v>0</v>
      </c>
      <c r="L1367" s="122">
        <f>IF(K1369&gt;0, K1367/K1369, 0)</f>
        <v>0</v>
      </c>
      <c r="M1367" s="71"/>
      <c r="N1367" s="10">
        <f>ROUND(M1369*L1367,0)</f>
        <v>0</v>
      </c>
      <c r="O1367" s="70">
        <v>0</v>
      </c>
      <c r="P1367" s="10">
        <f>N1367-O1367</f>
        <v>0</v>
      </c>
      <c r="Q1367" s="46">
        <f t="shared" si="219"/>
        <v>0</v>
      </c>
      <c r="R1367" s="10">
        <v>0</v>
      </c>
      <c r="S1367" s="7">
        <f t="shared" si="212"/>
        <v>0</v>
      </c>
      <c r="T1367" s="124">
        <f t="shared" si="213"/>
        <v>272</v>
      </c>
      <c r="U1367" s="124">
        <f t="shared" si="214"/>
        <v>998</v>
      </c>
      <c r="V1367" s="124">
        <f t="shared" si="215"/>
        <v>1358</v>
      </c>
      <c r="W1367" s="124">
        <f t="shared" si="216"/>
        <v>0</v>
      </c>
      <c r="X1367" s="124">
        <f t="shared" si="217"/>
        <v>0</v>
      </c>
      <c r="Y1367" s="264">
        <f t="shared" si="218"/>
        <v>1358</v>
      </c>
      <c r="Z1367" s="10">
        <v>272</v>
      </c>
      <c r="AA1367" s="7">
        <v>998</v>
      </c>
      <c r="AB1367" s="7">
        <v>1358</v>
      </c>
      <c r="AC1367" s="109">
        <v>0</v>
      </c>
      <c r="AD1367" s="109">
        <v>0</v>
      </c>
      <c r="AE1367" s="125"/>
      <c r="AF1367" s="10"/>
      <c r="AI1367" s="109"/>
      <c r="AJ1367" s="109"/>
      <c r="AL1367" s="10"/>
      <c r="AO1367" s="109"/>
      <c r="AP1367" s="109"/>
      <c r="AR1367" s="10"/>
      <c r="AU1367" s="109"/>
      <c r="AV1367" s="109"/>
      <c r="AX1367" s="10"/>
      <c r="BA1367" s="109"/>
      <c r="BB1367" s="109"/>
      <c r="BD1367" s="10"/>
      <c r="BG1367" s="109"/>
      <c r="BH1367" s="109"/>
      <c r="BJ1367" s="10"/>
      <c r="BM1367" s="109"/>
      <c r="BN1367" s="109"/>
      <c r="BP1367" s="10"/>
      <c r="BS1367" s="109"/>
      <c r="BT1367" s="109"/>
      <c r="BV1367" s="10"/>
      <c r="BY1367" s="109"/>
      <c r="BZ1367" s="109"/>
      <c r="CB1367" s="10"/>
      <c r="CE1367" s="109"/>
      <c r="CF1367" s="109"/>
      <c r="CH1367" s="10"/>
      <c r="CK1367" s="109"/>
      <c r="CL1367" s="109"/>
    </row>
    <row r="1368" spans="1:90">
      <c r="A1368" s="7" t="str">
        <f t="shared" si="211"/>
        <v>02720998</v>
      </c>
      <c r="B1368" s="7" t="s">
        <v>2611</v>
      </c>
      <c r="C1368" s="7" t="s">
        <v>2781</v>
      </c>
      <c r="D1368" s="7">
        <v>1359</v>
      </c>
      <c r="E1368" s="7">
        <v>272</v>
      </c>
      <c r="F1368" s="7" t="s">
        <v>2135</v>
      </c>
      <c r="G1368" s="7">
        <v>998</v>
      </c>
      <c r="H1368" s="7" t="s">
        <v>2135</v>
      </c>
      <c r="I1368" s="70">
        <v>0</v>
      </c>
      <c r="J1368" s="131">
        <v>0</v>
      </c>
      <c r="K1368" s="123">
        <f t="shared" si="210"/>
        <v>0</v>
      </c>
      <c r="L1368" s="122">
        <f>IF(K1369&gt;0, K1368/K1369, 0)</f>
        <v>0</v>
      </c>
      <c r="M1368" s="71"/>
      <c r="N1368" s="10">
        <f>ROUND(M1369*L1368,0)</f>
        <v>0</v>
      </c>
      <c r="O1368" s="70">
        <v>0</v>
      </c>
      <c r="P1368" s="10">
        <f>N1368-O1368</f>
        <v>0</v>
      </c>
      <c r="Q1368" s="46">
        <f t="shared" si="219"/>
        <v>0</v>
      </c>
      <c r="R1368" s="10">
        <v>0</v>
      </c>
      <c r="S1368" s="7">
        <f t="shared" si="212"/>
        <v>0</v>
      </c>
      <c r="T1368" s="124">
        <f t="shared" si="213"/>
        <v>272</v>
      </c>
      <c r="U1368" s="124">
        <f t="shared" si="214"/>
        <v>998</v>
      </c>
      <c r="V1368" s="124">
        <f t="shared" si="215"/>
        <v>1359</v>
      </c>
      <c r="W1368" s="124">
        <f t="shared" si="216"/>
        <v>0</v>
      </c>
      <c r="X1368" s="124">
        <f t="shared" si="217"/>
        <v>0</v>
      </c>
      <c r="Y1368" s="264">
        <f t="shared" si="218"/>
        <v>1359</v>
      </c>
      <c r="Z1368" s="10">
        <v>272</v>
      </c>
      <c r="AA1368" s="7">
        <v>998</v>
      </c>
      <c r="AB1368" s="7">
        <v>1359</v>
      </c>
      <c r="AC1368" s="109">
        <v>0</v>
      </c>
      <c r="AD1368" s="109">
        <v>0</v>
      </c>
      <c r="AE1368" s="125"/>
      <c r="AF1368" s="10"/>
      <c r="AI1368" s="109"/>
      <c r="AJ1368" s="109"/>
      <c r="AL1368" s="10"/>
      <c r="AO1368" s="109"/>
      <c r="AP1368" s="109"/>
      <c r="AR1368" s="10"/>
      <c r="AU1368" s="109"/>
      <c r="AV1368" s="109"/>
      <c r="AX1368" s="10"/>
      <c r="BA1368" s="109"/>
      <c r="BB1368" s="109"/>
      <c r="BD1368" s="10"/>
      <c r="BG1368" s="109"/>
      <c r="BH1368" s="109"/>
      <c r="BJ1368" s="10"/>
      <c r="BM1368" s="109"/>
      <c r="BN1368" s="109"/>
      <c r="BP1368" s="10"/>
      <c r="BS1368" s="109"/>
      <c r="BT1368" s="109"/>
      <c r="BV1368" s="10"/>
      <c r="BY1368" s="109"/>
      <c r="BZ1368" s="109"/>
      <c r="CB1368" s="10"/>
      <c r="CE1368" s="109"/>
      <c r="CF1368" s="109"/>
      <c r="CH1368" s="10"/>
      <c r="CK1368" s="109"/>
      <c r="CL1368" s="109"/>
    </row>
    <row r="1369" spans="1:90">
      <c r="A1369" s="7" t="str">
        <f t="shared" si="211"/>
        <v>02720999</v>
      </c>
      <c r="B1369" s="7" t="s">
        <v>2611</v>
      </c>
      <c r="C1369" s="7" t="s">
        <v>2782</v>
      </c>
      <c r="D1369" s="7">
        <v>1360</v>
      </c>
      <c r="E1369" s="11">
        <v>272</v>
      </c>
      <c r="F1369" s="11" t="s">
        <v>1977</v>
      </c>
      <c r="G1369" s="11">
        <v>999</v>
      </c>
      <c r="H1369" s="11" t="s">
        <v>1132</v>
      </c>
      <c r="I1369" s="134">
        <v>2589685.6</v>
      </c>
      <c r="J1369" s="135">
        <v>1</v>
      </c>
      <c r="K1369" s="127">
        <f>SUM(K1365:K1368)</f>
        <v>2491323.825872534</v>
      </c>
      <c r="L1369" s="126">
        <f>SUM(L1365:L1368)</f>
        <v>1</v>
      </c>
      <c r="M1369" s="105">
        <f>VLOOKUP(E1369,town351,22)</f>
        <v>1463412</v>
      </c>
      <c r="N1369" s="105">
        <f>SUM(N1365:N1368)</f>
        <v>1463412</v>
      </c>
      <c r="O1369" s="128">
        <v>1449279</v>
      </c>
      <c r="P1369" s="105">
        <f>SUM(P1365:P1368)</f>
        <v>14133</v>
      </c>
      <c r="Q1369" s="45">
        <f t="shared" si="219"/>
        <v>0.97517455231187367</v>
      </c>
      <c r="R1369" s="105">
        <v>260</v>
      </c>
      <c r="S1369" s="7">
        <f t="shared" si="212"/>
        <v>0</v>
      </c>
      <c r="T1369" s="124">
        <f t="shared" si="213"/>
        <v>272</v>
      </c>
      <c r="U1369" s="124">
        <f t="shared" si="214"/>
        <v>999</v>
      </c>
      <c r="V1369" s="124">
        <f t="shared" si="215"/>
        <v>1360</v>
      </c>
      <c r="W1369" s="124">
        <f t="shared" si="216"/>
        <v>241.37552155660001</v>
      </c>
      <c r="X1369" s="124">
        <f t="shared" si="217"/>
        <v>2491323.825872534</v>
      </c>
      <c r="Y1369" s="264">
        <f t="shared" si="218"/>
        <v>1360</v>
      </c>
      <c r="Z1369" s="10">
        <v>272</v>
      </c>
      <c r="AA1369" s="7">
        <v>999</v>
      </c>
      <c r="AB1369" s="7">
        <v>1360</v>
      </c>
      <c r="AC1369" s="109">
        <v>241.37552155660001</v>
      </c>
      <c r="AD1369" s="109">
        <v>2491323.825872534</v>
      </c>
      <c r="AE1369" s="125"/>
      <c r="AF1369" s="10"/>
      <c r="AI1369" s="109"/>
      <c r="AJ1369" s="109"/>
      <c r="AL1369" s="10"/>
      <c r="AO1369" s="109"/>
      <c r="AP1369" s="109"/>
      <c r="AR1369" s="10"/>
      <c r="AU1369" s="109"/>
      <c r="AV1369" s="109"/>
      <c r="AX1369" s="10"/>
      <c r="BA1369" s="109"/>
      <c r="BB1369" s="109"/>
      <c r="BD1369" s="10"/>
      <c r="BG1369" s="109"/>
      <c r="BH1369" s="109"/>
      <c r="BJ1369" s="10"/>
      <c r="BM1369" s="109"/>
      <c r="BN1369" s="109"/>
      <c r="BP1369" s="10"/>
      <c r="BS1369" s="109"/>
      <c r="BT1369" s="109"/>
      <c r="BV1369" s="10"/>
      <c r="BY1369" s="109"/>
      <c r="BZ1369" s="109"/>
      <c r="CB1369" s="10"/>
      <c r="CE1369" s="109"/>
      <c r="CF1369" s="109"/>
      <c r="CH1369" s="10"/>
      <c r="CK1369" s="109"/>
      <c r="CL1369" s="109"/>
    </row>
    <row r="1370" spans="1:90">
      <c r="A1370" s="7" t="str">
        <f t="shared" si="211"/>
        <v>02730273</v>
      </c>
      <c r="B1370" s="7" t="s">
        <v>2612</v>
      </c>
      <c r="C1370" s="7" t="s">
        <v>2612</v>
      </c>
      <c r="D1370" s="7">
        <v>1361</v>
      </c>
      <c r="E1370" s="7">
        <v>273</v>
      </c>
      <c r="F1370" s="7" t="s">
        <v>1978</v>
      </c>
      <c r="G1370" s="7">
        <v>273</v>
      </c>
      <c r="H1370" s="7" t="s">
        <v>1539</v>
      </c>
      <c r="I1370" s="70">
        <v>16558627.16</v>
      </c>
      <c r="J1370" s="131">
        <v>0.63889736994288926</v>
      </c>
      <c r="K1370" s="123">
        <f>X1370</f>
        <v>17125371.876508925</v>
      </c>
      <c r="L1370" s="122">
        <f>IF(K1374&gt;0, K1370/K1374, 0)</f>
        <v>0.63881590463441607</v>
      </c>
      <c r="M1370" s="71"/>
      <c r="N1370" s="10">
        <f>ROUND(M1374*L1370,0)</f>
        <v>9582995</v>
      </c>
      <c r="O1370" s="70">
        <v>10170448</v>
      </c>
      <c r="P1370" s="10">
        <f>N1370-O1370</f>
        <v>-587453</v>
      </c>
      <c r="Q1370" s="46">
        <f t="shared" si="219"/>
        <v>-5.7760779072858934</v>
      </c>
      <c r="R1370" s="62">
        <v>1778</v>
      </c>
      <c r="S1370" s="7">
        <f t="shared" si="212"/>
        <v>0</v>
      </c>
      <c r="T1370" s="124">
        <f t="shared" si="213"/>
        <v>273</v>
      </c>
      <c r="U1370" s="124">
        <f t="shared" si="214"/>
        <v>273</v>
      </c>
      <c r="V1370" s="124">
        <f t="shared" si="215"/>
        <v>1361</v>
      </c>
      <c r="W1370" s="124">
        <f t="shared" si="216"/>
        <v>1804</v>
      </c>
      <c r="X1370" s="124">
        <f t="shared" si="217"/>
        <v>17125371.876508925</v>
      </c>
      <c r="Y1370" s="264">
        <f t="shared" si="218"/>
        <v>1361</v>
      </c>
      <c r="Z1370" s="10">
        <v>273</v>
      </c>
      <c r="AA1370" s="7">
        <v>273</v>
      </c>
      <c r="AB1370" s="7">
        <v>1361</v>
      </c>
      <c r="AC1370" s="109">
        <v>1804</v>
      </c>
      <c r="AD1370" s="109">
        <v>17125371.876508925</v>
      </c>
      <c r="AE1370" s="125"/>
      <c r="AF1370" s="10"/>
      <c r="AI1370" s="109"/>
      <c r="AJ1370" s="109"/>
      <c r="AL1370" s="10"/>
      <c r="AO1370" s="109"/>
      <c r="AP1370" s="109"/>
      <c r="AR1370" s="10"/>
      <c r="AU1370" s="109"/>
      <c r="AV1370" s="109"/>
      <c r="AX1370" s="10"/>
      <c r="BA1370" s="109"/>
      <c r="BB1370" s="109"/>
      <c r="BD1370" s="10"/>
      <c r="BG1370" s="109"/>
      <c r="BH1370" s="109"/>
      <c r="BJ1370" s="10"/>
      <c r="BM1370" s="109"/>
      <c r="BN1370" s="109"/>
      <c r="BP1370" s="10"/>
      <c r="BS1370" s="109"/>
      <c r="BT1370" s="109"/>
      <c r="BV1370" s="10"/>
      <c r="BY1370" s="109"/>
      <c r="BZ1370" s="109"/>
      <c r="CB1370" s="10"/>
      <c r="CE1370" s="109"/>
      <c r="CF1370" s="109"/>
      <c r="CH1370" s="10"/>
      <c r="CK1370" s="109"/>
      <c r="CL1370" s="109"/>
    </row>
    <row r="1371" spans="1:90">
      <c r="A1371" s="7" t="str">
        <f t="shared" si="211"/>
        <v>02730763</v>
      </c>
      <c r="B1371" s="7" t="s">
        <v>2612</v>
      </c>
      <c r="C1371" s="7" t="s">
        <v>2742</v>
      </c>
      <c r="D1371" s="7">
        <v>1362</v>
      </c>
      <c r="E1371" s="7">
        <v>273</v>
      </c>
      <c r="F1371" s="7" t="s">
        <v>1978</v>
      </c>
      <c r="G1371" s="7">
        <v>763</v>
      </c>
      <c r="H1371" s="7" t="s">
        <v>1669</v>
      </c>
      <c r="I1371" s="70">
        <v>7190787</v>
      </c>
      <c r="J1371" s="131">
        <v>0.27744902145133621</v>
      </c>
      <c r="K1371" s="123">
        <f t="shared" si="210"/>
        <v>7621264.0048605232</v>
      </c>
      <c r="L1371" s="122">
        <f>IF(K1374&gt;0, K1371/K1374, 0)</f>
        <v>0.28429074094449197</v>
      </c>
      <c r="M1371" s="71"/>
      <c r="N1371" s="10">
        <f>ROUND(M1374*L1371,0)</f>
        <v>4264698</v>
      </c>
      <c r="O1371" s="70">
        <v>4416642</v>
      </c>
      <c r="P1371" s="10">
        <f>N1371-O1371</f>
        <v>-151944</v>
      </c>
      <c r="Q1371" s="46">
        <f t="shared" si="219"/>
        <v>-3.4402607229655473</v>
      </c>
      <c r="R1371" s="62">
        <v>666</v>
      </c>
      <c r="S1371" s="7">
        <f t="shared" si="212"/>
        <v>0</v>
      </c>
      <c r="T1371" s="124">
        <f t="shared" si="213"/>
        <v>273</v>
      </c>
      <c r="U1371" s="124">
        <f t="shared" si="214"/>
        <v>763</v>
      </c>
      <c r="V1371" s="124">
        <f t="shared" si="215"/>
        <v>1362</v>
      </c>
      <c r="W1371" s="124">
        <f t="shared" si="216"/>
        <v>701.71676892063999</v>
      </c>
      <c r="X1371" s="124">
        <f t="shared" si="217"/>
        <v>7621264.0048605232</v>
      </c>
      <c r="Y1371" s="264">
        <f t="shared" si="218"/>
        <v>1362</v>
      </c>
      <c r="Z1371" s="10">
        <v>273</v>
      </c>
      <c r="AA1371" s="7">
        <v>763</v>
      </c>
      <c r="AB1371" s="7">
        <v>1362</v>
      </c>
      <c r="AC1371" s="109">
        <v>701.71676892063999</v>
      </c>
      <c r="AD1371" s="109">
        <v>7621264.0048605232</v>
      </c>
      <c r="AE1371" s="125"/>
      <c r="AF1371" s="10"/>
      <c r="AI1371" s="109"/>
      <c r="AJ1371" s="109"/>
      <c r="AL1371" s="10"/>
      <c r="AO1371" s="109"/>
      <c r="AP1371" s="109"/>
      <c r="AR1371" s="10"/>
      <c r="AU1371" s="109"/>
      <c r="AV1371" s="109"/>
      <c r="AX1371" s="10"/>
      <c r="BA1371" s="109"/>
      <c r="BB1371" s="109"/>
      <c r="BD1371" s="10"/>
      <c r="BG1371" s="109"/>
      <c r="BH1371" s="109"/>
      <c r="BJ1371" s="10"/>
      <c r="BM1371" s="109"/>
      <c r="BN1371" s="109"/>
      <c r="BP1371" s="10"/>
      <c r="BS1371" s="109"/>
      <c r="BT1371" s="109"/>
      <c r="BV1371" s="10"/>
      <c r="BY1371" s="109"/>
      <c r="BZ1371" s="109"/>
      <c r="CB1371" s="10"/>
      <c r="CE1371" s="109"/>
      <c r="CF1371" s="109"/>
      <c r="CH1371" s="10"/>
      <c r="CK1371" s="109"/>
      <c r="CL1371" s="109"/>
    </row>
    <row r="1372" spans="1:90">
      <c r="A1372" s="7" t="str">
        <f t="shared" si="211"/>
        <v>02730821</v>
      </c>
      <c r="B1372" s="7" t="s">
        <v>2612</v>
      </c>
      <c r="C1372" s="7" t="s">
        <v>2759</v>
      </c>
      <c r="D1372" s="7">
        <v>1363</v>
      </c>
      <c r="E1372" s="7">
        <v>273</v>
      </c>
      <c r="F1372" s="7" t="s">
        <v>1978</v>
      </c>
      <c r="G1372" s="7">
        <v>821</v>
      </c>
      <c r="H1372" s="7" t="s">
        <v>1686</v>
      </c>
      <c r="I1372" s="70">
        <v>1907628</v>
      </c>
      <c r="J1372" s="131">
        <v>7.3603838062950497E-2</v>
      </c>
      <c r="K1372" s="123">
        <f t="shared" si="210"/>
        <v>1733396.6879527646</v>
      </c>
      <c r="L1372" s="122">
        <f>IF(K1374&gt;0, K1372/K1374, 0)</f>
        <v>6.4659697978516409E-2</v>
      </c>
      <c r="M1372" s="71"/>
      <c r="N1372" s="10">
        <f>ROUND(M1374*L1372,0)</f>
        <v>969972</v>
      </c>
      <c r="O1372" s="70">
        <v>1171681</v>
      </c>
      <c r="P1372" s="10">
        <f>N1372-O1372</f>
        <v>-201709</v>
      </c>
      <c r="Q1372" s="46">
        <f t="shared" si="219"/>
        <v>-17.215351277352795</v>
      </c>
      <c r="R1372" s="62">
        <v>121</v>
      </c>
      <c r="S1372" s="7">
        <f t="shared" si="212"/>
        <v>0</v>
      </c>
      <c r="T1372" s="124">
        <f t="shared" si="213"/>
        <v>273</v>
      </c>
      <c r="U1372" s="124">
        <f t="shared" si="214"/>
        <v>821</v>
      </c>
      <c r="V1372" s="124">
        <f t="shared" si="215"/>
        <v>1363</v>
      </c>
      <c r="W1372" s="124">
        <f t="shared" si="216"/>
        <v>107.00000000039</v>
      </c>
      <c r="X1372" s="124">
        <f t="shared" si="217"/>
        <v>1733396.6879527646</v>
      </c>
      <c r="Y1372" s="264">
        <f t="shared" si="218"/>
        <v>1363</v>
      </c>
      <c r="Z1372" s="10">
        <v>273</v>
      </c>
      <c r="AA1372" s="7">
        <v>821</v>
      </c>
      <c r="AB1372" s="7">
        <v>1363</v>
      </c>
      <c r="AC1372" s="109">
        <v>107.00000000039</v>
      </c>
      <c r="AD1372" s="109">
        <v>1733396.6879527646</v>
      </c>
      <c r="AE1372" s="125"/>
      <c r="AF1372" s="10"/>
      <c r="AI1372" s="109"/>
      <c r="AJ1372" s="109"/>
      <c r="AL1372" s="10"/>
      <c r="AO1372" s="109"/>
      <c r="AP1372" s="109"/>
      <c r="AR1372" s="10"/>
      <c r="AU1372" s="109"/>
      <c r="AV1372" s="109"/>
      <c r="AX1372" s="10"/>
      <c r="BA1372" s="109"/>
      <c r="BB1372" s="109"/>
      <c r="BD1372" s="10"/>
      <c r="BG1372" s="109"/>
      <c r="BH1372" s="109"/>
      <c r="BJ1372" s="10"/>
      <c r="BM1372" s="109"/>
      <c r="BN1372" s="109"/>
      <c r="BP1372" s="10"/>
      <c r="BS1372" s="109"/>
      <c r="BT1372" s="109"/>
      <c r="BV1372" s="10"/>
      <c r="BY1372" s="109"/>
      <c r="BZ1372" s="109"/>
      <c r="CB1372" s="10"/>
      <c r="CE1372" s="109"/>
      <c r="CF1372" s="109"/>
      <c r="CH1372" s="10"/>
      <c r="CK1372" s="109"/>
      <c r="CL1372" s="109"/>
    </row>
    <row r="1373" spans="1:90">
      <c r="A1373" s="7" t="str">
        <f t="shared" si="211"/>
        <v>02730910</v>
      </c>
      <c r="B1373" s="7" t="s">
        <v>2612</v>
      </c>
      <c r="C1373" s="7" t="s">
        <v>2778</v>
      </c>
      <c r="D1373" s="7">
        <v>1364</v>
      </c>
      <c r="E1373" s="7">
        <v>273</v>
      </c>
      <c r="F1373" s="7" t="s">
        <v>1978</v>
      </c>
      <c r="G1373" s="7">
        <v>910</v>
      </c>
      <c r="H1373" s="7" t="s">
        <v>1705</v>
      </c>
      <c r="I1373" s="70">
        <v>260465</v>
      </c>
      <c r="J1373" s="131">
        <v>1.0049770542824073E-2</v>
      </c>
      <c r="K1373" s="123">
        <f t="shared" si="210"/>
        <v>327959.76817210484</v>
      </c>
      <c r="L1373" s="122">
        <f>IF(K1374&gt;0, K1373/K1374, 0)</f>
        <v>1.2233656442575607E-2</v>
      </c>
      <c r="M1373" s="71"/>
      <c r="N1373" s="10">
        <f>ROUND(M1374*L1373,0)</f>
        <v>183519</v>
      </c>
      <c r="O1373" s="70">
        <v>159980</v>
      </c>
      <c r="P1373" s="10">
        <f>N1373-O1373</f>
        <v>23539</v>
      </c>
      <c r="Q1373" s="46">
        <f t="shared" si="219"/>
        <v>14.713714214276784</v>
      </c>
      <c r="R1373" s="62">
        <v>17</v>
      </c>
      <c r="S1373" s="7">
        <f t="shared" si="212"/>
        <v>0</v>
      </c>
      <c r="T1373" s="124">
        <f t="shared" si="213"/>
        <v>273</v>
      </c>
      <c r="U1373" s="124">
        <f t="shared" si="214"/>
        <v>910</v>
      </c>
      <c r="V1373" s="124">
        <f t="shared" si="215"/>
        <v>1364</v>
      </c>
      <c r="W1373" s="124">
        <f t="shared" si="216"/>
        <v>21.00000000148</v>
      </c>
      <c r="X1373" s="124">
        <f t="shared" si="217"/>
        <v>327959.76817210484</v>
      </c>
      <c r="Y1373" s="264">
        <f t="shared" si="218"/>
        <v>1364</v>
      </c>
      <c r="Z1373" s="10">
        <v>273</v>
      </c>
      <c r="AA1373" s="7">
        <v>910</v>
      </c>
      <c r="AB1373" s="7">
        <v>1364</v>
      </c>
      <c r="AC1373" s="109">
        <v>21.00000000148</v>
      </c>
      <c r="AD1373" s="109">
        <v>327959.76817210484</v>
      </c>
      <c r="AE1373" s="125"/>
      <c r="AF1373" s="10"/>
      <c r="AI1373" s="109"/>
      <c r="AJ1373" s="109"/>
      <c r="AL1373" s="10"/>
      <c r="AO1373" s="109"/>
      <c r="AP1373" s="109"/>
      <c r="AR1373" s="10"/>
      <c r="AU1373" s="109"/>
      <c r="AV1373" s="109"/>
      <c r="AX1373" s="10"/>
      <c r="BA1373" s="109"/>
      <c r="BB1373" s="109"/>
      <c r="BD1373" s="10"/>
      <c r="BG1373" s="109"/>
      <c r="BH1373" s="109"/>
      <c r="BJ1373" s="10"/>
      <c r="BM1373" s="109"/>
      <c r="BN1373" s="109"/>
      <c r="BP1373" s="10"/>
      <c r="BS1373" s="109"/>
      <c r="BT1373" s="109"/>
      <c r="BV1373" s="10"/>
      <c r="BY1373" s="109"/>
      <c r="BZ1373" s="109"/>
      <c r="CB1373" s="10"/>
      <c r="CE1373" s="109"/>
      <c r="CF1373" s="109"/>
      <c r="CH1373" s="10"/>
      <c r="CK1373" s="109"/>
      <c r="CL1373" s="109"/>
    </row>
    <row r="1374" spans="1:90">
      <c r="A1374" s="7" t="str">
        <f t="shared" si="211"/>
        <v>02730999</v>
      </c>
      <c r="B1374" s="7" t="s">
        <v>2612</v>
      </c>
      <c r="C1374" s="7" t="s">
        <v>2782</v>
      </c>
      <c r="D1374" s="7">
        <v>1365</v>
      </c>
      <c r="E1374" s="11">
        <v>273</v>
      </c>
      <c r="F1374" s="11" t="s">
        <v>1978</v>
      </c>
      <c r="G1374" s="11">
        <v>999</v>
      </c>
      <c r="H1374" s="11" t="s">
        <v>1132</v>
      </c>
      <c r="I1374" s="134">
        <v>25917507.16</v>
      </c>
      <c r="J1374" s="131">
        <v>1</v>
      </c>
      <c r="K1374" s="127">
        <f>SUM(K1370:K1373)</f>
        <v>26807992.337494317</v>
      </c>
      <c r="L1374" s="126">
        <f>SUM(L1370:L1373)</f>
        <v>1.0000000000000002</v>
      </c>
      <c r="M1374" s="105">
        <f>VLOOKUP(E1374,town351,22)</f>
        <v>15001184</v>
      </c>
      <c r="N1374" s="105">
        <f>SUM(N1370:N1373)</f>
        <v>15001184</v>
      </c>
      <c r="O1374" s="128">
        <v>15918751</v>
      </c>
      <c r="P1374" s="134">
        <f>SUM(P1370:P1373)</f>
        <v>-917567</v>
      </c>
      <c r="Q1374" s="138">
        <f t="shared" si="219"/>
        <v>-5.7640640273850634</v>
      </c>
      <c r="R1374" s="134">
        <v>2582</v>
      </c>
      <c r="S1374" s="7">
        <f t="shared" si="212"/>
        <v>0</v>
      </c>
      <c r="T1374" s="124">
        <f t="shared" si="213"/>
        <v>273</v>
      </c>
      <c r="U1374" s="124">
        <f t="shared" si="214"/>
        <v>999</v>
      </c>
      <c r="V1374" s="124">
        <f t="shared" si="215"/>
        <v>1365</v>
      </c>
      <c r="W1374" s="124">
        <f t="shared" si="216"/>
        <v>2633.7167689225103</v>
      </c>
      <c r="X1374" s="124">
        <f t="shared" si="217"/>
        <v>26807992.337494317</v>
      </c>
      <c r="Y1374" s="264">
        <f t="shared" si="218"/>
        <v>1365</v>
      </c>
      <c r="Z1374" s="10">
        <v>273</v>
      </c>
      <c r="AA1374" s="7">
        <v>999</v>
      </c>
      <c r="AB1374" s="7">
        <v>1365</v>
      </c>
      <c r="AC1374" s="109">
        <v>2633.7167689225103</v>
      </c>
      <c r="AD1374" s="109">
        <v>26807992.337494317</v>
      </c>
      <c r="AE1374" s="125"/>
      <c r="AF1374" s="10"/>
      <c r="AI1374" s="109"/>
      <c r="AJ1374" s="109"/>
      <c r="AL1374" s="10"/>
      <c r="AO1374" s="109"/>
      <c r="AP1374" s="109"/>
      <c r="AR1374" s="10"/>
      <c r="AU1374" s="109"/>
      <c r="AV1374" s="109"/>
      <c r="AX1374" s="10"/>
      <c r="BA1374" s="109"/>
      <c r="BB1374" s="109"/>
      <c r="BD1374" s="10"/>
      <c r="BG1374" s="109"/>
      <c r="BH1374" s="109"/>
      <c r="BJ1374" s="10"/>
      <c r="BM1374" s="109"/>
      <c r="BN1374" s="109"/>
      <c r="BP1374" s="10"/>
      <c r="BS1374" s="109"/>
      <c r="BT1374" s="109"/>
      <c r="BV1374" s="10"/>
      <c r="BY1374" s="109"/>
      <c r="BZ1374" s="109"/>
      <c r="CB1374" s="10"/>
      <c r="CE1374" s="109"/>
      <c r="CF1374" s="109"/>
      <c r="CH1374" s="10"/>
      <c r="CK1374" s="109"/>
      <c r="CL1374" s="109"/>
    </row>
    <row r="1375" spans="1:90">
      <c r="A1375" s="7" t="str">
        <f t="shared" si="211"/>
        <v>02740274</v>
      </c>
      <c r="B1375" s="7" t="s">
        <v>2613</v>
      </c>
      <c r="C1375" s="7" t="s">
        <v>2613</v>
      </c>
      <c r="D1375" s="7">
        <v>1366</v>
      </c>
      <c r="E1375" s="7">
        <v>274</v>
      </c>
      <c r="F1375" s="7" t="s">
        <v>1979</v>
      </c>
      <c r="G1375" s="7">
        <v>274</v>
      </c>
      <c r="H1375" s="7" t="s">
        <v>1540</v>
      </c>
      <c r="I1375" s="70">
        <v>62011654.562320009</v>
      </c>
      <c r="J1375" s="131">
        <v>1</v>
      </c>
      <c r="K1375" s="123">
        <f>X1375</f>
        <v>64130648.10950844</v>
      </c>
      <c r="L1375" s="122">
        <f>IF(K1379&gt;0, K1375/K1379, 0)</f>
        <v>1</v>
      </c>
      <c r="M1375" s="71"/>
      <c r="N1375" s="10">
        <f>ROUND(M1379*L1375,0)</f>
        <v>53229236</v>
      </c>
      <c r="O1375" s="70">
        <v>51954315</v>
      </c>
      <c r="P1375" s="10">
        <f>N1375-O1375</f>
        <v>1274921</v>
      </c>
      <c r="Q1375" s="46">
        <f t="shared" si="219"/>
        <v>2.4539270703501721</v>
      </c>
      <c r="R1375" s="10">
        <v>5322</v>
      </c>
      <c r="S1375" s="7">
        <f t="shared" si="212"/>
        <v>0</v>
      </c>
      <c r="T1375" s="124">
        <f t="shared" si="213"/>
        <v>274</v>
      </c>
      <c r="U1375" s="124">
        <f t="shared" si="214"/>
        <v>274</v>
      </c>
      <c r="V1375" s="124">
        <f t="shared" si="215"/>
        <v>1366</v>
      </c>
      <c r="W1375" s="124">
        <f t="shared" si="216"/>
        <v>5353</v>
      </c>
      <c r="X1375" s="124">
        <f t="shared" si="217"/>
        <v>64130648.10950844</v>
      </c>
      <c r="Y1375" s="264">
        <f t="shared" si="218"/>
        <v>1366</v>
      </c>
      <c r="Z1375" s="10">
        <v>274</v>
      </c>
      <c r="AA1375" s="7">
        <v>274</v>
      </c>
      <c r="AB1375" s="7">
        <v>1366</v>
      </c>
      <c r="AC1375" s="109">
        <v>5353</v>
      </c>
      <c r="AD1375" s="109">
        <v>64130648.10950844</v>
      </c>
      <c r="AE1375" s="125"/>
      <c r="AF1375" s="10"/>
      <c r="AI1375" s="109"/>
      <c r="AJ1375" s="109"/>
      <c r="AL1375" s="10"/>
      <c r="AO1375" s="109"/>
      <c r="AP1375" s="109"/>
      <c r="AR1375" s="10"/>
      <c r="AU1375" s="109"/>
      <c r="AV1375" s="109"/>
      <c r="AX1375" s="10"/>
      <c r="BA1375" s="109"/>
      <c r="BB1375" s="109"/>
      <c r="BD1375" s="10"/>
      <c r="BG1375" s="109"/>
      <c r="BH1375" s="109"/>
      <c r="BJ1375" s="10"/>
      <c r="BM1375" s="109"/>
      <c r="BN1375" s="109"/>
      <c r="BP1375" s="10"/>
      <c r="BS1375" s="109"/>
      <c r="BT1375" s="109"/>
      <c r="BV1375" s="10"/>
      <c r="BY1375" s="109"/>
      <c r="BZ1375" s="109"/>
      <c r="CB1375" s="10"/>
      <c r="CE1375" s="109"/>
      <c r="CF1375" s="109"/>
      <c r="CH1375" s="10"/>
      <c r="CK1375" s="109"/>
      <c r="CL1375" s="109"/>
    </row>
    <row r="1376" spans="1:90">
      <c r="A1376" s="7" t="str">
        <f t="shared" si="211"/>
        <v>02740998</v>
      </c>
      <c r="B1376" s="7" t="s">
        <v>2613</v>
      </c>
      <c r="C1376" s="7" t="s">
        <v>2781</v>
      </c>
      <c r="D1376" s="7">
        <v>1367</v>
      </c>
      <c r="E1376" s="7">
        <v>274</v>
      </c>
      <c r="F1376" s="7" t="s">
        <v>2135</v>
      </c>
      <c r="G1376" s="7">
        <v>998</v>
      </c>
      <c r="H1376" s="7" t="s">
        <v>2135</v>
      </c>
      <c r="I1376" s="70">
        <v>0</v>
      </c>
      <c r="J1376" s="131">
        <v>0</v>
      </c>
      <c r="K1376" s="123">
        <f t="shared" si="210"/>
        <v>0</v>
      </c>
      <c r="L1376" s="122">
        <f>IF(K1379&gt;0, K1376/K1379, 0)</f>
        <v>0</v>
      </c>
      <c r="M1376" s="71"/>
      <c r="N1376" s="10">
        <f>ROUND(M1379*L1376,0)</f>
        <v>0</v>
      </c>
      <c r="O1376" s="70">
        <v>0</v>
      </c>
      <c r="P1376" s="10">
        <f>N1376-O1376</f>
        <v>0</v>
      </c>
      <c r="Q1376" s="46">
        <f t="shared" si="219"/>
        <v>0</v>
      </c>
      <c r="R1376" s="10">
        <v>0</v>
      </c>
      <c r="S1376" s="7">
        <f t="shared" si="212"/>
        <v>0</v>
      </c>
      <c r="T1376" s="124">
        <f t="shared" si="213"/>
        <v>274</v>
      </c>
      <c r="U1376" s="124">
        <f t="shared" si="214"/>
        <v>998</v>
      </c>
      <c r="V1376" s="124">
        <f t="shared" si="215"/>
        <v>1367</v>
      </c>
      <c r="W1376" s="124">
        <f t="shared" si="216"/>
        <v>0</v>
      </c>
      <c r="X1376" s="124">
        <f t="shared" si="217"/>
        <v>0</v>
      </c>
      <c r="Y1376" s="264">
        <f t="shared" si="218"/>
        <v>1367</v>
      </c>
      <c r="Z1376" s="10">
        <v>274</v>
      </c>
      <c r="AA1376" s="7">
        <v>998</v>
      </c>
      <c r="AB1376" s="7">
        <v>1367</v>
      </c>
      <c r="AC1376" s="109">
        <v>0</v>
      </c>
      <c r="AD1376" s="109">
        <v>0</v>
      </c>
      <c r="AE1376" s="125"/>
      <c r="AF1376" s="10"/>
      <c r="AI1376" s="109"/>
      <c r="AJ1376" s="109"/>
      <c r="AL1376" s="10"/>
      <c r="AO1376" s="109"/>
      <c r="AP1376" s="109"/>
      <c r="AR1376" s="10"/>
      <c r="AU1376" s="109"/>
      <c r="AV1376" s="109"/>
      <c r="AX1376" s="10"/>
      <c r="BA1376" s="109"/>
      <c r="BB1376" s="109"/>
      <c r="BD1376" s="10"/>
      <c r="BG1376" s="109"/>
      <c r="BH1376" s="109"/>
      <c r="BJ1376" s="10"/>
      <c r="BM1376" s="109"/>
      <c r="BN1376" s="109"/>
      <c r="BP1376" s="10"/>
      <c r="BS1376" s="109"/>
      <c r="BT1376" s="109"/>
      <c r="BV1376" s="10"/>
      <c r="BY1376" s="109"/>
      <c r="BZ1376" s="109"/>
      <c r="CB1376" s="10"/>
      <c r="CE1376" s="109"/>
      <c r="CF1376" s="109"/>
      <c r="CH1376" s="10"/>
      <c r="CK1376" s="109"/>
      <c r="CL1376" s="109"/>
    </row>
    <row r="1377" spans="1:90">
      <c r="A1377" s="7" t="str">
        <f t="shared" si="211"/>
        <v>02740998</v>
      </c>
      <c r="B1377" s="7" t="s">
        <v>2613</v>
      </c>
      <c r="C1377" s="7" t="s">
        <v>2781</v>
      </c>
      <c r="D1377" s="7">
        <v>1368</v>
      </c>
      <c r="E1377" s="7">
        <v>274</v>
      </c>
      <c r="F1377" s="7" t="s">
        <v>2135</v>
      </c>
      <c r="G1377" s="7">
        <v>998</v>
      </c>
      <c r="H1377" s="7" t="s">
        <v>2135</v>
      </c>
      <c r="I1377" s="70">
        <v>0</v>
      </c>
      <c r="J1377" s="131">
        <v>0</v>
      </c>
      <c r="K1377" s="123">
        <f t="shared" si="210"/>
        <v>0</v>
      </c>
      <c r="L1377" s="122">
        <f>IF(K1379&gt;0, K1377/K1379, 0)</f>
        <v>0</v>
      </c>
      <c r="M1377" s="71"/>
      <c r="N1377" s="10">
        <f>ROUND(M1379*L1377,0)</f>
        <v>0</v>
      </c>
      <c r="O1377" s="70">
        <v>0</v>
      </c>
      <c r="P1377" s="10">
        <f>N1377-O1377</f>
        <v>0</v>
      </c>
      <c r="Q1377" s="46">
        <f t="shared" si="219"/>
        <v>0</v>
      </c>
      <c r="R1377" s="10">
        <v>0</v>
      </c>
      <c r="S1377" s="7">
        <f t="shared" si="212"/>
        <v>0</v>
      </c>
      <c r="T1377" s="124">
        <f t="shared" si="213"/>
        <v>274</v>
      </c>
      <c r="U1377" s="124">
        <f t="shared" si="214"/>
        <v>998</v>
      </c>
      <c r="V1377" s="124">
        <f t="shared" si="215"/>
        <v>1368</v>
      </c>
      <c r="W1377" s="124">
        <f t="shared" si="216"/>
        <v>0</v>
      </c>
      <c r="X1377" s="124">
        <f t="shared" si="217"/>
        <v>0</v>
      </c>
      <c r="Y1377" s="264">
        <f t="shared" si="218"/>
        <v>1368</v>
      </c>
      <c r="Z1377" s="10">
        <v>274</v>
      </c>
      <c r="AA1377" s="7">
        <v>998</v>
      </c>
      <c r="AB1377" s="7">
        <v>1368</v>
      </c>
      <c r="AC1377" s="109">
        <v>0</v>
      </c>
      <c r="AD1377" s="109">
        <v>0</v>
      </c>
      <c r="AE1377" s="125"/>
      <c r="AF1377" s="10"/>
      <c r="AI1377" s="109"/>
      <c r="AJ1377" s="109"/>
      <c r="AL1377" s="10"/>
      <c r="AO1377" s="109"/>
      <c r="AP1377" s="109"/>
      <c r="AR1377" s="10"/>
      <c r="AU1377" s="109"/>
      <c r="AV1377" s="109"/>
      <c r="AX1377" s="10"/>
      <c r="BA1377" s="109"/>
      <c r="BB1377" s="109"/>
      <c r="BD1377" s="10"/>
      <c r="BG1377" s="109"/>
      <c r="BH1377" s="109"/>
      <c r="BJ1377" s="10"/>
      <c r="BM1377" s="109"/>
      <c r="BN1377" s="109"/>
      <c r="BP1377" s="10"/>
      <c r="BS1377" s="109"/>
      <c r="BT1377" s="109"/>
      <c r="BV1377" s="10"/>
      <c r="BY1377" s="109"/>
      <c r="BZ1377" s="109"/>
      <c r="CB1377" s="10"/>
      <c r="CE1377" s="109"/>
      <c r="CF1377" s="109"/>
      <c r="CH1377" s="10"/>
      <c r="CK1377" s="109"/>
      <c r="CL1377" s="109"/>
    </row>
    <row r="1378" spans="1:90">
      <c r="A1378" s="7" t="str">
        <f t="shared" si="211"/>
        <v>02740998</v>
      </c>
      <c r="B1378" s="7" t="s">
        <v>2613</v>
      </c>
      <c r="C1378" s="7" t="s">
        <v>2781</v>
      </c>
      <c r="D1378" s="7">
        <v>1369</v>
      </c>
      <c r="E1378" s="7">
        <v>274</v>
      </c>
      <c r="F1378" s="7" t="s">
        <v>2135</v>
      </c>
      <c r="G1378" s="7">
        <v>998</v>
      </c>
      <c r="H1378" s="7" t="s">
        <v>2135</v>
      </c>
      <c r="I1378" s="70">
        <v>0</v>
      </c>
      <c r="J1378" s="131">
        <v>0</v>
      </c>
      <c r="K1378" s="123">
        <f t="shared" si="210"/>
        <v>0</v>
      </c>
      <c r="L1378" s="122">
        <f>IF(K1379&gt;0, K1378/K1379, 0)</f>
        <v>0</v>
      </c>
      <c r="M1378" s="71"/>
      <c r="N1378" s="10">
        <f>ROUND(M1379*L1378,0)</f>
        <v>0</v>
      </c>
      <c r="O1378" s="70">
        <v>0</v>
      </c>
      <c r="P1378" s="10">
        <f>N1378-O1378</f>
        <v>0</v>
      </c>
      <c r="Q1378" s="46">
        <f t="shared" si="219"/>
        <v>0</v>
      </c>
      <c r="R1378" s="10">
        <v>0</v>
      </c>
      <c r="S1378" s="7">
        <f t="shared" si="212"/>
        <v>0</v>
      </c>
      <c r="T1378" s="124">
        <f t="shared" si="213"/>
        <v>274</v>
      </c>
      <c r="U1378" s="124">
        <f t="shared" si="214"/>
        <v>998</v>
      </c>
      <c r="V1378" s="124">
        <f t="shared" si="215"/>
        <v>1369</v>
      </c>
      <c r="W1378" s="124">
        <f t="shared" si="216"/>
        <v>0</v>
      </c>
      <c r="X1378" s="124">
        <f t="shared" si="217"/>
        <v>0</v>
      </c>
      <c r="Y1378" s="264">
        <f t="shared" si="218"/>
        <v>1369</v>
      </c>
      <c r="Z1378" s="10">
        <v>274</v>
      </c>
      <c r="AA1378" s="7">
        <v>998</v>
      </c>
      <c r="AB1378" s="7">
        <v>1369</v>
      </c>
      <c r="AC1378" s="109">
        <v>0</v>
      </c>
      <c r="AD1378" s="109">
        <v>0</v>
      </c>
      <c r="AE1378" s="125"/>
      <c r="AF1378" s="10"/>
      <c r="AI1378" s="109"/>
      <c r="AJ1378" s="109"/>
      <c r="AL1378" s="10"/>
      <c r="AO1378" s="109"/>
      <c r="AP1378" s="109"/>
      <c r="AR1378" s="10"/>
      <c r="AU1378" s="109"/>
      <c r="AV1378" s="109"/>
      <c r="AX1378" s="10"/>
      <c r="BA1378" s="109"/>
      <c r="BB1378" s="109"/>
      <c r="BD1378" s="10"/>
      <c r="BG1378" s="109"/>
      <c r="BH1378" s="109"/>
      <c r="BJ1378" s="10"/>
      <c r="BM1378" s="109"/>
      <c r="BN1378" s="109"/>
      <c r="BP1378" s="10"/>
      <c r="BS1378" s="109"/>
      <c r="BT1378" s="109"/>
      <c r="BV1378" s="10"/>
      <c r="BY1378" s="109"/>
      <c r="BZ1378" s="109"/>
      <c r="CB1378" s="10"/>
      <c r="CE1378" s="109"/>
      <c r="CF1378" s="109"/>
      <c r="CH1378" s="10"/>
      <c r="CK1378" s="109"/>
      <c r="CL1378" s="109"/>
    </row>
    <row r="1379" spans="1:90">
      <c r="A1379" s="7" t="str">
        <f t="shared" si="211"/>
        <v>02740999</v>
      </c>
      <c r="B1379" s="7" t="s">
        <v>2613</v>
      </c>
      <c r="C1379" s="7" t="s">
        <v>2782</v>
      </c>
      <c r="D1379" s="7">
        <v>1370</v>
      </c>
      <c r="E1379" s="11">
        <v>274</v>
      </c>
      <c r="F1379" s="11" t="s">
        <v>1979</v>
      </c>
      <c r="G1379" s="11">
        <v>999</v>
      </c>
      <c r="H1379" s="11" t="s">
        <v>1132</v>
      </c>
      <c r="I1379" s="134">
        <v>62011654.562320009</v>
      </c>
      <c r="J1379" s="135">
        <v>1</v>
      </c>
      <c r="K1379" s="127">
        <f>SUM(K1375:K1378)</f>
        <v>64130648.10950844</v>
      </c>
      <c r="L1379" s="126">
        <f>SUM(L1375:L1378)</f>
        <v>1</v>
      </c>
      <c r="M1379" s="105">
        <f>VLOOKUP(E1379,town351,22)</f>
        <v>53229236</v>
      </c>
      <c r="N1379" s="105">
        <f>SUM(N1375:N1378)</f>
        <v>53229236</v>
      </c>
      <c r="O1379" s="128">
        <v>51954315</v>
      </c>
      <c r="P1379" s="105">
        <f>SUM(P1375:P1378)</f>
        <v>1274921</v>
      </c>
      <c r="Q1379" s="45">
        <f t="shared" si="219"/>
        <v>2.4539270703501721</v>
      </c>
      <c r="R1379" s="105">
        <v>5322</v>
      </c>
      <c r="S1379" s="7">
        <f t="shared" si="212"/>
        <v>0</v>
      </c>
      <c r="T1379" s="124">
        <f t="shared" si="213"/>
        <v>274</v>
      </c>
      <c r="U1379" s="124">
        <f t="shared" si="214"/>
        <v>999</v>
      </c>
      <c r="V1379" s="124">
        <f t="shared" si="215"/>
        <v>1370</v>
      </c>
      <c r="W1379" s="124">
        <f t="shared" si="216"/>
        <v>5353</v>
      </c>
      <c r="X1379" s="124">
        <f t="shared" si="217"/>
        <v>64130648.10950844</v>
      </c>
      <c r="Y1379" s="264">
        <f t="shared" si="218"/>
        <v>1370</v>
      </c>
      <c r="Z1379" s="10">
        <v>274</v>
      </c>
      <c r="AA1379" s="7">
        <v>999</v>
      </c>
      <c r="AB1379" s="7">
        <v>1370</v>
      </c>
      <c r="AC1379" s="109">
        <v>5353</v>
      </c>
      <c r="AD1379" s="109">
        <v>64130648.10950844</v>
      </c>
      <c r="AE1379" s="125"/>
      <c r="AF1379" s="10"/>
      <c r="AI1379" s="109"/>
      <c r="AJ1379" s="109"/>
      <c r="AL1379" s="10"/>
      <c r="AO1379" s="109"/>
      <c r="AP1379" s="109"/>
      <c r="AR1379" s="10"/>
      <c r="AU1379" s="109"/>
      <c r="AV1379" s="109"/>
      <c r="AX1379" s="10"/>
      <c r="BA1379" s="109"/>
      <c r="BB1379" s="109"/>
      <c r="BD1379" s="10"/>
      <c r="BG1379" s="109"/>
      <c r="BH1379" s="109"/>
      <c r="BJ1379" s="10"/>
      <c r="BM1379" s="109"/>
      <c r="BN1379" s="109"/>
      <c r="BP1379" s="10"/>
      <c r="BS1379" s="109"/>
      <c r="BT1379" s="109"/>
      <c r="BV1379" s="10"/>
      <c r="BY1379" s="109"/>
      <c r="BZ1379" s="109"/>
      <c r="CB1379" s="10"/>
      <c r="CE1379" s="109"/>
      <c r="CF1379" s="109"/>
      <c r="CH1379" s="10"/>
      <c r="CK1379" s="109"/>
      <c r="CL1379" s="109"/>
    </row>
    <row r="1380" spans="1:90">
      <c r="A1380" s="7" t="str">
        <f t="shared" si="211"/>
        <v>02750275</v>
      </c>
      <c r="B1380" s="7" t="s">
        <v>2614</v>
      </c>
      <c r="C1380" s="7" t="s">
        <v>2614</v>
      </c>
      <c r="D1380" s="7">
        <v>1371</v>
      </c>
      <c r="E1380" s="7">
        <v>275</v>
      </c>
      <c r="F1380" s="7" t="s">
        <v>1980</v>
      </c>
      <c r="G1380" s="7">
        <v>275</v>
      </c>
      <c r="H1380" s="7" t="s">
        <v>1541</v>
      </c>
      <c r="I1380" s="70">
        <v>4702769.24</v>
      </c>
      <c r="J1380" s="131">
        <v>0.53348011415251373</v>
      </c>
      <c r="K1380" s="123">
        <f t="shared" ref="K1380:K1443" si="220">X1380</f>
        <v>4863203.5231375461</v>
      </c>
      <c r="L1380" s="122">
        <f>IF(K1384&gt;0, K1380/K1384, 0)</f>
        <v>0.54528788755388702</v>
      </c>
      <c r="M1380" s="71"/>
      <c r="N1380" s="10">
        <f>ROUND(M1384*L1380,0)</f>
        <v>3146804</v>
      </c>
      <c r="O1380" s="70">
        <v>3078158</v>
      </c>
      <c r="P1380" s="10">
        <f>N1380-O1380</f>
        <v>68646</v>
      </c>
      <c r="Q1380" s="46">
        <f t="shared" si="219"/>
        <v>2.2300999493853144</v>
      </c>
      <c r="R1380" s="10">
        <v>492</v>
      </c>
      <c r="S1380" s="7">
        <f t="shared" si="212"/>
        <v>0</v>
      </c>
      <c r="T1380" s="124">
        <f t="shared" si="213"/>
        <v>275</v>
      </c>
      <c r="U1380" s="124">
        <f t="shared" si="214"/>
        <v>275</v>
      </c>
      <c r="V1380" s="124">
        <f t="shared" si="215"/>
        <v>1371</v>
      </c>
      <c r="W1380" s="124">
        <f t="shared" si="216"/>
        <v>492</v>
      </c>
      <c r="X1380" s="124">
        <f t="shared" si="217"/>
        <v>4863203.5231375461</v>
      </c>
      <c r="Y1380" s="264">
        <f t="shared" si="218"/>
        <v>1371</v>
      </c>
      <c r="Z1380" s="10">
        <v>275</v>
      </c>
      <c r="AA1380" s="7">
        <v>275</v>
      </c>
      <c r="AB1380" s="7">
        <v>1371</v>
      </c>
      <c r="AC1380" s="109">
        <v>492</v>
      </c>
      <c r="AD1380" s="109">
        <v>4863203.5231375461</v>
      </c>
      <c r="AE1380" s="125"/>
      <c r="AF1380" s="10"/>
      <c r="AI1380" s="109"/>
      <c r="AJ1380" s="109"/>
      <c r="AL1380" s="10"/>
      <c r="AO1380" s="109"/>
      <c r="AP1380" s="109"/>
      <c r="AR1380" s="10"/>
      <c r="AU1380" s="109"/>
      <c r="AV1380" s="109"/>
      <c r="AX1380" s="10"/>
      <c r="BA1380" s="109"/>
      <c r="BB1380" s="109"/>
      <c r="BD1380" s="10"/>
      <c r="BG1380" s="109"/>
      <c r="BH1380" s="109"/>
      <c r="BJ1380" s="10"/>
      <c r="BM1380" s="109"/>
      <c r="BN1380" s="109"/>
      <c r="BP1380" s="10"/>
      <c r="BS1380" s="109"/>
      <c r="BT1380" s="109"/>
      <c r="BV1380" s="10"/>
      <c r="BY1380" s="109"/>
      <c r="BZ1380" s="109"/>
      <c r="CB1380" s="10"/>
      <c r="CE1380" s="109"/>
      <c r="CF1380" s="109"/>
      <c r="CH1380" s="10"/>
      <c r="CK1380" s="109"/>
      <c r="CL1380" s="109"/>
    </row>
    <row r="1381" spans="1:90">
      <c r="A1381" s="7" t="str">
        <f t="shared" si="211"/>
        <v>02750683</v>
      </c>
      <c r="B1381" s="7" t="s">
        <v>2614</v>
      </c>
      <c r="C1381" s="7" t="s">
        <v>2720</v>
      </c>
      <c r="D1381" s="7">
        <v>1372</v>
      </c>
      <c r="E1381" s="7">
        <v>275</v>
      </c>
      <c r="F1381" s="7" t="s">
        <v>1980</v>
      </c>
      <c r="G1381" s="7">
        <v>683</v>
      </c>
      <c r="H1381" s="7" t="s">
        <v>1647</v>
      </c>
      <c r="I1381" s="70">
        <v>4112497</v>
      </c>
      <c r="J1381" s="131">
        <v>0.46651988584748633</v>
      </c>
      <c r="K1381" s="123">
        <f t="shared" si="220"/>
        <v>4055394.5864838599</v>
      </c>
      <c r="L1381" s="122">
        <f>IF(K1384&gt;0, K1381/K1384, 0)</f>
        <v>0.45471211244611304</v>
      </c>
      <c r="M1381" s="71"/>
      <c r="N1381" s="10">
        <f>ROUND(M1384*L1381,0)</f>
        <v>2624099</v>
      </c>
      <c r="O1381" s="70">
        <v>2691801</v>
      </c>
      <c r="P1381" s="10">
        <f>N1381-O1381</f>
        <v>-67702</v>
      </c>
      <c r="Q1381" s="46">
        <f t="shared" si="219"/>
        <v>-2.5151190596927484</v>
      </c>
      <c r="R1381" s="10">
        <v>412</v>
      </c>
      <c r="S1381" s="7">
        <f t="shared" si="212"/>
        <v>0</v>
      </c>
      <c r="T1381" s="124">
        <f t="shared" si="213"/>
        <v>275</v>
      </c>
      <c r="U1381" s="124">
        <f t="shared" si="214"/>
        <v>683</v>
      </c>
      <c r="V1381" s="124">
        <f t="shared" si="215"/>
        <v>1372</v>
      </c>
      <c r="W1381" s="124">
        <f t="shared" si="216"/>
        <v>400.13675213952001</v>
      </c>
      <c r="X1381" s="124">
        <f t="shared" si="217"/>
        <v>4055394.5864838599</v>
      </c>
      <c r="Y1381" s="264">
        <f t="shared" si="218"/>
        <v>1372</v>
      </c>
      <c r="Z1381" s="10">
        <v>275</v>
      </c>
      <c r="AA1381" s="7">
        <v>683</v>
      </c>
      <c r="AB1381" s="7">
        <v>1372</v>
      </c>
      <c r="AC1381" s="109">
        <v>400.13675213952001</v>
      </c>
      <c r="AD1381" s="109">
        <v>4055394.5864838599</v>
      </c>
      <c r="AE1381" s="125"/>
      <c r="AF1381" s="10"/>
      <c r="AI1381" s="109"/>
      <c r="AJ1381" s="109"/>
      <c r="AL1381" s="10"/>
      <c r="AO1381" s="109"/>
      <c r="AP1381" s="109"/>
      <c r="AR1381" s="10"/>
      <c r="AU1381" s="109"/>
      <c r="AV1381" s="109"/>
      <c r="AX1381" s="10"/>
      <c r="BA1381" s="109"/>
      <c r="BB1381" s="109"/>
      <c r="BD1381" s="10"/>
      <c r="BG1381" s="109"/>
      <c r="BH1381" s="109"/>
      <c r="BJ1381" s="10"/>
      <c r="BM1381" s="109"/>
      <c r="BN1381" s="109"/>
      <c r="BP1381" s="10"/>
      <c r="BS1381" s="109"/>
      <c r="BT1381" s="109"/>
      <c r="BV1381" s="10"/>
      <c r="BY1381" s="109"/>
      <c r="BZ1381" s="109"/>
      <c r="CB1381" s="10"/>
      <c r="CE1381" s="109"/>
      <c r="CF1381" s="109"/>
      <c r="CH1381" s="10"/>
      <c r="CK1381" s="109"/>
      <c r="CL1381" s="109"/>
    </row>
    <row r="1382" spans="1:90">
      <c r="A1382" s="7" t="str">
        <f t="shared" si="211"/>
        <v>02750998</v>
      </c>
      <c r="B1382" s="7" t="s">
        <v>2614</v>
      </c>
      <c r="C1382" s="7" t="s">
        <v>2781</v>
      </c>
      <c r="D1382" s="7">
        <v>1373</v>
      </c>
      <c r="E1382" s="7">
        <v>275</v>
      </c>
      <c r="F1382" s="7" t="s">
        <v>2135</v>
      </c>
      <c r="G1382" s="7">
        <v>998</v>
      </c>
      <c r="H1382" s="7" t="s">
        <v>2135</v>
      </c>
      <c r="I1382" s="70">
        <v>0</v>
      </c>
      <c r="J1382" s="131">
        <v>0</v>
      </c>
      <c r="K1382" s="123">
        <f t="shared" si="220"/>
        <v>0</v>
      </c>
      <c r="L1382" s="122">
        <f>IF(K1384&gt;0, K1382/K1384, 0)</f>
        <v>0</v>
      </c>
      <c r="M1382" s="71"/>
      <c r="N1382" s="10">
        <f>ROUND(M1384*L1382,0)</f>
        <v>0</v>
      </c>
      <c r="O1382" s="70">
        <v>0</v>
      </c>
      <c r="P1382" s="10">
        <f>N1382-O1382</f>
        <v>0</v>
      </c>
      <c r="Q1382" s="46">
        <f t="shared" si="219"/>
        <v>0</v>
      </c>
      <c r="R1382" s="10">
        <v>0</v>
      </c>
      <c r="S1382" s="7">
        <f t="shared" si="212"/>
        <v>0</v>
      </c>
      <c r="T1382" s="124">
        <f t="shared" si="213"/>
        <v>275</v>
      </c>
      <c r="U1382" s="124">
        <f t="shared" si="214"/>
        <v>998</v>
      </c>
      <c r="V1382" s="124">
        <f t="shared" si="215"/>
        <v>1373</v>
      </c>
      <c r="W1382" s="124">
        <f t="shared" si="216"/>
        <v>0</v>
      </c>
      <c r="X1382" s="124">
        <f t="shared" si="217"/>
        <v>0</v>
      </c>
      <c r="Y1382" s="264">
        <f t="shared" si="218"/>
        <v>1373</v>
      </c>
      <c r="Z1382" s="10">
        <v>275</v>
      </c>
      <c r="AA1382" s="7">
        <v>998</v>
      </c>
      <c r="AB1382" s="7">
        <v>1373</v>
      </c>
      <c r="AC1382" s="109">
        <v>0</v>
      </c>
      <c r="AD1382" s="109">
        <v>0</v>
      </c>
      <c r="AE1382" s="125"/>
      <c r="AF1382" s="10"/>
      <c r="AI1382" s="109"/>
      <c r="AJ1382" s="109"/>
      <c r="AL1382" s="10"/>
      <c r="AO1382" s="109"/>
      <c r="AP1382" s="109"/>
      <c r="AR1382" s="10"/>
      <c r="AU1382" s="109"/>
      <c r="AV1382" s="109"/>
      <c r="AX1382" s="10"/>
      <c r="BA1382" s="109"/>
      <c r="BB1382" s="109"/>
      <c r="BD1382" s="10"/>
      <c r="BG1382" s="109"/>
      <c r="BH1382" s="109"/>
      <c r="BJ1382" s="10"/>
      <c r="BM1382" s="109"/>
      <c r="BN1382" s="109"/>
      <c r="BP1382" s="10"/>
      <c r="BS1382" s="109"/>
      <c r="BT1382" s="109"/>
      <c r="BV1382" s="10"/>
      <c r="BY1382" s="109"/>
      <c r="BZ1382" s="109"/>
      <c r="CB1382" s="10"/>
      <c r="CE1382" s="109"/>
      <c r="CF1382" s="109"/>
      <c r="CH1382" s="10"/>
      <c r="CK1382" s="109"/>
      <c r="CL1382" s="109"/>
    </row>
    <row r="1383" spans="1:90">
      <c r="A1383" s="7" t="str">
        <f t="shared" si="211"/>
        <v>02750998</v>
      </c>
      <c r="B1383" s="7" t="s">
        <v>2614</v>
      </c>
      <c r="C1383" s="7" t="s">
        <v>2781</v>
      </c>
      <c r="D1383" s="7">
        <v>1374</v>
      </c>
      <c r="E1383" s="7">
        <v>275</v>
      </c>
      <c r="F1383" s="7" t="s">
        <v>2135</v>
      </c>
      <c r="G1383" s="7">
        <v>998</v>
      </c>
      <c r="H1383" s="7" t="s">
        <v>2135</v>
      </c>
      <c r="I1383" s="70">
        <v>0</v>
      </c>
      <c r="J1383" s="131">
        <v>0</v>
      </c>
      <c r="K1383" s="123">
        <f t="shared" si="220"/>
        <v>0</v>
      </c>
      <c r="L1383" s="122">
        <f>IF(K1384&gt;0, K1383/K1384, 0)</f>
        <v>0</v>
      </c>
      <c r="M1383" s="71"/>
      <c r="N1383" s="10">
        <f>ROUND(M1384*L1383,0)</f>
        <v>0</v>
      </c>
      <c r="O1383" s="70">
        <v>0</v>
      </c>
      <c r="P1383" s="10">
        <f>N1383-O1383</f>
        <v>0</v>
      </c>
      <c r="Q1383" s="46">
        <f t="shared" si="219"/>
        <v>0</v>
      </c>
      <c r="R1383" s="10">
        <v>0</v>
      </c>
      <c r="S1383" s="7">
        <f t="shared" si="212"/>
        <v>0</v>
      </c>
      <c r="T1383" s="124">
        <f t="shared" si="213"/>
        <v>275</v>
      </c>
      <c r="U1383" s="124">
        <f t="shared" si="214"/>
        <v>998</v>
      </c>
      <c r="V1383" s="124">
        <f t="shared" si="215"/>
        <v>1374</v>
      </c>
      <c r="W1383" s="124">
        <f t="shared" si="216"/>
        <v>0</v>
      </c>
      <c r="X1383" s="124">
        <f t="shared" si="217"/>
        <v>0</v>
      </c>
      <c r="Y1383" s="264">
        <f t="shared" si="218"/>
        <v>1374</v>
      </c>
      <c r="Z1383" s="10">
        <v>275</v>
      </c>
      <c r="AA1383" s="7">
        <v>998</v>
      </c>
      <c r="AB1383" s="7">
        <v>1374</v>
      </c>
      <c r="AC1383" s="109">
        <v>0</v>
      </c>
      <c r="AD1383" s="109">
        <v>0</v>
      </c>
      <c r="AE1383" s="125"/>
      <c r="AF1383" s="10"/>
      <c r="AI1383" s="109"/>
      <c r="AJ1383" s="109"/>
      <c r="AL1383" s="10"/>
      <c r="AO1383" s="109"/>
      <c r="AP1383" s="109"/>
      <c r="AR1383" s="10"/>
      <c r="AU1383" s="109"/>
      <c r="AV1383" s="109"/>
      <c r="AX1383" s="10"/>
      <c r="BA1383" s="109"/>
      <c r="BB1383" s="109"/>
      <c r="BD1383" s="10"/>
      <c r="BG1383" s="109"/>
      <c r="BH1383" s="109"/>
      <c r="BJ1383" s="10"/>
      <c r="BM1383" s="109"/>
      <c r="BN1383" s="109"/>
      <c r="BP1383" s="10"/>
      <c r="BS1383" s="109"/>
      <c r="BT1383" s="109"/>
      <c r="BV1383" s="10"/>
      <c r="BY1383" s="109"/>
      <c r="BZ1383" s="109"/>
      <c r="CB1383" s="10"/>
      <c r="CE1383" s="109"/>
      <c r="CF1383" s="109"/>
      <c r="CH1383" s="10"/>
      <c r="CK1383" s="109"/>
      <c r="CL1383" s="109"/>
    </row>
    <row r="1384" spans="1:90">
      <c r="A1384" s="7" t="str">
        <f t="shared" si="211"/>
        <v>02750999</v>
      </c>
      <c r="B1384" s="7" t="s">
        <v>2614</v>
      </c>
      <c r="C1384" s="7" t="s">
        <v>2782</v>
      </c>
      <c r="D1384" s="7">
        <v>1375</v>
      </c>
      <c r="E1384" s="11">
        <v>275</v>
      </c>
      <c r="F1384" s="11" t="s">
        <v>1980</v>
      </c>
      <c r="G1384" s="11">
        <v>999</v>
      </c>
      <c r="H1384" s="11" t="s">
        <v>1132</v>
      </c>
      <c r="I1384" s="128">
        <v>8815266.2400000002</v>
      </c>
      <c r="J1384" s="135">
        <v>1</v>
      </c>
      <c r="K1384" s="127">
        <f>SUM(K1380:K1383)</f>
        <v>8918598.1096214056</v>
      </c>
      <c r="L1384" s="126">
        <f>SUM(L1380:L1383)</f>
        <v>1</v>
      </c>
      <c r="M1384" s="105">
        <f>VLOOKUP(E1384,town351,22)</f>
        <v>5770903</v>
      </c>
      <c r="N1384" s="105">
        <f>SUM(N1380:N1383)</f>
        <v>5770903</v>
      </c>
      <c r="O1384" s="128">
        <v>5769959</v>
      </c>
      <c r="P1384" s="105">
        <f>SUM(P1380:P1383)</f>
        <v>944</v>
      </c>
      <c r="Q1384" s="45">
        <f t="shared" si="219"/>
        <v>1.6360601522471825E-2</v>
      </c>
      <c r="R1384" s="105">
        <v>904</v>
      </c>
      <c r="S1384" s="7">
        <f t="shared" si="212"/>
        <v>0</v>
      </c>
      <c r="T1384" s="124">
        <f t="shared" si="213"/>
        <v>275</v>
      </c>
      <c r="U1384" s="124">
        <f t="shared" si="214"/>
        <v>999</v>
      </c>
      <c r="V1384" s="124">
        <f t="shared" si="215"/>
        <v>1375</v>
      </c>
      <c r="W1384" s="124">
        <f t="shared" si="216"/>
        <v>892.13675213952001</v>
      </c>
      <c r="X1384" s="124">
        <f t="shared" si="217"/>
        <v>8918598.1096214056</v>
      </c>
      <c r="Y1384" s="264">
        <f t="shared" si="218"/>
        <v>1375</v>
      </c>
      <c r="Z1384" s="10">
        <v>275</v>
      </c>
      <c r="AA1384" s="7">
        <v>999</v>
      </c>
      <c r="AB1384" s="7">
        <v>1375</v>
      </c>
      <c r="AC1384" s="109">
        <v>892.13675213952001</v>
      </c>
      <c r="AD1384" s="109">
        <v>8918598.1096214056</v>
      </c>
      <c r="AE1384" s="125"/>
      <c r="AF1384" s="10"/>
      <c r="AI1384" s="109"/>
      <c r="AJ1384" s="109"/>
      <c r="AL1384" s="10"/>
      <c r="AO1384" s="109"/>
      <c r="AP1384" s="109"/>
      <c r="AR1384" s="10"/>
      <c r="AU1384" s="109"/>
      <c r="AV1384" s="109"/>
      <c r="AX1384" s="10"/>
      <c r="BA1384" s="109"/>
      <c r="BB1384" s="109"/>
      <c r="BD1384" s="10"/>
      <c r="BG1384" s="109"/>
      <c r="BH1384" s="109"/>
      <c r="BJ1384" s="10"/>
      <c r="BM1384" s="109"/>
      <c r="BN1384" s="109"/>
      <c r="BP1384" s="10"/>
      <c r="BS1384" s="109"/>
      <c r="BT1384" s="109"/>
      <c r="BV1384" s="10"/>
      <c r="BY1384" s="109"/>
      <c r="BZ1384" s="109"/>
      <c r="CB1384" s="10"/>
      <c r="CE1384" s="109"/>
      <c r="CF1384" s="109"/>
      <c r="CH1384" s="10"/>
      <c r="CK1384" s="109"/>
      <c r="CL1384" s="109"/>
    </row>
    <row r="1385" spans="1:90">
      <c r="A1385" s="7" t="str">
        <f t="shared" si="211"/>
        <v>02760276</v>
      </c>
      <c r="B1385" s="7" t="s">
        <v>2615</v>
      </c>
      <c r="C1385" s="7" t="s">
        <v>2615</v>
      </c>
      <c r="D1385" s="7">
        <v>1376</v>
      </c>
      <c r="E1385" s="7">
        <v>276</v>
      </c>
      <c r="F1385" s="7" t="s">
        <v>1981</v>
      </c>
      <c r="G1385" s="7">
        <v>276</v>
      </c>
      <c r="H1385" s="7" t="s">
        <v>1542</v>
      </c>
      <c r="I1385" s="70">
        <v>11260409.134279998</v>
      </c>
      <c r="J1385" s="131">
        <v>0.63225041919495406</v>
      </c>
      <c r="K1385" s="123">
        <f>X1385</f>
        <v>11409894.389389778</v>
      </c>
      <c r="L1385" s="122">
        <f>IF(K1389&gt;0, K1385/K1389, 0)</f>
        <v>0.63061677233816049</v>
      </c>
      <c r="M1385" s="71"/>
      <c r="N1385" s="10">
        <f>ROUND(M1389*L1385,0)</f>
        <v>9486965</v>
      </c>
      <c r="O1385" s="70">
        <v>9485040</v>
      </c>
      <c r="P1385" s="10">
        <f>N1385-O1385</f>
        <v>1925</v>
      </c>
      <c r="Q1385" s="46">
        <f t="shared" si="219"/>
        <v>2.0295117363764412E-2</v>
      </c>
      <c r="R1385" s="10">
        <v>1234</v>
      </c>
      <c r="S1385" s="7">
        <f t="shared" si="212"/>
        <v>0</v>
      </c>
      <c r="T1385" s="124">
        <f t="shared" si="213"/>
        <v>276</v>
      </c>
      <c r="U1385" s="124">
        <f t="shared" si="214"/>
        <v>276</v>
      </c>
      <c r="V1385" s="124">
        <f t="shared" si="215"/>
        <v>1376</v>
      </c>
      <c r="W1385" s="124">
        <f t="shared" si="216"/>
        <v>1235</v>
      </c>
      <c r="X1385" s="124">
        <f t="shared" si="217"/>
        <v>11409894.389389778</v>
      </c>
      <c r="Y1385" s="264">
        <f t="shared" si="218"/>
        <v>1376</v>
      </c>
      <c r="Z1385" s="10">
        <v>276</v>
      </c>
      <c r="AA1385" s="7">
        <v>276</v>
      </c>
      <c r="AB1385" s="7">
        <v>1376</v>
      </c>
      <c r="AC1385" s="109">
        <v>1235</v>
      </c>
      <c r="AD1385" s="109">
        <v>11409894.389389778</v>
      </c>
      <c r="AE1385" s="125"/>
      <c r="AF1385" s="10"/>
      <c r="AI1385" s="109"/>
      <c r="AJ1385" s="109"/>
      <c r="AL1385" s="10"/>
      <c r="AO1385" s="109"/>
      <c r="AP1385" s="109"/>
      <c r="AR1385" s="10"/>
      <c r="AU1385" s="109"/>
      <c r="AV1385" s="109"/>
      <c r="AX1385" s="10"/>
      <c r="BA1385" s="109"/>
      <c r="BB1385" s="109"/>
      <c r="BD1385" s="10"/>
      <c r="BG1385" s="109"/>
      <c r="BH1385" s="109"/>
      <c r="BJ1385" s="10"/>
      <c r="BM1385" s="109"/>
      <c r="BN1385" s="109"/>
      <c r="BP1385" s="10"/>
      <c r="BS1385" s="109"/>
      <c r="BT1385" s="109"/>
      <c r="BV1385" s="10"/>
      <c r="BY1385" s="109"/>
      <c r="BZ1385" s="109"/>
      <c r="CB1385" s="10"/>
      <c r="CE1385" s="109"/>
      <c r="CF1385" s="109"/>
      <c r="CH1385" s="10"/>
      <c r="CK1385" s="109"/>
      <c r="CL1385" s="109"/>
    </row>
    <row r="1386" spans="1:90">
      <c r="A1386" s="7" t="str">
        <f t="shared" si="211"/>
        <v>02760730</v>
      </c>
      <c r="B1386" s="7" t="s">
        <v>2615</v>
      </c>
      <c r="C1386" s="7" t="s">
        <v>2734</v>
      </c>
      <c r="D1386" s="7">
        <v>1377</v>
      </c>
      <c r="E1386" s="7">
        <v>276</v>
      </c>
      <c r="F1386" s="7" t="s">
        <v>1981</v>
      </c>
      <c r="G1386" s="7">
        <v>730</v>
      </c>
      <c r="H1386" s="7" t="s">
        <v>1661</v>
      </c>
      <c r="I1386" s="70">
        <v>6246019</v>
      </c>
      <c r="J1386" s="131">
        <v>0.35070201126418959</v>
      </c>
      <c r="K1386" s="123">
        <f t="shared" si="220"/>
        <v>6345827.4329503691</v>
      </c>
      <c r="L1386" s="122">
        <f>IF(K1389&gt;0, K1386/K1389, 0)</f>
        <v>0.35072938250010738</v>
      </c>
      <c r="M1386" s="71"/>
      <c r="N1386" s="10">
        <f>ROUND(M1389*L1386,0)</f>
        <v>5276354</v>
      </c>
      <c r="O1386" s="70">
        <v>5261242</v>
      </c>
      <c r="P1386" s="10">
        <f>N1386-O1386</f>
        <v>15112</v>
      </c>
      <c r="Q1386" s="46">
        <f t="shared" si="219"/>
        <v>0.28723255839590728</v>
      </c>
      <c r="R1386" s="10">
        <v>615</v>
      </c>
      <c r="S1386" s="7">
        <f t="shared" si="212"/>
        <v>0</v>
      </c>
      <c r="T1386" s="124">
        <f t="shared" si="213"/>
        <v>276</v>
      </c>
      <c r="U1386" s="124">
        <f t="shared" si="214"/>
        <v>730</v>
      </c>
      <c r="V1386" s="124">
        <f t="shared" si="215"/>
        <v>1377</v>
      </c>
      <c r="W1386" s="124">
        <f t="shared" si="216"/>
        <v>612.91268759031004</v>
      </c>
      <c r="X1386" s="124">
        <f t="shared" si="217"/>
        <v>6345827.4329503691</v>
      </c>
      <c r="Y1386" s="264">
        <f t="shared" si="218"/>
        <v>1377</v>
      </c>
      <c r="Z1386" s="10">
        <v>276</v>
      </c>
      <c r="AA1386" s="7">
        <v>730</v>
      </c>
      <c r="AB1386" s="7">
        <v>1377</v>
      </c>
      <c r="AC1386" s="109">
        <v>612.91268759031004</v>
      </c>
      <c r="AD1386" s="109">
        <v>6345827.4329503691</v>
      </c>
      <c r="AE1386" s="125"/>
      <c r="AF1386" s="10"/>
      <c r="AI1386" s="109"/>
      <c r="AJ1386" s="109"/>
      <c r="AL1386" s="10"/>
      <c r="AO1386" s="109"/>
      <c r="AP1386" s="109"/>
      <c r="AR1386" s="10"/>
      <c r="AU1386" s="109"/>
      <c r="AV1386" s="109"/>
      <c r="AX1386" s="10"/>
      <c r="BA1386" s="109"/>
      <c r="BB1386" s="109"/>
      <c r="BD1386" s="10"/>
      <c r="BG1386" s="109"/>
      <c r="BH1386" s="109"/>
      <c r="BJ1386" s="10"/>
      <c r="BM1386" s="109"/>
      <c r="BN1386" s="109"/>
      <c r="BP1386" s="10"/>
      <c r="BS1386" s="109"/>
      <c r="BT1386" s="109"/>
      <c r="BV1386" s="10"/>
      <c r="BY1386" s="109"/>
      <c r="BZ1386" s="109"/>
      <c r="CB1386" s="10"/>
      <c r="CE1386" s="109"/>
      <c r="CF1386" s="109"/>
      <c r="CH1386" s="10"/>
      <c r="CK1386" s="109"/>
      <c r="CL1386" s="109"/>
    </row>
    <row r="1387" spans="1:90">
      <c r="A1387" s="7" t="str">
        <f t="shared" si="211"/>
        <v>02760801</v>
      </c>
      <c r="B1387" s="7" t="s">
        <v>2615</v>
      </c>
      <c r="C1387" s="7" t="s">
        <v>2752</v>
      </c>
      <c r="D1387" s="7">
        <v>1378</v>
      </c>
      <c r="E1387" s="7">
        <v>276</v>
      </c>
      <c r="F1387" s="7" t="s">
        <v>1981</v>
      </c>
      <c r="G1387" s="7">
        <v>801</v>
      </c>
      <c r="H1387" s="7" t="s">
        <v>1679</v>
      </c>
      <c r="I1387" s="70">
        <v>303618</v>
      </c>
      <c r="J1387" s="131">
        <v>1.7047569540856459E-2</v>
      </c>
      <c r="K1387" s="123">
        <f t="shared" si="220"/>
        <v>337508.31342820753</v>
      </c>
      <c r="L1387" s="122">
        <f>IF(K1389&gt;0, K1387/K1389, 0)</f>
        <v>1.8653845161732078E-2</v>
      </c>
      <c r="M1387" s="71"/>
      <c r="N1387" s="10">
        <f>ROUND(M1389*L1387,0)</f>
        <v>280627</v>
      </c>
      <c r="O1387" s="70">
        <v>255748</v>
      </c>
      <c r="P1387" s="10">
        <f>N1387-O1387</f>
        <v>24879</v>
      </c>
      <c r="Q1387" s="46">
        <f t="shared" si="219"/>
        <v>9.7279353113220832</v>
      </c>
      <c r="R1387" s="10">
        <v>18</v>
      </c>
      <c r="S1387" s="7">
        <f t="shared" si="212"/>
        <v>0</v>
      </c>
      <c r="T1387" s="124">
        <f t="shared" si="213"/>
        <v>276</v>
      </c>
      <c r="U1387" s="124">
        <f t="shared" si="214"/>
        <v>801</v>
      </c>
      <c r="V1387" s="124">
        <f t="shared" si="215"/>
        <v>1378</v>
      </c>
      <c r="W1387" s="124">
        <f t="shared" si="216"/>
        <v>19.999999998890001</v>
      </c>
      <c r="X1387" s="124">
        <f t="shared" si="217"/>
        <v>337508.31342820753</v>
      </c>
      <c r="Y1387" s="264">
        <f t="shared" si="218"/>
        <v>1378</v>
      </c>
      <c r="Z1387" s="10">
        <v>276</v>
      </c>
      <c r="AA1387" s="7">
        <v>801</v>
      </c>
      <c r="AB1387" s="7">
        <v>1378</v>
      </c>
      <c r="AC1387" s="109">
        <v>19.999999998890001</v>
      </c>
      <c r="AD1387" s="109">
        <v>337508.31342820753</v>
      </c>
      <c r="AE1387" s="125"/>
      <c r="AF1387" s="10"/>
      <c r="AI1387" s="109"/>
      <c r="AJ1387" s="109"/>
      <c r="AL1387" s="10"/>
      <c r="AO1387" s="109"/>
      <c r="AP1387" s="109"/>
      <c r="AR1387" s="10"/>
      <c r="AU1387" s="109"/>
      <c r="AV1387" s="109"/>
      <c r="AX1387" s="10"/>
      <c r="BA1387" s="109"/>
      <c r="BB1387" s="109"/>
      <c r="BD1387" s="10"/>
      <c r="BG1387" s="109"/>
      <c r="BH1387" s="109"/>
      <c r="BJ1387" s="10"/>
      <c r="BM1387" s="109"/>
      <c r="BN1387" s="109"/>
      <c r="BP1387" s="10"/>
      <c r="BS1387" s="109"/>
      <c r="BT1387" s="109"/>
      <c r="BV1387" s="10"/>
      <c r="BY1387" s="109"/>
      <c r="BZ1387" s="109"/>
      <c r="CB1387" s="10"/>
      <c r="CE1387" s="109"/>
      <c r="CF1387" s="109"/>
      <c r="CH1387" s="10"/>
      <c r="CK1387" s="109"/>
      <c r="CL1387" s="109"/>
    </row>
    <row r="1388" spans="1:90">
      <c r="A1388" s="7" t="str">
        <f t="shared" si="211"/>
        <v>02760998</v>
      </c>
      <c r="B1388" s="7" t="s">
        <v>2615</v>
      </c>
      <c r="C1388" s="7" t="s">
        <v>2781</v>
      </c>
      <c r="D1388" s="7">
        <v>1379</v>
      </c>
      <c r="E1388" s="7">
        <v>276</v>
      </c>
      <c r="F1388" s="7" t="s">
        <v>2135</v>
      </c>
      <c r="G1388" s="7">
        <v>998</v>
      </c>
      <c r="H1388" s="7" t="s">
        <v>2135</v>
      </c>
      <c r="I1388" s="70">
        <v>0</v>
      </c>
      <c r="J1388" s="131">
        <v>0</v>
      </c>
      <c r="K1388" s="123">
        <f t="shared" si="220"/>
        <v>0</v>
      </c>
      <c r="L1388" s="122">
        <f>IF(K1389&gt;0, K1388/K1389, 0)</f>
        <v>0</v>
      </c>
      <c r="M1388" s="71"/>
      <c r="N1388" s="10">
        <f>ROUND(M1389*L1388,0)</f>
        <v>0</v>
      </c>
      <c r="O1388" s="70">
        <v>0</v>
      </c>
      <c r="P1388" s="10">
        <f>N1388-O1388</f>
        <v>0</v>
      </c>
      <c r="Q1388" s="46">
        <f t="shared" si="219"/>
        <v>0</v>
      </c>
      <c r="R1388" s="10">
        <v>0</v>
      </c>
      <c r="S1388" s="7">
        <f t="shared" si="212"/>
        <v>0</v>
      </c>
      <c r="T1388" s="124">
        <f t="shared" si="213"/>
        <v>276</v>
      </c>
      <c r="U1388" s="124">
        <f t="shared" si="214"/>
        <v>998</v>
      </c>
      <c r="V1388" s="124">
        <f t="shared" si="215"/>
        <v>1379</v>
      </c>
      <c r="W1388" s="124">
        <f t="shared" si="216"/>
        <v>0</v>
      </c>
      <c r="X1388" s="124">
        <f t="shared" si="217"/>
        <v>0</v>
      </c>
      <c r="Y1388" s="264">
        <f t="shared" si="218"/>
        <v>1379</v>
      </c>
      <c r="Z1388" s="10">
        <v>276</v>
      </c>
      <c r="AA1388" s="7">
        <v>998</v>
      </c>
      <c r="AB1388" s="7">
        <v>1379</v>
      </c>
      <c r="AC1388" s="109">
        <v>0</v>
      </c>
      <c r="AD1388" s="109">
        <v>0</v>
      </c>
      <c r="AE1388" s="125"/>
      <c r="AF1388" s="10"/>
      <c r="AI1388" s="109"/>
      <c r="AJ1388" s="109"/>
      <c r="AL1388" s="10"/>
      <c r="AO1388" s="109"/>
      <c r="AP1388" s="109"/>
      <c r="AR1388" s="10"/>
      <c r="AU1388" s="109"/>
      <c r="AV1388" s="109"/>
      <c r="AX1388" s="10"/>
      <c r="BA1388" s="109"/>
      <c r="BB1388" s="109"/>
      <c r="BD1388" s="10"/>
      <c r="BG1388" s="109"/>
      <c r="BH1388" s="109"/>
      <c r="BJ1388" s="10"/>
      <c r="BM1388" s="109"/>
      <c r="BN1388" s="109"/>
      <c r="BP1388" s="10"/>
      <c r="BS1388" s="109"/>
      <c r="BT1388" s="109"/>
      <c r="BV1388" s="10"/>
      <c r="BY1388" s="109"/>
      <c r="BZ1388" s="109"/>
      <c r="CB1388" s="10"/>
      <c r="CE1388" s="109"/>
      <c r="CF1388" s="109"/>
      <c r="CH1388" s="10"/>
      <c r="CK1388" s="109"/>
      <c r="CL1388" s="109"/>
    </row>
    <row r="1389" spans="1:90">
      <c r="A1389" s="7" t="str">
        <f t="shared" si="211"/>
        <v>02760999</v>
      </c>
      <c r="B1389" s="7" t="s">
        <v>2615</v>
      </c>
      <c r="C1389" s="7" t="s">
        <v>2782</v>
      </c>
      <c r="D1389" s="7">
        <v>1380</v>
      </c>
      <c r="E1389" s="11">
        <v>276</v>
      </c>
      <c r="F1389" s="11" t="s">
        <v>1981</v>
      </c>
      <c r="G1389" s="11">
        <v>999</v>
      </c>
      <c r="H1389" s="11" t="s">
        <v>1132</v>
      </c>
      <c r="I1389" s="134">
        <v>17810046.134279996</v>
      </c>
      <c r="J1389" s="135">
        <v>1.0000000000000002</v>
      </c>
      <c r="K1389" s="127">
        <f>SUM(K1385:K1388)</f>
        <v>18093230.135768354</v>
      </c>
      <c r="L1389" s="126">
        <f>SUM(L1385:L1388)</f>
        <v>0.99999999999999989</v>
      </c>
      <c r="M1389" s="105">
        <f>VLOOKUP(E1389,town351,22)</f>
        <v>15043947</v>
      </c>
      <c r="N1389" s="105">
        <f>SUM(N1385:N1388)</f>
        <v>15043946</v>
      </c>
      <c r="O1389" s="128">
        <v>15002030</v>
      </c>
      <c r="P1389" s="105">
        <f>SUM(P1385:P1388)</f>
        <v>41916</v>
      </c>
      <c r="Q1389" s="45">
        <f t="shared" si="219"/>
        <v>0.27940218757061547</v>
      </c>
      <c r="R1389" s="105">
        <v>1867</v>
      </c>
      <c r="S1389" s="7">
        <f t="shared" si="212"/>
        <v>0</v>
      </c>
      <c r="T1389" s="124">
        <f t="shared" si="213"/>
        <v>276</v>
      </c>
      <c r="U1389" s="124">
        <f t="shared" si="214"/>
        <v>999</v>
      </c>
      <c r="V1389" s="124">
        <f t="shared" si="215"/>
        <v>1380</v>
      </c>
      <c r="W1389" s="124">
        <f t="shared" si="216"/>
        <v>1867.9126875892</v>
      </c>
      <c r="X1389" s="124">
        <f t="shared" si="217"/>
        <v>18093230.135768354</v>
      </c>
      <c r="Y1389" s="264">
        <f t="shared" si="218"/>
        <v>1380</v>
      </c>
      <c r="Z1389" s="10">
        <v>276</v>
      </c>
      <c r="AA1389" s="7">
        <v>999</v>
      </c>
      <c r="AB1389" s="7">
        <v>1380</v>
      </c>
      <c r="AC1389" s="109">
        <v>1867.9126875892</v>
      </c>
      <c r="AD1389" s="109">
        <v>18093230.135768354</v>
      </c>
      <c r="AE1389" s="125"/>
      <c r="AF1389" s="10"/>
      <c r="AI1389" s="109"/>
      <c r="AJ1389" s="109"/>
      <c r="AL1389" s="10"/>
      <c r="AO1389" s="109"/>
      <c r="AP1389" s="109"/>
      <c r="AR1389" s="10"/>
      <c r="AU1389" s="109"/>
      <c r="AV1389" s="109"/>
      <c r="AX1389" s="10"/>
      <c r="BA1389" s="109"/>
      <c r="BB1389" s="109"/>
      <c r="BD1389" s="10"/>
      <c r="BG1389" s="109"/>
      <c r="BH1389" s="109"/>
      <c r="BJ1389" s="10"/>
      <c r="BM1389" s="109"/>
      <c r="BN1389" s="109"/>
      <c r="BP1389" s="10"/>
      <c r="BS1389" s="109"/>
      <c r="BT1389" s="109"/>
      <c r="BV1389" s="10"/>
      <c r="BY1389" s="109"/>
      <c r="BZ1389" s="109"/>
      <c r="CB1389" s="10"/>
      <c r="CE1389" s="109"/>
      <c r="CF1389" s="109"/>
      <c r="CH1389" s="10"/>
      <c r="CK1389" s="109"/>
      <c r="CL1389" s="109"/>
    </row>
    <row r="1390" spans="1:90">
      <c r="A1390" s="7" t="str">
        <f t="shared" si="211"/>
        <v>02770277</v>
      </c>
      <c r="B1390" s="7" t="s">
        <v>2616</v>
      </c>
      <c r="C1390" s="7" t="s">
        <v>2616</v>
      </c>
      <c r="D1390" s="7">
        <v>1381</v>
      </c>
      <c r="E1390" s="7">
        <v>277</v>
      </c>
      <c r="F1390" s="7" t="s">
        <v>1982</v>
      </c>
      <c r="G1390" s="7">
        <v>277</v>
      </c>
      <c r="H1390" s="7" t="s">
        <v>1543</v>
      </c>
      <c r="I1390" s="70">
        <v>27951569.609999992</v>
      </c>
      <c r="J1390" s="131">
        <v>0.9101390853721526</v>
      </c>
      <c r="K1390" s="123">
        <f>X1390</f>
        <v>28503932.0841102</v>
      </c>
      <c r="L1390" s="122">
        <f>IF(K1394&gt;0, K1390/K1394, 0)</f>
        <v>0.9040535433379443</v>
      </c>
      <c r="M1390" s="71"/>
      <c r="N1390" s="10">
        <f>ROUND(M1394*L1390,0)</f>
        <v>7316033</v>
      </c>
      <c r="O1390" s="70">
        <v>7518500</v>
      </c>
      <c r="P1390" s="10">
        <f>N1390-O1390</f>
        <v>-202467</v>
      </c>
      <c r="Q1390" s="46">
        <f t="shared" si="219"/>
        <v>-2.6929174702400744</v>
      </c>
      <c r="R1390" s="10">
        <v>2411</v>
      </c>
      <c r="S1390" s="7">
        <f t="shared" si="212"/>
        <v>0</v>
      </c>
      <c r="T1390" s="124">
        <f t="shared" si="213"/>
        <v>277</v>
      </c>
      <c r="U1390" s="124">
        <f t="shared" si="214"/>
        <v>277</v>
      </c>
      <c r="V1390" s="124">
        <f t="shared" si="215"/>
        <v>1381</v>
      </c>
      <c r="W1390" s="124">
        <f t="shared" si="216"/>
        <v>2380</v>
      </c>
      <c r="X1390" s="124">
        <f t="shared" si="217"/>
        <v>28503932.0841102</v>
      </c>
      <c r="Y1390" s="264">
        <f t="shared" si="218"/>
        <v>1381</v>
      </c>
      <c r="Z1390" s="10">
        <v>277</v>
      </c>
      <c r="AA1390" s="7">
        <v>277</v>
      </c>
      <c r="AB1390" s="7">
        <v>1381</v>
      </c>
      <c r="AC1390" s="109">
        <v>2380</v>
      </c>
      <c r="AD1390" s="109">
        <v>28503932.0841102</v>
      </c>
      <c r="AE1390" s="125"/>
      <c r="AF1390" s="10"/>
      <c r="AI1390" s="109"/>
      <c r="AJ1390" s="109"/>
      <c r="AL1390" s="10"/>
      <c r="AO1390" s="109"/>
      <c r="AP1390" s="109"/>
      <c r="AR1390" s="10"/>
      <c r="AU1390" s="109"/>
      <c r="AV1390" s="109"/>
      <c r="AX1390" s="10"/>
      <c r="BA1390" s="109"/>
      <c r="BB1390" s="109"/>
      <c r="BD1390" s="10"/>
      <c r="BG1390" s="109"/>
      <c r="BH1390" s="109"/>
      <c r="BJ1390" s="10"/>
      <c r="BM1390" s="109"/>
      <c r="BN1390" s="109"/>
      <c r="BP1390" s="10"/>
      <c r="BS1390" s="109"/>
      <c r="BT1390" s="109"/>
      <c r="BV1390" s="10"/>
      <c r="BY1390" s="109"/>
      <c r="BZ1390" s="109"/>
      <c r="CB1390" s="10"/>
      <c r="CE1390" s="109"/>
      <c r="CF1390" s="109"/>
      <c r="CH1390" s="10"/>
      <c r="CK1390" s="109"/>
      <c r="CL1390" s="109"/>
    </row>
    <row r="1391" spans="1:90">
      <c r="A1391" s="7" t="str">
        <f t="shared" si="211"/>
        <v>02770876</v>
      </c>
      <c r="B1391" s="7" t="s">
        <v>2616</v>
      </c>
      <c r="C1391" s="7" t="s">
        <v>2774</v>
      </c>
      <c r="D1391" s="7">
        <v>1382</v>
      </c>
      <c r="E1391" s="7">
        <v>277</v>
      </c>
      <c r="F1391" s="7" t="s">
        <v>1982</v>
      </c>
      <c r="G1391" s="7">
        <v>876</v>
      </c>
      <c r="H1391" s="7" t="s">
        <v>1701</v>
      </c>
      <c r="I1391" s="70">
        <v>2759747</v>
      </c>
      <c r="J1391" s="131">
        <v>8.9860914627847358E-2</v>
      </c>
      <c r="K1391" s="123">
        <f t="shared" si="220"/>
        <v>3025098.7948220936</v>
      </c>
      <c r="L1391" s="122">
        <f>IF(K1394&gt;0, K1391/K1394, 0)</f>
        <v>9.5946456662055715E-2</v>
      </c>
      <c r="M1391" s="71"/>
      <c r="N1391" s="10">
        <f>ROUND(M1394*L1391,0)</f>
        <v>776444</v>
      </c>
      <c r="O1391" s="70">
        <v>742325</v>
      </c>
      <c r="P1391" s="10">
        <f>N1391-O1391</f>
        <v>34119</v>
      </c>
      <c r="Q1391" s="46">
        <f t="shared" si="219"/>
        <v>4.596234802815478</v>
      </c>
      <c r="R1391" s="10">
        <v>177</v>
      </c>
      <c r="S1391" s="7">
        <f t="shared" si="212"/>
        <v>0</v>
      </c>
      <c r="T1391" s="124">
        <f t="shared" si="213"/>
        <v>277</v>
      </c>
      <c r="U1391" s="124">
        <f t="shared" si="214"/>
        <v>876</v>
      </c>
      <c r="V1391" s="124">
        <f t="shared" si="215"/>
        <v>1382</v>
      </c>
      <c r="W1391" s="124">
        <f t="shared" si="216"/>
        <v>190.99999999515001</v>
      </c>
      <c r="X1391" s="124">
        <f t="shared" si="217"/>
        <v>3025098.7948220936</v>
      </c>
      <c r="Y1391" s="264">
        <f t="shared" si="218"/>
        <v>1382</v>
      </c>
      <c r="Z1391" s="10">
        <v>277</v>
      </c>
      <c r="AA1391" s="7">
        <v>876</v>
      </c>
      <c r="AB1391" s="7">
        <v>1382</v>
      </c>
      <c r="AC1391" s="109">
        <v>190.99999999515001</v>
      </c>
      <c r="AD1391" s="109">
        <v>3025098.7948220936</v>
      </c>
      <c r="AE1391" s="125"/>
      <c r="AF1391" s="10"/>
      <c r="AI1391" s="109"/>
      <c r="AJ1391" s="109"/>
      <c r="AL1391" s="10"/>
      <c r="AO1391" s="109"/>
      <c r="AP1391" s="109"/>
      <c r="AR1391" s="10"/>
      <c r="AU1391" s="109"/>
      <c r="AV1391" s="109"/>
      <c r="AX1391" s="10"/>
      <c r="BA1391" s="109"/>
      <c r="BB1391" s="109"/>
      <c r="BD1391" s="10"/>
      <c r="BG1391" s="109"/>
      <c r="BH1391" s="109"/>
      <c r="BJ1391" s="10"/>
      <c r="BM1391" s="109"/>
      <c r="BN1391" s="109"/>
      <c r="BP1391" s="10"/>
      <c r="BS1391" s="109"/>
      <c r="BT1391" s="109"/>
      <c r="BV1391" s="10"/>
      <c r="BY1391" s="109"/>
      <c r="BZ1391" s="109"/>
      <c r="CB1391" s="10"/>
      <c r="CE1391" s="109"/>
      <c r="CF1391" s="109"/>
      <c r="CH1391" s="10"/>
      <c r="CK1391" s="109"/>
      <c r="CL1391" s="109"/>
    </row>
    <row r="1392" spans="1:90">
      <c r="A1392" s="7" t="str">
        <f t="shared" si="211"/>
        <v>02770998</v>
      </c>
      <c r="B1392" s="7" t="s">
        <v>2616</v>
      </c>
      <c r="C1392" s="7" t="s">
        <v>2781</v>
      </c>
      <c r="D1392" s="7">
        <v>1383</v>
      </c>
      <c r="E1392" s="7">
        <v>277</v>
      </c>
      <c r="F1392" s="7" t="s">
        <v>2135</v>
      </c>
      <c r="G1392" s="7">
        <v>998</v>
      </c>
      <c r="H1392" s="7" t="s">
        <v>2135</v>
      </c>
      <c r="I1392" s="70">
        <v>0</v>
      </c>
      <c r="J1392" s="131">
        <v>0</v>
      </c>
      <c r="K1392" s="123">
        <f t="shared" si="220"/>
        <v>0</v>
      </c>
      <c r="L1392" s="122">
        <f>IF(K1394&gt;0, K1392/K1394, 0)</f>
        <v>0</v>
      </c>
      <c r="M1392" s="71"/>
      <c r="N1392" s="10">
        <f>ROUND(M1394*L1392,0)</f>
        <v>0</v>
      </c>
      <c r="O1392" s="70">
        <v>0</v>
      </c>
      <c r="P1392" s="10">
        <f>N1392-O1392</f>
        <v>0</v>
      </c>
      <c r="Q1392" s="46">
        <f t="shared" si="219"/>
        <v>0</v>
      </c>
      <c r="R1392" s="10">
        <v>0</v>
      </c>
      <c r="S1392" s="7">
        <f t="shared" si="212"/>
        <v>0</v>
      </c>
      <c r="T1392" s="124">
        <f t="shared" si="213"/>
        <v>277</v>
      </c>
      <c r="U1392" s="124">
        <f t="shared" si="214"/>
        <v>998</v>
      </c>
      <c r="V1392" s="124">
        <f t="shared" si="215"/>
        <v>1383</v>
      </c>
      <c r="W1392" s="124">
        <f t="shared" si="216"/>
        <v>0</v>
      </c>
      <c r="X1392" s="124">
        <f t="shared" si="217"/>
        <v>0</v>
      </c>
      <c r="Y1392" s="264">
        <f t="shared" si="218"/>
        <v>1383</v>
      </c>
      <c r="Z1392" s="10">
        <v>277</v>
      </c>
      <c r="AA1392" s="7">
        <v>998</v>
      </c>
      <c r="AB1392" s="7">
        <v>1383</v>
      </c>
      <c r="AC1392" s="109">
        <v>0</v>
      </c>
      <c r="AD1392" s="109">
        <v>0</v>
      </c>
      <c r="AE1392" s="125"/>
      <c r="AF1392" s="10"/>
      <c r="AI1392" s="109"/>
      <c r="AJ1392" s="109"/>
      <c r="AL1392" s="10"/>
      <c r="AO1392" s="109"/>
      <c r="AP1392" s="109"/>
      <c r="AR1392" s="10"/>
      <c r="AU1392" s="109"/>
      <c r="AV1392" s="109"/>
      <c r="AX1392" s="10"/>
      <c r="BA1392" s="109"/>
      <c r="BB1392" s="109"/>
      <c r="BD1392" s="10"/>
      <c r="BG1392" s="109"/>
      <c r="BH1392" s="109"/>
      <c r="BJ1392" s="10"/>
      <c r="BM1392" s="109"/>
      <c r="BN1392" s="109"/>
      <c r="BP1392" s="10"/>
      <c r="BS1392" s="109"/>
      <c r="BT1392" s="109"/>
      <c r="BV1392" s="10"/>
      <c r="BY1392" s="109"/>
      <c r="BZ1392" s="109"/>
      <c r="CB1392" s="10"/>
      <c r="CE1392" s="109"/>
      <c r="CF1392" s="109"/>
      <c r="CH1392" s="10"/>
      <c r="CK1392" s="109"/>
      <c r="CL1392" s="109"/>
    </row>
    <row r="1393" spans="1:90">
      <c r="A1393" s="7" t="str">
        <f t="shared" si="211"/>
        <v>02770998</v>
      </c>
      <c r="B1393" s="7" t="s">
        <v>2616</v>
      </c>
      <c r="C1393" s="7" t="s">
        <v>2781</v>
      </c>
      <c r="D1393" s="7">
        <v>1384</v>
      </c>
      <c r="E1393" s="7">
        <v>277</v>
      </c>
      <c r="F1393" s="7" t="s">
        <v>2135</v>
      </c>
      <c r="G1393" s="7">
        <v>998</v>
      </c>
      <c r="H1393" s="7" t="s">
        <v>2135</v>
      </c>
      <c r="I1393" s="70">
        <v>0</v>
      </c>
      <c r="J1393" s="131">
        <v>0</v>
      </c>
      <c r="K1393" s="123">
        <f t="shared" si="220"/>
        <v>0</v>
      </c>
      <c r="L1393" s="122">
        <f>IF(K1394&gt;0, K1393/K1394, 0)</f>
        <v>0</v>
      </c>
      <c r="M1393" s="71"/>
      <c r="N1393" s="10">
        <f>ROUND(M1394*L1393,0)</f>
        <v>0</v>
      </c>
      <c r="O1393" s="70">
        <v>0</v>
      </c>
      <c r="P1393" s="10">
        <f>N1393-O1393</f>
        <v>0</v>
      </c>
      <c r="Q1393" s="46">
        <f t="shared" si="219"/>
        <v>0</v>
      </c>
      <c r="R1393" s="10">
        <v>0</v>
      </c>
      <c r="S1393" s="7">
        <f t="shared" si="212"/>
        <v>0</v>
      </c>
      <c r="T1393" s="124">
        <f t="shared" si="213"/>
        <v>277</v>
      </c>
      <c r="U1393" s="124">
        <f t="shared" si="214"/>
        <v>998</v>
      </c>
      <c r="V1393" s="124">
        <f t="shared" si="215"/>
        <v>1384</v>
      </c>
      <c r="W1393" s="124">
        <f t="shared" si="216"/>
        <v>0</v>
      </c>
      <c r="X1393" s="124">
        <f t="shared" si="217"/>
        <v>0</v>
      </c>
      <c r="Y1393" s="264">
        <f t="shared" si="218"/>
        <v>1384</v>
      </c>
      <c r="Z1393" s="10">
        <v>277</v>
      </c>
      <c r="AA1393" s="7">
        <v>998</v>
      </c>
      <c r="AB1393" s="7">
        <v>1384</v>
      </c>
      <c r="AC1393" s="109">
        <v>0</v>
      </c>
      <c r="AD1393" s="109">
        <v>0</v>
      </c>
      <c r="AE1393" s="125"/>
      <c r="AF1393" s="10"/>
      <c r="AI1393" s="109"/>
      <c r="AJ1393" s="109"/>
      <c r="AL1393" s="10"/>
      <c r="AO1393" s="109"/>
      <c r="AP1393" s="109"/>
      <c r="AR1393" s="10"/>
      <c r="AU1393" s="109"/>
      <c r="AV1393" s="109"/>
      <c r="AX1393" s="10"/>
      <c r="BA1393" s="109"/>
      <c r="BB1393" s="109"/>
      <c r="BD1393" s="10"/>
      <c r="BG1393" s="109"/>
      <c r="BH1393" s="109"/>
      <c r="BJ1393" s="10"/>
      <c r="BM1393" s="109"/>
      <c r="BN1393" s="109"/>
      <c r="BP1393" s="10"/>
      <c r="BS1393" s="109"/>
      <c r="BT1393" s="109"/>
      <c r="BV1393" s="10"/>
      <c r="BY1393" s="109"/>
      <c r="BZ1393" s="109"/>
      <c r="CB1393" s="10"/>
      <c r="CE1393" s="109"/>
      <c r="CF1393" s="109"/>
      <c r="CH1393" s="10"/>
      <c r="CK1393" s="109"/>
      <c r="CL1393" s="109"/>
    </row>
    <row r="1394" spans="1:90">
      <c r="A1394" s="7" t="str">
        <f t="shared" si="211"/>
        <v>02770999</v>
      </c>
      <c r="B1394" s="7" t="s">
        <v>2616</v>
      </c>
      <c r="C1394" s="7" t="s">
        <v>2782</v>
      </c>
      <c r="D1394" s="7">
        <v>1385</v>
      </c>
      <c r="E1394" s="11">
        <v>277</v>
      </c>
      <c r="F1394" s="11" t="s">
        <v>1982</v>
      </c>
      <c r="G1394" s="11">
        <v>999</v>
      </c>
      <c r="H1394" s="11" t="s">
        <v>1132</v>
      </c>
      <c r="I1394" s="134">
        <v>30711316.609999992</v>
      </c>
      <c r="J1394" s="135">
        <v>1</v>
      </c>
      <c r="K1394" s="127">
        <f>SUM(K1390:K1393)</f>
        <v>31529030.878932294</v>
      </c>
      <c r="L1394" s="126">
        <f>SUM(L1390:L1393)</f>
        <v>1</v>
      </c>
      <c r="M1394" s="105">
        <f>VLOOKUP(E1394,town351,22)</f>
        <v>8092477</v>
      </c>
      <c r="N1394" s="105">
        <f>SUM(N1390:N1393)</f>
        <v>8092477</v>
      </c>
      <c r="O1394" s="128">
        <v>8260825</v>
      </c>
      <c r="P1394" s="105">
        <f>SUM(P1390:P1393)</f>
        <v>-168348</v>
      </c>
      <c r="Q1394" s="45">
        <f t="shared" si="219"/>
        <v>-2.0379078360817471</v>
      </c>
      <c r="R1394" s="105">
        <v>2588</v>
      </c>
      <c r="S1394" s="7">
        <f t="shared" si="212"/>
        <v>0</v>
      </c>
      <c r="T1394" s="124">
        <f t="shared" si="213"/>
        <v>277</v>
      </c>
      <c r="U1394" s="124">
        <f t="shared" si="214"/>
        <v>999</v>
      </c>
      <c r="V1394" s="124">
        <f t="shared" si="215"/>
        <v>1385</v>
      </c>
      <c r="W1394" s="124">
        <f t="shared" si="216"/>
        <v>2570.9999999951501</v>
      </c>
      <c r="X1394" s="124">
        <f t="shared" si="217"/>
        <v>31529030.878932294</v>
      </c>
      <c r="Y1394" s="264">
        <f t="shared" si="218"/>
        <v>1385</v>
      </c>
      <c r="Z1394" s="10">
        <v>277</v>
      </c>
      <c r="AA1394" s="7">
        <v>999</v>
      </c>
      <c r="AB1394" s="7">
        <v>1385</v>
      </c>
      <c r="AC1394" s="109">
        <v>2570.9999999951501</v>
      </c>
      <c r="AD1394" s="109">
        <v>31529030.878932294</v>
      </c>
      <c r="AE1394" s="125"/>
      <c r="AF1394" s="10"/>
      <c r="AI1394" s="109"/>
      <c r="AJ1394" s="109"/>
      <c r="AL1394" s="10"/>
      <c r="AO1394" s="109"/>
      <c r="AP1394" s="109"/>
      <c r="AR1394" s="10"/>
      <c r="AU1394" s="109"/>
      <c r="AV1394" s="109"/>
      <c r="AX1394" s="10"/>
      <c r="BA1394" s="109"/>
      <c r="BB1394" s="109"/>
      <c r="BD1394" s="10"/>
      <c r="BG1394" s="109"/>
      <c r="BH1394" s="109"/>
      <c r="BJ1394" s="10"/>
      <c r="BM1394" s="109"/>
      <c r="BN1394" s="109"/>
      <c r="BP1394" s="10"/>
      <c r="BS1394" s="109"/>
      <c r="BT1394" s="109"/>
      <c r="BV1394" s="10"/>
      <c r="BY1394" s="109"/>
      <c r="BZ1394" s="109"/>
      <c r="CB1394" s="10"/>
      <c r="CE1394" s="109"/>
      <c r="CF1394" s="109"/>
      <c r="CH1394" s="10"/>
      <c r="CK1394" s="109"/>
      <c r="CL1394" s="109"/>
    </row>
    <row r="1395" spans="1:90">
      <c r="A1395" s="7" t="str">
        <f t="shared" si="211"/>
        <v>02780278</v>
      </c>
      <c r="B1395" s="7" t="s">
        <v>2617</v>
      </c>
      <c r="C1395" s="7" t="s">
        <v>2617</v>
      </c>
      <c r="D1395" s="7">
        <v>1386</v>
      </c>
      <c r="E1395" s="7">
        <v>278</v>
      </c>
      <c r="F1395" s="7" t="s">
        <v>1983</v>
      </c>
      <c r="G1395" s="7">
        <v>278</v>
      </c>
      <c r="H1395" s="7" t="s">
        <v>1544</v>
      </c>
      <c r="I1395" s="70">
        <v>19049378.099999998</v>
      </c>
      <c r="J1395" s="131">
        <v>1</v>
      </c>
      <c r="K1395" s="123">
        <f>X1395</f>
        <v>19637074.331034068</v>
      </c>
      <c r="L1395" s="122">
        <f>IF(K1399&gt;0, K1395/K1399, 0)</f>
        <v>1</v>
      </c>
      <c r="M1395" s="71"/>
      <c r="N1395" s="10">
        <f>ROUND(M1399*L1395,0)</f>
        <v>12896757</v>
      </c>
      <c r="O1395" s="70">
        <v>12973564</v>
      </c>
      <c r="P1395" s="10">
        <f>N1395-O1395</f>
        <v>-76807</v>
      </c>
      <c r="Q1395" s="46">
        <f t="shared" si="219"/>
        <v>-0.59202698657053687</v>
      </c>
      <c r="R1395" s="10">
        <v>1891</v>
      </c>
      <c r="S1395" s="7">
        <f t="shared" si="212"/>
        <v>0</v>
      </c>
      <c r="T1395" s="124">
        <f t="shared" si="213"/>
        <v>278</v>
      </c>
      <c r="U1395" s="124">
        <f t="shared" si="214"/>
        <v>278</v>
      </c>
      <c r="V1395" s="124">
        <f t="shared" si="215"/>
        <v>1386</v>
      </c>
      <c r="W1395" s="124">
        <f t="shared" si="216"/>
        <v>1900</v>
      </c>
      <c r="X1395" s="124">
        <f t="shared" si="217"/>
        <v>19637074.331034068</v>
      </c>
      <c r="Y1395" s="264">
        <f t="shared" si="218"/>
        <v>1386</v>
      </c>
      <c r="Z1395" s="10">
        <v>278</v>
      </c>
      <c r="AA1395" s="7">
        <v>278</v>
      </c>
      <c r="AB1395" s="7">
        <v>1386</v>
      </c>
      <c r="AC1395" s="109">
        <v>1900</v>
      </c>
      <c r="AD1395" s="109">
        <v>19637074.331034068</v>
      </c>
      <c r="AE1395" s="125"/>
      <c r="AF1395" s="10"/>
      <c r="AI1395" s="109"/>
      <c r="AJ1395" s="109"/>
      <c r="AL1395" s="10"/>
      <c r="AO1395" s="109"/>
      <c r="AP1395" s="109"/>
      <c r="AR1395" s="10"/>
      <c r="AU1395" s="109"/>
      <c r="AV1395" s="109"/>
      <c r="AX1395" s="10"/>
      <c r="BA1395" s="109"/>
      <c r="BB1395" s="109"/>
      <c r="BD1395" s="10"/>
      <c r="BG1395" s="109"/>
      <c r="BH1395" s="109"/>
      <c r="BJ1395" s="10"/>
      <c r="BM1395" s="109"/>
      <c r="BN1395" s="109"/>
      <c r="BP1395" s="10"/>
      <c r="BS1395" s="109"/>
      <c r="BT1395" s="109"/>
      <c r="BV1395" s="10"/>
      <c r="BY1395" s="109"/>
      <c r="BZ1395" s="109"/>
      <c r="CB1395" s="10"/>
      <c r="CE1395" s="109"/>
      <c r="CF1395" s="109"/>
      <c r="CH1395" s="10"/>
      <c r="CK1395" s="109"/>
      <c r="CL1395" s="109"/>
    </row>
    <row r="1396" spans="1:90">
      <c r="A1396" s="7" t="str">
        <f t="shared" si="211"/>
        <v>02780998</v>
      </c>
      <c r="B1396" s="7" t="s">
        <v>2617</v>
      </c>
      <c r="C1396" s="7" t="s">
        <v>2781</v>
      </c>
      <c r="D1396" s="7">
        <v>1387</v>
      </c>
      <c r="E1396" s="7">
        <v>278</v>
      </c>
      <c r="F1396" s="7" t="s">
        <v>2135</v>
      </c>
      <c r="G1396" s="7">
        <v>998</v>
      </c>
      <c r="H1396" s="7" t="s">
        <v>2135</v>
      </c>
      <c r="I1396" s="70">
        <v>0</v>
      </c>
      <c r="J1396" s="131">
        <v>0</v>
      </c>
      <c r="K1396" s="123">
        <f t="shared" si="220"/>
        <v>0</v>
      </c>
      <c r="L1396" s="122">
        <f>IF(K1399&gt;0, K1396/K1399, 0)</f>
        <v>0</v>
      </c>
      <c r="M1396" s="71"/>
      <c r="N1396" s="10">
        <f>ROUND(M1399*L1396,0)</f>
        <v>0</v>
      </c>
      <c r="O1396" s="70">
        <v>0</v>
      </c>
      <c r="P1396" s="10">
        <f>N1396-O1396</f>
        <v>0</v>
      </c>
      <c r="Q1396" s="46">
        <f t="shared" si="219"/>
        <v>0</v>
      </c>
      <c r="R1396" s="10">
        <v>0</v>
      </c>
      <c r="S1396" s="7">
        <f t="shared" si="212"/>
        <v>0</v>
      </c>
      <c r="T1396" s="124">
        <f t="shared" si="213"/>
        <v>278</v>
      </c>
      <c r="U1396" s="124">
        <f t="shared" si="214"/>
        <v>998</v>
      </c>
      <c r="V1396" s="124">
        <f t="shared" si="215"/>
        <v>1387</v>
      </c>
      <c r="W1396" s="124">
        <f t="shared" si="216"/>
        <v>0</v>
      </c>
      <c r="X1396" s="124">
        <f t="shared" si="217"/>
        <v>0</v>
      </c>
      <c r="Y1396" s="264">
        <f t="shared" si="218"/>
        <v>1387</v>
      </c>
      <c r="Z1396" s="10">
        <v>278</v>
      </c>
      <c r="AA1396" s="7">
        <v>998</v>
      </c>
      <c r="AB1396" s="7">
        <v>1387</v>
      </c>
      <c r="AC1396" s="109">
        <v>0</v>
      </c>
      <c r="AD1396" s="109">
        <v>0</v>
      </c>
      <c r="AE1396" s="125"/>
      <c r="AF1396" s="10"/>
      <c r="AI1396" s="109"/>
      <c r="AJ1396" s="109"/>
      <c r="AL1396" s="10"/>
      <c r="AO1396" s="109"/>
      <c r="AP1396" s="109"/>
      <c r="AR1396" s="10"/>
      <c r="AU1396" s="109"/>
      <c r="AV1396" s="109"/>
      <c r="AX1396" s="10"/>
      <c r="BA1396" s="109"/>
      <c r="BB1396" s="109"/>
      <c r="BD1396" s="10"/>
      <c r="BG1396" s="109"/>
      <c r="BH1396" s="109"/>
      <c r="BJ1396" s="10"/>
      <c r="BM1396" s="109"/>
      <c r="BN1396" s="109"/>
      <c r="BP1396" s="10"/>
      <c r="BS1396" s="109"/>
      <c r="BT1396" s="109"/>
      <c r="BV1396" s="10"/>
      <c r="BY1396" s="109"/>
      <c r="BZ1396" s="109"/>
      <c r="CB1396" s="10"/>
      <c r="CE1396" s="109"/>
      <c r="CF1396" s="109"/>
      <c r="CH1396" s="10"/>
      <c r="CK1396" s="109"/>
      <c r="CL1396" s="109"/>
    </row>
    <row r="1397" spans="1:90">
      <c r="A1397" s="7" t="str">
        <f t="shared" si="211"/>
        <v>02780998</v>
      </c>
      <c r="B1397" s="7" t="s">
        <v>2617</v>
      </c>
      <c r="C1397" s="7" t="s">
        <v>2781</v>
      </c>
      <c r="D1397" s="7">
        <v>1388</v>
      </c>
      <c r="E1397" s="7">
        <v>278</v>
      </c>
      <c r="F1397" s="7" t="s">
        <v>2135</v>
      </c>
      <c r="G1397" s="7">
        <v>998</v>
      </c>
      <c r="H1397" s="7" t="s">
        <v>2135</v>
      </c>
      <c r="I1397" s="70">
        <v>0</v>
      </c>
      <c r="J1397" s="131">
        <v>0</v>
      </c>
      <c r="K1397" s="123">
        <f t="shared" si="220"/>
        <v>0</v>
      </c>
      <c r="L1397" s="122">
        <f>IF(K1399&gt;0, K1397/K1399, 0)</f>
        <v>0</v>
      </c>
      <c r="M1397" s="71"/>
      <c r="N1397" s="10">
        <f>ROUND(M1399*L1397,0)</f>
        <v>0</v>
      </c>
      <c r="O1397" s="70">
        <v>0</v>
      </c>
      <c r="P1397" s="10">
        <f>N1397-O1397</f>
        <v>0</v>
      </c>
      <c r="Q1397" s="46">
        <f t="shared" si="219"/>
        <v>0</v>
      </c>
      <c r="R1397" s="10">
        <v>0</v>
      </c>
      <c r="S1397" s="7">
        <f t="shared" si="212"/>
        <v>0</v>
      </c>
      <c r="T1397" s="124">
        <f t="shared" si="213"/>
        <v>278</v>
      </c>
      <c r="U1397" s="124">
        <f t="shared" si="214"/>
        <v>998</v>
      </c>
      <c r="V1397" s="124">
        <f t="shared" si="215"/>
        <v>1388</v>
      </c>
      <c r="W1397" s="124">
        <f t="shared" si="216"/>
        <v>0</v>
      </c>
      <c r="X1397" s="124">
        <f t="shared" si="217"/>
        <v>0</v>
      </c>
      <c r="Y1397" s="264">
        <f t="shared" si="218"/>
        <v>1388</v>
      </c>
      <c r="Z1397" s="10">
        <v>278</v>
      </c>
      <c r="AA1397" s="7">
        <v>998</v>
      </c>
      <c r="AB1397" s="7">
        <v>1388</v>
      </c>
      <c r="AC1397" s="109">
        <v>0</v>
      </c>
      <c r="AD1397" s="109">
        <v>0</v>
      </c>
      <c r="AE1397" s="125"/>
      <c r="AF1397" s="10"/>
      <c r="AI1397" s="109"/>
      <c r="AJ1397" s="109"/>
      <c r="AL1397" s="10"/>
      <c r="AO1397" s="109"/>
      <c r="AP1397" s="109"/>
      <c r="AR1397" s="10"/>
      <c r="AU1397" s="109"/>
      <c r="AV1397" s="109"/>
      <c r="AX1397" s="10"/>
      <c r="BA1397" s="109"/>
      <c r="BB1397" s="109"/>
      <c r="BD1397" s="10"/>
      <c r="BG1397" s="109"/>
      <c r="BH1397" s="109"/>
      <c r="BJ1397" s="10"/>
      <c r="BM1397" s="109"/>
      <c r="BN1397" s="109"/>
      <c r="BP1397" s="10"/>
      <c r="BS1397" s="109"/>
      <c r="BT1397" s="109"/>
      <c r="BV1397" s="10"/>
      <c r="BY1397" s="109"/>
      <c r="BZ1397" s="109"/>
      <c r="CB1397" s="10"/>
      <c r="CE1397" s="109"/>
      <c r="CF1397" s="109"/>
      <c r="CH1397" s="10"/>
      <c r="CK1397" s="109"/>
      <c r="CL1397" s="109"/>
    </row>
    <row r="1398" spans="1:90">
      <c r="A1398" s="7" t="str">
        <f t="shared" si="211"/>
        <v>02780998</v>
      </c>
      <c r="B1398" s="7" t="s">
        <v>2617</v>
      </c>
      <c r="C1398" s="7" t="s">
        <v>2781</v>
      </c>
      <c r="D1398" s="7">
        <v>1389</v>
      </c>
      <c r="E1398" s="7">
        <v>278</v>
      </c>
      <c r="F1398" s="7" t="s">
        <v>2135</v>
      </c>
      <c r="G1398" s="7">
        <v>998</v>
      </c>
      <c r="H1398" s="7" t="s">
        <v>2135</v>
      </c>
      <c r="I1398" s="70">
        <v>0</v>
      </c>
      <c r="J1398" s="131">
        <v>0</v>
      </c>
      <c r="K1398" s="123">
        <f t="shared" si="220"/>
        <v>0</v>
      </c>
      <c r="L1398" s="122">
        <f>IF(K1399&gt;0, K1398/K1399, 0)</f>
        <v>0</v>
      </c>
      <c r="M1398" s="71"/>
      <c r="N1398" s="10">
        <f>ROUND(M1399*L1398,0)</f>
        <v>0</v>
      </c>
      <c r="O1398" s="70">
        <v>0</v>
      </c>
      <c r="P1398" s="10">
        <f>N1398-O1398</f>
        <v>0</v>
      </c>
      <c r="Q1398" s="46">
        <f t="shared" si="219"/>
        <v>0</v>
      </c>
      <c r="R1398" s="10">
        <v>0</v>
      </c>
      <c r="S1398" s="7">
        <f t="shared" si="212"/>
        <v>0</v>
      </c>
      <c r="T1398" s="124">
        <f t="shared" si="213"/>
        <v>278</v>
      </c>
      <c r="U1398" s="124">
        <f t="shared" si="214"/>
        <v>998</v>
      </c>
      <c r="V1398" s="124">
        <f t="shared" si="215"/>
        <v>1389</v>
      </c>
      <c r="W1398" s="124">
        <f t="shared" si="216"/>
        <v>0</v>
      </c>
      <c r="X1398" s="124">
        <f t="shared" si="217"/>
        <v>0</v>
      </c>
      <c r="Y1398" s="264">
        <f t="shared" si="218"/>
        <v>1389</v>
      </c>
      <c r="Z1398" s="10">
        <v>278</v>
      </c>
      <c r="AA1398" s="7">
        <v>998</v>
      </c>
      <c r="AB1398" s="7">
        <v>1389</v>
      </c>
      <c r="AC1398" s="109">
        <v>0</v>
      </c>
      <c r="AD1398" s="109">
        <v>0</v>
      </c>
      <c r="AE1398" s="125"/>
      <c r="AF1398" s="10"/>
      <c r="AI1398" s="109"/>
      <c r="AJ1398" s="109"/>
      <c r="AL1398" s="10"/>
      <c r="AO1398" s="109"/>
      <c r="AP1398" s="109"/>
      <c r="AR1398" s="10"/>
      <c r="AU1398" s="109"/>
      <c r="AV1398" s="109"/>
      <c r="AX1398" s="10"/>
      <c r="BA1398" s="109"/>
      <c r="BB1398" s="109"/>
      <c r="BD1398" s="10"/>
      <c r="BG1398" s="109"/>
      <c r="BH1398" s="109"/>
      <c r="BJ1398" s="10"/>
      <c r="BM1398" s="109"/>
      <c r="BN1398" s="109"/>
      <c r="BP1398" s="10"/>
      <c r="BS1398" s="109"/>
      <c r="BT1398" s="109"/>
      <c r="BV1398" s="10"/>
      <c r="BY1398" s="109"/>
      <c r="BZ1398" s="109"/>
      <c r="CB1398" s="10"/>
      <c r="CE1398" s="109"/>
      <c r="CF1398" s="109"/>
      <c r="CH1398" s="10"/>
      <c r="CK1398" s="109"/>
      <c r="CL1398" s="109"/>
    </row>
    <row r="1399" spans="1:90">
      <c r="A1399" s="7" t="str">
        <f t="shared" si="211"/>
        <v>02780999</v>
      </c>
      <c r="B1399" s="7" t="s">
        <v>2617</v>
      </c>
      <c r="C1399" s="7" t="s">
        <v>2782</v>
      </c>
      <c r="D1399" s="7">
        <v>1390</v>
      </c>
      <c r="E1399" s="11">
        <v>278</v>
      </c>
      <c r="F1399" s="11" t="s">
        <v>1983</v>
      </c>
      <c r="G1399" s="11">
        <v>999</v>
      </c>
      <c r="H1399" s="11" t="s">
        <v>1132</v>
      </c>
      <c r="I1399" s="134">
        <v>19049378.099999998</v>
      </c>
      <c r="J1399" s="135">
        <v>1</v>
      </c>
      <c r="K1399" s="127">
        <f>SUM(K1395:K1398)</f>
        <v>19637074.331034068</v>
      </c>
      <c r="L1399" s="126">
        <f>SUM(L1395:L1398)</f>
        <v>1</v>
      </c>
      <c r="M1399" s="105">
        <f>VLOOKUP(E1399,town351,22)</f>
        <v>12896757</v>
      </c>
      <c r="N1399" s="105">
        <f>SUM(N1395:N1398)</f>
        <v>12896757</v>
      </c>
      <c r="O1399" s="128">
        <v>12973564</v>
      </c>
      <c r="P1399" s="105">
        <f>SUM(P1395:P1398)</f>
        <v>-76807</v>
      </c>
      <c r="Q1399" s="45">
        <f t="shared" si="219"/>
        <v>-0.59202698657053687</v>
      </c>
      <c r="R1399" s="105">
        <v>1891</v>
      </c>
      <c r="S1399" s="7">
        <f t="shared" si="212"/>
        <v>0</v>
      </c>
      <c r="T1399" s="124">
        <f t="shared" si="213"/>
        <v>278</v>
      </c>
      <c r="U1399" s="124">
        <f t="shared" si="214"/>
        <v>999</v>
      </c>
      <c r="V1399" s="124">
        <f t="shared" si="215"/>
        <v>1390</v>
      </c>
      <c r="W1399" s="124">
        <f t="shared" si="216"/>
        <v>1900</v>
      </c>
      <c r="X1399" s="124">
        <f t="shared" si="217"/>
        <v>19637074.331034068</v>
      </c>
      <c r="Y1399" s="264">
        <f t="shared" si="218"/>
        <v>1390</v>
      </c>
      <c r="Z1399" s="10">
        <v>278</v>
      </c>
      <c r="AA1399" s="7">
        <v>999</v>
      </c>
      <c r="AB1399" s="7">
        <v>1390</v>
      </c>
      <c r="AC1399" s="109">
        <v>1900</v>
      </c>
      <c r="AD1399" s="109">
        <v>19637074.331034068</v>
      </c>
      <c r="AE1399" s="125"/>
      <c r="AF1399" s="10"/>
      <c r="AI1399" s="109"/>
      <c r="AJ1399" s="109"/>
      <c r="AL1399" s="10"/>
      <c r="AO1399" s="109"/>
      <c r="AP1399" s="109"/>
      <c r="AR1399" s="10"/>
      <c r="AU1399" s="109"/>
      <c r="AV1399" s="109"/>
      <c r="AX1399" s="10"/>
      <c r="BA1399" s="109"/>
      <c r="BB1399" s="109"/>
      <c r="BD1399" s="10"/>
      <c r="BG1399" s="109"/>
      <c r="BH1399" s="109"/>
      <c r="BJ1399" s="10"/>
      <c r="BM1399" s="109"/>
      <c r="BN1399" s="109"/>
      <c r="BP1399" s="10"/>
      <c r="BS1399" s="109"/>
      <c r="BT1399" s="109"/>
      <c r="BV1399" s="10"/>
      <c r="BY1399" s="109"/>
      <c r="BZ1399" s="109"/>
      <c r="CB1399" s="10"/>
      <c r="CE1399" s="109"/>
      <c r="CF1399" s="109"/>
      <c r="CH1399" s="10"/>
      <c r="CK1399" s="109"/>
      <c r="CL1399" s="109"/>
    </row>
    <row r="1400" spans="1:90">
      <c r="A1400" s="7" t="str">
        <f t="shared" si="211"/>
        <v>02790279</v>
      </c>
      <c r="B1400" s="7" t="s">
        <v>2618</v>
      </c>
      <c r="C1400" s="7" t="s">
        <v>2618</v>
      </c>
      <c r="D1400" s="7">
        <v>1391</v>
      </c>
      <c r="E1400" s="7">
        <v>279</v>
      </c>
      <c r="F1400" s="7" t="s">
        <v>1984</v>
      </c>
      <c r="G1400" s="7">
        <v>279</v>
      </c>
      <c r="H1400" s="7" t="s">
        <v>1545</v>
      </c>
      <c r="I1400" s="70">
        <v>0</v>
      </c>
      <c r="J1400" s="131">
        <v>0</v>
      </c>
      <c r="K1400" s="123">
        <f>X1400</f>
        <v>0</v>
      </c>
      <c r="L1400" s="122">
        <f>IF(K1404&gt;0, K1400/K1404, 0)</f>
        <v>0</v>
      </c>
      <c r="M1400" s="71"/>
      <c r="N1400" s="10">
        <f>ROUND(M1404*L1400,0)</f>
        <v>0</v>
      </c>
      <c r="O1400" s="70">
        <v>0</v>
      </c>
      <c r="P1400" s="10">
        <f>N1400-O1400</f>
        <v>0</v>
      </c>
      <c r="Q1400" s="46">
        <f t="shared" si="219"/>
        <v>0</v>
      </c>
      <c r="R1400" s="10">
        <v>0</v>
      </c>
      <c r="S1400" s="7">
        <f t="shared" si="212"/>
        <v>0</v>
      </c>
      <c r="T1400" s="124">
        <f t="shared" si="213"/>
        <v>279</v>
      </c>
      <c r="U1400" s="124">
        <f t="shared" si="214"/>
        <v>279</v>
      </c>
      <c r="V1400" s="124">
        <f t="shared" si="215"/>
        <v>1391</v>
      </c>
      <c r="W1400" s="124">
        <f t="shared" si="216"/>
        <v>0</v>
      </c>
      <c r="X1400" s="124">
        <f t="shared" si="217"/>
        <v>0</v>
      </c>
      <c r="Y1400" s="264">
        <f t="shared" si="218"/>
        <v>1391</v>
      </c>
      <c r="Z1400" s="10">
        <v>279</v>
      </c>
      <c r="AA1400" s="7">
        <v>279</v>
      </c>
      <c r="AB1400" s="7">
        <v>1391</v>
      </c>
      <c r="AC1400" s="109">
        <v>0</v>
      </c>
      <c r="AD1400" s="109">
        <v>0</v>
      </c>
      <c r="AE1400" s="125"/>
      <c r="AF1400" s="10"/>
      <c r="AI1400" s="109"/>
      <c r="AJ1400" s="109"/>
      <c r="AL1400" s="10"/>
      <c r="AO1400" s="109"/>
      <c r="AP1400" s="109"/>
      <c r="AR1400" s="10"/>
      <c r="AU1400" s="109"/>
      <c r="AV1400" s="109"/>
      <c r="AX1400" s="10"/>
      <c r="BA1400" s="109"/>
      <c r="BB1400" s="109"/>
      <c r="BD1400" s="10"/>
      <c r="BG1400" s="109"/>
      <c r="BH1400" s="109"/>
      <c r="BJ1400" s="10"/>
      <c r="BM1400" s="109"/>
      <c r="BN1400" s="109"/>
      <c r="BP1400" s="10"/>
      <c r="BS1400" s="109"/>
      <c r="BT1400" s="109"/>
      <c r="BV1400" s="10"/>
      <c r="BY1400" s="109"/>
      <c r="BZ1400" s="109"/>
      <c r="CB1400" s="10"/>
      <c r="CE1400" s="109"/>
      <c r="CF1400" s="109"/>
      <c r="CH1400" s="10"/>
      <c r="CK1400" s="109"/>
      <c r="CL1400" s="109"/>
    </row>
    <row r="1401" spans="1:90">
      <c r="A1401" s="7" t="str">
        <f t="shared" si="211"/>
        <v>02790766</v>
      </c>
      <c r="B1401" s="7" t="s">
        <v>2618</v>
      </c>
      <c r="C1401" s="7" t="s">
        <v>2744</v>
      </c>
      <c r="D1401" s="7">
        <v>1392</v>
      </c>
      <c r="E1401" s="7">
        <v>279</v>
      </c>
      <c r="F1401" s="7" t="s">
        <v>1984</v>
      </c>
      <c r="G1401" s="7">
        <v>766</v>
      </c>
      <c r="H1401" s="7" t="s">
        <v>2136</v>
      </c>
      <c r="I1401" s="70">
        <v>13415994</v>
      </c>
      <c r="J1401" s="131">
        <v>1</v>
      </c>
      <c r="K1401" s="123">
        <f t="shared" si="220"/>
        <v>13215136.49526022</v>
      </c>
      <c r="L1401" s="122">
        <f>IF(K1404&gt;0, K1401/K1404, 0)</f>
        <v>1</v>
      </c>
      <c r="M1401" s="71"/>
      <c r="N1401" s="10">
        <f>ROUND(M1404*L1401,0)</f>
        <v>8591275</v>
      </c>
      <c r="O1401" s="70">
        <v>8462115</v>
      </c>
      <c r="P1401" s="10">
        <f>N1401-O1401</f>
        <v>129160</v>
      </c>
      <c r="Q1401" s="46">
        <f t="shared" si="219"/>
        <v>1.526332364899319</v>
      </c>
      <c r="R1401" s="10">
        <v>1309</v>
      </c>
      <c r="S1401" s="7">
        <f t="shared" si="212"/>
        <v>0</v>
      </c>
      <c r="T1401" s="124">
        <f t="shared" si="213"/>
        <v>279</v>
      </c>
      <c r="U1401" s="124">
        <f t="shared" si="214"/>
        <v>766</v>
      </c>
      <c r="V1401" s="124">
        <f t="shared" si="215"/>
        <v>1392</v>
      </c>
      <c r="W1401" s="124">
        <f t="shared" si="216"/>
        <v>1253.61678322384</v>
      </c>
      <c r="X1401" s="124">
        <f t="shared" si="217"/>
        <v>13215136.49526022</v>
      </c>
      <c r="Y1401" s="264">
        <f t="shared" si="218"/>
        <v>1392</v>
      </c>
      <c r="Z1401" s="10">
        <v>279</v>
      </c>
      <c r="AA1401" s="7">
        <v>766</v>
      </c>
      <c r="AB1401" s="7">
        <v>1392</v>
      </c>
      <c r="AC1401" s="109">
        <v>1253.61678322384</v>
      </c>
      <c r="AD1401" s="109">
        <v>13215136.49526022</v>
      </c>
      <c r="AE1401" s="125"/>
      <c r="AF1401" s="10"/>
      <c r="AI1401" s="109"/>
      <c r="AJ1401" s="109"/>
      <c r="AL1401" s="10"/>
      <c r="AO1401" s="109"/>
      <c r="AP1401" s="109"/>
      <c r="AR1401" s="10"/>
      <c r="AU1401" s="109"/>
      <c r="AV1401" s="109"/>
      <c r="AX1401" s="10"/>
      <c r="BA1401" s="109"/>
      <c r="BB1401" s="109"/>
      <c r="BD1401" s="10"/>
      <c r="BG1401" s="109"/>
      <c r="BH1401" s="109"/>
      <c r="BJ1401" s="10"/>
      <c r="BM1401" s="109"/>
      <c r="BN1401" s="109"/>
      <c r="BP1401" s="10"/>
      <c r="BS1401" s="109"/>
      <c r="BT1401" s="109"/>
      <c r="BV1401" s="10"/>
      <c r="BY1401" s="109"/>
      <c r="BZ1401" s="109"/>
      <c r="CB1401" s="10"/>
      <c r="CE1401" s="109"/>
      <c r="CF1401" s="109"/>
      <c r="CH1401" s="10"/>
      <c r="CK1401" s="109"/>
      <c r="CL1401" s="109"/>
    </row>
    <row r="1402" spans="1:90">
      <c r="A1402" s="7" t="str">
        <f t="shared" si="211"/>
        <v>02790998</v>
      </c>
      <c r="B1402" s="7" t="s">
        <v>2618</v>
      </c>
      <c r="C1402" s="7" t="s">
        <v>2781</v>
      </c>
      <c r="D1402" s="7">
        <v>1393</v>
      </c>
      <c r="E1402" s="7">
        <v>279</v>
      </c>
      <c r="F1402" s="7" t="s">
        <v>2135</v>
      </c>
      <c r="G1402" s="7">
        <v>998</v>
      </c>
      <c r="H1402" s="7" t="s">
        <v>2135</v>
      </c>
      <c r="I1402" s="70">
        <v>0</v>
      </c>
      <c r="J1402" s="131">
        <v>0</v>
      </c>
      <c r="K1402" s="123">
        <f t="shared" si="220"/>
        <v>0</v>
      </c>
      <c r="L1402" s="122">
        <f>IF(K1404&gt;0, K1402/K1404, 0)</f>
        <v>0</v>
      </c>
      <c r="M1402" s="71"/>
      <c r="N1402" s="10">
        <f>ROUND(M1404*L1402,0)</f>
        <v>0</v>
      </c>
      <c r="O1402" s="70">
        <v>0</v>
      </c>
      <c r="P1402" s="10">
        <f>N1402-O1402</f>
        <v>0</v>
      </c>
      <c r="Q1402" s="46">
        <f t="shared" si="219"/>
        <v>0</v>
      </c>
      <c r="R1402" s="10">
        <v>0</v>
      </c>
      <c r="S1402" s="7">
        <f t="shared" si="212"/>
        <v>0</v>
      </c>
      <c r="T1402" s="124">
        <f t="shared" si="213"/>
        <v>279</v>
      </c>
      <c r="U1402" s="124">
        <f t="shared" si="214"/>
        <v>998</v>
      </c>
      <c r="V1402" s="124">
        <f t="shared" si="215"/>
        <v>1393</v>
      </c>
      <c r="W1402" s="124">
        <f t="shared" si="216"/>
        <v>0</v>
      </c>
      <c r="X1402" s="124">
        <f t="shared" si="217"/>
        <v>0</v>
      </c>
      <c r="Y1402" s="264">
        <f t="shared" si="218"/>
        <v>1393</v>
      </c>
      <c r="Z1402" s="10">
        <v>279</v>
      </c>
      <c r="AA1402" s="7">
        <v>998</v>
      </c>
      <c r="AB1402" s="7">
        <v>1393</v>
      </c>
      <c r="AC1402" s="109">
        <v>0</v>
      </c>
      <c r="AD1402" s="109">
        <v>0</v>
      </c>
      <c r="AE1402" s="125"/>
      <c r="AF1402" s="10"/>
      <c r="AI1402" s="109"/>
      <c r="AJ1402" s="109"/>
      <c r="AL1402" s="10"/>
      <c r="AO1402" s="109"/>
      <c r="AP1402" s="109"/>
      <c r="AR1402" s="10"/>
      <c r="AU1402" s="109"/>
      <c r="AV1402" s="109"/>
      <c r="AX1402" s="10"/>
      <c r="BA1402" s="109"/>
      <c r="BB1402" s="109"/>
      <c r="BD1402" s="10"/>
      <c r="BG1402" s="109"/>
      <c r="BH1402" s="109"/>
      <c r="BJ1402" s="10"/>
      <c r="BM1402" s="109"/>
      <c r="BN1402" s="109"/>
      <c r="BP1402" s="10"/>
      <c r="BS1402" s="109"/>
      <c r="BT1402" s="109"/>
      <c r="BV1402" s="10"/>
      <c r="BY1402" s="109"/>
      <c r="BZ1402" s="109"/>
      <c r="CB1402" s="10"/>
      <c r="CE1402" s="109"/>
      <c r="CF1402" s="109"/>
      <c r="CH1402" s="10"/>
      <c r="CK1402" s="109"/>
      <c r="CL1402" s="109"/>
    </row>
    <row r="1403" spans="1:90">
      <c r="A1403" s="7" t="str">
        <f t="shared" si="211"/>
        <v>02790998</v>
      </c>
      <c r="B1403" s="7" t="s">
        <v>2618</v>
      </c>
      <c r="C1403" s="7" t="s">
        <v>2781</v>
      </c>
      <c r="D1403" s="7">
        <v>1394</v>
      </c>
      <c r="E1403" s="7">
        <v>279</v>
      </c>
      <c r="F1403" s="7" t="s">
        <v>2135</v>
      </c>
      <c r="G1403" s="7">
        <v>998</v>
      </c>
      <c r="H1403" s="7" t="s">
        <v>2135</v>
      </c>
      <c r="I1403" s="70">
        <v>0</v>
      </c>
      <c r="J1403" s="131">
        <v>0</v>
      </c>
      <c r="K1403" s="123">
        <f t="shared" si="220"/>
        <v>0</v>
      </c>
      <c r="L1403" s="122">
        <f>IF(K1404&gt;0, K1403/K1404, 0)</f>
        <v>0</v>
      </c>
      <c r="M1403" s="71"/>
      <c r="N1403" s="10">
        <f>ROUND(M1404*L1403,0)</f>
        <v>0</v>
      </c>
      <c r="O1403" s="70">
        <v>0</v>
      </c>
      <c r="P1403" s="10">
        <f>N1403-O1403</f>
        <v>0</v>
      </c>
      <c r="Q1403" s="46">
        <f t="shared" si="219"/>
        <v>0</v>
      </c>
      <c r="R1403" s="10">
        <v>0</v>
      </c>
      <c r="S1403" s="7">
        <f t="shared" si="212"/>
        <v>0</v>
      </c>
      <c r="T1403" s="124">
        <f t="shared" si="213"/>
        <v>279</v>
      </c>
      <c r="U1403" s="124">
        <f t="shared" si="214"/>
        <v>998</v>
      </c>
      <c r="V1403" s="124">
        <f t="shared" si="215"/>
        <v>1394</v>
      </c>
      <c r="W1403" s="124">
        <f t="shared" si="216"/>
        <v>0</v>
      </c>
      <c r="X1403" s="124">
        <f t="shared" si="217"/>
        <v>0</v>
      </c>
      <c r="Y1403" s="264">
        <f t="shared" si="218"/>
        <v>1394</v>
      </c>
      <c r="Z1403" s="10">
        <v>279</v>
      </c>
      <c r="AA1403" s="7">
        <v>998</v>
      </c>
      <c r="AB1403" s="7">
        <v>1394</v>
      </c>
      <c r="AC1403" s="109">
        <v>0</v>
      </c>
      <c r="AD1403" s="109">
        <v>0</v>
      </c>
      <c r="AE1403" s="125"/>
      <c r="AF1403" s="10"/>
      <c r="AI1403" s="109"/>
      <c r="AJ1403" s="109"/>
      <c r="AL1403" s="10"/>
      <c r="AO1403" s="109"/>
      <c r="AP1403" s="109"/>
      <c r="AR1403" s="10"/>
      <c r="AU1403" s="109"/>
      <c r="AV1403" s="109"/>
      <c r="AX1403" s="10"/>
      <c r="BA1403" s="109"/>
      <c r="BB1403" s="109"/>
      <c r="BD1403" s="10"/>
      <c r="BG1403" s="109"/>
      <c r="BH1403" s="109"/>
      <c r="BJ1403" s="10"/>
      <c r="BM1403" s="109"/>
      <c r="BN1403" s="109"/>
      <c r="BP1403" s="10"/>
      <c r="BS1403" s="109"/>
      <c r="BT1403" s="109"/>
      <c r="BV1403" s="10"/>
      <c r="BY1403" s="109"/>
      <c r="BZ1403" s="109"/>
      <c r="CB1403" s="10"/>
      <c r="CE1403" s="109"/>
      <c r="CF1403" s="109"/>
      <c r="CH1403" s="10"/>
      <c r="CK1403" s="109"/>
      <c r="CL1403" s="109"/>
    </row>
    <row r="1404" spans="1:90">
      <c r="A1404" s="7" t="str">
        <f t="shared" si="211"/>
        <v>02790999</v>
      </c>
      <c r="B1404" s="7" t="s">
        <v>2618</v>
      </c>
      <c r="C1404" s="7" t="s">
        <v>2782</v>
      </c>
      <c r="D1404" s="7">
        <v>1395</v>
      </c>
      <c r="E1404" s="11">
        <v>279</v>
      </c>
      <c r="F1404" s="11" t="s">
        <v>1984</v>
      </c>
      <c r="G1404" s="11">
        <v>999</v>
      </c>
      <c r="H1404" s="11" t="s">
        <v>1132</v>
      </c>
      <c r="I1404" s="134">
        <v>13415994</v>
      </c>
      <c r="J1404" s="135">
        <v>1</v>
      </c>
      <c r="K1404" s="127">
        <f>SUM(K1400:K1403)</f>
        <v>13215136.49526022</v>
      </c>
      <c r="L1404" s="126">
        <f>SUM(L1400:L1403)</f>
        <v>1</v>
      </c>
      <c r="M1404" s="105">
        <f>VLOOKUP(E1404,town351,22)</f>
        <v>8591275</v>
      </c>
      <c r="N1404" s="105">
        <f>SUM(N1400:N1403)</f>
        <v>8591275</v>
      </c>
      <c r="O1404" s="128">
        <v>8462115</v>
      </c>
      <c r="P1404" s="105">
        <f>SUM(P1400:P1403)</f>
        <v>129160</v>
      </c>
      <c r="Q1404" s="45">
        <f t="shared" si="219"/>
        <v>1.526332364899319</v>
      </c>
      <c r="R1404" s="105">
        <v>1309</v>
      </c>
      <c r="S1404" s="7">
        <f t="shared" si="212"/>
        <v>0</v>
      </c>
      <c r="T1404" s="124">
        <f t="shared" si="213"/>
        <v>279</v>
      </c>
      <c r="U1404" s="124">
        <f t="shared" si="214"/>
        <v>999</v>
      </c>
      <c r="V1404" s="124">
        <f t="shared" si="215"/>
        <v>1395</v>
      </c>
      <c r="W1404" s="124">
        <f t="shared" si="216"/>
        <v>1253.61678322384</v>
      </c>
      <c r="X1404" s="124">
        <f t="shared" si="217"/>
        <v>13215136.49526022</v>
      </c>
      <c r="Y1404" s="264">
        <f t="shared" si="218"/>
        <v>1395</v>
      </c>
      <c r="Z1404" s="10">
        <v>279</v>
      </c>
      <c r="AA1404" s="7">
        <v>999</v>
      </c>
      <c r="AB1404" s="7">
        <v>1395</v>
      </c>
      <c r="AC1404" s="109">
        <v>1253.61678322384</v>
      </c>
      <c r="AD1404" s="109">
        <v>13215136.49526022</v>
      </c>
      <c r="AE1404" s="125"/>
      <c r="AF1404" s="10"/>
      <c r="AI1404" s="109"/>
      <c r="AJ1404" s="109"/>
      <c r="AL1404" s="10"/>
      <c r="AO1404" s="109"/>
      <c r="AP1404" s="109"/>
      <c r="AR1404" s="10"/>
      <c r="AU1404" s="109"/>
      <c r="AV1404" s="109"/>
      <c r="AX1404" s="10"/>
      <c r="BA1404" s="109"/>
      <c r="BB1404" s="109"/>
      <c r="BD1404" s="10"/>
      <c r="BG1404" s="109"/>
      <c r="BH1404" s="109"/>
      <c r="BJ1404" s="10"/>
      <c r="BM1404" s="109"/>
      <c r="BN1404" s="109"/>
      <c r="BP1404" s="10"/>
      <c r="BS1404" s="109"/>
      <c r="BT1404" s="109"/>
      <c r="BV1404" s="10"/>
      <c r="BY1404" s="109"/>
      <c r="BZ1404" s="109"/>
      <c r="CB1404" s="10"/>
      <c r="CE1404" s="109"/>
      <c r="CF1404" s="109"/>
      <c r="CH1404" s="10"/>
      <c r="CK1404" s="109"/>
      <c r="CL1404" s="109"/>
    </row>
    <row r="1405" spans="1:90">
      <c r="A1405" s="7" t="str">
        <f t="shared" si="211"/>
        <v>02800280</v>
      </c>
      <c r="B1405" s="7" t="s">
        <v>2619</v>
      </c>
      <c r="C1405" s="7" t="s">
        <v>2619</v>
      </c>
      <c r="D1405" s="7">
        <v>1396</v>
      </c>
      <c r="E1405" s="7">
        <v>280</v>
      </c>
      <c r="F1405" s="7" t="s">
        <v>1985</v>
      </c>
      <c r="G1405" s="7">
        <v>280</v>
      </c>
      <c r="H1405" s="7" t="s">
        <v>1546</v>
      </c>
      <c r="I1405" s="70">
        <v>65854.600000000006</v>
      </c>
      <c r="J1405" s="131">
        <v>3.7975414363850771E-3</v>
      </c>
      <c r="K1405" s="123">
        <f>X1405</f>
        <v>53667.33337435819</v>
      </c>
      <c r="L1405" s="122">
        <f>IF(K1409&gt;0, K1405/K1409, 0)</f>
        <v>3.1486984234616066E-3</v>
      </c>
      <c r="M1405" s="71"/>
      <c r="N1405" s="10">
        <f>ROUND(M1409*L1405,0)</f>
        <v>23403</v>
      </c>
      <c r="O1405" s="70">
        <v>27190</v>
      </c>
      <c r="P1405" s="10">
        <f>N1405-O1405</f>
        <v>-3787</v>
      </c>
      <c r="Q1405" s="46">
        <f t="shared" si="219"/>
        <v>-13.927914674512689</v>
      </c>
      <c r="R1405" s="10">
        <v>5</v>
      </c>
      <c r="S1405" s="7">
        <f t="shared" si="212"/>
        <v>0</v>
      </c>
      <c r="T1405" s="124">
        <f t="shared" si="213"/>
        <v>280</v>
      </c>
      <c r="U1405" s="124">
        <f t="shared" si="214"/>
        <v>280</v>
      </c>
      <c r="V1405" s="124">
        <f t="shared" si="215"/>
        <v>1396</v>
      </c>
      <c r="W1405" s="124">
        <f t="shared" si="216"/>
        <v>4</v>
      </c>
      <c r="X1405" s="124">
        <f t="shared" si="217"/>
        <v>53667.33337435819</v>
      </c>
      <c r="Y1405" s="264">
        <f t="shared" si="218"/>
        <v>1396</v>
      </c>
      <c r="Z1405" s="10">
        <v>280</v>
      </c>
      <c r="AA1405" s="7">
        <v>280</v>
      </c>
      <c r="AB1405" s="7">
        <v>1396</v>
      </c>
      <c r="AC1405" s="109">
        <v>4</v>
      </c>
      <c r="AD1405" s="109">
        <v>53667.33337435819</v>
      </c>
      <c r="AE1405" s="125"/>
      <c r="AF1405" s="10"/>
      <c r="AI1405" s="109"/>
      <c r="AJ1405" s="109"/>
      <c r="AL1405" s="10"/>
      <c r="AO1405" s="109"/>
      <c r="AP1405" s="109"/>
      <c r="AR1405" s="10"/>
      <c r="AU1405" s="109"/>
      <c r="AV1405" s="109"/>
      <c r="AX1405" s="10"/>
      <c r="BA1405" s="109"/>
      <c r="BB1405" s="109"/>
      <c r="BD1405" s="10"/>
      <c r="BG1405" s="109"/>
      <c r="BH1405" s="109"/>
      <c r="BJ1405" s="10"/>
      <c r="BM1405" s="109"/>
      <c r="BN1405" s="109"/>
      <c r="BP1405" s="10"/>
      <c r="BS1405" s="109"/>
      <c r="BT1405" s="109"/>
      <c r="BV1405" s="10"/>
      <c r="BY1405" s="109"/>
      <c r="BZ1405" s="109"/>
      <c r="CB1405" s="10"/>
      <c r="CE1405" s="109"/>
      <c r="CF1405" s="109"/>
      <c r="CH1405" s="10"/>
      <c r="CK1405" s="109"/>
      <c r="CL1405" s="109"/>
    </row>
    <row r="1406" spans="1:90">
      <c r="A1406" s="7" t="str">
        <f t="shared" si="211"/>
        <v>02800767</v>
      </c>
      <c r="B1406" s="7" t="s">
        <v>2619</v>
      </c>
      <c r="C1406" s="7" t="s">
        <v>2745</v>
      </c>
      <c r="D1406" s="7">
        <v>1397</v>
      </c>
      <c r="E1406" s="7">
        <v>280</v>
      </c>
      <c r="F1406" s="7" t="s">
        <v>1985</v>
      </c>
      <c r="G1406" s="7">
        <v>767</v>
      </c>
      <c r="H1406" s="7" t="s">
        <v>1672</v>
      </c>
      <c r="I1406" s="70">
        <v>14874387</v>
      </c>
      <c r="J1406" s="131">
        <v>0.85773964116899215</v>
      </c>
      <c r="K1406" s="123">
        <f t="shared" si="220"/>
        <v>14519862.720054589</v>
      </c>
      <c r="L1406" s="122">
        <f>IF(K1409&gt;0, K1406/K1409, 0)</f>
        <v>0.85189007876733536</v>
      </c>
      <c r="M1406" s="71"/>
      <c r="N1406" s="10">
        <f>ROUND(M1409*L1406,0)</f>
        <v>6331739</v>
      </c>
      <c r="O1406" s="70">
        <v>6141236</v>
      </c>
      <c r="P1406" s="10">
        <f>N1406-O1406</f>
        <v>190503</v>
      </c>
      <c r="Q1406" s="46">
        <f t="shared" si="219"/>
        <v>3.1020302753387101</v>
      </c>
      <c r="R1406" s="10">
        <v>1422</v>
      </c>
      <c r="S1406" s="7">
        <f t="shared" si="212"/>
        <v>0</v>
      </c>
      <c r="T1406" s="124">
        <f t="shared" si="213"/>
        <v>280</v>
      </c>
      <c r="U1406" s="124">
        <f t="shared" si="214"/>
        <v>767</v>
      </c>
      <c r="V1406" s="124">
        <f t="shared" si="215"/>
        <v>1397</v>
      </c>
      <c r="W1406" s="124">
        <f t="shared" si="216"/>
        <v>1294.9187848757601</v>
      </c>
      <c r="X1406" s="124">
        <f t="shared" si="217"/>
        <v>14519862.720054589</v>
      </c>
      <c r="Y1406" s="264">
        <f t="shared" si="218"/>
        <v>1397</v>
      </c>
      <c r="Z1406" s="10">
        <v>280</v>
      </c>
      <c r="AA1406" s="7">
        <v>767</v>
      </c>
      <c r="AB1406" s="7">
        <v>1397</v>
      </c>
      <c r="AC1406" s="109">
        <v>1294.9187848757601</v>
      </c>
      <c r="AD1406" s="109">
        <v>14519862.720054589</v>
      </c>
      <c r="AE1406" s="125"/>
      <c r="AF1406" s="10"/>
      <c r="AI1406" s="109"/>
      <c r="AJ1406" s="109"/>
      <c r="AL1406" s="10"/>
      <c r="AO1406" s="109"/>
      <c r="AP1406" s="109"/>
      <c r="AR1406" s="10"/>
      <c r="AU1406" s="109"/>
      <c r="AV1406" s="109"/>
      <c r="AX1406" s="10"/>
      <c r="BA1406" s="109"/>
      <c r="BB1406" s="109"/>
      <c r="BD1406" s="10"/>
      <c r="BG1406" s="109"/>
      <c r="BH1406" s="109"/>
      <c r="BJ1406" s="10"/>
      <c r="BM1406" s="109"/>
      <c r="BN1406" s="109"/>
      <c r="BP1406" s="10"/>
      <c r="BS1406" s="109"/>
      <c r="BT1406" s="109"/>
      <c r="BV1406" s="10"/>
      <c r="BY1406" s="109"/>
      <c r="BZ1406" s="109"/>
      <c r="CB1406" s="10"/>
      <c r="CE1406" s="109"/>
      <c r="CF1406" s="109"/>
      <c r="CH1406" s="10"/>
      <c r="CK1406" s="109"/>
      <c r="CL1406" s="109"/>
    </row>
    <row r="1407" spans="1:90">
      <c r="A1407" s="7" t="str">
        <f t="shared" si="211"/>
        <v>02800876</v>
      </c>
      <c r="B1407" s="7" t="s">
        <v>2619</v>
      </c>
      <c r="C1407" s="7" t="s">
        <v>2774</v>
      </c>
      <c r="D1407" s="7">
        <v>1398</v>
      </c>
      <c r="E1407" s="7">
        <v>280</v>
      </c>
      <c r="F1407" s="7" t="s">
        <v>1985</v>
      </c>
      <c r="G1407" s="7">
        <v>876</v>
      </c>
      <c r="H1407" s="7" t="s">
        <v>1701</v>
      </c>
      <c r="I1407" s="70">
        <v>2401136</v>
      </c>
      <c r="J1407" s="131">
        <v>0.13846281739462266</v>
      </c>
      <c r="K1407" s="123">
        <f t="shared" si="220"/>
        <v>2470761.3193083471</v>
      </c>
      <c r="L1407" s="122">
        <f>IF(K1409&gt;0, K1407/K1409, 0)</f>
        <v>0.14496122280920296</v>
      </c>
      <c r="M1407" s="71"/>
      <c r="N1407" s="10">
        <f>ROUND(M1409*L1407,0)</f>
        <v>1077436</v>
      </c>
      <c r="O1407" s="70">
        <v>991365</v>
      </c>
      <c r="P1407" s="10">
        <f>N1407-O1407</f>
        <v>86071</v>
      </c>
      <c r="Q1407" s="46">
        <f t="shared" si="219"/>
        <v>8.682069671614391</v>
      </c>
      <c r="R1407" s="10">
        <v>154</v>
      </c>
      <c r="S1407" s="7">
        <f t="shared" si="212"/>
        <v>0</v>
      </c>
      <c r="T1407" s="124">
        <f t="shared" si="213"/>
        <v>280</v>
      </c>
      <c r="U1407" s="124">
        <f t="shared" si="214"/>
        <v>876</v>
      </c>
      <c r="V1407" s="124">
        <f t="shared" si="215"/>
        <v>1398</v>
      </c>
      <c r="W1407" s="124">
        <f t="shared" si="216"/>
        <v>155.99999999460002</v>
      </c>
      <c r="X1407" s="124">
        <f t="shared" si="217"/>
        <v>2470761.3193083471</v>
      </c>
      <c r="Y1407" s="264">
        <f t="shared" si="218"/>
        <v>1398</v>
      </c>
      <c r="Z1407" s="10">
        <v>280</v>
      </c>
      <c r="AA1407" s="7">
        <v>876</v>
      </c>
      <c r="AB1407" s="7">
        <v>1398</v>
      </c>
      <c r="AC1407" s="109">
        <v>155.99999999460002</v>
      </c>
      <c r="AD1407" s="109">
        <v>2470761.3193083471</v>
      </c>
      <c r="AE1407" s="125"/>
      <c r="AF1407" s="10"/>
      <c r="AI1407" s="109"/>
      <c r="AJ1407" s="109"/>
      <c r="AL1407" s="10"/>
      <c r="AO1407" s="109"/>
      <c r="AP1407" s="109"/>
      <c r="AR1407" s="10"/>
      <c r="AU1407" s="109"/>
      <c r="AV1407" s="109"/>
      <c r="AX1407" s="10"/>
      <c r="BA1407" s="109"/>
      <c r="BB1407" s="109"/>
      <c r="BD1407" s="10"/>
      <c r="BG1407" s="109"/>
      <c r="BH1407" s="109"/>
      <c r="BJ1407" s="10"/>
      <c r="BM1407" s="109"/>
      <c r="BN1407" s="109"/>
      <c r="BP1407" s="10"/>
      <c r="BS1407" s="109"/>
      <c r="BT1407" s="109"/>
      <c r="BV1407" s="10"/>
      <c r="BY1407" s="109"/>
      <c r="BZ1407" s="109"/>
      <c r="CB1407" s="10"/>
      <c r="CE1407" s="109"/>
      <c r="CF1407" s="109"/>
      <c r="CH1407" s="10"/>
      <c r="CK1407" s="109"/>
      <c r="CL1407" s="109"/>
    </row>
    <row r="1408" spans="1:90">
      <c r="A1408" s="7" t="str">
        <f t="shared" si="211"/>
        <v>02800998</v>
      </c>
      <c r="B1408" s="7" t="s">
        <v>2619</v>
      </c>
      <c r="C1408" s="7" t="s">
        <v>2781</v>
      </c>
      <c r="D1408" s="7">
        <v>1399</v>
      </c>
      <c r="E1408" s="7">
        <v>280</v>
      </c>
      <c r="F1408" s="7" t="s">
        <v>2135</v>
      </c>
      <c r="G1408" s="7">
        <v>998</v>
      </c>
      <c r="H1408" s="7" t="s">
        <v>2135</v>
      </c>
      <c r="I1408" s="70">
        <v>0</v>
      </c>
      <c r="J1408" s="131">
        <v>0</v>
      </c>
      <c r="K1408" s="123">
        <f t="shared" si="220"/>
        <v>0</v>
      </c>
      <c r="L1408" s="122">
        <f>IF(K1409&gt;0, K1408/K1409, 0)</f>
        <v>0</v>
      </c>
      <c r="M1408" s="71"/>
      <c r="N1408" s="10">
        <f>ROUND(M1409*L1408,0)</f>
        <v>0</v>
      </c>
      <c r="O1408" s="70">
        <v>0</v>
      </c>
      <c r="P1408" s="10">
        <f>N1408-O1408</f>
        <v>0</v>
      </c>
      <c r="Q1408" s="46">
        <f t="shared" si="219"/>
        <v>0</v>
      </c>
      <c r="R1408" s="10">
        <v>0</v>
      </c>
      <c r="S1408" s="7">
        <f t="shared" si="212"/>
        <v>0</v>
      </c>
      <c r="T1408" s="124">
        <f t="shared" si="213"/>
        <v>280</v>
      </c>
      <c r="U1408" s="124">
        <f t="shared" si="214"/>
        <v>998</v>
      </c>
      <c r="V1408" s="124">
        <f t="shared" si="215"/>
        <v>1399</v>
      </c>
      <c r="W1408" s="124">
        <f t="shared" si="216"/>
        <v>0</v>
      </c>
      <c r="X1408" s="124">
        <f t="shared" si="217"/>
        <v>0</v>
      </c>
      <c r="Y1408" s="264">
        <f t="shared" si="218"/>
        <v>1399</v>
      </c>
      <c r="Z1408" s="10">
        <v>280</v>
      </c>
      <c r="AA1408" s="7">
        <v>998</v>
      </c>
      <c r="AB1408" s="7">
        <v>1399</v>
      </c>
      <c r="AC1408" s="109">
        <v>0</v>
      </c>
      <c r="AD1408" s="109">
        <v>0</v>
      </c>
      <c r="AE1408" s="125"/>
      <c r="AF1408" s="10"/>
      <c r="AI1408" s="109"/>
      <c r="AJ1408" s="109"/>
      <c r="AL1408" s="10"/>
      <c r="AO1408" s="109"/>
      <c r="AP1408" s="109"/>
      <c r="AR1408" s="10"/>
      <c r="AU1408" s="109"/>
      <c r="AV1408" s="109"/>
      <c r="AX1408" s="10"/>
      <c r="BA1408" s="109"/>
      <c r="BB1408" s="109"/>
      <c r="BD1408" s="10"/>
      <c r="BG1408" s="109"/>
      <c r="BH1408" s="109"/>
      <c r="BJ1408" s="10"/>
      <c r="BM1408" s="109"/>
      <c r="BN1408" s="109"/>
      <c r="BP1408" s="10"/>
      <c r="BS1408" s="109"/>
      <c r="BT1408" s="109"/>
      <c r="BV1408" s="10"/>
      <c r="BY1408" s="109"/>
      <c r="BZ1408" s="109"/>
      <c r="CB1408" s="10"/>
      <c r="CE1408" s="109"/>
      <c r="CF1408" s="109"/>
      <c r="CH1408" s="10"/>
      <c r="CK1408" s="109"/>
      <c r="CL1408" s="109"/>
    </row>
    <row r="1409" spans="1:90">
      <c r="A1409" s="7" t="str">
        <f t="shared" si="211"/>
        <v>02800999</v>
      </c>
      <c r="B1409" s="7" t="s">
        <v>2619</v>
      </c>
      <c r="C1409" s="7" t="s">
        <v>2782</v>
      </c>
      <c r="D1409" s="7">
        <v>1400</v>
      </c>
      <c r="E1409" s="11">
        <v>280</v>
      </c>
      <c r="F1409" s="11" t="s">
        <v>1985</v>
      </c>
      <c r="G1409" s="11">
        <v>999</v>
      </c>
      <c r="H1409" s="11" t="s">
        <v>1132</v>
      </c>
      <c r="I1409" s="134">
        <v>17341377.600000001</v>
      </c>
      <c r="J1409" s="135">
        <v>0.99999999999999989</v>
      </c>
      <c r="K1409" s="127">
        <f>SUM(K1405:K1408)</f>
        <v>17044291.372737296</v>
      </c>
      <c r="L1409" s="126">
        <f>SUM(L1405:L1408)</f>
        <v>1</v>
      </c>
      <c r="M1409" s="105">
        <f>VLOOKUP(E1409,town351,22)</f>
        <v>7432578</v>
      </c>
      <c r="N1409" s="105">
        <f>SUM(N1405:N1408)</f>
        <v>7432578</v>
      </c>
      <c r="O1409" s="128">
        <v>7159791</v>
      </c>
      <c r="P1409" s="105">
        <f>SUM(P1405:P1408)</f>
        <v>272787</v>
      </c>
      <c r="Q1409" s="45">
        <f t="shared" si="219"/>
        <v>3.8099855149403106</v>
      </c>
      <c r="R1409" s="105">
        <v>1581</v>
      </c>
      <c r="S1409" s="7">
        <f t="shared" si="212"/>
        <v>0</v>
      </c>
      <c r="T1409" s="124">
        <f t="shared" si="213"/>
        <v>280</v>
      </c>
      <c r="U1409" s="124">
        <f t="shared" si="214"/>
        <v>999</v>
      </c>
      <c r="V1409" s="124">
        <f t="shared" si="215"/>
        <v>1400</v>
      </c>
      <c r="W1409" s="124">
        <f t="shared" si="216"/>
        <v>1454.9187848703602</v>
      </c>
      <c r="X1409" s="124">
        <f t="shared" si="217"/>
        <v>17044291.372737296</v>
      </c>
      <c r="Y1409" s="264">
        <f t="shared" si="218"/>
        <v>1400</v>
      </c>
      <c r="Z1409" s="10">
        <v>280</v>
      </c>
      <c r="AA1409" s="7">
        <v>999</v>
      </c>
      <c r="AB1409" s="7">
        <v>1400</v>
      </c>
      <c r="AC1409" s="109">
        <v>1454.9187848703602</v>
      </c>
      <c r="AD1409" s="109">
        <v>17044291.372737296</v>
      </c>
      <c r="AE1409" s="125"/>
      <c r="AF1409" s="10"/>
      <c r="AI1409" s="109"/>
      <c r="AJ1409" s="109"/>
      <c r="AL1409" s="10"/>
      <c r="AO1409" s="109"/>
      <c r="AP1409" s="109"/>
      <c r="AR1409" s="10"/>
      <c r="AU1409" s="109"/>
      <c r="AV1409" s="109"/>
      <c r="AX1409" s="10"/>
      <c r="BA1409" s="109"/>
      <c r="BB1409" s="109"/>
      <c r="BD1409" s="10"/>
      <c r="BG1409" s="109"/>
      <c r="BH1409" s="109"/>
      <c r="BJ1409" s="10"/>
      <c r="BM1409" s="109"/>
      <c r="BN1409" s="109"/>
      <c r="BP1409" s="10"/>
      <c r="BS1409" s="109"/>
      <c r="BT1409" s="109"/>
      <c r="BV1409" s="10"/>
      <c r="BY1409" s="109"/>
      <c r="BZ1409" s="109"/>
      <c r="CB1409" s="10"/>
      <c r="CE1409" s="109"/>
      <c r="CF1409" s="109"/>
      <c r="CH1409" s="10"/>
      <c r="CK1409" s="109"/>
      <c r="CL1409" s="109"/>
    </row>
    <row r="1410" spans="1:90">
      <c r="A1410" s="7" t="str">
        <f t="shared" si="211"/>
        <v>02810281</v>
      </c>
      <c r="B1410" s="7" t="s">
        <v>2620</v>
      </c>
      <c r="C1410" s="7" t="s">
        <v>2620</v>
      </c>
      <c r="D1410" s="7">
        <v>1401</v>
      </c>
      <c r="E1410" s="7">
        <v>281</v>
      </c>
      <c r="F1410" s="7" t="s">
        <v>1986</v>
      </c>
      <c r="G1410" s="7">
        <v>281</v>
      </c>
      <c r="H1410" s="7" t="s">
        <v>1547</v>
      </c>
      <c r="I1410" s="70">
        <v>356553651.79000002</v>
      </c>
      <c r="J1410" s="131">
        <v>1</v>
      </c>
      <c r="K1410" s="123">
        <f>X1410</f>
        <v>370375982.61382222</v>
      </c>
      <c r="L1410" s="122">
        <f>IF(K1414&gt;0, K1410/K1414, 0)</f>
        <v>1</v>
      </c>
      <c r="M1410" s="71"/>
      <c r="N1410" s="10">
        <f>ROUND(M1414*L1410,0)</f>
        <v>37357582</v>
      </c>
      <c r="O1410" s="70">
        <v>36682622</v>
      </c>
      <c r="P1410" s="10">
        <f>N1410-O1410</f>
        <v>674960</v>
      </c>
      <c r="Q1410" s="46">
        <f t="shared" si="219"/>
        <v>1.8399993326540289</v>
      </c>
      <c r="R1410" s="10">
        <v>29109</v>
      </c>
      <c r="S1410" s="7">
        <f t="shared" si="212"/>
        <v>0</v>
      </c>
      <c r="T1410" s="124">
        <f t="shared" si="213"/>
        <v>281</v>
      </c>
      <c r="U1410" s="124">
        <f t="shared" si="214"/>
        <v>281</v>
      </c>
      <c r="V1410" s="124">
        <f t="shared" si="215"/>
        <v>1401</v>
      </c>
      <c r="W1410" s="124">
        <f t="shared" si="216"/>
        <v>29533</v>
      </c>
      <c r="X1410" s="124">
        <f t="shared" si="217"/>
        <v>370375982.61382222</v>
      </c>
      <c r="Y1410" s="264">
        <f t="shared" si="218"/>
        <v>1401</v>
      </c>
      <c r="Z1410" s="10">
        <v>281</v>
      </c>
      <c r="AA1410" s="7">
        <v>281</v>
      </c>
      <c r="AB1410" s="7">
        <v>1401</v>
      </c>
      <c r="AC1410" s="109">
        <v>29533</v>
      </c>
      <c r="AD1410" s="109">
        <v>370375982.61382222</v>
      </c>
      <c r="AE1410" s="125"/>
      <c r="AF1410" s="10"/>
      <c r="AI1410" s="109"/>
      <c r="AJ1410" s="109"/>
      <c r="AL1410" s="10"/>
      <c r="AO1410" s="109"/>
      <c r="AP1410" s="109"/>
      <c r="AR1410" s="10"/>
      <c r="AU1410" s="109"/>
      <c r="AV1410" s="109"/>
      <c r="AX1410" s="10"/>
      <c r="BA1410" s="109"/>
      <c r="BB1410" s="109"/>
      <c r="BD1410" s="10"/>
      <c r="BG1410" s="109"/>
      <c r="BH1410" s="109"/>
      <c r="BJ1410" s="10"/>
      <c r="BM1410" s="109"/>
      <c r="BN1410" s="109"/>
      <c r="BP1410" s="10"/>
      <c r="BS1410" s="109"/>
      <c r="BT1410" s="109"/>
      <c r="BV1410" s="10"/>
      <c r="BY1410" s="109"/>
      <c r="BZ1410" s="109"/>
      <c r="CB1410" s="10"/>
      <c r="CE1410" s="109"/>
      <c r="CF1410" s="109"/>
      <c r="CH1410" s="10"/>
      <c r="CK1410" s="109"/>
      <c r="CL1410" s="109"/>
    </row>
    <row r="1411" spans="1:90">
      <c r="A1411" s="7" t="str">
        <f t="shared" si="211"/>
        <v>02810998</v>
      </c>
      <c r="B1411" s="7" t="s">
        <v>2620</v>
      </c>
      <c r="C1411" s="7" t="s">
        <v>2781</v>
      </c>
      <c r="D1411" s="7">
        <v>1402</v>
      </c>
      <c r="E1411" s="7">
        <v>281</v>
      </c>
      <c r="F1411" s="7" t="s">
        <v>2135</v>
      </c>
      <c r="G1411" s="7">
        <v>998</v>
      </c>
      <c r="H1411" s="7" t="s">
        <v>2135</v>
      </c>
      <c r="I1411" s="70">
        <v>0</v>
      </c>
      <c r="J1411" s="131">
        <v>0</v>
      </c>
      <c r="K1411" s="123">
        <f t="shared" si="220"/>
        <v>0</v>
      </c>
      <c r="L1411" s="122">
        <f>IF(K1414&gt;0, K1411/K1414, 0)</f>
        <v>0</v>
      </c>
      <c r="M1411" s="71"/>
      <c r="N1411" s="10">
        <f>ROUND(M1414*L1411,0)</f>
        <v>0</v>
      </c>
      <c r="O1411" s="70">
        <v>0</v>
      </c>
      <c r="P1411" s="10">
        <f>N1411-O1411</f>
        <v>0</v>
      </c>
      <c r="Q1411" s="46">
        <f t="shared" si="219"/>
        <v>0</v>
      </c>
      <c r="R1411" s="10">
        <v>0</v>
      </c>
      <c r="S1411" s="7">
        <f t="shared" si="212"/>
        <v>0</v>
      </c>
      <c r="T1411" s="124">
        <f t="shared" si="213"/>
        <v>281</v>
      </c>
      <c r="U1411" s="124">
        <f t="shared" si="214"/>
        <v>998</v>
      </c>
      <c r="V1411" s="124">
        <f t="shared" si="215"/>
        <v>1402</v>
      </c>
      <c r="W1411" s="124">
        <f t="shared" si="216"/>
        <v>0</v>
      </c>
      <c r="X1411" s="124">
        <f t="shared" si="217"/>
        <v>0</v>
      </c>
      <c r="Y1411" s="264">
        <f t="shared" si="218"/>
        <v>1402</v>
      </c>
      <c r="Z1411" s="10">
        <v>281</v>
      </c>
      <c r="AA1411" s="7">
        <v>998</v>
      </c>
      <c r="AB1411" s="7">
        <v>1402</v>
      </c>
      <c r="AC1411" s="109">
        <v>0</v>
      </c>
      <c r="AD1411" s="109">
        <v>0</v>
      </c>
      <c r="AE1411" s="125"/>
      <c r="AF1411" s="10"/>
      <c r="AI1411" s="109"/>
      <c r="AJ1411" s="109"/>
      <c r="AL1411" s="10"/>
      <c r="AO1411" s="109"/>
      <c r="AP1411" s="109"/>
      <c r="AR1411" s="10"/>
      <c r="AU1411" s="109"/>
      <c r="AV1411" s="109"/>
      <c r="AX1411" s="10"/>
      <c r="BA1411" s="109"/>
      <c r="BB1411" s="109"/>
      <c r="BD1411" s="10"/>
      <c r="BG1411" s="109"/>
      <c r="BH1411" s="109"/>
      <c r="BJ1411" s="10"/>
      <c r="BM1411" s="109"/>
      <c r="BN1411" s="109"/>
      <c r="BP1411" s="10"/>
      <c r="BS1411" s="109"/>
      <c r="BT1411" s="109"/>
      <c r="BV1411" s="10"/>
      <c r="BY1411" s="109"/>
      <c r="BZ1411" s="109"/>
      <c r="CB1411" s="10"/>
      <c r="CE1411" s="109"/>
      <c r="CF1411" s="109"/>
      <c r="CH1411" s="10"/>
      <c r="CK1411" s="109"/>
      <c r="CL1411" s="109"/>
    </row>
    <row r="1412" spans="1:90">
      <c r="A1412" s="7" t="str">
        <f t="shared" si="211"/>
        <v>02810998</v>
      </c>
      <c r="B1412" s="7" t="s">
        <v>2620</v>
      </c>
      <c r="C1412" s="7" t="s">
        <v>2781</v>
      </c>
      <c r="D1412" s="7">
        <v>1403</v>
      </c>
      <c r="E1412" s="7">
        <v>281</v>
      </c>
      <c r="F1412" s="7" t="s">
        <v>2135</v>
      </c>
      <c r="G1412" s="7">
        <v>998</v>
      </c>
      <c r="H1412" s="7" t="s">
        <v>2135</v>
      </c>
      <c r="I1412" s="70">
        <v>0</v>
      </c>
      <c r="J1412" s="131">
        <v>0</v>
      </c>
      <c r="K1412" s="123">
        <f t="shared" si="220"/>
        <v>0</v>
      </c>
      <c r="L1412" s="122">
        <f>IF(K1414&gt;0, K1412/K1414, 0)</f>
        <v>0</v>
      </c>
      <c r="M1412" s="71"/>
      <c r="N1412" s="10">
        <f>ROUND(M1414*L1412,0)</f>
        <v>0</v>
      </c>
      <c r="O1412" s="70">
        <v>0</v>
      </c>
      <c r="P1412" s="10">
        <f>N1412-O1412</f>
        <v>0</v>
      </c>
      <c r="Q1412" s="46">
        <f t="shared" si="219"/>
        <v>0</v>
      </c>
      <c r="R1412" s="10">
        <v>0</v>
      </c>
      <c r="S1412" s="7">
        <f t="shared" si="212"/>
        <v>0</v>
      </c>
      <c r="T1412" s="124">
        <f t="shared" si="213"/>
        <v>281</v>
      </c>
      <c r="U1412" s="124">
        <f t="shared" si="214"/>
        <v>998</v>
      </c>
      <c r="V1412" s="124">
        <f t="shared" si="215"/>
        <v>1403</v>
      </c>
      <c r="W1412" s="124">
        <f t="shared" si="216"/>
        <v>0</v>
      </c>
      <c r="X1412" s="124">
        <f t="shared" si="217"/>
        <v>0</v>
      </c>
      <c r="Y1412" s="264">
        <f t="shared" si="218"/>
        <v>1403</v>
      </c>
      <c r="Z1412" s="10">
        <v>281</v>
      </c>
      <c r="AA1412" s="7">
        <v>998</v>
      </c>
      <c r="AB1412" s="7">
        <v>1403</v>
      </c>
      <c r="AC1412" s="109">
        <v>0</v>
      </c>
      <c r="AD1412" s="109">
        <v>0</v>
      </c>
      <c r="AE1412" s="125"/>
      <c r="AF1412" s="10"/>
      <c r="AI1412" s="109"/>
      <c r="AJ1412" s="109"/>
      <c r="AL1412" s="10"/>
      <c r="AO1412" s="109"/>
      <c r="AP1412" s="109"/>
      <c r="AR1412" s="10"/>
      <c r="AU1412" s="109"/>
      <c r="AV1412" s="109"/>
      <c r="AX1412" s="10"/>
      <c r="BA1412" s="109"/>
      <c r="BB1412" s="109"/>
      <c r="BD1412" s="10"/>
      <c r="BG1412" s="109"/>
      <c r="BH1412" s="109"/>
      <c r="BJ1412" s="10"/>
      <c r="BM1412" s="109"/>
      <c r="BN1412" s="109"/>
      <c r="BP1412" s="10"/>
      <c r="BS1412" s="109"/>
      <c r="BT1412" s="109"/>
      <c r="BV1412" s="10"/>
      <c r="BY1412" s="109"/>
      <c r="BZ1412" s="109"/>
      <c r="CB1412" s="10"/>
      <c r="CE1412" s="109"/>
      <c r="CF1412" s="109"/>
      <c r="CH1412" s="10"/>
      <c r="CK1412" s="109"/>
      <c r="CL1412" s="109"/>
    </row>
    <row r="1413" spans="1:90">
      <c r="A1413" s="7" t="str">
        <f t="shared" si="211"/>
        <v>02810998</v>
      </c>
      <c r="B1413" s="7" t="s">
        <v>2620</v>
      </c>
      <c r="C1413" s="7" t="s">
        <v>2781</v>
      </c>
      <c r="D1413" s="7">
        <v>1404</v>
      </c>
      <c r="E1413" s="7">
        <v>281</v>
      </c>
      <c r="F1413" s="7" t="s">
        <v>2135</v>
      </c>
      <c r="G1413" s="7">
        <v>998</v>
      </c>
      <c r="H1413" s="7" t="s">
        <v>2135</v>
      </c>
      <c r="I1413" s="70">
        <v>0</v>
      </c>
      <c r="J1413" s="131">
        <v>0</v>
      </c>
      <c r="K1413" s="123">
        <f t="shared" si="220"/>
        <v>0</v>
      </c>
      <c r="L1413" s="122">
        <f>IF(K1414&gt;0, K1413/K1414, 0)</f>
        <v>0</v>
      </c>
      <c r="M1413" s="71"/>
      <c r="N1413" s="10">
        <f>ROUND(M1414*L1413,0)</f>
        <v>0</v>
      </c>
      <c r="O1413" s="70">
        <v>0</v>
      </c>
      <c r="P1413" s="10">
        <f>N1413-O1413</f>
        <v>0</v>
      </c>
      <c r="Q1413" s="46">
        <f t="shared" si="219"/>
        <v>0</v>
      </c>
      <c r="R1413" s="10">
        <v>0</v>
      </c>
      <c r="S1413" s="7">
        <f t="shared" si="212"/>
        <v>0</v>
      </c>
      <c r="T1413" s="124">
        <f t="shared" si="213"/>
        <v>281</v>
      </c>
      <c r="U1413" s="124">
        <f t="shared" si="214"/>
        <v>998</v>
      </c>
      <c r="V1413" s="124">
        <f t="shared" si="215"/>
        <v>1404</v>
      </c>
      <c r="W1413" s="124">
        <f t="shared" si="216"/>
        <v>0</v>
      </c>
      <c r="X1413" s="124">
        <f t="shared" si="217"/>
        <v>0</v>
      </c>
      <c r="Y1413" s="264">
        <f t="shared" si="218"/>
        <v>1404</v>
      </c>
      <c r="Z1413" s="10">
        <v>281</v>
      </c>
      <c r="AA1413" s="7">
        <v>998</v>
      </c>
      <c r="AB1413" s="7">
        <v>1404</v>
      </c>
      <c r="AC1413" s="109">
        <v>0</v>
      </c>
      <c r="AD1413" s="109">
        <v>0</v>
      </c>
      <c r="AE1413" s="125"/>
      <c r="AF1413" s="10"/>
      <c r="AI1413" s="109"/>
      <c r="AJ1413" s="109"/>
      <c r="AL1413" s="10"/>
      <c r="AO1413" s="109"/>
      <c r="AP1413" s="109"/>
      <c r="AR1413" s="10"/>
      <c r="AU1413" s="109"/>
      <c r="AV1413" s="109"/>
      <c r="AX1413" s="10"/>
      <c r="BA1413" s="109"/>
      <c r="BB1413" s="109"/>
      <c r="BD1413" s="10"/>
      <c r="BG1413" s="109"/>
      <c r="BH1413" s="109"/>
      <c r="BJ1413" s="10"/>
      <c r="BM1413" s="109"/>
      <c r="BN1413" s="109"/>
      <c r="BP1413" s="10"/>
      <c r="BS1413" s="109"/>
      <c r="BT1413" s="109"/>
      <c r="BV1413" s="10"/>
      <c r="BY1413" s="109"/>
      <c r="BZ1413" s="109"/>
      <c r="CB1413" s="10"/>
      <c r="CE1413" s="109"/>
      <c r="CF1413" s="109"/>
      <c r="CH1413" s="10"/>
      <c r="CK1413" s="109"/>
      <c r="CL1413" s="109"/>
    </row>
    <row r="1414" spans="1:90">
      <c r="A1414" s="7" t="str">
        <f t="shared" si="211"/>
        <v>02810999</v>
      </c>
      <c r="B1414" s="7" t="s">
        <v>2620</v>
      </c>
      <c r="C1414" s="7" t="s">
        <v>2782</v>
      </c>
      <c r="D1414" s="7">
        <v>1405</v>
      </c>
      <c r="E1414" s="11">
        <v>281</v>
      </c>
      <c r="F1414" s="11" t="s">
        <v>1986</v>
      </c>
      <c r="G1414" s="11">
        <v>999</v>
      </c>
      <c r="H1414" s="11" t="s">
        <v>1132</v>
      </c>
      <c r="I1414" s="134">
        <v>356553651.79000002</v>
      </c>
      <c r="J1414" s="135">
        <v>1</v>
      </c>
      <c r="K1414" s="127">
        <f>SUM(K1410:K1413)</f>
        <v>370375982.61382222</v>
      </c>
      <c r="L1414" s="126">
        <f>SUM(L1410:L1413)</f>
        <v>1</v>
      </c>
      <c r="M1414" s="105">
        <f>VLOOKUP(E1414,town351,22)</f>
        <v>37357582</v>
      </c>
      <c r="N1414" s="105">
        <f>SUM(N1410:N1413)</f>
        <v>37357582</v>
      </c>
      <c r="O1414" s="128">
        <v>36682622</v>
      </c>
      <c r="P1414" s="105">
        <f>SUM(P1410:P1413)</f>
        <v>674960</v>
      </c>
      <c r="Q1414" s="45">
        <f t="shared" si="219"/>
        <v>1.8399993326540289</v>
      </c>
      <c r="R1414" s="105">
        <v>29109</v>
      </c>
      <c r="S1414" s="7">
        <f t="shared" si="212"/>
        <v>0</v>
      </c>
      <c r="T1414" s="124">
        <f t="shared" si="213"/>
        <v>281</v>
      </c>
      <c r="U1414" s="124">
        <f t="shared" si="214"/>
        <v>999</v>
      </c>
      <c r="V1414" s="124">
        <f t="shared" si="215"/>
        <v>1405</v>
      </c>
      <c r="W1414" s="124">
        <f t="shared" si="216"/>
        <v>29533</v>
      </c>
      <c r="X1414" s="124">
        <f t="shared" si="217"/>
        <v>370375982.61382222</v>
      </c>
      <c r="Y1414" s="264">
        <f t="shared" si="218"/>
        <v>1405</v>
      </c>
      <c r="Z1414" s="10">
        <v>281</v>
      </c>
      <c r="AA1414" s="7">
        <v>999</v>
      </c>
      <c r="AB1414" s="7">
        <v>1405</v>
      </c>
      <c r="AC1414" s="109">
        <v>29533</v>
      </c>
      <c r="AD1414" s="109">
        <v>370375982.61382222</v>
      </c>
      <c r="AE1414" s="125"/>
      <c r="AF1414" s="10"/>
      <c r="AI1414" s="109"/>
      <c r="AJ1414" s="109"/>
      <c r="AL1414" s="10"/>
      <c r="AO1414" s="109"/>
      <c r="AP1414" s="109"/>
      <c r="AR1414" s="10"/>
      <c r="AU1414" s="109"/>
      <c r="AV1414" s="109"/>
      <c r="AX1414" s="10"/>
      <c r="BA1414" s="109"/>
      <c r="BB1414" s="109"/>
      <c r="BD1414" s="10"/>
      <c r="BG1414" s="109"/>
      <c r="BH1414" s="109"/>
      <c r="BJ1414" s="10"/>
      <c r="BM1414" s="109"/>
      <c r="BN1414" s="109"/>
      <c r="BP1414" s="10"/>
      <c r="BS1414" s="109"/>
      <c r="BT1414" s="109"/>
      <c r="BV1414" s="10"/>
      <c r="BY1414" s="109"/>
      <c r="BZ1414" s="109"/>
      <c r="CB1414" s="10"/>
      <c r="CE1414" s="109"/>
      <c r="CF1414" s="109"/>
      <c r="CH1414" s="10"/>
      <c r="CK1414" s="109"/>
      <c r="CL1414" s="109"/>
    </row>
    <row r="1415" spans="1:90">
      <c r="A1415" s="7" t="str">
        <f t="shared" si="211"/>
        <v>02820282</v>
      </c>
      <c r="B1415" s="7" t="s">
        <v>2621</v>
      </c>
      <c r="C1415" s="7" t="s">
        <v>2621</v>
      </c>
      <c r="D1415" s="7">
        <v>1406</v>
      </c>
      <c r="E1415" s="7">
        <v>282</v>
      </c>
      <c r="F1415" s="7" t="s">
        <v>1987</v>
      </c>
      <c r="G1415" s="7">
        <v>282</v>
      </c>
      <c r="H1415" s="7" t="s">
        <v>1548</v>
      </c>
      <c r="I1415" s="70">
        <v>0</v>
      </c>
      <c r="J1415" s="131">
        <v>0</v>
      </c>
      <c r="K1415" s="123">
        <f>X1415</f>
        <v>0</v>
      </c>
      <c r="L1415" s="122">
        <f>IF(K1419&gt;0, K1415/K1419, 0)</f>
        <v>0</v>
      </c>
      <c r="M1415" s="71"/>
      <c r="N1415" s="10">
        <f>ROUND(M1419*L1415,0)</f>
        <v>0</v>
      </c>
      <c r="O1415" s="70">
        <v>0</v>
      </c>
      <c r="P1415" s="10">
        <f>N1415-O1415</f>
        <v>0</v>
      </c>
      <c r="Q1415" s="46">
        <f t="shared" si="219"/>
        <v>0</v>
      </c>
      <c r="R1415" s="10">
        <v>0</v>
      </c>
      <c r="S1415" s="7">
        <f t="shared" si="212"/>
        <v>0</v>
      </c>
      <c r="T1415" s="124">
        <f t="shared" si="213"/>
        <v>282</v>
      </c>
      <c r="U1415" s="124">
        <f t="shared" si="214"/>
        <v>282</v>
      </c>
      <c r="V1415" s="124">
        <f t="shared" si="215"/>
        <v>1406</v>
      </c>
      <c r="W1415" s="124">
        <f t="shared" si="216"/>
        <v>0</v>
      </c>
      <c r="X1415" s="124">
        <f t="shared" si="217"/>
        <v>0</v>
      </c>
      <c r="Y1415" s="264">
        <f t="shared" si="218"/>
        <v>1406</v>
      </c>
      <c r="Z1415" s="10">
        <v>282</v>
      </c>
      <c r="AA1415" s="7">
        <v>282</v>
      </c>
      <c r="AB1415" s="7">
        <v>1406</v>
      </c>
      <c r="AC1415" s="109">
        <v>0</v>
      </c>
      <c r="AD1415" s="109">
        <v>0</v>
      </c>
      <c r="AE1415" s="125"/>
      <c r="AF1415" s="10"/>
      <c r="AI1415" s="109"/>
      <c r="AJ1415" s="109"/>
      <c r="AL1415" s="10"/>
      <c r="AO1415" s="109"/>
      <c r="AP1415" s="109"/>
      <c r="AR1415" s="10"/>
      <c r="AU1415" s="109"/>
      <c r="AV1415" s="109"/>
      <c r="AX1415" s="10"/>
      <c r="BA1415" s="109"/>
      <c r="BB1415" s="109"/>
      <c r="BD1415" s="10"/>
      <c r="BG1415" s="109"/>
      <c r="BH1415" s="109"/>
      <c r="BJ1415" s="10"/>
      <c r="BM1415" s="109"/>
      <c r="BN1415" s="109"/>
      <c r="BP1415" s="10"/>
      <c r="BS1415" s="109"/>
      <c r="BT1415" s="109"/>
      <c r="BV1415" s="10"/>
      <c r="BY1415" s="109"/>
      <c r="BZ1415" s="109"/>
      <c r="CB1415" s="10"/>
      <c r="CE1415" s="109"/>
      <c r="CF1415" s="109"/>
      <c r="CH1415" s="10"/>
      <c r="CK1415" s="109"/>
      <c r="CL1415" s="109"/>
    </row>
    <row r="1416" spans="1:90">
      <c r="A1416" s="7" t="str">
        <f t="shared" si="211"/>
        <v>02820775</v>
      </c>
      <c r="B1416" s="7" t="s">
        <v>2621</v>
      </c>
      <c r="C1416" s="7" t="s">
        <v>2749</v>
      </c>
      <c r="D1416" s="7">
        <v>1407</v>
      </c>
      <c r="E1416" s="7">
        <v>282</v>
      </c>
      <c r="F1416" s="7" t="s">
        <v>1987</v>
      </c>
      <c r="G1416" s="7">
        <v>775</v>
      </c>
      <c r="H1416" s="7" t="s">
        <v>1676</v>
      </c>
      <c r="I1416" s="70">
        <v>10788448</v>
      </c>
      <c r="J1416" s="131">
        <v>0.91548602329487627</v>
      </c>
      <c r="K1416" s="123">
        <f t="shared" si="220"/>
        <v>10817595.614590552</v>
      </c>
      <c r="L1416" s="122">
        <f>IF(K1419&gt;0, K1416/K1419, 0)</f>
        <v>0.91063338882910594</v>
      </c>
      <c r="M1416" s="71"/>
      <c r="N1416" s="10">
        <f>ROUND(M1419*L1416,0)</f>
        <v>8168670</v>
      </c>
      <c r="O1416" s="70">
        <v>7982763</v>
      </c>
      <c r="P1416" s="10">
        <f>N1416-O1416</f>
        <v>185907</v>
      </c>
      <c r="Q1416" s="46">
        <f t="shared" si="219"/>
        <v>2.3288553098720328</v>
      </c>
      <c r="R1416" s="10">
        <v>1161</v>
      </c>
      <c r="S1416" s="7">
        <f t="shared" si="212"/>
        <v>0</v>
      </c>
      <c r="T1416" s="124">
        <f t="shared" si="213"/>
        <v>282</v>
      </c>
      <c r="U1416" s="124">
        <f t="shared" si="214"/>
        <v>775</v>
      </c>
      <c r="V1416" s="124">
        <f t="shared" si="215"/>
        <v>1407</v>
      </c>
      <c r="W1416" s="124">
        <f t="shared" si="216"/>
        <v>1135.3301317437799</v>
      </c>
      <c r="X1416" s="124">
        <f t="shared" si="217"/>
        <v>10817595.614590552</v>
      </c>
      <c r="Y1416" s="264">
        <f t="shared" si="218"/>
        <v>1407</v>
      </c>
      <c r="Z1416" s="10">
        <v>282</v>
      </c>
      <c r="AA1416" s="7">
        <v>775</v>
      </c>
      <c r="AB1416" s="7">
        <v>1407</v>
      </c>
      <c r="AC1416" s="109">
        <v>1135.3301317437799</v>
      </c>
      <c r="AD1416" s="109">
        <v>10817595.614590552</v>
      </c>
      <c r="AE1416" s="125"/>
      <c r="AF1416" s="10"/>
      <c r="AI1416" s="109"/>
      <c r="AJ1416" s="109"/>
      <c r="AL1416" s="10"/>
      <c r="AO1416" s="109"/>
      <c r="AP1416" s="109"/>
      <c r="AR1416" s="10"/>
      <c r="AU1416" s="109"/>
      <c r="AV1416" s="109"/>
      <c r="AX1416" s="10"/>
      <c r="BA1416" s="109"/>
      <c r="BB1416" s="109"/>
      <c r="BD1416" s="10"/>
      <c r="BG1416" s="109"/>
      <c r="BH1416" s="109"/>
      <c r="BJ1416" s="10"/>
      <c r="BM1416" s="109"/>
      <c r="BN1416" s="109"/>
      <c r="BP1416" s="10"/>
      <c r="BS1416" s="109"/>
      <c r="BT1416" s="109"/>
      <c r="BV1416" s="10"/>
      <c r="BY1416" s="109"/>
      <c r="BZ1416" s="109"/>
      <c r="CB1416" s="10"/>
      <c r="CE1416" s="109"/>
      <c r="CF1416" s="109"/>
      <c r="CH1416" s="10"/>
      <c r="CK1416" s="109"/>
      <c r="CL1416" s="109"/>
    </row>
    <row r="1417" spans="1:90">
      <c r="A1417" s="7" t="str">
        <f t="shared" si="211"/>
        <v>02820832</v>
      </c>
      <c r="B1417" s="7" t="s">
        <v>2621</v>
      </c>
      <c r="C1417" s="7" t="s">
        <v>2765</v>
      </c>
      <c r="D1417" s="7">
        <v>1408</v>
      </c>
      <c r="E1417" s="7">
        <v>282</v>
      </c>
      <c r="F1417" s="7" t="s">
        <v>1987</v>
      </c>
      <c r="G1417" s="7">
        <v>832</v>
      </c>
      <c r="H1417" s="7" t="s">
        <v>1692</v>
      </c>
      <c r="I1417" s="70">
        <v>995946</v>
      </c>
      <c r="J1417" s="131">
        <v>8.4513976705123742E-2</v>
      </c>
      <c r="K1417" s="123">
        <f t="shared" si="220"/>
        <v>1061603.7946248681</v>
      </c>
      <c r="L1417" s="122">
        <f>IF(K1419&gt;0, K1417/K1419, 0)</f>
        <v>8.9366611170893992E-2</v>
      </c>
      <c r="M1417" s="71"/>
      <c r="N1417" s="10">
        <f>ROUND(M1419*L1417,0)</f>
        <v>801647</v>
      </c>
      <c r="O1417" s="70">
        <v>736936</v>
      </c>
      <c r="P1417" s="10">
        <f>N1417-O1417</f>
        <v>64711</v>
      </c>
      <c r="Q1417" s="46">
        <f t="shared" si="219"/>
        <v>8.7810881813346064</v>
      </c>
      <c r="R1417" s="10">
        <v>65</v>
      </c>
      <c r="S1417" s="7">
        <f t="shared" si="212"/>
        <v>0</v>
      </c>
      <c r="T1417" s="124">
        <f t="shared" si="213"/>
        <v>282</v>
      </c>
      <c r="U1417" s="124">
        <f t="shared" si="214"/>
        <v>832</v>
      </c>
      <c r="V1417" s="124">
        <f t="shared" si="215"/>
        <v>1408</v>
      </c>
      <c r="W1417" s="124">
        <f t="shared" si="216"/>
        <v>68.045484945680002</v>
      </c>
      <c r="X1417" s="124">
        <f t="shared" si="217"/>
        <v>1061603.7946248681</v>
      </c>
      <c r="Y1417" s="264">
        <f t="shared" si="218"/>
        <v>1408</v>
      </c>
      <c r="Z1417" s="10">
        <v>282</v>
      </c>
      <c r="AA1417" s="7">
        <v>832</v>
      </c>
      <c r="AB1417" s="7">
        <v>1408</v>
      </c>
      <c r="AC1417" s="109">
        <v>68.045484945680002</v>
      </c>
      <c r="AD1417" s="109">
        <v>1061603.7946248681</v>
      </c>
      <c r="AE1417" s="125"/>
      <c r="AF1417" s="10"/>
      <c r="AI1417" s="109"/>
      <c r="AJ1417" s="109"/>
      <c r="AL1417" s="10"/>
      <c r="AO1417" s="109"/>
      <c r="AP1417" s="109"/>
      <c r="AR1417" s="10"/>
      <c r="AU1417" s="109"/>
      <c r="AV1417" s="109"/>
      <c r="AX1417" s="10"/>
      <c r="BA1417" s="109"/>
      <c r="BB1417" s="109"/>
      <c r="BD1417" s="10"/>
      <c r="BG1417" s="109"/>
      <c r="BH1417" s="109"/>
      <c r="BJ1417" s="10"/>
      <c r="BM1417" s="109"/>
      <c r="BN1417" s="109"/>
      <c r="BP1417" s="10"/>
      <c r="BS1417" s="109"/>
      <c r="BT1417" s="109"/>
      <c r="BV1417" s="10"/>
      <c r="BY1417" s="109"/>
      <c r="BZ1417" s="109"/>
      <c r="CB1417" s="10"/>
      <c r="CE1417" s="109"/>
      <c r="CF1417" s="109"/>
      <c r="CH1417" s="10"/>
      <c r="CK1417" s="109"/>
      <c r="CL1417" s="109"/>
    </row>
    <row r="1418" spans="1:90">
      <c r="A1418" s="7" t="str">
        <f t="shared" ref="A1418:A1481" si="221">B1418&amp;C1418</f>
        <v>02820998</v>
      </c>
      <c r="B1418" s="7" t="s">
        <v>2621</v>
      </c>
      <c r="C1418" s="7" t="s">
        <v>2781</v>
      </c>
      <c r="D1418" s="7">
        <v>1409</v>
      </c>
      <c r="E1418" s="7">
        <v>282</v>
      </c>
      <c r="F1418" s="7" t="s">
        <v>2135</v>
      </c>
      <c r="G1418" s="7">
        <v>998</v>
      </c>
      <c r="H1418" s="7" t="s">
        <v>2135</v>
      </c>
      <c r="I1418" s="70">
        <v>0</v>
      </c>
      <c r="J1418" s="131">
        <v>0</v>
      </c>
      <c r="K1418" s="123">
        <f t="shared" si="220"/>
        <v>0</v>
      </c>
      <c r="L1418" s="122">
        <f>IF(K1419&gt;0, K1418/K1419, 0)</f>
        <v>0</v>
      </c>
      <c r="M1418" s="71"/>
      <c r="N1418" s="10">
        <f>ROUND(M1419*L1418,0)</f>
        <v>0</v>
      </c>
      <c r="O1418" s="70">
        <v>0</v>
      </c>
      <c r="P1418" s="10">
        <f>N1418-O1418</f>
        <v>0</v>
      </c>
      <c r="Q1418" s="46">
        <f t="shared" si="219"/>
        <v>0</v>
      </c>
      <c r="R1418" s="10">
        <v>0</v>
      </c>
      <c r="S1418" s="7">
        <f t="shared" ref="S1418:S1481" si="222">ABS(T1418-E1418)+ABS(U1418-G1418)</f>
        <v>0</v>
      </c>
      <c r="T1418" s="124">
        <f t="shared" ref="T1418:T1481" si="223">VLOOKUP($D1418, foundoptions, VLOOKUP($T$6, foundoptcell, 2, FALSE), FALSE)</f>
        <v>282</v>
      </c>
      <c r="U1418" s="124">
        <f t="shared" ref="U1418:U1481" si="224">VLOOKUP($D1418, foundoptions, VLOOKUP($T$6, foundoptcell, 2, FALSE)+1, FALSE)</f>
        <v>998</v>
      </c>
      <c r="V1418" s="124">
        <f t="shared" ref="V1418:V1481" si="225">VLOOKUP($D1418, foundoptions, VLOOKUP($T$6, foundoptcell, 2, FALSE)+2, FALSE)</f>
        <v>1409</v>
      </c>
      <c r="W1418" s="124">
        <f t="shared" ref="W1418:W1481" si="226">VLOOKUP($D1418, foundoptions, VLOOKUP($T$6, foundoptcell, 2, FALSE)+3, FALSE)</f>
        <v>0</v>
      </c>
      <c r="X1418" s="124">
        <f t="shared" ref="X1418:X1481" si="227">VLOOKUP($D1418, foundoptions, VLOOKUP($T$6, foundoptcell, 2, FALSE)+4, FALSE)</f>
        <v>0</v>
      </c>
      <c r="Y1418" s="264">
        <f t="shared" si="218"/>
        <v>1409</v>
      </c>
      <c r="Z1418" s="10">
        <v>282</v>
      </c>
      <c r="AA1418" s="7">
        <v>998</v>
      </c>
      <c r="AB1418" s="7">
        <v>1409</v>
      </c>
      <c r="AC1418" s="109">
        <v>0</v>
      </c>
      <c r="AD1418" s="109">
        <v>0</v>
      </c>
      <c r="AE1418" s="125"/>
      <c r="AF1418" s="10"/>
      <c r="AI1418" s="109"/>
      <c r="AJ1418" s="109"/>
      <c r="AL1418" s="10"/>
      <c r="AO1418" s="109"/>
      <c r="AP1418" s="109"/>
      <c r="AR1418" s="10"/>
      <c r="AU1418" s="109"/>
      <c r="AV1418" s="109"/>
      <c r="AX1418" s="10"/>
      <c r="BA1418" s="109"/>
      <c r="BB1418" s="109"/>
      <c r="BD1418" s="10"/>
      <c r="BG1418" s="109"/>
      <c r="BH1418" s="109"/>
      <c r="BJ1418" s="10"/>
      <c r="BM1418" s="109"/>
      <c r="BN1418" s="109"/>
      <c r="BP1418" s="10"/>
      <c r="BS1418" s="109"/>
      <c r="BT1418" s="109"/>
      <c r="BV1418" s="10"/>
      <c r="BY1418" s="109"/>
      <c r="BZ1418" s="109"/>
      <c r="CB1418" s="10"/>
      <c r="CE1418" s="109"/>
      <c r="CF1418" s="109"/>
      <c r="CH1418" s="10"/>
      <c r="CK1418" s="109"/>
      <c r="CL1418" s="109"/>
    </row>
    <row r="1419" spans="1:90">
      <c r="A1419" s="7" t="str">
        <f t="shared" si="221"/>
        <v>02820999</v>
      </c>
      <c r="B1419" s="7" t="s">
        <v>2621</v>
      </c>
      <c r="C1419" s="7" t="s">
        <v>2782</v>
      </c>
      <c r="D1419" s="7">
        <v>1410</v>
      </c>
      <c r="E1419" s="11">
        <v>282</v>
      </c>
      <c r="F1419" s="11" t="s">
        <v>1987</v>
      </c>
      <c r="G1419" s="11">
        <v>999</v>
      </c>
      <c r="H1419" s="11" t="s">
        <v>1132</v>
      </c>
      <c r="I1419" s="134">
        <v>11784394</v>
      </c>
      <c r="J1419" s="135">
        <v>1</v>
      </c>
      <c r="K1419" s="127">
        <f>SUM(K1415:K1418)</f>
        <v>11879199.40921542</v>
      </c>
      <c r="L1419" s="126">
        <f>SUM(L1415:L1418)</f>
        <v>0.99999999999999989</v>
      </c>
      <c r="M1419" s="105">
        <f>VLOOKUP(E1419,town351,22)</f>
        <v>8970317</v>
      </c>
      <c r="N1419" s="105">
        <f>SUM(N1415:N1418)</f>
        <v>8970317</v>
      </c>
      <c r="O1419" s="128">
        <v>8719699</v>
      </c>
      <c r="P1419" s="105">
        <f>SUM(P1415:P1418)</f>
        <v>250618</v>
      </c>
      <c r="Q1419" s="45">
        <f t="shared" si="219"/>
        <v>2.874158844244509</v>
      </c>
      <c r="R1419" s="105">
        <v>1226</v>
      </c>
      <c r="S1419" s="7">
        <f t="shared" si="222"/>
        <v>0</v>
      </c>
      <c r="T1419" s="124">
        <f t="shared" si="223"/>
        <v>282</v>
      </c>
      <c r="U1419" s="124">
        <f t="shared" si="224"/>
        <v>999</v>
      </c>
      <c r="V1419" s="124">
        <f t="shared" si="225"/>
        <v>1410</v>
      </c>
      <c r="W1419" s="124">
        <f t="shared" si="226"/>
        <v>1203.37561668946</v>
      </c>
      <c r="X1419" s="124">
        <f t="shared" si="227"/>
        <v>11879199.40921542</v>
      </c>
      <c r="Y1419" s="264">
        <f t="shared" ref="Y1419:Y1482" si="228">D1419</f>
        <v>1410</v>
      </c>
      <c r="Z1419" s="10">
        <v>282</v>
      </c>
      <c r="AA1419" s="7">
        <v>999</v>
      </c>
      <c r="AB1419" s="7">
        <v>1410</v>
      </c>
      <c r="AC1419" s="109">
        <v>1203.37561668946</v>
      </c>
      <c r="AD1419" s="109">
        <v>11879199.40921542</v>
      </c>
      <c r="AE1419" s="125"/>
      <c r="AF1419" s="10"/>
      <c r="AI1419" s="109"/>
      <c r="AJ1419" s="109"/>
      <c r="AL1419" s="10"/>
      <c r="AO1419" s="109"/>
      <c r="AP1419" s="109"/>
      <c r="AR1419" s="10"/>
      <c r="AU1419" s="109"/>
      <c r="AV1419" s="109"/>
      <c r="AX1419" s="10"/>
      <c r="BA1419" s="109"/>
      <c r="BB1419" s="109"/>
      <c r="BD1419" s="10"/>
      <c r="BG1419" s="109"/>
      <c r="BH1419" s="109"/>
      <c r="BJ1419" s="10"/>
      <c r="BM1419" s="109"/>
      <c r="BN1419" s="109"/>
      <c r="BP1419" s="10"/>
      <c r="BS1419" s="109"/>
      <c r="BT1419" s="109"/>
      <c r="BV1419" s="10"/>
      <c r="BY1419" s="109"/>
      <c r="BZ1419" s="109"/>
      <c r="CB1419" s="10"/>
      <c r="CE1419" s="109"/>
      <c r="CF1419" s="109"/>
      <c r="CH1419" s="10"/>
      <c r="CK1419" s="109"/>
      <c r="CL1419" s="109"/>
    </row>
    <row r="1420" spans="1:90">
      <c r="A1420" s="7" t="str">
        <f t="shared" si="221"/>
        <v>02830283</v>
      </c>
      <c r="B1420" s="7" t="s">
        <v>2622</v>
      </c>
      <c r="C1420" s="7" t="s">
        <v>2622</v>
      </c>
      <c r="D1420" s="7">
        <v>1411</v>
      </c>
      <c r="E1420" s="7">
        <v>283</v>
      </c>
      <c r="F1420" s="7" t="s">
        <v>1988</v>
      </c>
      <c r="G1420" s="7">
        <v>283</v>
      </c>
      <c r="H1420" s="7" t="s">
        <v>1549</v>
      </c>
      <c r="I1420" s="70">
        <v>0</v>
      </c>
      <c r="J1420" s="131">
        <v>0</v>
      </c>
      <c r="K1420" s="123">
        <f>X1420</f>
        <v>0</v>
      </c>
      <c r="L1420" s="122">
        <f>IF(K1424&gt;0, K1420/K1424, 0)</f>
        <v>0</v>
      </c>
      <c r="M1420" s="71"/>
      <c r="N1420" s="10">
        <f>ROUND(M1424*L1420,0)</f>
        <v>0</v>
      </c>
      <c r="O1420" s="70">
        <v>0</v>
      </c>
      <c r="P1420" s="10">
        <f>N1420-O1420</f>
        <v>0</v>
      </c>
      <c r="Q1420" s="46">
        <f t="shared" si="219"/>
        <v>0</v>
      </c>
      <c r="R1420" s="10">
        <v>0</v>
      </c>
      <c r="S1420" s="7">
        <f t="shared" si="222"/>
        <v>0</v>
      </c>
      <c r="T1420" s="124">
        <f t="shared" si="223"/>
        <v>283</v>
      </c>
      <c r="U1420" s="124">
        <f t="shared" si="224"/>
        <v>283</v>
      </c>
      <c r="V1420" s="124">
        <f t="shared" si="225"/>
        <v>1411</v>
      </c>
      <c r="W1420" s="124">
        <f t="shared" si="226"/>
        <v>0</v>
      </c>
      <c r="X1420" s="124">
        <f t="shared" si="227"/>
        <v>0</v>
      </c>
      <c r="Y1420" s="264">
        <f t="shared" si="228"/>
        <v>1411</v>
      </c>
      <c r="Z1420" s="10">
        <v>283</v>
      </c>
      <c r="AA1420" s="7">
        <v>283</v>
      </c>
      <c r="AB1420" s="7">
        <v>1411</v>
      </c>
      <c r="AC1420" s="109">
        <v>0</v>
      </c>
      <c r="AD1420" s="109">
        <v>0</v>
      </c>
      <c r="AE1420" s="125"/>
      <c r="AF1420" s="10"/>
      <c r="AI1420" s="109"/>
      <c r="AJ1420" s="109"/>
      <c r="AL1420" s="10"/>
      <c r="AO1420" s="109"/>
      <c r="AP1420" s="109"/>
      <c r="AR1420" s="10"/>
      <c r="AU1420" s="109"/>
      <c r="AV1420" s="109"/>
      <c r="AX1420" s="10"/>
      <c r="BA1420" s="109"/>
      <c r="BB1420" s="109"/>
      <c r="BD1420" s="10"/>
      <c r="BG1420" s="109"/>
      <c r="BH1420" s="109"/>
      <c r="BJ1420" s="10"/>
      <c r="BM1420" s="109"/>
      <c r="BN1420" s="109"/>
      <c r="BP1420" s="10"/>
      <c r="BS1420" s="109"/>
      <c r="BT1420" s="109"/>
      <c r="BV1420" s="10"/>
      <c r="BY1420" s="109"/>
      <c r="BZ1420" s="109"/>
      <c r="CB1420" s="10"/>
      <c r="CE1420" s="109"/>
      <c r="CF1420" s="109"/>
      <c r="CH1420" s="10"/>
      <c r="CK1420" s="109"/>
      <c r="CL1420" s="109"/>
    </row>
    <row r="1421" spans="1:90">
      <c r="A1421" s="7" t="str">
        <f t="shared" si="221"/>
        <v>02830618</v>
      </c>
      <c r="B1421" s="7" t="s">
        <v>2622</v>
      </c>
      <c r="C1421" s="7" t="s">
        <v>2700</v>
      </c>
      <c r="D1421" s="7">
        <v>1412</v>
      </c>
      <c r="E1421" s="7">
        <v>283</v>
      </c>
      <c r="F1421" s="7" t="s">
        <v>1988</v>
      </c>
      <c r="G1421" s="7">
        <v>618</v>
      </c>
      <c r="H1421" s="7" t="s">
        <v>1627</v>
      </c>
      <c r="I1421" s="70">
        <v>1601697</v>
      </c>
      <c r="J1421" s="131">
        <v>1</v>
      </c>
      <c r="K1421" s="123">
        <f t="shared" si="220"/>
        <v>1636141.9700497673</v>
      </c>
      <c r="L1421" s="122">
        <f>IF(K1424&gt;0, K1421/K1424, 0)</f>
        <v>1</v>
      </c>
      <c r="M1421" s="71"/>
      <c r="N1421" s="10">
        <f>ROUND(M1424*L1421,0)</f>
        <v>1354335</v>
      </c>
      <c r="O1421" s="70">
        <v>1329805</v>
      </c>
      <c r="P1421" s="10">
        <f>N1421-O1421</f>
        <v>24530</v>
      </c>
      <c r="Q1421" s="46">
        <f t="shared" si="219"/>
        <v>1.8446313557250875</v>
      </c>
      <c r="R1421" s="10">
        <v>149</v>
      </c>
      <c r="S1421" s="7">
        <f t="shared" si="222"/>
        <v>0</v>
      </c>
      <c r="T1421" s="124">
        <f t="shared" si="223"/>
        <v>283</v>
      </c>
      <c r="U1421" s="124">
        <f t="shared" si="224"/>
        <v>618</v>
      </c>
      <c r="V1421" s="124">
        <f t="shared" si="225"/>
        <v>1412</v>
      </c>
      <c r="W1421" s="124">
        <f t="shared" si="226"/>
        <v>152.29428044375999</v>
      </c>
      <c r="X1421" s="124">
        <f t="shared" si="227"/>
        <v>1636141.9700497673</v>
      </c>
      <c r="Y1421" s="264">
        <f t="shared" si="228"/>
        <v>1412</v>
      </c>
      <c r="Z1421" s="10">
        <v>283</v>
      </c>
      <c r="AA1421" s="7">
        <v>618</v>
      </c>
      <c r="AB1421" s="7">
        <v>1412</v>
      </c>
      <c r="AC1421" s="109">
        <v>152.29428044375999</v>
      </c>
      <c r="AD1421" s="109">
        <v>1636141.9700497673</v>
      </c>
      <c r="AE1421" s="125"/>
      <c r="AF1421" s="10"/>
      <c r="AI1421" s="109"/>
      <c r="AJ1421" s="109"/>
      <c r="AL1421" s="10"/>
      <c r="AO1421" s="109"/>
      <c r="AP1421" s="109"/>
      <c r="AR1421" s="10"/>
      <c r="AU1421" s="109"/>
      <c r="AV1421" s="109"/>
      <c r="AX1421" s="10"/>
      <c r="BA1421" s="109"/>
      <c r="BB1421" s="109"/>
      <c r="BD1421" s="10"/>
      <c r="BG1421" s="109"/>
      <c r="BH1421" s="109"/>
      <c r="BJ1421" s="10"/>
      <c r="BM1421" s="109"/>
      <c r="BN1421" s="109"/>
      <c r="BP1421" s="10"/>
      <c r="BS1421" s="109"/>
      <c r="BT1421" s="109"/>
      <c r="BV1421" s="10"/>
      <c r="BY1421" s="109"/>
      <c r="BZ1421" s="109"/>
      <c r="CB1421" s="10"/>
      <c r="CE1421" s="109"/>
      <c r="CF1421" s="109"/>
      <c r="CH1421" s="10"/>
      <c r="CK1421" s="109"/>
      <c r="CL1421" s="109"/>
    </row>
    <row r="1422" spans="1:90">
      <c r="A1422" s="7" t="str">
        <f t="shared" si="221"/>
        <v>02830998</v>
      </c>
      <c r="B1422" s="7" t="s">
        <v>2622</v>
      </c>
      <c r="C1422" s="7" t="s">
        <v>2781</v>
      </c>
      <c r="D1422" s="7">
        <v>1413</v>
      </c>
      <c r="E1422" s="7">
        <v>283</v>
      </c>
      <c r="F1422" s="7" t="s">
        <v>2135</v>
      </c>
      <c r="G1422" s="7">
        <v>998</v>
      </c>
      <c r="H1422" s="7" t="s">
        <v>2135</v>
      </c>
      <c r="I1422" s="70">
        <v>0</v>
      </c>
      <c r="J1422" s="131">
        <v>0</v>
      </c>
      <c r="K1422" s="123">
        <f t="shared" si="220"/>
        <v>0</v>
      </c>
      <c r="L1422" s="122">
        <f>IF(K1424&gt;0, K1422/K1424, 0)</f>
        <v>0</v>
      </c>
      <c r="M1422" s="71"/>
      <c r="N1422" s="10">
        <f>ROUND(M1424*L1422,0)</f>
        <v>0</v>
      </c>
      <c r="O1422" s="70">
        <v>0</v>
      </c>
      <c r="P1422" s="10">
        <f>N1422-O1422</f>
        <v>0</v>
      </c>
      <c r="Q1422" s="46">
        <f t="shared" si="219"/>
        <v>0</v>
      </c>
      <c r="R1422" s="10">
        <v>0</v>
      </c>
      <c r="S1422" s="7">
        <f t="shared" si="222"/>
        <v>0</v>
      </c>
      <c r="T1422" s="124">
        <f t="shared" si="223"/>
        <v>283</v>
      </c>
      <c r="U1422" s="124">
        <f t="shared" si="224"/>
        <v>998</v>
      </c>
      <c r="V1422" s="124">
        <f t="shared" si="225"/>
        <v>1413</v>
      </c>
      <c r="W1422" s="124">
        <f t="shared" si="226"/>
        <v>0</v>
      </c>
      <c r="X1422" s="124">
        <f t="shared" si="227"/>
        <v>0</v>
      </c>
      <c r="Y1422" s="264">
        <f t="shared" si="228"/>
        <v>1413</v>
      </c>
      <c r="Z1422" s="10">
        <v>283</v>
      </c>
      <c r="AA1422" s="7">
        <v>998</v>
      </c>
      <c r="AB1422" s="7">
        <v>1413</v>
      </c>
      <c r="AC1422" s="109">
        <v>0</v>
      </c>
      <c r="AD1422" s="109">
        <v>0</v>
      </c>
      <c r="AE1422" s="125"/>
      <c r="AF1422" s="10"/>
      <c r="AI1422" s="109"/>
      <c r="AJ1422" s="109"/>
      <c r="AL1422" s="10"/>
      <c r="AO1422" s="109"/>
      <c r="AP1422" s="109"/>
      <c r="AR1422" s="10"/>
      <c r="AU1422" s="109"/>
      <c r="AV1422" s="109"/>
      <c r="AX1422" s="10"/>
      <c r="BA1422" s="109"/>
      <c r="BB1422" s="109"/>
      <c r="BD1422" s="10"/>
      <c r="BG1422" s="109"/>
      <c r="BH1422" s="109"/>
      <c r="BJ1422" s="10"/>
      <c r="BM1422" s="109"/>
      <c r="BN1422" s="109"/>
      <c r="BP1422" s="10"/>
      <c r="BS1422" s="109"/>
      <c r="BT1422" s="109"/>
      <c r="BV1422" s="10"/>
      <c r="BY1422" s="109"/>
      <c r="BZ1422" s="109"/>
      <c r="CB1422" s="10"/>
      <c r="CE1422" s="109"/>
      <c r="CF1422" s="109"/>
      <c r="CH1422" s="10"/>
      <c r="CK1422" s="109"/>
      <c r="CL1422" s="109"/>
    </row>
    <row r="1423" spans="1:90">
      <c r="A1423" s="7" t="str">
        <f t="shared" si="221"/>
        <v>02830998</v>
      </c>
      <c r="B1423" s="7" t="s">
        <v>2622</v>
      </c>
      <c r="C1423" s="7" t="s">
        <v>2781</v>
      </c>
      <c r="D1423" s="7">
        <v>1414</v>
      </c>
      <c r="E1423" s="7">
        <v>283</v>
      </c>
      <c r="F1423" s="7" t="s">
        <v>2135</v>
      </c>
      <c r="G1423" s="7">
        <v>998</v>
      </c>
      <c r="H1423" s="7" t="s">
        <v>2135</v>
      </c>
      <c r="I1423" s="70">
        <v>0</v>
      </c>
      <c r="J1423" s="131">
        <v>0</v>
      </c>
      <c r="K1423" s="123">
        <f t="shared" si="220"/>
        <v>0</v>
      </c>
      <c r="L1423" s="122">
        <f>IF(K1424&gt;0, K1423/K1424, 0)</f>
        <v>0</v>
      </c>
      <c r="M1423" s="71"/>
      <c r="N1423" s="10">
        <f>ROUND(M1424*L1423,0)</f>
        <v>0</v>
      </c>
      <c r="O1423" s="70">
        <v>0</v>
      </c>
      <c r="P1423" s="10">
        <f>N1423-O1423</f>
        <v>0</v>
      </c>
      <c r="Q1423" s="46">
        <f t="shared" si="219"/>
        <v>0</v>
      </c>
      <c r="R1423" s="10">
        <v>0</v>
      </c>
      <c r="S1423" s="7">
        <f t="shared" si="222"/>
        <v>0</v>
      </c>
      <c r="T1423" s="124">
        <f t="shared" si="223"/>
        <v>283</v>
      </c>
      <c r="U1423" s="124">
        <f t="shared" si="224"/>
        <v>998</v>
      </c>
      <c r="V1423" s="124">
        <f t="shared" si="225"/>
        <v>1414</v>
      </c>
      <c r="W1423" s="124">
        <f t="shared" si="226"/>
        <v>0</v>
      </c>
      <c r="X1423" s="124">
        <f t="shared" si="227"/>
        <v>0</v>
      </c>
      <c r="Y1423" s="264">
        <f t="shared" si="228"/>
        <v>1414</v>
      </c>
      <c r="Z1423" s="10">
        <v>283</v>
      </c>
      <c r="AA1423" s="7">
        <v>998</v>
      </c>
      <c r="AB1423" s="7">
        <v>1414</v>
      </c>
      <c r="AC1423" s="109">
        <v>0</v>
      </c>
      <c r="AD1423" s="109">
        <v>0</v>
      </c>
      <c r="AE1423" s="125"/>
      <c r="AF1423" s="10"/>
      <c r="AI1423" s="109"/>
      <c r="AJ1423" s="109"/>
      <c r="AL1423" s="10"/>
      <c r="AO1423" s="109"/>
      <c r="AP1423" s="109"/>
      <c r="AR1423" s="10"/>
      <c r="AU1423" s="109"/>
      <c r="AV1423" s="109"/>
      <c r="AX1423" s="10"/>
      <c r="BA1423" s="109"/>
      <c r="BB1423" s="109"/>
      <c r="BD1423" s="10"/>
      <c r="BG1423" s="109"/>
      <c r="BH1423" s="109"/>
      <c r="BJ1423" s="10"/>
      <c r="BM1423" s="109"/>
      <c r="BN1423" s="109"/>
      <c r="BP1423" s="10"/>
      <c r="BS1423" s="109"/>
      <c r="BT1423" s="109"/>
      <c r="BV1423" s="10"/>
      <c r="BY1423" s="109"/>
      <c r="BZ1423" s="109"/>
      <c r="CB1423" s="10"/>
      <c r="CE1423" s="109"/>
      <c r="CF1423" s="109"/>
      <c r="CH1423" s="10"/>
      <c r="CK1423" s="109"/>
      <c r="CL1423" s="109"/>
    </row>
    <row r="1424" spans="1:90">
      <c r="A1424" s="7" t="str">
        <f t="shared" si="221"/>
        <v>02830999</v>
      </c>
      <c r="B1424" s="7" t="s">
        <v>2622</v>
      </c>
      <c r="C1424" s="7" t="s">
        <v>2782</v>
      </c>
      <c r="D1424" s="7">
        <v>1415</v>
      </c>
      <c r="E1424" s="11">
        <v>283</v>
      </c>
      <c r="F1424" s="11" t="s">
        <v>1988</v>
      </c>
      <c r="G1424" s="11">
        <v>999</v>
      </c>
      <c r="H1424" s="11" t="s">
        <v>1132</v>
      </c>
      <c r="I1424" s="134">
        <v>1601697</v>
      </c>
      <c r="J1424" s="135">
        <v>1</v>
      </c>
      <c r="K1424" s="127">
        <f>SUM(K1420:K1423)</f>
        <v>1636141.9700497673</v>
      </c>
      <c r="L1424" s="126">
        <f>SUM(L1420:L1423)</f>
        <v>1</v>
      </c>
      <c r="M1424" s="105">
        <f>VLOOKUP(E1424,town351,22)</f>
        <v>1354335</v>
      </c>
      <c r="N1424" s="105">
        <f>SUM(N1420:N1423)</f>
        <v>1354335</v>
      </c>
      <c r="O1424" s="128">
        <v>1329805</v>
      </c>
      <c r="P1424" s="105">
        <f>SUM(P1420:P1423)</f>
        <v>24530</v>
      </c>
      <c r="Q1424" s="45">
        <f t="shared" ref="Q1424:Q1487" si="229">IF(O1424&gt;0,P1424*100/O1424,IF(P1424&gt;0,100,0))</f>
        <v>1.8446313557250875</v>
      </c>
      <c r="R1424" s="105">
        <v>149</v>
      </c>
      <c r="S1424" s="7">
        <f t="shared" si="222"/>
        <v>0</v>
      </c>
      <c r="T1424" s="124">
        <f t="shared" si="223"/>
        <v>283</v>
      </c>
      <c r="U1424" s="124">
        <f t="shared" si="224"/>
        <v>999</v>
      </c>
      <c r="V1424" s="124">
        <f t="shared" si="225"/>
        <v>1415</v>
      </c>
      <c r="W1424" s="124">
        <f t="shared" si="226"/>
        <v>152.29428044375999</v>
      </c>
      <c r="X1424" s="124">
        <f t="shared" si="227"/>
        <v>1636141.9700497673</v>
      </c>
      <c r="Y1424" s="264">
        <f t="shared" si="228"/>
        <v>1415</v>
      </c>
      <c r="Z1424" s="10">
        <v>283</v>
      </c>
      <c r="AA1424" s="7">
        <v>999</v>
      </c>
      <c r="AB1424" s="7">
        <v>1415</v>
      </c>
      <c r="AC1424" s="109">
        <v>152.29428044375999</v>
      </c>
      <c r="AD1424" s="109">
        <v>1636141.9700497673</v>
      </c>
      <c r="AE1424" s="125"/>
      <c r="AF1424" s="10"/>
      <c r="AI1424" s="109"/>
      <c r="AJ1424" s="109"/>
      <c r="AL1424" s="10"/>
      <c r="AO1424" s="109"/>
      <c r="AP1424" s="109"/>
      <c r="AR1424" s="10"/>
      <c r="AU1424" s="109"/>
      <c r="AV1424" s="109"/>
      <c r="AX1424" s="10"/>
      <c r="BA1424" s="109"/>
      <c r="BB1424" s="109"/>
      <c r="BD1424" s="10"/>
      <c r="BG1424" s="109"/>
      <c r="BH1424" s="109"/>
      <c r="BJ1424" s="10"/>
      <c r="BM1424" s="109"/>
      <c r="BN1424" s="109"/>
      <c r="BP1424" s="10"/>
      <c r="BS1424" s="109"/>
      <c r="BT1424" s="109"/>
      <c r="BV1424" s="10"/>
      <c r="BY1424" s="109"/>
      <c r="BZ1424" s="109"/>
      <c r="CB1424" s="10"/>
      <c r="CE1424" s="109"/>
      <c r="CF1424" s="109"/>
      <c r="CH1424" s="10"/>
      <c r="CK1424" s="109"/>
      <c r="CL1424" s="109"/>
    </row>
    <row r="1425" spans="1:90">
      <c r="A1425" s="7" t="str">
        <f t="shared" si="221"/>
        <v>02840284</v>
      </c>
      <c r="B1425" s="7" t="s">
        <v>2623</v>
      </c>
      <c r="C1425" s="7" t="s">
        <v>2623</v>
      </c>
      <c r="D1425" s="7">
        <v>1416</v>
      </c>
      <c r="E1425" s="7">
        <v>284</v>
      </c>
      <c r="F1425" s="7" t="s">
        <v>1989</v>
      </c>
      <c r="G1425" s="7">
        <v>284</v>
      </c>
      <c r="H1425" s="7" t="s">
        <v>1550</v>
      </c>
      <c r="I1425" s="70">
        <v>23858093.313949995</v>
      </c>
      <c r="J1425" s="131">
        <v>0.95859853316264643</v>
      </c>
      <c r="K1425" s="123">
        <f>X1425</f>
        <v>24538424.857372392</v>
      </c>
      <c r="L1425" s="122">
        <f>IF(K1429&gt;0, K1425/K1429, 0)</f>
        <v>0.95639649630653756</v>
      </c>
      <c r="M1425" s="71"/>
      <c r="N1425" s="10">
        <f>ROUND(M1429*L1425,0)</f>
        <v>20290210</v>
      </c>
      <c r="O1425" s="70">
        <v>19851817</v>
      </c>
      <c r="P1425" s="10">
        <f>N1425-O1425</f>
        <v>438393</v>
      </c>
      <c r="Q1425" s="46">
        <f t="shared" si="229"/>
        <v>2.2083268246931755</v>
      </c>
      <c r="R1425" s="10">
        <v>2415</v>
      </c>
      <c r="S1425" s="7">
        <f t="shared" si="222"/>
        <v>0</v>
      </c>
      <c r="T1425" s="124">
        <f t="shared" si="223"/>
        <v>284</v>
      </c>
      <c r="U1425" s="124">
        <f t="shared" si="224"/>
        <v>284</v>
      </c>
      <c r="V1425" s="124">
        <f t="shared" si="225"/>
        <v>1416</v>
      </c>
      <c r="W1425" s="124">
        <f t="shared" si="226"/>
        <v>2425</v>
      </c>
      <c r="X1425" s="124">
        <f t="shared" si="227"/>
        <v>24538424.857372392</v>
      </c>
      <c r="Y1425" s="264">
        <f t="shared" si="228"/>
        <v>1416</v>
      </c>
      <c r="Z1425" s="10">
        <v>284</v>
      </c>
      <c r="AA1425" s="7">
        <v>284</v>
      </c>
      <c r="AB1425" s="7">
        <v>1416</v>
      </c>
      <c r="AC1425" s="109">
        <v>2425</v>
      </c>
      <c r="AD1425" s="109">
        <v>24538424.857372392</v>
      </c>
      <c r="AE1425" s="125"/>
      <c r="AF1425" s="10"/>
      <c r="AI1425" s="109"/>
      <c r="AJ1425" s="109"/>
      <c r="AL1425" s="10"/>
      <c r="AO1425" s="109"/>
      <c r="AP1425" s="109"/>
      <c r="AR1425" s="10"/>
      <c r="AU1425" s="109"/>
      <c r="AV1425" s="109"/>
      <c r="AX1425" s="10"/>
      <c r="BA1425" s="109"/>
      <c r="BB1425" s="109"/>
      <c r="BD1425" s="10"/>
      <c r="BG1425" s="109"/>
      <c r="BH1425" s="109"/>
      <c r="BJ1425" s="10"/>
      <c r="BM1425" s="109"/>
      <c r="BN1425" s="109"/>
      <c r="BP1425" s="10"/>
      <c r="BS1425" s="109"/>
      <c r="BT1425" s="109"/>
      <c r="BV1425" s="10"/>
      <c r="BY1425" s="109"/>
      <c r="BZ1425" s="109"/>
      <c r="CB1425" s="10"/>
      <c r="CE1425" s="109"/>
      <c r="CF1425" s="109"/>
      <c r="CH1425" s="10"/>
      <c r="CK1425" s="109"/>
      <c r="CL1425" s="109"/>
    </row>
    <row r="1426" spans="1:90">
      <c r="A1426" s="7" t="str">
        <f t="shared" si="221"/>
        <v>02840853</v>
      </c>
      <c r="B1426" s="7" t="s">
        <v>2623</v>
      </c>
      <c r="C1426" s="7" t="s">
        <v>2768</v>
      </c>
      <c r="D1426" s="7">
        <v>1417</v>
      </c>
      <c r="E1426" s="7">
        <v>284</v>
      </c>
      <c r="F1426" s="7" t="s">
        <v>1989</v>
      </c>
      <c r="G1426" s="7">
        <v>853</v>
      </c>
      <c r="H1426" s="7" t="s">
        <v>1695</v>
      </c>
      <c r="I1426" s="70">
        <v>1030421</v>
      </c>
      <c r="J1426" s="131">
        <v>4.1401466837353559E-2</v>
      </c>
      <c r="K1426" s="123">
        <f t="shared" si="220"/>
        <v>1118742.3866902706</v>
      </c>
      <c r="L1426" s="122">
        <f>IF(K1429&gt;0, K1426/K1429, 0)</f>
        <v>4.360350369346247E-2</v>
      </c>
      <c r="M1426" s="71"/>
      <c r="N1426" s="10">
        <f>ROUND(M1429*L1426,0)</f>
        <v>925060</v>
      </c>
      <c r="O1426" s="70">
        <v>857392</v>
      </c>
      <c r="P1426" s="10">
        <f>N1426-O1426</f>
        <v>67668</v>
      </c>
      <c r="Q1426" s="46">
        <f t="shared" si="229"/>
        <v>7.8923059697314644</v>
      </c>
      <c r="R1426" s="10">
        <v>62</v>
      </c>
      <c r="S1426" s="7">
        <f t="shared" si="222"/>
        <v>0</v>
      </c>
      <c r="T1426" s="124">
        <f t="shared" si="223"/>
        <v>284</v>
      </c>
      <c r="U1426" s="124">
        <f t="shared" si="224"/>
        <v>853</v>
      </c>
      <c r="V1426" s="124">
        <f t="shared" si="225"/>
        <v>1417</v>
      </c>
      <c r="W1426" s="124">
        <f t="shared" si="226"/>
        <v>65.999999996070002</v>
      </c>
      <c r="X1426" s="124">
        <f t="shared" si="227"/>
        <v>1118742.3866902706</v>
      </c>
      <c r="Y1426" s="264">
        <f t="shared" si="228"/>
        <v>1417</v>
      </c>
      <c r="Z1426" s="10">
        <v>284</v>
      </c>
      <c r="AA1426" s="7">
        <v>853</v>
      </c>
      <c r="AB1426" s="7">
        <v>1417</v>
      </c>
      <c r="AC1426" s="109">
        <v>65.999999996070002</v>
      </c>
      <c r="AD1426" s="109">
        <v>1118742.3866902706</v>
      </c>
      <c r="AE1426" s="125"/>
      <c r="AF1426" s="10"/>
      <c r="AI1426" s="109"/>
      <c r="AJ1426" s="109"/>
      <c r="AL1426" s="10"/>
      <c r="AO1426" s="109"/>
      <c r="AP1426" s="109"/>
      <c r="AR1426" s="10"/>
      <c r="AU1426" s="109"/>
      <c r="AV1426" s="109"/>
      <c r="AX1426" s="10"/>
      <c r="BA1426" s="109"/>
      <c r="BB1426" s="109"/>
      <c r="BD1426" s="10"/>
      <c r="BG1426" s="109"/>
      <c r="BH1426" s="109"/>
      <c r="BJ1426" s="10"/>
      <c r="BM1426" s="109"/>
      <c r="BN1426" s="109"/>
      <c r="BP1426" s="10"/>
      <c r="BS1426" s="109"/>
      <c r="BT1426" s="109"/>
      <c r="BV1426" s="10"/>
      <c r="BY1426" s="109"/>
      <c r="BZ1426" s="109"/>
      <c r="CB1426" s="10"/>
      <c r="CE1426" s="109"/>
      <c r="CF1426" s="109"/>
      <c r="CH1426" s="10"/>
      <c r="CK1426" s="109"/>
      <c r="CL1426" s="109"/>
    </row>
    <row r="1427" spans="1:90">
      <c r="A1427" s="7" t="str">
        <f t="shared" si="221"/>
        <v>02840998</v>
      </c>
      <c r="B1427" s="7" t="s">
        <v>2623</v>
      </c>
      <c r="C1427" s="7" t="s">
        <v>2781</v>
      </c>
      <c r="D1427" s="7">
        <v>1418</v>
      </c>
      <c r="E1427" s="7">
        <v>284</v>
      </c>
      <c r="F1427" s="7" t="s">
        <v>2135</v>
      </c>
      <c r="G1427" s="7">
        <v>998</v>
      </c>
      <c r="I1427" s="129">
        <v>0</v>
      </c>
      <c r="J1427" s="130">
        <v>0</v>
      </c>
      <c r="K1427" s="123">
        <f t="shared" si="220"/>
        <v>0</v>
      </c>
      <c r="L1427" s="122">
        <f>IF(K1429&gt;0, K1427/K1429, 0)</f>
        <v>0</v>
      </c>
      <c r="M1427" s="71"/>
      <c r="N1427" s="10">
        <f>ROUND(M1429*L1427,0)</f>
        <v>0</v>
      </c>
      <c r="O1427" s="70">
        <v>0</v>
      </c>
      <c r="P1427" s="10">
        <f>N1427-O1427</f>
        <v>0</v>
      </c>
      <c r="Q1427" s="46">
        <f t="shared" si="229"/>
        <v>0</v>
      </c>
      <c r="R1427" s="10">
        <v>0</v>
      </c>
      <c r="S1427" s="7">
        <f t="shared" si="222"/>
        <v>0</v>
      </c>
      <c r="T1427" s="124">
        <f t="shared" si="223"/>
        <v>284</v>
      </c>
      <c r="U1427" s="124">
        <f t="shared" si="224"/>
        <v>998</v>
      </c>
      <c r="V1427" s="124">
        <f t="shared" si="225"/>
        <v>1418</v>
      </c>
      <c r="W1427" s="124">
        <f t="shared" si="226"/>
        <v>0</v>
      </c>
      <c r="X1427" s="124">
        <f t="shared" si="227"/>
        <v>0</v>
      </c>
      <c r="Y1427" s="264">
        <f t="shared" si="228"/>
        <v>1418</v>
      </c>
      <c r="Z1427" s="10">
        <v>284</v>
      </c>
      <c r="AA1427" s="7">
        <v>998</v>
      </c>
      <c r="AB1427" s="7">
        <v>1418</v>
      </c>
      <c r="AC1427" s="109">
        <v>0</v>
      </c>
      <c r="AD1427" s="109">
        <v>0</v>
      </c>
      <c r="AE1427" s="125"/>
      <c r="AF1427" s="10"/>
      <c r="AI1427" s="109"/>
      <c r="AJ1427" s="109"/>
      <c r="AL1427" s="10"/>
      <c r="AO1427" s="109"/>
      <c r="AP1427" s="109"/>
      <c r="AR1427" s="10"/>
      <c r="AU1427" s="109"/>
      <c r="AV1427" s="109"/>
      <c r="AX1427" s="10"/>
      <c r="BA1427" s="109"/>
      <c r="BB1427" s="109"/>
      <c r="BD1427" s="10"/>
      <c r="BG1427" s="109"/>
      <c r="BH1427" s="109"/>
      <c r="BJ1427" s="10"/>
      <c r="BM1427" s="109"/>
      <c r="BN1427" s="109"/>
      <c r="BP1427" s="10"/>
      <c r="BS1427" s="109"/>
      <c r="BT1427" s="109"/>
      <c r="BV1427" s="10"/>
      <c r="BY1427" s="109"/>
      <c r="BZ1427" s="109"/>
      <c r="CB1427" s="10"/>
      <c r="CE1427" s="109"/>
      <c r="CF1427" s="109"/>
      <c r="CH1427" s="10"/>
      <c r="CK1427" s="109"/>
      <c r="CL1427" s="109"/>
    </row>
    <row r="1428" spans="1:90">
      <c r="A1428" s="7" t="str">
        <f t="shared" si="221"/>
        <v>02840998</v>
      </c>
      <c r="B1428" s="7" t="s">
        <v>2623</v>
      </c>
      <c r="C1428" s="7" t="s">
        <v>2781</v>
      </c>
      <c r="D1428" s="7">
        <v>1419</v>
      </c>
      <c r="E1428" s="7">
        <v>284</v>
      </c>
      <c r="F1428" s="7" t="s">
        <v>2135</v>
      </c>
      <c r="G1428" s="7">
        <v>998</v>
      </c>
      <c r="H1428" s="7" t="s">
        <v>2135</v>
      </c>
      <c r="I1428" s="70">
        <v>0</v>
      </c>
      <c r="J1428" s="131">
        <v>0</v>
      </c>
      <c r="K1428" s="123">
        <f t="shared" si="220"/>
        <v>0</v>
      </c>
      <c r="L1428" s="122">
        <f>IF(K1429&gt;0, K1428/K1429, 0)</f>
        <v>0</v>
      </c>
      <c r="M1428" s="71"/>
      <c r="N1428" s="10">
        <f>ROUND(M1429*L1428,0)</f>
        <v>0</v>
      </c>
      <c r="O1428" s="70">
        <v>0</v>
      </c>
      <c r="P1428" s="10">
        <f>N1428-O1428</f>
        <v>0</v>
      </c>
      <c r="Q1428" s="46">
        <f t="shared" si="229"/>
        <v>0</v>
      </c>
      <c r="R1428" s="10">
        <v>0</v>
      </c>
      <c r="S1428" s="7">
        <f t="shared" si="222"/>
        <v>0</v>
      </c>
      <c r="T1428" s="124">
        <f t="shared" si="223"/>
        <v>284</v>
      </c>
      <c r="U1428" s="124">
        <f t="shared" si="224"/>
        <v>998</v>
      </c>
      <c r="V1428" s="124">
        <f t="shared" si="225"/>
        <v>1419</v>
      </c>
      <c r="W1428" s="124">
        <f t="shared" si="226"/>
        <v>0</v>
      </c>
      <c r="X1428" s="124">
        <f t="shared" si="227"/>
        <v>0</v>
      </c>
      <c r="Y1428" s="264">
        <f t="shared" si="228"/>
        <v>1419</v>
      </c>
      <c r="Z1428" s="10">
        <v>284</v>
      </c>
      <c r="AA1428" s="7">
        <v>998</v>
      </c>
      <c r="AB1428" s="7">
        <v>1419</v>
      </c>
      <c r="AC1428" s="109">
        <v>0</v>
      </c>
      <c r="AD1428" s="109">
        <v>0</v>
      </c>
      <c r="AE1428" s="125"/>
      <c r="AF1428" s="10"/>
      <c r="AI1428" s="109"/>
      <c r="AJ1428" s="109"/>
      <c r="AL1428" s="10"/>
      <c r="AO1428" s="109"/>
      <c r="AP1428" s="109"/>
      <c r="AR1428" s="10"/>
      <c r="AU1428" s="109"/>
      <c r="AV1428" s="109"/>
      <c r="AX1428" s="10"/>
      <c r="BA1428" s="109"/>
      <c r="BB1428" s="109"/>
      <c r="BD1428" s="10"/>
      <c r="BG1428" s="109"/>
      <c r="BH1428" s="109"/>
      <c r="BJ1428" s="10"/>
      <c r="BM1428" s="109"/>
      <c r="BN1428" s="109"/>
      <c r="BP1428" s="10"/>
      <c r="BS1428" s="109"/>
      <c r="BT1428" s="109"/>
      <c r="BV1428" s="10"/>
      <c r="BY1428" s="109"/>
      <c r="BZ1428" s="109"/>
      <c r="CB1428" s="10"/>
      <c r="CE1428" s="109"/>
      <c r="CF1428" s="109"/>
      <c r="CH1428" s="10"/>
      <c r="CK1428" s="109"/>
      <c r="CL1428" s="109"/>
    </row>
    <row r="1429" spans="1:90">
      <c r="A1429" s="7" t="str">
        <f t="shared" si="221"/>
        <v>02840999</v>
      </c>
      <c r="B1429" s="7" t="s">
        <v>2623</v>
      </c>
      <c r="C1429" s="7" t="s">
        <v>2782</v>
      </c>
      <c r="D1429" s="7">
        <v>1420</v>
      </c>
      <c r="E1429" s="11">
        <v>284</v>
      </c>
      <c r="F1429" s="11" t="s">
        <v>1989</v>
      </c>
      <c r="G1429" s="11">
        <v>999</v>
      </c>
      <c r="H1429" s="11" t="s">
        <v>1132</v>
      </c>
      <c r="I1429" s="134">
        <v>24888514.313949995</v>
      </c>
      <c r="J1429" s="135">
        <v>1</v>
      </c>
      <c r="K1429" s="127">
        <f>SUM(K1425:K1428)</f>
        <v>25657167.244062662</v>
      </c>
      <c r="L1429" s="126">
        <f>SUM(L1425:L1428)</f>
        <v>1</v>
      </c>
      <c r="M1429" s="105">
        <f>VLOOKUP(E1429,town351,22)</f>
        <v>21215270</v>
      </c>
      <c r="N1429" s="105">
        <f>SUM(N1425:N1428)</f>
        <v>21215270</v>
      </c>
      <c r="O1429" s="128">
        <v>20709209</v>
      </c>
      <c r="P1429" s="105">
        <f>SUM(P1425:P1428)</f>
        <v>506061</v>
      </c>
      <c r="Q1429" s="45">
        <f t="shared" si="229"/>
        <v>2.4436520004216482</v>
      </c>
      <c r="R1429" s="105">
        <v>2477</v>
      </c>
      <c r="S1429" s="7">
        <f t="shared" si="222"/>
        <v>0</v>
      </c>
      <c r="T1429" s="124">
        <f t="shared" si="223"/>
        <v>284</v>
      </c>
      <c r="U1429" s="124">
        <f t="shared" si="224"/>
        <v>999</v>
      </c>
      <c r="V1429" s="124">
        <f t="shared" si="225"/>
        <v>1420</v>
      </c>
      <c r="W1429" s="124">
        <f t="shared" si="226"/>
        <v>2490.9999999960701</v>
      </c>
      <c r="X1429" s="124">
        <f t="shared" si="227"/>
        <v>25657167.244062662</v>
      </c>
      <c r="Y1429" s="264">
        <f t="shared" si="228"/>
        <v>1420</v>
      </c>
      <c r="Z1429" s="10">
        <v>284</v>
      </c>
      <c r="AA1429" s="7">
        <v>999</v>
      </c>
      <c r="AB1429" s="7">
        <v>1420</v>
      </c>
      <c r="AC1429" s="109">
        <v>2490.9999999960701</v>
      </c>
      <c r="AD1429" s="109">
        <v>25657167.244062662</v>
      </c>
      <c r="AE1429" s="125"/>
      <c r="AF1429" s="10"/>
      <c r="AI1429" s="109"/>
      <c r="AJ1429" s="109"/>
      <c r="AL1429" s="10"/>
      <c r="AO1429" s="109"/>
      <c r="AP1429" s="109"/>
      <c r="AR1429" s="10"/>
      <c r="AU1429" s="109"/>
      <c r="AV1429" s="109"/>
      <c r="AX1429" s="10"/>
      <c r="BA1429" s="109"/>
      <c r="BB1429" s="109"/>
      <c r="BD1429" s="10"/>
      <c r="BG1429" s="109"/>
      <c r="BH1429" s="109"/>
      <c r="BJ1429" s="10"/>
      <c r="BM1429" s="109"/>
      <c r="BN1429" s="109"/>
      <c r="BP1429" s="10"/>
      <c r="BS1429" s="109"/>
      <c r="BT1429" s="109"/>
      <c r="BV1429" s="10"/>
      <c r="BY1429" s="109"/>
      <c r="BZ1429" s="109"/>
      <c r="CB1429" s="10"/>
      <c r="CE1429" s="109"/>
      <c r="CF1429" s="109"/>
      <c r="CH1429" s="10"/>
      <c r="CK1429" s="109"/>
      <c r="CL1429" s="109"/>
    </row>
    <row r="1430" spans="1:90">
      <c r="A1430" s="7" t="str">
        <f t="shared" si="221"/>
        <v>02850285</v>
      </c>
      <c r="B1430" s="7" t="s">
        <v>2624</v>
      </c>
      <c r="C1430" s="7" t="s">
        <v>2624</v>
      </c>
      <c r="D1430" s="7">
        <v>1421</v>
      </c>
      <c r="E1430" s="7">
        <v>285</v>
      </c>
      <c r="F1430" s="7" t="s">
        <v>1990</v>
      </c>
      <c r="G1430" s="7">
        <v>285</v>
      </c>
      <c r="H1430" s="7" t="s">
        <v>1551</v>
      </c>
      <c r="I1430" s="70">
        <v>38325837.797450006</v>
      </c>
      <c r="J1430" s="131">
        <v>0.93613258139525124</v>
      </c>
      <c r="K1430" s="123">
        <f>X1430</f>
        <v>38830414.515473194</v>
      </c>
      <c r="L1430" s="122">
        <f>IF(K1434&gt;0, K1430/K1434, 0)</f>
        <v>0.93527706252144949</v>
      </c>
      <c r="M1430" s="71"/>
      <c r="N1430" s="10">
        <f>ROUND(M1434*L1430,0)</f>
        <v>23973760</v>
      </c>
      <c r="O1430" s="70">
        <v>22995806</v>
      </c>
      <c r="P1430" s="10">
        <f>N1430-O1430</f>
        <v>977954</v>
      </c>
      <c r="Q1430" s="46">
        <f t="shared" si="229"/>
        <v>4.252749392650121</v>
      </c>
      <c r="R1430" s="10">
        <v>3684</v>
      </c>
      <c r="S1430" s="7">
        <f t="shared" si="222"/>
        <v>0</v>
      </c>
      <c r="T1430" s="124">
        <f t="shared" si="223"/>
        <v>285</v>
      </c>
      <c r="U1430" s="124">
        <f t="shared" si="224"/>
        <v>285</v>
      </c>
      <c r="V1430" s="124">
        <f t="shared" si="225"/>
        <v>1421</v>
      </c>
      <c r="W1430" s="124">
        <f t="shared" si="226"/>
        <v>3651</v>
      </c>
      <c r="X1430" s="124">
        <f t="shared" si="227"/>
        <v>38830414.515473194</v>
      </c>
      <c r="Y1430" s="264">
        <f t="shared" si="228"/>
        <v>1421</v>
      </c>
      <c r="Z1430" s="10">
        <v>285</v>
      </c>
      <c r="AA1430" s="7">
        <v>285</v>
      </c>
      <c r="AB1430" s="7">
        <v>1421</v>
      </c>
      <c r="AC1430" s="109">
        <v>3651</v>
      </c>
      <c r="AD1430" s="109">
        <v>38830414.515473194</v>
      </c>
      <c r="AE1430" s="125"/>
      <c r="AF1430" s="10"/>
      <c r="AI1430" s="109"/>
      <c r="AJ1430" s="109"/>
      <c r="AL1430" s="10"/>
      <c r="AO1430" s="109"/>
      <c r="AP1430" s="109"/>
      <c r="AR1430" s="10"/>
      <c r="AU1430" s="109"/>
      <c r="AV1430" s="109"/>
      <c r="AX1430" s="10"/>
      <c r="BA1430" s="109"/>
      <c r="BB1430" s="109"/>
      <c r="BD1430" s="10"/>
      <c r="BG1430" s="109"/>
      <c r="BH1430" s="109"/>
      <c r="BJ1430" s="10"/>
      <c r="BM1430" s="109"/>
      <c r="BN1430" s="109"/>
      <c r="BP1430" s="10"/>
      <c r="BS1430" s="109"/>
      <c r="BT1430" s="109"/>
      <c r="BV1430" s="10"/>
      <c r="BY1430" s="109"/>
      <c r="BZ1430" s="109"/>
      <c r="CB1430" s="10"/>
      <c r="CE1430" s="109"/>
      <c r="CF1430" s="109"/>
      <c r="CH1430" s="10"/>
      <c r="CK1430" s="109"/>
      <c r="CL1430" s="109"/>
    </row>
    <row r="1431" spans="1:90">
      <c r="A1431" s="7" t="str">
        <f t="shared" si="221"/>
        <v>02850872</v>
      </c>
      <c r="B1431" s="7" t="s">
        <v>2624</v>
      </c>
      <c r="C1431" s="7" t="s">
        <v>2772</v>
      </c>
      <c r="D1431" s="7">
        <v>1422</v>
      </c>
      <c r="E1431" s="7">
        <v>285</v>
      </c>
      <c r="F1431" s="7" t="s">
        <v>1990</v>
      </c>
      <c r="G1431" s="7">
        <v>872</v>
      </c>
      <c r="H1431" s="7" t="s">
        <v>1699</v>
      </c>
      <c r="I1431" s="70">
        <v>2340437</v>
      </c>
      <c r="J1431" s="131">
        <v>5.7166638912945884E-2</v>
      </c>
      <c r="K1431" s="123">
        <f t="shared" si="220"/>
        <v>2374164.303011308</v>
      </c>
      <c r="L1431" s="122">
        <f>IF(K1434&gt;0, K1431/K1434, 0)</f>
        <v>5.7184592103153381E-2</v>
      </c>
      <c r="M1431" s="71"/>
      <c r="N1431" s="10">
        <f>ROUND(M1434*L1431,0)</f>
        <v>1465801</v>
      </c>
      <c r="O1431" s="70">
        <v>1404281</v>
      </c>
      <c r="P1431" s="10">
        <f>N1431-O1431</f>
        <v>61520</v>
      </c>
      <c r="Q1431" s="46">
        <f t="shared" si="229"/>
        <v>4.380889579792079</v>
      </c>
      <c r="R1431" s="10">
        <v>146</v>
      </c>
      <c r="S1431" s="7">
        <f t="shared" si="222"/>
        <v>0</v>
      </c>
      <c r="T1431" s="124">
        <f t="shared" si="223"/>
        <v>285</v>
      </c>
      <c r="U1431" s="124">
        <f t="shared" si="224"/>
        <v>872</v>
      </c>
      <c r="V1431" s="124">
        <f t="shared" si="225"/>
        <v>1422</v>
      </c>
      <c r="W1431" s="124">
        <f t="shared" si="226"/>
        <v>145.28884461449999</v>
      </c>
      <c r="X1431" s="124">
        <f t="shared" si="227"/>
        <v>2374164.303011308</v>
      </c>
      <c r="Y1431" s="264">
        <f t="shared" si="228"/>
        <v>1422</v>
      </c>
      <c r="Z1431" s="10">
        <v>285</v>
      </c>
      <c r="AA1431" s="7">
        <v>872</v>
      </c>
      <c r="AB1431" s="7">
        <v>1422</v>
      </c>
      <c r="AC1431" s="109">
        <v>145.28884461449999</v>
      </c>
      <c r="AD1431" s="109">
        <v>2374164.303011308</v>
      </c>
      <c r="AE1431" s="125"/>
      <c r="AF1431" s="10"/>
      <c r="AI1431" s="109"/>
      <c r="AJ1431" s="109"/>
      <c r="AL1431" s="10"/>
      <c r="AO1431" s="109"/>
      <c r="AP1431" s="109"/>
      <c r="AR1431" s="10"/>
      <c r="AU1431" s="109"/>
      <c r="AV1431" s="109"/>
      <c r="AX1431" s="10"/>
      <c r="BA1431" s="109"/>
      <c r="BB1431" s="109"/>
      <c r="BD1431" s="10"/>
      <c r="BG1431" s="109"/>
      <c r="BH1431" s="109"/>
      <c r="BJ1431" s="10"/>
      <c r="BM1431" s="109"/>
      <c r="BN1431" s="109"/>
      <c r="BP1431" s="10"/>
      <c r="BS1431" s="109"/>
      <c r="BT1431" s="109"/>
      <c r="BV1431" s="10"/>
      <c r="BY1431" s="109"/>
      <c r="BZ1431" s="109"/>
      <c r="CB1431" s="10"/>
      <c r="CE1431" s="109"/>
      <c r="CF1431" s="109"/>
      <c r="CH1431" s="10"/>
      <c r="CK1431" s="109"/>
      <c r="CL1431" s="109"/>
    </row>
    <row r="1432" spans="1:90">
      <c r="A1432" s="7" t="str">
        <f t="shared" si="221"/>
        <v>02850915</v>
      </c>
      <c r="B1432" s="7" t="s">
        <v>2624</v>
      </c>
      <c r="C1432" s="7" t="s">
        <v>2779</v>
      </c>
      <c r="D1432" s="7">
        <v>1423</v>
      </c>
      <c r="E1432" s="7">
        <v>285</v>
      </c>
      <c r="F1432" s="7" t="s">
        <v>1990</v>
      </c>
      <c r="G1432" s="7">
        <v>915</v>
      </c>
      <c r="H1432" s="7" t="s">
        <v>1706</v>
      </c>
      <c r="I1432" s="70">
        <v>274334</v>
      </c>
      <c r="J1432" s="131">
        <v>6.7007796918028967E-3</v>
      </c>
      <c r="K1432" s="123">
        <f t="shared" si="220"/>
        <v>312973.6496459365</v>
      </c>
      <c r="L1432" s="122">
        <f>IF(K1434&gt;0, K1432/K1434, 0)</f>
        <v>7.5383453753970747E-3</v>
      </c>
      <c r="M1432" s="71"/>
      <c r="N1432" s="10">
        <f>ROUND(M1434*L1432,0)</f>
        <v>193229</v>
      </c>
      <c r="O1432" s="70">
        <v>164603</v>
      </c>
      <c r="P1432" s="10">
        <f>N1432-O1432</f>
        <v>28626</v>
      </c>
      <c r="Q1432" s="46">
        <f t="shared" si="229"/>
        <v>17.390934551618138</v>
      </c>
      <c r="R1432" s="10">
        <v>17</v>
      </c>
      <c r="S1432" s="7">
        <f t="shared" si="222"/>
        <v>0</v>
      </c>
      <c r="T1432" s="124">
        <f t="shared" si="223"/>
        <v>285</v>
      </c>
      <c r="U1432" s="124">
        <f t="shared" si="224"/>
        <v>915</v>
      </c>
      <c r="V1432" s="124">
        <f t="shared" si="225"/>
        <v>1423</v>
      </c>
      <c r="W1432" s="124">
        <f t="shared" si="226"/>
        <v>18.999999999180002</v>
      </c>
      <c r="X1432" s="124">
        <f t="shared" si="227"/>
        <v>312973.6496459365</v>
      </c>
      <c r="Y1432" s="264">
        <f t="shared" si="228"/>
        <v>1423</v>
      </c>
      <c r="Z1432" s="10">
        <v>285</v>
      </c>
      <c r="AA1432" s="7">
        <v>915</v>
      </c>
      <c r="AB1432" s="7">
        <v>1423</v>
      </c>
      <c r="AC1432" s="109">
        <v>18.999999999180002</v>
      </c>
      <c r="AD1432" s="109">
        <v>312973.6496459365</v>
      </c>
      <c r="AE1432" s="125"/>
      <c r="AF1432" s="10"/>
      <c r="AI1432" s="109"/>
      <c r="AJ1432" s="109"/>
      <c r="AL1432" s="10"/>
      <c r="AO1432" s="109"/>
      <c r="AP1432" s="109"/>
      <c r="AR1432" s="10"/>
      <c r="AU1432" s="109"/>
      <c r="AV1432" s="109"/>
      <c r="AX1432" s="10"/>
      <c r="BA1432" s="109"/>
      <c r="BB1432" s="109"/>
      <c r="BD1432" s="10"/>
      <c r="BG1432" s="109"/>
      <c r="BH1432" s="109"/>
      <c r="BJ1432" s="10"/>
      <c r="BM1432" s="109"/>
      <c r="BN1432" s="109"/>
      <c r="BP1432" s="10"/>
      <c r="BS1432" s="109"/>
      <c r="BT1432" s="109"/>
      <c r="BV1432" s="10"/>
      <c r="BY1432" s="109"/>
      <c r="BZ1432" s="109"/>
      <c r="CB1432" s="10"/>
      <c r="CE1432" s="109"/>
      <c r="CF1432" s="109"/>
      <c r="CH1432" s="10"/>
      <c r="CK1432" s="109"/>
      <c r="CL1432" s="109"/>
    </row>
    <row r="1433" spans="1:90">
      <c r="A1433" s="7" t="str">
        <f t="shared" si="221"/>
        <v>02850998</v>
      </c>
      <c r="B1433" s="7" t="s">
        <v>2624</v>
      </c>
      <c r="C1433" s="7" t="s">
        <v>2781</v>
      </c>
      <c r="D1433" s="7">
        <v>1424</v>
      </c>
      <c r="E1433" s="7">
        <v>285</v>
      </c>
      <c r="F1433" s="7" t="s">
        <v>2135</v>
      </c>
      <c r="G1433" s="7">
        <v>998</v>
      </c>
      <c r="H1433" s="7" t="s">
        <v>2135</v>
      </c>
      <c r="I1433" s="70">
        <v>0</v>
      </c>
      <c r="J1433" s="131">
        <v>0</v>
      </c>
      <c r="K1433" s="123">
        <f t="shared" si="220"/>
        <v>0</v>
      </c>
      <c r="L1433" s="122">
        <f>IF(K1434&gt;0, K1433/K1434, 0)</f>
        <v>0</v>
      </c>
      <c r="M1433" s="71"/>
      <c r="N1433" s="10">
        <f>ROUND(M1434*L1433,0)</f>
        <v>0</v>
      </c>
      <c r="O1433" s="70">
        <v>0</v>
      </c>
      <c r="P1433" s="10">
        <f>N1433-O1433</f>
        <v>0</v>
      </c>
      <c r="Q1433" s="46">
        <f t="shared" si="229"/>
        <v>0</v>
      </c>
      <c r="R1433" s="10">
        <v>0</v>
      </c>
      <c r="S1433" s="7">
        <f t="shared" si="222"/>
        <v>0</v>
      </c>
      <c r="T1433" s="124">
        <f t="shared" si="223"/>
        <v>285</v>
      </c>
      <c r="U1433" s="124">
        <f t="shared" si="224"/>
        <v>998</v>
      </c>
      <c r="V1433" s="124">
        <f t="shared" si="225"/>
        <v>1424</v>
      </c>
      <c r="W1433" s="124">
        <f t="shared" si="226"/>
        <v>0</v>
      </c>
      <c r="X1433" s="124">
        <f t="shared" si="227"/>
        <v>0</v>
      </c>
      <c r="Y1433" s="264">
        <f t="shared" si="228"/>
        <v>1424</v>
      </c>
      <c r="Z1433" s="10">
        <v>285</v>
      </c>
      <c r="AA1433" s="7">
        <v>998</v>
      </c>
      <c r="AB1433" s="7">
        <v>1424</v>
      </c>
      <c r="AC1433" s="109">
        <v>0</v>
      </c>
      <c r="AD1433" s="109">
        <v>0</v>
      </c>
      <c r="AE1433" s="125"/>
      <c r="AF1433" s="10"/>
      <c r="AI1433" s="109"/>
      <c r="AJ1433" s="109"/>
      <c r="AL1433" s="10"/>
      <c r="AO1433" s="109"/>
      <c r="AP1433" s="109"/>
      <c r="AR1433" s="10"/>
      <c r="AU1433" s="109"/>
      <c r="AV1433" s="109"/>
      <c r="AX1433" s="10"/>
      <c r="BA1433" s="109"/>
      <c r="BB1433" s="109"/>
      <c r="BD1433" s="10"/>
      <c r="BG1433" s="109"/>
      <c r="BH1433" s="109"/>
      <c r="BJ1433" s="10"/>
      <c r="BM1433" s="109"/>
      <c r="BN1433" s="109"/>
      <c r="BP1433" s="10"/>
      <c r="BS1433" s="109"/>
      <c r="BT1433" s="109"/>
      <c r="BV1433" s="10"/>
      <c r="BY1433" s="109"/>
      <c r="BZ1433" s="109"/>
      <c r="CB1433" s="10"/>
      <c r="CE1433" s="109"/>
      <c r="CF1433" s="109"/>
      <c r="CH1433" s="10"/>
      <c r="CK1433" s="109"/>
      <c r="CL1433" s="109"/>
    </row>
    <row r="1434" spans="1:90">
      <c r="A1434" s="7" t="str">
        <f t="shared" si="221"/>
        <v>02850999</v>
      </c>
      <c r="B1434" s="7" t="s">
        <v>2624</v>
      </c>
      <c r="C1434" s="7" t="s">
        <v>2782</v>
      </c>
      <c r="D1434" s="7">
        <v>1425</v>
      </c>
      <c r="E1434" s="11">
        <v>285</v>
      </c>
      <c r="F1434" s="11" t="s">
        <v>1990</v>
      </c>
      <c r="G1434" s="11">
        <v>999</v>
      </c>
      <c r="H1434" s="11" t="s">
        <v>1132</v>
      </c>
      <c r="I1434" s="134">
        <v>40940608.797450006</v>
      </c>
      <c r="J1434" s="135">
        <v>1</v>
      </c>
      <c r="K1434" s="127">
        <f>SUM(K1430:K1433)</f>
        <v>41517552.46813044</v>
      </c>
      <c r="L1434" s="126">
        <f>SUM(L1430:L1433)</f>
        <v>1</v>
      </c>
      <c r="M1434" s="105">
        <f>VLOOKUP(E1434,town351,22)</f>
        <v>25632789</v>
      </c>
      <c r="N1434" s="105">
        <f>SUM(N1430:N1433)</f>
        <v>25632790</v>
      </c>
      <c r="O1434" s="128">
        <v>24564690</v>
      </c>
      <c r="P1434" s="105">
        <f>SUM(P1430:P1433)</f>
        <v>1068100</v>
      </c>
      <c r="Q1434" s="45">
        <f t="shared" si="229"/>
        <v>4.3481110488265884</v>
      </c>
      <c r="R1434" s="105">
        <v>3847</v>
      </c>
      <c r="S1434" s="7">
        <f t="shared" si="222"/>
        <v>0</v>
      </c>
      <c r="T1434" s="124">
        <f t="shared" si="223"/>
        <v>285</v>
      </c>
      <c r="U1434" s="124">
        <f t="shared" si="224"/>
        <v>999</v>
      </c>
      <c r="V1434" s="124">
        <f t="shared" si="225"/>
        <v>1425</v>
      </c>
      <c r="W1434" s="124">
        <f t="shared" si="226"/>
        <v>3815.2888446136799</v>
      </c>
      <c r="X1434" s="124">
        <f t="shared" si="227"/>
        <v>41517552.46813044</v>
      </c>
      <c r="Y1434" s="264">
        <f t="shared" si="228"/>
        <v>1425</v>
      </c>
      <c r="Z1434" s="10">
        <v>285</v>
      </c>
      <c r="AA1434" s="7">
        <v>999</v>
      </c>
      <c r="AB1434" s="7">
        <v>1425</v>
      </c>
      <c r="AC1434" s="109">
        <v>3815.2888446136799</v>
      </c>
      <c r="AD1434" s="109">
        <v>41517552.46813044</v>
      </c>
      <c r="AE1434" s="125"/>
      <c r="AF1434" s="10"/>
      <c r="AI1434" s="109"/>
      <c r="AJ1434" s="109"/>
      <c r="AL1434" s="10"/>
      <c r="AO1434" s="109"/>
      <c r="AP1434" s="109"/>
      <c r="AR1434" s="10"/>
      <c r="AU1434" s="109"/>
      <c r="AV1434" s="109"/>
      <c r="AX1434" s="10"/>
      <c r="BA1434" s="109"/>
      <c r="BB1434" s="109"/>
      <c r="BD1434" s="10"/>
      <c r="BG1434" s="109"/>
      <c r="BH1434" s="109"/>
      <c r="BJ1434" s="10"/>
      <c r="BM1434" s="109"/>
      <c r="BN1434" s="109"/>
      <c r="BP1434" s="10"/>
      <c r="BS1434" s="109"/>
      <c r="BT1434" s="109"/>
      <c r="BV1434" s="10"/>
      <c r="BY1434" s="109"/>
      <c r="BZ1434" s="109"/>
      <c r="CB1434" s="10"/>
      <c r="CE1434" s="109"/>
      <c r="CF1434" s="109"/>
      <c r="CH1434" s="10"/>
      <c r="CK1434" s="109"/>
      <c r="CL1434" s="109"/>
    </row>
    <row r="1435" spans="1:90">
      <c r="A1435" s="7" t="str">
        <f t="shared" si="221"/>
        <v>02860286</v>
      </c>
      <c r="B1435" s="7" t="s">
        <v>2625</v>
      </c>
      <c r="C1435" s="7" t="s">
        <v>2625</v>
      </c>
      <c r="D1435" s="7">
        <v>1426</v>
      </c>
      <c r="E1435" s="7">
        <v>286</v>
      </c>
      <c r="F1435" s="7" t="s">
        <v>1991</v>
      </c>
      <c r="G1435" s="7">
        <v>286</v>
      </c>
      <c r="H1435" s="7" t="s">
        <v>1552</v>
      </c>
      <c r="I1435" s="70">
        <v>13669.092180000001</v>
      </c>
      <c r="J1435" s="131">
        <v>1.1143083249971822E-3</v>
      </c>
      <c r="K1435" s="123">
        <f>X1435</f>
        <v>27906.769627179092</v>
      </c>
      <c r="L1435" s="122">
        <f>IF(K1439&gt;0, K1435/K1439, 0)</f>
        <v>2.264509018991469E-3</v>
      </c>
      <c r="M1435" s="71"/>
      <c r="N1435" s="10">
        <f>ROUND(M1439*L1435,0)</f>
        <v>23174</v>
      </c>
      <c r="O1435" s="70">
        <v>11412</v>
      </c>
      <c r="P1435" s="10">
        <f>N1435-O1435</f>
        <v>11762</v>
      </c>
      <c r="Q1435" s="46">
        <f t="shared" si="229"/>
        <v>103.06694707325622</v>
      </c>
      <c r="R1435" s="10">
        <v>1</v>
      </c>
      <c r="S1435" s="7">
        <f t="shared" si="222"/>
        <v>0</v>
      </c>
      <c r="T1435" s="124">
        <f t="shared" si="223"/>
        <v>286</v>
      </c>
      <c r="U1435" s="124">
        <f t="shared" si="224"/>
        <v>286</v>
      </c>
      <c r="V1435" s="124">
        <f t="shared" si="225"/>
        <v>1426</v>
      </c>
      <c r="W1435" s="124">
        <f t="shared" si="226"/>
        <v>2</v>
      </c>
      <c r="X1435" s="124">
        <f t="shared" si="227"/>
        <v>27906.769627179092</v>
      </c>
      <c r="Y1435" s="264">
        <f t="shared" si="228"/>
        <v>1426</v>
      </c>
      <c r="Z1435" s="10">
        <v>286</v>
      </c>
      <c r="AA1435" s="7">
        <v>286</v>
      </c>
      <c r="AB1435" s="7">
        <v>1426</v>
      </c>
      <c r="AC1435" s="109">
        <v>2</v>
      </c>
      <c r="AD1435" s="109">
        <v>27906.769627179092</v>
      </c>
      <c r="AE1435" s="125"/>
      <c r="AF1435" s="10"/>
      <c r="AI1435" s="109"/>
      <c r="AJ1435" s="109"/>
      <c r="AL1435" s="10"/>
      <c r="AO1435" s="109"/>
      <c r="AP1435" s="109"/>
      <c r="AR1435" s="10"/>
      <c r="AU1435" s="109"/>
      <c r="AV1435" s="109"/>
      <c r="AX1435" s="10"/>
      <c r="BA1435" s="109"/>
      <c r="BB1435" s="109"/>
      <c r="BD1435" s="10"/>
      <c r="BG1435" s="109"/>
      <c r="BH1435" s="109"/>
      <c r="BJ1435" s="10"/>
      <c r="BM1435" s="109"/>
      <c r="BN1435" s="109"/>
      <c r="BP1435" s="10"/>
      <c r="BS1435" s="109"/>
      <c r="BT1435" s="109"/>
      <c r="BV1435" s="10"/>
      <c r="BY1435" s="109"/>
      <c r="BZ1435" s="109"/>
      <c r="CB1435" s="10"/>
      <c r="CE1435" s="109"/>
      <c r="CF1435" s="109"/>
      <c r="CH1435" s="10"/>
      <c r="CK1435" s="109"/>
      <c r="CL1435" s="109"/>
    </row>
    <row r="1436" spans="1:90">
      <c r="A1436" s="7" t="str">
        <f t="shared" si="221"/>
        <v>02860725</v>
      </c>
      <c r="B1436" s="7" t="s">
        <v>2625</v>
      </c>
      <c r="C1436" s="7" t="s">
        <v>2732</v>
      </c>
      <c r="D1436" s="7">
        <v>1427</v>
      </c>
      <c r="E1436" s="7">
        <v>286</v>
      </c>
      <c r="F1436" s="7" t="s">
        <v>1991</v>
      </c>
      <c r="G1436" s="7">
        <v>725</v>
      </c>
      <c r="H1436" s="7" t="s">
        <v>1659</v>
      </c>
      <c r="I1436" s="70">
        <v>12026054</v>
      </c>
      <c r="J1436" s="131">
        <v>0.98036738011563118</v>
      </c>
      <c r="K1436" s="123">
        <f t="shared" si="220"/>
        <v>12001977.254206028</v>
      </c>
      <c r="L1436" s="122">
        <f>IF(K1439&gt;0, K1436/K1439, 0)</f>
        <v>0.97390655030921691</v>
      </c>
      <c r="M1436" s="71"/>
      <c r="N1436" s="10">
        <f>ROUND(M1439*L1436,0)</f>
        <v>9966623</v>
      </c>
      <c r="O1436" s="70">
        <v>10040020</v>
      </c>
      <c r="P1436" s="10">
        <f>N1436-O1436</f>
        <v>-73397</v>
      </c>
      <c r="Q1436" s="46">
        <f t="shared" si="229"/>
        <v>-0.73104436046940147</v>
      </c>
      <c r="R1436" s="10">
        <v>1272</v>
      </c>
      <c r="S1436" s="7">
        <f t="shared" si="222"/>
        <v>0</v>
      </c>
      <c r="T1436" s="124">
        <f t="shared" si="223"/>
        <v>286</v>
      </c>
      <c r="U1436" s="124">
        <f t="shared" si="224"/>
        <v>725</v>
      </c>
      <c r="V1436" s="124">
        <f t="shared" si="225"/>
        <v>1427</v>
      </c>
      <c r="W1436" s="124">
        <f t="shared" si="226"/>
        <v>1236.7541478087201</v>
      </c>
      <c r="X1436" s="124">
        <f t="shared" si="227"/>
        <v>12001977.254206028</v>
      </c>
      <c r="Y1436" s="264">
        <f t="shared" si="228"/>
        <v>1427</v>
      </c>
      <c r="Z1436" s="10">
        <v>286</v>
      </c>
      <c r="AA1436" s="7">
        <v>725</v>
      </c>
      <c r="AB1436" s="7">
        <v>1427</v>
      </c>
      <c r="AC1436" s="109">
        <v>1236.7541478087201</v>
      </c>
      <c r="AD1436" s="109">
        <v>12001977.254206028</v>
      </c>
      <c r="AE1436" s="125"/>
      <c r="AF1436" s="10"/>
      <c r="AI1436" s="109"/>
      <c r="AJ1436" s="109"/>
      <c r="AL1436" s="10"/>
      <c r="AO1436" s="109"/>
      <c r="AP1436" s="109"/>
      <c r="AR1436" s="10"/>
      <c r="AU1436" s="109"/>
      <c r="AV1436" s="109"/>
      <c r="AX1436" s="10"/>
      <c r="BA1436" s="109"/>
      <c r="BB1436" s="109"/>
      <c r="BD1436" s="10"/>
      <c r="BG1436" s="109"/>
      <c r="BH1436" s="109"/>
      <c r="BJ1436" s="10"/>
      <c r="BM1436" s="109"/>
      <c r="BN1436" s="109"/>
      <c r="BP1436" s="10"/>
      <c r="BS1436" s="109"/>
      <c r="BT1436" s="109"/>
      <c r="BV1436" s="10"/>
      <c r="BY1436" s="109"/>
      <c r="BZ1436" s="109"/>
      <c r="CB1436" s="10"/>
      <c r="CE1436" s="109"/>
      <c r="CF1436" s="109"/>
      <c r="CH1436" s="10"/>
      <c r="CK1436" s="109"/>
      <c r="CL1436" s="109"/>
    </row>
    <row r="1437" spans="1:90">
      <c r="A1437" s="7" t="str">
        <f t="shared" si="221"/>
        <v>02860830</v>
      </c>
      <c r="B1437" s="7" t="s">
        <v>2625</v>
      </c>
      <c r="C1437" s="7" t="s">
        <v>2764</v>
      </c>
      <c r="D1437" s="7">
        <v>1428</v>
      </c>
      <c r="E1437" s="7">
        <v>286</v>
      </c>
      <c r="F1437" s="7" t="s">
        <v>1991</v>
      </c>
      <c r="G1437" s="7">
        <v>830</v>
      </c>
      <c r="H1437" s="7" t="s">
        <v>1691</v>
      </c>
      <c r="I1437" s="70">
        <v>227162</v>
      </c>
      <c r="J1437" s="131">
        <v>1.8518311559371597E-2</v>
      </c>
      <c r="K1437" s="123">
        <f t="shared" si="220"/>
        <v>293656.92616387416</v>
      </c>
      <c r="L1437" s="122">
        <f>IF(K1439&gt;0, K1437/K1439, 0)</f>
        <v>2.3828940671791549E-2</v>
      </c>
      <c r="M1437" s="71"/>
      <c r="N1437" s="10">
        <f>ROUND(M1439*L1437,0)</f>
        <v>243857</v>
      </c>
      <c r="O1437" s="70">
        <v>189647</v>
      </c>
      <c r="P1437" s="10">
        <f>N1437-O1437</f>
        <v>54210</v>
      </c>
      <c r="Q1437" s="46">
        <f t="shared" si="229"/>
        <v>28.584686285572669</v>
      </c>
      <c r="R1437" s="10">
        <v>13</v>
      </c>
      <c r="S1437" s="7">
        <f t="shared" si="222"/>
        <v>0</v>
      </c>
      <c r="T1437" s="124">
        <f t="shared" si="223"/>
        <v>286</v>
      </c>
      <c r="U1437" s="124">
        <f t="shared" si="224"/>
        <v>830</v>
      </c>
      <c r="V1437" s="124">
        <f t="shared" si="225"/>
        <v>1428</v>
      </c>
      <c r="W1437" s="124">
        <f t="shared" si="226"/>
        <v>16.04637681014</v>
      </c>
      <c r="X1437" s="124">
        <f t="shared" si="227"/>
        <v>293656.92616387416</v>
      </c>
      <c r="Y1437" s="264">
        <f t="shared" si="228"/>
        <v>1428</v>
      </c>
      <c r="Z1437" s="10">
        <v>286</v>
      </c>
      <c r="AA1437" s="7">
        <v>830</v>
      </c>
      <c r="AB1437" s="7">
        <v>1428</v>
      </c>
      <c r="AC1437" s="109">
        <v>16.04637681014</v>
      </c>
      <c r="AD1437" s="109">
        <v>293656.92616387416</v>
      </c>
      <c r="AE1437" s="125"/>
      <c r="AF1437" s="10"/>
      <c r="AI1437" s="109"/>
      <c r="AJ1437" s="109"/>
      <c r="AL1437" s="10"/>
      <c r="AO1437" s="109"/>
      <c r="AP1437" s="109"/>
      <c r="AR1437" s="10"/>
      <c r="AU1437" s="109"/>
      <c r="AV1437" s="109"/>
      <c r="AX1437" s="10"/>
      <c r="BA1437" s="109"/>
      <c r="BB1437" s="109"/>
      <c r="BD1437" s="10"/>
      <c r="BG1437" s="109"/>
      <c r="BH1437" s="109"/>
      <c r="BJ1437" s="10"/>
      <c r="BM1437" s="109"/>
      <c r="BN1437" s="109"/>
      <c r="BP1437" s="10"/>
      <c r="BS1437" s="109"/>
      <c r="BT1437" s="109"/>
      <c r="BV1437" s="10"/>
      <c r="BY1437" s="109"/>
      <c r="BZ1437" s="109"/>
      <c r="CB1437" s="10"/>
      <c r="CE1437" s="109"/>
      <c r="CF1437" s="109"/>
      <c r="CH1437" s="10"/>
      <c r="CK1437" s="109"/>
      <c r="CL1437" s="109"/>
    </row>
    <row r="1438" spans="1:90">
      <c r="A1438" s="7" t="str">
        <f t="shared" si="221"/>
        <v>02860998</v>
      </c>
      <c r="B1438" s="7" t="s">
        <v>2625</v>
      </c>
      <c r="C1438" s="7" t="s">
        <v>2781</v>
      </c>
      <c r="D1438" s="7">
        <v>1429</v>
      </c>
      <c r="E1438" s="7">
        <v>286</v>
      </c>
      <c r="F1438" s="7" t="s">
        <v>2135</v>
      </c>
      <c r="G1438" s="7">
        <v>998</v>
      </c>
      <c r="H1438" s="7" t="s">
        <v>2135</v>
      </c>
      <c r="I1438" s="70">
        <v>0</v>
      </c>
      <c r="J1438" s="131">
        <v>0</v>
      </c>
      <c r="K1438" s="123">
        <f t="shared" si="220"/>
        <v>0</v>
      </c>
      <c r="L1438" s="122">
        <f>IF(K1439&gt;0, K1438/K1439, 0)</f>
        <v>0</v>
      </c>
      <c r="M1438" s="71"/>
      <c r="N1438" s="10">
        <f>ROUND(M1439*L1438,0)</f>
        <v>0</v>
      </c>
      <c r="O1438" s="70">
        <v>0</v>
      </c>
      <c r="P1438" s="10">
        <f>N1438-O1438</f>
        <v>0</v>
      </c>
      <c r="Q1438" s="46">
        <f t="shared" si="229"/>
        <v>0</v>
      </c>
      <c r="R1438" s="10">
        <v>0</v>
      </c>
      <c r="S1438" s="7">
        <f t="shared" si="222"/>
        <v>0</v>
      </c>
      <c r="T1438" s="124">
        <f t="shared" si="223"/>
        <v>286</v>
      </c>
      <c r="U1438" s="124">
        <f t="shared" si="224"/>
        <v>998</v>
      </c>
      <c r="V1438" s="124">
        <f t="shared" si="225"/>
        <v>1429</v>
      </c>
      <c r="W1438" s="124">
        <f t="shared" si="226"/>
        <v>0</v>
      </c>
      <c r="X1438" s="124">
        <f t="shared" si="227"/>
        <v>0</v>
      </c>
      <c r="Y1438" s="264">
        <f t="shared" si="228"/>
        <v>1429</v>
      </c>
      <c r="Z1438" s="10">
        <v>286</v>
      </c>
      <c r="AA1438" s="7">
        <v>998</v>
      </c>
      <c r="AB1438" s="7">
        <v>1429</v>
      </c>
      <c r="AC1438" s="109">
        <v>0</v>
      </c>
      <c r="AD1438" s="109">
        <v>0</v>
      </c>
      <c r="AE1438" s="125"/>
      <c r="AF1438" s="10"/>
      <c r="AI1438" s="109"/>
      <c r="AJ1438" s="109"/>
      <c r="AL1438" s="10"/>
      <c r="AO1438" s="109"/>
      <c r="AP1438" s="109"/>
      <c r="AR1438" s="10"/>
      <c r="AU1438" s="109"/>
      <c r="AV1438" s="109"/>
      <c r="AX1438" s="10"/>
      <c r="BA1438" s="109"/>
      <c r="BB1438" s="109"/>
      <c r="BD1438" s="10"/>
      <c r="BG1438" s="109"/>
      <c r="BH1438" s="109"/>
      <c r="BJ1438" s="10"/>
      <c r="BM1438" s="109"/>
      <c r="BN1438" s="109"/>
      <c r="BP1438" s="10"/>
      <c r="BS1438" s="109"/>
      <c r="BT1438" s="109"/>
      <c r="BV1438" s="10"/>
      <c r="BY1438" s="109"/>
      <c r="BZ1438" s="109"/>
      <c r="CB1438" s="10"/>
      <c r="CE1438" s="109"/>
      <c r="CF1438" s="109"/>
      <c r="CH1438" s="10"/>
      <c r="CK1438" s="109"/>
      <c r="CL1438" s="109"/>
    </row>
    <row r="1439" spans="1:90">
      <c r="A1439" s="7" t="str">
        <f t="shared" si="221"/>
        <v>02860999</v>
      </c>
      <c r="B1439" s="7" t="s">
        <v>2625</v>
      </c>
      <c r="C1439" s="7" t="s">
        <v>2782</v>
      </c>
      <c r="D1439" s="7">
        <v>1430</v>
      </c>
      <c r="E1439" s="11">
        <v>286</v>
      </c>
      <c r="F1439" s="11" t="s">
        <v>1991</v>
      </c>
      <c r="G1439" s="11">
        <v>999</v>
      </c>
      <c r="H1439" s="11" t="s">
        <v>1132</v>
      </c>
      <c r="I1439" s="134">
        <v>12266885.092180001</v>
      </c>
      <c r="J1439" s="135">
        <v>0.99999999999999989</v>
      </c>
      <c r="K1439" s="127">
        <f>SUM(K1435:K1438)</f>
        <v>12323540.949997082</v>
      </c>
      <c r="L1439" s="126">
        <f>SUM(L1435:L1438)</f>
        <v>0.99999999999999989</v>
      </c>
      <c r="M1439" s="105">
        <f>VLOOKUP(E1439,town351,22)</f>
        <v>10233654</v>
      </c>
      <c r="N1439" s="105">
        <f>SUM(N1435:N1438)</f>
        <v>10233654</v>
      </c>
      <c r="O1439" s="128">
        <v>10241079</v>
      </c>
      <c r="P1439" s="105">
        <f>SUM(P1435:P1438)</f>
        <v>-7425</v>
      </c>
      <c r="Q1439" s="45">
        <f t="shared" si="229"/>
        <v>-7.2502125996684527E-2</v>
      </c>
      <c r="R1439" s="105">
        <v>1286</v>
      </c>
      <c r="S1439" s="7">
        <f t="shared" si="222"/>
        <v>0</v>
      </c>
      <c r="T1439" s="124">
        <f t="shared" si="223"/>
        <v>286</v>
      </c>
      <c r="U1439" s="124">
        <f t="shared" si="224"/>
        <v>999</v>
      </c>
      <c r="V1439" s="124">
        <f t="shared" si="225"/>
        <v>1430</v>
      </c>
      <c r="W1439" s="124">
        <f t="shared" si="226"/>
        <v>1254.80052461886</v>
      </c>
      <c r="X1439" s="124">
        <f t="shared" si="227"/>
        <v>12323540.949997082</v>
      </c>
      <c r="Y1439" s="264">
        <f t="shared" si="228"/>
        <v>1430</v>
      </c>
      <c r="Z1439" s="10">
        <v>286</v>
      </c>
      <c r="AA1439" s="7">
        <v>999</v>
      </c>
      <c r="AB1439" s="7">
        <v>1430</v>
      </c>
      <c r="AC1439" s="109">
        <v>1254.80052461886</v>
      </c>
      <c r="AD1439" s="109">
        <v>12323540.949997082</v>
      </c>
      <c r="AE1439" s="125"/>
      <c r="AF1439" s="10"/>
      <c r="AI1439" s="109"/>
      <c r="AJ1439" s="109"/>
      <c r="AL1439" s="10"/>
      <c r="AO1439" s="109"/>
      <c r="AP1439" s="109"/>
      <c r="AR1439" s="10"/>
      <c r="AU1439" s="109"/>
      <c r="AV1439" s="109"/>
      <c r="AX1439" s="10"/>
      <c r="BA1439" s="109"/>
      <c r="BB1439" s="109"/>
      <c r="BD1439" s="10"/>
      <c r="BG1439" s="109"/>
      <c r="BH1439" s="109"/>
      <c r="BJ1439" s="10"/>
      <c r="BM1439" s="109"/>
      <c r="BN1439" s="109"/>
      <c r="BP1439" s="10"/>
      <c r="BS1439" s="109"/>
      <c r="BT1439" s="109"/>
      <c r="BV1439" s="10"/>
      <c r="BY1439" s="109"/>
      <c r="BZ1439" s="109"/>
      <c r="CB1439" s="10"/>
      <c r="CE1439" s="109"/>
      <c r="CF1439" s="109"/>
      <c r="CH1439" s="10"/>
      <c r="CK1439" s="109"/>
      <c r="CL1439" s="109"/>
    </row>
    <row r="1440" spans="1:90">
      <c r="A1440" s="7" t="str">
        <f t="shared" si="221"/>
        <v>02870287</v>
      </c>
      <c r="B1440" s="7" t="s">
        <v>2626</v>
      </c>
      <c r="C1440" s="7" t="s">
        <v>2626</v>
      </c>
      <c r="D1440" s="7">
        <v>1431</v>
      </c>
      <c r="E1440" s="7">
        <v>287</v>
      </c>
      <c r="F1440" s="7" t="s">
        <v>1992</v>
      </c>
      <c r="G1440" s="7">
        <v>287</v>
      </c>
      <c r="H1440" s="7" t="s">
        <v>1553</v>
      </c>
      <c r="I1440" s="70">
        <v>8568351.209999999</v>
      </c>
      <c r="J1440" s="131">
        <v>0.48967163268502822</v>
      </c>
      <c r="K1440" s="123">
        <f>X1440</f>
        <v>8170415.9676968697</v>
      </c>
      <c r="L1440" s="122">
        <f>IF(K1444&gt;0, K1440/K1444, 0)</f>
        <v>0.46957340929780161</v>
      </c>
      <c r="M1440" s="71"/>
      <c r="N1440" s="10">
        <f>ROUND(M1444*L1440,0)</f>
        <v>4697967</v>
      </c>
      <c r="O1440" s="70">
        <v>4799267</v>
      </c>
      <c r="P1440" s="10">
        <f>N1440-O1440</f>
        <v>-101300</v>
      </c>
      <c r="Q1440" s="46">
        <f t="shared" si="229"/>
        <v>-2.1107389941005574</v>
      </c>
      <c r="R1440" s="10">
        <v>933</v>
      </c>
      <c r="S1440" s="7">
        <f t="shared" si="222"/>
        <v>0</v>
      </c>
      <c r="T1440" s="124">
        <f t="shared" si="223"/>
        <v>287</v>
      </c>
      <c r="U1440" s="124">
        <f t="shared" si="224"/>
        <v>287</v>
      </c>
      <c r="V1440" s="124">
        <f t="shared" si="225"/>
        <v>1431</v>
      </c>
      <c r="W1440" s="124">
        <f t="shared" si="226"/>
        <v>871</v>
      </c>
      <c r="X1440" s="124">
        <f t="shared" si="227"/>
        <v>8170415.9676968697</v>
      </c>
      <c r="Y1440" s="264">
        <f t="shared" si="228"/>
        <v>1431</v>
      </c>
      <c r="Z1440" s="10">
        <v>287</v>
      </c>
      <c r="AA1440" s="7">
        <v>287</v>
      </c>
      <c r="AB1440" s="7">
        <v>1431</v>
      </c>
      <c r="AC1440" s="109">
        <v>871</v>
      </c>
      <c r="AD1440" s="109">
        <v>8170415.9676968697</v>
      </c>
      <c r="AE1440" s="125"/>
      <c r="AF1440" s="10"/>
      <c r="AI1440" s="109"/>
      <c r="AJ1440" s="109"/>
      <c r="AL1440" s="10"/>
      <c r="AO1440" s="109"/>
      <c r="AP1440" s="109"/>
      <c r="AR1440" s="10"/>
      <c r="AU1440" s="109"/>
      <c r="AV1440" s="109"/>
      <c r="AX1440" s="10"/>
      <c r="BA1440" s="109"/>
      <c r="BB1440" s="109"/>
      <c r="BD1440" s="10"/>
      <c r="BG1440" s="109"/>
      <c r="BH1440" s="109"/>
      <c r="BJ1440" s="10"/>
      <c r="BM1440" s="109"/>
      <c r="BN1440" s="109"/>
      <c r="BP1440" s="10"/>
      <c r="BS1440" s="109"/>
      <c r="BT1440" s="109"/>
      <c r="BV1440" s="10"/>
      <c r="BY1440" s="109"/>
      <c r="BZ1440" s="109"/>
      <c r="CB1440" s="10"/>
      <c r="CE1440" s="109"/>
      <c r="CF1440" s="109"/>
      <c r="CH1440" s="10"/>
      <c r="CK1440" s="109"/>
      <c r="CL1440" s="109"/>
    </row>
    <row r="1441" spans="1:90">
      <c r="A1441" s="7" t="str">
        <f t="shared" si="221"/>
        <v>02870770</v>
      </c>
      <c r="B1441" s="7" t="s">
        <v>2626</v>
      </c>
      <c r="C1441" s="7" t="s">
        <v>2746</v>
      </c>
      <c r="D1441" s="7">
        <v>1432</v>
      </c>
      <c r="E1441" s="7">
        <v>287</v>
      </c>
      <c r="F1441" s="7" t="s">
        <v>1992</v>
      </c>
      <c r="G1441" s="7">
        <v>770</v>
      </c>
      <c r="H1441" s="7" t="s">
        <v>1673</v>
      </c>
      <c r="I1441" s="70">
        <v>8929806</v>
      </c>
      <c r="J1441" s="131">
        <v>0.51032836731497166</v>
      </c>
      <c r="K1441" s="123">
        <f t="shared" si="220"/>
        <v>9229240.413857786</v>
      </c>
      <c r="L1441" s="122">
        <f>IF(K1444&gt;0, K1441/K1444, 0)</f>
        <v>0.53042659070219844</v>
      </c>
      <c r="M1441" s="71"/>
      <c r="N1441" s="10">
        <f>ROUND(M1444*L1441,0)</f>
        <v>5306788</v>
      </c>
      <c r="O1441" s="70">
        <v>5001724</v>
      </c>
      <c r="P1441" s="10">
        <f>N1441-O1441</f>
        <v>305064</v>
      </c>
      <c r="Q1441" s="46">
        <f t="shared" si="229"/>
        <v>6.0991770037691007</v>
      </c>
      <c r="R1441" s="10">
        <v>783</v>
      </c>
      <c r="S1441" s="7">
        <f t="shared" si="222"/>
        <v>0</v>
      </c>
      <c r="T1441" s="124">
        <f t="shared" si="223"/>
        <v>287</v>
      </c>
      <c r="U1441" s="124">
        <f t="shared" si="224"/>
        <v>770</v>
      </c>
      <c r="V1441" s="124">
        <f t="shared" si="225"/>
        <v>1432</v>
      </c>
      <c r="W1441" s="124">
        <f t="shared" si="226"/>
        <v>800.99999999921999</v>
      </c>
      <c r="X1441" s="124">
        <f t="shared" si="227"/>
        <v>9229240.413857786</v>
      </c>
      <c r="Y1441" s="264">
        <f t="shared" si="228"/>
        <v>1432</v>
      </c>
      <c r="Z1441" s="10">
        <v>287</v>
      </c>
      <c r="AA1441" s="7">
        <v>770</v>
      </c>
      <c r="AB1441" s="7">
        <v>1432</v>
      </c>
      <c r="AC1441" s="109">
        <v>800.99999999921999</v>
      </c>
      <c r="AD1441" s="109">
        <v>9229240.413857786</v>
      </c>
      <c r="AE1441" s="125"/>
      <c r="AF1441" s="10"/>
      <c r="AI1441" s="109"/>
      <c r="AJ1441" s="109"/>
      <c r="AL1441" s="10"/>
      <c r="AO1441" s="109"/>
      <c r="AP1441" s="109"/>
      <c r="AR1441" s="10"/>
      <c r="AU1441" s="109"/>
      <c r="AV1441" s="109"/>
      <c r="AX1441" s="10"/>
      <c r="BA1441" s="109"/>
      <c r="BB1441" s="109"/>
      <c r="BD1441" s="10"/>
      <c r="BG1441" s="109"/>
      <c r="BH1441" s="109"/>
      <c r="BJ1441" s="10"/>
      <c r="BM1441" s="109"/>
      <c r="BN1441" s="109"/>
      <c r="BP1441" s="10"/>
      <c r="BS1441" s="109"/>
      <c r="BT1441" s="109"/>
      <c r="BV1441" s="10"/>
      <c r="BY1441" s="109"/>
      <c r="BZ1441" s="109"/>
      <c r="CB1441" s="10"/>
      <c r="CE1441" s="109"/>
      <c r="CF1441" s="109"/>
      <c r="CH1441" s="10"/>
      <c r="CK1441" s="109"/>
      <c r="CL1441" s="109"/>
    </row>
    <row r="1442" spans="1:90">
      <c r="A1442" s="7" t="str">
        <f t="shared" si="221"/>
        <v>02870998</v>
      </c>
      <c r="B1442" s="7" t="s">
        <v>2626</v>
      </c>
      <c r="C1442" s="7" t="s">
        <v>2781</v>
      </c>
      <c r="D1442" s="7">
        <v>1433</v>
      </c>
      <c r="E1442" s="7">
        <v>287</v>
      </c>
      <c r="F1442" s="7" t="s">
        <v>2135</v>
      </c>
      <c r="G1442" s="7">
        <v>998</v>
      </c>
      <c r="H1442" s="7" t="s">
        <v>2135</v>
      </c>
      <c r="I1442" s="70">
        <v>0</v>
      </c>
      <c r="J1442" s="131">
        <v>0</v>
      </c>
      <c r="K1442" s="123">
        <f t="shared" si="220"/>
        <v>0</v>
      </c>
      <c r="L1442" s="122">
        <f>IF(K1444&gt;0, K1442/K1444, 0)</f>
        <v>0</v>
      </c>
      <c r="M1442" s="71"/>
      <c r="N1442" s="10">
        <f>ROUND(M1444*L1442,0)</f>
        <v>0</v>
      </c>
      <c r="O1442" s="70">
        <v>0</v>
      </c>
      <c r="P1442" s="10">
        <f>N1442-O1442</f>
        <v>0</v>
      </c>
      <c r="Q1442" s="46">
        <f t="shared" si="229"/>
        <v>0</v>
      </c>
      <c r="R1442" s="10">
        <v>0</v>
      </c>
      <c r="S1442" s="7">
        <f t="shared" si="222"/>
        <v>0</v>
      </c>
      <c r="T1442" s="124">
        <f t="shared" si="223"/>
        <v>287</v>
      </c>
      <c r="U1442" s="124">
        <f t="shared" si="224"/>
        <v>998</v>
      </c>
      <c r="V1442" s="124">
        <f t="shared" si="225"/>
        <v>1433</v>
      </c>
      <c r="W1442" s="124">
        <f t="shared" si="226"/>
        <v>0</v>
      </c>
      <c r="X1442" s="124">
        <f t="shared" si="227"/>
        <v>0</v>
      </c>
      <c r="Y1442" s="264">
        <f t="shared" si="228"/>
        <v>1433</v>
      </c>
      <c r="Z1442" s="10">
        <v>287</v>
      </c>
      <c r="AA1442" s="7">
        <v>998</v>
      </c>
      <c r="AB1442" s="7">
        <v>1433</v>
      </c>
      <c r="AC1442" s="109">
        <v>0</v>
      </c>
      <c r="AD1442" s="109">
        <v>0</v>
      </c>
      <c r="AE1442" s="125"/>
      <c r="AF1442" s="10"/>
      <c r="AI1442" s="109"/>
      <c r="AJ1442" s="109"/>
      <c r="AL1442" s="10"/>
      <c r="AO1442" s="109"/>
      <c r="AP1442" s="109"/>
      <c r="AR1442" s="10"/>
      <c r="AU1442" s="109"/>
      <c r="AV1442" s="109"/>
      <c r="AX1442" s="10"/>
      <c r="BA1442" s="109"/>
      <c r="BB1442" s="109"/>
      <c r="BD1442" s="10"/>
      <c r="BG1442" s="109"/>
      <c r="BH1442" s="109"/>
      <c r="BJ1442" s="10"/>
      <c r="BM1442" s="109"/>
      <c r="BN1442" s="109"/>
      <c r="BP1442" s="10"/>
      <c r="BS1442" s="109"/>
      <c r="BT1442" s="109"/>
      <c r="BV1442" s="10"/>
      <c r="BY1442" s="109"/>
      <c r="BZ1442" s="109"/>
      <c r="CB1442" s="10"/>
      <c r="CE1442" s="109"/>
      <c r="CF1442" s="109"/>
      <c r="CH1442" s="10"/>
      <c r="CK1442" s="109"/>
      <c r="CL1442" s="109"/>
    </row>
    <row r="1443" spans="1:90">
      <c r="A1443" s="7" t="str">
        <f t="shared" si="221"/>
        <v>02870998</v>
      </c>
      <c r="B1443" s="7" t="s">
        <v>2626</v>
      </c>
      <c r="C1443" s="7" t="s">
        <v>2781</v>
      </c>
      <c r="D1443" s="7">
        <v>1434</v>
      </c>
      <c r="E1443" s="7">
        <v>287</v>
      </c>
      <c r="F1443" s="7" t="s">
        <v>2135</v>
      </c>
      <c r="G1443" s="7">
        <v>998</v>
      </c>
      <c r="H1443" s="7" t="s">
        <v>2135</v>
      </c>
      <c r="I1443" s="70">
        <v>0</v>
      </c>
      <c r="J1443" s="131">
        <v>0</v>
      </c>
      <c r="K1443" s="123">
        <f t="shared" si="220"/>
        <v>0</v>
      </c>
      <c r="L1443" s="122">
        <f>IF(K1444&gt;0, K1443/K1444, 0)</f>
        <v>0</v>
      </c>
      <c r="M1443" s="71"/>
      <c r="N1443" s="10">
        <f>ROUND(M1444*L1443,0)</f>
        <v>0</v>
      </c>
      <c r="O1443" s="70">
        <v>0</v>
      </c>
      <c r="P1443" s="10">
        <f>N1443-O1443</f>
        <v>0</v>
      </c>
      <c r="Q1443" s="46">
        <f t="shared" si="229"/>
        <v>0</v>
      </c>
      <c r="R1443" s="10">
        <v>0</v>
      </c>
      <c r="S1443" s="7">
        <f t="shared" si="222"/>
        <v>0</v>
      </c>
      <c r="T1443" s="124">
        <f t="shared" si="223"/>
        <v>287</v>
      </c>
      <c r="U1443" s="124">
        <f t="shared" si="224"/>
        <v>998</v>
      </c>
      <c r="V1443" s="124">
        <f t="shared" si="225"/>
        <v>1434</v>
      </c>
      <c r="W1443" s="124">
        <f t="shared" si="226"/>
        <v>0</v>
      </c>
      <c r="X1443" s="124">
        <f t="shared" si="227"/>
        <v>0</v>
      </c>
      <c r="Y1443" s="264">
        <f t="shared" si="228"/>
        <v>1434</v>
      </c>
      <c r="Z1443" s="10">
        <v>287</v>
      </c>
      <c r="AA1443" s="7">
        <v>998</v>
      </c>
      <c r="AB1443" s="7">
        <v>1434</v>
      </c>
      <c r="AC1443" s="109">
        <v>0</v>
      </c>
      <c r="AD1443" s="109">
        <v>0</v>
      </c>
      <c r="AE1443" s="125"/>
      <c r="AF1443" s="10"/>
      <c r="AI1443" s="109"/>
      <c r="AJ1443" s="109"/>
      <c r="AL1443" s="10"/>
      <c r="AO1443" s="109"/>
      <c r="AP1443" s="109"/>
      <c r="AR1443" s="10"/>
      <c r="AU1443" s="109"/>
      <c r="AV1443" s="109"/>
      <c r="AX1443" s="10"/>
      <c r="BA1443" s="109"/>
      <c r="BB1443" s="109"/>
      <c r="BD1443" s="10"/>
      <c r="BG1443" s="109"/>
      <c r="BH1443" s="109"/>
      <c r="BJ1443" s="10"/>
      <c r="BM1443" s="109"/>
      <c r="BN1443" s="109"/>
      <c r="BP1443" s="10"/>
      <c r="BS1443" s="109"/>
      <c r="BT1443" s="109"/>
      <c r="BV1443" s="10"/>
      <c r="BY1443" s="109"/>
      <c r="BZ1443" s="109"/>
      <c r="CB1443" s="10"/>
      <c r="CE1443" s="109"/>
      <c r="CF1443" s="109"/>
      <c r="CH1443" s="10"/>
      <c r="CK1443" s="109"/>
      <c r="CL1443" s="109"/>
    </row>
    <row r="1444" spans="1:90">
      <c r="A1444" s="7" t="str">
        <f t="shared" si="221"/>
        <v>02870999</v>
      </c>
      <c r="B1444" s="7" t="s">
        <v>2626</v>
      </c>
      <c r="C1444" s="7" t="s">
        <v>2782</v>
      </c>
      <c r="D1444" s="7">
        <v>1435</v>
      </c>
      <c r="E1444" s="11">
        <v>287</v>
      </c>
      <c r="F1444" s="11" t="s">
        <v>1992</v>
      </c>
      <c r="G1444" s="11">
        <v>999</v>
      </c>
      <c r="H1444" s="11" t="s">
        <v>1132</v>
      </c>
      <c r="I1444" s="134">
        <v>17498157.210000001</v>
      </c>
      <c r="J1444" s="135">
        <v>0.99999999999999989</v>
      </c>
      <c r="K1444" s="127">
        <f>SUM(K1440:K1443)</f>
        <v>17399656.381554656</v>
      </c>
      <c r="L1444" s="126">
        <f>SUM(L1440:L1443)</f>
        <v>1</v>
      </c>
      <c r="M1444" s="105">
        <f>VLOOKUP(E1444,town351,22)</f>
        <v>10004755</v>
      </c>
      <c r="N1444" s="105">
        <f>SUM(N1440:N1443)</f>
        <v>10004755</v>
      </c>
      <c r="O1444" s="128">
        <v>9800991</v>
      </c>
      <c r="P1444" s="105">
        <f>SUM(P1440:P1443)</f>
        <v>203764</v>
      </c>
      <c r="Q1444" s="45">
        <f t="shared" si="229"/>
        <v>2.0790142547830111</v>
      </c>
      <c r="R1444" s="105">
        <v>1716</v>
      </c>
      <c r="S1444" s="7">
        <f t="shared" si="222"/>
        <v>0</v>
      </c>
      <c r="T1444" s="124">
        <f t="shared" si="223"/>
        <v>287</v>
      </c>
      <c r="U1444" s="124">
        <f t="shared" si="224"/>
        <v>999</v>
      </c>
      <c r="V1444" s="124">
        <f t="shared" si="225"/>
        <v>1435</v>
      </c>
      <c r="W1444" s="124">
        <f t="shared" si="226"/>
        <v>1671.9999999992201</v>
      </c>
      <c r="X1444" s="124">
        <f t="shared" si="227"/>
        <v>17399656.381554656</v>
      </c>
      <c r="Y1444" s="264">
        <f t="shared" si="228"/>
        <v>1435</v>
      </c>
      <c r="Z1444" s="10">
        <v>287</v>
      </c>
      <c r="AA1444" s="7">
        <v>999</v>
      </c>
      <c r="AB1444" s="7">
        <v>1435</v>
      </c>
      <c r="AC1444" s="109">
        <v>1671.9999999992201</v>
      </c>
      <c r="AD1444" s="109">
        <v>17399656.381554656</v>
      </c>
      <c r="AE1444" s="125"/>
      <c r="AF1444" s="10"/>
      <c r="AI1444" s="109"/>
      <c r="AJ1444" s="109"/>
      <c r="AL1444" s="10"/>
      <c r="AO1444" s="109"/>
      <c r="AP1444" s="109"/>
      <c r="AR1444" s="10"/>
      <c r="AU1444" s="109"/>
      <c r="AV1444" s="109"/>
      <c r="AX1444" s="10"/>
      <c r="BA1444" s="109"/>
      <c r="BB1444" s="109"/>
      <c r="BD1444" s="10"/>
      <c r="BG1444" s="109"/>
      <c r="BH1444" s="109"/>
      <c r="BJ1444" s="10"/>
      <c r="BM1444" s="109"/>
      <c r="BN1444" s="109"/>
      <c r="BP1444" s="10"/>
      <c r="BS1444" s="109"/>
      <c r="BT1444" s="109"/>
      <c r="BV1444" s="10"/>
      <c r="BY1444" s="109"/>
      <c r="BZ1444" s="109"/>
      <c r="CB1444" s="10"/>
      <c r="CE1444" s="109"/>
      <c r="CF1444" s="109"/>
      <c r="CH1444" s="10"/>
      <c r="CK1444" s="109"/>
      <c r="CL1444" s="109"/>
    </row>
    <row r="1445" spans="1:90">
      <c r="A1445" s="7" t="str">
        <f t="shared" si="221"/>
        <v>02880288</v>
      </c>
      <c r="B1445" s="7" t="s">
        <v>2627</v>
      </c>
      <c r="C1445" s="7" t="s">
        <v>2627</v>
      </c>
      <c r="D1445" s="7">
        <v>1436</v>
      </c>
      <c r="E1445" s="7">
        <v>288</v>
      </c>
      <c r="F1445" s="7" t="s">
        <v>1993</v>
      </c>
      <c r="G1445" s="7">
        <v>288</v>
      </c>
      <c r="H1445" s="7" t="s">
        <v>1554</v>
      </c>
      <c r="I1445" s="70">
        <v>25153175.96328</v>
      </c>
      <c r="J1445" s="131">
        <v>0.6166378073118749</v>
      </c>
      <c r="K1445" s="123">
        <f t="shared" ref="K1445:K1508" si="230">X1445</f>
        <v>25474395.707632355</v>
      </c>
      <c r="L1445" s="122">
        <f>IF(K1449&gt;0, K1445/K1449, 0)</f>
        <v>0.62826686960716072</v>
      </c>
      <c r="M1445" s="71"/>
      <c r="N1445" s="10">
        <f>ROUND(M1449*L1445,0)</f>
        <v>21173624</v>
      </c>
      <c r="O1445" s="70">
        <v>20930012</v>
      </c>
      <c r="P1445" s="10">
        <f>N1445-O1445</f>
        <v>243612</v>
      </c>
      <c r="Q1445" s="46">
        <f t="shared" si="229"/>
        <v>1.1639362653017113</v>
      </c>
      <c r="R1445" s="10">
        <v>2803</v>
      </c>
      <c r="S1445" s="7">
        <f t="shared" si="222"/>
        <v>0</v>
      </c>
      <c r="T1445" s="124">
        <f t="shared" si="223"/>
        <v>288</v>
      </c>
      <c r="U1445" s="124">
        <f t="shared" si="224"/>
        <v>288</v>
      </c>
      <c r="V1445" s="124">
        <f t="shared" si="225"/>
        <v>1436</v>
      </c>
      <c r="W1445" s="124">
        <f t="shared" si="226"/>
        <v>2788</v>
      </c>
      <c r="X1445" s="124">
        <f t="shared" si="227"/>
        <v>25474395.707632355</v>
      </c>
      <c r="Y1445" s="264">
        <f t="shared" si="228"/>
        <v>1436</v>
      </c>
      <c r="Z1445" s="10">
        <v>288</v>
      </c>
      <c r="AA1445" s="7">
        <v>288</v>
      </c>
      <c r="AB1445" s="7">
        <v>1436</v>
      </c>
      <c r="AC1445" s="109">
        <v>2788</v>
      </c>
      <c r="AD1445" s="109">
        <v>25474395.707632355</v>
      </c>
      <c r="AE1445" s="125"/>
      <c r="AF1445" s="10"/>
      <c r="AI1445" s="109"/>
      <c r="AJ1445" s="109"/>
      <c r="AL1445" s="10"/>
      <c r="AO1445" s="109"/>
      <c r="AP1445" s="109"/>
      <c r="AR1445" s="10"/>
      <c r="AU1445" s="109"/>
      <c r="AV1445" s="109"/>
      <c r="AX1445" s="10"/>
      <c r="BA1445" s="109"/>
      <c r="BB1445" s="109"/>
      <c r="BD1445" s="10"/>
      <c r="BG1445" s="109"/>
      <c r="BH1445" s="109"/>
      <c r="BJ1445" s="10"/>
      <c r="BM1445" s="109"/>
      <c r="BN1445" s="109"/>
      <c r="BP1445" s="10"/>
      <c r="BS1445" s="109"/>
      <c r="BT1445" s="109"/>
      <c r="BV1445" s="10"/>
      <c r="BY1445" s="109"/>
      <c r="BZ1445" s="109"/>
      <c r="CB1445" s="10"/>
      <c r="CE1445" s="109"/>
      <c r="CF1445" s="109"/>
      <c r="CH1445" s="10"/>
      <c r="CK1445" s="109"/>
      <c r="CL1445" s="109"/>
    </row>
    <row r="1446" spans="1:90">
      <c r="A1446" s="7" t="str">
        <f t="shared" si="221"/>
        <v>02880695</v>
      </c>
      <c r="B1446" s="7" t="s">
        <v>2627</v>
      </c>
      <c r="C1446" s="7" t="s">
        <v>2723</v>
      </c>
      <c r="D1446" s="7">
        <v>1437</v>
      </c>
      <c r="E1446" s="7">
        <v>288</v>
      </c>
      <c r="F1446" s="7" t="s">
        <v>1993</v>
      </c>
      <c r="G1446" s="7">
        <v>695</v>
      </c>
      <c r="H1446" s="7" t="s">
        <v>1650</v>
      </c>
      <c r="I1446" s="70">
        <v>15200817</v>
      </c>
      <c r="J1446" s="131">
        <v>0.3726526812324964</v>
      </c>
      <c r="K1446" s="123">
        <f t="shared" si="230"/>
        <v>15072698.115030693</v>
      </c>
      <c r="L1446" s="122">
        <f>IF(K1449&gt;0, K1446/K1449, 0)</f>
        <v>0.37173313039283934</v>
      </c>
      <c r="M1446" s="71"/>
      <c r="N1446" s="10">
        <f>ROUND(M1449*L1446,0)</f>
        <v>12528016</v>
      </c>
      <c r="O1446" s="70">
        <v>12648632</v>
      </c>
      <c r="P1446" s="10">
        <f>N1446-O1446</f>
        <v>-120616</v>
      </c>
      <c r="Q1446" s="46">
        <f t="shared" si="229"/>
        <v>-0.9535892893397484</v>
      </c>
      <c r="R1446" s="10">
        <v>1446</v>
      </c>
      <c r="S1446" s="7">
        <f t="shared" si="222"/>
        <v>0</v>
      </c>
      <c r="T1446" s="124">
        <f t="shared" si="223"/>
        <v>288</v>
      </c>
      <c r="U1446" s="124">
        <f t="shared" si="224"/>
        <v>695</v>
      </c>
      <c r="V1446" s="124">
        <f t="shared" si="225"/>
        <v>1437</v>
      </c>
      <c r="W1446" s="124">
        <f t="shared" si="226"/>
        <v>1421.4937541042</v>
      </c>
      <c r="X1446" s="124">
        <f t="shared" si="227"/>
        <v>15072698.115030693</v>
      </c>
      <c r="Y1446" s="264">
        <f t="shared" si="228"/>
        <v>1437</v>
      </c>
      <c r="Z1446" s="10">
        <v>288</v>
      </c>
      <c r="AA1446" s="7">
        <v>695</v>
      </c>
      <c r="AB1446" s="7">
        <v>1437</v>
      </c>
      <c r="AC1446" s="109">
        <v>1421.4937541042</v>
      </c>
      <c r="AD1446" s="109">
        <v>15072698.115030693</v>
      </c>
      <c r="AE1446" s="125"/>
      <c r="AF1446" s="10"/>
      <c r="AI1446" s="109"/>
      <c r="AJ1446" s="109"/>
      <c r="AL1446" s="10"/>
      <c r="AO1446" s="109"/>
      <c r="AP1446" s="109"/>
      <c r="AR1446" s="10"/>
      <c r="AU1446" s="109"/>
      <c r="AV1446" s="109"/>
      <c r="AX1446" s="10"/>
      <c r="BA1446" s="109"/>
      <c r="BB1446" s="109"/>
      <c r="BD1446" s="10"/>
      <c r="BG1446" s="109"/>
      <c r="BH1446" s="109"/>
      <c r="BJ1446" s="10"/>
      <c r="BM1446" s="109"/>
      <c r="BN1446" s="109"/>
      <c r="BP1446" s="10"/>
      <c r="BS1446" s="109"/>
      <c r="BT1446" s="109"/>
      <c r="BV1446" s="10"/>
      <c r="BY1446" s="109"/>
      <c r="BZ1446" s="109"/>
      <c r="CB1446" s="10"/>
      <c r="CE1446" s="109"/>
      <c r="CF1446" s="109"/>
      <c r="CH1446" s="10"/>
      <c r="CK1446" s="109"/>
      <c r="CL1446" s="109"/>
    </row>
    <row r="1447" spans="1:90">
      <c r="A1447" s="7" t="str">
        <f t="shared" si="221"/>
        <v>02880830</v>
      </c>
      <c r="B1447" s="7" t="s">
        <v>2627</v>
      </c>
      <c r="C1447" s="7" t="s">
        <v>2764</v>
      </c>
      <c r="D1447" s="7">
        <v>1438</v>
      </c>
      <c r="E1447" s="7">
        <v>288</v>
      </c>
      <c r="F1447" s="7" t="s">
        <v>1993</v>
      </c>
      <c r="G1447" s="7">
        <v>830</v>
      </c>
      <c r="H1447" s="7" t="s">
        <v>1691</v>
      </c>
      <c r="I1447" s="70">
        <v>436850</v>
      </c>
      <c r="J1447" s="131">
        <v>1.0709511455628736E-2</v>
      </c>
      <c r="K1447" s="123">
        <f t="shared" si="230"/>
        <v>0</v>
      </c>
      <c r="L1447" s="122">
        <f>IF(K1449&gt;0, K1447/K1449, 0)</f>
        <v>0</v>
      </c>
      <c r="M1447" s="71"/>
      <c r="N1447" s="10">
        <f>ROUND(M1449*L1447,0)</f>
        <v>0</v>
      </c>
      <c r="O1447" s="70">
        <v>363504</v>
      </c>
      <c r="P1447" s="10">
        <f>N1447-O1447</f>
        <v>-363504</v>
      </c>
      <c r="Q1447" s="46">
        <f t="shared" si="229"/>
        <v>-100</v>
      </c>
      <c r="R1447" s="10">
        <v>25</v>
      </c>
      <c r="S1447" s="7">
        <f t="shared" si="222"/>
        <v>0</v>
      </c>
      <c r="T1447" s="124">
        <f t="shared" si="223"/>
        <v>288</v>
      </c>
      <c r="U1447" s="124">
        <f t="shared" si="224"/>
        <v>830</v>
      </c>
      <c r="V1447" s="124">
        <f t="shared" si="225"/>
        <v>1438</v>
      </c>
      <c r="W1447" s="124">
        <f t="shared" si="226"/>
        <v>0</v>
      </c>
      <c r="X1447" s="124">
        <f t="shared" si="227"/>
        <v>0</v>
      </c>
      <c r="Y1447" s="264">
        <f t="shared" si="228"/>
        <v>1438</v>
      </c>
      <c r="Z1447" s="10">
        <v>288</v>
      </c>
      <c r="AA1447" s="7">
        <v>830</v>
      </c>
      <c r="AB1447" s="7">
        <v>1438</v>
      </c>
      <c r="AC1447" s="109">
        <v>0</v>
      </c>
      <c r="AD1447" s="109">
        <v>0</v>
      </c>
      <c r="AE1447" s="125"/>
      <c r="AF1447" s="10"/>
      <c r="AI1447" s="109"/>
      <c r="AJ1447" s="109"/>
      <c r="AL1447" s="10"/>
      <c r="AO1447" s="109"/>
      <c r="AP1447" s="109"/>
      <c r="AR1447" s="10"/>
      <c r="AU1447" s="109"/>
      <c r="AV1447" s="109"/>
      <c r="AX1447" s="10"/>
      <c r="BA1447" s="109"/>
      <c r="BB1447" s="109"/>
      <c r="BD1447" s="10"/>
      <c r="BG1447" s="109"/>
      <c r="BH1447" s="109"/>
      <c r="BJ1447" s="10"/>
      <c r="BM1447" s="109"/>
      <c r="BN1447" s="109"/>
      <c r="BP1447" s="10"/>
      <c r="BS1447" s="109"/>
      <c r="BT1447" s="109"/>
      <c r="BV1447" s="10"/>
      <c r="BY1447" s="109"/>
      <c r="BZ1447" s="109"/>
      <c r="CB1447" s="10"/>
      <c r="CE1447" s="109"/>
      <c r="CF1447" s="109"/>
      <c r="CH1447" s="10"/>
      <c r="CK1447" s="109"/>
      <c r="CL1447" s="109"/>
    </row>
    <row r="1448" spans="1:90">
      <c r="A1448" s="7" t="str">
        <f t="shared" si="221"/>
        <v>02880998</v>
      </c>
      <c r="B1448" s="7" t="s">
        <v>2627</v>
      </c>
      <c r="C1448" s="7" t="s">
        <v>2781</v>
      </c>
      <c r="D1448" s="7">
        <v>1439</v>
      </c>
      <c r="E1448" s="7">
        <v>288</v>
      </c>
      <c r="F1448" s="7" t="s">
        <v>2135</v>
      </c>
      <c r="G1448" s="7">
        <v>998</v>
      </c>
      <c r="H1448" s="7" t="s">
        <v>2135</v>
      </c>
      <c r="I1448" s="70">
        <v>0</v>
      </c>
      <c r="J1448" s="131">
        <v>0</v>
      </c>
      <c r="K1448" s="123">
        <f t="shared" si="230"/>
        <v>0</v>
      </c>
      <c r="L1448" s="122">
        <f>IF(K1449&gt;0, K1448/K1449, 0)</f>
        <v>0</v>
      </c>
      <c r="M1448" s="71"/>
      <c r="N1448" s="10">
        <f>ROUND(M1449*L1448,0)</f>
        <v>0</v>
      </c>
      <c r="O1448" s="70">
        <v>0</v>
      </c>
      <c r="P1448" s="10">
        <f>N1448-O1448</f>
        <v>0</v>
      </c>
      <c r="Q1448" s="46">
        <f t="shared" si="229"/>
        <v>0</v>
      </c>
      <c r="R1448" s="10">
        <v>0</v>
      </c>
      <c r="S1448" s="7">
        <f t="shared" si="222"/>
        <v>0</v>
      </c>
      <c r="T1448" s="124">
        <f t="shared" si="223"/>
        <v>288</v>
      </c>
      <c r="U1448" s="124">
        <f t="shared" si="224"/>
        <v>998</v>
      </c>
      <c r="V1448" s="124">
        <f t="shared" si="225"/>
        <v>1439</v>
      </c>
      <c r="W1448" s="124">
        <f t="shared" si="226"/>
        <v>0</v>
      </c>
      <c r="X1448" s="124">
        <f t="shared" si="227"/>
        <v>0</v>
      </c>
      <c r="Y1448" s="264">
        <f t="shared" si="228"/>
        <v>1439</v>
      </c>
      <c r="Z1448" s="10">
        <v>288</v>
      </c>
      <c r="AA1448" s="7">
        <v>998</v>
      </c>
      <c r="AB1448" s="7">
        <v>1439</v>
      </c>
      <c r="AC1448" s="109">
        <v>0</v>
      </c>
      <c r="AD1448" s="109">
        <v>0</v>
      </c>
      <c r="AE1448" s="125"/>
      <c r="AF1448" s="10"/>
      <c r="AI1448" s="109"/>
      <c r="AJ1448" s="109"/>
      <c r="AL1448" s="10"/>
      <c r="AO1448" s="109"/>
      <c r="AP1448" s="109"/>
      <c r="AR1448" s="10"/>
      <c r="AU1448" s="109"/>
      <c r="AV1448" s="109"/>
      <c r="AX1448" s="10"/>
      <c r="BA1448" s="109"/>
      <c r="BB1448" s="109"/>
      <c r="BD1448" s="10"/>
      <c r="BG1448" s="109"/>
      <c r="BH1448" s="109"/>
      <c r="BJ1448" s="10"/>
      <c r="BM1448" s="109"/>
      <c r="BN1448" s="109"/>
      <c r="BP1448" s="10"/>
      <c r="BS1448" s="109"/>
      <c r="BT1448" s="109"/>
      <c r="BV1448" s="10"/>
      <c r="BY1448" s="109"/>
      <c r="BZ1448" s="109"/>
      <c r="CB1448" s="10"/>
      <c r="CE1448" s="109"/>
      <c r="CF1448" s="109"/>
      <c r="CH1448" s="10"/>
      <c r="CK1448" s="109"/>
      <c r="CL1448" s="109"/>
    </row>
    <row r="1449" spans="1:90">
      <c r="A1449" s="7" t="str">
        <f t="shared" si="221"/>
        <v>02880999</v>
      </c>
      <c r="B1449" s="7" t="s">
        <v>2627</v>
      </c>
      <c r="C1449" s="7" t="s">
        <v>2782</v>
      </c>
      <c r="D1449" s="7">
        <v>1440</v>
      </c>
      <c r="E1449" s="11">
        <v>288</v>
      </c>
      <c r="F1449" s="11" t="s">
        <v>1993</v>
      </c>
      <c r="G1449" s="11">
        <v>999</v>
      </c>
      <c r="H1449" s="11" t="s">
        <v>1132</v>
      </c>
      <c r="I1449" s="134">
        <v>40790842.96328</v>
      </c>
      <c r="J1449" s="135">
        <v>1</v>
      </c>
      <c r="K1449" s="127">
        <f>SUM(K1445:K1448)</f>
        <v>40547093.822663046</v>
      </c>
      <c r="L1449" s="126">
        <f>SUM(L1445:L1448)</f>
        <v>1</v>
      </c>
      <c r="M1449" s="105">
        <f>VLOOKUP(E1449,town351,22)</f>
        <v>33701640</v>
      </c>
      <c r="N1449" s="105">
        <f>SUM(N1445:N1448)</f>
        <v>33701640</v>
      </c>
      <c r="O1449" s="128">
        <v>33942148</v>
      </c>
      <c r="P1449" s="105">
        <f>SUM(P1445:P1448)</f>
        <v>-240508</v>
      </c>
      <c r="Q1449" s="45">
        <f t="shared" si="229"/>
        <v>-0.70858214394681207</v>
      </c>
      <c r="R1449" s="105">
        <v>4274</v>
      </c>
      <c r="S1449" s="7">
        <f t="shared" si="222"/>
        <v>0</v>
      </c>
      <c r="T1449" s="124">
        <f t="shared" si="223"/>
        <v>288</v>
      </c>
      <c r="U1449" s="124">
        <f t="shared" si="224"/>
        <v>999</v>
      </c>
      <c r="V1449" s="124">
        <f t="shared" si="225"/>
        <v>1440</v>
      </c>
      <c r="W1449" s="124">
        <f t="shared" si="226"/>
        <v>4209.4937541042</v>
      </c>
      <c r="X1449" s="124">
        <f t="shared" si="227"/>
        <v>40547093.822663046</v>
      </c>
      <c r="Y1449" s="264">
        <f t="shared" si="228"/>
        <v>1440</v>
      </c>
      <c r="Z1449" s="10">
        <v>288</v>
      </c>
      <c r="AA1449" s="7">
        <v>999</v>
      </c>
      <c r="AB1449" s="7">
        <v>1440</v>
      </c>
      <c r="AC1449" s="109">
        <v>4209.4937541042</v>
      </c>
      <c r="AD1449" s="109">
        <v>40547093.822663046</v>
      </c>
      <c r="AE1449" s="125"/>
      <c r="AF1449" s="10"/>
      <c r="AI1449" s="109"/>
      <c r="AJ1449" s="109"/>
      <c r="AL1449" s="10"/>
      <c r="AO1449" s="109"/>
      <c r="AP1449" s="109"/>
      <c r="AR1449" s="10"/>
      <c r="AU1449" s="109"/>
      <c r="AV1449" s="109"/>
      <c r="AX1449" s="10"/>
      <c r="BA1449" s="109"/>
      <c r="BB1449" s="109"/>
      <c r="BD1449" s="10"/>
      <c r="BG1449" s="109"/>
      <c r="BH1449" s="109"/>
      <c r="BJ1449" s="10"/>
      <c r="BM1449" s="109"/>
      <c r="BN1449" s="109"/>
      <c r="BP1449" s="10"/>
      <c r="BS1449" s="109"/>
      <c r="BT1449" s="109"/>
      <c r="BV1449" s="10"/>
      <c r="BY1449" s="109"/>
      <c r="BZ1449" s="109"/>
      <c r="CB1449" s="10"/>
      <c r="CE1449" s="109"/>
      <c r="CF1449" s="109"/>
      <c r="CH1449" s="10"/>
      <c r="CK1449" s="109"/>
      <c r="CL1449" s="109"/>
    </row>
    <row r="1450" spans="1:90">
      <c r="A1450" s="7" t="str">
        <f t="shared" si="221"/>
        <v>02890289</v>
      </c>
      <c r="B1450" s="7" t="s">
        <v>2628</v>
      </c>
      <c r="C1450" s="7" t="s">
        <v>2628</v>
      </c>
      <c r="D1450" s="7">
        <v>1441</v>
      </c>
      <c r="E1450" s="7">
        <v>289</v>
      </c>
      <c r="F1450" s="7" t="s">
        <v>1994</v>
      </c>
      <c r="G1450" s="7">
        <v>289</v>
      </c>
      <c r="H1450" s="7" t="s">
        <v>1555</v>
      </c>
      <c r="I1450" s="70">
        <v>1863761.3099999998</v>
      </c>
      <c r="J1450" s="131">
        <v>0.55432720267972058</v>
      </c>
      <c r="K1450" s="123">
        <f>X1450</f>
        <v>2030461.9982605327</v>
      </c>
      <c r="L1450" s="122">
        <f>IF(K1454&gt;0, K1450/K1454, 0)</f>
        <v>0.58266527817807767</v>
      </c>
      <c r="M1450" s="71"/>
      <c r="N1450" s="10">
        <f>ROUND(M1454*L1450,0)</f>
        <v>1547169</v>
      </c>
      <c r="O1450" s="70">
        <v>1490797</v>
      </c>
      <c r="P1450" s="10">
        <f>N1450-O1450</f>
        <v>56372</v>
      </c>
      <c r="Q1450" s="46">
        <f t="shared" si="229"/>
        <v>3.7813330721754874</v>
      </c>
      <c r="R1450" s="10">
        <v>181</v>
      </c>
      <c r="S1450" s="7">
        <f t="shared" si="222"/>
        <v>0</v>
      </c>
      <c r="T1450" s="124">
        <f t="shared" si="223"/>
        <v>289</v>
      </c>
      <c r="U1450" s="124">
        <f t="shared" si="224"/>
        <v>289</v>
      </c>
      <c r="V1450" s="124">
        <f t="shared" si="225"/>
        <v>1441</v>
      </c>
      <c r="W1450" s="124">
        <f t="shared" si="226"/>
        <v>197</v>
      </c>
      <c r="X1450" s="124">
        <f t="shared" si="227"/>
        <v>2030461.9982605327</v>
      </c>
      <c r="Y1450" s="264">
        <f t="shared" si="228"/>
        <v>1441</v>
      </c>
      <c r="Z1450" s="10">
        <v>289</v>
      </c>
      <c r="AA1450" s="7">
        <v>289</v>
      </c>
      <c r="AB1450" s="7">
        <v>1441</v>
      </c>
      <c r="AC1450" s="109">
        <v>197</v>
      </c>
      <c r="AD1450" s="109">
        <v>2030461.9982605327</v>
      </c>
      <c r="AE1450" s="125"/>
      <c r="AF1450" s="10"/>
      <c r="AI1450" s="109"/>
      <c r="AJ1450" s="109"/>
      <c r="AL1450" s="10"/>
      <c r="AO1450" s="109"/>
      <c r="AP1450" s="109"/>
      <c r="AR1450" s="10"/>
      <c r="AU1450" s="109"/>
      <c r="AV1450" s="109"/>
      <c r="AX1450" s="10"/>
      <c r="BA1450" s="109"/>
      <c r="BB1450" s="109"/>
      <c r="BD1450" s="10"/>
      <c r="BG1450" s="109"/>
      <c r="BH1450" s="109"/>
      <c r="BJ1450" s="10"/>
      <c r="BM1450" s="109"/>
      <c r="BN1450" s="109"/>
      <c r="BP1450" s="10"/>
      <c r="BS1450" s="109"/>
      <c r="BT1450" s="109"/>
      <c r="BV1450" s="10"/>
      <c r="BY1450" s="109"/>
      <c r="BZ1450" s="109"/>
      <c r="CB1450" s="10"/>
      <c r="CE1450" s="109"/>
      <c r="CF1450" s="109"/>
      <c r="CH1450" s="10"/>
      <c r="CK1450" s="109"/>
      <c r="CL1450" s="109"/>
    </row>
    <row r="1451" spans="1:90">
      <c r="A1451" s="7" t="str">
        <f t="shared" si="221"/>
        <v>02890670</v>
      </c>
      <c r="B1451" s="7" t="s">
        <v>2628</v>
      </c>
      <c r="C1451" s="7" t="s">
        <v>2714</v>
      </c>
      <c r="D1451" s="7">
        <v>1442</v>
      </c>
      <c r="E1451" s="7">
        <v>289</v>
      </c>
      <c r="F1451" s="7" t="s">
        <v>1994</v>
      </c>
      <c r="G1451" s="7">
        <v>670</v>
      </c>
      <c r="H1451" s="7" t="s">
        <v>1641</v>
      </c>
      <c r="I1451" s="70">
        <v>1401120</v>
      </c>
      <c r="J1451" s="131">
        <v>0.41672660874079964</v>
      </c>
      <c r="K1451" s="123">
        <f t="shared" si="230"/>
        <v>1354889.3300997755</v>
      </c>
      <c r="L1451" s="122">
        <f>IF(K1454&gt;0, K1451/K1454, 0)</f>
        <v>0.38880164666928152</v>
      </c>
      <c r="M1451" s="71"/>
      <c r="N1451" s="10">
        <f>ROUND(M1454*L1451,0)</f>
        <v>1032397</v>
      </c>
      <c r="O1451" s="70">
        <v>1120737</v>
      </c>
      <c r="P1451" s="10">
        <f>N1451-O1451</f>
        <v>-88340</v>
      </c>
      <c r="Q1451" s="46">
        <f t="shared" si="229"/>
        <v>-7.8823131564318833</v>
      </c>
      <c r="R1451" s="10">
        <v>139</v>
      </c>
      <c r="S1451" s="7">
        <f t="shared" si="222"/>
        <v>0</v>
      </c>
      <c r="T1451" s="124">
        <f t="shared" si="223"/>
        <v>289</v>
      </c>
      <c r="U1451" s="124">
        <f t="shared" si="224"/>
        <v>670</v>
      </c>
      <c r="V1451" s="124">
        <f t="shared" si="225"/>
        <v>1442</v>
      </c>
      <c r="W1451" s="124">
        <f t="shared" si="226"/>
        <v>130.23636363436</v>
      </c>
      <c r="X1451" s="124">
        <f t="shared" si="227"/>
        <v>1354889.3300997755</v>
      </c>
      <c r="Y1451" s="264">
        <f t="shared" si="228"/>
        <v>1442</v>
      </c>
      <c r="Z1451" s="10">
        <v>289</v>
      </c>
      <c r="AA1451" s="7">
        <v>670</v>
      </c>
      <c r="AB1451" s="7">
        <v>1442</v>
      </c>
      <c r="AC1451" s="109">
        <v>130.23636363436</v>
      </c>
      <c r="AD1451" s="109">
        <v>1354889.3300997755</v>
      </c>
      <c r="AE1451" s="125"/>
      <c r="AF1451" s="10"/>
      <c r="AI1451" s="109"/>
      <c r="AJ1451" s="109"/>
      <c r="AL1451" s="10"/>
      <c r="AO1451" s="109"/>
      <c r="AP1451" s="109"/>
      <c r="AR1451" s="10"/>
      <c r="AU1451" s="109"/>
      <c r="AV1451" s="109"/>
      <c r="AX1451" s="10"/>
      <c r="BA1451" s="109"/>
      <c r="BB1451" s="109"/>
      <c r="BD1451" s="10"/>
      <c r="BG1451" s="109"/>
      <c r="BH1451" s="109"/>
      <c r="BJ1451" s="10"/>
      <c r="BM1451" s="109"/>
      <c r="BN1451" s="109"/>
      <c r="BP1451" s="10"/>
      <c r="BS1451" s="109"/>
      <c r="BT1451" s="109"/>
      <c r="BV1451" s="10"/>
      <c r="BY1451" s="109"/>
      <c r="BZ1451" s="109"/>
      <c r="CB1451" s="10"/>
      <c r="CE1451" s="109"/>
      <c r="CF1451" s="109"/>
      <c r="CH1451" s="10"/>
      <c r="CK1451" s="109"/>
      <c r="CL1451" s="109"/>
    </row>
    <row r="1452" spans="1:90">
      <c r="A1452" s="7" t="str">
        <f t="shared" si="221"/>
        <v>02890818</v>
      </c>
      <c r="B1452" s="7" t="s">
        <v>2628</v>
      </c>
      <c r="C1452" s="7" t="s">
        <v>2758</v>
      </c>
      <c r="D1452" s="7">
        <v>1443</v>
      </c>
      <c r="E1452" s="7">
        <v>289</v>
      </c>
      <c r="F1452" s="7" t="s">
        <v>1994</v>
      </c>
      <c r="G1452" s="7">
        <v>818</v>
      </c>
      <c r="H1452" s="7" t="s">
        <v>1685</v>
      </c>
      <c r="I1452" s="70">
        <v>97323</v>
      </c>
      <c r="J1452" s="131">
        <v>2.8946188579479875E-2</v>
      </c>
      <c r="K1452" s="123">
        <f t="shared" si="230"/>
        <v>99431.57239797365</v>
      </c>
      <c r="L1452" s="122">
        <f>IF(K1454&gt;0, K1452/K1454, 0)</f>
        <v>2.8533075152640797E-2</v>
      </c>
      <c r="M1452" s="71"/>
      <c r="N1452" s="10">
        <f>ROUND(M1454*L1452,0)</f>
        <v>75765</v>
      </c>
      <c r="O1452" s="70">
        <v>77847</v>
      </c>
      <c r="P1452" s="10">
        <f>N1452-O1452</f>
        <v>-2082</v>
      </c>
      <c r="Q1452" s="46">
        <f t="shared" si="229"/>
        <v>-2.6744768584531196</v>
      </c>
      <c r="R1452" s="10">
        <v>6</v>
      </c>
      <c r="S1452" s="7">
        <f t="shared" si="222"/>
        <v>0</v>
      </c>
      <c r="T1452" s="124">
        <f t="shared" si="223"/>
        <v>289</v>
      </c>
      <c r="U1452" s="124">
        <f t="shared" si="224"/>
        <v>818</v>
      </c>
      <c r="V1452" s="124">
        <f t="shared" si="225"/>
        <v>1443</v>
      </c>
      <c r="W1452" s="124">
        <f t="shared" si="226"/>
        <v>6.0000000014400001</v>
      </c>
      <c r="X1452" s="124">
        <f t="shared" si="227"/>
        <v>99431.57239797365</v>
      </c>
      <c r="Y1452" s="264">
        <f t="shared" si="228"/>
        <v>1443</v>
      </c>
      <c r="Z1452" s="10">
        <v>289</v>
      </c>
      <c r="AA1452" s="7">
        <v>818</v>
      </c>
      <c r="AB1452" s="7">
        <v>1443</v>
      </c>
      <c r="AC1452" s="109">
        <v>6.0000000014400001</v>
      </c>
      <c r="AD1452" s="109">
        <v>99431.57239797365</v>
      </c>
      <c r="AE1452" s="125"/>
      <c r="AF1452" s="10"/>
      <c r="AI1452" s="109"/>
      <c r="AJ1452" s="109"/>
      <c r="AL1452" s="10"/>
      <c r="AO1452" s="109"/>
      <c r="AP1452" s="109"/>
      <c r="AR1452" s="10"/>
      <c r="AU1452" s="109"/>
      <c r="AV1452" s="109"/>
      <c r="AX1452" s="10"/>
      <c r="BA1452" s="109"/>
      <c r="BB1452" s="109"/>
      <c r="BD1452" s="10"/>
      <c r="BG1452" s="109"/>
      <c r="BH1452" s="109"/>
      <c r="BJ1452" s="10"/>
      <c r="BM1452" s="109"/>
      <c r="BN1452" s="109"/>
      <c r="BP1452" s="10"/>
      <c r="BS1452" s="109"/>
      <c r="BT1452" s="109"/>
      <c r="BV1452" s="10"/>
      <c r="BY1452" s="109"/>
      <c r="BZ1452" s="109"/>
      <c r="CB1452" s="10"/>
      <c r="CE1452" s="109"/>
      <c r="CF1452" s="109"/>
      <c r="CH1452" s="10"/>
      <c r="CK1452" s="109"/>
      <c r="CL1452" s="109"/>
    </row>
    <row r="1453" spans="1:90">
      <c r="A1453" s="7" t="str">
        <f t="shared" si="221"/>
        <v>02890998</v>
      </c>
      <c r="B1453" s="7" t="s">
        <v>2628</v>
      </c>
      <c r="C1453" s="7" t="s">
        <v>2781</v>
      </c>
      <c r="D1453" s="7">
        <v>1444</v>
      </c>
      <c r="E1453" s="7">
        <v>289</v>
      </c>
      <c r="F1453" s="7" t="s">
        <v>2135</v>
      </c>
      <c r="G1453" s="7">
        <v>998</v>
      </c>
      <c r="H1453" s="7" t="s">
        <v>2135</v>
      </c>
      <c r="I1453" s="70">
        <v>0</v>
      </c>
      <c r="J1453" s="131">
        <v>0</v>
      </c>
      <c r="K1453" s="123">
        <f t="shared" si="230"/>
        <v>0</v>
      </c>
      <c r="L1453" s="122">
        <f>IF(K1454&gt;0, K1453/K1454, 0)</f>
        <v>0</v>
      </c>
      <c r="M1453" s="71"/>
      <c r="N1453" s="10">
        <f>ROUND(M1454*L1453,0)</f>
        <v>0</v>
      </c>
      <c r="O1453" s="70">
        <v>0</v>
      </c>
      <c r="P1453" s="10">
        <f>N1453-O1453</f>
        <v>0</v>
      </c>
      <c r="Q1453" s="46">
        <f t="shared" si="229"/>
        <v>0</v>
      </c>
      <c r="R1453" s="10">
        <v>0</v>
      </c>
      <c r="S1453" s="7">
        <f t="shared" si="222"/>
        <v>0</v>
      </c>
      <c r="T1453" s="124">
        <f t="shared" si="223"/>
        <v>289</v>
      </c>
      <c r="U1453" s="124">
        <f t="shared" si="224"/>
        <v>998</v>
      </c>
      <c r="V1453" s="124">
        <f t="shared" si="225"/>
        <v>1444</v>
      </c>
      <c r="W1453" s="124">
        <f t="shared" si="226"/>
        <v>0</v>
      </c>
      <c r="X1453" s="124">
        <f t="shared" si="227"/>
        <v>0</v>
      </c>
      <c r="Y1453" s="264">
        <f t="shared" si="228"/>
        <v>1444</v>
      </c>
      <c r="Z1453" s="10">
        <v>289</v>
      </c>
      <c r="AA1453" s="7">
        <v>998</v>
      </c>
      <c r="AB1453" s="7">
        <v>1444</v>
      </c>
      <c r="AC1453" s="109">
        <v>0</v>
      </c>
      <c r="AD1453" s="109">
        <v>0</v>
      </c>
      <c r="AE1453" s="125"/>
      <c r="AF1453" s="10"/>
      <c r="AI1453" s="109"/>
      <c r="AJ1453" s="109"/>
      <c r="AL1453" s="10"/>
      <c r="AO1453" s="109"/>
      <c r="AP1453" s="109"/>
      <c r="AR1453" s="10"/>
      <c r="AU1453" s="109"/>
      <c r="AV1453" s="109"/>
      <c r="AX1453" s="10"/>
      <c r="BA1453" s="109"/>
      <c r="BB1453" s="109"/>
      <c r="BD1453" s="10"/>
      <c r="BG1453" s="109"/>
      <c r="BH1453" s="109"/>
      <c r="BJ1453" s="10"/>
      <c r="BM1453" s="109"/>
      <c r="BN1453" s="109"/>
      <c r="BP1453" s="10"/>
      <c r="BS1453" s="109"/>
      <c r="BT1453" s="109"/>
      <c r="BV1453" s="10"/>
      <c r="BY1453" s="109"/>
      <c r="BZ1453" s="109"/>
      <c r="CB1453" s="10"/>
      <c r="CE1453" s="109"/>
      <c r="CF1453" s="109"/>
      <c r="CH1453" s="10"/>
      <c r="CK1453" s="109"/>
      <c r="CL1453" s="109"/>
    </row>
    <row r="1454" spans="1:90">
      <c r="A1454" s="7" t="str">
        <f t="shared" si="221"/>
        <v>02890999</v>
      </c>
      <c r="B1454" s="7" t="s">
        <v>2628</v>
      </c>
      <c r="C1454" s="7" t="s">
        <v>2782</v>
      </c>
      <c r="D1454" s="7">
        <v>1445</v>
      </c>
      <c r="E1454" s="11">
        <v>289</v>
      </c>
      <c r="F1454" s="11" t="s">
        <v>1994</v>
      </c>
      <c r="G1454" s="11">
        <v>999</v>
      </c>
      <c r="H1454" s="11" t="s">
        <v>1132</v>
      </c>
      <c r="I1454" s="134">
        <v>3362204.3099999996</v>
      </c>
      <c r="J1454" s="135">
        <v>1.0000000000000002</v>
      </c>
      <c r="K1454" s="127">
        <f>SUM(K1450:K1453)</f>
        <v>3484782.9007582818</v>
      </c>
      <c r="L1454" s="126">
        <f>SUM(L1450:L1453)</f>
        <v>1</v>
      </c>
      <c r="M1454" s="105">
        <f>VLOOKUP(E1454,town351,22)</f>
        <v>2655330</v>
      </c>
      <c r="N1454" s="105">
        <f>SUM(N1450:N1453)</f>
        <v>2655331</v>
      </c>
      <c r="O1454" s="128">
        <v>2689381</v>
      </c>
      <c r="P1454" s="105">
        <f>SUM(P1450:P1453)</f>
        <v>-34050</v>
      </c>
      <c r="Q1454" s="45">
        <f t="shared" si="229"/>
        <v>-1.266090598542936</v>
      </c>
      <c r="R1454" s="105">
        <v>326</v>
      </c>
      <c r="S1454" s="7">
        <f t="shared" si="222"/>
        <v>0</v>
      </c>
      <c r="T1454" s="124">
        <f t="shared" si="223"/>
        <v>289</v>
      </c>
      <c r="U1454" s="124">
        <f t="shared" si="224"/>
        <v>999</v>
      </c>
      <c r="V1454" s="124">
        <f t="shared" si="225"/>
        <v>1445</v>
      </c>
      <c r="W1454" s="124">
        <f t="shared" si="226"/>
        <v>333.23636363580005</v>
      </c>
      <c r="X1454" s="124">
        <f t="shared" si="227"/>
        <v>3484782.9007582818</v>
      </c>
      <c r="Y1454" s="264">
        <f t="shared" si="228"/>
        <v>1445</v>
      </c>
      <c r="Z1454" s="10">
        <v>289</v>
      </c>
      <c r="AA1454" s="7">
        <v>999</v>
      </c>
      <c r="AB1454" s="7">
        <v>1445</v>
      </c>
      <c r="AC1454" s="109">
        <v>333.23636363580005</v>
      </c>
      <c r="AD1454" s="109">
        <v>3484782.9007582818</v>
      </c>
      <c r="AE1454" s="125"/>
      <c r="AF1454" s="10"/>
      <c r="AI1454" s="109"/>
      <c r="AJ1454" s="109"/>
      <c r="AL1454" s="10"/>
      <c r="AO1454" s="109"/>
      <c r="AP1454" s="109"/>
      <c r="AR1454" s="10"/>
      <c r="AU1454" s="109"/>
      <c r="AV1454" s="109"/>
      <c r="AX1454" s="10"/>
      <c r="BA1454" s="109"/>
      <c r="BB1454" s="109"/>
      <c r="BD1454" s="10"/>
      <c r="BG1454" s="109"/>
      <c r="BH1454" s="109"/>
      <c r="BJ1454" s="10"/>
      <c r="BM1454" s="109"/>
      <c r="BN1454" s="109"/>
      <c r="BP1454" s="10"/>
      <c r="BS1454" s="109"/>
      <c r="BT1454" s="109"/>
      <c r="BV1454" s="10"/>
      <c r="BY1454" s="109"/>
      <c r="BZ1454" s="109"/>
      <c r="CB1454" s="10"/>
      <c r="CE1454" s="109"/>
      <c r="CF1454" s="109"/>
      <c r="CH1454" s="10"/>
      <c r="CK1454" s="109"/>
      <c r="CL1454" s="109"/>
    </row>
    <row r="1455" spans="1:90">
      <c r="A1455" s="7" t="str">
        <f t="shared" si="221"/>
        <v>02900290</v>
      </c>
      <c r="B1455" s="7" t="s">
        <v>2629</v>
      </c>
      <c r="C1455" s="7" t="s">
        <v>2629</v>
      </c>
      <c r="D1455" s="7">
        <v>1446</v>
      </c>
      <c r="E1455" s="7">
        <v>290</v>
      </c>
      <c r="F1455" s="7" t="s">
        <v>1995</v>
      </c>
      <c r="G1455" s="7">
        <v>290</v>
      </c>
      <c r="H1455" s="7" t="s">
        <v>1556</v>
      </c>
      <c r="I1455" s="70">
        <v>13322264.810000002</v>
      </c>
      <c r="J1455" s="131">
        <v>0.89782306704239312</v>
      </c>
      <c r="K1455" s="123">
        <f>X1455</f>
        <v>13414412.031556375</v>
      </c>
      <c r="L1455" s="122">
        <f>IF(K1459&gt;0, K1455/K1459, 0)</f>
        <v>0.90156001164020227</v>
      </c>
      <c r="M1455" s="71"/>
      <c r="N1455" s="10">
        <f>ROUND(M1459*L1455,0)</f>
        <v>9713548</v>
      </c>
      <c r="O1455" s="70">
        <v>9795149</v>
      </c>
      <c r="P1455" s="10">
        <f>N1455-O1455</f>
        <v>-81601</v>
      </c>
      <c r="Q1455" s="46">
        <f t="shared" si="229"/>
        <v>-0.83307563774680715</v>
      </c>
      <c r="R1455" s="10">
        <v>1441</v>
      </c>
      <c r="S1455" s="7">
        <f t="shared" si="222"/>
        <v>0</v>
      </c>
      <c r="T1455" s="124">
        <f t="shared" si="223"/>
        <v>290</v>
      </c>
      <c r="U1455" s="124">
        <f t="shared" si="224"/>
        <v>290</v>
      </c>
      <c r="V1455" s="124">
        <f t="shared" si="225"/>
        <v>1446</v>
      </c>
      <c r="W1455" s="124">
        <f t="shared" si="226"/>
        <v>1422</v>
      </c>
      <c r="X1455" s="124">
        <f t="shared" si="227"/>
        <v>13414412.031556375</v>
      </c>
      <c r="Y1455" s="264">
        <f t="shared" si="228"/>
        <v>1446</v>
      </c>
      <c r="Z1455" s="10">
        <v>290</v>
      </c>
      <c r="AA1455" s="7">
        <v>290</v>
      </c>
      <c r="AB1455" s="7">
        <v>1446</v>
      </c>
      <c r="AC1455" s="109">
        <v>1422</v>
      </c>
      <c r="AD1455" s="109">
        <v>13414412.031556375</v>
      </c>
      <c r="AE1455" s="125"/>
      <c r="AF1455" s="10"/>
      <c r="AI1455" s="109"/>
      <c r="AJ1455" s="109"/>
      <c r="AL1455" s="10"/>
      <c r="AO1455" s="109"/>
      <c r="AP1455" s="109"/>
      <c r="AR1455" s="10"/>
      <c r="AU1455" s="109"/>
      <c r="AV1455" s="109"/>
      <c r="AX1455" s="10"/>
      <c r="BA1455" s="109"/>
      <c r="BB1455" s="109"/>
      <c r="BD1455" s="10"/>
      <c r="BG1455" s="109"/>
      <c r="BH1455" s="109"/>
      <c r="BJ1455" s="10"/>
      <c r="BM1455" s="109"/>
      <c r="BN1455" s="109"/>
      <c r="BP1455" s="10"/>
      <c r="BS1455" s="109"/>
      <c r="BT1455" s="109"/>
      <c r="BV1455" s="10"/>
      <c r="BY1455" s="109"/>
      <c r="BZ1455" s="109"/>
      <c r="CB1455" s="10"/>
      <c r="CE1455" s="109"/>
      <c r="CF1455" s="109"/>
      <c r="CH1455" s="10"/>
      <c r="CK1455" s="109"/>
      <c r="CL1455" s="109"/>
    </row>
    <row r="1456" spans="1:90">
      <c r="A1456" s="7" t="str">
        <f t="shared" si="221"/>
        <v>02900805</v>
      </c>
      <c r="B1456" s="7" t="s">
        <v>2629</v>
      </c>
      <c r="C1456" s="7" t="s">
        <v>2753</v>
      </c>
      <c r="D1456" s="7">
        <v>1447</v>
      </c>
      <c r="E1456" s="7">
        <v>290</v>
      </c>
      <c r="F1456" s="7" t="s">
        <v>1995</v>
      </c>
      <c r="G1456" s="7">
        <v>805</v>
      </c>
      <c r="H1456" s="7" t="s">
        <v>1680</v>
      </c>
      <c r="I1456" s="70">
        <v>1516143</v>
      </c>
      <c r="J1456" s="131">
        <v>0.10217693295760684</v>
      </c>
      <c r="K1456" s="123">
        <f t="shared" si="230"/>
        <v>1464699.5731737674</v>
      </c>
      <c r="L1456" s="122">
        <f>IF(K1459&gt;0, K1456/K1459, 0)</f>
        <v>9.8439988359797795E-2</v>
      </c>
      <c r="M1456" s="71"/>
      <c r="N1456" s="10">
        <f>ROUND(M1459*L1456,0)</f>
        <v>1060608</v>
      </c>
      <c r="O1456" s="70">
        <v>1114739</v>
      </c>
      <c r="P1456" s="10">
        <f>N1456-O1456</f>
        <v>-54131</v>
      </c>
      <c r="Q1456" s="46">
        <f t="shared" si="229"/>
        <v>-4.8559348870004548</v>
      </c>
      <c r="R1456" s="10">
        <v>102</v>
      </c>
      <c r="S1456" s="7">
        <f t="shared" si="222"/>
        <v>0</v>
      </c>
      <c r="T1456" s="124">
        <f t="shared" si="223"/>
        <v>290</v>
      </c>
      <c r="U1456" s="124">
        <f t="shared" si="224"/>
        <v>805</v>
      </c>
      <c r="V1456" s="124">
        <f t="shared" si="225"/>
        <v>1447</v>
      </c>
      <c r="W1456" s="124">
        <f t="shared" si="226"/>
        <v>97.000000003710014</v>
      </c>
      <c r="X1456" s="124">
        <f t="shared" si="227"/>
        <v>1464699.5731737674</v>
      </c>
      <c r="Y1456" s="264">
        <f t="shared" si="228"/>
        <v>1447</v>
      </c>
      <c r="Z1456" s="10">
        <v>290</v>
      </c>
      <c r="AA1456" s="7">
        <v>805</v>
      </c>
      <c r="AB1456" s="7">
        <v>1447</v>
      </c>
      <c r="AC1456" s="109">
        <v>97.000000003710014</v>
      </c>
      <c r="AD1456" s="109">
        <v>1464699.5731737674</v>
      </c>
      <c r="AE1456" s="125"/>
      <c r="AF1456" s="10"/>
      <c r="AI1456" s="109"/>
      <c r="AJ1456" s="109"/>
      <c r="AL1456" s="10"/>
      <c r="AO1456" s="109"/>
      <c r="AP1456" s="109"/>
      <c r="AR1456" s="10"/>
      <c r="AU1456" s="109"/>
      <c r="AV1456" s="109"/>
      <c r="AX1456" s="10"/>
      <c r="BA1456" s="109"/>
      <c r="BB1456" s="109"/>
      <c r="BD1456" s="10"/>
      <c r="BG1456" s="109"/>
      <c r="BH1456" s="109"/>
      <c r="BJ1456" s="10"/>
      <c r="BM1456" s="109"/>
      <c r="BN1456" s="109"/>
      <c r="BP1456" s="10"/>
      <c r="BS1456" s="109"/>
      <c r="BT1456" s="109"/>
      <c r="BV1456" s="10"/>
      <c r="BY1456" s="109"/>
      <c r="BZ1456" s="109"/>
      <c r="CB1456" s="10"/>
      <c r="CE1456" s="109"/>
      <c r="CF1456" s="109"/>
      <c r="CH1456" s="10"/>
      <c r="CK1456" s="109"/>
      <c r="CL1456" s="109"/>
    </row>
    <row r="1457" spans="1:90">
      <c r="A1457" s="7" t="str">
        <f t="shared" si="221"/>
        <v>02900998</v>
      </c>
      <c r="B1457" s="7" t="s">
        <v>2629</v>
      </c>
      <c r="C1457" s="7" t="s">
        <v>2781</v>
      </c>
      <c r="D1457" s="7">
        <v>1448</v>
      </c>
      <c r="E1457" s="7">
        <v>290</v>
      </c>
      <c r="F1457" s="7" t="s">
        <v>2135</v>
      </c>
      <c r="G1457" s="7">
        <v>998</v>
      </c>
      <c r="H1457" s="7" t="s">
        <v>2135</v>
      </c>
      <c r="I1457" s="70">
        <v>0</v>
      </c>
      <c r="J1457" s="131">
        <v>0</v>
      </c>
      <c r="K1457" s="123">
        <f t="shared" si="230"/>
        <v>0</v>
      </c>
      <c r="L1457" s="122">
        <f>IF(K1459&gt;0, K1457/K1459, 0)</f>
        <v>0</v>
      </c>
      <c r="M1457" s="71"/>
      <c r="N1457" s="10">
        <f>ROUND(M1459*L1457,0)</f>
        <v>0</v>
      </c>
      <c r="O1457" s="70">
        <v>0</v>
      </c>
      <c r="P1457" s="10">
        <f>N1457-O1457</f>
        <v>0</v>
      </c>
      <c r="Q1457" s="46">
        <f t="shared" si="229"/>
        <v>0</v>
      </c>
      <c r="R1457" s="10">
        <v>0</v>
      </c>
      <c r="S1457" s="7">
        <f t="shared" si="222"/>
        <v>0</v>
      </c>
      <c r="T1457" s="124">
        <f t="shared" si="223"/>
        <v>290</v>
      </c>
      <c r="U1457" s="124">
        <f t="shared" si="224"/>
        <v>998</v>
      </c>
      <c r="V1457" s="124">
        <f t="shared" si="225"/>
        <v>1448</v>
      </c>
      <c r="W1457" s="124">
        <f t="shared" si="226"/>
        <v>0</v>
      </c>
      <c r="X1457" s="124">
        <f t="shared" si="227"/>
        <v>0</v>
      </c>
      <c r="Y1457" s="264">
        <f t="shared" si="228"/>
        <v>1448</v>
      </c>
      <c r="Z1457" s="10">
        <v>290</v>
      </c>
      <c r="AA1457" s="7">
        <v>998</v>
      </c>
      <c r="AB1457" s="7">
        <v>1448</v>
      </c>
      <c r="AC1457" s="109">
        <v>0</v>
      </c>
      <c r="AD1457" s="109">
        <v>0</v>
      </c>
      <c r="AE1457" s="125"/>
      <c r="AF1457" s="10"/>
      <c r="AI1457" s="109"/>
      <c r="AJ1457" s="109"/>
      <c r="AL1457" s="10"/>
      <c r="AO1457" s="109"/>
      <c r="AP1457" s="109"/>
      <c r="AR1457" s="10"/>
      <c r="AU1457" s="109"/>
      <c r="AV1457" s="109"/>
      <c r="AX1457" s="10"/>
      <c r="BA1457" s="109"/>
      <c r="BB1457" s="109"/>
      <c r="BD1457" s="10"/>
      <c r="BG1457" s="109"/>
      <c r="BH1457" s="109"/>
      <c r="BJ1457" s="10"/>
      <c r="BM1457" s="109"/>
      <c r="BN1457" s="109"/>
      <c r="BP1457" s="10"/>
      <c r="BS1457" s="109"/>
      <c r="BT1457" s="109"/>
      <c r="BV1457" s="10"/>
      <c r="BY1457" s="109"/>
      <c r="BZ1457" s="109"/>
      <c r="CB1457" s="10"/>
      <c r="CE1457" s="109"/>
      <c r="CF1457" s="109"/>
      <c r="CH1457" s="10"/>
      <c r="CK1457" s="109"/>
      <c r="CL1457" s="109"/>
    </row>
    <row r="1458" spans="1:90">
      <c r="A1458" s="7" t="str">
        <f t="shared" si="221"/>
        <v>02900998</v>
      </c>
      <c r="B1458" s="7" t="s">
        <v>2629</v>
      </c>
      <c r="C1458" s="7" t="s">
        <v>2781</v>
      </c>
      <c r="D1458" s="7">
        <v>1449</v>
      </c>
      <c r="E1458" s="7">
        <v>290</v>
      </c>
      <c r="F1458" s="7" t="s">
        <v>2135</v>
      </c>
      <c r="G1458" s="7">
        <v>998</v>
      </c>
      <c r="H1458" s="7" t="s">
        <v>2135</v>
      </c>
      <c r="I1458" s="70">
        <v>0</v>
      </c>
      <c r="J1458" s="131">
        <v>0</v>
      </c>
      <c r="K1458" s="123">
        <f t="shared" si="230"/>
        <v>0</v>
      </c>
      <c r="L1458" s="122">
        <f>IF(K1459&gt;0, K1458/K1459, 0)</f>
        <v>0</v>
      </c>
      <c r="M1458" s="71"/>
      <c r="N1458" s="10">
        <f>ROUND(M1459*L1458,0)</f>
        <v>0</v>
      </c>
      <c r="O1458" s="70">
        <v>0</v>
      </c>
      <c r="P1458" s="10">
        <f>N1458-O1458</f>
        <v>0</v>
      </c>
      <c r="Q1458" s="46">
        <f t="shared" si="229"/>
        <v>0</v>
      </c>
      <c r="R1458" s="10">
        <v>0</v>
      </c>
      <c r="S1458" s="7">
        <f t="shared" si="222"/>
        <v>0</v>
      </c>
      <c r="T1458" s="124">
        <f t="shared" si="223"/>
        <v>290</v>
      </c>
      <c r="U1458" s="124">
        <f t="shared" si="224"/>
        <v>998</v>
      </c>
      <c r="V1458" s="124">
        <f t="shared" si="225"/>
        <v>1449</v>
      </c>
      <c r="W1458" s="124">
        <f t="shared" si="226"/>
        <v>0</v>
      </c>
      <c r="X1458" s="124">
        <f t="shared" si="227"/>
        <v>0</v>
      </c>
      <c r="Y1458" s="264">
        <f t="shared" si="228"/>
        <v>1449</v>
      </c>
      <c r="Z1458" s="10">
        <v>290</v>
      </c>
      <c r="AA1458" s="7">
        <v>998</v>
      </c>
      <c r="AB1458" s="7">
        <v>1449</v>
      </c>
      <c r="AC1458" s="109">
        <v>0</v>
      </c>
      <c r="AD1458" s="109">
        <v>0</v>
      </c>
      <c r="AE1458" s="125"/>
      <c r="AF1458" s="10"/>
      <c r="AI1458" s="109"/>
      <c r="AJ1458" s="109"/>
      <c r="AL1458" s="10"/>
      <c r="AO1458" s="109"/>
      <c r="AP1458" s="109"/>
      <c r="AR1458" s="10"/>
      <c r="AU1458" s="109"/>
      <c r="AV1458" s="109"/>
      <c r="AX1458" s="10"/>
      <c r="BA1458" s="109"/>
      <c r="BB1458" s="109"/>
      <c r="BD1458" s="10"/>
      <c r="BG1458" s="109"/>
      <c r="BH1458" s="109"/>
      <c r="BJ1458" s="10"/>
      <c r="BM1458" s="109"/>
      <c r="BN1458" s="109"/>
      <c r="BP1458" s="10"/>
      <c r="BS1458" s="109"/>
      <c r="BT1458" s="109"/>
      <c r="BV1458" s="10"/>
      <c r="BY1458" s="109"/>
      <c r="BZ1458" s="109"/>
      <c r="CB1458" s="10"/>
      <c r="CE1458" s="109"/>
      <c r="CF1458" s="109"/>
      <c r="CH1458" s="10"/>
      <c r="CK1458" s="109"/>
      <c r="CL1458" s="109"/>
    </row>
    <row r="1459" spans="1:90">
      <c r="A1459" s="7" t="str">
        <f t="shared" si="221"/>
        <v>02900999</v>
      </c>
      <c r="B1459" s="7" t="s">
        <v>2629</v>
      </c>
      <c r="C1459" s="7" t="s">
        <v>2782</v>
      </c>
      <c r="D1459" s="7">
        <v>1450</v>
      </c>
      <c r="E1459" s="11">
        <v>290</v>
      </c>
      <c r="F1459" s="11" t="s">
        <v>1995</v>
      </c>
      <c r="G1459" s="11">
        <v>999</v>
      </c>
      <c r="H1459" s="11" t="s">
        <v>1132</v>
      </c>
      <c r="I1459" s="134">
        <v>14838407.810000002</v>
      </c>
      <c r="J1459" s="135">
        <v>1</v>
      </c>
      <c r="K1459" s="127">
        <f>SUM(K1455:K1458)</f>
        <v>14879111.604730142</v>
      </c>
      <c r="L1459" s="126">
        <f>SUM(L1455:L1458)</f>
        <v>1</v>
      </c>
      <c r="M1459" s="105">
        <f>VLOOKUP(E1459,town351,22)</f>
        <v>10774156</v>
      </c>
      <c r="N1459" s="105">
        <f>SUM(N1455:N1458)</f>
        <v>10774156</v>
      </c>
      <c r="O1459" s="128">
        <v>10909888</v>
      </c>
      <c r="P1459" s="105">
        <f>SUM(P1455:P1458)</f>
        <v>-135732</v>
      </c>
      <c r="Q1459" s="45">
        <f t="shared" si="229"/>
        <v>-1.2441190963646922</v>
      </c>
      <c r="R1459" s="105">
        <v>1543</v>
      </c>
      <c r="S1459" s="7">
        <f t="shared" si="222"/>
        <v>0</v>
      </c>
      <c r="T1459" s="124">
        <f t="shared" si="223"/>
        <v>290</v>
      </c>
      <c r="U1459" s="124">
        <f t="shared" si="224"/>
        <v>999</v>
      </c>
      <c r="V1459" s="124">
        <f t="shared" si="225"/>
        <v>1450</v>
      </c>
      <c r="W1459" s="124">
        <f t="shared" si="226"/>
        <v>1519.0000000037101</v>
      </c>
      <c r="X1459" s="124">
        <f t="shared" si="227"/>
        <v>14879111.604730142</v>
      </c>
      <c r="Y1459" s="264">
        <f t="shared" si="228"/>
        <v>1450</v>
      </c>
      <c r="Z1459" s="10">
        <v>290</v>
      </c>
      <c r="AA1459" s="7">
        <v>999</v>
      </c>
      <c r="AB1459" s="7">
        <v>1450</v>
      </c>
      <c r="AC1459" s="109">
        <v>1519.0000000037101</v>
      </c>
      <c r="AD1459" s="109">
        <v>14879111.604730142</v>
      </c>
      <c r="AE1459" s="125"/>
      <c r="AF1459" s="10"/>
      <c r="AI1459" s="109"/>
      <c r="AJ1459" s="109"/>
      <c r="AL1459" s="10"/>
      <c r="AO1459" s="109"/>
      <c r="AP1459" s="109"/>
      <c r="AR1459" s="10"/>
      <c r="AU1459" s="109"/>
      <c r="AV1459" s="109"/>
      <c r="AX1459" s="10"/>
      <c r="BA1459" s="109"/>
      <c r="BB1459" s="109"/>
      <c r="BD1459" s="10"/>
      <c r="BG1459" s="109"/>
      <c r="BH1459" s="109"/>
      <c r="BJ1459" s="10"/>
      <c r="BM1459" s="109"/>
      <c r="BN1459" s="109"/>
      <c r="BP1459" s="10"/>
      <c r="BS1459" s="109"/>
      <c r="BT1459" s="109"/>
      <c r="BV1459" s="10"/>
      <c r="BY1459" s="109"/>
      <c r="BZ1459" s="109"/>
      <c r="CB1459" s="10"/>
      <c r="CE1459" s="109"/>
      <c r="CF1459" s="109"/>
      <c r="CH1459" s="10"/>
      <c r="CK1459" s="109"/>
      <c r="CL1459" s="109"/>
    </row>
    <row r="1460" spans="1:90">
      <c r="A1460" s="7" t="str">
        <f t="shared" si="221"/>
        <v>02910291</v>
      </c>
      <c r="B1460" s="7" t="s">
        <v>2630</v>
      </c>
      <c r="C1460" s="7" t="s">
        <v>2630</v>
      </c>
      <c r="D1460" s="7">
        <v>1451</v>
      </c>
      <c r="E1460" s="7">
        <v>291</v>
      </c>
      <c r="F1460" s="7" t="s">
        <v>1996</v>
      </c>
      <c r="G1460" s="7">
        <v>291</v>
      </c>
      <c r="H1460" s="7" t="s">
        <v>1557</v>
      </c>
      <c r="I1460" s="70">
        <v>20368467.029999997</v>
      </c>
      <c r="J1460" s="131">
        <v>0.9810143305611887</v>
      </c>
      <c r="K1460" s="123">
        <f>X1460</f>
        <v>20655963.815009337</v>
      </c>
      <c r="L1460" s="122">
        <f>IF(K1464&gt;0, K1460/K1464, 0)</f>
        <v>0.98483150157742927</v>
      </c>
      <c r="M1460" s="71"/>
      <c r="N1460" s="10">
        <f>ROUND(M1464*L1460,0)</f>
        <v>17159833</v>
      </c>
      <c r="O1460" s="70">
        <v>16975480</v>
      </c>
      <c r="P1460" s="10">
        <f>N1460-O1460</f>
        <v>184353</v>
      </c>
      <c r="Q1460" s="46">
        <f t="shared" si="229"/>
        <v>1.0859958010023869</v>
      </c>
      <c r="R1460" s="10">
        <v>2134</v>
      </c>
      <c r="S1460" s="7">
        <f t="shared" si="222"/>
        <v>0</v>
      </c>
      <c r="T1460" s="124">
        <f t="shared" si="223"/>
        <v>291</v>
      </c>
      <c r="U1460" s="124">
        <f t="shared" si="224"/>
        <v>291</v>
      </c>
      <c r="V1460" s="124">
        <f t="shared" si="225"/>
        <v>1451</v>
      </c>
      <c r="W1460" s="124">
        <f t="shared" si="226"/>
        <v>2119</v>
      </c>
      <c r="X1460" s="124">
        <f t="shared" si="227"/>
        <v>20655963.815009337</v>
      </c>
      <c r="Y1460" s="264">
        <f t="shared" si="228"/>
        <v>1451</v>
      </c>
      <c r="Z1460" s="10">
        <v>291</v>
      </c>
      <c r="AA1460" s="7">
        <v>291</v>
      </c>
      <c r="AB1460" s="7">
        <v>1451</v>
      </c>
      <c r="AC1460" s="109">
        <v>2119</v>
      </c>
      <c r="AD1460" s="109">
        <v>20655963.815009337</v>
      </c>
      <c r="AE1460" s="125"/>
      <c r="AF1460" s="10"/>
      <c r="AI1460" s="109"/>
      <c r="AJ1460" s="109"/>
      <c r="AL1460" s="10"/>
      <c r="AO1460" s="109"/>
      <c r="AP1460" s="109"/>
      <c r="AR1460" s="10"/>
      <c r="AU1460" s="109"/>
      <c r="AV1460" s="109"/>
      <c r="AX1460" s="10"/>
      <c r="BA1460" s="109"/>
      <c r="BB1460" s="109"/>
      <c r="BD1460" s="10"/>
      <c r="BG1460" s="109"/>
      <c r="BH1460" s="109"/>
      <c r="BJ1460" s="10"/>
      <c r="BM1460" s="109"/>
      <c r="BN1460" s="109"/>
      <c r="BP1460" s="10"/>
      <c r="BS1460" s="109"/>
      <c r="BT1460" s="109"/>
      <c r="BV1460" s="10"/>
      <c r="BY1460" s="109"/>
      <c r="BZ1460" s="109"/>
      <c r="CB1460" s="10"/>
      <c r="CE1460" s="109"/>
      <c r="CF1460" s="109"/>
      <c r="CH1460" s="10"/>
      <c r="CK1460" s="109"/>
      <c r="CL1460" s="109"/>
    </row>
    <row r="1461" spans="1:90">
      <c r="A1461" s="7" t="str">
        <f t="shared" si="221"/>
        <v>02910817</v>
      </c>
      <c r="B1461" s="7" t="s">
        <v>2630</v>
      </c>
      <c r="C1461" s="7" t="s">
        <v>2757</v>
      </c>
      <c r="D1461" s="7">
        <v>1452</v>
      </c>
      <c r="E1461" s="7">
        <v>291</v>
      </c>
      <c r="F1461" s="7" t="s">
        <v>1996</v>
      </c>
      <c r="G1461" s="7">
        <v>817</v>
      </c>
      <c r="H1461" s="7" t="s">
        <v>1684</v>
      </c>
      <c r="I1461" s="70">
        <v>394193</v>
      </c>
      <c r="J1461" s="131">
        <v>1.8985669438811307E-2</v>
      </c>
      <c r="K1461" s="123">
        <f t="shared" si="230"/>
        <v>318145.74781858083</v>
      </c>
      <c r="L1461" s="122">
        <f>IF(K1464&gt;0, K1461/K1464, 0)</f>
        <v>1.5168498422570724E-2</v>
      </c>
      <c r="M1461" s="71"/>
      <c r="N1461" s="10">
        <f>ROUND(M1464*L1461,0)</f>
        <v>264298</v>
      </c>
      <c r="O1461" s="70">
        <v>328528</v>
      </c>
      <c r="P1461" s="10">
        <f>N1461-O1461</f>
        <v>-64230</v>
      </c>
      <c r="Q1461" s="46">
        <f t="shared" si="229"/>
        <v>-19.550844981249696</v>
      </c>
      <c r="R1461" s="10">
        <v>25</v>
      </c>
      <c r="S1461" s="7">
        <f t="shared" si="222"/>
        <v>0</v>
      </c>
      <c r="T1461" s="124">
        <f t="shared" si="223"/>
        <v>291</v>
      </c>
      <c r="U1461" s="124">
        <f t="shared" si="224"/>
        <v>817</v>
      </c>
      <c r="V1461" s="124">
        <f t="shared" si="225"/>
        <v>1452</v>
      </c>
      <c r="W1461" s="124">
        <f t="shared" si="226"/>
        <v>20.00000000232</v>
      </c>
      <c r="X1461" s="124">
        <f t="shared" si="227"/>
        <v>318145.74781858083</v>
      </c>
      <c r="Y1461" s="264">
        <f t="shared" si="228"/>
        <v>1452</v>
      </c>
      <c r="Z1461" s="10">
        <v>291</v>
      </c>
      <c r="AA1461" s="7">
        <v>817</v>
      </c>
      <c r="AB1461" s="7">
        <v>1452</v>
      </c>
      <c r="AC1461" s="109">
        <v>20.00000000232</v>
      </c>
      <c r="AD1461" s="109">
        <v>318145.74781858083</v>
      </c>
      <c r="AE1461" s="125"/>
      <c r="AF1461" s="10"/>
      <c r="AI1461" s="109"/>
      <c r="AJ1461" s="109"/>
      <c r="AL1461" s="10"/>
      <c r="AO1461" s="109"/>
      <c r="AP1461" s="109"/>
      <c r="AR1461" s="10"/>
      <c r="AU1461" s="109"/>
      <c r="AV1461" s="109"/>
      <c r="AX1461" s="10"/>
      <c r="BA1461" s="109"/>
      <c r="BB1461" s="109"/>
      <c r="BD1461" s="10"/>
      <c r="BG1461" s="109"/>
      <c r="BH1461" s="109"/>
      <c r="BJ1461" s="10"/>
      <c r="BM1461" s="109"/>
      <c r="BN1461" s="109"/>
      <c r="BP1461" s="10"/>
      <c r="BS1461" s="109"/>
      <c r="BT1461" s="109"/>
      <c r="BV1461" s="10"/>
      <c r="BY1461" s="109"/>
      <c r="BZ1461" s="109"/>
      <c r="CB1461" s="10"/>
      <c r="CE1461" s="109"/>
      <c r="CF1461" s="109"/>
      <c r="CH1461" s="10"/>
      <c r="CK1461" s="109"/>
      <c r="CL1461" s="109"/>
    </row>
    <row r="1462" spans="1:90">
      <c r="A1462" s="7" t="str">
        <f t="shared" si="221"/>
        <v>02910998</v>
      </c>
      <c r="B1462" s="7" t="s">
        <v>2630</v>
      </c>
      <c r="C1462" s="7" t="s">
        <v>2781</v>
      </c>
      <c r="D1462" s="7">
        <v>1453</v>
      </c>
      <c r="E1462" s="7">
        <v>291</v>
      </c>
      <c r="F1462" s="7" t="s">
        <v>2135</v>
      </c>
      <c r="G1462" s="7">
        <v>998</v>
      </c>
      <c r="I1462" s="129">
        <v>0</v>
      </c>
      <c r="J1462" s="130">
        <v>0</v>
      </c>
      <c r="K1462" s="123">
        <f t="shared" si="230"/>
        <v>0</v>
      </c>
      <c r="L1462" s="122">
        <f>IF(K1464&gt;0, K1462/K1464, 0)</f>
        <v>0</v>
      </c>
      <c r="M1462" s="71"/>
      <c r="N1462" s="10">
        <f>ROUND(M1464*L1462,0)</f>
        <v>0</v>
      </c>
      <c r="O1462" s="70">
        <v>0</v>
      </c>
      <c r="P1462" s="10">
        <f>N1462-O1462</f>
        <v>0</v>
      </c>
      <c r="Q1462" s="46">
        <f t="shared" si="229"/>
        <v>0</v>
      </c>
      <c r="R1462" s="10">
        <v>0</v>
      </c>
      <c r="S1462" s="7">
        <f t="shared" si="222"/>
        <v>0</v>
      </c>
      <c r="T1462" s="124">
        <f t="shared" si="223"/>
        <v>291</v>
      </c>
      <c r="U1462" s="124">
        <f t="shared" si="224"/>
        <v>998</v>
      </c>
      <c r="V1462" s="124">
        <f t="shared" si="225"/>
        <v>1453</v>
      </c>
      <c r="W1462" s="124">
        <f t="shared" si="226"/>
        <v>0</v>
      </c>
      <c r="X1462" s="124">
        <f t="shared" si="227"/>
        <v>0</v>
      </c>
      <c r="Y1462" s="264">
        <f t="shared" si="228"/>
        <v>1453</v>
      </c>
      <c r="Z1462" s="10">
        <v>291</v>
      </c>
      <c r="AA1462" s="7">
        <v>998</v>
      </c>
      <c r="AB1462" s="7">
        <v>1453</v>
      </c>
      <c r="AC1462" s="109">
        <v>0</v>
      </c>
      <c r="AD1462" s="109">
        <v>0</v>
      </c>
      <c r="AE1462" s="125"/>
      <c r="AF1462" s="10"/>
      <c r="AI1462" s="109"/>
      <c r="AJ1462" s="109"/>
      <c r="AL1462" s="10"/>
      <c r="AO1462" s="109"/>
      <c r="AP1462" s="109"/>
      <c r="AR1462" s="10"/>
      <c r="AU1462" s="109"/>
      <c r="AV1462" s="109"/>
      <c r="AX1462" s="10"/>
      <c r="BA1462" s="109"/>
      <c r="BB1462" s="109"/>
      <c r="BD1462" s="10"/>
      <c r="BG1462" s="109"/>
      <c r="BH1462" s="109"/>
      <c r="BJ1462" s="10"/>
      <c r="BM1462" s="109"/>
      <c r="BN1462" s="109"/>
      <c r="BP1462" s="10"/>
      <c r="BS1462" s="109"/>
      <c r="BT1462" s="109"/>
      <c r="BV1462" s="10"/>
      <c r="BY1462" s="109"/>
      <c r="BZ1462" s="109"/>
      <c r="CB1462" s="10"/>
      <c r="CE1462" s="109"/>
      <c r="CF1462" s="109"/>
      <c r="CH1462" s="10"/>
      <c r="CK1462" s="109"/>
      <c r="CL1462" s="109"/>
    </row>
    <row r="1463" spans="1:90">
      <c r="A1463" s="7" t="str">
        <f t="shared" si="221"/>
        <v>02910998</v>
      </c>
      <c r="B1463" s="7" t="s">
        <v>2630</v>
      </c>
      <c r="C1463" s="7" t="s">
        <v>2781</v>
      </c>
      <c r="D1463" s="7">
        <v>1454</v>
      </c>
      <c r="E1463" s="7">
        <v>291</v>
      </c>
      <c r="F1463" s="7" t="s">
        <v>2135</v>
      </c>
      <c r="G1463" s="7">
        <v>998</v>
      </c>
      <c r="H1463" s="7" t="s">
        <v>2135</v>
      </c>
      <c r="I1463" s="70">
        <v>0</v>
      </c>
      <c r="J1463" s="131">
        <v>0</v>
      </c>
      <c r="K1463" s="123">
        <f t="shared" si="230"/>
        <v>0</v>
      </c>
      <c r="L1463" s="122">
        <f>IF(K1464&gt;0, K1463/K1464, 0)</f>
        <v>0</v>
      </c>
      <c r="M1463" s="71"/>
      <c r="N1463" s="10">
        <f>ROUND(M1464*L1463,0)</f>
        <v>0</v>
      </c>
      <c r="O1463" s="70">
        <v>0</v>
      </c>
      <c r="P1463" s="10">
        <f>N1463-O1463</f>
        <v>0</v>
      </c>
      <c r="Q1463" s="46">
        <f t="shared" si="229"/>
        <v>0</v>
      </c>
      <c r="R1463" s="10">
        <v>0</v>
      </c>
      <c r="S1463" s="7">
        <f t="shared" si="222"/>
        <v>0</v>
      </c>
      <c r="T1463" s="124">
        <f t="shared" si="223"/>
        <v>291</v>
      </c>
      <c r="U1463" s="124">
        <f t="shared" si="224"/>
        <v>998</v>
      </c>
      <c r="V1463" s="124">
        <f t="shared" si="225"/>
        <v>1454</v>
      </c>
      <c r="W1463" s="124">
        <f t="shared" si="226"/>
        <v>0</v>
      </c>
      <c r="X1463" s="124">
        <f t="shared" si="227"/>
        <v>0</v>
      </c>
      <c r="Y1463" s="264">
        <f t="shared" si="228"/>
        <v>1454</v>
      </c>
      <c r="Z1463" s="10">
        <v>291</v>
      </c>
      <c r="AA1463" s="7">
        <v>998</v>
      </c>
      <c r="AB1463" s="7">
        <v>1454</v>
      </c>
      <c r="AC1463" s="109">
        <v>0</v>
      </c>
      <c r="AD1463" s="109">
        <v>0</v>
      </c>
      <c r="AE1463" s="125"/>
      <c r="AF1463" s="10"/>
      <c r="AI1463" s="109"/>
      <c r="AJ1463" s="109"/>
      <c r="AL1463" s="10"/>
      <c r="AO1463" s="109"/>
      <c r="AP1463" s="109"/>
      <c r="AR1463" s="10"/>
      <c r="AU1463" s="109"/>
      <c r="AV1463" s="109"/>
      <c r="AX1463" s="10"/>
      <c r="BA1463" s="109"/>
      <c r="BB1463" s="109"/>
      <c r="BD1463" s="10"/>
      <c r="BG1463" s="109"/>
      <c r="BH1463" s="109"/>
      <c r="BJ1463" s="10"/>
      <c r="BM1463" s="109"/>
      <c r="BN1463" s="109"/>
      <c r="BP1463" s="10"/>
      <c r="BS1463" s="109"/>
      <c r="BT1463" s="109"/>
      <c r="BV1463" s="10"/>
      <c r="BY1463" s="109"/>
      <c r="BZ1463" s="109"/>
      <c r="CB1463" s="10"/>
      <c r="CE1463" s="109"/>
      <c r="CF1463" s="109"/>
      <c r="CH1463" s="10"/>
      <c r="CK1463" s="109"/>
      <c r="CL1463" s="109"/>
    </row>
    <row r="1464" spans="1:90">
      <c r="A1464" s="7" t="str">
        <f t="shared" si="221"/>
        <v>02910999</v>
      </c>
      <c r="B1464" s="7" t="s">
        <v>2630</v>
      </c>
      <c r="C1464" s="7" t="s">
        <v>2782</v>
      </c>
      <c r="D1464" s="7">
        <v>1455</v>
      </c>
      <c r="E1464" s="11">
        <v>291</v>
      </c>
      <c r="F1464" s="11" t="s">
        <v>1996</v>
      </c>
      <c r="G1464" s="11">
        <v>999</v>
      </c>
      <c r="H1464" s="11" t="s">
        <v>1132</v>
      </c>
      <c r="I1464" s="134">
        <v>20762660.029999997</v>
      </c>
      <c r="J1464" s="135">
        <v>1</v>
      </c>
      <c r="K1464" s="127">
        <f>SUM(K1460:K1463)</f>
        <v>20974109.562827919</v>
      </c>
      <c r="L1464" s="126">
        <f>SUM(L1460:L1463)</f>
        <v>1</v>
      </c>
      <c r="M1464" s="105">
        <f>VLOOKUP(E1464,town351,22)</f>
        <v>17424131</v>
      </c>
      <c r="N1464" s="105">
        <f>SUM(N1460:N1463)</f>
        <v>17424131</v>
      </c>
      <c r="O1464" s="128">
        <v>17304008</v>
      </c>
      <c r="P1464" s="105">
        <f>SUM(P1460:P1463)</f>
        <v>120123</v>
      </c>
      <c r="Q1464" s="45">
        <f t="shared" si="229"/>
        <v>0.6941917733741223</v>
      </c>
      <c r="R1464" s="105">
        <v>2159</v>
      </c>
      <c r="S1464" s="7">
        <f t="shared" si="222"/>
        <v>0</v>
      </c>
      <c r="T1464" s="124">
        <f t="shared" si="223"/>
        <v>291</v>
      </c>
      <c r="U1464" s="124">
        <f t="shared" si="224"/>
        <v>999</v>
      </c>
      <c r="V1464" s="124">
        <f t="shared" si="225"/>
        <v>1455</v>
      </c>
      <c r="W1464" s="124">
        <f t="shared" si="226"/>
        <v>2139.0000000023201</v>
      </c>
      <c r="X1464" s="124">
        <f t="shared" si="227"/>
        <v>20974109.562827919</v>
      </c>
      <c r="Y1464" s="264">
        <f t="shared" si="228"/>
        <v>1455</v>
      </c>
      <c r="Z1464" s="10">
        <v>291</v>
      </c>
      <c r="AA1464" s="7">
        <v>999</v>
      </c>
      <c r="AB1464" s="7">
        <v>1455</v>
      </c>
      <c r="AC1464" s="109">
        <v>2139.0000000023201</v>
      </c>
      <c r="AD1464" s="109">
        <v>20974109.562827919</v>
      </c>
      <c r="AE1464" s="125"/>
      <c r="AF1464" s="10"/>
      <c r="AI1464" s="109"/>
      <c r="AJ1464" s="109"/>
      <c r="AL1464" s="10"/>
      <c r="AO1464" s="109"/>
      <c r="AP1464" s="109"/>
      <c r="AR1464" s="10"/>
      <c r="AU1464" s="109"/>
      <c r="AV1464" s="109"/>
      <c r="AX1464" s="10"/>
      <c r="BA1464" s="109"/>
      <c r="BB1464" s="109"/>
      <c r="BD1464" s="10"/>
      <c r="BG1464" s="109"/>
      <c r="BH1464" s="109"/>
      <c r="BJ1464" s="10"/>
      <c r="BM1464" s="109"/>
      <c r="BN1464" s="109"/>
      <c r="BP1464" s="10"/>
      <c r="BS1464" s="109"/>
      <c r="BT1464" s="109"/>
      <c r="BV1464" s="10"/>
      <c r="BY1464" s="109"/>
      <c r="BZ1464" s="109"/>
      <c r="CB1464" s="10"/>
      <c r="CE1464" s="109"/>
      <c r="CF1464" s="109"/>
      <c r="CH1464" s="10"/>
      <c r="CK1464" s="109"/>
      <c r="CL1464" s="109"/>
    </row>
    <row r="1465" spans="1:90">
      <c r="A1465" s="7" t="str">
        <f t="shared" si="221"/>
        <v>02920292</v>
      </c>
      <c r="B1465" s="7" t="s">
        <v>2631</v>
      </c>
      <c r="C1465" s="7" t="s">
        <v>2631</v>
      </c>
      <c r="D1465" s="7">
        <v>1456</v>
      </c>
      <c r="E1465" s="7">
        <v>292</v>
      </c>
      <c r="F1465" s="7" t="s">
        <v>1997</v>
      </c>
      <c r="G1465" s="7">
        <v>292</v>
      </c>
      <c r="H1465" s="7" t="s">
        <v>1558</v>
      </c>
      <c r="I1465" s="70">
        <v>19920849.289999999</v>
      </c>
      <c r="J1465" s="131">
        <v>0.89616261842665923</v>
      </c>
      <c r="K1465" s="123">
        <f>X1465</f>
        <v>20221515.14252951</v>
      </c>
      <c r="L1465" s="122">
        <f>IF(K1469&gt;0, K1465/K1469, 0)</f>
        <v>0.88877624170486424</v>
      </c>
      <c r="M1465" s="71"/>
      <c r="N1465" s="10">
        <f>ROUND(M1469*L1465,0)</f>
        <v>12930499</v>
      </c>
      <c r="O1465" s="70">
        <v>12860612</v>
      </c>
      <c r="P1465" s="10">
        <f>N1465-O1465</f>
        <v>69887</v>
      </c>
      <c r="Q1465" s="46">
        <f t="shared" si="229"/>
        <v>0.54341892905252098</v>
      </c>
      <c r="R1465" s="10">
        <v>2035</v>
      </c>
      <c r="S1465" s="7">
        <f t="shared" si="222"/>
        <v>0</v>
      </c>
      <c r="T1465" s="124">
        <f t="shared" si="223"/>
        <v>292</v>
      </c>
      <c r="U1465" s="124">
        <f t="shared" si="224"/>
        <v>292</v>
      </c>
      <c r="V1465" s="124">
        <f t="shared" si="225"/>
        <v>1456</v>
      </c>
      <c r="W1465" s="124">
        <f t="shared" si="226"/>
        <v>2049</v>
      </c>
      <c r="X1465" s="124">
        <f t="shared" si="227"/>
        <v>20221515.14252951</v>
      </c>
      <c r="Y1465" s="264">
        <f t="shared" si="228"/>
        <v>1456</v>
      </c>
      <c r="Z1465" s="10">
        <v>292</v>
      </c>
      <c r="AA1465" s="7">
        <v>292</v>
      </c>
      <c r="AB1465" s="7">
        <v>1456</v>
      </c>
      <c r="AC1465" s="109">
        <v>2049</v>
      </c>
      <c r="AD1465" s="109">
        <v>20221515.14252951</v>
      </c>
      <c r="AE1465" s="125"/>
      <c r="AF1465" s="10"/>
      <c r="AI1465" s="109"/>
      <c r="AJ1465" s="109"/>
      <c r="AL1465" s="10"/>
      <c r="AO1465" s="109"/>
      <c r="AP1465" s="109"/>
      <c r="AR1465" s="10"/>
      <c r="AU1465" s="109"/>
      <c r="AV1465" s="109"/>
      <c r="AX1465" s="10"/>
      <c r="BA1465" s="109"/>
      <c r="BB1465" s="109"/>
      <c r="BD1465" s="10"/>
      <c r="BG1465" s="109"/>
      <c r="BH1465" s="109"/>
      <c r="BJ1465" s="10"/>
      <c r="BM1465" s="109"/>
      <c r="BN1465" s="109"/>
      <c r="BP1465" s="10"/>
      <c r="BS1465" s="109"/>
      <c r="BT1465" s="109"/>
      <c r="BV1465" s="10"/>
      <c r="BY1465" s="109"/>
      <c r="BZ1465" s="109"/>
      <c r="CB1465" s="10"/>
      <c r="CE1465" s="109"/>
      <c r="CF1465" s="109"/>
      <c r="CH1465" s="10"/>
      <c r="CK1465" s="109"/>
      <c r="CL1465" s="109"/>
    </row>
    <row r="1466" spans="1:90">
      <c r="A1466" s="7" t="str">
        <f t="shared" si="221"/>
        <v>02920821</v>
      </c>
      <c r="B1466" s="7" t="s">
        <v>2631</v>
      </c>
      <c r="C1466" s="7" t="s">
        <v>2759</v>
      </c>
      <c r="D1466" s="7">
        <v>1457</v>
      </c>
      <c r="E1466" s="7">
        <v>292</v>
      </c>
      <c r="F1466" s="7" t="s">
        <v>1997</v>
      </c>
      <c r="G1466" s="7">
        <v>821</v>
      </c>
      <c r="H1466" s="7" t="s">
        <v>1686</v>
      </c>
      <c r="I1466" s="70">
        <v>1986456</v>
      </c>
      <c r="J1466" s="131">
        <v>8.9363037912393542E-2</v>
      </c>
      <c r="K1466" s="123">
        <f t="shared" si="230"/>
        <v>2186995.8213233012</v>
      </c>
      <c r="L1466" s="122">
        <f>IF(K1469&gt;0, K1466/K1469, 0)</f>
        <v>9.6122862851750812E-2</v>
      </c>
      <c r="M1466" s="71"/>
      <c r="N1466" s="10">
        <f>ROUND(M1469*L1466,0)</f>
        <v>1398458</v>
      </c>
      <c r="O1466" s="70">
        <v>1282427</v>
      </c>
      <c r="P1466" s="10">
        <f>N1466-O1466</f>
        <v>116031</v>
      </c>
      <c r="Q1466" s="46">
        <f t="shared" si="229"/>
        <v>9.0477664615607747</v>
      </c>
      <c r="R1466" s="10">
        <v>126</v>
      </c>
      <c r="S1466" s="7">
        <f t="shared" si="222"/>
        <v>0</v>
      </c>
      <c r="T1466" s="124">
        <f t="shared" si="223"/>
        <v>292</v>
      </c>
      <c r="U1466" s="124">
        <f t="shared" si="224"/>
        <v>821</v>
      </c>
      <c r="V1466" s="124">
        <f t="shared" si="225"/>
        <v>1457</v>
      </c>
      <c r="W1466" s="124">
        <f t="shared" si="226"/>
        <v>135.00000000509002</v>
      </c>
      <c r="X1466" s="124">
        <f t="shared" si="227"/>
        <v>2186995.8213233012</v>
      </c>
      <c r="Y1466" s="264">
        <f t="shared" si="228"/>
        <v>1457</v>
      </c>
      <c r="Z1466" s="10">
        <v>292</v>
      </c>
      <c r="AA1466" s="7">
        <v>821</v>
      </c>
      <c r="AB1466" s="7">
        <v>1457</v>
      </c>
      <c r="AC1466" s="109">
        <v>135.00000000509002</v>
      </c>
      <c r="AD1466" s="109">
        <v>2186995.8213233012</v>
      </c>
      <c r="AE1466" s="125"/>
      <c r="AF1466" s="10"/>
      <c r="AI1466" s="109"/>
      <c r="AJ1466" s="109"/>
      <c r="AL1466" s="10"/>
      <c r="AO1466" s="109"/>
      <c r="AP1466" s="109"/>
      <c r="AR1466" s="10"/>
      <c r="AU1466" s="109"/>
      <c r="AV1466" s="109"/>
      <c r="AX1466" s="10"/>
      <c r="BA1466" s="109"/>
      <c r="BB1466" s="109"/>
      <c r="BD1466" s="10"/>
      <c r="BG1466" s="109"/>
      <c r="BH1466" s="109"/>
      <c r="BJ1466" s="10"/>
      <c r="BM1466" s="109"/>
      <c r="BN1466" s="109"/>
      <c r="BP1466" s="10"/>
      <c r="BS1466" s="109"/>
      <c r="BT1466" s="109"/>
      <c r="BV1466" s="10"/>
      <c r="BY1466" s="109"/>
      <c r="BZ1466" s="109"/>
      <c r="CB1466" s="10"/>
      <c r="CE1466" s="109"/>
      <c r="CF1466" s="109"/>
      <c r="CH1466" s="10"/>
      <c r="CK1466" s="109"/>
      <c r="CL1466" s="109"/>
    </row>
    <row r="1467" spans="1:90">
      <c r="A1467" s="7" t="str">
        <f t="shared" si="221"/>
        <v>02920910</v>
      </c>
      <c r="B1467" s="7" t="s">
        <v>2631</v>
      </c>
      <c r="C1467" s="7" t="s">
        <v>2778</v>
      </c>
      <c r="D1467" s="7">
        <v>1458</v>
      </c>
      <c r="E1467" s="7">
        <v>292</v>
      </c>
      <c r="F1467" s="7" t="s">
        <v>1997</v>
      </c>
      <c r="G1467" s="7">
        <v>910</v>
      </c>
      <c r="H1467" s="7" t="s">
        <v>1705</v>
      </c>
      <c r="I1467" s="70">
        <v>321751</v>
      </c>
      <c r="J1467" s="131">
        <v>1.4474343660947202E-2</v>
      </c>
      <c r="K1467" s="123">
        <f t="shared" si="230"/>
        <v>343576.89994999295</v>
      </c>
      <c r="L1467" s="122">
        <f>IF(K1469&gt;0, K1467/K1469, 0)</f>
        <v>1.5100895443384912E-2</v>
      </c>
      <c r="M1467" s="71"/>
      <c r="N1467" s="10">
        <f>ROUND(M1469*L1467,0)</f>
        <v>219698</v>
      </c>
      <c r="O1467" s="70">
        <v>207718</v>
      </c>
      <c r="P1467" s="10">
        <f>N1467-O1467</f>
        <v>11980</v>
      </c>
      <c r="Q1467" s="46">
        <f t="shared" si="229"/>
        <v>5.7674346951154929</v>
      </c>
      <c r="R1467" s="10">
        <v>21</v>
      </c>
      <c r="S1467" s="7">
        <f t="shared" si="222"/>
        <v>0</v>
      </c>
      <c r="T1467" s="124">
        <f t="shared" si="223"/>
        <v>292</v>
      </c>
      <c r="U1467" s="124">
        <f t="shared" si="224"/>
        <v>910</v>
      </c>
      <c r="V1467" s="124">
        <f t="shared" si="225"/>
        <v>1458</v>
      </c>
      <c r="W1467" s="124">
        <f t="shared" si="226"/>
        <v>21.999999999</v>
      </c>
      <c r="X1467" s="124">
        <f t="shared" si="227"/>
        <v>343576.89994999295</v>
      </c>
      <c r="Y1467" s="264">
        <f t="shared" si="228"/>
        <v>1458</v>
      </c>
      <c r="Z1467" s="10">
        <v>292</v>
      </c>
      <c r="AA1467" s="7">
        <v>910</v>
      </c>
      <c r="AB1467" s="7">
        <v>1458</v>
      </c>
      <c r="AC1467" s="109">
        <v>21.999999999</v>
      </c>
      <c r="AD1467" s="109">
        <v>343576.89994999295</v>
      </c>
      <c r="AE1467" s="125"/>
      <c r="AF1467" s="10"/>
      <c r="AI1467" s="109"/>
      <c r="AJ1467" s="109"/>
      <c r="AL1467" s="10"/>
      <c r="AO1467" s="109"/>
      <c r="AP1467" s="109"/>
      <c r="AR1467" s="10"/>
      <c r="AU1467" s="109"/>
      <c r="AV1467" s="109"/>
      <c r="AX1467" s="10"/>
      <c r="BA1467" s="109"/>
      <c r="BB1467" s="109"/>
      <c r="BD1467" s="10"/>
      <c r="BG1467" s="109"/>
      <c r="BH1467" s="109"/>
      <c r="BJ1467" s="10"/>
      <c r="BM1467" s="109"/>
      <c r="BN1467" s="109"/>
      <c r="BP1467" s="10"/>
      <c r="BS1467" s="109"/>
      <c r="BT1467" s="109"/>
      <c r="BV1467" s="10"/>
      <c r="BY1467" s="109"/>
      <c r="BZ1467" s="109"/>
      <c r="CB1467" s="10"/>
      <c r="CE1467" s="109"/>
      <c r="CF1467" s="109"/>
      <c r="CH1467" s="10"/>
      <c r="CK1467" s="109"/>
      <c r="CL1467" s="109"/>
    </row>
    <row r="1468" spans="1:90">
      <c r="A1468" s="7" t="str">
        <f t="shared" si="221"/>
        <v>02920998</v>
      </c>
      <c r="B1468" s="7" t="s">
        <v>2631</v>
      </c>
      <c r="C1468" s="7" t="s">
        <v>2781</v>
      </c>
      <c r="D1468" s="7">
        <v>1459</v>
      </c>
      <c r="E1468" s="7">
        <v>292</v>
      </c>
      <c r="F1468" s="7" t="s">
        <v>2135</v>
      </c>
      <c r="G1468" s="7">
        <v>998</v>
      </c>
      <c r="H1468" s="7" t="s">
        <v>2135</v>
      </c>
      <c r="I1468" s="70">
        <v>0</v>
      </c>
      <c r="J1468" s="131">
        <v>0</v>
      </c>
      <c r="K1468" s="123">
        <f t="shared" si="230"/>
        <v>0</v>
      </c>
      <c r="L1468" s="122">
        <f>IF(K1469&gt;0, K1468/K1469, 0)</f>
        <v>0</v>
      </c>
      <c r="M1468" s="71"/>
      <c r="N1468" s="10">
        <f>ROUND(M1469*L1468,0)</f>
        <v>0</v>
      </c>
      <c r="O1468" s="70">
        <v>0</v>
      </c>
      <c r="P1468" s="10">
        <f>N1468-O1468</f>
        <v>0</v>
      </c>
      <c r="Q1468" s="46">
        <f t="shared" si="229"/>
        <v>0</v>
      </c>
      <c r="R1468" s="10">
        <v>0</v>
      </c>
      <c r="S1468" s="7">
        <f t="shared" si="222"/>
        <v>0</v>
      </c>
      <c r="T1468" s="124">
        <f t="shared" si="223"/>
        <v>292</v>
      </c>
      <c r="U1468" s="124">
        <f t="shared" si="224"/>
        <v>998</v>
      </c>
      <c r="V1468" s="124">
        <f t="shared" si="225"/>
        <v>1459</v>
      </c>
      <c r="W1468" s="124">
        <f t="shared" si="226"/>
        <v>0</v>
      </c>
      <c r="X1468" s="124">
        <f t="shared" si="227"/>
        <v>0</v>
      </c>
      <c r="Y1468" s="264">
        <f t="shared" si="228"/>
        <v>1459</v>
      </c>
      <c r="Z1468" s="10">
        <v>292</v>
      </c>
      <c r="AA1468" s="7">
        <v>998</v>
      </c>
      <c r="AB1468" s="7">
        <v>1459</v>
      </c>
      <c r="AC1468" s="109">
        <v>0</v>
      </c>
      <c r="AD1468" s="109">
        <v>0</v>
      </c>
      <c r="AE1468" s="125"/>
      <c r="AF1468" s="10"/>
      <c r="AI1468" s="109"/>
      <c r="AJ1468" s="109"/>
      <c r="AL1468" s="10"/>
      <c r="AO1468" s="109"/>
      <c r="AP1468" s="109"/>
      <c r="AR1468" s="10"/>
      <c r="AU1468" s="109"/>
      <c r="AV1468" s="109"/>
      <c r="AX1468" s="10"/>
      <c r="BA1468" s="109"/>
      <c r="BB1468" s="109"/>
      <c r="BD1468" s="10"/>
      <c r="BG1468" s="109"/>
      <c r="BH1468" s="109"/>
      <c r="BJ1468" s="10"/>
      <c r="BM1468" s="109"/>
      <c r="BN1468" s="109"/>
      <c r="BP1468" s="10"/>
      <c r="BS1468" s="109"/>
      <c r="BT1468" s="109"/>
      <c r="BV1468" s="10"/>
      <c r="BY1468" s="109"/>
      <c r="BZ1468" s="109"/>
      <c r="CB1468" s="10"/>
      <c r="CE1468" s="109"/>
      <c r="CF1468" s="109"/>
      <c r="CH1468" s="10"/>
      <c r="CK1468" s="109"/>
      <c r="CL1468" s="109"/>
    </row>
    <row r="1469" spans="1:90">
      <c r="A1469" s="7" t="str">
        <f t="shared" si="221"/>
        <v>02920999</v>
      </c>
      <c r="B1469" s="7" t="s">
        <v>2631</v>
      </c>
      <c r="C1469" s="7" t="s">
        <v>2782</v>
      </c>
      <c r="D1469" s="7">
        <v>1460</v>
      </c>
      <c r="E1469" s="11">
        <v>292</v>
      </c>
      <c r="F1469" s="11" t="s">
        <v>1997</v>
      </c>
      <c r="G1469" s="11">
        <v>999</v>
      </c>
      <c r="H1469" s="11" t="s">
        <v>1132</v>
      </c>
      <c r="I1469" s="134">
        <v>22229056.289999999</v>
      </c>
      <c r="J1469" s="135">
        <v>1</v>
      </c>
      <c r="K1469" s="127">
        <f>SUM(K1465:K1468)</f>
        <v>22752087.863802806</v>
      </c>
      <c r="L1469" s="126">
        <f>SUM(L1465:L1468)</f>
        <v>1</v>
      </c>
      <c r="M1469" s="105">
        <f>VLOOKUP(E1469,town351,22)</f>
        <v>14548655</v>
      </c>
      <c r="N1469" s="105">
        <f>SUM(N1465:N1468)</f>
        <v>14548655</v>
      </c>
      <c r="O1469" s="128">
        <v>14350757</v>
      </c>
      <c r="P1469" s="105">
        <f>SUM(P1465:P1468)</f>
        <v>197898</v>
      </c>
      <c r="Q1469" s="45">
        <f t="shared" si="229"/>
        <v>1.3790073931291569</v>
      </c>
      <c r="R1469" s="105">
        <v>2182</v>
      </c>
      <c r="S1469" s="7">
        <f t="shared" si="222"/>
        <v>0</v>
      </c>
      <c r="T1469" s="124">
        <f t="shared" si="223"/>
        <v>292</v>
      </c>
      <c r="U1469" s="124">
        <f t="shared" si="224"/>
        <v>999</v>
      </c>
      <c r="V1469" s="124">
        <f t="shared" si="225"/>
        <v>1460</v>
      </c>
      <c r="W1469" s="124">
        <f t="shared" si="226"/>
        <v>2206.00000000409</v>
      </c>
      <c r="X1469" s="124">
        <f t="shared" si="227"/>
        <v>22752087.863802806</v>
      </c>
      <c r="Y1469" s="264">
        <f t="shared" si="228"/>
        <v>1460</v>
      </c>
      <c r="Z1469" s="10">
        <v>292</v>
      </c>
      <c r="AA1469" s="7">
        <v>999</v>
      </c>
      <c r="AB1469" s="7">
        <v>1460</v>
      </c>
      <c r="AC1469" s="109">
        <v>2206.00000000409</v>
      </c>
      <c r="AD1469" s="109">
        <v>22752087.863802806</v>
      </c>
      <c r="AE1469" s="125"/>
      <c r="AF1469" s="10"/>
      <c r="AI1469" s="109"/>
      <c r="AJ1469" s="109"/>
      <c r="AL1469" s="10"/>
      <c r="AO1469" s="109"/>
      <c r="AP1469" s="109"/>
      <c r="AR1469" s="10"/>
      <c r="AU1469" s="109"/>
      <c r="AV1469" s="109"/>
      <c r="AX1469" s="10"/>
      <c r="BA1469" s="109"/>
      <c r="BB1469" s="109"/>
      <c r="BD1469" s="10"/>
      <c r="BG1469" s="109"/>
      <c r="BH1469" s="109"/>
      <c r="BJ1469" s="10"/>
      <c r="BM1469" s="109"/>
      <c r="BN1469" s="109"/>
      <c r="BP1469" s="10"/>
      <c r="BS1469" s="109"/>
      <c r="BT1469" s="109"/>
      <c r="BV1469" s="10"/>
      <c r="BY1469" s="109"/>
      <c r="BZ1469" s="109"/>
      <c r="CB1469" s="10"/>
      <c r="CE1469" s="109"/>
      <c r="CF1469" s="109"/>
      <c r="CH1469" s="10"/>
      <c r="CK1469" s="109"/>
      <c r="CL1469" s="109"/>
    </row>
    <row r="1470" spans="1:90">
      <c r="A1470" s="7" t="str">
        <f t="shared" si="221"/>
        <v>02930293</v>
      </c>
      <c r="B1470" s="7" t="s">
        <v>2632</v>
      </c>
      <c r="C1470" s="7" t="s">
        <v>2632</v>
      </c>
      <c r="D1470" s="7">
        <v>1461</v>
      </c>
      <c r="E1470" s="7">
        <v>293</v>
      </c>
      <c r="F1470" s="7" t="s">
        <v>1998</v>
      </c>
      <c r="G1470" s="7">
        <v>293</v>
      </c>
      <c r="H1470" s="7" t="s">
        <v>1559</v>
      </c>
      <c r="I1470" s="70">
        <v>89152710</v>
      </c>
      <c r="J1470" s="131">
        <v>0.90668841730636685</v>
      </c>
      <c r="K1470" s="123">
        <f>X1470</f>
        <v>91224275.812842891</v>
      </c>
      <c r="L1470" s="122">
        <f>IF(K1474&gt;0, K1470/K1474, 0)</f>
        <v>0.90692515861045053</v>
      </c>
      <c r="M1470" s="71"/>
      <c r="N1470" s="10">
        <f>ROUND(M1474*L1470,0)</f>
        <v>33052858</v>
      </c>
      <c r="O1470" s="70">
        <v>33343214</v>
      </c>
      <c r="P1470" s="10">
        <f>N1470-O1470</f>
        <v>-290356</v>
      </c>
      <c r="Q1470" s="46">
        <f t="shared" si="229"/>
        <v>-0.87080987453698977</v>
      </c>
      <c r="R1470" s="10">
        <v>8061</v>
      </c>
      <c r="S1470" s="7">
        <f t="shared" si="222"/>
        <v>0</v>
      </c>
      <c r="T1470" s="124">
        <f t="shared" si="223"/>
        <v>293</v>
      </c>
      <c r="U1470" s="124">
        <f t="shared" si="224"/>
        <v>293</v>
      </c>
      <c r="V1470" s="124">
        <f t="shared" si="225"/>
        <v>1461</v>
      </c>
      <c r="W1470" s="124">
        <f t="shared" si="226"/>
        <v>8012</v>
      </c>
      <c r="X1470" s="124">
        <f t="shared" si="227"/>
        <v>91224275.812842891</v>
      </c>
      <c r="Y1470" s="264">
        <f t="shared" si="228"/>
        <v>1461</v>
      </c>
      <c r="Z1470" s="10">
        <v>293</v>
      </c>
      <c r="AA1470" s="7">
        <v>293</v>
      </c>
      <c r="AB1470" s="7">
        <v>1461</v>
      </c>
      <c r="AC1470" s="109">
        <v>8012</v>
      </c>
      <c r="AD1470" s="109">
        <v>91224275.812842891</v>
      </c>
      <c r="AE1470" s="125"/>
      <c r="AF1470" s="10"/>
      <c r="AI1470" s="109"/>
      <c r="AJ1470" s="109"/>
      <c r="AL1470" s="10"/>
      <c r="AO1470" s="109"/>
      <c r="AP1470" s="109"/>
      <c r="AR1470" s="10"/>
      <c r="AU1470" s="109"/>
      <c r="AV1470" s="109"/>
      <c r="AX1470" s="10"/>
      <c r="BA1470" s="109"/>
      <c r="BB1470" s="109"/>
      <c r="BD1470" s="10"/>
      <c r="BG1470" s="109"/>
      <c r="BH1470" s="109"/>
      <c r="BJ1470" s="10"/>
      <c r="BM1470" s="109"/>
      <c r="BN1470" s="109"/>
      <c r="BP1470" s="10"/>
      <c r="BS1470" s="109"/>
      <c r="BT1470" s="109"/>
      <c r="BV1470" s="10"/>
      <c r="BY1470" s="109"/>
      <c r="BZ1470" s="109"/>
      <c r="CB1470" s="10"/>
      <c r="CE1470" s="109"/>
      <c r="CF1470" s="109"/>
      <c r="CH1470" s="10"/>
      <c r="CK1470" s="109"/>
      <c r="CL1470" s="109"/>
    </row>
    <row r="1471" spans="1:90">
      <c r="A1471" s="7" t="str">
        <f t="shared" si="221"/>
        <v>02930810</v>
      </c>
      <c r="B1471" s="7" t="s">
        <v>2632</v>
      </c>
      <c r="C1471" s="7" t="s">
        <v>2755</v>
      </c>
      <c r="D1471" s="7">
        <v>1462</v>
      </c>
      <c r="E1471" s="7">
        <v>293</v>
      </c>
      <c r="F1471" s="7" t="s">
        <v>1998</v>
      </c>
      <c r="G1471" s="7">
        <v>810</v>
      </c>
      <c r="H1471" s="7" t="s">
        <v>1682</v>
      </c>
      <c r="I1471" s="70">
        <v>8516302</v>
      </c>
      <c r="J1471" s="131">
        <v>8.6611303029184947E-2</v>
      </c>
      <c r="K1471" s="123">
        <f t="shared" si="230"/>
        <v>8799840.2242712416</v>
      </c>
      <c r="L1471" s="122">
        <f>IF(K1474&gt;0, K1471/K1474, 0)</f>
        <v>8.748544639057855E-2</v>
      </c>
      <c r="M1471" s="71"/>
      <c r="N1471" s="10">
        <f>ROUND(M1474*L1471,0)</f>
        <v>3188404</v>
      </c>
      <c r="O1471" s="70">
        <v>3185107</v>
      </c>
      <c r="P1471" s="10">
        <f>N1471-O1471</f>
        <v>3297</v>
      </c>
      <c r="Q1471" s="46">
        <f t="shared" si="229"/>
        <v>0.10351300599948447</v>
      </c>
      <c r="R1471" s="10">
        <v>551</v>
      </c>
      <c r="S1471" s="7">
        <f t="shared" si="222"/>
        <v>0</v>
      </c>
      <c r="T1471" s="124">
        <f t="shared" si="223"/>
        <v>293</v>
      </c>
      <c r="U1471" s="124">
        <f t="shared" si="224"/>
        <v>810</v>
      </c>
      <c r="V1471" s="124">
        <f t="shared" si="225"/>
        <v>1462</v>
      </c>
      <c r="W1471" s="124">
        <f t="shared" si="226"/>
        <v>556.31882970962999</v>
      </c>
      <c r="X1471" s="124">
        <f t="shared" si="227"/>
        <v>8799840.2242712416</v>
      </c>
      <c r="Y1471" s="264">
        <f t="shared" si="228"/>
        <v>1462</v>
      </c>
      <c r="Z1471" s="10">
        <v>293</v>
      </c>
      <c r="AA1471" s="7">
        <v>810</v>
      </c>
      <c r="AB1471" s="7">
        <v>1462</v>
      </c>
      <c r="AC1471" s="109">
        <v>556.31882970962999</v>
      </c>
      <c r="AD1471" s="109">
        <v>8799840.2242712416</v>
      </c>
      <c r="AE1471" s="125"/>
      <c r="AF1471" s="10"/>
      <c r="AI1471" s="109"/>
      <c r="AJ1471" s="109"/>
      <c r="AL1471" s="10"/>
      <c r="AO1471" s="109"/>
      <c r="AP1471" s="109"/>
      <c r="AR1471" s="10"/>
      <c r="AU1471" s="109"/>
      <c r="AV1471" s="109"/>
      <c r="AX1471" s="10"/>
      <c r="BA1471" s="109"/>
      <c r="BB1471" s="109"/>
      <c r="BD1471" s="10"/>
      <c r="BG1471" s="109"/>
      <c r="BH1471" s="109"/>
      <c r="BJ1471" s="10"/>
      <c r="BM1471" s="109"/>
      <c r="BN1471" s="109"/>
      <c r="BP1471" s="10"/>
      <c r="BS1471" s="109"/>
      <c r="BT1471" s="109"/>
      <c r="BV1471" s="10"/>
      <c r="BY1471" s="109"/>
      <c r="BZ1471" s="109"/>
      <c r="CB1471" s="10"/>
      <c r="CE1471" s="109"/>
      <c r="CF1471" s="109"/>
      <c r="CH1471" s="10"/>
      <c r="CK1471" s="109"/>
      <c r="CL1471" s="109"/>
    </row>
    <row r="1472" spans="1:90">
      <c r="A1472" s="7" t="str">
        <f t="shared" si="221"/>
        <v>02930910</v>
      </c>
      <c r="B1472" s="7" t="s">
        <v>2632</v>
      </c>
      <c r="C1472" s="7" t="s">
        <v>2778</v>
      </c>
      <c r="D1472" s="7">
        <v>1463</v>
      </c>
      <c r="E1472" s="7">
        <v>293</v>
      </c>
      <c r="F1472" s="7" t="s">
        <v>1998</v>
      </c>
      <c r="G1472" s="7">
        <v>910</v>
      </c>
      <c r="H1472" s="7" t="s">
        <v>1705</v>
      </c>
      <c r="I1472" s="70">
        <v>658824</v>
      </c>
      <c r="J1472" s="131">
        <v>6.7002796644482238E-3</v>
      </c>
      <c r="K1472" s="123">
        <f t="shared" si="230"/>
        <v>562216.74541951041</v>
      </c>
      <c r="L1472" s="122">
        <f>IF(K1474&gt;0, K1472/K1474, 0)</f>
        <v>5.5893949989708419E-3</v>
      </c>
      <c r="M1472" s="71"/>
      <c r="N1472" s="10">
        <f>ROUND(M1474*L1472,0)</f>
        <v>203705</v>
      </c>
      <c r="O1472" s="70">
        <v>246401</v>
      </c>
      <c r="P1472" s="10">
        <f>N1472-O1472</f>
        <v>-42696</v>
      </c>
      <c r="Q1472" s="46">
        <f t="shared" si="229"/>
        <v>-17.327851753848403</v>
      </c>
      <c r="R1472" s="10">
        <v>43</v>
      </c>
      <c r="S1472" s="7">
        <f t="shared" si="222"/>
        <v>0</v>
      </c>
      <c r="T1472" s="124">
        <f t="shared" si="223"/>
        <v>293</v>
      </c>
      <c r="U1472" s="124">
        <f t="shared" si="224"/>
        <v>910</v>
      </c>
      <c r="V1472" s="124">
        <f t="shared" si="225"/>
        <v>1463</v>
      </c>
      <c r="W1472" s="124">
        <f t="shared" si="226"/>
        <v>36.00000000136</v>
      </c>
      <c r="X1472" s="124">
        <f t="shared" si="227"/>
        <v>562216.74541951041</v>
      </c>
      <c r="Y1472" s="264">
        <f t="shared" si="228"/>
        <v>1463</v>
      </c>
      <c r="Z1472" s="10">
        <v>293</v>
      </c>
      <c r="AA1472" s="7">
        <v>910</v>
      </c>
      <c r="AB1472" s="7">
        <v>1463</v>
      </c>
      <c r="AC1472" s="109">
        <v>36.00000000136</v>
      </c>
      <c r="AD1472" s="109">
        <v>562216.74541951041</v>
      </c>
      <c r="AE1472" s="125"/>
      <c r="AF1472" s="10"/>
      <c r="AI1472" s="109"/>
      <c r="AJ1472" s="109"/>
      <c r="AL1472" s="10"/>
      <c r="AO1472" s="109"/>
      <c r="AP1472" s="109"/>
      <c r="AR1472" s="10"/>
      <c r="AU1472" s="109"/>
      <c r="AV1472" s="109"/>
      <c r="AX1472" s="10"/>
      <c r="BA1472" s="109"/>
      <c r="BB1472" s="109"/>
      <c r="BD1472" s="10"/>
      <c r="BG1472" s="109"/>
      <c r="BH1472" s="109"/>
      <c r="BJ1472" s="10"/>
      <c r="BM1472" s="109"/>
      <c r="BN1472" s="109"/>
      <c r="BP1472" s="10"/>
      <c r="BS1472" s="109"/>
      <c r="BT1472" s="109"/>
      <c r="BV1472" s="10"/>
      <c r="BY1472" s="109"/>
      <c r="BZ1472" s="109"/>
      <c r="CB1472" s="10"/>
      <c r="CE1472" s="109"/>
      <c r="CF1472" s="109"/>
      <c r="CH1472" s="10"/>
      <c r="CK1472" s="109"/>
      <c r="CL1472" s="109"/>
    </row>
    <row r="1473" spans="1:90">
      <c r="A1473" s="7" t="str">
        <f t="shared" si="221"/>
        <v>02930998</v>
      </c>
      <c r="B1473" s="7" t="s">
        <v>2632</v>
      </c>
      <c r="C1473" s="7" t="s">
        <v>2781</v>
      </c>
      <c r="D1473" s="7">
        <v>1464</v>
      </c>
      <c r="E1473" s="7">
        <v>293</v>
      </c>
      <c r="F1473" s="7" t="s">
        <v>2135</v>
      </c>
      <c r="G1473" s="7">
        <v>998</v>
      </c>
      <c r="H1473" s="7" t="s">
        <v>2135</v>
      </c>
      <c r="I1473" s="70">
        <v>0</v>
      </c>
      <c r="J1473" s="131">
        <v>0</v>
      </c>
      <c r="K1473" s="123">
        <f t="shared" si="230"/>
        <v>0</v>
      </c>
      <c r="L1473" s="122">
        <f>IF(K1474&gt;0, K1473/K1474, 0)</f>
        <v>0</v>
      </c>
      <c r="M1473" s="71"/>
      <c r="N1473" s="10">
        <f>ROUND(M1474*L1473,0)</f>
        <v>0</v>
      </c>
      <c r="O1473" s="70">
        <v>0</v>
      </c>
      <c r="P1473" s="10">
        <f>N1473-O1473</f>
        <v>0</v>
      </c>
      <c r="Q1473" s="46">
        <f t="shared" si="229"/>
        <v>0</v>
      </c>
      <c r="R1473" s="10">
        <v>0</v>
      </c>
      <c r="S1473" s="7">
        <f t="shared" si="222"/>
        <v>0</v>
      </c>
      <c r="T1473" s="124">
        <f t="shared" si="223"/>
        <v>293</v>
      </c>
      <c r="U1473" s="124">
        <f t="shared" si="224"/>
        <v>998</v>
      </c>
      <c r="V1473" s="124">
        <f t="shared" si="225"/>
        <v>1464</v>
      </c>
      <c r="W1473" s="124">
        <f t="shared" si="226"/>
        <v>0</v>
      </c>
      <c r="X1473" s="124">
        <f t="shared" si="227"/>
        <v>0</v>
      </c>
      <c r="Y1473" s="264">
        <f t="shared" si="228"/>
        <v>1464</v>
      </c>
      <c r="Z1473" s="10">
        <v>293</v>
      </c>
      <c r="AA1473" s="7">
        <v>998</v>
      </c>
      <c r="AB1473" s="7">
        <v>1464</v>
      </c>
      <c r="AC1473" s="109">
        <v>0</v>
      </c>
      <c r="AD1473" s="109">
        <v>0</v>
      </c>
      <c r="AE1473" s="125"/>
      <c r="AF1473" s="10"/>
      <c r="AI1473" s="109"/>
      <c r="AJ1473" s="109"/>
      <c r="AL1473" s="10"/>
      <c r="AO1473" s="109"/>
      <c r="AP1473" s="109"/>
      <c r="AR1473" s="10"/>
      <c r="AU1473" s="109"/>
      <c r="AV1473" s="109"/>
      <c r="AX1473" s="10"/>
      <c r="BA1473" s="109"/>
      <c r="BB1473" s="109"/>
      <c r="BD1473" s="10"/>
      <c r="BG1473" s="109"/>
      <c r="BH1473" s="109"/>
      <c r="BJ1473" s="10"/>
      <c r="BM1473" s="109"/>
      <c r="BN1473" s="109"/>
      <c r="BP1473" s="10"/>
      <c r="BS1473" s="109"/>
      <c r="BT1473" s="109"/>
      <c r="BV1473" s="10"/>
      <c r="BY1473" s="109"/>
      <c r="BZ1473" s="109"/>
      <c r="CB1473" s="10"/>
      <c r="CE1473" s="109"/>
      <c r="CF1473" s="109"/>
      <c r="CH1473" s="10"/>
      <c r="CK1473" s="109"/>
      <c r="CL1473" s="109"/>
    </row>
    <row r="1474" spans="1:90">
      <c r="A1474" s="7" t="str">
        <f t="shared" si="221"/>
        <v>02930999</v>
      </c>
      <c r="B1474" s="7" t="s">
        <v>2632</v>
      </c>
      <c r="C1474" s="7" t="s">
        <v>2782</v>
      </c>
      <c r="D1474" s="7">
        <v>1465</v>
      </c>
      <c r="E1474" s="11">
        <v>293</v>
      </c>
      <c r="F1474" s="11" t="s">
        <v>1998</v>
      </c>
      <c r="G1474" s="11">
        <v>999</v>
      </c>
      <c r="H1474" s="11" t="s">
        <v>1132</v>
      </c>
      <c r="I1474" s="134">
        <v>98327836</v>
      </c>
      <c r="J1474" s="135">
        <v>1</v>
      </c>
      <c r="K1474" s="127">
        <f>SUM(K1470:K1473)</f>
        <v>100586332.78253365</v>
      </c>
      <c r="L1474" s="126">
        <f>SUM(L1470:L1473)</f>
        <v>0.99999999999999989</v>
      </c>
      <c r="M1474" s="105">
        <f>VLOOKUP(E1474,town351,22)</f>
        <v>36444968</v>
      </c>
      <c r="N1474" s="105">
        <f>SUM(N1470:N1473)</f>
        <v>36444967</v>
      </c>
      <c r="O1474" s="128">
        <v>36774722</v>
      </c>
      <c r="P1474" s="105">
        <f>SUM(P1470:P1473)</f>
        <v>-329755</v>
      </c>
      <c r="Q1474" s="45">
        <f t="shared" si="229"/>
        <v>-0.89668930739979491</v>
      </c>
      <c r="R1474" s="105">
        <v>8655</v>
      </c>
      <c r="S1474" s="7">
        <f t="shared" si="222"/>
        <v>0</v>
      </c>
      <c r="T1474" s="124">
        <f t="shared" si="223"/>
        <v>293</v>
      </c>
      <c r="U1474" s="124">
        <f t="shared" si="224"/>
        <v>999</v>
      </c>
      <c r="V1474" s="124">
        <f t="shared" si="225"/>
        <v>1465</v>
      </c>
      <c r="W1474" s="124">
        <f t="shared" si="226"/>
        <v>8604.31882971099</v>
      </c>
      <c r="X1474" s="124">
        <f t="shared" si="227"/>
        <v>100586332.78253365</v>
      </c>
      <c r="Y1474" s="264">
        <f t="shared" si="228"/>
        <v>1465</v>
      </c>
      <c r="Z1474" s="10">
        <v>293</v>
      </c>
      <c r="AA1474" s="7">
        <v>999</v>
      </c>
      <c r="AB1474" s="7">
        <v>1465</v>
      </c>
      <c r="AC1474" s="109">
        <v>8604.31882971099</v>
      </c>
      <c r="AD1474" s="109">
        <v>100586332.78253365</v>
      </c>
      <c r="AE1474" s="125"/>
      <c r="AF1474" s="10"/>
      <c r="AI1474" s="109"/>
      <c r="AJ1474" s="109"/>
      <c r="AL1474" s="10"/>
      <c r="AO1474" s="109"/>
      <c r="AP1474" s="109"/>
      <c r="AR1474" s="10"/>
      <c r="AU1474" s="109"/>
      <c r="AV1474" s="109"/>
      <c r="AX1474" s="10"/>
      <c r="BA1474" s="109"/>
      <c r="BB1474" s="109"/>
      <c r="BD1474" s="10"/>
      <c r="BG1474" s="109"/>
      <c r="BH1474" s="109"/>
      <c r="BJ1474" s="10"/>
      <c r="BM1474" s="109"/>
      <c r="BN1474" s="109"/>
      <c r="BP1474" s="10"/>
      <c r="BS1474" s="109"/>
      <c r="BT1474" s="109"/>
      <c r="BV1474" s="10"/>
      <c r="BY1474" s="109"/>
      <c r="BZ1474" s="109"/>
      <c r="CB1474" s="10"/>
      <c r="CE1474" s="109"/>
      <c r="CF1474" s="109"/>
      <c r="CH1474" s="10"/>
      <c r="CK1474" s="109"/>
      <c r="CL1474" s="109"/>
    </row>
    <row r="1475" spans="1:90">
      <c r="A1475" s="7" t="str">
        <f t="shared" si="221"/>
        <v>02940294</v>
      </c>
      <c r="B1475" s="7" t="s">
        <v>2633</v>
      </c>
      <c r="C1475" s="7" t="s">
        <v>2633</v>
      </c>
      <c r="D1475" s="7">
        <v>1466</v>
      </c>
      <c r="E1475" s="7">
        <v>294</v>
      </c>
      <c r="F1475" s="7" t="s">
        <v>1999</v>
      </c>
      <c r="G1475" s="7">
        <v>294</v>
      </c>
      <c r="H1475" s="7" t="s">
        <v>1560</v>
      </c>
      <c r="I1475" s="70">
        <v>13170.920000000002</v>
      </c>
      <c r="J1475" s="131">
        <v>1.0325143317089535E-3</v>
      </c>
      <c r="K1475" s="123">
        <f>X1475</f>
        <v>13416.833343589547</v>
      </c>
      <c r="L1475" s="122">
        <f>IF(K1479&gt;0, K1475/K1479, 0)</f>
        <v>1.0519593656017447E-3</v>
      </c>
      <c r="M1475" s="71"/>
      <c r="N1475" s="10">
        <f>ROUND(M1479*L1475,0)</f>
        <v>5085</v>
      </c>
      <c r="O1475" s="70">
        <v>4915</v>
      </c>
      <c r="P1475" s="10">
        <f>N1475-O1475</f>
        <v>170</v>
      </c>
      <c r="Q1475" s="46">
        <f t="shared" si="229"/>
        <v>3.4587995930824009</v>
      </c>
      <c r="R1475" s="10">
        <v>1</v>
      </c>
      <c r="S1475" s="7">
        <f t="shared" si="222"/>
        <v>0</v>
      </c>
      <c r="T1475" s="124">
        <f t="shared" si="223"/>
        <v>294</v>
      </c>
      <c r="U1475" s="124">
        <f t="shared" si="224"/>
        <v>294</v>
      </c>
      <c r="V1475" s="124">
        <f t="shared" si="225"/>
        <v>1466</v>
      </c>
      <c r="W1475" s="124">
        <f t="shared" si="226"/>
        <v>1</v>
      </c>
      <c r="X1475" s="124">
        <f t="shared" si="227"/>
        <v>13416.833343589547</v>
      </c>
      <c r="Y1475" s="264">
        <f t="shared" si="228"/>
        <v>1466</v>
      </c>
      <c r="Z1475" s="10">
        <v>294</v>
      </c>
      <c r="AA1475" s="7">
        <v>294</v>
      </c>
      <c r="AB1475" s="7">
        <v>1466</v>
      </c>
      <c r="AC1475" s="109">
        <v>1</v>
      </c>
      <c r="AD1475" s="109">
        <v>13416.833343589547</v>
      </c>
      <c r="AE1475" s="125"/>
      <c r="AF1475" s="10"/>
      <c r="AI1475" s="109"/>
      <c r="AJ1475" s="109"/>
      <c r="AL1475" s="10"/>
      <c r="AO1475" s="109"/>
      <c r="AP1475" s="109"/>
      <c r="AR1475" s="10"/>
      <c r="AU1475" s="109"/>
      <c r="AV1475" s="109"/>
      <c r="AX1475" s="10"/>
      <c r="BA1475" s="109"/>
      <c r="BB1475" s="109"/>
      <c r="BD1475" s="10"/>
      <c r="BG1475" s="109"/>
      <c r="BH1475" s="109"/>
      <c r="BJ1475" s="10"/>
      <c r="BM1475" s="109"/>
      <c r="BN1475" s="109"/>
      <c r="BP1475" s="10"/>
      <c r="BS1475" s="109"/>
      <c r="BT1475" s="109"/>
      <c r="BV1475" s="10"/>
      <c r="BY1475" s="109"/>
      <c r="BZ1475" s="109"/>
      <c r="CB1475" s="10"/>
      <c r="CE1475" s="109"/>
      <c r="CF1475" s="109"/>
      <c r="CH1475" s="10"/>
      <c r="CK1475" s="109"/>
      <c r="CL1475" s="109"/>
    </row>
    <row r="1476" spans="1:90">
      <c r="A1476" s="7" t="str">
        <f t="shared" si="221"/>
        <v>02940720</v>
      </c>
      <c r="B1476" s="7" t="s">
        <v>2633</v>
      </c>
      <c r="C1476" s="7" t="s">
        <v>2731</v>
      </c>
      <c r="D1476" s="7">
        <v>1467</v>
      </c>
      <c r="E1476" s="7">
        <v>294</v>
      </c>
      <c r="F1476" s="7" t="s">
        <v>1999</v>
      </c>
      <c r="G1476" s="7">
        <v>720</v>
      </c>
      <c r="H1476" s="7" t="s">
        <v>1658</v>
      </c>
      <c r="I1476" s="70">
        <v>11026900</v>
      </c>
      <c r="J1476" s="131">
        <v>0.86443713000469657</v>
      </c>
      <c r="K1476" s="123">
        <f t="shared" si="230"/>
        <v>11226373.079401905</v>
      </c>
      <c r="L1476" s="122">
        <f>IF(K1479&gt;0, K1476/K1479, 0)</f>
        <v>0.88021428009007108</v>
      </c>
      <c r="M1476" s="71"/>
      <c r="N1476" s="10">
        <f>ROUND(M1479*L1476,0)</f>
        <v>4255164</v>
      </c>
      <c r="O1476" s="70">
        <v>4114704</v>
      </c>
      <c r="P1476" s="10">
        <f>N1476-O1476</f>
        <v>140460</v>
      </c>
      <c r="Q1476" s="46">
        <f t="shared" si="229"/>
        <v>3.4136112828529099</v>
      </c>
      <c r="R1476" s="10">
        <v>1070</v>
      </c>
      <c r="S1476" s="7">
        <f t="shared" si="222"/>
        <v>0</v>
      </c>
      <c r="T1476" s="124">
        <f t="shared" si="223"/>
        <v>294</v>
      </c>
      <c r="U1476" s="124">
        <f t="shared" si="224"/>
        <v>720</v>
      </c>
      <c r="V1476" s="124">
        <f t="shared" si="225"/>
        <v>1467</v>
      </c>
      <c r="W1476" s="124">
        <f t="shared" si="226"/>
        <v>1084.02431610752</v>
      </c>
      <c r="X1476" s="124">
        <f t="shared" si="227"/>
        <v>11226373.079401905</v>
      </c>
      <c r="Y1476" s="264">
        <f t="shared" si="228"/>
        <v>1467</v>
      </c>
      <c r="Z1476" s="10">
        <v>294</v>
      </c>
      <c r="AA1476" s="7">
        <v>720</v>
      </c>
      <c r="AB1476" s="7">
        <v>1467</v>
      </c>
      <c r="AC1476" s="109">
        <v>1084.02431610752</v>
      </c>
      <c r="AD1476" s="109">
        <v>11226373.079401905</v>
      </c>
      <c r="AE1476" s="125"/>
      <c r="AF1476" s="10"/>
      <c r="AI1476" s="109"/>
      <c r="AJ1476" s="109"/>
      <c r="AL1476" s="10"/>
      <c r="AO1476" s="109"/>
      <c r="AP1476" s="109"/>
      <c r="AR1476" s="10"/>
      <c r="AU1476" s="109"/>
      <c r="AV1476" s="109"/>
      <c r="AX1476" s="10"/>
      <c r="BA1476" s="109"/>
      <c r="BB1476" s="109"/>
      <c r="BD1476" s="10"/>
      <c r="BG1476" s="109"/>
      <c r="BH1476" s="109"/>
      <c r="BJ1476" s="10"/>
      <c r="BM1476" s="109"/>
      <c r="BN1476" s="109"/>
      <c r="BP1476" s="10"/>
      <c r="BS1476" s="109"/>
      <c r="BT1476" s="109"/>
      <c r="BV1476" s="10"/>
      <c r="BY1476" s="109"/>
      <c r="BZ1476" s="109"/>
      <c r="CB1476" s="10"/>
      <c r="CE1476" s="109"/>
      <c r="CF1476" s="109"/>
      <c r="CH1476" s="10"/>
      <c r="CK1476" s="109"/>
      <c r="CL1476" s="109"/>
    </row>
    <row r="1477" spans="1:90">
      <c r="A1477" s="7" t="str">
        <f t="shared" si="221"/>
        <v>02940832</v>
      </c>
      <c r="B1477" s="7" t="s">
        <v>2633</v>
      </c>
      <c r="C1477" s="7" t="s">
        <v>2765</v>
      </c>
      <c r="D1477" s="7">
        <v>1468</v>
      </c>
      <c r="E1477" s="7">
        <v>294</v>
      </c>
      <c r="F1477" s="7" t="s">
        <v>1999</v>
      </c>
      <c r="G1477" s="7">
        <v>832</v>
      </c>
      <c r="H1477" s="7" t="s">
        <v>1692</v>
      </c>
      <c r="I1477" s="70">
        <v>1716091</v>
      </c>
      <c r="J1477" s="131">
        <v>0.13453035566359448</v>
      </c>
      <c r="K1477" s="123">
        <f t="shared" si="230"/>
        <v>1514346.589394788</v>
      </c>
      <c r="L1477" s="122">
        <f>IF(K1479&gt;0, K1477/K1479, 0)</f>
        <v>0.11873376054432727</v>
      </c>
      <c r="M1477" s="71"/>
      <c r="N1477" s="10">
        <f>ROUND(M1479*L1477,0)</f>
        <v>573987</v>
      </c>
      <c r="O1477" s="70">
        <v>640362</v>
      </c>
      <c r="P1477" s="10">
        <f>N1477-O1477</f>
        <v>-66375</v>
      </c>
      <c r="Q1477" s="46">
        <f t="shared" si="229"/>
        <v>-10.365230916262989</v>
      </c>
      <c r="R1477" s="10">
        <v>112</v>
      </c>
      <c r="S1477" s="7">
        <f t="shared" si="222"/>
        <v>0</v>
      </c>
      <c r="T1477" s="124">
        <f t="shared" si="223"/>
        <v>294</v>
      </c>
      <c r="U1477" s="124">
        <f t="shared" si="224"/>
        <v>832</v>
      </c>
      <c r="V1477" s="124">
        <f t="shared" si="225"/>
        <v>1468</v>
      </c>
      <c r="W1477" s="124">
        <f t="shared" si="226"/>
        <v>97.06488293743999</v>
      </c>
      <c r="X1477" s="124">
        <f t="shared" si="227"/>
        <v>1514346.589394788</v>
      </c>
      <c r="Y1477" s="264">
        <f t="shared" si="228"/>
        <v>1468</v>
      </c>
      <c r="Z1477" s="10">
        <v>294</v>
      </c>
      <c r="AA1477" s="7">
        <v>832</v>
      </c>
      <c r="AB1477" s="7">
        <v>1468</v>
      </c>
      <c r="AC1477" s="109">
        <v>97.06488293743999</v>
      </c>
      <c r="AD1477" s="109">
        <v>1514346.589394788</v>
      </c>
      <c r="AE1477" s="125"/>
      <c r="AF1477" s="10"/>
      <c r="AI1477" s="109"/>
      <c r="AJ1477" s="109"/>
      <c r="AL1477" s="10"/>
      <c r="AO1477" s="109"/>
      <c r="AP1477" s="109"/>
      <c r="AR1477" s="10"/>
      <c r="AU1477" s="109"/>
      <c r="AV1477" s="109"/>
      <c r="AX1477" s="10"/>
      <c r="BA1477" s="109"/>
      <c r="BB1477" s="109"/>
      <c r="BD1477" s="10"/>
      <c r="BG1477" s="109"/>
      <c r="BH1477" s="109"/>
      <c r="BJ1477" s="10"/>
      <c r="BM1477" s="109"/>
      <c r="BN1477" s="109"/>
      <c r="BP1477" s="10"/>
      <c r="BS1477" s="109"/>
      <c r="BT1477" s="109"/>
      <c r="BV1477" s="10"/>
      <c r="BY1477" s="109"/>
      <c r="BZ1477" s="109"/>
      <c r="CB1477" s="10"/>
      <c r="CE1477" s="109"/>
      <c r="CF1477" s="109"/>
      <c r="CH1477" s="10"/>
      <c r="CK1477" s="109"/>
      <c r="CL1477" s="109"/>
    </row>
    <row r="1478" spans="1:90">
      <c r="A1478" s="7" t="str">
        <f t="shared" si="221"/>
        <v>02940998</v>
      </c>
      <c r="B1478" s="7" t="s">
        <v>2633</v>
      </c>
      <c r="C1478" s="7" t="s">
        <v>2781</v>
      </c>
      <c r="D1478" s="7">
        <v>1469</v>
      </c>
      <c r="E1478" s="7">
        <v>294</v>
      </c>
      <c r="F1478" s="7" t="s">
        <v>2135</v>
      </c>
      <c r="G1478" s="7">
        <v>998</v>
      </c>
      <c r="H1478" s="7" t="s">
        <v>2135</v>
      </c>
      <c r="I1478" s="70">
        <v>0</v>
      </c>
      <c r="J1478" s="131">
        <v>0</v>
      </c>
      <c r="K1478" s="123">
        <f t="shared" si="230"/>
        <v>0</v>
      </c>
      <c r="L1478" s="122">
        <f>IF(K1479&gt;0, K1478/K1479, 0)</f>
        <v>0</v>
      </c>
      <c r="M1478" s="71"/>
      <c r="N1478" s="10">
        <f>ROUND(M1479*L1478,0)</f>
        <v>0</v>
      </c>
      <c r="O1478" s="70">
        <v>0</v>
      </c>
      <c r="P1478" s="10">
        <f>N1478-O1478</f>
        <v>0</v>
      </c>
      <c r="Q1478" s="46">
        <f t="shared" si="229"/>
        <v>0</v>
      </c>
      <c r="R1478" s="10">
        <v>0</v>
      </c>
      <c r="S1478" s="7">
        <f t="shared" si="222"/>
        <v>0</v>
      </c>
      <c r="T1478" s="124">
        <f t="shared" si="223"/>
        <v>294</v>
      </c>
      <c r="U1478" s="124">
        <f t="shared" si="224"/>
        <v>998</v>
      </c>
      <c r="V1478" s="124">
        <f t="shared" si="225"/>
        <v>1469</v>
      </c>
      <c r="W1478" s="124">
        <f t="shared" si="226"/>
        <v>0</v>
      </c>
      <c r="X1478" s="124">
        <f t="shared" si="227"/>
        <v>0</v>
      </c>
      <c r="Y1478" s="264">
        <f t="shared" si="228"/>
        <v>1469</v>
      </c>
      <c r="Z1478" s="10">
        <v>294</v>
      </c>
      <c r="AA1478" s="7">
        <v>998</v>
      </c>
      <c r="AB1478" s="7">
        <v>1469</v>
      </c>
      <c r="AC1478" s="109">
        <v>0</v>
      </c>
      <c r="AD1478" s="109">
        <v>0</v>
      </c>
      <c r="AE1478" s="125"/>
      <c r="AF1478" s="10"/>
      <c r="AI1478" s="109"/>
      <c r="AJ1478" s="109"/>
      <c r="AL1478" s="10"/>
      <c r="AO1478" s="109"/>
      <c r="AP1478" s="109"/>
      <c r="AR1478" s="10"/>
      <c r="AU1478" s="109"/>
      <c r="AV1478" s="109"/>
      <c r="AX1478" s="10"/>
      <c r="BA1478" s="109"/>
      <c r="BB1478" s="109"/>
      <c r="BD1478" s="10"/>
      <c r="BG1478" s="109"/>
      <c r="BH1478" s="109"/>
      <c r="BJ1478" s="10"/>
      <c r="BM1478" s="109"/>
      <c r="BN1478" s="109"/>
      <c r="BP1478" s="10"/>
      <c r="BS1478" s="109"/>
      <c r="BT1478" s="109"/>
      <c r="BV1478" s="10"/>
      <c r="BY1478" s="109"/>
      <c r="BZ1478" s="109"/>
      <c r="CB1478" s="10"/>
      <c r="CE1478" s="109"/>
      <c r="CF1478" s="109"/>
      <c r="CH1478" s="10"/>
      <c r="CK1478" s="109"/>
      <c r="CL1478" s="109"/>
    </row>
    <row r="1479" spans="1:90">
      <c r="A1479" s="7" t="str">
        <f t="shared" si="221"/>
        <v>02940999</v>
      </c>
      <c r="B1479" s="7" t="s">
        <v>2633</v>
      </c>
      <c r="C1479" s="7" t="s">
        <v>2782</v>
      </c>
      <c r="D1479" s="7">
        <v>1470</v>
      </c>
      <c r="E1479" s="11">
        <v>294</v>
      </c>
      <c r="F1479" s="11" t="s">
        <v>1999</v>
      </c>
      <c r="G1479" s="11">
        <v>999</v>
      </c>
      <c r="H1479" s="11" t="s">
        <v>1132</v>
      </c>
      <c r="I1479" s="134">
        <v>12756161.92</v>
      </c>
      <c r="J1479" s="135">
        <v>1</v>
      </c>
      <c r="K1479" s="127">
        <f>SUM(K1475:K1478)</f>
        <v>12754136.502140282</v>
      </c>
      <c r="L1479" s="126">
        <f>SUM(L1475:L1478)</f>
        <v>1</v>
      </c>
      <c r="M1479" s="105">
        <f>VLOOKUP(E1479,town351,22)</f>
        <v>4834237</v>
      </c>
      <c r="N1479" s="105">
        <f>SUM(N1475:N1478)</f>
        <v>4834236</v>
      </c>
      <c r="O1479" s="128">
        <v>4759981</v>
      </c>
      <c r="P1479" s="105">
        <f>SUM(P1475:P1478)</f>
        <v>74255</v>
      </c>
      <c r="Q1479" s="45">
        <f t="shared" si="229"/>
        <v>1.5599852184283929</v>
      </c>
      <c r="R1479" s="105">
        <v>1183</v>
      </c>
      <c r="S1479" s="7">
        <f t="shared" si="222"/>
        <v>0</v>
      </c>
      <c r="T1479" s="124">
        <f t="shared" si="223"/>
        <v>294</v>
      </c>
      <c r="U1479" s="124">
        <f t="shared" si="224"/>
        <v>999</v>
      </c>
      <c r="V1479" s="124">
        <f t="shared" si="225"/>
        <v>1470</v>
      </c>
      <c r="W1479" s="124">
        <f t="shared" si="226"/>
        <v>1182.08919904496</v>
      </c>
      <c r="X1479" s="124">
        <f t="shared" si="227"/>
        <v>12754136.502140282</v>
      </c>
      <c r="Y1479" s="264">
        <f t="shared" si="228"/>
        <v>1470</v>
      </c>
      <c r="Z1479" s="10">
        <v>294</v>
      </c>
      <c r="AA1479" s="7">
        <v>999</v>
      </c>
      <c r="AB1479" s="7">
        <v>1470</v>
      </c>
      <c r="AC1479" s="109">
        <v>1182.08919904496</v>
      </c>
      <c r="AD1479" s="109">
        <v>12754136.502140282</v>
      </c>
      <c r="AE1479" s="125"/>
      <c r="AF1479" s="10"/>
      <c r="AI1479" s="109"/>
      <c r="AJ1479" s="109"/>
      <c r="AL1479" s="10"/>
      <c r="AO1479" s="109"/>
      <c r="AP1479" s="109"/>
      <c r="AR1479" s="10"/>
      <c r="AU1479" s="109"/>
      <c r="AV1479" s="109"/>
      <c r="AX1479" s="10"/>
      <c r="BA1479" s="109"/>
      <c r="BB1479" s="109"/>
      <c r="BD1479" s="10"/>
      <c r="BG1479" s="109"/>
      <c r="BH1479" s="109"/>
      <c r="BJ1479" s="10"/>
      <c r="BM1479" s="109"/>
      <c r="BN1479" s="109"/>
      <c r="BP1479" s="10"/>
      <c r="BS1479" s="109"/>
      <c r="BT1479" s="109"/>
      <c r="BV1479" s="10"/>
      <c r="BY1479" s="109"/>
      <c r="BZ1479" s="109"/>
      <c r="CB1479" s="10"/>
      <c r="CE1479" s="109"/>
      <c r="CF1479" s="109"/>
      <c r="CH1479" s="10"/>
      <c r="CK1479" s="109"/>
      <c r="CL1479" s="109"/>
    </row>
    <row r="1480" spans="1:90">
      <c r="A1480" s="7" t="str">
        <f t="shared" si="221"/>
        <v>02950295</v>
      </c>
      <c r="B1480" s="7" t="s">
        <v>2634</v>
      </c>
      <c r="C1480" s="7" t="s">
        <v>2634</v>
      </c>
      <c r="D1480" s="7">
        <v>1471</v>
      </c>
      <c r="E1480" s="7">
        <v>295</v>
      </c>
      <c r="F1480" s="7" t="s">
        <v>2000</v>
      </c>
      <c r="G1480" s="7">
        <v>295</v>
      </c>
      <c r="H1480" s="7" t="s">
        <v>1561</v>
      </c>
      <c r="I1480" s="70">
        <v>33549032.422599997</v>
      </c>
      <c r="J1480" s="131">
        <v>0.86898665398383301</v>
      </c>
      <c r="K1480" s="123">
        <f>X1480</f>
        <v>34900617.062578723</v>
      </c>
      <c r="L1480" s="122">
        <f>IF(K1484&gt;0, K1480/K1484, 0)</f>
        <v>0.8774986371960829</v>
      </c>
      <c r="M1480" s="71"/>
      <c r="N1480" s="10">
        <f>ROUND(M1484*L1480,0)</f>
        <v>27764062</v>
      </c>
      <c r="O1480" s="70">
        <v>26824591</v>
      </c>
      <c r="P1480" s="10">
        <f>N1480-O1480</f>
        <v>939471</v>
      </c>
      <c r="Q1480" s="46">
        <f t="shared" si="229"/>
        <v>3.5022752071038101</v>
      </c>
      <c r="R1480" s="10">
        <v>3523</v>
      </c>
      <c r="S1480" s="7">
        <f t="shared" si="222"/>
        <v>0</v>
      </c>
      <c r="T1480" s="124">
        <f t="shared" si="223"/>
        <v>295</v>
      </c>
      <c r="U1480" s="124">
        <f t="shared" si="224"/>
        <v>295</v>
      </c>
      <c r="V1480" s="124">
        <f t="shared" si="225"/>
        <v>1471</v>
      </c>
      <c r="W1480" s="124">
        <f t="shared" si="226"/>
        <v>3595</v>
      </c>
      <c r="X1480" s="124">
        <f t="shared" si="227"/>
        <v>34900617.062578723</v>
      </c>
      <c r="Y1480" s="264">
        <f t="shared" si="228"/>
        <v>1471</v>
      </c>
      <c r="Z1480" s="10">
        <v>295</v>
      </c>
      <c r="AA1480" s="7">
        <v>295</v>
      </c>
      <c r="AB1480" s="7">
        <v>1471</v>
      </c>
      <c r="AC1480" s="109">
        <v>3595</v>
      </c>
      <c r="AD1480" s="109">
        <v>34900617.062578723</v>
      </c>
      <c r="AE1480" s="125"/>
      <c r="AF1480" s="10"/>
      <c r="AI1480" s="109"/>
      <c r="AJ1480" s="109"/>
      <c r="AL1480" s="10"/>
      <c r="AO1480" s="109"/>
      <c r="AP1480" s="109"/>
      <c r="AR1480" s="10"/>
      <c r="AU1480" s="109"/>
      <c r="AV1480" s="109"/>
      <c r="AX1480" s="10"/>
      <c r="BA1480" s="109"/>
      <c r="BB1480" s="109"/>
      <c r="BD1480" s="10"/>
      <c r="BG1480" s="109"/>
      <c r="BH1480" s="109"/>
      <c r="BJ1480" s="10"/>
      <c r="BM1480" s="109"/>
      <c r="BN1480" s="109"/>
      <c r="BP1480" s="10"/>
      <c r="BS1480" s="109"/>
      <c r="BT1480" s="109"/>
      <c r="BV1480" s="10"/>
      <c r="BY1480" s="109"/>
      <c r="BZ1480" s="109"/>
      <c r="CB1480" s="10"/>
      <c r="CE1480" s="109"/>
      <c r="CF1480" s="109"/>
      <c r="CH1480" s="10"/>
      <c r="CK1480" s="109"/>
      <c r="CL1480" s="109"/>
    </row>
    <row r="1481" spans="1:90">
      <c r="A1481" s="7" t="str">
        <f t="shared" si="221"/>
        <v>02950871</v>
      </c>
      <c r="B1481" s="7" t="s">
        <v>2634</v>
      </c>
      <c r="C1481" s="7" t="s">
        <v>2771</v>
      </c>
      <c r="D1481" s="7">
        <v>1472</v>
      </c>
      <c r="E1481" s="7">
        <v>295</v>
      </c>
      <c r="F1481" s="7" t="s">
        <v>2000</v>
      </c>
      <c r="G1481" s="7">
        <v>871</v>
      </c>
      <c r="H1481" s="7" t="s">
        <v>1698</v>
      </c>
      <c r="I1481" s="70">
        <v>5058042</v>
      </c>
      <c r="J1481" s="131">
        <v>0.13101334601616688</v>
      </c>
      <c r="K1481" s="123">
        <f t="shared" si="230"/>
        <v>4872227.6840507267</v>
      </c>
      <c r="L1481" s="122">
        <f>IF(K1484&gt;0, K1481/K1484, 0)</f>
        <v>0.12250136280391721</v>
      </c>
      <c r="M1481" s="71"/>
      <c r="N1481" s="10">
        <f>ROUND(M1484*L1481,0)</f>
        <v>3875944</v>
      </c>
      <c r="O1481" s="70">
        <v>4044227</v>
      </c>
      <c r="P1481" s="10">
        <f>N1481-O1481</f>
        <v>-168283</v>
      </c>
      <c r="Q1481" s="46">
        <f t="shared" si="229"/>
        <v>-4.1610671211086814</v>
      </c>
      <c r="R1481" s="10">
        <v>334</v>
      </c>
      <c r="S1481" s="7">
        <f t="shared" si="222"/>
        <v>0</v>
      </c>
      <c r="T1481" s="124">
        <f t="shared" si="223"/>
        <v>295</v>
      </c>
      <c r="U1481" s="124">
        <f t="shared" si="224"/>
        <v>871</v>
      </c>
      <c r="V1481" s="124">
        <f t="shared" si="225"/>
        <v>1472</v>
      </c>
      <c r="W1481" s="124">
        <f t="shared" si="226"/>
        <v>316.99999999823996</v>
      </c>
      <c r="X1481" s="124">
        <f t="shared" si="227"/>
        <v>4872227.6840507267</v>
      </c>
      <c r="Y1481" s="264">
        <f t="shared" si="228"/>
        <v>1472</v>
      </c>
      <c r="Z1481" s="10">
        <v>295</v>
      </c>
      <c r="AA1481" s="7">
        <v>871</v>
      </c>
      <c r="AB1481" s="7">
        <v>1472</v>
      </c>
      <c r="AC1481" s="109">
        <v>316.99999999823996</v>
      </c>
      <c r="AD1481" s="109">
        <v>4872227.6840507267</v>
      </c>
      <c r="AE1481" s="125"/>
      <c r="AF1481" s="10"/>
      <c r="AI1481" s="109"/>
      <c r="AJ1481" s="109"/>
      <c r="AL1481" s="10"/>
      <c r="AO1481" s="109"/>
      <c r="AP1481" s="109"/>
      <c r="AR1481" s="10"/>
      <c r="AU1481" s="109"/>
      <c r="AV1481" s="109"/>
      <c r="AX1481" s="10"/>
      <c r="BA1481" s="109"/>
      <c r="BB1481" s="109"/>
      <c r="BD1481" s="10"/>
      <c r="BG1481" s="109"/>
      <c r="BH1481" s="109"/>
      <c r="BJ1481" s="10"/>
      <c r="BM1481" s="109"/>
      <c r="BN1481" s="109"/>
      <c r="BP1481" s="10"/>
      <c r="BS1481" s="109"/>
      <c r="BT1481" s="109"/>
      <c r="BV1481" s="10"/>
      <c r="BY1481" s="109"/>
      <c r="BZ1481" s="109"/>
      <c r="CB1481" s="10"/>
      <c r="CE1481" s="109"/>
      <c r="CF1481" s="109"/>
      <c r="CH1481" s="10"/>
      <c r="CK1481" s="109"/>
      <c r="CL1481" s="109"/>
    </row>
    <row r="1482" spans="1:90">
      <c r="A1482" s="7" t="str">
        <f t="shared" ref="A1482:A1545" si="231">B1482&amp;C1482</f>
        <v>02950998</v>
      </c>
      <c r="B1482" s="7" t="s">
        <v>2634</v>
      </c>
      <c r="C1482" s="7" t="s">
        <v>2781</v>
      </c>
      <c r="D1482" s="7">
        <v>1473</v>
      </c>
      <c r="E1482" s="7">
        <v>295</v>
      </c>
      <c r="F1482" s="7" t="s">
        <v>2135</v>
      </c>
      <c r="G1482" s="7">
        <v>998</v>
      </c>
      <c r="I1482" s="129">
        <v>0</v>
      </c>
      <c r="J1482" s="130">
        <v>0</v>
      </c>
      <c r="K1482" s="123">
        <f t="shared" si="230"/>
        <v>0</v>
      </c>
      <c r="L1482" s="122">
        <f>IF(K1484&gt;0, K1482/K1484, 0)</f>
        <v>0</v>
      </c>
      <c r="M1482" s="71"/>
      <c r="N1482" s="10">
        <f>ROUND(M1484*L1482,0)</f>
        <v>0</v>
      </c>
      <c r="O1482" s="70">
        <v>0</v>
      </c>
      <c r="P1482" s="10">
        <f>N1482-O1482</f>
        <v>0</v>
      </c>
      <c r="Q1482" s="46">
        <f t="shared" si="229"/>
        <v>0</v>
      </c>
      <c r="R1482" s="10">
        <v>0</v>
      </c>
      <c r="S1482" s="7">
        <f t="shared" ref="S1482:S1545" si="232">ABS(T1482-E1482)+ABS(U1482-G1482)</f>
        <v>0</v>
      </c>
      <c r="T1482" s="124">
        <f t="shared" ref="T1482:T1545" si="233">VLOOKUP($D1482, foundoptions, VLOOKUP($T$6, foundoptcell, 2, FALSE), FALSE)</f>
        <v>295</v>
      </c>
      <c r="U1482" s="124">
        <f t="shared" ref="U1482:U1545" si="234">VLOOKUP($D1482, foundoptions, VLOOKUP($T$6, foundoptcell, 2, FALSE)+1, FALSE)</f>
        <v>998</v>
      </c>
      <c r="V1482" s="124">
        <f t="shared" ref="V1482:V1545" si="235">VLOOKUP($D1482, foundoptions, VLOOKUP($T$6, foundoptcell, 2, FALSE)+2, FALSE)</f>
        <v>1473</v>
      </c>
      <c r="W1482" s="124">
        <f t="shared" ref="W1482:W1545" si="236">VLOOKUP($D1482, foundoptions, VLOOKUP($T$6, foundoptcell, 2, FALSE)+3, FALSE)</f>
        <v>0</v>
      </c>
      <c r="X1482" s="124">
        <f t="shared" ref="X1482:X1545" si="237">VLOOKUP($D1482, foundoptions, VLOOKUP($T$6, foundoptcell, 2, FALSE)+4, FALSE)</f>
        <v>0</v>
      </c>
      <c r="Y1482" s="264">
        <f t="shared" si="228"/>
        <v>1473</v>
      </c>
      <c r="Z1482" s="10">
        <v>295</v>
      </c>
      <c r="AA1482" s="7">
        <v>998</v>
      </c>
      <c r="AB1482" s="7">
        <v>1473</v>
      </c>
      <c r="AC1482" s="109">
        <v>0</v>
      </c>
      <c r="AD1482" s="109">
        <v>0</v>
      </c>
      <c r="AE1482" s="125"/>
      <c r="AF1482" s="10"/>
      <c r="AI1482" s="109"/>
      <c r="AJ1482" s="109"/>
      <c r="AL1482" s="10"/>
      <c r="AO1482" s="109"/>
      <c r="AP1482" s="109"/>
      <c r="AR1482" s="10"/>
      <c r="AU1482" s="109"/>
      <c r="AV1482" s="109"/>
      <c r="AX1482" s="10"/>
      <c r="BA1482" s="109"/>
      <c r="BB1482" s="109"/>
      <c r="BD1482" s="10"/>
      <c r="BG1482" s="109"/>
      <c r="BH1482" s="109"/>
      <c r="BJ1482" s="10"/>
      <c r="BM1482" s="109"/>
      <c r="BN1482" s="109"/>
      <c r="BP1482" s="10"/>
      <c r="BS1482" s="109"/>
      <c r="BT1482" s="109"/>
      <c r="BV1482" s="10"/>
      <c r="BY1482" s="109"/>
      <c r="BZ1482" s="109"/>
      <c r="CB1482" s="10"/>
      <c r="CE1482" s="109"/>
      <c r="CF1482" s="109"/>
      <c r="CH1482" s="10"/>
      <c r="CK1482" s="109"/>
      <c r="CL1482" s="109"/>
    </row>
    <row r="1483" spans="1:90">
      <c r="A1483" s="7" t="str">
        <f t="shared" si="231"/>
        <v>02950998</v>
      </c>
      <c r="B1483" s="7" t="s">
        <v>2634</v>
      </c>
      <c r="C1483" s="7" t="s">
        <v>2781</v>
      </c>
      <c r="D1483" s="7">
        <v>1474</v>
      </c>
      <c r="E1483" s="7">
        <v>295</v>
      </c>
      <c r="F1483" s="7" t="s">
        <v>2135</v>
      </c>
      <c r="G1483" s="7">
        <v>998</v>
      </c>
      <c r="H1483" s="7" t="s">
        <v>2135</v>
      </c>
      <c r="I1483" s="70">
        <v>0</v>
      </c>
      <c r="J1483" s="131">
        <v>0</v>
      </c>
      <c r="K1483" s="123">
        <f t="shared" si="230"/>
        <v>0</v>
      </c>
      <c r="L1483" s="122">
        <f>IF(K1484&gt;0, K1483/K1484, 0)</f>
        <v>0</v>
      </c>
      <c r="M1483" s="71"/>
      <c r="N1483" s="10">
        <f>ROUND(M1484*L1483,0)</f>
        <v>0</v>
      </c>
      <c r="O1483" s="70">
        <v>0</v>
      </c>
      <c r="P1483" s="10">
        <f>N1483-O1483</f>
        <v>0</v>
      </c>
      <c r="Q1483" s="46">
        <f t="shared" si="229"/>
        <v>0</v>
      </c>
      <c r="R1483" s="10">
        <v>0</v>
      </c>
      <c r="S1483" s="7">
        <f t="shared" si="232"/>
        <v>0</v>
      </c>
      <c r="T1483" s="124">
        <f t="shared" si="233"/>
        <v>295</v>
      </c>
      <c r="U1483" s="124">
        <f t="shared" si="234"/>
        <v>998</v>
      </c>
      <c r="V1483" s="124">
        <f t="shared" si="235"/>
        <v>1474</v>
      </c>
      <c r="W1483" s="124">
        <f t="shared" si="236"/>
        <v>0</v>
      </c>
      <c r="X1483" s="124">
        <f t="shared" si="237"/>
        <v>0</v>
      </c>
      <c r="Y1483" s="264">
        <f t="shared" ref="Y1483:Y1546" si="238">D1483</f>
        <v>1474</v>
      </c>
      <c r="Z1483" s="10">
        <v>295</v>
      </c>
      <c r="AA1483" s="7">
        <v>998</v>
      </c>
      <c r="AB1483" s="7">
        <v>1474</v>
      </c>
      <c r="AC1483" s="109">
        <v>0</v>
      </c>
      <c r="AD1483" s="109">
        <v>0</v>
      </c>
      <c r="AE1483" s="125"/>
      <c r="AF1483" s="10"/>
      <c r="AI1483" s="109"/>
      <c r="AJ1483" s="109"/>
      <c r="AL1483" s="10"/>
      <c r="AO1483" s="109"/>
      <c r="AP1483" s="109"/>
      <c r="AR1483" s="10"/>
      <c r="AU1483" s="109"/>
      <c r="AV1483" s="109"/>
      <c r="AX1483" s="10"/>
      <c r="BA1483" s="109"/>
      <c r="BB1483" s="109"/>
      <c r="BD1483" s="10"/>
      <c r="BG1483" s="109"/>
      <c r="BH1483" s="109"/>
      <c r="BJ1483" s="10"/>
      <c r="BM1483" s="109"/>
      <c r="BN1483" s="109"/>
      <c r="BP1483" s="10"/>
      <c r="BS1483" s="109"/>
      <c r="BT1483" s="109"/>
      <c r="BV1483" s="10"/>
      <c r="BY1483" s="109"/>
      <c r="BZ1483" s="109"/>
      <c r="CB1483" s="10"/>
      <c r="CE1483" s="109"/>
      <c r="CF1483" s="109"/>
      <c r="CH1483" s="10"/>
      <c r="CK1483" s="109"/>
      <c r="CL1483" s="109"/>
    </row>
    <row r="1484" spans="1:90">
      <c r="A1484" s="7" t="str">
        <f t="shared" si="231"/>
        <v>02950999</v>
      </c>
      <c r="B1484" s="7" t="s">
        <v>2634</v>
      </c>
      <c r="C1484" s="7" t="s">
        <v>2782</v>
      </c>
      <c r="D1484" s="7">
        <v>1475</v>
      </c>
      <c r="E1484" s="11">
        <v>295</v>
      </c>
      <c r="F1484" s="11" t="s">
        <v>2000</v>
      </c>
      <c r="G1484" s="11">
        <v>999</v>
      </c>
      <c r="H1484" s="11" t="s">
        <v>1132</v>
      </c>
      <c r="I1484" s="134">
        <v>38607074.422600001</v>
      </c>
      <c r="J1484" s="135">
        <v>0.99999999999999989</v>
      </c>
      <c r="K1484" s="127">
        <f>SUM(K1480:K1483)</f>
        <v>39772844.746629447</v>
      </c>
      <c r="L1484" s="126">
        <f>SUM(L1480:L1483)</f>
        <v>1</v>
      </c>
      <c r="M1484" s="105">
        <f>VLOOKUP(E1484,town351,22)</f>
        <v>31640006</v>
      </c>
      <c r="N1484" s="105">
        <f>SUM(N1480:N1483)</f>
        <v>31640006</v>
      </c>
      <c r="O1484" s="128">
        <v>30868818</v>
      </c>
      <c r="P1484" s="105">
        <f>SUM(P1480:P1483)</f>
        <v>771188</v>
      </c>
      <c r="Q1484" s="45">
        <f t="shared" si="229"/>
        <v>2.4982751202200228</v>
      </c>
      <c r="R1484" s="105">
        <v>3857</v>
      </c>
      <c r="S1484" s="7">
        <f t="shared" si="232"/>
        <v>0</v>
      </c>
      <c r="T1484" s="124">
        <f t="shared" si="233"/>
        <v>295</v>
      </c>
      <c r="U1484" s="124">
        <f t="shared" si="234"/>
        <v>999</v>
      </c>
      <c r="V1484" s="124">
        <f t="shared" si="235"/>
        <v>1475</v>
      </c>
      <c r="W1484" s="124">
        <f t="shared" si="236"/>
        <v>3911.9999999982401</v>
      </c>
      <c r="X1484" s="124">
        <f t="shared" si="237"/>
        <v>39772844.746629447</v>
      </c>
      <c r="Y1484" s="264">
        <f t="shared" si="238"/>
        <v>1475</v>
      </c>
      <c r="Z1484" s="10">
        <v>295</v>
      </c>
      <c r="AA1484" s="7">
        <v>999</v>
      </c>
      <c r="AB1484" s="7">
        <v>1475</v>
      </c>
      <c r="AC1484" s="109">
        <v>3911.9999999982401</v>
      </c>
      <c r="AD1484" s="109">
        <v>39772844.746629447</v>
      </c>
      <c r="AE1484" s="125"/>
      <c r="AF1484" s="10"/>
      <c r="AI1484" s="109"/>
      <c r="AJ1484" s="109"/>
      <c r="AL1484" s="10"/>
      <c r="AO1484" s="109"/>
      <c r="AP1484" s="109"/>
      <c r="AR1484" s="10"/>
      <c r="AU1484" s="109"/>
      <c r="AV1484" s="109"/>
      <c r="AX1484" s="10"/>
      <c r="BA1484" s="109"/>
      <c r="BB1484" s="109"/>
      <c r="BD1484" s="10"/>
      <c r="BG1484" s="109"/>
      <c r="BH1484" s="109"/>
      <c r="BJ1484" s="10"/>
      <c r="BM1484" s="109"/>
      <c r="BN1484" s="109"/>
      <c r="BP1484" s="10"/>
      <c r="BS1484" s="109"/>
      <c r="BT1484" s="109"/>
      <c r="BV1484" s="10"/>
      <c r="BY1484" s="109"/>
      <c r="BZ1484" s="109"/>
      <c r="CB1484" s="10"/>
      <c r="CE1484" s="109"/>
      <c r="CF1484" s="109"/>
      <c r="CH1484" s="10"/>
      <c r="CK1484" s="109"/>
      <c r="CL1484" s="109"/>
    </row>
    <row r="1485" spans="1:90">
      <c r="A1485" s="7" t="str">
        <f t="shared" si="231"/>
        <v>02960296</v>
      </c>
      <c r="B1485" s="7" t="s">
        <v>2635</v>
      </c>
      <c r="C1485" s="7" t="s">
        <v>2635</v>
      </c>
      <c r="D1485" s="7">
        <v>1476</v>
      </c>
      <c r="E1485" s="7">
        <v>296</v>
      </c>
      <c r="F1485" s="7" t="s">
        <v>2001</v>
      </c>
      <c r="G1485" s="7">
        <v>296</v>
      </c>
      <c r="H1485" s="7" t="s">
        <v>1562</v>
      </c>
      <c r="I1485" s="70">
        <v>3769019.7499999991</v>
      </c>
      <c r="J1485" s="131">
        <v>0.6649921532131069</v>
      </c>
      <c r="K1485" s="123">
        <f>X1485</f>
        <v>3760490.3019716195</v>
      </c>
      <c r="L1485" s="122">
        <f>IF(K1489&gt;0, K1485/K1489, 0)</f>
        <v>0.62761112690356058</v>
      </c>
      <c r="M1485" s="71"/>
      <c r="N1485" s="10">
        <f>ROUND(M1489*L1485,0)</f>
        <v>3062266</v>
      </c>
      <c r="O1485" s="70">
        <v>3133723</v>
      </c>
      <c r="P1485" s="10">
        <f>N1485-O1485</f>
        <v>-71457</v>
      </c>
      <c r="Q1485" s="46">
        <f t="shared" si="229"/>
        <v>-2.2802589763039043</v>
      </c>
      <c r="R1485" s="10">
        <v>373</v>
      </c>
      <c r="S1485" s="7">
        <f t="shared" si="232"/>
        <v>0</v>
      </c>
      <c r="T1485" s="124">
        <f t="shared" si="233"/>
        <v>296</v>
      </c>
      <c r="U1485" s="124">
        <f t="shared" si="234"/>
        <v>296</v>
      </c>
      <c r="V1485" s="124">
        <f t="shared" si="235"/>
        <v>1476</v>
      </c>
      <c r="W1485" s="124">
        <f t="shared" si="236"/>
        <v>365</v>
      </c>
      <c r="X1485" s="124">
        <f t="shared" si="237"/>
        <v>3760490.3019716195</v>
      </c>
      <c r="Y1485" s="264">
        <f t="shared" si="238"/>
        <v>1476</v>
      </c>
      <c r="Z1485" s="10">
        <v>296</v>
      </c>
      <c r="AA1485" s="7">
        <v>296</v>
      </c>
      <c r="AB1485" s="7">
        <v>1476</v>
      </c>
      <c r="AC1485" s="109">
        <v>365</v>
      </c>
      <c r="AD1485" s="109">
        <v>3760490.3019716195</v>
      </c>
      <c r="AE1485" s="125"/>
      <c r="AF1485" s="10"/>
      <c r="AI1485" s="109"/>
      <c r="AJ1485" s="109"/>
      <c r="AL1485" s="10"/>
      <c r="AO1485" s="109"/>
      <c r="AP1485" s="109"/>
      <c r="AR1485" s="10"/>
      <c r="AU1485" s="109"/>
      <c r="AV1485" s="109"/>
      <c r="AX1485" s="10"/>
      <c r="BA1485" s="109"/>
      <c r="BB1485" s="109"/>
      <c r="BD1485" s="10"/>
      <c r="BG1485" s="109"/>
      <c r="BH1485" s="109"/>
      <c r="BJ1485" s="10"/>
      <c r="BM1485" s="109"/>
      <c r="BN1485" s="109"/>
      <c r="BP1485" s="10"/>
      <c r="BS1485" s="109"/>
      <c r="BT1485" s="109"/>
      <c r="BV1485" s="10"/>
      <c r="BY1485" s="109"/>
      <c r="BZ1485" s="109"/>
      <c r="CB1485" s="10"/>
      <c r="CE1485" s="109"/>
      <c r="CF1485" s="109"/>
      <c r="CH1485" s="10"/>
      <c r="CK1485" s="109"/>
      <c r="CL1485" s="109"/>
    </row>
    <row r="1486" spans="1:90">
      <c r="A1486" s="7" t="str">
        <f t="shared" si="231"/>
        <v>02960700</v>
      </c>
      <c r="B1486" s="7" t="s">
        <v>2635</v>
      </c>
      <c r="C1486" s="7" t="s">
        <v>2725</v>
      </c>
      <c r="D1486" s="7">
        <v>1477</v>
      </c>
      <c r="E1486" s="7">
        <v>296</v>
      </c>
      <c r="F1486" s="7" t="s">
        <v>2001</v>
      </c>
      <c r="G1486" s="7">
        <v>700</v>
      </c>
      <c r="H1486" s="7" t="s">
        <v>1652</v>
      </c>
      <c r="I1486" s="70">
        <v>1898746</v>
      </c>
      <c r="J1486" s="131">
        <v>0.3350078467868931</v>
      </c>
      <c r="K1486" s="123">
        <f t="shared" si="230"/>
        <v>2231261.8209149153</v>
      </c>
      <c r="L1486" s="122">
        <f>IF(K1489&gt;0, K1486/K1489, 0)</f>
        <v>0.37238887309643942</v>
      </c>
      <c r="M1486" s="71"/>
      <c r="N1486" s="10">
        <f>ROUND(M1489*L1486,0)</f>
        <v>1816975</v>
      </c>
      <c r="O1486" s="70">
        <v>1578698</v>
      </c>
      <c r="P1486" s="10">
        <f>N1486-O1486</f>
        <v>238277</v>
      </c>
      <c r="Q1486" s="46">
        <f t="shared" si="229"/>
        <v>15.093260395591811</v>
      </c>
      <c r="R1486" s="10">
        <v>160</v>
      </c>
      <c r="S1486" s="7">
        <f t="shared" si="232"/>
        <v>0</v>
      </c>
      <c r="T1486" s="124">
        <f t="shared" si="233"/>
        <v>296</v>
      </c>
      <c r="U1486" s="124">
        <f t="shared" si="234"/>
        <v>700</v>
      </c>
      <c r="V1486" s="124">
        <f t="shared" si="235"/>
        <v>1477</v>
      </c>
      <c r="W1486" s="124">
        <f t="shared" si="236"/>
        <v>179.00000000256</v>
      </c>
      <c r="X1486" s="124">
        <f t="shared" si="237"/>
        <v>2231261.8209149153</v>
      </c>
      <c r="Y1486" s="264">
        <f t="shared" si="238"/>
        <v>1477</v>
      </c>
      <c r="Z1486" s="10">
        <v>296</v>
      </c>
      <c r="AA1486" s="7">
        <v>700</v>
      </c>
      <c r="AB1486" s="7">
        <v>1477</v>
      </c>
      <c r="AC1486" s="109">
        <v>179.00000000256</v>
      </c>
      <c r="AD1486" s="109">
        <v>2231261.8209149153</v>
      </c>
      <c r="AE1486" s="125"/>
      <c r="AF1486" s="10"/>
      <c r="AI1486" s="109"/>
      <c r="AJ1486" s="109"/>
      <c r="AL1486" s="10"/>
      <c r="AO1486" s="109"/>
      <c r="AP1486" s="109"/>
      <c r="AR1486" s="10"/>
      <c r="AU1486" s="109"/>
      <c r="AV1486" s="109"/>
      <c r="AX1486" s="10"/>
      <c r="BA1486" s="109"/>
      <c r="BB1486" s="109"/>
      <c r="BD1486" s="10"/>
      <c r="BG1486" s="109"/>
      <c r="BH1486" s="109"/>
      <c r="BJ1486" s="10"/>
      <c r="BM1486" s="109"/>
      <c r="BN1486" s="109"/>
      <c r="BP1486" s="10"/>
      <c r="BS1486" s="109"/>
      <c r="BT1486" s="109"/>
      <c r="BV1486" s="10"/>
      <c r="BY1486" s="109"/>
      <c r="BZ1486" s="109"/>
      <c r="CB1486" s="10"/>
      <c r="CE1486" s="109"/>
      <c r="CF1486" s="109"/>
      <c r="CH1486" s="10"/>
      <c r="CK1486" s="109"/>
      <c r="CL1486" s="109"/>
    </row>
    <row r="1487" spans="1:90">
      <c r="A1487" s="7" t="str">
        <f t="shared" si="231"/>
        <v>02960998</v>
      </c>
      <c r="B1487" s="7" t="s">
        <v>2635</v>
      </c>
      <c r="C1487" s="7" t="s">
        <v>2781</v>
      </c>
      <c r="D1487" s="7">
        <v>1478</v>
      </c>
      <c r="E1487" s="7">
        <v>296</v>
      </c>
      <c r="F1487" s="7" t="s">
        <v>2135</v>
      </c>
      <c r="G1487" s="7">
        <v>998</v>
      </c>
      <c r="H1487" s="7" t="s">
        <v>2135</v>
      </c>
      <c r="I1487" s="70">
        <v>0</v>
      </c>
      <c r="J1487" s="131">
        <v>0</v>
      </c>
      <c r="K1487" s="123">
        <f t="shared" si="230"/>
        <v>0</v>
      </c>
      <c r="L1487" s="122">
        <f>IF(K1489&gt;0, K1487/K1489, 0)</f>
        <v>0</v>
      </c>
      <c r="M1487" s="71"/>
      <c r="N1487" s="10">
        <f>ROUND(M1489*L1487,0)</f>
        <v>0</v>
      </c>
      <c r="O1487" s="70">
        <v>0</v>
      </c>
      <c r="P1487" s="10">
        <f>N1487-O1487</f>
        <v>0</v>
      </c>
      <c r="Q1487" s="46">
        <f t="shared" si="229"/>
        <v>0</v>
      </c>
      <c r="R1487" s="10">
        <v>0</v>
      </c>
      <c r="S1487" s="7">
        <f t="shared" si="232"/>
        <v>0</v>
      </c>
      <c r="T1487" s="124">
        <f t="shared" si="233"/>
        <v>296</v>
      </c>
      <c r="U1487" s="124">
        <f t="shared" si="234"/>
        <v>998</v>
      </c>
      <c r="V1487" s="124">
        <f t="shared" si="235"/>
        <v>1478</v>
      </c>
      <c r="W1487" s="124">
        <f t="shared" si="236"/>
        <v>0</v>
      </c>
      <c r="X1487" s="124">
        <f t="shared" si="237"/>
        <v>0</v>
      </c>
      <c r="Y1487" s="264">
        <f t="shared" si="238"/>
        <v>1478</v>
      </c>
      <c r="Z1487" s="10">
        <v>296</v>
      </c>
      <c r="AA1487" s="7">
        <v>998</v>
      </c>
      <c r="AB1487" s="7">
        <v>1478</v>
      </c>
      <c r="AC1487" s="109">
        <v>0</v>
      </c>
      <c r="AD1487" s="109">
        <v>0</v>
      </c>
      <c r="AE1487" s="125"/>
      <c r="AF1487" s="10"/>
      <c r="AI1487" s="109"/>
      <c r="AJ1487" s="109"/>
      <c r="AL1487" s="10"/>
      <c r="AO1487" s="109"/>
      <c r="AP1487" s="109"/>
      <c r="AR1487" s="10"/>
      <c r="AU1487" s="109"/>
      <c r="AV1487" s="109"/>
      <c r="AX1487" s="10"/>
      <c r="BA1487" s="109"/>
      <c r="BB1487" s="109"/>
      <c r="BD1487" s="10"/>
      <c r="BG1487" s="109"/>
      <c r="BH1487" s="109"/>
      <c r="BJ1487" s="10"/>
      <c r="BM1487" s="109"/>
      <c r="BN1487" s="109"/>
      <c r="BP1487" s="10"/>
      <c r="BS1487" s="109"/>
      <c r="BT1487" s="109"/>
      <c r="BV1487" s="10"/>
      <c r="BY1487" s="109"/>
      <c r="BZ1487" s="109"/>
      <c r="CB1487" s="10"/>
      <c r="CE1487" s="109"/>
      <c r="CF1487" s="109"/>
      <c r="CH1487" s="10"/>
      <c r="CK1487" s="109"/>
      <c r="CL1487" s="109"/>
    </row>
    <row r="1488" spans="1:90">
      <c r="A1488" s="7" t="str">
        <f t="shared" si="231"/>
        <v>02960998</v>
      </c>
      <c r="B1488" s="7" t="s">
        <v>2635</v>
      </c>
      <c r="C1488" s="7" t="s">
        <v>2781</v>
      </c>
      <c r="D1488" s="7">
        <v>1479</v>
      </c>
      <c r="E1488" s="7">
        <v>296</v>
      </c>
      <c r="F1488" s="7" t="s">
        <v>2135</v>
      </c>
      <c r="G1488" s="7">
        <v>998</v>
      </c>
      <c r="H1488" s="7" t="s">
        <v>2135</v>
      </c>
      <c r="I1488" s="70">
        <v>0</v>
      </c>
      <c r="J1488" s="131">
        <v>0</v>
      </c>
      <c r="K1488" s="123">
        <f t="shared" si="230"/>
        <v>0</v>
      </c>
      <c r="L1488" s="122">
        <f>IF(K1489&gt;0, K1488/K1489, 0)</f>
        <v>0</v>
      </c>
      <c r="M1488" s="71"/>
      <c r="N1488" s="10">
        <f>ROUND(M1489*L1488,0)</f>
        <v>0</v>
      </c>
      <c r="O1488" s="70">
        <v>0</v>
      </c>
      <c r="P1488" s="10">
        <f>N1488-O1488</f>
        <v>0</v>
      </c>
      <c r="Q1488" s="46">
        <f>IF(O1488&gt;0,P1488*100/O1488,IF(P1488&gt;0,100,0))</f>
        <v>0</v>
      </c>
      <c r="R1488" s="10">
        <v>0</v>
      </c>
      <c r="S1488" s="7">
        <f t="shared" si="232"/>
        <v>0</v>
      </c>
      <c r="T1488" s="124">
        <f t="shared" si="233"/>
        <v>296</v>
      </c>
      <c r="U1488" s="124">
        <f t="shared" si="234"/>
        <v>998</v>
      </c>
      <c r="V1488" s="124">
        <f t="shared" si="235"/>
        <v>1479</v>
      </c>
      <c r="W1488" s="124">
        <f t="shared" si="236"/>
        <v>0</v>
      </c>
      <c r="X1488" s="124">
        <f t="shared" si="237"/>
        <v>0</v>
      </c>
      <c r="Y1488" s="264">
        <f t="shared" si="238"/>
        <v>1479</v>
      </c>
      <c r="Z1488" s="10">
        <v>296</v>
      </c>
      <c r="AA1488" s="7">
        <v>998</v>
      </c>
      <c r="AB1488" s="7">
        <v>1479</v>
      </c>
      <c r="AC1488" s="109">
        <v>0</v>
      </c>
      <c r="AD1488" s="109">
        <v>0</v>
      </c>
      <c r="AE1488" s="125"/>
      <c r="AF1488" s="10"/>
      <c r="AI1488" s="109"/>
      <c r="AJ1488" s="109"/>
      <c r="AL1488" s="10"/>
      <c r="AO1488" s="109"/>
      <c r="AP1488" s="109"/>
      <c r="AR1488" s="10"/>
      <c r="AU1488" s="109"/>
      <c r="AV1488" s="109"/>
      <c r="AX1488" s="10"/>
      <c r="BA1488" s="109"/>
      <c r="BB1488" s="109"/>
      <c r="BD1488" s="10"/>
      <c r="BG1488" s="109"/>
      <c r="BH1488" s="109"/>
      <c r="BJ1488" s="10"/>
      <c r="BM1488" s="109"/>
      <c r="BN1488" s="109"/>
      <c r="BP1488" s="10"/>
      <c r="BS1488" s="109"/>
      <c r="BT1488" s="109"/>
      <c r="BV1488" s="10"/>
      <c r="BY1488" s="109"/>
      <c r="BZ1488" s="109"/>
      <c r="CB1488" s="10"/>
      <c r="CE1488" s="109"/>
      <c r="CF1488" s="109"/>
      <c r="CH1488" s="10"/>
      <c r="CK1488" s="109"/>
      <c r="CL1488" s="109"/>
    </row>
    <row r="1489" spans="1:90">
      <c r="A1489" s="7" t="str">
        <f t="shared" si="231"/>
        <v>02960999</v>
      </c>
      <c r="B1489" s="7" t="s">
        <v>2635</v>
      </c>
      <c r="C1489" s="7" t="s">
        <v>2782</v>
      </c>
      <c r="D1489" s="7">
        <v>1480</v>
      </c>
      <c r="E1489" s="11">
        <v>296</v>
      </c>
      <c r="F1489" s="11" t="s">
        <v>2001</v>
      </c>
      <c r="G1489" s="11">
        <v>999</v>
      </c>
      <c r="H1489" s="11" t="s">
        <v>1132</v>
      </c>
      <c r="I1489" s="134">
        <v>5667765.7499999991</v>
      </c>
      <c r="J1489" s="135">
        <v>1</v>
      </c>
      <c r="K1489" s="127">
        <f>SUM(K1485:K1488)</f>
        <v>5991752.1228865348</v>
      </c>
      <c r="L1489" s="126">
        <f>SUM(L1485:L1488)</f>
        <v>1</v>
      </c>
      <c r="M1489" s="105">
        <f>VLOOKUP(E1489,town351,22)</f>
        <v>4879241</v>
      </c>
      <c r="N1489" s="105">
        <f>SUM(N1485:N1488)</f>
        <v>4879241</v>
      </c>
      <c r="O1489" s="128">
        <v>4712421</v>
      </c>
      <c r="P1489" s="105">
        <f>SUM(P1485:P1488)</f>
        <v>166820</v>
      </c>
      <c r="Q1489" s="45">
        <f t="shared" ref="Q1489:Q1551" si="239">IF(O1489&gt;0,P1489*100/O1489,IF(P1489&gt;0,100,0))</f>
        <v>3.5400062940047166</v>
      </c>
      <c r="R1489" s="105">
        <v>533</v>
      </c>
      <c r="S1489" s="7">
        <f t="shared" si="232"/>
        <v>0</v>
      </c>
      <c r="T1489" s="124">
        <f t="shared" si="233"/>
        <v>296</v>
      </c>
      <c r="U1489" s="124">
        <f t="shared" si="234"/>
        <v>999</v>
      </c>
      <c r="V1489" s="124">
        <f t="shared" si="235"/>
        <v>1480</v>
      </c>
      <c r="W1489" s="124">
        <f t="shared" si="236"/>
        <v>544.00000000256</v>
      </c>
      <c r="X1489" s="124">
        <f t="shared" si="237"/>
        <v>5991752.1228865348</v>
      </c>
      <c r="Y1489" s="264">
        <f t="shared" si="238"/>
        <v>1480</v>
      </c>
      <c r="Z1489" s="10">
        <v>296</v>
      </c>
      <c r="AA1489" s="7">
        <v>999</v>
      </c>
      <c r="AB1489" s="7">
        <v>1480</v>
      </c>
      <c r="AC1489" s="109">
        <v>544.00000000256</v>
      </c>
      <c r="AD1489" s="109">
        <v>5991752.1228865348</v>
      </c>
      <c r="AE1489" s="125"/>
      <c r="AF1489" s="10"/>
      <c r="AI1489" s="109"/>
      <c r="AJ1489" s="109"/>
      <c r="AL1489" s="10"/>
      <c r="AO1489" s="109"/>
      <c r="AP1489" s="109"/>
      <c r="AR1489" s="10"/>
      <c r="AU1489" s="109"/>
      <c r="AV1489" s="109"/>
      <c r="AX1489" s="10"/>
      <c r="BA1489" s="109"/>
      <c r="BB1489" s="109"/>
      <c r="BD1489" s="10"/>
      <c r="BG1489" s="109"/>
      <c r="BH1489" s="109"/>
      <c r="BJ1489" s="10"/>
      <c r="BM1489" s="109"/>
      <c r="BN1489" s="109"/>
      <c r="BP1489" s="10"/>
      <c r="BS1489" s="109"/>
      <c r="BT1489" s="109"/>
      <c r="BV1489" s="10"/>
      <c r="BY1489" s="109"/>
      <c r="BZ1489" s="109"/>
      <c r="CB1489" s="10"/>
      <c r="CE1489" s="109"/>
      <c r="CF1489" s="109"/>
      <c r="CH1489" s="10"/>
      <c r="CK1489" s="109"/>
      <c r="CL1489" s="109"/>
    </row>
    <row r="1490" spans="1:90">
      <c r="A1490" s="7" t="str">
        <f t="shared" si="231"/>
        <v>02970297</v>
      </c>
      <c r="B1490" s="7" t="s">
        <v>2636</v>
      </c>
      <c r="C1490" s="7" t="s">
        <v>2636</v>
      </c>
      <c r="D1490" s="7">
        <v>1481</v>
      </c>
      <c r="E1490" s="7">
        <v>297</v>
      </c>
      <c r="F1490" s="7" t="s">
        <v>2002</v>
      </c>
      <c r="G1490" s="7">
        <v>297</v>
      </c>
      <c r="H1490" s="7" t="s">
        <v>1563</v>
      </c>
      <c r="I1490" s="70">
        <v>0</v>
      </c>
      <c r="J1490" s="131">
        <v>0</v>
      </c>
      <c r="K1490" s="123">
        <f>X1490</f>
        <v>0</v>
      </c>
      <c r="L1490" s="122">
        <f>IF(K1494&gt;0, K1490/K1494, 0)</f>
        <v>0</v>
      </c>
      <c r="M1490" s="71"/>
      <c r="N1490" s="10">
        <f>ROUND(M1494*L1490,0)</f>
        <v>0</v>
      </c>
      <c r="O1490" s="70">
        <v>0</v>
      </c>
      <c r="P1490" s="10">
        <f>N1490-O1490</f>
        <v>0</v>
      </c>
      <c r="Q1490" s="46">
        <f t="shared" si="239"/>
        <v>0</v>
      </c>
      <c r="R1490" s="10">
        <v>0</v>
      </c>
      <c r="S1490" s="7">
        <f t="shared" si="232"/>
        <v>0</v>
      </c>
      <c r="T1490" s="124">
        <f t="shared" si="233"/>
        <v>297</v>
      </c>
      <c r="U1490" s="124">
        <f t="shared" si="234"/>
        <v>297</v>
      </c>
      <c r="V1490" s="124">
        <f t="shared" si="235"/>
        <v>1481</v>
      </c>
      <c r="W1490" s="124">
        <f t="shared" si="236"/>
        <v>0</v>
      </c>
      <c r="X1490" s="124">
        <f t="shared" si="237"/>
        <v>0</v>
      </c>
      <c r="Y1490" s="264">
        <f t="shared" si="238"/>
        <v>1481</v>
      </c>
      <c r="Z1490" s="10">
        <v>297</v>
      </c>
      <c r="AA1490" s="7">
        <v>297</v>
      </c>
      <c r="AB1490" s="7">
        <v>1481</v>
      </c>
      <c r="AC1490" s="109">
        <v>0</v>
      </c>
      <c r="AD1490" s="109">
        <v>0</v>
      </c>
      <c r="AE1490" s="125"/>
      <c r="AF1490" s="10"/>
      <c r="AI1490" s="109"/>
      <c r="AJ1490" s="109"/>
      <c r="AL1490" s="10"/>
      <c r="AO1490" s="109"/>
      <c r="AP1490" s="109"/>
      <c r="AR1490" s="10"/>
      <c r="AU1490" s="109"/>
      <c r="AV1490" s="109"/>
      <c r="AX1490" s="10"/>
      <c r="BA1490" s="109"/>
      <c r="BB1490" s="109"/>
      <c r="BD1490" s="10"/>
      <c r="BG1490" s="109"/>
      <c r="BH1490" s="109"/>
      <c r="BJ1490" s="10"/>
      <c r="BM1490" s="109"/>
      <c r="BN1490" s="109"/>
      <c r="BP1490" s="10"/>
      <c r="BS1490" s="109"/>
      <c r="BT1490" s="109"/>
      <c r="BV1490" s="10"/>
      <c r="BY1490" s="109"/>
      <c r="BZ1490" s="109"/>
      <c r="CB1490" s="10"/>
      <c r="CE1490" s="109"/>
      <c r="CF1490" s="109"/>
      <c r="CH1490" s="10"/>
      <c r="CK1490" s="109"/>
      <c r="CL1490" s="109"/>
    </row>
    <row r="1491" spans="1:90">
      <c r="A1491" s="7" t="str">
        <f t="shared" si="231"/>
        <v>02970766</v>
      </c>
      <c r="B1491" s="7" t="s">
        <v>2636</v>
      </c>
      <c r="C1491" s="7" t="s">
        <v>2744</v>
      </c>
      <c r="D1491" s="7">
        <v>1482</v>
      </c>
      <c r="E1491" s="7">
        <v>297</v>
      </c>
      <c r="F1491" s="7" t="s">
        <v>2002</v>
      </c>
      <c r="G1491" s="7">
        <v>766</v>
      </c>
      <c r="H1491" s="7" t="s">
        <v>2136</v>
      </c>
      <c r="I1491" s="70">
        <v>586885</v>
      </c>
      <c r="J1491" s="131">
        <v>1</v>
      </c>
      <c r="K1491" s="123">
        <f t="shared" si="230"/>
        <v>492285.71383370378</v>
      </c>
      <c r="L1491" s="122">
        <f>IF(K1494&gt;0, K1491/K1494, 0)</f>
        <v>1</v>
      </c>
      <c r="M1491" s="71"/>
      <c r="N1491" s="10">
        <f>ROUND(M1494*L1491,0)</f>
        <v>412621</v>
      </c>
      <c r="O1491" s="70">
        <v>434470</v>
      </c>
      <c r="P1491" s="10">
        <f>N1491-O1491</f>
        <v>-21849</v>
      </c>
      <c r="Q1491" s="46">
        <f t="shared" si="239"/>
        <v>-5.0288857688678164</v>
      </c>
      <c r="R1491" s="10">
        <v>57</v>
      </c>
      <c r="S1491" s="7">
        <f t="shared" si="232"/>
        <v>0</v>
      </c>
      <c r="T1491" s="124">
        <f t="shared" si="233"/>
        <v>297</v>
      </c>
      <c r="U1491" s="124">
        <f t="shared" si="234"/>
        <v>766</v>
      </c>
      <c r="V1491" s="124">
        <f t="shared" si="235"/>
        <v>1482</v>
      </c>
      <c r="W1491" s="124">
        <f t="shared" si="236"/>
        <v>46.699300701479999</v>
      </c>
      <c r="X1491" s="124">
        <f t="shared" si="237"/>
        <v>492285.71383370378</v>
      </c>
      <c r="Y1491" s="264">
        <f t="shared" si="238"/>
        <v>1482</v>
      </c>
      <c r="Z1491" s="10">
        <v>297</v>
      </c>
      <c r="AA1491" s="7">
        <v>766</v>
      </c>
      <c r="AB1491" s="7">
        <v>1482</v>
      </c>
      <c r="AC1491" s="109">
        <v>46.699300701479999</v>
      </c>
      <c r="AD1491" s="109">
        <v>492285.71383370378</v>
      </c>
      <c r="AE1491" s="125"/>
      <c r="AF1491" s="10"/>
      <c r="AI1491" s="109"/>
      <c r="AJ1491" s="109"/>
      <c r="AL1491" s="10"/>
      <c r="AO1491" s="109"/>
      <c r="AP1491" s="109"/>
      <c r="AR1491" s="10"/>
      <c r="AU1491" s="109"/>
      <c r="AV1491" s="109"/>
      <c r="AX1491" s="10"/>
      <c r="BA1491" s="109"/>
      <c r="BB1491" s="109"/>
      <c r="BD1491" s="10"/>
      <c r="BG1491" s="109"/>
      <c r="BH1491" s="109"/>
      <c r="BJ1491" s="10"/>
      <c r="BM1491" s="109"/>
      <c r="BN1491" s="109"/>
      <c r="BP1491" s="10"/>
      <c r="BS1491" s="109"/>
      <c r="BT1491" s="109"/>
      <c r="BV1491" s="10"/>
      <c r="BY1491" s="109"/>
      <c r="BZ1491" s="109"/>
      <c r="CB1491" s="10"/>
      <c r="CE1491" s="109"/>
      <c r="CF1491" s="109"/>
      <c r="CH1491" s="10"/>
      <c r="CK1491" s="109"/>
      <c r="CL1491" s="109"/>
    </row>
    <row r="1492" spans="1:90">
      <c r="A1492" s="7" t="str">
        <f t="shared" si="231"/>
        <v>02970998</v>
      </c>
      <c r="B1492" s="7" t="s">
        <v>2636</v>
      </c>
      <c r="C1492" s="7" t="s">
        <v>2781</v>
      </c>
      <c r="D1492" s="7">
        <v>1483</v>
      </c>
      <c r="E1492" s="7">
        <v>297</v>
      </c>
      <c r="F1492" s="7" t="s">
        <v>2135</v>
      </c>
      <c r="G1492" s="7">
        <v>998</v>
      </c>
      <c r="H1492" s="7" t="s">
        <v>2135</v>
      </c>
      <c r="I1492" s="70">
        <v>0</v>
      </c>
      <c r="J1492" s="131">
        <v>0</v>
      </c>
      <c r="K1492" s="123">
        <f t="shared" si="230"/>
        <v>0</v>
      </c>
      <c r="L1492" s="122">
        <f>IF(K1494&gt;0, K1492/K1494, 0)</f>
        <v>0</v>
      </c>
      <c r="M1492" s="71"/>
      <c r="N1492" s="10">
        <f>ROUND(M1494*L1492,0)</f>
        <v>0</v>
      </c>
      <c r="O1492" s="70">
        <v>0</v>
      </c>
      <c r="P1492" s="10">
        <f>N1492-O1492</f>
        <v>0</v>
      </c>
      <c r="Q1492" s="46">
        <f t="shared" si="239"/>
        <v>0</v>
      </c>
      <c r="R1492" s="10">
        <v>0</v>
      </c>
      <c r="S1492" s="7">
        <f t="shared" si="232"/>
        <v>0</v>
      </c>
      <c r="T1492" s="124">
        <f t="shared" si="233"/>
        <v>297</v>
      </c>
      <c r="U1492" s="124">
        <f t="shared" si="234"/>
        <v>998</v>
      </c>
      <c r="V1492" s="124">
        <f t="shared" si="235"/>
        <v>1483</v>
      </c>
      <c r="W1492" s="124">
        <f t="shared" si="236"/>
        <v>0</v>
      </c>
      <c r="X1492" s="124">
        <f t="shared" si="237"/>
        <v>0</v>
      </c>
      <c r="Y1492" s="264">
        <f t="shared" si="238"/>
        <v>1483</v>
      </c>
      <c r="Z1492" s="10">
        <v>297</v>
      </c>
      <c r="AA1492" s="7">
        <v>998</v>
      </c>
      <c r="AB1492" s="7">
        <v>1483</v>
      </c>
      <c r="AC1492" s="109">
        <v>0</v>
      </c>
      <c r="AD1492" s="109">
        <v>0</v>
      </c>
      <c r="AE1492" s="125"/>
      <c r="AF1492" s="10"/>
      <c r="AI1492" s="109"/>
      <c r="AJ1492" s="109"/>
      <c r="AL1492" s="10"/>
      <c r="AO1492" s="109"/>
      <c r="AP1492" s="109"/>
      <c r="AR1492" s="10"/>
      <c r="AU1492" s="109"/>
      <c r="AV1492" s="109"/>
      <c r="AX1492" s="10"/>
      <c r="BA1492" s="109"/>
      <c r="BB1492" s="109"/>
      <c r="BD1492" s="10"/>
      <c r="BG1492" s="109"/>
      <c r="BH1492" s="109"/>
      <c r="BJ1492" s="10"/>
      <c r="BM1492" s="109"/>
      <c r="BN1492" s="109"/>
      <c r="BP1492" s="10"/>
      <c r="BS1492" s="109"/>
      <c r="BT1492" s="109"/>
      <c r="BV1492" s="10"/>
      <c r="BY1492" s="109"/>
      <c r="BZ1492" s="109"/>
      <c r="CB1492" s="10"/>
      <c r="CE1492" s="109"/>
      <c r="CF1492" s="109"/>
      <c r="CH1492" s="10"/>
      <c r="CK1492" s="109"/>
      <c r="CL1492" s="109"/>
    </row>
    <row r="1493" spans="1:90">
      <c r="A1493" s="7" t="str">
        <f t="shared" si="231"/>
        <v>02970998</v>
      </c>
      <c r="B1493" s="7" t="s">
        <v>2636</v>
      </c>
      <c r="C1493" s="7" t="s">
        <v>2781</v>
      </c>
      <c r="D1493" s="7">
        <v>1484</v>
      </c>
      <c r="E1493" s="7">
        <v>297</v>
      </c>
      <c r="F1493" s="7" t="s">
        <v>2135</v>
      </c>
      <c r="G1493" s="7">
        <v>998</v>
      </c>
      <c r="H1493" s="7" t="s">
        <v>2135</v>
      </c>
      <c r="I1493" s="70">
        <v>0</v>
      </c>
      <c r="J1493" s="131">
        <v>0</v>
      </c>
      <c r="K1493" s="123">
        <f t="shared" si="230"/>
        <v>0</v>
      </c>
      <c r="L1493" s="122">
        <f>IF(K1494&gt;0, K1493/K1494, 0)</f>
        <v>0</v>
      </c>
      <c r="M1493" s="71"/>
      <c r="N1493" s="10">
        <f>ROUND(M1494*L1493,0)</f>
        <v>0</v>
      </c>
      <c r="O1493" s="70">
        <v>0</v>
      </c>
      <c r="P1493" s="10">
        <f>N1493-O1493</f>
        <v>0</v>
      </c>
      <c r="Q1493" s="46">
        <f t="shared" si="239"/>
        <v>0</v>
      </c>
      <c r="R1493" s="10">
        <v>0</v>
      </c>
      <c r="S1493" s="7">
        <f t="shared" si="232"/>
        <v>0</v>
      </c>
      <c r="T1493" s="124">
        <f t="shared" si="233"/>
        <v>297</v>
      </c>
      <c r="U1493" s="124">
        <f t="shared" si="234"/>
        <v>998</v>
      </c>
      <c r="V1493" s="124">
        <f t="shared" si="235"/>
        <v>1484</v>
      </c>
      <c r="W1493" s="124">
        <f t="shared" si="236"/>
        <v>0</v>
      </c>
      <c r="X1493" s="124">
        <f t="shared" si="237"/>
        <v>0</v>
      </c>
      <c r="Y1493" s="264">
        <f t="shared" si="238"/>
        <v>1484</v>
      </c>
      <c r="Z1493" s="10">
        <v>297</v>
      </c>
      <c r="AA1493" s="7">
        <v>998</v>
      </c>
      <c r="AB1493" s="7">
        <v>1484</v>
      </c>
      <c r="AC1493" s="109">
        <v>0</v>
      </c>
      <c r="AD1493" s="109">
        <v>0</v>
      </c>
      <c r="AE1493" s="125"/>
      <c r="AF1493" s="10"/>
      <c r="AI1493" s="109"/>
      <c r="AJ1493" s="109"/>
      <c r="AL1493" s="10"/>
      <c r="AO1493" s="109"/>
      <c r="AP1493" s="109"/>
      <c r="AR1493" s="10"/>
      <c r="AU1493" s="109"/>
      <c r="AV1493" s="109"/>
      <c r="AX1493" s="10"/>
      <c r="BA1493" s="109"/>
      <c r="BB1493" s="109"/>
      <c r="BD1493" s="10"/>
      <c r="BG1493" s="109"/>
      <c r="BH1493" s="109"/>
      <c r="BJ1493" s="10"/>
      <c r="BM1493" s="109"/>
      <c r="BN1493" s="109"/>
      <c r="BP1493" s="10"/>
      <c r="BS1493" s="109"/>
      <c r="BT1493" s="109"/>
      <c r="BV1493" s="10"/>
      <c r="BY1493" s="109"/>
      <c r="BZ1493" s="109"/>
      <c r="CB1493" s="10"/>
      <c r="CE1493" s="109"/>
      <c r="CF1493" s="109"/>
      <c r="CH1493" s="10"/>
      <c r="CK1493" s="109"/>
      <c r="CL1493" s="109"/>
    </row>
    <row r="1494" spans="1:90">
      <c r="A1494" s="7" t="str">
        <f t="shared" si="231"/>
        <v>02970999</v>
      </c>
      <c r="B1494" s="7" t="s">
        <v>2636</v>
      </c>
      <c r="C1494" s="7" t="s">
        <v>2782</v>
      </c>
      <c r="D1494" s="7">
        <v>1485</v>
      </c>
      <c r="E1494" s="11">
        <v>297</v>
      </c>
      <c r="F1494" s="11" t="s">
        <v>2002</v>
      </c>
      <c r="G1494" s="11">
        <v>999</v>
      </c>
      <c r="H1494" s="11" t="s">
        <v>1132</v>
      </c>
      <c r="I1494" s="134">
        <v>586885</v>
      </c>
      <c r="J1494" s="135">
        <v>1</v>
      </c>
      <c r="K1494" s="127">
        <f>SUM(K1490:K1493)</f>
        <v>492285.71383370378</v>
      </c>
      <c r="L1494" s="126">
        <f>SUM(L1490:L1493)</f>
        <v>1</v>
      </c>
      <c r="M1494" s="105">
        <f>VLOOKUP(E1494,town351,22)</f>
        <v>412621</v>
      </c>
      <c r="N1494" s="105">
        <f>SUM(N1490:N1493)</f>
        <v>412621</v>
      </c>
      <c r="O1494" s="128">
        <v>434470</v>
      </c>
      <c r="P1494" s="105">
        <f>SUM(P1490:P1493)</f>
        <v>-21849</v>
      </c>
      <c r="Q1494" s="45">
        <f t="shared" si="239"/>
        <v>-5.0288857688678164</v>
      </c>
      <c r="R1494" s="105">
        <v>57</v>
      </c>
      <c r="S1494" s="7">
        <f t="shared" si="232"/>
        <v>0</v>
      </c>
      <c r="T1494" s="124">
        <f t="shared" si="233"/>
        <v>297</v>
      </c>
      <c r="U1494" s="124">
        <f t="shared" si="234"/>
        <v>999</v>
      </c>
      <c r="V1494" s="124">
        <f t="shared" si="235"/>
        <v>1485</v>
      </c>
      <c r="W1494" s="124">
        <f t="shared" si="236"/>
        <v>46.699300701479999</v>
      </c>
      <c r="X1494" s="124">
        <f t="shared" si="237"/>
        <v>492285.71383370378</v>
      </c>
      <c r="Y1494" s="264">
        <f t="shared" si="238"/>
        <v>1485</v>
      </c>
      <c r="Z1494" s="10">
        <v>297</v>
      </c>
      <c r="AA1494" s="7">
        <v>999</v>
      </c>
      <c r="AB1494" s="7">
        <v>1485</v>
      </c>
      <c r="AC1494" s="109">
        <v>46.699300701479999</v>
      </c>
      <c r="AD1494" s="109">
        <v>492285.71383370378</v>
      </c>
      <c r="AE1494" s="125"/>
      <c r="AF1494" s="10"/>
      <c r="AI1494" s="109"/>
      <c r="AJ1494" s="109"/>
      <c r="AL1494" s="10"/>
      <c r="AO1494" s="109"/>
      <c r="AP1494" s="109"/>
      <c r="AR1494" s="10"/>
      <c r="AU1494" s="109"/>
      <c r="AV1494" s="109"/>
      <c r="AX1494" s="10"/>
      <c r="BA1494" s="109"/>
      <c r="BB1494" s="109"/>
      <c r="BD1494" s="10"/>
      <c r="BG1494" s="109"/>
      <c r="BH1494" s="109"/>
      <c r="BJ1494" s="10"/>
      <c r="BM1494" s="109"/>
      <c r="BN1494" s="109"/>
      <c r="BP1494" s="10"/>
      <c r="BS1494" s="109"/>
      <c r="BT1494" s="109"/>
      <c r="BV1494" s="10"/>
      <c r="BY1494" s="109"/>
      <c r="BZ1494" s="109"/>
      <c r="CB1494" s="10"/>
      <c r="CE1494" s="109"/>
      <c r="CF1494" s="109"/>
      <c r="CH1494" s="10"/>
      <c r="CK1494" s="109"/>
      <c r="CL1494" s="109"/>
    </row>
    <row r="1495" spans="1:90">
      <c r="A1495" s="7" t="str">
        <f t="shared" si="231"/>
        <v>02980298</v>
      </c>
      <c r="B1495" s="7" t="s">
        <v>2637</v>
      </c>
      <c r="C1495" s="7" t="s">
        <v>2637</v>
      </c>
      <c r="D1495" s="7">
        <v>1486</v>
      </c>
      <c r="E1495" s="7">
        <v>298</v>
      </c>
      <c r="F1495" s="7" t="s">
        <v>2003</v>
      </c>
      <c r="G1495" s="7">
        <v>298</v>
      </c>
      <c r="H1495" s="7" t="s">
        <v>1564</v>
      </c>
      <c r="I1495" s="70">
        <v>5219302.4780799998</v>
      </c>
      <c r="J1495" s="131">
        <v>0.49459302881455541</v>
      </c>
      <c r="K1495" s="123">
        <f>X1495</f>
        <v>5307497.2466114936</v>
      </c>
      <c r="L1495" s="122">
        <f>IF(K1499&gt;0, K1495/K1499, 0)</f>
        <v>0.5012950757381136</v>
      </c>
      <c r="M1495" s="71"/>
      <c r="N1495" s="10">
        <f>ROUND(M1499*L1495,0)</f>
        <v>4411689</v>
      </c>
      <c r="O1495" s="70">
        <v>4362303</v>
      </c>
      <c r="P1495" s="10">
        <f>N1495-O1495</f>
        <v>49386</v>
      </c>
      <c r="Q1495" s="46">
        <f t="shared" si="239"/>
        <v>1.1321084298821058</v>
      </c>
      <c r="R1495" s="10">
        <v>586</v>
      </c>
      <c r="S1495" s="7">
        <f t="shared" si="232"/>
        <v>0</v>
      </c>
      <c r="T1495" s="124">
        <f t="shared" si="233"/>
        <v>298</v>
      </c>
      <c r="U1495" s="124">
        <f t="shared" si="234"/>
        <v>298</v>
      </c>
      <c r="V1495" s="124">
        <f t="shared" si="235"/>
        <v>1486</v>
      </c>
      <c r="W1495" s="124">
        <f t="shared" si="236"/>
        <v>576</v>
      </c>
      <c r="X1495" s="124">
        <f t="shared" si="237"/>
        <v>5307497.2466114936</v>
      </c>
      <c r="Y1495" s="264">
        <f t="shared" si="238"/>
        <v>1486</v>
      </c>
      <c r="Z1495" s="10">
        <v>298</v>
      </c>
      <c r="AA1495" s="7">
        <v>298</v>
      </c>
      <c r="AB1495" s="7">
        <v>1486</v>
      </c>
      <c r="AC1495" s="109">
        <v>576</v>
      </c>
      <c r="AD1495" s="109">
        <v>5307497.2466114936</v>
      </c>
      <c r="AE1495" s="125"/>
      <c r="AF1495" s="10"/>
      <c r="AI1495" s="109"/>
      <c r="AJ1495" s="109"/>
      <c r="AL1495" s="10"/>
      <c r="AO1495" s="109"/>
      <c r="AP1495" s="109"/>
      <c r="AR1495" s="10"/>
      <c r="AU1495" s="109"/>
      <c r="AV1495" s="109"/>
      <c r="AX1495" s="10"/>
      <c r="BA1495" s="109"/>
      <c r="BB1495" s="109"/>
      <c r="BD1495" s="10"/>
      <c r="BG1495" s="109"/>
      <c r="BH1495" s="109"/>
      <c r="BJ1495" s="10"/>
      <c r="BM1495" s="109"/>
      <c r="BN1495" s="109"/>
      <c r="BP1495" s="10"/>
      <c r="BS1495" s="109"/>
      <c r="BT1495" s="109"/>
      <c r="BV1495" s="10"/>
      <c r="BY1495" s="109"/>
      <c r="BZ1495" s="109"/>
      <c r="CB1495" s="10"/>
      <c r="CE1495" s="109"/>
      <c r="CF1495" s="109"/>
      <c r="CH1495" s="10"/>
      <c r="CK1495" s="109"/>
      <c r="CL1495" s="109"/>
    </row>
    <row r="1496" spans="1:90">
      <c r="A1496" s="7" t="str">
        <f t="shared" si="231"/>
        <v>02980705</v>
      </c>
      <c r="B1496" s="7" t="s">
        <v>2637</v>
      </c>
      <c r="C1496" s="7" t="s">
        <v>2726</v>
      </c>
      <c r="D1496" s="7">
        <v>1487</v>
      </c>
      <c r="E1496" s="7">
        <v>298</v>
      </c>
      <c r="F1496" s="7" t="s">
        <v>2003</v>
      </c>
      <c r="G1496" s="7">
        <v>705</v>
      </c>
      <c r="H1496" s="7" t="s">
        <v>1653</v>
      </c>
      <c r="I1496" s="70">
        <v>5159974</v>
      </c>
      <c r="J1496" s="131">
        <v>0.48897092666742342</v>
      </c>
      <c r="K1496" s="123">
        <f t="shared" si="230"/>
        <v>5057371.8103718143</v>
      </c>
      <c r="L1496" s="122">
        <f>IF(K1499&gt;0, K1496/K1499, 0)</f>
        <v>0.47767063587922337</v>
      </c>
      <c r="M1496" s="71"/>
      <c r="N1496" s="10">
        <f>ROUND(M1499*L1496,0)</f>
        <v>4203781</v>
      </c>
      <c r="O1496" s="70">
        <v>4312716</v>
      </c>
      <c r="P1496" s="10">
        <f>N1496-O1496</f>
        <v>-108935</v>
      </c>
      <c r="Q1496" s="46">
        <f t="shared" si="239"/>
        <v>-2.5259024707400162</v>
      </c>
      <c r="R1496" s="10">
        <v>525</v>
      </c>
      <c r="S1496" s="7">
        <f t="shared" si="232"/>
        <v>0</v>
      </c>
      <c r="T1496" s="124">
        <f t="shared" si="233"/>
        <v>298</v>
      </c>
      <c r="U1496" s="124">
        <f t="shared" si="234"/>
        <v>705</v>
      </c>
      <c r="V1496" s="124">
        <f t="shared" si="235"/>
        <v>1487</v>
      </c>
      <c r="W1496" s="124">
        <f t="shared" si="236"/>
        <v>501.26634768679997</v>
      </c>
      <c r="X1496" s="124">
        <f t="shared" si="237"/>
        <v>5057371.8103718143</v>
      </c>
      <c r="Y1496" s="264">
        <f t="shared" si="238"/>
        <v>1487</v>
      </c>
      <c r="Z1496" s="10">
        <v>298</v>
      </c>
      <c r="AA1496" s="7">
        <v>705</v>
      </c>
      <c r="AB1496" s="7">
        <v>1487</v>
      </c>
      <c r="AC1496" s="109">
        <v>501.26634768679997</v>
      </c>
      <c r="AD1496" s="109">
        <v>5057371.8103718143</v>
      </c>
      <c r="AE1496" s="125"/>
      <c r="AF1496" s="10"/>
      <c r="AI1496" s="109"/>
      <c r="AJ1496" s="109"/>
      <c r="AL1496" s="10"/>
      <c r="AO1496" s="109"/>
      <c r="AP1496" s="109"/>
      <c r="AR1496" s="10"/>
      <c r="AU1496" s="109"/>
      <c r="AV1496" s="109"/>
      <c r="AX1496" s="10"/>
      <c r="BA1496" s="109"/>
      <c r="BB1496" s="109"/>
      <c r="BD1496" s="10"/>
      <c r="BG1496" s="109"/>
      <c r="BH1496" s="109"/>
      <c r="BJ1496" s="10"/>
      <c r="BM1496" s="109"/>
      <c r="BN1496" s="109"/>
      <c r="BP1496" s="10"/>
      <c r="BS1496" s="109"/>
      <c r="BT1496" s="109"/>
      <c r="BV1496" s="10"/>
      <c r="BY1496" s="109"/>
      <c r="BZ1496" s="109"/>
      <c r="CB1496" s="10"/>
      <c r="CE1496" s="109"/>
      <c r="CF1496" s="109"/>
      <c r="CH1496" s="10"/>
      <c r="CK1496" s="109"/>
      <c r="CL1496" s="109"/>
    </row>
    <row r="1497" spans="1:90">
      <c r="A1497" s="7" t="str">
        <f t="shared" si="231"/>
        <v>02980817</v>
      </c>
      <c r="B1497" s="7" t="s">
        <v>2637</v>
      </c>
      <c r="C1497" s="7" t="s">
        <v>2757</v>
      </c>
      <c r="D1497" s="7">
        <v>1488</v>
      </c>
      <c r="E1497" s="7">
        <v>298</v>
      </c>
      <c r="F1497" s="7" t="s">
        <v>2003</v>
      </c>
      <c r="G1497" s="7">
        <v>817</v>
      </c>
      <c r="H1497" s="7" t="s">
        <v>1684</v>
      </c>
      <c r="I1497" s="70">
        <v>173445</v>
      </c>
      <c r="J1497" s="131">
        <v>1.6436044518021071E-2</v>
      </c>
      <c r="K1497" s="123">
        <f t="shared" si="230"/>
        <v>222702.02337622663</v>
      </c>
      <c r="L1497" s="122">
        <f>IF(K1499&gt;0, K1497/K1499, 0)</f>
        <v>2.1034288382663129E-2</v>
      </c>
      <c r="M1497" s="71"/>
      <c r="N1497" s="10">
        <f>ROUND(M1499*L1497,0)</f>
        <v>185114</v>
      </c>
      <c r="O1497" s="70">
        <v>144966</v>
      </c>
      <c r="P1497" s="10">
        <f>N1497-O1497</f>
        <v>40148</v>
      </c>
      <c r="Q1497" s="46">
        <f t="shared" si="239"/>
        <v>27.694769808092932</v>
      </c>
      <c r="R1497" s="10">
        <v>11</v>
      </c>
      <c r="S1497" s="7">
        <f t="shared" si="232"/>
        <v>0</v>
      </c>
      <c r="T1497" s="124">
        <f t="shared" si="233"/>
        <v>298</v>
      </c>
      <c r="U1497" s="124">
        <f t="shared" si="234"/>
        <v>817</v>
      </c>
      <c r="V1497" s="124">
        <f t="shared" si="235"/>
        <v>1488</v>
      </c>
      <c r="W1497" s="124">
        <f t="shared" si="236"/>
        <v>13.999999995540001</v>
      </c>
      <c r="X1497" s="124">
        <f t="shared" si="237"/>
        <v>222702.02337622663</v>
      </c>
      <c r="Y1497" s="264">
        <f t="shared" si="238"/>
        <v>1488</v>
      </c>
      <c r="Z1497" s="10">
        <v>298</v>
      </c>
      <c r="AA1497" s="7">
        <v>817</v>
      </c>
      <c r="AB1497" s="7">
        <v>1488</v>
      </c>
      <c r="AC1497" s="109">
        <v>13.999999995540001</v>
      </c>
      <c r="AD1497" s="109">
        <v>222702.02337622663</v>
      </c>
      <c r="AE1497" s="125"/>
      <c r="AF1497" s="10"/>
      <c r="AI1497" s="109"/>
      <c r="AJ1497" s="109"/>
      <c r="AL1497" s="10"/>
      <c r="AO1497" s="109"/>
      <c r="AP1497" s="109"/>
      <c r="AR1497" s="10"/>
      <c r="AU1497" s="109"/>
      <c r="AV1497" s="109"/>
      <c r="AX1497" s="10"/>
      <c r="BA1497" s="109"/>
      <c r="BB1497" s="109"/>
      <c r="BD1497" s="10"/>
      <c r="BG1497" s="109"/>
      <c r="BH1497" s="109"/>
      <c r="BJ1497" s="10"/>
      <c r="BM1497" s="109"/>
      <c r="BN1497" s="109"/>
      <c r="BP1497" s="10"/>
      <c r="BS1497" s="109"/>
      <c r="BT1497" s="109"/>
      <c r="BV1497" s="10"/>
      <c r="BY1497" s="109"/>
      <c r="BZ1497" s="109"/>
      <c r="CB1497" s="10"/>
      <c r="CE1497" s="109"/>
      <c r="CF1497" s="109"/>
      <c r="CH1497" s="10"/>
      <c r="CK1497" s="109"/>
      <c r="CL1497" s="109"/>
    </row>
    <row r="1498" spans="1:90">
      <c r="A1498" s="7" t="str">
        <f t="shared" si="231"/>
        <v>02980998</v>
      </c>
      <c r="B1498" s="7" t="s">
        <v>2637</v>
      </c>
      <c r="C1498" s="7" t="s">
        <v>2781</v>
      </c>
      <c r="D1498" s="7">
        <v>1489</v>
      </c>
      <c r="E1498" s="7">
        <v>298</v>
      </c>
      <c r="F1498" s="7" t="s">
        <v>2135</v>
      </c>
      <c r="G1498" s="7">
        <v>998</v>
      </c>
      <c r="I1498" s="129">
        <v>0</v>
      </c>
      <c r="J1498" s="130">
        <v>0</v>
      </c>
      <c r="K1498" s="123">
        <f t="shared" si="230"/>
        <v>0</v>
      </c>
      <c r="L1498" s="122">
        <f>IF(K1499&gt;0, K1498/K1499, 0)</f>
        <v>0</v>
      </c>
      <c r="M1498" s="71"/>
      <c r="N1498" s="10">
        <f>ROUND(M1499*L1498,0)</f>
        <v>0</v>
      </c>
      <c r="O1498" s="70">
        <v>0</v>
      </c>
      <c r="P1498" s="10">
        <f>N1498-O1498</f>
        <v>0</v>
      </c>
      <c r="Q1498" s="46">
        <f t="shared" si="239"/>
        <v>0</v>
      </c>
      <c r="R1498" s="10">
        <v>0</v>
      </c>
      <c r="S1498" s="7">
        <f t="shared" si="232"/>
        <v>0</v>
      </c>
      <c r="T1498" s="124">
        <f t="shared" si="233"/>
        <v>298</v>
      </c>
      <c r="U1498" s="124">
        <f t="shared" si="234"/>
        <v>998</v>
      </c>
      <c r="V1498" s="124">
        <f t="shared" si="235"/>
        <v>1489</v>
      </c>
      <c r="W1498" s="124">
        <f t="shared" si="236"/>
        <v>0</v>
      </c>
      <c r="X1498" s="124">
        <f t="shared" si="237"/>
        <v>0</v>
      </c>
      <c r="Y1498" s="264">
        <f t="shared" si="238"/>
        <v>1489</v>
      </c>
      <c r="Z1498" s="10">
        <v>298</v>
      </c>
      <c r="AA1498" s="7">
        <v>998</v>
      </c>
      <c r="AB1498" s="7">
        <v>1489</v>
      </c>
      <c r="AC1498" s="109">
        <v>0</v>
      </c>
      <c r="AD1498" s="109">
        <v>0</v>
      </c>
      <c r="AE1498" s="125"/>
      <c r="AF1498" s="10"/>
      <c r="AI1498" s="109"/>
      <c r="AJ1498" s="109"/>
      <c r="AL1498" s="10"/>
      <c r="AO1498" s="109"/>
      <c r="AP1498" s="109"/>
      <c r="AR1498" s="10"/>
      <c r="AU1498" s="109"/>
      <c r="AV1498" s="109"/>
      <c r="AX1498" s="10"/>
      <c r="BA1498" s="109"/>
      <c r="BB1498" s="109"/>
      <c r="BD1498" s="10"/>
      <c r="BG1498" s="109"/>
      <c r="BH1498" s="109"/>
      <c r="BJ1498" s="10"/>
      <c r="BM1498" s="109"/>
      <c r="BN1498" s="109"/>
      <c r="BP1498" s="10"/>
      <c r="BS1498" s="109"/>
      <c r="BT1498" s="109"/>
      <c r="BV1498" s="10"/>
      <c r="BY1498" s="109"/>
      <c r="BZ1498" s="109"/>
      <c r="CB1498" s="10"/>
      <c r="CE1498" s="109"/>
      <c r="CF1498" s="109"/>
      <c r="CH1498" s="10"/>
      <c r="CK1498" s="109"/>
      <c r="CL1498" s="109"/>
    </row>
    <row r="1499" spans="1:90">
      <c r="A1499" s="7" t="str">
        <f t="shared" si="231"/>
        <v>02980999</v>
      </c>
      <c r="B1499" s="7" t="s">
        <v>2637</v>
      </c>
      <c r="C1499" s="7" t="s">
        <v>2782</v>
      </c>
      <c r="D1499" s="7">
        <v>1490</v>
      </c>
      <c r="E1499" s="11">
        <v>298</v>
      </c>
      <c r="F1499" s="11" t="s">
        <v>2003</v>
      </c>
      <c r="G1499" s="11">
        <v>999</v>
      </c>
      <c r="H1499" s="11" t="s">
        <v>1132</v>
      </c>
      <c r="I1499" s="134">
        <v>10552721.478080001</v>
      </c>
      <c r="J1499" s="135">
        <v>0.99999999999999989</v>
      </c>
      <c r="K1499" s="127">
        <f>SUM(K1495:K1498)</f>
        <v>10587571.080359533</v>
      </c>
      <c r="L1499" s="126">
        <f>SUM(L1495:L1498)</f>
        <v>1</v>
      </c>
      <c r="M1499" s="105">
        <f>VLOOKUP(E1499,town351,22)</f>
        <v>8800584</v>
      </c>
      <c r="N1499" s="105">
        <f>SUM(N1495:N1498)</f>
        <v>8800584</v>
      </c>
      <c r="O1499" s="128">
        <v>8819985</v>
      </c>
      <c r="P1499" s="105">
        <f>SUM(P1495:P1498)</f>
        <v>-19401</v>
      </c>
      <c r="Q1499" s="45">
        <f t="shared" si="239"/>
        <v>-0.21996636048700763</v>
      </c>
      <c r="R1499" s="105">
        <v>1122</v>
      </c>
      <c r="S1499" s="7">
        <f t="shared" si="232"/>
        <v>0</v>
      </c>
      <c r="T1499" s="124">
        <f t="shared" si="233"/>
        <v>298</v>
      </c>
      <c r="U1499" s="124">
        <f t="shared" si="234"/>
        <v>999</v>
      </c>
      <c r="V1499" s="124">
        <f t="shared" si="235"/>
        <v>1490</v>
      </c>
      <c r="W1499" s="124">
        <f t="shared" si="236"/>
        <v>1091.26634768234</v>
      </c>
      <c r="X1499" s="124">
        <f t="shared" si="237"/>
        <v>10587571.080359533</v>
      </c>
      <c r="Y1499" s="264">
        <f t="shared" si="238"/>
        <v>1490</v>
      </c>
      <c r="Z1499" s="10">
        <v>298</v>
      </c>
      <c r="AA1499" s="7">
        <v>999</v>
      </c>
      <c r="AB1499" s="7">
        <v>1490</v>
      </c>
      <c r="AC1499" s="109">
        <v>1091.26634768234</v>
      </c>
      <c r="AD1499" s="109">
        <v>10587571.080359533</v>
      </c>
      <c r="AE1499" s="125"/>
      <c r="AF1499" s="10"/>
      <c r="AI1499" s="109"/>
      <c r="AJ1499" s="109"/>
      <c r="AL1499" s="10"/>
      <c r="AO1499" s="109"/>
      <c r="AP1499" s="109"/>
      <c r="AR1499" s="10"/>
      <c r="AU1499" s="109"/>
      <c r="AV1499" s="109"/>
      <c r="AX1499" s="10"/>
      <c r="BA1499" s="109"/>
      <c r="BB1499" s="109"/>
      <c r="BD1499" s="10"/>
      <c r="BG1499" s="109"/>
      <c r="BH1499" s="109"/>
      <c r="BJ1499" s="10"/>
      <c r="BM1499" s="109"/>
      <c r="BN1499" s="109"/>
      <c r="BP1499" s="10"/>
      <c r="BS1499" s="109"/>
      <c r="BT1499" s="109"/>
      <c r="BV1499" s="10"/>
      <c r="BY1499" s="109"/>
      <c r="BZ1499" s="109"/>
      <c r="CB1499" s="10"/>
      <c r="CE1499" s="109"/>
      <c r="CF1499" s="109"/>
      <c r="CH1499" s="10"/>
      <c r="CK1499" s="109"/>
      <c r="CL1499" s="109"/>
    </row>
    <row r="1500" spans="1:90">
      <c r="A1500" s="7" t="str">
        <f t="shared" si="231"/>
        <v>02990299</v>
      </c>
      <c r="B1500" s="7" t="s">
        <v>2638</v>
      </c>
      <c r="C1500" s="7" t="s">
        <v>2638</v>
      </c>
      <c r="D1500" s="7">
        <v>1491</v>
      </c>
      <c r="E1500" s="7">
        <v>299</v>
      </c>
      <c r="F1500" s="7" t="s">
        <v>2004</v>
      </c>
      <c r="G1500" s="7">
        <v>299</v>
      </c>
      <c r="H1500" s="7" t="s">
        <v>1565</v>
      </c>
      <c r="I1500" s="70">
        <v>0</v>
      </c>
      <c r="J1500" s="131">
        <v>0</v>
      </c>
      <c r="K1500" s="123">
        <f>X1500</f>
        <v>0</v>
      </c>
      <c r="L1500" s="122">
        <f>IF(K1504&gt;0, K1500/K1504, 0)</f>
        <v>0</v>
      </c>
      <c r="M1500" s="71"/>
      <c r="N1500" s="10">
        <f>ROUND(M1504*L1500,0)</f>
        <v>0</v>
      </c>
      <c r="O1500" s="70">
        <v>0</v>
      </c>
      <c r="P1500" s="10">
        <f>N1500-O1500</f>
        <v>0</v>
      </c>
      <c r="Q1500" s="46">
        <f t="shared" si="239"/>
        <v>0</v>
      </c>
      <c r="R1500" s="10">
        <v>0</v>
      </c>
      <c r="S1500" s="7">
        <f t="shared" si="232"/>
        <v>0</v>
      </c>
      <c r="T1500" s="124">
        <f t="shared" si="233"/>
        <v>299</v>
      </c>
      <c r="U1500" s="124">
        <f t="shared" si="234"/>
        <v>299</v>
      </c>
      <c r="V1500" s="124">
        <f t="shared" si="235"/>
        <v>1491</v>
      </c>
      <c r="W1500" s="124">
        <f t="shared" si="236"/>
        <v>0</v>
      </c>
      <c r="X1500" s="124">
        <f t="shared" si="237"/>
        <v>0</v>
      </c>
      <c r="Y1500" s="264">
        <f t="shared" si="238"/>
        <v>1491</v>
      </c>
      <c r="Z1500" s="10">
        <v>299</v>
      </c>
      <c r="AA1500" s="7">
        <v>299</v>
      </c>
      <c r="AB1500" s="7">
        <v>1491</v>
      </c>
      <c r="AC1500" s="109">
        <v>0</v>
      </c>
      <c r="AD1500" s="109">
        <v>0</v>
      </c>
      <c r="AE1500" s="125"/>
      <c r="AF1500" s="10"/>
      <c r="AI1500" s="109"/>
      <c r="AJ1500" s="109"/>
      <c r="AL1500" s="10"/>
      <c r="AO1500" s="109"/>
      <c r="AP1500" s="109"/>
      <c r="AR1500" s="10"/>
      <c r="AU1500" s="109"/>
      <c r="AV1500" s="109"/>
      <c r="AX1500" s="10"/>
      <c r="BA1500" s="109"/>
      <c r="BB1500" s="109"/>
      <c r="BD1500" s="10"/>
      <c r="BG1500" s="109"/>
      <c r="BH1500" s="109"/>
      <c r="BJ1500" s="10"/>
      <c r="BM1500" s="109"/>
      <c r="BN1500" s="109"/>
      <c r="BP1500" s="10"/>
      <c r="BS1500" s="109"/>
      <c r="BT1500" s="109"/>
      <c r="BV1500" s="10"/>
      <c r="BY1500" s="109"/>
      <c r="BZ1500" s="109"/>
      <c r="CB1500" s="10"/>
      <c r="CE1500" s="109"/>
      <c r="CF1500" s="109"/>
      <c r="CH1500" s="10"/>
      <c r="CK1500" s="109"/>
      <c r="CL1500" s="109"/>
    </row>
    <row r="1501" spans="1:90">
      <c r="A1501" s="7" t="str">
        <f t="shared" si="231"/>
        <v>02990735</v>
      </c>
      <c r="B1501" s="7" t="s">
        <v>2638</v>
      </c>
      <c r="C1501" s="7" t="s">
        <v>2735</v>
      </c>
      <c r="D1501" s="7">
        <v>1492</v>
      </c>
      <c r="E1501" s="7">
        <v>299</v>
      </c>
      <c r="F1501" s="7" t="s">
        <v>2004</v>
      </c>
      <c r="G1501" s="7">
        <v>735</v>
      </c>
      <c r="H1501" s="7" t="s">
        <v>1662</v>
      </c>
      <c r="I1501" s="70">
        <v>12411723</v>
      </c>
      <c r="J1501" s="131">
        <v>0.88523454032321913</v>
      </c>
      <c r="K1501" s="123">
        <f t="shared" si="230"/>
        <v>12159885.602223285</v>
      </c>
      <c r="L1501" s="122">
        <f>IF(K1504&gt;0, K1501/K1504, 0)</f>
        <v>0.87693284123615911</v>
      </c>
      <c r="M1501" s="71"/>
      <c r="N1501" s="10">
        <f>ROUND(M1504*L1501,0)</f>
        <v>6408429</v>
      </c>
      <c r="O1501" s="70">
        <v>6270326</v>
      </c>
      <c r="P1501" s="10">
        <f>N1501-O1501</f>
        <v>138103</v>
      </c>
      <c r="Q1501" s="46">
        <f t="shared" si="239"/>
        <v>2.202485165843052</v>
      </c>
      <c r="R1501" s="10">
        <v>1293</v>
      </c>
      <c r="S1501" s="7">
        <f t="shared" si="232"/>
        <v>0</v>
      </c>
      <c r="T1501" s="124">
        <f t="shared" si="233"/>
        <v>299</v>
      </c>
      <c r="U1501" s="124">
        <f t="shared" si="234"/>
        <v>735</v>
      </c>
      <c r="V1501" s="124">
        <f t="shared" si="235"/>
        <v>1492</v>
      </c>
      <c r="W1501" s="124">
        <f t="shared" si="236"/>
        <v>1240.9140745423199</v>
      </c>
      <c r="X1501" s="124">
        <f t="shared" si="237"/>
        <v>12159885.602223285</v>
      </c>
      <c r="Y1501" s="264">
        <f t="shared" si="238"/>
        <v>1492</v>
      </c>
      <c r="Z1501" s="10">
        <v>299</v>
      </c>
      <c r="AA1501" s="7">
        <v>735</v>
      </c>
      <c r="AB1501" s="7">
        <v>1492</v>
      </c>
      <c r="AC1501" s="109">
        <v>1240.9140745423199</v>
      </c>
      <c r="AD1501" s="109">
        <v>12159885.602223285</v>
      </c>
      <c r="AE1501" s="125"/>
      <c r="AF1501" s="10"/>
      <c r="AI1501" s="109"/>
      <c r="AJ1501" s="109"/>
      <c r="AL1501" s="10"/>
      <c r="AO1501" s="109"/>
      <c r="AP1501" s="109"/>
      <c r="AR1501" s="10"/>
      <c r="AU1501" s="109"/>
      <c r="AV1501" s="109"/>
      <c r="AX1501" s="10"/>
      <c r="BA1501" s="109"/>
      <c r="BB1501" s="109"/>
      <c r="BD1501" s="10"/>
      <c r="BG1501" s="109"/>
      <c r="BH1501" s="109"/>
      <c r="BJ1501" s="10"/>
      <c r="BM1501" s="109"/>
      <c r="BN1501" s="109"/>
      <c r="BP1501" s="10"/>
      <c r="BS1501" s="109"/>
      <c r="BT1501" s="109"/>
      <c r="BV1501" s="10"/>
      <c r="BY1501" s="109"/>
      <c r="BZ1501" s="109"/>
      <c r="CB1501" s="10"/>
      <c r="CE1501" s="109"/>
      <c r="CF1501" s="109"/>
      <c r="CH1501" s="10"/>
      <c r="CK1501" s="109"/>
      <c r="CL1501" s="109"/>
    </row>
    <row r="1502" spans="1:90">
      <c r="A1502" s="7" t="str">
        <f t="shared" si="231"/>
        <v>02990852</v>
      </c>
      <c r="B1502" s="7" t="s">
        <v>2638</v>
      </c>
      <c r="C1502" s="7" t="s">
        <v>2767</v>
      </c>
      <c r="D1502" s="7">
        <v>1493</v>
      </c>
      <c r="E1502" s="7">
        <v>299</v>
      </c>
      <c r="F1502" s="7" t="s">
        <v>2004</v>
      </c>
      <c r="G1502" s="7">
        <v>852</v>
      </c>
      <c r="H1502" s="7" t="s">
        <v>1694</v>
      </c>
      <c r="I1502" s="70">
        <v>1609107</v>
      </c>
      <c r="J1502" s="131">
        <v>0.11476545967678091</v>
      </c>
      <c r="K1502" s="123">
        <f t="shared" si="230"/>
        <v>1706496.212240672</v>
      </c>
      <c r="L1502" s="122">
        <f>IF(K1504&gt;0, K1502/K1504, 0)</f>
        <v>0.1230671587638409</v>
      </c>
      <c r="M1502" s="71"/>
      <c r="N1502" s="10">
        <f>ROUND(M1504*L1502,0)</f>
        <v>899347</v>
      </c>
      <c r="O1502" s="70">
        <v>812911</v>
      </c>
      <c r="P1502" s="10">
        <f>N1502-O1502</f>
        <v>86436</v>
      </c>
      <c r="Q1502" s="46">
        <f t="shared" si="239"/>
        <v>10.632898312361379</v>
      </c>
      <c r="R1502" s="10">
        <v>103</v>
      </c>
      <c r="S1502" s="7">
        <f t="shared" si="232"/>
        <v>0</v>
      </c>
      <c r="T1502" s="124">
        <f t="shared" si="233"/>
        <v>299</v>
      </c>
      <c r="U1502" s="124">
        <f t="shared" si="234"/>
        <v>852</v>
      </c>
      <c r="V1502" s="124">
        <f t="shared" si="235"/>
        <v>1493</v>
      </c>
      <c r="W1502" s="124">
        <f t="shared" si="236"/>
        <v>107.000000001</v>
      </c>
      <c r="X1502" s="124">
        <f t="shared" si="237"/>
        <v>1706496.212240672</v>
      </c>
      <c r="Y1502" s="264">
        <f t="shared" si="238"/>
        <v>1493</v>
      </c>
      <c r="Z1502" s="10">
        <v>299</v>
      </c>
      <c r="AA1502" s="7">
        <v>852</v>
      </c>
      <c r="AB1502" s="7">
        <v>1493</v>
      </c>
      <c r="AC1502" s="109">
        <v>107.000000001</v>
      </c>
      <c r="AD1502" s="109">
        <v>1706496.212240672</v>
      </c>
      <c r="AE1502" s="125"/>
      <c r="AF1502" s="10"/>
      <c r="AI1502" s="109"/>
      <c r="AJ1502" s="109"/>
      <c r="AL1502" s="10"/>
      <c r="AO1502" s="109"/>
      <c r="AP1502" s="109"/>
      <c r="AR1502" s="10"/>
      <c r="AU1502" s="109"/>
      <c r="AV1502" s="109"/>
      <c r="AX1502" s="10"/>
      <c r="BA1502" s="109"/>
      <c r="BB1502" s="109"/>
      <c r="BD1502" s="10"/>
      <c r="BG1502" s="109"/>
      <c r="BH1502" s="109"/>
      <c r="BJ1502" s="10"/>
      <c r="BM1502" s="109"/>
      <c r="BN1502" s="109"/>
      <c r="BP1502" s="10"/>
      <c r="BS1502" s="109"/>
      <c r="BT1502" s="109"/>
      <c r="BV1502" s="10"/>
      <c r="BY1502" s="109"/>
      <c r="BZ1502" s="109"/>
      <c r="CB1502" s="10"/>
      <c r="CE1502" s="109"/>
      <c r="CF1502" s="109"/>
      <c r="CH1502" s="10"/>
      <c r="CK1502" s="109"/>
      <c r="CL1502" s="109"/>
    </row>
    <row r="1503" spans="1:90">
      <c r="A1503" s="7" t="str">
        <f t="shared" si="231"/>
        <v>02990998</v>
      </c>
      <c r="B1503" s="7" t="s">
        <v>2638</v>
      </c>
      <c r="C1503" s="7" t="s">
        <v>2781</v>
      </c>
      <c r="D1503" s="7">
        <v>1494</v>
      </c>
      <c r="E1503" s="7">
        <v>299</v>
      </c>
      <c r="F1503" s="7" t="s">
        <v>2135</v>
      </c>
      <c r="G1503" s="7">
        <v>998</v>
      </c>
      <c r="H1503" s="7" t="s">
        <v>2135</v>
      </c>
      <c r="I1503" s="70">
        <v>0</v>
      </c>
      <c r="J1503" s="131">
        <v>0</v>
      </c>
      <c r="K1503" s="123">
        <f t="shared" si="230"/>
        <v>0</v>
      </c>
      <c r="L1503" s="122">
        <f>IF(K1504&gt;0, K1503/K1504, 0)</f>
        <v>0</v>
      </c>
      <c r="M1503" s="71"/>
      <c r="N1503" s="10">
        <f>ROUND(M1504*L1503,0)</f>
        <v>0</v>
      </c>
      <c r="O1503" s="70">
        <v>0</v>
      </c>
      <c r="P1503" s="10">
        <f>N1503-O1503</f>
        <v>0</v>
      </c>
      <c r="Q1503" s="46">
        <f t="shared" si="239"/>
        <v>0</v>
      </c>
      <c r="R1503" s="10">
        <v>0</v>
      </c>
      <c r="S1503" s="7">
        <f t="shared" si="232"/>
        <v>0</v>
      </c>
      <c r="T1503" s="124">
        <f t="shared" si="233"/>
        <v>299</v>
      </c>
      <c r="U1503" s="124">
        <f t="shared" si="234"/>
        <v>998</v>
      </c>
      <c r="V1503" s="124">
        <f t="shared" si="235"/>
        <v>1494</v>
      </c>
      <c r="W1503" s="124">
        <f t="shared" si="236"/>
        <v>0</v>
      </c>
      <c r="X1503" s="124">
        <f t="shared" si="237"/>
        <v>0</v>
      </c>
      <c r="Y1503" s="264">
        <f t="shared" si="238"/>
        <v>1494</v>
      </c>
      <c r="Z1503" s="10">
        <v>299</v>
      </c>
      <c r="AA1503" s="7">
        <v>998</v>
      </c>
      <c r="AB1503" s="7">
        <v>1494</v>
      </c>
      <c r="AC1503" s="109">
        <v>0</v>
      </c>
      <c r="AD1503" s="109">
        <v>0</v>
      </c>
      <c r="AE1503" s="125"/>
      <c r="AF1503" s="10"/>
      <c r="AI1503" s="109"/>
      <c r="AJ1503" s="109"/>
      <c r="AL1503" s="10"/>
      <c r="AO1503" s="109"/>
      <c r="AP1503" s="109"/>
      <c r="AR1503" s="10"/>
      <c r="AU1503" s="109"/>
      <c r="AV1503" s="109"/>
      <c r="AX1503" s="10"/>
      <c r="BA1503" s="109"/>
      <c r="BB1503" s="109"/>
      <c r="BD1503" s="10"/>
      <c r="BG1503" s="109"/>
      <c r="BH1503" s="109"/>
      <c r="BJ1503" s="10"/>
      <c r="BM1503" s="109"/>
      <c r="BN1503" s="109"/>
      <c r="BP1503" s="10"/>
      <c r="BS1503" s="109"/>
      <c r="BT1503" s="109"/>
      <c r="BV1503" s="10"/>
      <c r="BY1503" s="109"/>
      <c r="BZ1503" s="109"/>
      <c r="CB1503" s="10"/>
      <c r="CE1503" s="109"/>
      <c r="CF1503" s="109"/>
      <c r="CH1503" s="10"/>
      <c r="CK1503" s="109"/>
      <c r="CL1503" s="109"/>
    </row>
    <row r="1504" spans="1:90">
      <c r="A1504" s="7" t="str">
        <f t="shared" si="231"/>
        <v>02990999</v>
      </c>
      <c r="B1504" s="7" t="s">
        <v>2638</v>
      </c>
      <c r="C1504" s="7" t="s">
        <v>2782</v>
      </c>
      <c r="D1504" s="7">
        <v>1495</v>
      </c>
      <c r="E1504" s="11">
        <v>299</v>
      </c>
      <c r="F1504" s="11" t="s">
        <v>2004</v>
      </c>
      <c r="G1504" s="11">
        <v>999</v>
      </c>
      <c r="H1504" s="11" t="s">
        <v>1132</v>
      </c>
      <c r="I1504" s="134">
        <v>14020830</v>
      </c>
      <c r="J1504" s="135">
        <v>1</v>
      </c>
      <c r="K1504" s="127">
        <f>SUM(K1500:K1503)</f>
        <v>13866381.814463956</v>
      </c>
      <c r="L1504" s="126">
        <f>SUM(L1500:L1503)</f>
        <v>1</v>
      </c>
      <c r="M1504" s="105">
        <f>VLOOKUP(E1504,town351,22)</f>
        <v>7307776</v>
      </c>
      <c r="N1504" s="105">
        <f>SUM(N1500:N1503)</f>
        <v>7307776</v>
      </c>
      <c r="O1504" s="128">
        <v>7083237</v>
      </c>
      <c r="P1504" s="105">
        <f>SUM(P1500:P1503)</f>
        <v>224539</v>
      </c>
      <c r="Q1504" s="45">
        <f t="shared" si="239"/>
        <v>3.1700054650155005</v>
      </c>
      <c r="R1504" s="105">
        <v>1396</v>
      </c>
      <c r="S1504" s="7">
        <f t="shared" si="232"/>
        <v>0</v>
      </c>
      <c r="T1504" s="124">
        <f t="shared" si="233"/>
        <v>299</v>
      </c>
      <c r="U1504" s="124">
        <f t="shared" si="234"/>
        <v>999</v>
      </c>
      <c r="V1504" s="124">
        <f t="shared" si="235"/>
        <v>1495</v>
      </c>
      <c r="W1504" s="124">
        <f t="shared" si="236"/>
        <v>1347.9140745433199</v>
      </c>
      <c r="X1504" s="124">
        <f t="shared" si="237"/>
        <v>13866381.814463956</v>
      </c>
      <c r="Y1504" s="264">
        <f t="shared" si="238"/>
        <v>1495</v>
      </c>
      <c r="Z1504" s="10">
        <v>299</v>
      </c>
      <c r="AA1504" s="7">
        <v>999</v>
      </c>
      <c r="AB1504" s="7">
        <v>1495</v>
      </c>
      <c r="AC1504" s="109">
        <v>1347.9140745433199</v>
      </c>
      <c r="AD1504" s="109">
        <v>13866381.814463956</v>
      </c>
      <c r="AE1504" s="125"/>
      <c r="AF1504" s="10"/>
      <c r="AI1504" s="109"/>
      <c r="AJ1504" s="109"/>
      <c r="AL1504" s="10"/>
      <c r="AO1504" s="109"/>
      <c r="AP1504" s="109"/>
      <c r="AR1504" s="10"/>
      <c r="AU1504" s="109"/>
      <c r="AV1504" s="109"/>
      <c r="AX1504" s="10"/>
      <c r="BA1504" s="109"/>
      <c r="BB1504" s="109"/>
      <c r="BD1504" s="10"/>
      <c r="BG1504" s="109"/>
      <c r="BH1504" s="109"/>
      <c r="BJ1504" s="10"/>
      <c r="BM1504" s="109"/>
      <c r="BN1504" s="109"/>
      <c r="BP1504" s="10"/>
      <c r="BS1504" s="109"/>
      <c r="BT1504" s="109"/>
      <c r="BV1504" s="10"/>
      <c r="BY1504" s="109"/>
      <c r="BZ1504" s="109"/>
      <c r="CB1504" s="10"/>
      <c r="CE1504" s="109"/>
      <c r="CF1504" s="109"/>
      <c r="CH1504" s="10"/>
      <c r="CK1504" s="109"/>
      <c r="CL1504" s="109"/>
    </row>
    <row r="1505" spans="1:90">
      <c r="A1505" s="7" t="str">
        <f t="shared" si="231"/>
        <v>03000300</v>
      </c>
      <c r="B1505" s="7" t="s">
        <v>2639</v>
      </c>
      <c r="C1505" s="7" t="s">
        <v>2639</v>
      </c>
      <c r="D1505" s="7">
        <v>1496</v>
      </c>
      <c r="E1505" s="7">
        <v>300</v>
      </c>
      <c r="F1505" s="7" t="s">
        <v>2005</v>
      </c>
      <c r="G1505" s="7">
        <v>300</v>
      </c>
      <c r="H1505" s="7" t="s">
        <v>1566</v>
      </c>
      <c r="I1505" s="70">
        <v>1912666.2499999995</v>
      </c>
      <c r="J1505" s="131">
        <v>0.99172159440971708</v>
      </c>
      <c r="K1505" s="123">
        <f>X1505</f>
        <v>2003679.8419243183</v>
      </c>
      <c r="L1505" s="122">
        <f>IF(K1509&gt;0, K1505/K1509, 0)</f>
        <v>0.97603509655597209</v>
      </c>
      <c r="M1505" s="71"/>
      <c r="N1505" s="10">
        <f>ROUND(M1509*L1505,0)</f>
        <v>1618203</v>
      </c>
      <c r="O1505" s="70">
        <v>1596786</v>
      </c>
      <c r="P1505" s="10">
        <f>N1505-O1505</f>
        <v>21417</v>
      </c>
      <c r="Q1505" s="46">
        <f t="shared" si="239"/>
        <v>1.3412567494955492</v>
      </c>
      <c r="R1505" s="10">
        <v>199</v>
      </c>
      <c r="S1505" s="7">
        <f t="shared" si="232"/>
        <v>0</v>
      </c>
      <c r="T1505" s="124">
        <f t="shared" si="233"/>
        <v>300</v>
      </c>
      <c r="U1505" s="124">
        <f t="shared" si="234"/>
        <v>300</v>
      </c>
      <c r="V1505" s="124">
        <f t="shared" si="235"/>
        <v>1496</v>
      </c>
      <c r="W1505" s="124">
        <f t="shared" si="236"/>
        <v>209</v>
      </c>
      <c r="X1505" s="124">
        <f t="shared" si="237"/>
        <v>2003679.8419243183</v>
      </c>
      <c r="Y1505" s="264">
        <f t="shared" si="238"/>
        <v>1496</v>
      </c>
      <c r="Z1505" s="10">
        <v>300</v>
      </c>
      <c r="AA1505" s="7">
        <v>300</v>
      </c>
      <c r="AB1505" s="7">
        <v>1496</v>
      </c>
      <c r="AC1505" s="109">
        <v>209</v>
      </c>
      <c r="AD1505" s="109">
        <v>2003679.8419243183</v>
      </c>
      <c r="AE1505" s="125"/>
      <c r="AF1505" s="10"/>
      <c r="AI1505" s="109"/>
      <c r="AJ1505" s="109"/>
      <c r="AL1505" s="10"/>
      <c r="AO1505" s="109"/>
      <c r="AP1505" s="109"/>
      <c r="AR1505" s="10"/>
      <c r="AU1505" s="109"/>
      <c r="AV1505" s="109"/>
      <c r="AX1505" s="10"/>
      <c r="BA1505" s="109"/>
      <c r="BB1505" s="109"/>
      <c r="BD1505" s="10"/>
      <c r="BG1505" s="109"/>
      <c r="BH1505" s="109"/>
      <c r="BJ1505" s="10"/>
      <c r="BM1505" s="109"/>
      <c r="BN1505" s="109"/>
      <c r="BP1505" s="10"/>
      <c r="BS1505" s="109"/>
      <c r="BT1505" s="109"/>
      <c r="BV1505" s="10"/>
      <c r="BY1505" s="109"/>
      <c r="BZ1505" s="109"/>
      <c r="CB1505" s="10"/>
      <c r="CE1505" s="109"/>
      <c r="CF1505" s="109"/>
      <c r="CH1505" s="10"/>
      <c r="CK1505" s="109"/>
      <c r="CL1505" s="109"/>
    </row>
    <row r="1506" spans="1:90">
      <c r="A1506" s="7" t="str">
        <f t="shared" si="231"/>
        <v>03000815</v>
      </c>
      <c r="B1506" s="7" t="s">
        <v>2639</v>
      </c>
      <c r="C1506" s="7" t="s">
        <v>2756</v>
      </c>
      <c r="D1506" s="7">
        <v>1497</v>
      </c>
      <c r="E1506" s="7">
        <v>300</v>
      </c>
      <c r="F1506" s="7" t="s">
        <v>2005</v>
      </c>
      <c r="G1506" s="7">
        <v>815</v>
      </c>
      <c r="H1506" s="7" t="s">
        <v>1683</v>
      </c>
      <c r="I1506" s="70">
        <v>15966</v>
      </c>
      <c r="J1506" s="131">
        <v>8.2784055902829605E-3</v>
      </c>
      <c r="K1506" s="123">
        <f t="shared" si="230"/>
        <v>49196.995183776817</v>
      </c>
      <c r="L1506" s="122">
        <f>IF(K1509&gt;0, K1506/K1509, 0)</f>
        <v>2.3964903444027862E-2</v>
      </c>
      <c r="M1506" s="71"/>
      <c r="N1506" s="10">
        <f>ROUND(M1509*L1506,0)</f>
        <v>39732</v>
      </c>
      <c r="O1506" s="70">
        <v>13329</v>
      </c>
      <c r="P1506" s="10">
        <f>N1506-O1506</f>
        <v>26403</v>
      </c>
      <c r="Q1506" s="46">
        <f t="shared" si="239"/>
        <v>198.08687823542652</v>
      </c>
      <c r="R1506" s="10">
        <v>1</v>
      </c>
      <c r="S1506" s="7">
        <f t="shared" si="232"/>
        <v>0</v>
      </c>
      <c r="T1506" s="124">
        <f t="shared" si="233"/>
        <v>300</v>
      </c>
      <c r="U1506" s="124">
        <f t="shared" si="234"/>
        <v>815</v>
      </c>
      <c r="V1506" s="124">
        <f t="shared" si="235"/>
        <v>1497</v>
      </c>
      <c r="W1506" s="124">
        <f t="shared" si="236"/>
        <v>3.00000000013</v>
      </c>
      <c r="X1506" s="124">
        <f t="shared" si="237"/>
        <v>49196.995183776817</v>
      </c>
      <c r="Y1506" s="264">
        <f t="shared" si="238"/>
        <v>1497</v>
      </c>
      <c r="Z1506" s="10">
        <v>300</v>
      </c>
      <c r="AA1506" s="7">
        <v>815</v>
      </c>
      <c r="AB1506" s="7">
        <v>1497</v>
      </c>
      <c r="AC1506" s="109">
        <v>3.00000000013</v>
      </c>
      <c r="AD1506" s="109">
        <v>49196.995183776817</v>
      </c>
      <c r="AE1506" s="125"/>
      <c r="AF1506" s="10"/>
      <c r="AI1506" s="109"/>
      <c r="AJ1506" s="109"/>
      <c r="AL1506" s="10"/>
      <c r="AO1506" s="109"/>
      <c r="AP1506" s="109"/>
      <c r="AR1506" s="10"/>
      <c r="AU1506" s="109"/>
      <c r="AV1506" s="109"/>
      <c r="AX1506" s="10"/>
      <c r="BA1506" s="109"/>
      <c r="BB1506" s="109"/>
      <c r="BD1506" s="10"/>
      <c r="BG1506" s="109"/>
      <c r="BH1506" s="109"/>
      <c r="BJ1506" s="10"/>
      <c r="BM1506" s="109"/>
      <c r="BN1506" s="109"/>
      <c r="BP1506" s="10"/>
      <c r="BS1506" s="109"/>
      <c r="BT1506" s="109"/>
      <c r="BV1506" s="10"/>
      <c r="BY1506" s="109"/>
      <c r="BZ1506" s="109"/>
      <c r="CB1506" s="10"/>
      <c r="CE1506" s="109"/>
      <c r="CF1506" s="109"/>
      <c r="CH1506" s="10"/>
      <c r="CK1506" s="109"/>
      <c r="CL1506" s="109"/>
    </row>
    <row r="1507" spans="1:90">
      <c r="A1507" s="7" t="str">
        <f t="shared" si="231"/>
        <v>03000998</v>
      </c>
      <c r="B1507" s="7" t="s">
        <v>2639</v>
      </c>
      <c r="C1507" s="7" t="s">
        <v>2781</v>
      </c>
      <c r="D1507" s="7">
        <v>1498</v>
      </c>
      <c r="E1507" s="7">
        <v>300</v>
      </c>
      <c r="F1507" s="7" t="s">
        <v>2135</v>
      </c>
      <c r="G1507" s="7">
        <v>998</v>
      </c>
      <c r="H1507" s="7" t="s">
        <v>2135</v>
      </c>
      <c r="I1507" s="70">
        <v>0</v>
      </c>
      <c r="J1507" s="131">
        <v>0</v>
      </c>
      <c r="K1507" s="123">
        <f t="shared" si="230"/>
        <v>0</v>
      </c>
      <c r="L1507" s="122">
        <f>IF(K1509&gt;0, K1507/K1509, 0)</f>
        <v>0</v>
      </c>
      <c r="M1507" s="71"/>
      <c r="N1507" s="10">
        <f>ROUND(M1509*L1507,0)</f>
        <v>0</v>
      </c>
      <c r="O1507" s="70">
        <v>0</v>
      </c>
      <c r="P1507" s="10">
        <f>N1507-O1507</f>
        <v>0</v>
      </c>
      <c r="Q1507" s="46">
        <f t="shared" si="239"/>
        <v>0</v>
      </c>
      <c r="R1507" s="10">
        <v>0</v>
      </c>
      <c r="S1507" s="7">
        <f t="shared" si="232"/>
        <v>0</v>
      </c>
      <c r="T1507" s="124">
        <f t="shared" si="233"/>
        <v>300</v>
      </c>
      <c r="U1507" s="124">
        <f t="shared" si="234"/>
        <v>998</v>
      </c>
      <c r="V1507" s="124">
        <f t="shared" si="235"/>
        <v>1498</v>
      </c>
      <c r="W1507" s="124">
        <f t="shared" si="236"/>
        <v>0</v>
      </c>
      <c r="X1507" s="124">
        <f t="shared" si="237"/>
        <v>0</v>
      </c>
      <c r="Y1507" s="264">
        <f t="shared" si="238"/>
        <v>1498</v>
      </c>
      <c r="Z1507" s="10">
        <v>300</v>
      </c>
      <c r="AA1507" s="7">
        <v>998</v>
      </c>
      <c r="AB1507" s="7">
        <v>1498</v>
      </c>
      <c r="AC1507" s="109">
        <v>0</v>
      </c>
      <c r="AD1507" s="109">
        <v>0</v>
      </c>
      <c r="AE1507" s="125"/>
      <c r="AF1507" s="10"/>
      <c r="AI1507" s="109"/>
      <c r="AJ1507" s="109"/>
      <c r="AL1507" s="10"/>
      <c r="AO1507" s="109"/>
      <c r="AP1507" s="109"/>
      <c r="AR1507" s="10"/>
      <c r="AU1507" s="109"/>
      <c r="AV1507" s="109"/>
      <c r="AX1507" s="10"/>
      <c r="BA1507" s="109"/>
      <c r="BB1507" s="109"/>
      <c r="BD1507" s="10"/>
      <c r="BG1507" s="109"/>
      <c r="BH1507" s="109"/>
      <c r="BJ1507" s="10"/>
      <c r="BM1507" s="109"/>
      <c r="BN1507" s="109"/>
      <c r="BP1507" s="10"/>
      <c r="BS1507" s="109"/>
      <c r="BT1507" s="109"/>
      <c r="BV1507" s="10"/>
      <c r="BY1507" s="109"/>
      <c r="BZ1507" s="109"/>
      <c r="CB1507" s="10"/>
      <c r="CE1507" s="109"/>
      <c r="CF1507" s="109"/>
      <c r="CH1507" s="10"/>
      <c r="CK1507" s="109"/>
      <c r="CL1507" s="109"/>
    </row>
    <row r="1508" spans="1:90">
      <c r="A1508" s="7" t="str">
        <f t="shared" si="231"/>
        <v>03000998</v>
      </c>
      <c r="B1508" s="7" t="s">
        <v>2639</v>
      </c>
      <c r="C1508" s="7" t="s">
        <v>2781</v>
      </c>
      <c r="D1508" s="7">
        <v>1499</v>
      </c>
      <c r="E1508" s="7">
        <v>300</v>
      </c>
      <c r="F1508" s="7" t="s">
        <v>2135</v>
      </c>
      <c r="G1508" s="7">
        <v>998</v>
      </c>
      <c r="H1508" s="7" t="s">
        <v>2135</v>
      </c>
      <c r="I1508" s="70">
        <v>0</v>
      </c>
      <c r="J1508" s="131">
        <v>0</v>
      </c>
      <c r="K1508" s="123">
        <f t="shared" si="230"/>
        <v>0</v>
      </c>
      <c r="L1508" s="122">
        <f>IF(K1509&gt;0, K1508/K1509, 0)</f>
        <v>0</v>
      </c>
      <c r="M1508" s="71"/>
      <c r="N1508" s="10">
        <f>ROUND(M1509*L1508,0)</f>
        <v>0</v>
      </c>
      <c r="O1508" s="70">
        <v>0</v>
      </c>
      <c r="P1508" s="10">
        <f>N1508-O1508</f>
        <v>0</v>
      </c>
      <c r="Q1508" s="46">
        <f t="shared" si="239"/>
        <v>0</v>
      </c>
      <c r="R1508" s="10">
        <v>0</v>
      </c>
      <c r="S1508" s="7">
        <f t="shared" si="232"/>
        <v>0</v>
      </c>
      <c r="T1508" s="124">
        <f t="shared" si="233"/>
        <v>300</v>
      </c>
      <c r="U1508" s="124">
        <f t="shared" si="234"/>
        <v>998</v>
      </c>
      <c r="V1508" s="124">
        <f t="shared" si="235"/>
        <v>1499</v>
      </c>
      <c r="W1508" s="124">
        <f t="shared" si="236"/>
        <v>0</v>
      </c>
      <c r="X1508" s="124">
        <f t="shared" si="237"/>
        <v>0</v>
      </c>
      <c r="Y1508" s="264">
        <f t="shared" si="238"/>
        <v>1499</v>
      </c>
      <c r="Z1508" s="10">
        <v>300</v>
      </c>
      <c r="AA1508" s="7">
        <v>998</v>
      </c>
      <c r="AB1508" s="7">
        <v>1499</v>
      </c>
      <c r="AC1508" s="109">
        <v>0</v>
      </c>
      <c r="AD1508" s="109">
        <v>0</v>
      </c>
      <c r="AE1508" s="125"/>
      <c r="AF1508" s="10"/>
      <c r="AI1508" s="109"/>
      <c r="AJ1508" s="109"/>
      <c r="AL1508" s="10"/>
      <c r="AO1508" s="109"/>
      <c r="AP1508" s="109"/>
      <c r="AR1508" s="10"/>
      <c r="AU1508" s="109"/>
      <c r="AV1508" s="109"/>
      <c r="AX1508" s="10"/>
      <c r="BA1508" s="109"/>
      <c r="BB1508" s="109"/>
      <c r="BD1508" s="10"/>
      <c r="BG1508" s="109"/>
      <c r="BH1508" s="109"/>
      <c r="BJ1508" s="10"/>
      <c r="BM1508" s="109"/>
      <c r="BN1508" s="109"/>
      <c r="BP1508" s="10"/>
      <c r="BS1508" s="109"/>
      <c r="BT1508" s="109"/>
      <c r="BV1508" s="10"/>
      <c r="BY1508" s="109"/>
      <c r="BZ1508" s="109"/>
      <c r="CB1508" s="10"/>
      <c r="CE1508" s="109"/>
      <c r="CF1508" s="109"/>
      <c r="CH1508" s="10"/>
      <c r="CK1508" s="109"/>
      <c r="CL1508" s="109"/>
    </row>
    <row r="1509" spans="1:90">
      <c r="A1509" s="7" t="str">
        <f t="shared" si="231"/>
        <v>03000999</v>
      </c>
      <c r="B1509" s="7" t="s">
        <v>2639</v>
      </c>
      <c r="C1509" s="7" t="s">
        <v>2782</v>
      </c>
      <c r="D1509" s="7">
        <v>1500</v>
      </c>
      <c r="E1509" s="11">
        <v>300</v>
      </c>
      <c r="F1509" s="11" t="s">
        <v>2005</v>
      </c>
      <c r="G1509" s="11">
        <v>999</v>
      </c>
      <c r="H1509" s="11" t="s">
        <v>1132</v>
      </c>
      <c r="I1509" s="134">
        <v>1928632.2499999995</v>
      </c>
      <c r="J1509" s="135">
        <v>1</v>
      </c>
      <c r="K1509" s="127">
        <f>SUM(K1505:K1508)</f>
        <v>2052876.8371080952</v>
      </c>
      <c r="L1509" s="126">
        <f>SUM(L1505:L1508)</f>
        <v>1</v>
      </c>
      <c r="M1509" s="105">
        <f>VLOOKUP(E1509,town351,22)</f>
        <v>1657935</v>
      </c>
      <c r="N1509" s="105">
        <f>SUM(N1505:N1508)</f>
        <v>1657935</v>
      </c>
      <c r="O1509" s="128">
        <v>1610115</v>
      </c>
      <c r="P1509" s="105">
        <f>SUM(P1505:P1508)</f>
        <v>47820</v>
      </c>
      <c r="Q1509" s="45">
        <f t="shared" si="239"/>
        <v>2.9699741943898417</v>
      </c>
      <c r="R1509" s="105">
        <v>200</v>
      </c>
      <c r="S1509" s="7">
        <f t="shared" si="232"/>
        <v>0</v>
      </c>
      <c r="T1509" s="124">
        <f t="shared" si="233"/>
        <v>300</v>
      </c>
      <c r="U1509" s="124">
        <f t="shared" si="234"/>
        <v>999</v>
      </c>
      <c r="V1509" s="124">
        <f t="shared" si="235"/>
        <v>1500</v>
      </c>
      <c r="W1509" s="124">
        <f t="shared" si="236"/>
        <v>212.00000000013</v>
      </c>
      <c r="X1509" s="124">
        <f t="shared" si="237"/>
        <v>2052876.8371080952</v>
      </c>
      <c r="Y1509" s="264">
        <f t="shared" si="238"/>
        <v>1500</v>
      </c>
      <c r="Z1509" s="10">
        <v>300</v>
      </c>
      <c r="AA1509" s="7">
        <v>999</v>
      </c>
      <c r="AB1509" s="7">
        <v>1500</v>
      </c>
      <c r="AC1509" s="109">
        <v>212.00000000013</v>
      </c>
      <c r="AD1509" s="109">
        <v>2052876.8371080952</v>
      </c>
      <c r="AE1509" s="125"/>
      <c r="AF1509" s="10"/>
      <c r="AI1509" s="109"/>
      <c r="AJ1509" s="109"/>
      <c r="AL1509" s="10"/>
      <c r="AO1509" s="109"/>
      <c r="AP1509" s="109"/>
      <c r="AR1509" s="10"/>
      <c r="AU1509" s="109"/>
      <c r="AV1509" s="109"/>
      <c r="AX1509" s="10"/>
      <c r="BA1509" s="109"/>
      <c r="BB1509" s="109"/>
      <c r="BD1509" s="10"/>
      <c r="BG1509" s="109"/>
      <c r="BH1509" s="109"/>
      <c r="BJ1509" s="10"/>
      <c r="BM1509" s="109"/>
      <c r="BN1509" s="109"/>
      <c r="BP1509" s="10"/>
      <c r="BS1509" s="109"/>
      <c r="BT1509" s="109"/>
      <c r="BV1509" s="10"/>
      <c r="BY1509" s="109"/>
      <c r="BZ1509" s="109"/>
      <c r="CB1509" s="10"/>
      <c r="CE1509" s="109"/>
      <c r="CF1509" s="109"/>
      <c r="CH1509" s="10"/>
      <c r="CK1509" s="109"/>
      <c r="CL1509" s="109"/>
    </row>
    <row r="1510" spans="1:90">
      <c r="A1510" s="7" t="str">
        <f t="shared" si="231"/>
        <v>03010301</v>
      </c>
      <c r="B1510" s="7" t="s">
        <v>2640</v>
      </c>
      <c r="C1510" s="7" t="s">
        <v>2640</v>
      </c>
      <c r="D1510" s="7">
        <v>1501</v>
      </c>
      <c r="E1510" s="7">
        <v>301</v>
      </c>
      <c r="F1510" s="7" t="s">
        <v>2006</v>
      </c>
      <c r="G1510" s="7">
        <v>301</v>
      </c>
      <c r="H1510" s="7" t="s">
        <v>1567</v>
      </c>
      <c r="I1510" s="62">
        <v>15994837.789999999</v>
      </c>
      <c r="J1510" s="131">
        <v>0.90114301694357779</v>
      </c>
      <c r="K1510" s="123">
        <f t="shared" ref="K1510:K1573" si="240">X1510</f>
        <v>16426722.369211081</v>
      </c>
      <c r="L1510" s="122">
        <f>IF(K1514&gt;0, K1510/K1514, 0)</f>
        <v>0.90626977258773611</v>
      </c>
      <c r="M1510" s="71"/>
      <c r="N1510" s="10">
        <f>ROUND(M1514*L1510,0)</f>
        <v>11396682</v>
      </c>
      <c r="O1510" s="70">
        <v>11008609</v>
      </c>
      <c r="P1510" s="10">
        <f>N1510-O1510</f>
        <v>388073</v>
      </c>
      <c r="Q1510" s="46">
        <f t="shared" si="239"/>
        <v>3.525177431590131</v>
      </c>
      <c r="R1510" s="10">
        <v>1692</v>
      </c>
      <c r="S1510" s="7">
        <f t="shared" si="232"/>
        <v>0</v>
      </c>
      <c r="T1510" s="124">
        <f t="shared" si="233"/>
        <v>301</v>
      </c>
      <c r="U1510" s="124">
        <f t="shared" si="234"/>
        <v>301</v>
      </c>
      <c r="V1510" s="124">
        <f t="shared" si="235"/>
        <v>1501</v>
      </c>
      <c r="W1510" s="124">
        <f t="shared" si="236"/>
        <v>1678</v>
      </c>
      <c r="X1510" s="124">
        <f t="shared" si="237"/>
        <v>16426722.369211081</v>
      </c>
      <c r="Y1510" s="264">
        <f t="shared" si="238"/>
        <v>1501</v>
      </c>
      <c r="Z1510" s="10">
        <v>301</v>
      </c>
      <c r="AA1510" s="7">
        <v>301</v>
      </c>
      <c r="AB1510" s="7">
        <v>1501</v>
      </c>
      <c r="AC1510" s="109">
        <v>1678</v>
      </c>
      <c r="AD1510" s="109">
        <v>16426722.369211081</v>
      </c>
      <c r="AE1510" s="125"/>
      <c r="AF1510" s="10"/>
      <c r="AI1510" s="109"/>
      <c r="AJ1510" s="109"/>
      <c r="AL1510" s="10"/>
      <c r="AO1510" s="109"/>
      <c r="AP1510" s="109"/>
      <c r="AR1510" s="10"/>
      <c r="AU1510" s="109"/>
      <c r="AV1510" s="109"/>
      <c r="AX1510" s="10"/>
      <c r="BA1510" s="109"/>
      <c r="BB1510" s="109"/>
      <c r="BD1510" s="10"/>
      <c r="BG1510" s="109"/>
      <c r="BH1510" s="109"/>
      <c r="BJ1510" s="10"/>
      <c r="BM1510" s="109"/>
      <c r="BN1510" s="109"/>
      <c r="BP1510" s="10"/>
      <c r="BS1510" s="109"/>
      <c r="BT1510" s="109"/>
      <c r="BV1510" s="10"/>
      <c r="BY1510" s="109"/>
      <c r="BZ1510" s="109"/>
      <c r="CB1510" s="10"/>
      <c r="CE1510" s="109"/>
      <c r="CF1510" s="109"/>
      <c r="CH1510" s="10"/>
      <c r="CK1510" s="109"/>
      <c r="CL1510" s="109"/>
    </row>
    <row r="1511" spans="1:90">
      <c r="A1511" s="7" t="str">
        <f t="shared" si="231"/>
        <v>03010828</v>
      </c>
      <c r="B1511" s="7" t="s">
        <v>2640</v>
      </c>
      <c r="C1511" s="7" t="s">
        <v>2762</v>
      </c>
      <c r="D1511" s="7">
        <v>1502</v>
      </c>
      <c r="E1511" s="7">
        <v>301</v>
      </c>
      <c r="F1511" s="7" t="s">
        <v>2006</v>
      </c>
      <c r="G1511" s="7">
        <v>828</v>
      </c>
      <c r="H1511" s="7" t="s">
        <v>1689</v>
      </c>
      <c r="I1511" s="70">
        <v>1754662</v>
      </c>
      <c r="J1511" s="131">
        <v>9.8856983056422237E-2</v>
      </c>
      <c r="K1511" s="123">
        <f t="shared" si="240"/>
        <v>1698920.6413758222</v>
      </c>
      <c r="L1511" s="122">
        <f>IF(K1514&gt;0, K1511/K1514, 0)</f>
        <v>9.3730227412263917E-2</v>
      </c>
      <c r="M1511" s="71"/>
      <c r="N1511" s="10">
        <f>ROUND(M1514*L1511,0)</f>
        <v>1178693</v>
      </c>
      <c r="O1511" s="70">
        <v>1207664</v>
      </c>
      <c r="P1511" s="10">
        <f>N1511-O1511</f>
        <v>-28971</v>
      </c>
      <c r="Q1511" s="46">
        <f t="shared" si="239"/>
        <v>-2.3989288411346203</v>
      </c>
      <c r="R1511" s="10">
        <v>108</v>
      </c>
      <c r="S1511" s="7">
        <f t="shared" si="232"/>
        <v>0</v>
      </c>
      <c r="T1511" s="124">
        <f t="shared" si="233"/>
        <v>301</v>
      </c>
      <c r="U1511" s="124">
        <f t="shared" si="234"/>
        <v>828</v>
      </c>
      <c r="V1511" s="124">
        <f t="shared" si="235"/>
        <v>1502</v>
      </c>
      <c r="W1511" s="124">
        <f t="shared" si="236"/>
        <v>101.99999999064001</v>
      </c>
      <c r="X1511" s="124">
        <f t="shared" si="237"/>
        <v>1698920.6413758222</v>
      </c>
      <c r="Y1511" s="264">
        <f t="shared" si="238"/>
        <v>1502</v>
      </c>
      <c r="Z1511" s="10">
        <v>301</v>
      </c>
      <c r="AA1511" s="7">
        <v>828</v>
      </c>
      <c r="AB1511" s="7">
        <v>1502</v>
      </c>
      <c r="AC1511" s="109">
        <v>101.99999999064001</v>
      </c>
      <c r="AD1511" s="109">
        <v>1698920.6413758222</v>
      </c>
      <c r="AE1511" s="125"/>
      <c r="AF1511" s="10"/>
      <c r="AI1511" s="109"/>
      <c r="AJ1511" s="109"/>
      <c r="AL1511" s="10"/>
      <c r="AO1511" s="109"/>
      <c r="AP1511" s="109"/>
      <c r="AR1511" s="10"/>
      <c r="AU1511" s="109"/>
      <c r="AV1511" s="109"/>
      <c r="AX1511" s="10"/>
      <c r="BA1511" s="109"/>
      <c r="BB1511" s="109"/>
      <c r="BD1511" s="10"/>
      <c r="BG1511" s="109"/>
      <c r="BH1511" s="109"/>
      <c r="BJ1511" s="10"/>
      <c r="BM1511" s="109"/>
      <c r="BN1511" s="109"/>
      <c r="BP1511" s="10"/>
      <c r="BS1511" s="109"/>
      <c r="BT1511" s="109"/>
      <c r="BV1511" s="10"/>
      <c r="BY1511" s="109"/>
      <c r="BZ1511" s="109"/>
      <c r="CB1511" s="10"/>
      <c r="CE1511" s="109"/>
      <c r="CF1511" s="109"/>
      <c r="CH1511" s="10"/>
      <c r="CK1511" s="109"/>
      <c r="CL1511" s="109"/>
    </row>
    <row r="1512" spans="1:90">
      <c r="A1512" s="7" t="str">
        <f t="shared" si="231"/>
        <v>03010998</v>
      </c>
      <c r="B1512" s="7" t="s">
        <v>2640</v>
      </c>
      <c r="C1512" s="7" t="s">
        <v>2781</v>
      </c>
      <c r="D1512" s="7">
        <v>1503</v>
      </c>
      <c r="E1512" s="7">
        <v>301</v>
      </c>
      <c r="F1512" s="7" t="s">
        <v>2135</v>
      </c>
      <c r="G1512" s="7">
        <v>998</v>
      </c>
      <c r="H1512" s="7" t="s">
        <v>2135</v>
      </c>
      <c r="I1512" s="70">
        <v>0</v>
      </c>
      <c r="J1512" s="131">
        <v>0</v>
      </c>
      <c r="K1512" s="123">
        <f t="shared" si="240"/>
        <v>0</v>
      </c>
      <c r="L1512" s="122">
        <f>IF(K1514&gt;0, K1512/K1514, 0)</f>
        <v>0</v>
      </c>
      <c r="M1512" s="71"/>
      <c r="N1512" s="10">
        <f>ROUND(M1514*L1512,0)</f>
        <v>0</v>
      </c>
      <c r="O1512" s="70">
        <v>0</v>
      </c>
      <c r="P1512" s="10">
        <f>N1512-O1512</f>
        <v>0</v>
      </c>
      <c r="Q1512" s="46">
        <f t="shared" si="239"/>
        <v>0</v>
      </c>
      <c r="R1512" s="10">
        <v>0</v>
      </c>
      <c r="S1512" s="7">
        <f t="shared" si="232"/>
        <v>0</v>
      </c>
      <c r="T1512" s="124">
        <f t="shared" si="233"/>
        <v>301</v>
      </c>
      <c r="U1512" s="124">
        <f t="shared" si="234"/>
        <v>998</v>
      </c>
      <c r="V1512" s="124">
        <f t="shared" si="235"/>
        <v>1503</v>
      </c>
      <c r="W1512" s="124">
        <f t="shared" si="236"/>
        <v>0</v>
      </c>
      <c r="X1512" s="124">
        <f t="shared" si="237"/>
        <v>0</v>
      </c>
      <c r="Y1512" s="264">
        <f t="shared" si="238"/>
        <v>1503</v>
      </c>
      <c r="Z1512" s="10">
        <v>301</v>
      </c>
      <c r="AA1512" s="7">
        <v>998</v>
      </c>
      <c r="AB1512" s="7">
        <v>1503</v>
      </c>
      <c r="AC1512" s="109">
        <v>0</v>
      </c>
      <c r="AD1512" s="109">
        <v>0</v>
      </c>
      <c r="AE1512" s="125"/>
      <c r="AF1512" s="10"/>
      <c r="AI1512" s="109"/>
      <c r="AJ1512" s="109"/>
      <c r="AL1512" s="10"/>
      <c r="AO1512" s="109"/>
      <c r="AP1512" s="109"/>
      <c r="AR1512" s="10"/>
      <c r="AU1512" s="109"/>
      <c r="AV1512" s="109"/>
      <c r="AX1512" s="10"/>
      <c r="BA1512" s="109"/>
      <c r="BB1512" s="109"/>
      <c r="BD1512" s="10"/>
      <c r="BG1512" s="109"/>
      <c r="BH1512" s="109"/>
      <c r="BJ1512" s="10"/>
      <c r="BM1512" s="109"/>
      <c r="BN1512" s="109"/>
      <c r="BP1512" s="10"/>
      <c r="BS1512" s="109"/>
      <c r="BT1512" s="109"/>
      <c r="BV1512" s="10"/>
      <c r="BY1512" s="109"/>
      <c r="BZ1512" s="109"/>
      <c r="CB1512" s="10"/>
      <c r="CE1512" s="109"/>
      <c r="CF1512" s="109"/>
      <c r="CH1512" s="10"/>
      <c r="CK1512" s="109"/>
      <c r="CL1512" s="109"/>
    </row>
    <row r="1513" spans="1:90">
      <c r="A1513" s="7" t="str">
        <f t="shared" si="231"/>
        <v>03010998</v>
      </c>
      <c r="B1513" s="7" t="s">
        <v>2640</v>
      </c>
      <c r="C1513" s="7" t="s">
        <v>2781</v>
      </c>
      <c r="D1513" s="7">
        <v>1504</v>
      </c>
      <c r="E1513" s="7">
        <v>301</v>
      </c>
      <c r="F1513" s="7" t="s">
        <v>2135</v>
      </c>
      <c r="G1513" s="7">
        <v>998</v>
      </c>
      <c r="H1513" s="7" t="s">
        <v>2135</v>
      </c>
      <c r="I1513" s="70">
        <v>0</v>
      </c>
      <c r="J1513" s="131">
        <v>0</v>
      </c>
      <c r="K1513" s="123">
        <f t="shared" si="240"/>
        <v>0</v>
      </c>
      <c r="L1513" s="122">
        <f>IF(K1514&gt;0, K1513/K1514, 0)</f>
        <v>0</v>
      </c>
      <c r="M1513" s="71"/>
      <c r="N1513" s="10">
        <f>ROUND(M1514*L1513,0)</f>
        <v>0</v>
      </c>
      <c r="O1513" s="70">
        <v>0</v>
      </c>
      <c r="P1513" s="10">
        <f>N1513-O1513</f>
        <v>0</v>
      </c>
      <c r="Q1513" s="46">
        <f t="shared" si="239"/>
        <v>0</v>
      </c>
      <c r="R1513" s="10">
        <v>0</v>
      </c>
      <c r="S1513" s="7">
        <f t="shared" si="232"/>
        <v>0</v>
      </c>
      <c r="T1513" s="124">
        <f t="shared" si="233"/>
        <v>301</v>
      </c>
      <c r="U1513" s="124">
        <f t="shared" si="234"/>
        <v>998</v>
      </c>
      <c r="V1513" s="124">
        <f t="shared" si="235"/>
        <v>1504</v>
      </c>
      <c r="W1513" s="124">
        <f t="shared" si="236"/>
        <v>0</v>
      </c>
      <c r="X1513" s="124">
        <f t="shared" si="237"/>
        <v>0</v>
      </c>
      <c r="Y1513" s="264">
        <f t="shared" si="238"/>
        <v>1504</v>
      </c>
      <c r="Z1513" s="10">
        <v>301</v>
      </c>
      <c r="AA1513" s="7">
        <v>998</v>
      </c>
      <c r="AB1513" s="7">
        <v>1504</v>
      </c>
      <c r="AC1513" s="109">
        <v>0</v>
      </c>
      <c r="AD1513" s="109">
        <v>0</v>
      </c>
      <c r="AE1513" s="125"/>
      <c r="AF1513" s="10"/>
      <c r="AI1513" s="109"/>
      <c r="AJ1513" s="109"/>
      <c r="AL1513" s="10"/>
      <c r="AO1513" s="109"/>
      <c r="AP1513" s="109"/>
      <c r="AR1513" s="10"/>
      <c r="AU1513" s="109"/>
      <c r="AV1513" s="109"/>
      <c r="AX1513" s="10"/>
      <c r="BA1513" s="109"/>
      <c r="BB1513" s="109"/>
      <c r="BD1513" s="10"/>
      <c r="BG1513" s="109"/>
      <c r="BH1513" s="109"/>
      <c r="BJ1513" s="10"/>
      <c r="BM1513" s="109"/>
      <c r="BN1513" s="109"/>
      <c r="BP1513" s="10"/>
      <c r="BS1513" s="109"/>
      <c r="BT1513" s="109"/>
      <c r="BV1513" s="10"/>
      <c r="BY1513" s="109"/>
      <c r="BZ1513" s="109"/>
      <c r="CB1513" s="10"/>
      <c r="CE1513" s="109"/>
      <c r="CF1513" s="109"/>
      <c r="CH1513" s="10"/>
      <c r="CK1513" s="109"/>
      <c r="CL1513" s="109"/>
    </row>
    <row r="1514" spans="1:90">
      <c r="A1514" s="7" t="str">
        <f t="shared" si="231"/>
        <v>03010999</v>
      </c>
      <c r="B1514" s="7" t="s">
        <v>2640</v>
      </c>
      <c r="C1514" s="7" t="s">
        <v>2782</v>
      </c>
      <c r="D1514" s="7">
        <v>1505</v>
      </c>
      <c r="E1514" s="11">
        <v>301</v>
      </c>
      <c r="F1514" s="11" t="s">
        <v>2006</v>
      </c>
      <c r="G1514" s="11">
        <v>999</v>
      </c>
      <c r="H1514" s="11" t="s">
        <v>1132</v>
      </c>
      <c r="I1514" s="134">
        <v>17749499.789999999</v>
      </c>
      <c r="J1514" s="135">
        <v>1</v>
      </c>
      <c r="K1514" s="127">
        <f>SUM(K1510:K1513)</f>
        <v>18125643.010586902</v>
      </c>
      <c r="L1514" s="126">
        <f>SUM(L1510:L1513)</f>
        <v>1</v>
      </c>
      <c r="M1514" s="105">
        <f>VLOOKUP(E1514,town351,22)</f>
        <v>12575375</v>
      </c>
      <c r="N1514" s="105">
        <f>SUM(N1510:N1513)</f>
        <v>12575375</v>
      </c>
      <c r="O1514" s="128">
        <v>12216273</v>
      </c>
      <c r="P1514" s="105">
        <f>SUM(P1510:P1513)</f>
        <v>359102</v>
      </c>
      <c r="Q1514" s="45">
        <f t="shared" si="239"/>
        <v>2.9395381062620327</v>
      </c>
      <c r="R1514" s="105">
        <v>1800</v>
      </c>
      <c r="S1514" s="7">
        <f t="shared" si="232"/>
        <v>0</v>
      </c>
      <c r="T1514" s="124">
        <f t="shared" si="233"/>
        <v>301</v>
      </c>
      <c r="U1514" s="124">
        <f t="shared" si="234"/>
        <v>999</v>
      </c>
      <c r="V1514" s="124">
        <f t="shared" si="235"/>
        <v>1505</v>
      </c>
      <c r="W1514" s="124">
        <f t="shared" si="236"/>
        <v>1779.9999999906399</v>
      </c>
      <c r="X1514" s="124">
        <f t="shared" si="237"/>
        <v>18125643.010586902</v>
      </c>
      <c r="Y1514" s="264">
        <f t="shared" si="238"/>
        <v>1505</v>
      </c>
      <c r="Z1514" s="10">
        <v>301</v>
      </c>
      <c r="AA1514" s="7">
        <v>999</v>
      </c>
      <c r="AB1514" s="7">
        <v>1505</v>
      </c>
      <c r="AC1514" s="109">
        <v>1779.9999999906399</v>
      </c>
      <c r="AD1514" s="109">
        <v>18125643.010586902</v>
      </c>
      <c r="AE1514" s="125"/>
      <c r="AF1514" s="10"/>
      <c r="AI1514" s="109"/>
      <c r="AJ1514" s="109"/>
      <c r="AL1514" s="10"/>
      <c r="AO1514" s="109"/>
      <c r="AP1514" s="109"/>
      <c r="AR1514" s="10"/>
      <c r="AU1514" s="109"/>
      <c r="AV1514" s="109"/>
      <c r="AX1514" s="10"/>
      <c r="BA1514" s="109"/>
      <c r="BB1514" s="109"/>
      <c r="BD1514" s="10"/>
      <c r="BG1514" s="109"/>
      <c r="BH1514" s="109"/>
      <c r="BJ1514" s="10"/>
      <c r="BM1514" s="109"/>
      <c r="BN1514" s="109"/>
      <c r="BP1514" s="10"/>
      <c r="BS1514" s="109"/>
      <c r="BT1514" s="109"/>
      <c r="BV1514" s="10"/>
      <c r="BY1514" s="109"/>
      <c r="BZ1514" s="109"/>
      <c r="CB1514" s="10"/>
      <c r="CE1514" s="109"/>
      <c r="CF1514" s="109"/>
      <c r="CH1514" s="10"/>
      <c r="CK1514" s="109"/>
      <c r="CL1514" s="109"/>
    </row>
    <row r="1515" spans="1:90">
      <c r="A1515" s="7" t="str">
        <f t="shared" si="231"/>
        <v>03020302</v>
      </c>
      <c r="B1515" s="7" t="s">
        <v>2641</v>
      </c>
      <c r="C1515" s="7" t="s">
        <v>2641</v>
      </c>
      <c r="D1515" s="7">
        <v>1506</v>
      </c>
      <c r="E1515" s="7">
        <v>302</v>
      </c>
      <c r="F1515" s="7" t="s">
        <v>2007</v>
      </c>
      <c r="G1515" s="7">
        <v>302</v>
      </c>
      <c r="H1515" s="7" t="s">
        <v>1568</v>
      </c>
      <c r="I1515" s="70">
        <v>225957.46000000002</v>
      </c>
      <c r="J1515" s="131">
        <v>1</v>
      </c>
      <c r="K1515" s="123">
        <f>X1515</f>
        <v>234931.13370609152</v>
      </c>
      <c r="L1515" s="122">
        <f>IF(K1519&gt;0, K1515/K1519, 0)</f>
        <v>1</v>
      </c>
      <c r="M1515" s="71"/>
      <c r="N1515" s="10">
        <f>ROUND(M1519*L1515,0)</f>
        <v>194462</v>
      </c>
      <c r="O1515" s="70">
        <v>192376</v>
      </c>
      <c r="P1515" s="10">
        <f>N1515-O1515</f>
        <v>2086</v>
      </c>
      <c r="Q1515" s="46">
        <f t="shared" si="239"/>
        <v>1.0843348442633176</v>
      </c>
      <c r="R1515" s="10">
        <v>26</v>
      </c>
      <c r="S1515" s="7">
        <f t="shared" si="232"/>
        <v>0</v>
      </c>
      <c r="T1515" s="124">
        <f t="shared" si="233"/>
        <v>302</v>
      </c>
      <c r="U1515" s="124">
        <f t="shared" si="234"/>
        <v>302</v>
      </c>
      <c r="V1515" s="124">
        <f t="shared" si="235"/>
        <v>1506</v>
      </c>
      <c r="W1515" s="124">
        <f t="shared" si="236"/>
        <v>27</v>
      </c>
      <c r="X1515" s="124">
        <f t="shared" si="237"/>
        <v>234931.13370609152</v>
      </c>
      <c r="Y1515" s="264">
        <f t="shared" si="238"/>
        <v>1506</v>
      </c>
      <c r="Z1515" s="10">
        <v>302</v>
      </c>
      <c r="AA1515" s="7">
        <v>302</v>
      </c>
      <c r="AB1515" s="7">
        <v>1506</v>
      </c>
      <c r="AC1515" s="109">
        <v>27</v>
      </c>
      <c r="AD1515" s="109">
        <v>234931.13370609152</v>
      </c>
      <c r="AE1515" s="125"/>
      <c r="AF1515" s="10"/>
      <c r="AI1515" s="109"/>
      <c r="AJ1515" s="109"/>
      <c r="AL1515" s="10"/>
      <c r="AO1515" s="109"/>
      <c r="AP1515" s="109"/>
      <c r="AR1515" s="10"/>
      <c r="AU1515" s="109"/>
      <c r="AV1515" s="109"/>
      <c r="AX1515" s="10"/>
      <c r="BA1515" s="109"/>
      <c r="BB1515" s="109"/>
      <c r="BD1515" s="10"/>
      <c r="BG1515" s="109"/>
      <c r="BH1515" s="109"/>
      <c r="BJ1515" s="10"/>
      <c r="BM1515" s="109"/>
      <c r="BN1515" s="109"/>
      <c r="BP1515" s="10"/>
      <c r="BS1515" s="109"/>
      <c r="BT1515" s="109"/>
      <c r="BV1515" s="10"/>
      <c r="BY1515" s="109"/>
      <c r="BZ1515" s="109"/>
      <c r="CB1515" s="10"/>
      <c r="CE1515" s="109"/>
      <c r="CF1515" s="109"/>
      <c r="CH1515" s="10"/>
      <c r="CK1515" s="109"/>
      <c r="CL1515" s="109"/>
    </row>
    <row r="1516" spans="1:90">
      <c r="A1516" s="7" t="str">
        <f t="shared" si="231"/>
        <v>03020998</v>
      </c>
      <c r="B1516" s="7" t="s">
        <v>2641</v>
      </c>
      <c r="C1516" s="7" t="s">
        <v>2781</v>
      </c>
      <c r="D1516" s="7">
        <v>1507</v>
      </c>
      <c r="E1516" s="7">
        <v>302</v>
      </c>
      <c r="F1516" s="7" t="s">
        <v>2135</v>
      </c>
      <c r="G1516" s="7">
        <v>998</v>
      </c>
      <c r="H1516" s="7" t="s">
        <v>2135</v>
      </c>
      <c r="I1516" s="70">
        <v>0</v>
      </c>
      <c r="J1516" s="131">
        <v>0</v>
      </c>
      <c r="K1516" s="123">
        <f t="shared" si="240"/>
        <v>0</v>
      </c>
      <c r="L1516" s="122">
        <f>IF(K1519&gt;0, K1516/K1519, 0)</f>
        <v>0</v>
      </c>
      <c r="M1516" s="71"/>
      <c r="N1516" s="10">
        <f>ROUND(M1519*L1516,0)</f>
        <v>0</v>
      </c>
      <c r="O1516" s="70">
        <v>0</v>
      </c>
      <c r="P1516" s="10">
        <f>N1516-O1516</f>
        <v>0</v>
      </c>
      <c r="Q1516" s="46">
        <f t="shared" si="239"/>
        <v>0</v>
      </c>
      <c r="R1516" s="10">
        <v>0</v>
      </c>
      <c r="S1516" s="7">
        <f t="shared" si="232"/>
        <v>0</v>
      </c>
      <c r="T1516" s="124">
        <f t="shared" si="233"/>
        <v>302</v>
      </c>
      <c r="U1516" s="124">
        <f t="shared" si="234"/>
        <v>998</v>
      </c>
      <c r="V1516" s="124">
        <f t="shared" si="235"/>
        <v>1507</v>
      </c>
      <c r="W1516" s="124">
        <f t="shared" si="236"/>
        <v>0</v>
      </c>
      <c r="X1516" s="124">
        <f t="shared" si="237"/>
        <v>0</v>
      </c>
      <c r="Y1516" s="264">
        <f t="shared" si="238"/>
        <v>1507</v>
      </c>
      <c r="Z1516" s="10">
        <v>302</v>
      </c>
      <c r="AA1516" s="7">
        <v>998</v>
      </c>
      <c r="AB1516" s="7">
        <v>1507</v>
      </c>
      <c r="AC1516" s="109">
        <v>0</v>
      </c>
      <c r="AD1516" s="109">
        <v>0</v>
      </c>
      <c r="AE1516" s="125"/>
      <c r="AF1516" s="10"/>
      <c r="AI1516" s="109"/>
      <c r="AJ1516" s="109"/>
      <c r="AL1516" s="10"/>
      <c r="AO1516" s="109"/>
      <c r="AP1516" s="109"/>
      <c r="AR1516" s="10"/>
      <c r="AU1516" s="109"/>
      <c r="AV1516" s="109"/>
      <c r="AX1516" s="10"/>
      <c r="BA1516" s="109"/>
      <c r="BB1516" s="109"/>
      <c r="BD1516" s="10"/>
      <c r="BG1516" s="109"/>
      <c r="BH1516" s="109"/>
      <c r="BJ1516" s="10"/>
      <c r="BM1516" s="109"/>
      <c r="BN1516" s="109"/>
      <c r="BP1516" s="10"/>
      <c r="BS1516" s="109"/>
      <c r="BT1516" s="109"/>
      <c r="BV1516" s="10"/>
      <c r="BY1516" s="109"/>
      <c r="BZ1516" s="109"/>
      <c r="CB1516" s="10"/>
      <c r="CE1516" s="109"/>
      <c r="CF1516" s="109"/>
      <c r="CH1516" s="10"/>
      <c r="CK1516" s="109"/>
      <c r="CL1516" s="109"/>
    </row>
    <row r="1517" spans="1:90">
      <c r="A1517" s="7" t="str">
        <f t="shared" si="231"/>
        <v>03020998</v>
      </c>
      <c r="B1517" s="7" t="s">
        <v>2641</v>
      </c>
      <c r="C1517" s="7" t="s">
        <v>2781</v>
      </c>
      <c r="D1517" s="7">
        <v>1508</v>
      </c>
      <c r="E1517" s="7">
        <v>302</v>
      </c>
      <c r="F1517" s="7" t="s">
        <v>2135</v>
      </c>
      <c r="G1517" s="7">
        <v>998</v>
      </c>
      <c r="H1517" s="7" t="s">
        <v>2135</v>
      </c>
      <c r="I1517" s="70">
        <v>0</v>
      </c>
      <c r="J1517" s="131">
        <v>0</v>
      </c>
      <c r="K1517" s="123">
        <f t="shared" si="240"/>
        <v>0</v>
      </c>
      <c r="L1517" s="122">
        <f>IF(K1519&gt;0, K1517/K1519, 0)</f>
        <v>0</v>
      </c>
      <c r="M1517" s="71"/>
      <c r="N1517" s="10">
        <f>ROUND(M1519*L1517,0)</f>
        <v>0</v>
      </c>
      <c r="O1517" s="70">
        <v>0</v>
      </c>
      <c r="P1517" s="10">
        <f>N1517-O1517</f>
        <v>0</v>
      </c>
      <c r="Q1517" s="46">
        <f t="shared" si="239"/>
        <v>0</v>
      </c>
      <c r="R1517" s="10">
        <v>0</v>
      </c>
      <c r="S1517" s="7">
        <f t="shared" si="232"/>
        <v>0</v>
      </c>
      <c r="T1517" s="124">
        <f t="shared" si="233"/>
        <v>302</v>
      </c>
      <c r="U1517" s="124">
        <f t="shared" si="234"/>
        <v>998</v>
      </c>
      <c r="V1517" s="124">
        <f t="shared" si="235"/>
        <v>1508</v>
      </c>
      <c r="W1517" s="124">
        <f t="shared" si="236"/>
        <v>0</v>
      </c>
      <c r="X1517" s="124">
        <f t="shared" si="237"/>
        <v>0</v>
      </c>
      <c r="Y1517" s="264">
        <f t="shared" si="238"/>
        <v>1508</v>
      </c>
      <c r="Z1517" s="10">
        <v>302</v>
      </c>
      <c r="AA1517" s="7">
        <v>998</v>
      </c>
      <c r="AB1517" s="7">
        <v>1508</v>
      </c>
      <c r="AC1517" s="109">
        <v>0</v>
      </c>
      <c r="AD1517" s="109">
        <v>0</v>
      </c>
      <c r="AE1517" s="125"/>
      <c r="AF1517" s="10"/>
      <c r="AI1517" s="109"/>
      <c r="AJ1517" s="109"/>
      <c r="AL1517" s="10"/>
      <c r="AO1517" s="109"/>
      <c r="AP1517" s="109"/>
      <c r="AR1517" s="10"/>
      <c r="AU1517" s="109"/>
      <c r="AV1517" s="109"/>
      <c r="AX1517" s="10"/>
      <c r="BA1517" s="109"/>
      <c r="BB1517" s="109"/>
      <c r="BD1517" s="10"/>
      <c r="BG1517" s="109"/>
      <c r="BH1517" s="109"/>
      <c r="BJ1517" s="10"/>
      <c r="BM1517" s="109"/>
      <c r="BN1517" s="109"/>
      <c r="BP1517" s="10"/>
      <c r="BS1517" s="109"/>
      <c r="BT1517" s="109"/>
      <c r="BV1517" s="10"/>
      <c r="BY1517" s="109"/>
      <c r="BZ1517" s="109"/>
      <c r="CB1517" s="10"/>
      <c r="CE1517" s="109"/>
      <c r="CF1517" s="109"/>
      <c r="CH1517" s="10"/>
      <c r="CK1517" s="109"/>
      <c r="CL1517" s="109"/>
    </row>
    <row r="1518" spans="1:90">
      <c r="A1518" s="7" t="str">
        <f t="shared" si="231"/>
        <v>03020998</v>
      </c>
      <c r="B1518" s="7" t="s">
        <v>2641</v>
      </c>
      <c r="C1518" s="7" t="s">
        <v>2781</v>
      </c>
      <c r="D1518" s="7">
        <v>1509</v>
      </c>
      <c r="E1518" s="7">
        <v>302</v>
      </c>
      <c r="F1518" s="7" t="s">
        <v>2135</v>
      </c>
      <c r="G1518" s="7">
        <v>998</v>
      </c>
      <c r="H1518" s="7" t="s">
        <v>2135</v>
      </c>
      <c r="I1518" s="70">
        <v>0</v>
      </c>
      <c r="J1518" s="131">
        <v>0</v>
      </c>
      <c r="K1518" s="123">
        <f t="shared" si="240"/>
        <v>0</v>
      </c>
      <c r="L1518" s="122">
        <f>IF(K1519&gt;0, K1518/K1519, 0)</f>
        <v>0</v>
      </c>
      <c r="M1518" s="71"/>
      <c r="N1518" s="10">
        <f>ROUND(M1519*L1518,0)</f>
        <v>0</v>
      </c>
      <c r="O1518" s="70">
        <v>0</v>
      </c>
      <c r="P1518" s="10">
        <f>N1518-O1518</f>
        <v>0</v>
      </c>
      <c r="Q1518" s="46">
        <f t="shared" si="239"/>
        <v>0</v>
      </c>
      <c r="R1518" s="10">
        <v>0</v>
      </c>
      <c r="S1518" s="7">
        <f t="shared" si="232"/>
        <v>0</v>
      </c>
      <c r="T1518" s="124">
        <f t="shared" si="233"/>
        <v>302</v>
      </c>
      <c r="U1518" s="124">
        <f t="shared" si="234"/>
        <v>998</v>
      </c>
      <c r="V1518" s="124">
        <f t="shared" si="235"/>
        <v>1509</v>
      </c>
      <c r="W1518" s="124">
        <f t="shared" si="236"/>
        <v>0</v>
      </c>
      <c r="X1518" s="124">
        <f t="shared" si="237"/>
        <v>0</v>
      </c>
      <c r="Y1518" s="264">
        <f t="shared" si="238"/>
        <v>1509</v>
      </c>
      <c r="Z1518" s="10">
        <v>302</v>
      </c>
      <c r="AA1518" s="7">
        <v>998</v>
      </c>
      <c r="AB1518" s="7">
        <v>1509</v>
      </c>
      <c r="AC1518" s="109">
        <v>0</v>
      </c>
      <c r="AD1518" s="109">
        <v>0</v>
      </c>
      <c r="AE1518" s="125"/>
      <c r="AF1518" s="10"/>
      <c r="AI1518" s="109"/>
      <c r="AJ1518" s="109"/>
      <c r="AL1518" s="10"/>
      <c r="AO1518" s="109"/>
      <c r="AP1518" s="109"/>
      <c r="AR1518" s="10"/>
      <c r="AU1518" s="109"/>
      <c r="AV1518" s="109"/>
      <c r="AX1518" s="10"/>
      <c r="BA1518" s="109"/>
      <c r="BB1518" s="109"/>
      <c r="BD1518" s="10"/>
      <c r="BG1518" s="109"/>
      <c r="BH1518" s="109"/>
      <c r="BJ1518" s="10"/>
      <c r="BM1518" s="109"/>
      <c r="BN1518" s="109"/>
      <c r="BP1518" s="10"/>
      <c r="BS1518" s="109"/>
      <c r="BT1518" s="109"/>
      <c r="BV1518" s="10"/>
      <c r="BY1518" s="109"/>
      <c r="BZ1518" s="109"/>
      <c r="CB1518" s="10"/>
      <c r="CE1518" s="109"/>
      <c r="CF1518" s="109"/>
      <c r="CH1518" s="10"/>
      <c r="CK1518" s="109"/>
      <c r="CL1518" s="109"/>
    </row>
    <row r="1519" spans="1:90">
      <c r="A1519" s="7" t="str">
        <f t="shared" si="231"/>
        <v>03020999</v>
      </c>
      <c r="B1519" s="7" t="s">
        <v>2641</v>
      </c>
      <c r="C1519" s="7" t="s">
        <v>2782</v>
      </c>
      <c r="D1519" s="7">
        <v>1510</v>
      </c>
      <c r="E1519" s="11">
        <v>302</v>
      </c>
      <c r="F1519" s="11" t="s">
        <v>2007</v>
      </c>
      <c r="G1519" s="11">
        <v>999</v>
      </c>
      <c r="H1519" s="11" t="s">
        <v>1132</v>
      </c>
      <c r="I1519" s="134">
        <v>225957.46000000002</v>
      </c>
      <c r="J1519" s="135">
        <v>1</v>
      </c>
      <c r="K1519" s="127">
        <f>SUM(K1515:K1518)</f>
        <v>234931.13370609152</v>
      </c>
      <c r="L1519" s="126">
        <f>SUM(L1515:L1518)</f>
        <v>1</v>
      </c>
      <c r="M1519" s="105">
        <f>VLOOKUP(E1519,town351,22)</f>
        <v>194462</v>
      </c>
      <c r="N1519" s="105">
        <f>SUM(N1515:N1518)</f>
        <v>194462</v>
      </c>
      <c r="O1519" s="128">
        <v>192376</v>
      </c>
      <c r="P1519" s="105">
        <f>SUM(P1515:P1518)</f>
        <v>2086</v>
      </c>
      <c r="Q1519" s="45">
        <f t="shared" si="239"/>
        <v>1.0843348442633176</v>
      </c>
      <c r="R1519" s="105">
        <v>26</v>
      </c>
      <c r="S1519" s="7">
        <f t="shared" si="232"/>
        <v>0</v>
      </c>
      <c r="T1519" s="124">
        <f t="shared" si="233"/>
        <v>302</v>
      </c>
      <c r="U1519" s="124">
        <f t="shared" si="234"/>
        <v>999</v>
      </c>
      <c r="V1519" s="124">
        <f t="shared" si="235"/>
        <v>1510</v>
      </c>
      <c r="W1519" s="124">
        <f t="shared" si="236"/>
        <v>27</v>
      </c>
      <c r="X1519" s="124">
        <f t="shared" si="237"/>
        <v>234931.13370609152</v>
      </c>
      <c r="Y1519" s="264">
        <f t="shared" si="238"/>
        <v>1510</v>
      </c>
      <c r="Z1519" s="10">
        <v>302</v>
      </c>
      <c r="AA1519" s="7">
        <v>999</v>
      </c>
      <c r="AB1519" s="7">
        <v>1510</v>
      </c>
      <c r="AC1519" s="109">
        <v>27</v>
      </c>
      <c r="AD1519" s="109">
        <v>234931.13370609152</v>
      </c>
      <c r="AE1519" s="125"/>
      <c r="AF1519" s="10"/>
      <c r="AI1519" s="109"/>
      <c r="AJ1519" s="109"/>
      <c r="AL1519" s="10"/>
      <c r="AO1519" s="109"/>
      <c r="AP1519" s="109"/>
      <c r="AR1519" s="10"/>
      <c r="AU1519" s="109"/>
      <c r="AV1519" s="109"/>
      <c r="AX1519" s="10"/>
      <c r="BA1519" s="109"/>
      <c r="BB1519" s="109"/>
      <c r="BD1519" s="10"/>
      <c r="BG1519" s="109"/>
      <c r="BH1519" s="109"/>
      <c r="BJ1519" s="10"/>
      <c r="BM1519" s="109"/>
      <c r="BN1519" s="109"/>
      <c r="BP1519" s="10"/>
      <c r="BS1519" s="109"/>
      <c r="BT1519" s="109"/>
      <c r="BV1519" s="10"/>
      <c r="BY1519" s="109"/>
      <c r="BZ1519" s="109"/>
      <c r="CB1519" s="10"/>
      <c r="CE1519" s="109"/>
      <c r="CF1519" s="109"/>
      <c r="CH1519" s="10"/>
      <c r="CK1519" s="109"/>
      <c r="CL1519" s="109"/>
    </row>
    <row r="1520" spans="1:90">
      <c r="A1520" s="7" t="str">
        <f t="shared" si="231"/>
        <v>03030303</v>
      </c>
      <c r="B1520" s="7" t="s">
        <v>2642</v>
      </c>
      <c r="C1520" s="7" t="s">
        <v>2642</v>
      </c>
      <c r="D1520" s="7">
        <v>1511</v>
      </c>
      <c r="E1520" s="7">
        <v>303</v>
      </c>
      <c r="F1520" s="7" t="s">
        <v>2008</v>
      </c>
      <c r="G1520" s="7">
        <v>303</v>
      </c>
      <c r="H1520" s="7" t="s">
        <v>1569</v>
      </c>
      <c r="I1520" s="70">
        <v>52683.680000000008</v>
      </c>
      <c r="J1520" s="131">
        <v>4.0843707300549561E-3</v>
      </c>
      <c r="K1520" s="123">
        <f>X1520</f>
        <v>53667.33337435819</v>
      </c>
      <c r="L1520" s="122">
        <f>IF(K1524&gt;0, K1520/K1524, 0)</f>
        <v>4.0977419071180389E-3</v>
      </c>
      <c r="M1520" s="71"/>
      <c r="N1520" s="10">
        <f>ROUND(M1524*L1520,0)</f>
        <v>35821</v>
      </c>
      <c r="O1520" s="70">
        <v>34232</v>
      </c>
      <c r="P1520" s="10">
        <f>N1520-O1520</f>
        <v>1589</v>
      </c>
      <c r="Q1520" s="46">
        <f t="shared" si="239"/>
        <v>4.6418555737321805</v>
      </c>
      <c r="R1520" s="10">
        <v>4</v>
      </c>
      <c r="S1520" s="7">
        <f t="shared" si="232"/>
        <v>0</v>
      </c>
      <c r="T1520" s="124">
        <f t="shared" si="233"/>
        <v>303</v>
      </c>
      <c r="U1520" s="124">
        <f t="shared" si="234"/>
        <v>303</v>
      </c>
      <c r="V1520" s="124">
        <f t="shared" si="235"/>
        <v>1511</v>
      </c>
      <c r="W1520" s="124">
        <f t="shared" si="236"/>
        <v>4</v>
      </c>
      <c r="X1520" s="124">
        <f t="shared" si="237"/>
        <v>53667.33337435819</v>
      </c>
      <c r="Y1520" s="264">
        <f t="shared" si="238"/>
        <v>1511</v>
      </c>
      <c r="Z1520" s="10">
        <v>303</v>
      </c>
      <c r="AA1520" s="7">
        <v>303</v>
      </c>
      <c r="AB1520" s="7">
        <v>1511</v>
      </c>
      <c r="AC1520" s="109">
        <v>4</v>
      </c>
      <c r="AD1520" s="109">
        <v>53667.33337435819</v>
      </c>
      <c r="AE1520" s="125"/>
      <c r="AF1520" s="10"/>
      <c r="AI1520" s="109"/>
      <c r="AJ1520" s="109"/>
      <c r="AL1520" s="10"/>
      <c r="AO1520" s="109"/>
      <c r="AP1520" s="109"/>
      <c r="AR1520" s="10"/>
      <c r="AU1520" s="109"/>
      <c r="AV1520" s="109"/>
      <c r="AX1520" s="10"/>
      <c r="BA1520" s="109"/>
      <c r="BB1520" s="109"/>
      <c r="BD1520" s="10"/>
      <c r="BG1520" s="109"/>
      <c r="BH1520" s="109"/>
      <c r="BJ1520" s="10"/>
      <c r="BM1520" s="109"/>
      <c r="BN1520" s="109"/>
      <c r="BP1520" s="10"/>
      <c r="BS1520" s="109"/>
      <c r="BT1520" s="109"/>
      <c r="BV1520" s="10"/>
      <c r="BY1520" s="109"/>
      <c r="BZ1520" s="109"/>
      <c r="CB1520" s="10"/>
      <c r="CE1520" s="109"/>
      <c r="CF1520" s="109"/>
      <c r="CH1520" s="10"/>
      <c r="CK1520" s="109"/>
      <c r="CL1520" s="109"/>
    </row>
    <row r="1521" spans="1:90">
      <c r="A1521" s="7" t="str">
        <f t="shared" si="231"/>
        <v>03030710</v>
      </c>
      <c r="B1521" s="7" t="s">
        <v>2642</v>
      </c>
      <c r="C1521" s="7" t="s">
        <v>2727</v>
      </c>
      <c r="D1521" s="7">
        <v>1512</v>
      </c>
      <c r="E1521" s="7">
        <v>303</v>
      </c>
      <c r="F1521" s="7" t="s">
        <v>2008</v>
      </c>
      <c r="G1521" s="7">
        <v>710</v>
      </c>
      <c r="H1521" s="7" t="s">
        <v>1654</v>
      </c>
      <c r="I1521" s="70">
        <v>11255702</v>
      </c>
      <c r="J1521" s="131">
        <v>0.87261291912449979</v>
      </c>
      <c r="K1521" s="123">
        <f t="shared" si="240"/>
        <v>11291539.806481032</v>
      </c>
      <c r="L1521" s="122">
        <f>IF(K1524&gt;0, K1521/K1524, 0)</f>
        <v>0.86215977116195186</v>
      </c>
      <c r="M1521" s="71"/>
      <c r="N1521" s="10">
        <f>ROUND(M1524*L1521,0)</f>
        <v>7536686</v>
      </c>
      <c r="O1521" s="70">
        <v>7313580</v>
      </c>
      <c r="P1521" s="10">
        <f>N1521-O1521</f>
        <v>223106</v>
      </c>
      <c r="Q1521" s="46">
        <f t="shared" si="239"/>
        <v>3.0505716762515758</v>
      </c>
      <c r="R1521" s="10">
        <v>1217</v>
      </c>
      <c r="S1521" s="7">
        <f t="shared" si="232"/>
        <v>0</v>
      </c>
      <c r="T1521" s="124">
        <f t="shared" si="233"/>
        <v>303</v>
      </c>
      <c r="U1521" s="124">
        <f t="shared" si="234"/>
        <v>710</v>
      </c>
      <c r="V1521" s="124">
        <f t="shared" si="235"/>
        <v>1512</v>
      </c>
      <c r="W1521" s="124">
        <f t="shared" si="236"/>
        <v>1197.47164592132</v>
      </c>
      <c r="X1521" s="124">
        <f t="shared" si="237"/>
        <v>11291539.806481032</v>
      </c>
      <c r="Y1521" s="264">
        <f t="shared" si="238"/>
        <v>1512</v>
      </c>
      <c r="Z1521" s="10">
        <v>303</v>
      </c>
      <c r="AA1521" s="7">
        <v>710</v>
      </c>
      <c r="AB1521" s="7">
        <v>1512</v>
      </c>
      <c r="AC1521" s="109">
        <v>1197.47164592132</v>
      </c>
      <c r="AD1521" s="109">
        <v>11291539.806481032</v>
      </c>
      <c r="AE1521" s="125"/>
      <c r="AF1521" s="10"/>
      <c r="AI1521" s="109"/>
      <c r="AJ1521" s="109"/>
      <c r="AL1521" s="10"/>
      <c r="AO1521" s="109"/>
      <c r="AP1521" s="109"/>
      <c r="AR1521" s="10"/>
      <c r="AU1521" s="109"/>
      <c r="AV1521" s="109"/>
      <c r="AX1521" s="10"/>
      <c r="BA1521" s="109"/>
      <c r="BB1521" s="109"/>
      <c r="BD1521" s="10"/>
      <c r="BG1521" s="109"/>
      <c r="BH1521" s="109"/>
      <c r="BJ1521" s="10"/>
      <c r="BM1521" s="109"/>
      <c r="BN1521" s="109"/>
      <c r="BP1521" s="10"/>
      <c r="BS1521" s="109"/>
      <c r="BT1521" s="109"/>
      <c r="BV1521" s="10"/>
      <c r="BY1521" s="109"/>
      <c r="BZ1521" s="109"/>
      <c r="CB1521" s="10"/>
      <c r="CE1521" s="109"/>
      <c r="CF1521" s="109"/>
      <c r="CH1521" s="10"/>
      <c r="CK1521" s="109"/>
      <c r="CL1521" s="109"/>
    </row>
    <row r="1522" spans="1:90">
      <c r="A1522" s="7" t="str">
        <f t="shared" si="231"/>
        <v>03030805</v>
      </c>
      <c r="B1522" s="7" t="s">
        <v>2642</v>
      </c>
      <c r="C1522" s="7" t="s">
        <v>2753</v>
      </c>
      <c r="D1522" s="7">
        <v>1513</v>
      </c>
      <c r="E1522" s="7">
        <v>303</v>
      </c>
      <c r="F1522" s="7" t="s">
        <v>2008</v>
      </c>
      <c r="G1522" s="7">
        <v>805</v>
      </c>
      <c r="H1522" s="7" t="s">
        <v>1680</v>
      </c>
      <c r="I1522" s="70">
        <v>1590463</v>
      </c>
      <c r="J1522" s="131">
        <v>0.12330271014544532</v>
      </c>
      <c r="K1522" s="123">
        <f t="shared" si="240"/>
        <v>1751599.4894578448</v>
      </c>
      <c r="L1522" s="122">
        <f>IF(K1524&gt;0, K1522/K1524, 0)</f>
        <v>0.13374248693093016</v>
      </c>
      <c r="M1522" s="71"/>
      <c r="N1522" s="10">
        <f>ROUND(M1524*L1522,0)</f>
        <v>1169128</v>
      </c>
      <c r="O1522" s="70">
        <v>1033430</v>
      </c>
      <c r="P1522" s="10">
        <f>N1522-O1522</f>
        <v>135698</v>
      </c>
      <c r="Q1522" s="46">
        <f t="shared" si="239"/>
        <v>13.130836147586194</v>
      </c>
      <c r="R1522" s="10">
        <v>107</v>
      </c>
      <c r="S1522" s="7">
        <f t="shared" si="232"/>
        <v>0</v>
      </c>
      <c r="T1522" s="124">
        <f t="shared" si="233"/>
        <v>303</v>
      </c>
      <c r="U1522" s="124">
        <f t="shared" si="234"/>
        <v>805</v>
      </c>
      <c r="V1522" s="124">
        <f t="shared" si="235"/>
        <v>1513</v>
      </c>
      <c r="W1522" s="124">
        <f t="shared" si="236"/>
        <v>115.99999999709999</v>
      </c>
      <c r="X1522" s="124">
        <f t="shared" si="237"/>
        <v>1751599.4894578448</v>
      </c>
      <c r="Y1522" s="264">
        <f t="shared" si="238"/>
        <v>1513</v>
      </c>
      <c r="Z1522" s="10">
        <v>303</v>
      </c>
      <c r="AA1522" s="7">
        <v>805</v>
      </c>
      <c r="AB1522" s="7">
        <v>1513</v>
      </c>
      <c r="AC1522" s="109">
        <v>115.99999999709999</v>
      </c>
      <c r="AD1522" s="109">
        <v>1751599.4894578448</v>
      </c>
      <c r="AE1522" s="125"/>
      <c r="AF1522" s="10"/>
      <c r="AI1522" s="109"/>
      <c r="AJ1522" s="109"/>
      <c r="AL1522" s="10"/>
      <c r="AO1522" s="109"/>
      <c r="AP1522" s="109"/>
      <c r="AR1522" s="10"/>
      <c r="AU1522" s="109"/>
      <c r="AV1522" s="109"/>
      <c r="AX1522" s="10"/>
      <c r="BA1522" s="109"/>
      <c r="BB1522" s="109"/>
      <c r="BD1522" s="10"/>
      <c r="BG1522" s="109"/>
      <c r="BH1522" s="109"/>
      <c r="BJ1522" s="10"/>
      <c r="BM1522" s="109"/>
      <c r="BN1522" s="109"/>
      <c r="BP1522" s="10"/>
      <c r="BS1522" s="109"/>
      <c r="BT1522" s="109"/>
      <c r="BV1522" s="10"/>
      <c r="BY1522" s="109"/>
      <c r="BZ1522" s="109"/>
      <c r="CB1522" s="10"/>
      <c r="CE1522" s="109"/>
      <c r="CF1522" s="109"/>
      <c r="CH1522" s="10"/>
      <c r="CK1522" s="109"/>
      <c r="CL1522" s="109"/>
    </row>
    <row r="1523" spans="1:90">
      <c r="A1523" s="7" t="str">
        <f t="shared" si="231"/>
        <v>03030998</v>
      </c>
      <c r="B1523" s="7" t="s">
        <v>2642</v>
      </c>
      <c r="C1523" s="7" t="s">
        <v>2781</v>
      </c>
      <c r="D1523" s="7">
        <v>1514</v>
      </c>
      <c r="E1523" s="7">
        <v>303</v>
      </c>
      <c r="F1523" s="7" t="s">
        <v>2135</v>
      </c>
      <c r="G1523" s="7">
        <v>998</v>
      </c>
      <c r="H1523" s="7" t="s">
        <v>2135</v>
      </c>
      <c r="I1523" s="70">
        <v>0</v>
      </c>
      <c r="J1523" s="131">
        <v>0</v>
      </c>
      <c r="K1523" s="123">
        <f t="shared" si="240"/>
        <v>0</v>
      </c>
      <c r="L1523" s="122">
        <f>IF(K1524&gt;0, K1523/K1524, 0)</f>
        <v>0</v>
      </c>
      <c r="M1523" s="71"/>
      <c r="N1523" s="10">
        <f>ROUND(M1524*L1523,0)</f>
        <v>0</v>
      </c>
      <c r="O1523" s="70">
        <v>0</v>
      </c>
      <c r="P1523" s="10">
        <f>N1523-O1523</f>
        <v>0</v>
      </c>
      <c r="Q1523" s="46">
        <f t="shared" si="239"/>
        <v>0</v>
      </c>
      <c r="R1523" s="10">
        <v>0</v>
      </c>
      <c r="S1523" s="7">
        <f t="shared" si="232"/>
        <v>0</v>
      </c>
      <c r="T1523" s="124">
        <f t="shared" si="233"/>
        <v>303</v>
      </c>
      <c r="U1523" s="124">
        <f t="shared" si="234"/>
        <v>998</v>
      </c>
      <c r="V1523" s="124">
        <f t="shared" si="235"/>
        <v>1514</v>
      </c>
      <c r="W1523" s="124">
        <f t="shared" si="236"/>
        <v>0</v>
      </c>
      <c r="X1523" s="124">
        <f t="shared" si="237"/>
        <v>0</v>
      </c>
      <c r="Y1523" s="264">
        <f t="shared" si="238"/>
        <v>1514</v>
      </c>
      <c r="Z1523" s="10">
        <v>303</v>
      </c>
      <c r="AA1523" s="7">
        <v>998</v>
      </c>
      <c r="AB1523" s="7">
        <v>1514</v>
      </c>
      <c r="AC1523" s="109">
        <v>0</v>
      </c>
      <c r="AD1523" s="109">
        <v>0</v>
      </c>
      <c r="AE1523" s="125"/>
      <c r="AF1523" s="10"/>
      <c r="AI1523" s="109"/>
      <c r="AJ1523" s="109"/>
      <c r="AL1523" s="10"/>
      <c r="AO1523" s="109"/>
      <c r="AP1523" s="109"/>
      <c r="AR1523" s="10"/>
      <c r="AU1523" s="109"/>
      <c r="AV1523" s="109"/>
      <c r="AX1523" s="10"/>
      <c r="BA1523" s="109"/>
      <c r="BB1523" s="109"/>
      <c r="BD1523" s="10"/>
      <c r="BG1523" s="109"/>
      <c r="BH1523" s="109"/>
      <c r="BJ1523" s="10"/>
      <c r="BM1523" s="109"/>
      <c r="BN1523" s="109"/>
      <c r="BP1523" s="10"/>
      <c r="BS1523" s="109"/>
      <c r="BT1523" s="109"/>
      <c r="BV1523" s="10"/>
      <c r="BY1523" s="109"/>
      <c r="BZ1523" s="109"/>
      <c r="CB1523" s="10"/>
      <c r="CE1523" s="109"/>
      <c r="CF1523" s="109"/>
      <c r="CH1523" s="10"/>
      <c r="CK1523" s="109"/>
      <c r="CL1523" s="109"/>
    </row>
    <row r="1524" spans="1:90">
      <c r="A1524" s="7" t="str">
        <f t="shared" si="231"/>
        <v>03030999</v>
      </c>
      <c r="B1524" s="7" t="s">
        <v>2642</v>
      </c>
      <c r="C1524" s="7" t="s">
        <v>2782</v>
      </c>
      <c r="D1524" s="7">
        <v>1515</v>
      </c>
      <c r="E1524" s="11">
        <v>303</v>
      </c>
      <c r="F1524" s="11" t="s">
        <v>2008</v>
      </c>
      <c r="G1524" s="11">
        <v>999</v>
      </c>
      <c r="H1524" s="11" t="s">
        <v>1132</v>
      </c>
      <c r="I1524" s="134">
        <v>12898848.68</v>
      </c>
      <c r="J1524" s="135">
        <v>1</v>
      </c>
      <c r="K1524" s="127">
        <f>SUM(K1520:K1523)</f>
        <v>13096806.629313234</v>
      </c>
      <c r="L1524" s="126">
        <f>SUM(L1520:L1523)</f>
        <v>1</v>
      </c>
      <c r="M1524" s="105">
        <f>VLOOKUP(E1524,town351,22)</f>
        <v>8741635</v>
      </c>
      <c r="N1524" s="105">
        <f>SUM(N1520:N1523)</f>
        <v>8741635</v>
      </c>
      <c r="O1524" s="128">
        <v>8381242</v>
      </c>
      <c r="P1524" s="105">
        <f>SUM(P1520:P1523)</f>
        <v>360393</v>
      </c>
      <c r="Q1524" s="45">
        <f t="shared" si="239"/>
        <v>4.2999951558492162</v>
      </c>
      <c r="R1524" s="105">
        <v>1328</v>
      </c>
      <c r="S1524" s="7">
        <f t="shared" si="232"/>
        <v>0</v>
      </c>
      <c r="T1524" s="124">
        <f t="shared" si="233"/>
        <v>303</v>
      </c>
      <c r="U1524" s="124">
        <f t="shared" si="234"/>
        <v>999</v>
      </c>
      <c r="V1524" s="124">
        <f t="shared" si="235"/>
        <v>1515</v>
      </c>
      <c r="W1524" s="124">
        <f t="shared" si="236"/>
        <v>1317.4716459184201</v>
      </c>
      <c r="X1524" s="124">
        <f t="shared" si="237"/>
        <v>13096806.629313234</v>
      </c>
      <c r="Y1524" s="264">
        <f t="shared" si="238"/>
        <v>1515</v>
      </c>
      <c r="Z1524" s="10">
        <v>303</v>
      </c>
      <c r="AA1524" s="7">
        <v>999</v>
      </c>
      <c r="AB1524" s="7">
        <v>1515</v>
      </c>
      <c r="AC1524" s="109">
        <v>1317.4716459184201</v>
      </c>
      <c r="AD1524" s="109">
        <v>13096806.629313234</v>
      </c>
      <c r="AE1524" s="125"/>
      <c r="AF1524" s="10"/>
      <c r="AI1524" s="109"/>
      <c r="AJ1524" s="109"/>
      <c r="AL1524" s="10"/>
      <c r="AO1524" s="109"/>
      <c r="AP1524" s="109"/>
      <c r="AR1524" s="10"/>
      <c r="AU1524" s="109"/>
      <c r="AV1524" s="109"/>
      <c r="AX1524" s="10"/>
      <c r="BA1524" s="109"/>
      <c r="BB1524" s="109"/>
      <c r="BD1524" s="10"/>
      <c r="BG1524" s="109"/>
      <c r="BH1524" s="109"/>
      <c r="BJ1524" s="10"/>
      <c r="BM1524" s="109"/>
      <c r="BN1524" s="109"/>
      <c r="BP1524" s="10"/>
      <c r="BS1524" s="109"/>
      <c r="BT1524" s="109"/>
      <c r="BV1524" s="10"/>
      <c r="BY1524" s="109"/>
      <c r="BZ1524" s="109"/>
      <c r="CB1524" s="10"/>
      <c r="CE1524" s="109"/>
      <c r="CF1524" s="109"/>
      <c r="CH1524" s="10"/>
      <c r="CK1524" s="109"/>
      <c r="CL1524" s="109"/>
    </row>
    <row r="1525" spans="1:90">
      <c r="A1525" s="7" t="str">
        <f t="shared" si="231"/>
        <v>03040304</v>
      </c>
      <c r="B1525" s="7" t="s">
        <v>2643</v>
      </c>
      <c r="C1525" s="7" t="s">
        <v>2643</v>
      </c>
      <c r="D1525" s="7">
        <v>1516</v>
      </c>
      <c r="E1525" s="7">
        <v>304</v>
      </c>
      <c r="F1525" s="7" t="s">
        <v>2009</v>
      </c>
      <c r="G1525" s="7">
        <v>304</v>
      </c>
      <c r="H1525" s="7" t="s">
        <v>1570</v>
      </c>
      <c r="I1525" s="70">
        <v>18410939.780000005</v>
      </c>
      <c r="J1525" s="131">
        <v>0.88814112702543724</v>
      </c>
      <c r="K1525" s="123">
        <f>X1525</f>
        <v>18455125.454438496</v>
      </c>
      <c r="L1525" s="122">
        <f>IF(K1529&gt;0, K1525/K1529, 0)</f>
        <v>0.89722463155576082</v>
      </c>
      <c r="M1525" s="71"/>
      <c r="N1525" s="10">
        <f>ROUND(M1529*L1525,0)</f>
        <v>11060991</v>
      </c>
      <c r="O1525" s="70">
        <v>10786060</v>
      </c>
      <c r="P1525" s="10">
        <f>N1525-O1525</f>
        <v>274931</v>
      </c>
      <c r="Q1525" s="46">
        <f t="shared" si="239"/>
        <v>2.5489474377112682</v>
      </c>
      <c r="R1525" s="10">
        <v>1904</v>
      </c>
      <c r="S1525" s="7">
        <f t="shared" si="232"/>
        <v>0</v>
      </c>
      <c r="T1525" s="124">
        <f t="shared" si="233"/>
        <v>304</v>
      </c>
      <c r="U1525" s="124">
        <f t="shared" si="234"/>
        <v>304</v>
      </c>
      <c r="V1525" s="124">
        <f t="shared" si="235"/>
        <v>1516</v>
      </c>
      <c r="W1525" s="124">
        <f t="shared" si="236"/>
        <v>1869</v>
      </c>
      <c r="X1525" s="124">
        <f t="shared" si="237"/>
        <v>18455125.454438496</v>
      </c>
      <c r="Y1525" s="264">
        <f t="shared" si="238"/>
        <v>1516</v>
      </c>
      <c r="Z1525" s="10">
        <v>304</v>
      </c>
      <c r="AA1525" s="7">
        <v>304</v>
      </c>
      <c r="AB1525" s="7">
        <v>1516</v>
      </c>
      <c r="AC1525" s="109">
        <v>1869</v>
      </c>
      <c r="AD1525" s="109">
        <v>18455125.454438496</v>
      </c>
      <c r="AE1525" s="125"/>
      <c r="AF1525" s="10"/>
      <c r="AI1525" s="109"/>
      <c r="AJ1525" s="109"/>
      <c r="AL1525" s="10"/>
      <c r="AO1525" s="109"/>
      <c r="AP1525" s="109"/>
      <c r="AR1525" s="10"/>
      <c r="AU1525" s="109"/>
      <c r="AV1525" s="109"/>
      <c r="AX1525" s="10"/>
      <c r="BA1525" s="109"/>
      <c r="BB1525" s="109"/>
      <c r="BD1525" s="10"/>
      <c r="BG1525" s="109"/>
      <c r="BH1525" s="109"/>
      <c r="BJ1525" s="10"/>
      <c r="BM1525" s="109"/>
      <c r="BN1525" s="109"/>
      <c r="BP1525" s="10"/>
      <c r="BS1525" s="109"/>
      <c r="BT1525" s="109"/>
      <c r="BV1525" s="10"/>
      <c r="BY1525" s="109"/>
      <c r="BZ1525" s="109"/>
      <c r="CB1525" s="10"/>
      <c r="CE1525" s="109"/>
      <c r="CF1525" s="109"/>
      <c r="CH1525" s="10"/>
      <c r="CK1525" s="109"/>
      <c r="CL1525" s="109"/>
    </row>
    <row r="1526" spans="1:90">
      <c r="A1526" s="7" t="str">
        <f t="shared" si="231"/>
        <v>03040805</v>
      </c>
      <c r="B1526" s="7" t="s">
        <v>2643</v>
      </c>
      <c r="C1526" s="7" t="s">
        <v>2753</v>
      </c>
      <c r="D1526" s="7">
        <v>1517</v>
      </c>
      <c r="E1526" s="7">
        <v>304</v>
      </c>
      <c r="F1526" s="7" t="s">
        <v>2009</v>
      </c>
      <c r="G1526" s="7">
        <v>805</v>
      </c>
      <c r="H1526" s="7" t="s">
        <v>1680</v>
      </c>
      <c r="I1526" s="70">
        <v>2318806</v>
      </c>
      <c r="J1526" s="131">
        <v>0.1118588729745628</v>
      </c>
      <c r="K1526" s="123">
        <f t="shared" si="240"/>
        <v>2113999.3838284332</v>
      </c>
      <c r="L1526" s="122">
        <f>IF(K1529&gt;0, K1526/K1529, 0)</f>
        <v>0.10277536844423907</v>
      </c>
      <c r="M1526" s="71"/>
      <c r="N1526" s="10">
        <f>ROUND(M1529*L1526,0)</f>
        <v>1267015</v>
      </c>
      <c r="O1526" s="70">
        <v>1358474</v>
      </c>
      <c r="P1526" s="10">
        <f>N1526-O1526</f>
        <v>-91459</v>
      </c>
      <c r="Q1526" s="46">
        <f t="shared" si="239"/>
        <v>-6.7324807099731023</v>
      </c>
      <c r="R1526" s="10">
        <v>156</v>
      </c>
      <c r="S1526" s="7">
        <f t="shared" si="232"/>
        <v>0</v>
      </c>
      <c r="T1526" s="124">
        <f t="shared" si="233"/>
        <v>304</v>
      </c>
      <c r="U1526" s="124">
        <f t="shared" si="234"/>
        <v>805</v>
      </c>
      <c r="V1526" s="124">
        <f t="shared" si="235"/>
        <v>1517</v>
      </c>
      <c r="W1526" s="124">
        <f t="shared" si="236"/>
        <v>139.99999999650001</v>
      </c>
      <c r="X1526" s="124">
        <f t="shared" si="237"/>
        <v>2113999.3838284332</v>
      </c>
      <c r="Y1526" s="264">
        <f t="shared" si="238"/>
        <v>1517</v>
      </c>
      <c r="Z1526" s="10">
        <v>304</v>
      </c>
      <c r="AA1526" s="7">
        <v>805</v>
      </c>
      <c r="AB1526" s="7">
        <v>1517</v>
      </c>
      <c r="AC1526" s="109">
        <v>139.99999999650001</v>
      </c>
      <c r="AD1526" s="109">
        <v>2113999.3838284332</v>
      </c>
      <c r="AE1526" s="125"/>
      <c r="AF1526" s="10"/>
      <c r="AI1526" s="109"/>
      <c r="AJ1526" s="109"/>
      <c r="AL1526" s="10"/>
      <c r="AO1526" s="109"/>
      <c r="AP1526" s="109"/>
      <c r="AR1526" s="10"/>
      <c r="AU1526" s="109"/>
      <c r="AV1526" s="109"/>
      <c r="AX1526" s="10"/>
      <c r="BA1526" s="109"/>
      <c r="BB1526" s="109"/>
      <c r="BD1526" s="10"/>
      <c r="BG1526" s="109"/>
      <c r="BH1526" s="109"/>
      <c r="BJ1526" s="10"/>
      <c r="BM1526" s="109"/>
      <c r="BN1526" s="109"/>
      <c r="BP1526" s="10"/>
      <c r="BS1526" s="109"/>
      <c r="BT1526" s="109"/>
      <c r="BV1526" s="10"/>
      <c r="BY1526" s="109"/>
      <c r="BZ1526" s="109"/>
      <c r="CB1526" s="10"/>
      <c r="CE1526" s="109"/>
      <c r="CF1526" s="109"/>
      <c r="CH1526" s="10"/>
      <c r="CK1526" s="109"/>
      <c r="CL1526" s="109"/>
    </row>
    <row r="1527" spans="1:90">
      <c r="A1527" s="7" t="str">
        <f t="shared" si="231"/>
        <v>03040998</v>
      </c>
      <c r="B1527" s="7" t="s">
        <v>2643</v>
      </c>
      <c r="C1527" s="7" t="s">
        <v>2781</v>
      </c>
      <c r="D1527" s="7">
        <v>1518</v>
      </c>
      <c r="E1527" s="7">
        <v>304</v>
      </c>
      <c r="F1527" s="7" t="s">
        <v>2135</v>
      </c>
      <c r="G1527" s="7">
        <v>998</v>
      </c>
      <c r="H1527" s="7" t="s">
        <v>2135</v>
      </c>
      <c r="I1527" s="70">
        <v>0</v>
      </c>
      <c r="J1527" s="131">
        <v>0</v>
      </c>
      <c r="K1527" s="123">
        <f t="shared" si="240"/>
        <v>0</v>
      </c>
      <c r="L1527" s="122">
        <f>IF(K1529&gt;0, K1527/K1529, 0)</f>
        <v>0</v>
      </c>
      <c r="M1527" s="71"/>
      <c r="N1527" s="10">
        <f>ROUND(M1529*L1527,0)</f>
        <v>0</v>
      </c>
      <c r="O1527" s="70">
        <v>0</v>
      </c>
      <c r="P1527" s="10">
        <f>N1527-O1527</f>
        <v>0</v>
      </c>
      <c r="Q1527" s="46">
        <f t="shared" si="239"/>
        <v>0</v>
      </c>
      <c r="R1527" s="10">
        <v>0</v>
      </c>
      <c r="S1527" s="7">
        <f t="shared" si="232"/>
        <v>0</v>
      </c>
      <c r="T1527" s="124">
        <f t="shared" si="233"/>
        <v>304</v>
      </c>
      <c r="U1527" s="124">
        <f t="shared" si="234"/>
        <v>998</v>
      </c>
      <c r="V1527" s="124">
        <f t="shared" si="235"/>
        <v>1518</v>
      </c>
      <c r="W1527" s="124">
        <f t="shared" si="236"/>
        <v>0</v>
      </c>
      <c r="X1527" s="124">
        <f t="shared" si="237"/>
        <v>0</v>
      </c>
      <c r="Y1527" s="264">
        <f t="shared" si="238"/>
        <v>1518</v>
      </c>
      <c r="Z1527" s="10">
        <v>304</v>
      </c>
      <c r="AA1527" s="7">
        <v>998</v>
      </c>
      <c r="AB1527" s="7">
        <v>1518</v>
      </c>
      <c r="AC1527" s="109">
        <v>0</v>
      </c>
      <c r="AD1527" s="109">
        <v>0</v>
      </c>
      <c r="AE1527" s="125"/>
      <c r="AF1527" s="10"/>
      <c r="AI1527" s="109"/>
      <c r="AJ1527" s="109"/>
      <c r="AL1527" s="10"/>
      <c r="AO1527" s="109"/>
      <c r="AP1527" s="109"/>
      <c r="AR1527" s="10"/>
      <c r="AU1527" s="109"/>
      <c r="AV1527" s="109"/>
      <c r="AX1527" s="10"/>
      <c r="BA1527" s="109"/>
      <c r="BB1527" s="109"/>
      <c r="BD1527" s="10"/>
      <c r="BG1527" s="109"/>
      <c r="BH1527" s="109"/>
      <c r="BJ1527" s="10"/>
      <c r="BM1527" s="109"/>
      <c r="BN1527" s="109"/>
      <c r="BP1527" s="10"/>
      <c r="BS1527" s="109"/>
      <c r="BT1527" s="109"/>
      <c r="BV1527" s="10"/>
      <c r="BY1527" s="109"/>
      <c r="BZ1527" s="109"/>
      <c r="CB1527" s="10"/>
      <c r="CE1527" s="109"/>
      <c r="CF1527" s="109"/>
      <c r="CH1527" s="10"/>
      <c r="CK1527" s="109"/>
      <c r="CL1527" s="109"/>
    </row>
    <row r="1528" spans="1:90">
      <c r="A1528" s="7" t="str">
        <f t="shared" si="231"/>
        <v>03040998</v>
      </c>
      <c r="B1528" s="7" t="s">
        <v>2643</v>
      </c>
      <c r="C1528" s="7" t="s">
        <v>2781</v>
      </c>
      <c r="D1528" s="7">
        <v>1519</v>
      </c>
      <c r="E1528" s="7">
        <v>304</v>
      </c>
      <c r="F1528" s="7" t="s">
        <v>2135</v>
      </c>
      <c r="G1528" s="7">
        <v>998</v>
      </c>
      <c r="H1528" s="7" t="s">
        <v>2135</v>
      </c>
      <c r="I1528" s="70">
        <v>0</v>
      </c>
      <c r="J1528" s="131">
        <v>0</v>
      </c>
      <c r="K1528" s="123">
        <f t="shared" si="240"/>
        <v>0</v>
      </c>
      <c r="L1528" s="122">
        <f>IF(K1529&gt;0, K1528/K1529, 0)</f>
        <v>0</v>
      </c>
      <c r="M1528" s="71"/>
      <c r="N1528" s="10">
        <f>ROUND(M1529*L1528,0)</f>
        <v>0</v>
      </c>
      <c r="O1528" s="70">
        <v>0</v>
      </c>
      <c r="P1528" s="10">
        <f>N1528-O1528</f>
        <v>0</v>
      </c>
      <c r="Q1528" s="46">
        <f t="shared" si="239"/>
        <v>0</v>
      </c>
      <c r="R1528" s="10">
        <v>0</v>
      </c>
      <c r="S1528" s="7">
        <f t="shared" si="232"/>
        <v>0</v>
      </c>
      <c r="T1528" s="124">
        <f t="shared" si="233"/>
        <v>304</v>
      </c>
      <c r="U1528" s="124">
        <f t="shared" si="234"/>
        <v>998</v>
      </c>
      <c r="V1528" s="124">
        <f t="shared" si="235"/>
        <v>1519</v>
      </c>
      <c r="W1528" s="124">
        <f t="shared" si="236"/>
        <v>0</v>
      </c>
      <c r="X1528" s="124">
        <f t="shared" si="237"/>
        <v>0</v>
      </c>
      <c r="Y1528" s="264">
        <f t="shared" si="238"/>
        <v>1519</v>
      </c>
      <c r="Z1528" s="10">
        <v>304</v>
      </c>
      <c r="AA1528" s="7">
        <v>998</v>
      </c>
      <c r="AB1528" s="7">
        <v>1519</v>
      </c>
      <c r="AC1528" s="109">
        <v>0</v>
      </c>
      <c r="AD1528" s="109">
        <v>0</v>
      </c>
      <c r="AE1528" s="125"/>
      <c r="AF1528" s="10"/>
      <c r="AI1528" s="109"/>
      <c r="AJ1528" s="109"/>
      <c r="AL1528" s="10"/>
      <c r="AO1528" s="109"/>
      <c r="AP1528" s="109"/>
      <c r="AR1528" s="10"/>
      <c r="AU1528" s="109"/>
      <c r="AV1528" s="109"/>
      <c r="AX1528" s="10"/>
      <c r="BA1528" s="109"/>
      <c r="BB1528" s="109"/>
      <c r="BD1528" s="10"/>
      <c r="BG1528" s="109"/>
      <c r="BH1528" s="109"/>
      <c r="BJ1528" s="10"/>
      <c r="BM1528" s="109"/>
      <c r="BN1528" s="109"/>
      <c r="BP1528" s="10"/>
      <c r="BS1528" s="109"/>
      <c r="BT1528" s="109"/>
      <c r="BV1528" s="10"/>
      <c r="BY1528" s="109"/>
      <c r="BZ1528" s="109"/>
      <c r="CB1528" s="10"/>
      <c r="CE1528" s="109"/>
      <c r="CF1528" s="109"/>
      <c r="CH1528" s="10"/>
      <c r="CK1528" s="109"/>
      <c r="CL1528" s="109"/>
    </row>
    <row r="1529" spans="1:90">
      <c r="A1529" s="7" t="str">
        <f t="shared" si="231"/>
        <v>03040999</v>
      </c>
      <c r="B1529" s="7" t="s">
        <v>2643</v>
      </c>
      <c r="C1529" s="7" t="s">
        <v>2782</v>
      </c>
      <c r="D1529" s="7">
        <v>1520</v>
      </c>
      <c r="E1529" s="11">
        <v>304</v>
      </c>
      <c r="F1529" s="11" t="s">
        <v>2009</v>
      </c>
      <c r="G1529" s="11">
        <v>999</v>
      </c>
      <c r="H1529" s="11" t="s">
        <v>1132</v>
      </c>
      <c r="I1529" s="134">
        <v>20729745.780000005</v>
      </c>
      <c r="J1529" s="135">
        <v>1</v>
      </c>
      <c r="K1529" s="127">
        <f>SUM(K1525:K1528)</f>
        <v>20569124.838266931</v>
      </c>
      <c r="L1529" s="126">
        <f>SUM(L1525:L1528)</f>
        <v>0.99999999999999989</v>
      </c>
      <c r="M1529" s="105">
        <f>VLOOKUP(E1529,town351,22)</f>
        <v>12328006</v>
      </c>
      <c r="N1529" s="105">
        <f>SUM(N1525:N1528)</f>
        <v>12328006</v>
      </c>
      <c r="O1529" s="128">
        <v>12144534</v>
      </c>
      <c r="P1529" s="105">
        <f>SUM(P1525:P1528)</f>
        <v>183472</v>
      </c>
      <c r="Q1529" s="45">
        <f t="shared" si="239"/>
        <v>1.5107372584242424</v>
      </c>
      <c r="R1529" s="105">
        <v>2060</v>
      </c>
      <c r="S1529" s="7">
        <f t="shared" si="232"/>
        <v>0</v>
      </c>
      <c r="T1529" s="124">
        <f t="shared" si="233"/>
        <v>304</v>
      </c>
      <c r="U1529" s="124">
        <f t="shared" si="234"/>
        <v>999</v>
      </c>
      <c r="V1529" s="124">
        <f t="shared" si="235"/>
        <v>1520</v>
      </c>
      <c r="W1529" s="124">
        <f t="shared" si="236"/>
        <v>2008.9999999965</v>
      </c>
      <c r="X1529" s="124">
        <f t="shared" si="237"/>
        <v>20569124.838266931</v>
      </c>
      <c r="Y1529" s="264">
        <f t="shared" si="238"/>
        <v>1520</v>
      </c>
      <c r="Z1529" s="10">
        <v>304</v>
      </c>
      <c r="AA1529" s="7">
        <v>999</v>
      </c>
      <c r="AB1529" s="7">
        <v>1520</v>
      </c>
      <c r="AC1529" s="109">
        <v>2008.9999999965</v>
      </c>
      <c r="AD1529" s="109">
        <v>20569124.838266931</v>
      </c>
      <c r="AE1529" s="125"/>
      <c r="AF1529" s="10"/>
      <c r="AI1529" s="109"/>
      <c r="AJ1529" s="109"/>
      <c r="AL1529" s="10"/>
      <c r="AO1529" s="109"/>
      <c r="AP1529" s="109"/>
      <c r="AR1529" s="10"/>
      <c r="AU1529" s="109"/>
      <c r="AV1529" s="109"/>
      <c r="AX1529" s="10"/>
      <c r="BA1529" s="109"/>
      <c r="BB1529" s="109"/>
      <c r="BD1529" s="10"/>
      <c r="BG1529" s="109"/>
      <c r="BH1529" s="109"/>
      <c r="BJ1529" s="10"/>
      <c r="BM1529" s="109"/>
      <c r="BN1529" s="109"/>
      <c r="BP1529" s="10"/>
      <c r="BS1529" s="109"/>
      <c r="BT1529" s="109"/>
      <c r="BV1529" s="10"/>
      <c r="BY1529" s="109"/>
      <c r="BZ1529" s="109"/>
      <c r="CB1529" s="10"/>
      <c r="CE1529" s="109"/>
      <c r="CF1529" s="109"/>
      <c r="CH1529" s="10"/>
      <c r="CK1529" s="109"/>
      <c r="CL1529" s="109"/>
    </row>
    <row r="1530" spans="1:90">
      <c r="A1530" s="7" t="str">
        <f t="shared" si="231"/>
        <v>03050305</v>
      </c>
      <c r="B1530" s="7" t="s">
        <v>2644</v>
      </c>
      <c r="C1530" s="7" t="s">
        <v>2644</v>
      </c>
      <c r="D1530" s="7">
        <v>1521</v>
      </c>
      <c r="E1530" s="7">
        <v>305</v>
      </c>
      <c r="F1530" s="7" t="s">
        <v>2010</v>
      </c>
      <c r="G1530" s="7">
        <v>305</v>
      </c>
      <c r="H1530" s="7" t="s">
        <v>1571</v>
      </c>
      <c r="I1530" s="70">
        <v>34230683.749200001</v>
      </c>
      <c r="J1530" s="131">
        <v>0.9703200530237216</v>
      </c>
      <c r="K1530" s="123">
        <f>X1530</f>
        <v>35673992.74237927</v>
      </c>
      <c r="L1530" s="122">
        <f>IF(K1534&gt;0, K1530/K1534, 0)</f>
        <v>0.96959338894578762</v>
      </c>
      <c r="M1530" s="71"/>
      <c r="N1530" s="10">
        <f>ROUND(M1534*L1530,0)</f>
        <v>29443005</v>
      </c>
      <c r="O1530" s="70">
        <v>28386107</v>
      </c>
      <c r="P1530" s="10">
        <f>N1530-O1530</f>
        <v>1056898</v>
      </c>
      <c r="Q1530" s="46">
        <f t="shared" si="239"/>
        <v>3.7232932293251766</v>
      </c>
      <c r="R1530" s="10">
        <v>3477</v>
      </c>
      <c r="S1530" s="7">
        <f t="shared" si="232"/>
        <v>0</v>
      </c>
      <c r="T1530" s="124">
        <f t="shared" si="233"/>
        <v>305</v>
      </c>
      <c r="U1530" s="124">
        <f t="shared" si="234"/>
        <v>305</v>
      </c>
      <c r="V1530" s="124">
        <f t="shared" si="235"/>
        <v>1521</v>
      </c>
      <c r="W1530" s="124">
        <f t="shared" si="236"/>
        <v>3535</v>
      </c>
      <c r="X1530" s="124">
        <f t="shared" si="237"/>
        <v>35673992.74237927</v>
      </c>
      <c r="Y1530" s="264">
        <f t="shared" si="238"/>
        <v>1521</v>
      </c>
      <c r="Z1530" s="10">
        <v>305</v>
      </c>
      <c r="AA1530" s="7">
        <v>305</v>
      </c>
      <c r="AB1530" s="7">
        <v>1521</v>
      </c>
      <c r="AC1530" s="109">
        <v>3535</v>
      </c>
      <c r="AD1530" s="109">
        <v>35673992.74237927</v>
      </c>
      <c r="AE1530" s="125"/>
      <c r="AF1530" s="10"/>
      <c r="AI1530" s="109"/>
      <c r="AJ1530" s="109"/>
      <c r="AL1530" s="10"/>
      <c r="AO1530" s="109"/>
      <c r="AP1530" s="109"/>
      <c r="AR1530" s="10"/>
      <c r="AU1530" s="109"/>
      <c r="AV1530" s="109"/>
      <c r="AX1530" s="10"/>
      <c r="BA1530" s="109"/>
      <c r="BB1530" s="109"/>
      <c r="BD1530" s="10"/>
      <c r="BG1530" s="109"/>
      <c r="BH1530" s="109"/>
      <c r="BJ1530" s="10"/>
      <c r="BM1530" s="109"/>
      <c r="BN1530" s="109"/>
      <c r="BP1530" s="10"/>
      <c r="BS1530" s="109"/>
      <c r="BT1530" s="109"/>
      <c r="BV1530" s="10"/>
      <c r="BY1530" s="109"/>
      <c r="BZ1530" s="109"/>
      <c r="CB1530" s="10"/>
      <c r="CE1530" s="109"/>
      <c r="CF1530" s="109"/>
      <c r="CH1530" s="10"/>
      <c r="CK1530" s="109"/>
      <c r="CL1530" s="109"/>
    </row>
    <row r="1531" spans="1:90">
      <c r="A1531" s="7" t="str">
        <f t="shared" si="231"/>
        <v>03050853</v>
      </c>
      <c r="B1531" s="7" t="s">
        <v>2644</v>
      </c>
      <c r="C1531" s="7" t="s">
        <v>2768</v>
      </c>
      <c r="D1531" s="7">
        <v>1522</v>
      </c>
      <c r="E1531" s="7">
        <v>305</v>
      </c>
      <c r="F1531" s="7" t="s">
        <v>2010</v>
      </c>
      <c r="G1531" s="7">
        <v>853</v>
      </c>
      <c r="H1531" s="7" t="s">
        <v>1695</v>
      </c>
      <c r="I1531" s="70">
        <v>1047041</v>
      </c>
      <c r="J1531" s="131">
        <v>2.9679946976278394E-2</v>
      </c>
      <c r="K1531" s="123">
        <f t="shared" si="240"/>
        <v>1118742.3866902706</v>
      </c>
      <c r="L1531" s="122">
        <f>IF(K1534&gt;0, K1531/K1534, 0)</f>
        <v>3.0406611054212284E-2</v>
      </c>
      <c r="M1531" s="71"/>
      <c r="N1531" s="10">
        <f>ROUND(M1534*L1531,0)</f>
        <v>923338</v>
      </c>
      <c r="O1531" s="70">
        <v>868268</v>
      </c>
      <c r="P1531" s="10">
        <f>N1531-O1531</f>
        <v>55070</v>
      </c>
      <c r="Q1531" s="46">
        <f t="shared" si="239"/>
        <v>6.3425117590421394</v>
      </c>
      <c r="R1531" s="10">
        <v>63</v>
      </c>
      <c r="S1531" s="7">
        <f t="shared" si="232"/>
        <v>0</v>
      </c>
      <c r="T1531" s="124">
        <f t="shared" si="233"/>
        <v>305</v>
      </c>
      <c r="U1531" s="124">
        <f t="shared" si="234"/>
        <v>853</v>
      </c>
      <c r="V1531" s="124">
        <f t="shared" si="235"/>
        <v>1522</v>
      </c>
      <c r="W1531" s="124">
        <f t="shared" si="236"/>
        <v>65.999999996070002</v>
      </c>
      <c r="X1531" s="124">
        <f t="shared" si="237"/>
        <v>1118742.3866902706</v>
      </c>
      <c r="Y1531" s="264">
        <f t="shared" si="238"/>
        <v>1522</v>
      </c>
      <c r="Z1531" s="10">
        <v>305</v>
      </c>
      <c r="AA1531" s="7">
        <v>853</v>
      </c>
      <c r="AB1531" s="7">
        <v>1522</v>
      </c>
      <c r="AC1531" s="109">
        <v>65.999999996070002</v>
      </c>
      <c r="AD1531" s="109">
        <v>1118742.3866902706</v>
      </c>
      <c r="AE1531" s="125"/>
      <c r="AF1531" s="10"/>
      <c r="AI1531" s="109"/>
      <c r="AJ1531" s="109"/>
      <c r="AL1531" s="10"/>
      <c r="AO1531" s="109"/>
      <c r="AP1531" s="109"/>
      <c r="AR1531" s="10"/>
      <c r="AU1531" s="109"/>
      <c r="AV1531" s="109"/>
      <c r="AX1531" s="10"/>
      <c r="BA1531" s="109"/>
      <c r="BB1531" s="109"/>
      <c r="BD1531" s="10"/>
      <c r="BG1531" s="109"/>
      <c r="BH1531" s="109"/>
      <c r="BJ1531" s="10"/>
      <c r="BM1531" s="109"/>
      <c r="BN1531" s="109"/>
      <c r="BP1531" s="10"/>
      <c r="BS1531" s="109"/>
      <c r="BT1531" s="109"/>
      <c r="BV1531" s="10"/>
      <c r="BY1531" s="109"/>
      <c r="BZ1531" s="109"/>
      <c r="CB1531" s="10"/>
      <c r="CE1531" s="109"/>
      <c r="CF1531" s="109"/>
      <c r="CH1531" s="10"/>
      <c r="CK1531" s="109"/>
      <c r="CL1531" s="109"/>
    </row>
    <row r="1532" spans="1:90">
      <c r="A1532" s="7" t="str">
        <f t="shared" si="231"/>
        <v>03050998</v>
      </c>
      <c r="B1532" s="7" t="s">
        <v>2644</v>
      </c>
      <c r="C1532" s="7" t="s">
        <v>2781</v>
      </c>
      <c r="D1532" s="7">
        <v>1523</v>
      </c>
      <c r="E1532" s="7">
        <v>305</v>
      </c>
      <c r="F1532" s="7" t="s">
        <v>2135</v>
      </c>
      <c r="G1532" s="7">
        <v>998</v>
      </c>
      <c r="I1532" s="129">
        <v>0</v>
      </c>
      <c r="J1532" s="130">
        <v>0</v>
      </c>
      <c r="K1532" s="123">
        <f t="shared" si="240"/>
        <v>0</v>
      </c>
      <c r="L1532" s="122">
        <f>IF(K1534&gt;0, K1532/K1534, 0)</f>
        <v>0</v>
      </c>
      <c r="M1532" s="71"/>
      <c r="N1532" s="10">
        <f>ROUND(M1534*L1532,0)</f>
        <v>0</v>
      </c>
      <c r="O1532" s="70">
        <v>0</v>
      </c>
      <c r="P1532" s="10">
        <f>N1532-O1532</f>
        <v>0</v>
      </c>
      <c r="Q1532" s="46">
        <f t="shared" si="239"/>
        <v>0</v>
      </c>
      <c r="R1532" s="10">
        <v>0</v>
      </c>
      <c r="S1532" s="7">
        <f t="shared" si="232"/>
        <v>0</v>
      </c>
      <c r="T1532" s="124">
        <f t="shared" si="233"/>
        <v>305</v>
      </c>
      <c r="U1532" s="124">
        <f t="shared" si="234"/>
        <v>998</v>
      </c>
      <c r="V1532" s="124">
        <f t="shared" si="235"/>
        <v>1523</v>
      </c>
      <c r="W1532" s="124">
        <f t="shared" si="236"/>
        <v>0</v>
      </c>
      <c r="X1532" s="124">
        <f t="shared" si="237"/>
        <v>0</v>
      </c>
      <c r="Y1532" s="264">
        <f t="shared" si="238"/>
        <v>1523</v>
      </c>
      <c r="Z1532" s="10">
        <v>305</v>
      </c>
      <c r="AA1532" s="7">
        <v>998</v>
      </c>
      <c r="AB1532" s="7">
        <v>1523</v>
      </c>
      <c r="AC1532" s="109">
        <v>0</v>
      </c>
      <c r="AD1532" s="109">
        <v>0</v>
      </c>
      <c r="AE1532" s="125"/>
      <c r="AF1532" s="10"/>
      <c r="AI1532" s="109"/>
      <c r="AJ1532" s="109"/>
      <c r="AL1532" s="10"/>
      <c r="AO1532" s="109"/>
      <c r="AP1532" s="109"/>
      <c r="AR1532" s="10"/>
      <c r="AU1532" s="109"/>
      <c r="AV1532" s="109"/>
      <c r="AX1532" s="10"/>
      <c r="BA1532" s="109"/>
      <c r="BB1532" s="109"/>
      <c r="BD1532" s="10"/>
      <c r="BG1532" s="109"/>
      <c r="BH1532" s="109"/>
      <c r="BJ1532" s="10"/>
      <c r="BM1532" s="109"/>
      <c r="BN1532" s="109"/>
      <c r="BP1532" s="10"/>
      <c r="BS1532" s="109"/>
      <c r="BT1532" s="109"/>
      <c r="BV1532" s="10"/>
      <c r="BY1532" s="109"/>
      <c r="BZ1532" s="109"/>
      <c r="CB1532" s="10"/>
      <c r="CE1532" s="109"/>
      <c r="CF1532" s="109"/>
      <c r="CH1532" s="10"/>
      <c r="CK1532" s="109"/>
      <c r="CL1532" s="109"/>
    </row>
    <row r="1533" spans="1:90">
      <c r="A1533" s="7" t="str">
        <f t="shared" si="231"/>
        <v>03050998</v>
      </c>
      <c r="B1533" s="7" t="s">
        <v>2644</v>
      </c>
      <c r="C1533" s="7" t="s">
        <v>2781</v>
      </c>
      <c r="D1533" s="7">
        <v>1524</v>
      </c>
      <c r="E1533" s="7">
        <v>305</v>
      </c>
      <c r="F1533" s="7" t="s">
        <v>2135</v>
      </c>
      <c r="G1533" s="7">
        <v>998</v>
      </c>
      <c r="H1533" s="7" t="s">
        <v>2135</v>
      </c>
      <c r="I1533" s="70">
        <v>0</v>
      </c>
      <c r="J1533" s="131">
        <v>0</v>
      </c>
      <c r="K1533" s="123">
        <f t="shared" si="240"/>
        <v>0</v>
      </c>
      <c r="L1533" s="122">
        <f>IF(K1534&gt;0, K1533/K1534, 0)</f>
        <v>0</v>
      </c>
      <c r="M1533" s="71"/>
      <c r="N1533" s="10">
        <f>ROUND(M1534*L1533,0)</f>
        <v>0</v>
      </c>
      <c r="O1533" s="70">
        <v>0</v>
      </c>
      <c r="P1533" s="10">
        <f>N1533-O1533</f>
        <v>0</v>
      </c>
      <c r="Q1533" s="46">
        <f t="shared" si="239"/>
        <v>0</v>
      </c>
      <c r="R1533" s="10">
        <v>0</v>
      </c>
      <c r="S1533" s="7">
        <f t="shared" si="232"/>
        <v>0</v>
      </c>
      <c r="T1533" s="124">
        <f t="shared" si="233"/>
        <v>305</v>
      </c>
      <c r="U1533" s="124">
        <f t="shared" si="234"/>
        <v>998</v>
      </c>
      <c r="V1533" s="124">
        <f t="shared" si="235"/>
        <v>1524</v>
      </c>
      <c r="W1533" s="124">
        <f t="shared" si="236"/>
        <v>0</v>
      </c>
      <c r="X1533" s="124">
        <f t="shared" si="237"/>
        <v>0</v>
      </c>
      <c r="Y1533" s="264">
        <f t="shared" si="238"/>
        <v>1524</v>
      </c>
      <c r="Z1533" s="10">
        <v>305</v>
      </c>
      <c r="AA1533" s="7">
        <v>998</v>
      </c>
      <c r="AB1533" s="7">
        <v>1524</v>
      </c>
      <c r="AC1533" s="109">
        <v>0</v>
      </c>
      <c r="AD1533" s="109">
        <v>0</v>
      </c>
      <c r="AE1533" s="125"/>
      <c r="AF1533" s="10"/>
      <c r="AI1533" s="109"/>
      <c r="AJ1533" s="109"/>
      <c r="AL1533" s="10"/>
      <c r="AO1533" s="109"/>
      <c r="AP1533" s="109"/>
      <c r="AR1533" s="10"/>
      <c r="AU1533" s="109"/>
      <c r="AV1533" s="109"/>
      <c r="AX1533" s="10"/>
      <c r="BA1533" s="109"/>
      <c r="BB1533" s="109"/>
      <c r="BD1533" s="10"/>
      <c r="BG1533" s="109"/>
      <c r="BH1533" s="109"/>
      <c r="BJ1533" s="10"/>
      <c r="BM1533" s="109"/>
      <c r="BN1533" s="109"/>
      <c r="BP1533" s="10"/>
      <c r="BS1533" s="109"/>
      <c r="BT1533" s="109"/>
      <c r="BV1533" s="10"/>
      <c r="BY1533" s="109"/>
      <c r="BZ1533" s="109"/>
      <c r="CB1533" s="10"/>
      <c r="CE1533" s="109"/>
      <c r="CF1533" s="109"/>
      <c r="CH1533" s="10"/>
      <c r="CK1533" s="109"/>
      <c r="CL1533" s="109"/>
    </row>
    <row r="1534" spans="1:90">
      <c r="A1534" s="7" t="str">
        <f t="shared" si="231"/>
        <v>03050999</v>
      </c>
      <c r="B1534" s="7" t="s">
        <v>2644</v>
      </c>
      <c r="C1534" s="7" t="s">
        <v>2782</v>
      </c>
      <c r="D1534" s="7">
        <v>1525</v>
      </c>
      <c r="E1534" s="11">
        <v>305</v>
      </c>
      <c r="F1534" s="11" t="s">
        <v>2010</v>
      </c>
      <c r="G1534" s="11">
        <v>999</v>
      </c>
      <c r="H1534" s="11" t="s">
        <v>1132</v>
      </c>
      <c r="I1534" s="134">
        <v>35277724.749200001</v>
      </c>
      <c r="J1534" s="135">
        <v>1</v>
      </c>
      <c r="K1534" s="127">
        <f>SUM(K1530:K1533)</f>
        <v>36792735.129069544</v>
      </c>
      <c r="L1534" s="126">
        <f>SUM(L1530:L1533)</f>
        <v>0.99999999999999989</v>
      </c>
      <c r="M1534" s="105">
        <f>VLOOKUP(E1534,town351,22)</f>
        <v>30366343</v>
      </c>
      <c r="N1534" s="105">
        <f>SUM(N1530:N1533)</f>
        <v>30366343</v>
      </c>
      <c r="O1534" s="128">
        <v>29254375</v>
      </c>
      <c r="P1534" s="105">
        <f>SUM(P1530:P1533)</f>
        <v>1111968</v>
      </c>
      <c r="Q1534" s="45">
        <f t="shared" si="239"/>
        <v>3.8010314696519751</v>
      </c>
      <c r="R1534" s="105">
        <v>3540</v>
      </c>
      <c r="S1534" s="7">
        <f t="shared" si="232"/>
        <v>0</v>
      </c>
      <c r="T1534" s="124">
        <f t="shared" si="233"/>
        <v>305</v>
      </c>
      <c r="U1534" s="124">
        <f t="shared" si="234"/>
        <v>999</v>
      </c>
      <c r="V1534" s="124">
        <f t="shared" si="235"/>
        <v>1525</v>
      </c>
      <c r="W1534" s="124">
        <f t="shared" si="236"/>
        <v>3600.9999999960701</v>
      </c>
      <c r="X1534" s="124">
        <f t="shared" si="237"/>
        <v>36792735.129069544</v>
      </c>
      <c r="Y1534" s="264">
        <f t="shared" si="238"/>
        <v>1525</v>
      </c>
      <c r="Z1534" s="10">
        <v>305</v>
      </c>
      <c r="AA1534" s="7">
        <v>999</v>
      </c>
      <c r="AB1534" s="7">
        <v>1525</v>
      </c>
      <c r="AC1534" s="109">
        <v>3600.9999999960701</v>
      </c>
      <c r="AD1534" s="109">
        <v>36792735.129069544</v>
      </c>
      <c r="AE1534" s="125"/>
      <c r="AF1534" s="10"/>
      <c r="AI1534" s="109"/>
      <c r="AJ1534" s="109"/>
      <c r="AL1534" s="10"/>
      <c r="AO1534" s="109"/>
      <c r="AP1534" s="109"/>
      <c r="AR1534" s="10"/>
      <c r="AU1534" s="109"/>
      <c r="AV1534" s="109"/>
      <c r="AX1534" s="10"/>
      <c r="BA1534" s="109"/>
      <c r="BB1534" s="109"/>
      <c r="BD1534" s="10"/>
      <c r="BG1534" s="109"/>
      <c r="BH1534" s="109"/>
      <c r="BJ1534" s="10"/>
      <c r="BM1534" s="109"/>
      <c r="BN1534" s="109"/>
      <c r="BP1534" s="10"/>
      <c r="BS1534" s="109"/>
      <c r="BT1534" s="109"/>
      <c r="BV1534" s="10"/>
      <c r="BY1534" s="109"/>
      <c r="BZ1534" s="109"/>
      <c r="CB1534" s="10"/>
      <c r="CE1534" s="109"/>
      <c r="CF1534" s="109"/>
      <c r="CH1534" s="10"/>
      <c r="CK1534" s="109"/>
      <c r="CL1534" s="109"/>
    </row>
    <row r="1535" spans="1:90">
      <c r="A1535" s="7" t="str">
        <f t="shared" si="231"/>
        <v>03060306</v>
      </c>
      <c r="B1535" s="7" t="s">
        <v>2645</v>
      </c>
      <c r="C1535" s="7" t="s">
        <v>2645</v>
      </c>
      <c r="D1535" s="7">
        <v>1526</v>
      </c>
      <c r="E1535" s="7">
        <v>306</v>
      </c>
      <c r="F1535" s="7" t="s">
        <v>2011</v>
      </c>
      <c r="G1535" s="7">
        <v>306</v>
      </c>
      <c r="H1535" s="7" t="s">
        <v>1572</v>
      </c>
      <c r="I1535" s="70">
        <v>1585577.72</v>
      </c>
      <c r="J1535" s="131">
        <v>0.52857017970491882</v>
      </c>
      <c r="K1535" s="123">
        <f>X1535</f>
        <v>1580013.0996064784</v>
      </c>
      <c r="L1535" s="122">
        <f>IF(K1539&gt;0, K1535/K1539, 0)</f>
        <v>0.50764145671984262</v>
      </c>
      <c r="M1535" s="71"/>
      <c r="N1535" s="10">
        <f>ROUND(M1539*L1535,0)</f>
        <v>594640</v>
      </c>
      <c r="O1535" s="70">
        <v>646690</v>
      </c>
      <c r="P1535" s="10">
        <f>N1535-O1535</f>
        <v>-52050</v>
      </c>
      <c r="Q1535" s="46">
        <f t="shared" si="239"/>
        <v>-8.0486786559247854</v>
      </c>
      <c r="R1535" s="10">
        <v>156</v>
      </c>
      <c r="S1535" s="7">
        <f t="shared" si="232"/>
        <v>0</v>
      </c>
      <c r="T1535" s="124">
        <f t="shared" si="233"/>
        <v>306</v>
      </c>
      <c r="U1535" s="124">
        <f t="shared" si="234"/>
        <v>306</v>
      </c>
      <c r="V1535" s="124">
        <f t="shared" si="235"/>
        <v>1526</v>
      </c>
      <c r="W1535" s="124">
        <f t="shared" si="236"/>
        <v>157</v>
      </c>
      <c r="X1535" s="124">
        <f t="shared" si="237"/>
        <v>1580013.0996064784</v>
      </c>
      <c r="Y1535" s="264">
        <f t="shared" si="238"/>
        <v>1526</v>
      </c>
      <c r="Z1535" s="10">
        <v>306</v>
      </c>
      <c r="AA1535" s="7">
        <v>306</v>
      </c>
      <c r="AB1535" s="7">
        <v>1526</v>
      </c>
      <c r="AC1535" s="109">
        <v>157</v>
      </c>
      <c r="AD1535" s="109">
        <v>1580013.0996064784</v>
      </c>
      <c r="AE1535" s="125"/>
      <c r="AF1535" s="10"/>
      <c r="AI1535" s="109"/>
      <c r="AJ1535" s="109"/>
      <c r="AL1535" s="10"/>
      <c r="AO1535" s="109"/>
      <c r="AP1535" s="109"/>
      <c r="AR1535" s="10"/>
      <c r="AU1535" s="109"/>
      <c r="AV1535" s="109"/>
      <c r="AX1535" s="10"/>
      <c r="BA1535" s="109"/>
      <c r="BB1535" s="109"/>
      <c r="BD1535" s="10"/>
      <c r="BG1535" s="109"/>
      <c r="BH1535" s="109"/>
      <c r="BJ1535" s="10"/>
      <c r="BM1535" s="109"/>
      <c r="BN1535" s="109"/>
      <c r="BP1535" s="10"/>
      <c r="BS1535" s="109"/>
      <c r="BT1535" s="109"/>
      <c r="BV1535" s="10"/>
      <c r="BY1535" s="109"/>
      <c r="BZ1535" s="109"/>
      <c r="CB1535" s="10"/>
      <c r="CE1535" s="109"/>
      <c r="CF1535" s="109"/>
      <c r="CH1535" s="10"/>
      <c r="CK1535" s="109"/>
      <c r="CL1535" s="109"/>
    </row>
    <row r="1536" spans="1:90">
      <c r="A1536" s="7" t="str">
        <f t="shared" si="231"/>
        <v>03060770</v>
      </c>
      <c r="B1536" s="7" t="s">
        <v>2645</v>
      </c>
      <c r="C1536" s="7" t="s">
        <v>2746</v>
      </c>
      <c r="D1536" s="7">
        <v>1527</v>
      </c>
      <c r="E1536" s="7">
        <v>306</v>
      </c>
      <c r="F1536" s="7" t="s">
        <v>2011</v>
      </c>
      <c r="G1536" s="7">
        <v>770</v>
      </c>
      <c r="H1536" s="7" t="s">
        <v>1673</v>
      </c>
      <c r="I1536" s="70">
        <v>1414171</v>
      </c>
      <c r="J1536" s="131">
        <v>0.47142982029508129</v>
      </c>
      <c r="K1536" s="123">
        <f t="shared" si="240"/>
        <v>1532445.6617717445</v>
      </c>
      <c r="L1536" s="122">
        <f>IF(K1539&gt;0, K1536/K1539, 0)</f>
        <v>0.49235854328015727</v>
      </c>
      <c r="M1536" s="71"/>
      <c r="N1536" s="10">
        <f>ROUND(M1539*L1536,0)</f>
        <v>576738</v>
      </c>
      <c r="O1536" s="70">
        <v>576781</v>
      </c>
      <c r="P1536" s="10">
        <f>N1536-O1536</f>
        <v>-43</v>
      </c>
      <c r="Q1536" s="46">
        <f t="shared" si="239"/>
        <v>-7.4551692930245623E-3</v>
      </c>
      <c r="R1536" s="10">
        <v>124</v>
      </c>
      <c r="S1536" s="7">
        <f t="shared" si="232"/>
        <v>0</v>
      </c>
      <c r="T1536" s="124">
        <f t="shared" si="233"/>
        <v>306</v>
      </c>
      <c r="U1536" s="124">
        <f t="shared" si="234"/>
        <v>770</v>
      </c>
      <c r="V1536" s="124">
        <f t="shared" si="235"/>
        <v>1527</v>
      </c>
      <c r="W1536" s="124">
        <f t="shared" si="236"/>
        <v>133.00000000378</v>
      </c>
      <c r="X1536" s="124">
        <f t="shared" si="237"/>
        <v>1532445.6617717445</v>
      </c>
      <c r="Y1536" s="264">
        <f t="shared" si="238"/>
        <v>1527</v>
      </c>
      <c r="Z1536" s="10">
        <v>306</v>
      </c>
      <c r="AA1536" s="7">
        <v>770</v>
      </c>
      <c r="AB1536" s="7">
        <v>1527</v>
      </c>
      <c r="AC1536" s="109">
        <v>133.00000000378</v>
      </c>
      <c r="AD1536" s="109">
        <v>1532445.6617717445</v>
      </c>
      <c r="AE1536" s="125"/>
      <c r="AF1536" s="10"/>
      <c r="AI1536" s="109"/>
      <c r="AJ1536" s="109"/>
      <c r="AL1536" s="10"/>
      <c r="AO1536" s="109"/>
      <c r="AP1536" s="109"/>
      <c r="AR1536" s="10"/>
      <c r="AU1536" s="109"/>
      <c r="AV1536" s="109"/>
      <c r="AX1536" s="10"/>
      <c r="BA1536" s="109"/>
      <c r="BB1536" s="109"/>
      <c r="BD1536" s="10"/>
      <c r="BG1536" s="109"/>
      <c r="BH1536" s="109"/>
      <c r="BJ1536" s="10"/>
      <c r="BM1536" s="109"/>
      <c r="BN1536" s="109"/>
      <c r="BP1536" s="10"/>
      <c r="BS1536" s="109"/>
      <c r="BT1536" s="109"/>
      <c r="BV1536" s="10"/>
      <c r="BY1536" s="109"/>
      <c r="BZ1536" s="109"/>
      <c r="CB1536" s="10"/>
      <c r="CE1536" s="109"/>
      <c r="CF1536" s="109"/>
      <c r="CH1536" s="10"/>
      <c r="CK1536" s="109"/>
      <c r="CL1536" s="109"/>
    </row>
    <row r="1537" spans="1:90">
      <c r="A1537" s="7" t="str">
        <f t="shared" si="231"/>
        <v>03060998</v>
      </c>
      <c r="B1537" s="7" t="s">
        <v>2645</v>
      </c>
      <c r="C1537" s="7" t="s">
        <v>2781</v>
      </c>
      <c r="D1537" s="7">
        <v>1528</v>
      </c>
      <c r="E1537" s="7">
        <v>306</v>
      </c>
      <c r="F1537" s="7" t="s">
        <v>2135</v>
      </c>
      <c r="G1537" s="7">
        <v>998</v>
      </c>
      <c r="H1537" s="7" t="s">
        <v>2135</v>
      </c>
      <c r="I1537" s="70">
        <v>0</v>
      </c>
      <c r="J1537" s="131">
        <v>0</v>
      </c>
      <c r="K1537" s="123">
        <f t="shared" si="240"/>
        <v>0</v>
      </c>
      <c r="L1537" s="122">
        <f>IF(K1539&gt;0, K1537/K1539, 0)</f>
        <v>0</v>
      </c>
      <c r="M1537" s="71"/>
      <c r="N1537" s="10">
        <f>ROUND(M1539*L1537,0)</f>
        <v>0</v>
      </c>
      <c r="O1537" s="70">
        <v>0</v>
      </c>
      <c r="P1537" s="10">
        <f>N1537-O1537</f>
        <v>0</v>
      </c>
      <c r="Q1537" s="46">
        <f t="shared" si="239"/>
        <v>0</v>
      </c>
      <c r="R1537" s="10">
        <v>0</v>
      </c>
      <c r="S1537" s="7">
        <f t="shared" si="232"/>
        <v>0</v>
      </c>
      <c r="T1537" s="124">
        <f t="shared" si="233"/>
        <v>306</v>
      </c>
      <c r="U1537" s="124">
        <f t="shared" si="234"/>
        <v>998</v>
      </c>
      <c r="V1537" s="124">
        <f t="shared" si="235"/>
        <v>1528</v>
      </c>
      <c r="W1537" s="124">
        <f t="shared" si="236"/>
        <v>0</v>
      </c>
      <c r="X1537" s="124">
        <f t="shared" si="237"/>
        <v>0</v>
      </c>
      <c r="Y1537" s="264">
        <f t="shared" si="238"/>
        <v>1528</v>
      </c>
      <c r="Z1537" s="10">
        <v>306</v>
      </c>
      <c r="AA1537" s="7">
        <v>998</v>
      </c>
      <c r="AB1537" s="7">
        <v>1528</v>
      </c>
      <c r="AC1537" s="109">
        <v>0</v>
      </c>
      <c r="AD1537" s="109">
        <v>0</v>
      </c>
      <c r="AE1537" s="125"/>
      <c r="AF1537" s="10"/>
      <c r="AI1537" s="109"/>
      <c r="AJ1537" s="109"/>
      <c r="AL1537" s="10"/>
      <c r="AO1537" s="109"/>
      <c r="AP1537" s="109"/>
      <c r="AR1537" s="10"/>
      <c r="AU1537" s="109"/>
      <c r="AV1537" s="109"/>
      <c r="AX1537" s="10"/>
      <c r="BA1537" s="109"/>
      <c r="BB1537" s="109"/>
      <c r="BD1537" s="10"/>
      <c r="BG1537" s="109"/>
      <c r="BH1537" s="109"/>
      <c r="BJ1537" s="10"/>
      <c r="BM1537" s="109"/>
      <c r="BN1537" s="109"/>
      <c r="BP1537" s="10"/>
      <c r="BS1537" s="109"/>
      <c r="BT1537" s="109"/>
      <c r="BV1537" s="10"/>
      <c r="BY1537" s="109"/>
      <c r="BZ1537" s="109"/>
      <c r="CB1537" s="10"/>
      <c r="CE1537" s="109"/>
      <c r="CF1537" s="109"/>
      <c r="CH1537" s="10"/>
      <c r="CK1537" s="109"/>
      <c r="CL1537" s="109"/>
    </row>
    <row r="1538" spans="1:90">
      <c r="A1538" s="7" t="str">
        <f t="shared" si="231"/>
        <v>03060998</v>
      </c>
      <c r="B1538" s="7" t="s">
        <v>2645</v>
      </c>
      <c r="C1538" s="7" t="s">
        <v>2781</v>
      </c>
      <c r="D1538" s="7">
        <v>1529</v>
      </c>
      <c r="E1538" s="7">
        <v>306</v>
      </c>
      <c r="F1538" s="7" t="s">
        <v>2135</v>
      </c>
      <c r="G1538" s="7">
        <v>998</v>
      </c>
      <c r="H1538" s="7" t="s">
        <v>2135</v>
      </c>
      <c r="I1538" s="70">
        <v>0</v>
      </c>
      <c r="J1538" s="131">
        <v>0</v>
      </c>
      <c r="K1538" s="123">
        <f t="shared" si="240"/>
        <v>0</v>
      </c>
      <c r="L1538" s="122">
        <f>IF(K1539&gt;0, K1538/K1539, 0)</f>
        <v>0</v>
      </c>
      <c r="M1538" s="71"/>
      <c r="N1538" s="10">
        <f>ROUND(M1539*L1538,0)</f>
        <v>0</v>
      </c>
      <c r="O1538" s="70">
        <v>0</v>
      </c>
      <c r="P1538" s="10">
        <f>N1538-O1538</f>
        <v>0</v>
      </c>
      <c r="Q1538" s="46">
        <f t="shared" si="239"/>
        <v>0</v>
      </c>
      <c r="R1538" s="10">
        <v>0</v>
      </c>
      <c r="S1538" s="7">
        <f t="shared" si="232"/>
        <v>0</v>
      </c>
      <c r="T1538" s="124">
        <f t="shared" si="233"/>
        <v>306</v>
      </c>
      <c r="U1538" s="124">
        <f t="shared" si="234"/>
        <v>998</v>
      </c>
      <c r="V1538" s="124">
        <f t="shared" si="235"/>
        <v>1529</v>
      </c>
      <c r="W1538" s="124">
        <f t="shared" si="236"/>
        <v>0</v>
      </c>
      <c r="X1538" s="124">
        <f t="shared" si="237"/>
        <v>0</v>
      </c>
      <c r="Y1538" s="264">
        <f t="shared" si="238"/>
        <v>1529</v>
      </c>
      <c r="Z1538" s="10">
        <v>306</v>
      </c>
      <c r="AA1538" s="7">
        <v>998</v>
      </c>
      <c r="AB1538" s="7">
        <v>1529</v>
      </c>
      <c r="AC1538" s="109">
        <v>0</v>
      </c>
      <c r="AD1538" s="109">
        <v>0</v>
      </c>
      <c r="AE1538" s="125"/>
      <c r="AF1538" s="10"/>
      <c r="AI1538" s="109"/>
      <c r="AJ1538" s="109"/>
      <c r="AL1538" s="10"/>
      <c r="AO1538" s="109"/>
      <c r="AP1538" s="109"/>
      <c r="AR1538" s="10"/>
      <c r="AU1538" s="109"/>
      <c r="AV1538" s="109"/>
      <c r="AX1538" s="10"/>
      <c r="BA1538" s="109"/>
      <c r="BB1538" s="109"/>
      <c r="BD1538" s="10"/>
      <c r="BG1538" s="109"/>
      <c r="BH1538" s="109"/>
      <c r="BJ1538" s="10"/>
      <c r="BM1538" s="109"/>
      <c r="BN1538" s="109"/>
      <c r="BP1538" s="10"/>
      <c r="BS1538" s="109"/>
      <c r="BT1538" s="109"/>
      <c r="BV1538" s="10"/>
      <c r="BY1538" s="109"/>
      <c r="BZ1538" s="109"/>
      <c r="CB1538" s="10"/>
      <c r="CE1538" s="109"/>
      <c r="CF1538" s="109"/>
      <c r="CH1538" s="10"/>
      <c r="CK1538" s="109"/>
      <c r="CL1538" s="109"/>
    </row>
    <row r="1539" spans="1:90">
      <c r="A1539" s="7" t="str">
        <f t="shared" si="231"/>
        <v>03060999</v>
      </c>
      <c r="B1539" s="7" t="s">
        <v>2645</v>
      </c>
      <c r="C1539" s="7" t="s">
        <v>2782</v>
      </c>
      <c r="D1539" s="7">
        <v>1530</v>
      </c>
      <c r="E1539" s="11">
        <v>306</v>
      </c>
      <c r="F1539" s="11" t="s">
        <v>2011</v>
      </c>
      <c r="G1539" s="11">
        <v>999</v>
      </c>
      <c r="H1539" s="11" t="s">
        <v>1132</v>
      </c>
      <c r="I1539" s="134">
        <v>2999748.7199999997</v>
      </c>
      <c r="J1539" s="135">
        <v>1</v>
      </c>
      <c r="K1539" s="127">
        <f>SUM(K1535:K1538)</f>
        <v>3112458.7613782231</v>
      </c>
      <c r="L1539" s="126">
        <f>SUM(L1535:L1538)</f>
        <v>0.99999999999999989</v>
      </c>
      <c r="M1539" s="105">
        <f>VLOOKUP(E1539,town351,22)</f>
        <v>1171378</v>
      </c>
      <c r="N1539" s="105">
        <f>SUM(N1535:N1538)</f>
        <v>1171378</v>
      </c>
      <c r="O1539" s="128">
        <v>1223471</v>
      </c>
      <c r="P1539" s="105">
        <f>SUM(P1535:P1538)</f>
        <v>-52093</v>
      </c>
      <c r="Q1539" s="45">
        <f t="shared" si="239"/>
        <v>-4.2578042307500548</v>
      </c>
      <c r="R1539" s="105">
        <v>280</v>
      </c>
      <c r="S1539" s="7">
        <f t="shared" si="232"/>
        <v>0</v>
      </c>
      <c r="T1539" s="124">
        <f t="shared" si="233"/>
        <v>306</v>
      </c>
      <c r="U1539" s="124">
        <f t="shared" si="234"/>
        <v>999</v>
      </c>
      <c r="V1539" s="124">
        <f t="shared" si="235"/>
        <v>1530</v>
      </c>
      <c r="W1539" s="124">
        <f t="shared" si="236"/>
        <v>290.00000000377997</v>
      </c>
      <c r="X1539" s="124">
        <f t="shared" si="237"/>
        <v>3112458.7613782231</v>
      </c>
      <c r="Y1539" s="264">
        <f t="shared" si="238"/>
        <v>1530</v>
      </c>
      <c r="Z1539" s="10">
        <v>306</v>
      </c>
      <c r="AA1539" s="7">
        <v>999</v>
      </c>
      <c r="AB1539" s="7">
        <v>1530</v>
      </c>
      <c r="AC1539" s="109">
        <v>290.00000000377997</v>
      </c>
      <c r="AD1539" s="109">
        <v>3112458.7613782231</v>
      </c>
      <c r="AE1539" s="125"/>
      <c r="AF1539" s="10"/>
      <c r="AI1539" s="109"/>
      <c r="AJ1539" s="109"/>
      <c r="AL1539" s="10"/>
      <c r="AO1539" s="109"/>
      <c r="AP1539" s="109"/>
      <c r="AR1539" s="10"/>
      <c r="AU1539" s="109"/>
      <c r="AV1539" s="109"/>
      <c r="AX1539" s="10"/>
      <c r="BA1539" s="109"/>
      <c r="BB1539" s="109"/>
      <c r="BD1539" s="10"/>
      <c r="BG1539" s="109"/>
      <c r="BH1539" s="109"/>
      <c r="BJ1539" s="10"/>
      <c r="BM1539" s="109"/>
      <c r="BN1539" s="109"/>
      <c r="BP1539" s="10"/>
      <c r="BS1539" s="109"/>
      <c r="BT1539" s="109"/>
      <c r="BV1539" s="10"/>
      <c r="BY1539" s="109"/>
      <c r="BZ1539" s="109"/>
      <c r="CB1539" s="10"/>
      <c r="CE1539" s="109"/>
      <c r="CF1539" s="109"/>
      <c r="CH1539" s="10"/>
      <c r="CK1539" s="109"/>
      <c r="CL1539" s="109"/>
    </row>
    <row r="1540" spans="1:90">
      <c r="A1540" s="7" t="str">
        <f t="shared" si="231"/>
        <v>03070307</v>
      </c>
      <c r="B1540" s="7" t="s">
        <v>2646</v>
      </c>
      <c r="C1540" s="7" t="s">
        <v>2646</v>
      </c>
      <c r="D1540" s="7">
        <v>1531</v>
      </c>
      <c r="E1540" s="7">
        <v>307</v>
      </c>
      <c r="F1540" s="7" t="s">
        <v>2012</v>
      </c>
      <c r="G1540" s="7">
        <v>307</v>
      </c>
      <c r="H1540" s="7" t="s">
        <v>1573</v>
      </c>
      <c r="I1540" s="70">
        <v>36843723.371769994</v>
      </c>
      <c r="J1540" s="131">
        <v>0.97137488784158099</v>
      </c>
      <c r="K1540" s="123">
        <f>X1540</f>
        <v>36969856.911350518</v>
      </c>
      <c r="L1540" s="122">
        <f>IF(K1544&gt;0, K1540/K1544, 0)</f>
        <v>0.96981878291663581</v>
      </c>
      <c r="M1540" s="71"/>
      <c r="N1540" s="10">
        <f>ROUND(M1544*L1540,0)</f>
        <v>30718767</v>
      </c>
      <c r="O1540" s="70">
        <v>30659945</v>
      </c>
      <c r="P1540" s="10">
        <f>N1540-O1540</f>
        <v>58822</v>
      </c>
      <c r="Q1540" s="46">
        <f t="shared" si="239"/>
        <v>0.19185292080595709</v>
      </c>
      <c r="R1540" s="10">
        <v>3818</v>
      </c>
      <c r="S1540" s="7">
        <f t="shared" si="232"/>
        <v>0</v>
      </c>
      <c r="T1540" s="124">
        <f t="shared" si="233"/>
        <v>307</v>
      </c>
      <c r="U1540" s="124">
        <f t="shared" si="234"/>
        <v>307</v>
      </c>
      <c r="V1540" s="124">
        <f t="shared" si="235"/>
        <v>1531</v>
      </c>
      <c r="W1540" s="124">
        <f t="shared" si="236"/>
        <v>3744</v>
      </c>
      <c r="X1540" s="124">
        <f t="shared" si="237"/>
        <v>36969856.911350518</v>
      </c>
      <c r="Y1540" s="264">
        <f t="shared" si="238"/>
        <v>1531</v>
      </c>
      <c r="Z1540" s="10">
        <v>307</v>
      </c>
      <c r="AA1540" s="7">
        <v>307</v>
      </c>
      <c r="AB1540" s="7">
        <v>1531</v>
      </c>
      <c r="AC1540" s="109">
        <v>3744</v>
      </c>
      <c r="AD1540" s="109">
        <v>36969856.911350518</v>
      </c>
      <c r="AE1540" s="125"/>
      <c r="AF1540" s="10"/>
      <c r="AI1540" s="109"/>
      <c r="AJ1540" s="109"/>
      <c r="AL1540" s="10"/>
      <c r="AO1540" s="109"/>
      <c r="AP1540" s="109"/>
      <c r="AR1540" s="10"/>
      <c r="AU1540" s="109"/>
      <c r="AV1540" s="109"/>
      <c r="AX1540" s="10"/>
      <c r="BA1540" s="109"/>
      <c r="BB1540" s="109"/>
      <c r="BD1540" s="10"/>
      <c r="BG1540" s="109"/>
      <c r="BH1540" s="109"/>
      <c r="BJ1540" s="10"/>
      <c r="BM1540" s="109"/>
      <c r="BN1540" s="109"/>
      <c r="BP1540" s="10"/>
      <c r="BS1540" s="109"/>
      <c r="BT1540" s="109"/>
      <c r="BV1540" s="10"/>
      <c r="BY1540" s="109"/>
      <c r="BZ1540" s="109"/>
      <c r="CB1540" s="10"/>
      <c r="CE1540" s="109"/>
      <c r="CF1540" s="109"/>
      <c r="CH1540" s="10"/>
      <c r="CK1540" s="109"/>
      <c r="CL1540" s="109"/>
    </row>
    <row r="1541" spans="1:90">
      <c r="A1541" s="7" t="str">
        <f t="shared" si="231"/>
        <v>03070878</v>
      </c>
      <c r="B1541" s="7" t="s">
        <v>2646</v>
      </c>
      <c r="C1541" s="7" t="s">
        <v>2775</v>
      </c>
      <c r="D1541" s="7">
        <v>1532</v>
      </c>
      <c r="E1541" s="7">
        <v>307</v>
      </c>
      <c r="F1541" s="7" t="s">
        <v>2012</v>
      </c>
      <c r="G1541" s="7">
        <v>878</v>
      </c>
      <c r="H1541" s="7" t="s">
        <v>1702</v>
      </c>
      <c r="I1541" s="70">
        <v>795263</v>
      </c>
      <c r="J1541" s="131">
        <v>2.0966895762263127E-2</v>
      </c>
      <c r="K1541" s="123">
        <f t="shared" si="240"/>
        <v>788128.80959399731</v>
      </c>
      <c r="L1541" s="122">
        <f>IF(K1544&gt;0, K1541/K1544, 0)</f>
        <v>2.0674738469634663E-2</v>
      </c>
      <c r="M1541" s="71"/>
      <c r="N1541" s="10">
        <f>ROUND(M1544*L1541,0)</f>
        <v>654867</v>
      </c>
      <c r="O1541" s="70">
        <v>661788</v>
      </c>
      <c r="P1541" s="10">
        <f>N1541-O1541</f>
        <v>-6921</v>
      </c>
      <c r="Q1541" s="46">
        <f t="shared" si="239"/>
        <v>-1.045803187727792</v>
      </c>
      <c r="R1541" s="10">
        <v>50</v>
      </c>
      <c r="S1541" s="7">
        <f t="shared" si="232"/>
        <v>0</v>
      </c>
      <c r="T1541" s="124">
        <f t="shared" si="233"/>
        <v>307</v>
      </c>
      <c r="U1541" s="124">
        <f t="shared" si="234"/>
        <v>878</v>
      </c>
      <c r="V1541" s="124">
        <f t="shared" si="235"/>
        <v>1532</v>
      </c>
      <c r="W1541" s="124">
        <f t="shared" si="236"/>
        <v>47.999999999880004</v>
      </c>
      <c r="X1541" s="124">
        <f t="shared" si="237"/>
        <v>788128.80959399731</v>
      </c>
      <c r="Y1541" s="264">
        <f t="shared" si="238"/>
        <v>1532</v>
      </c>
      <c r="Z1541" s="10">
        <v>307</v>
      </c>
      <c r="AA1541" s="7">
        <v>878</v>
      </c>
      <c r="AB1541" s="7">
        <v>1532</v>
      </c>
      <c r="AC1541" s="109">
        <v>47.999999999880004</v>
      </c>
      <c r="AD1541" s="109">
        <v>788128.80959399731</v>
      </c>
      <c r="AE1541" s="125"/>
      <c r="AF1541" s="10"/>
      <c r="AI1541" s="109"/>
      <c r="AJ1541" s="109"/>
      <c r="AL1541" s="10"/>
      <c r="AO1541" s="109"/>
      <c r="AP1541" s="109"/>
      <c r="AR1541" s="10"/>
      <c r="AU1541" s="109"/>
      <c r="AV1541" s="109"/>
      <c r="AX1541" s="10"/>
      <c r="BA1541" s="109"/>
      <c r="BB1541" s="109"/>
      <c r="BD1541" s="10"/>
      <c r="BG1541" s="109"/>
      <c r="BH1541" s="109"/>
      <c r="BJ1541" s="10"/>
      <c r="BM1541" s="109"/>
      <c r="BN1541" s="109"/>
      <c r="BP1541" s="10"/>
      <c r="BS1541" s="109"/>
      <c r="BT1541" s="109"/>
      <c r="BV1541" s="10"/>
      <c r="BY1541" s="109"/>
      <c r="BZ1541" s="109"/>
      <c r="CB1541" s="10"/>
      <c r="CE1541" s="109"/>
      <c r="CF1541" s="109"/>
      <c r="CH1541" s="10"/>
      <c r="CK1541" s="109"/>
      <c r="CL1541" s="109"/>
    </row>
    <row r="1542" spans="1:90">
      <c r="A1542" s="7" t="str">
        <f t="shared" si="231"/>
        <v>03070915</v>
      </c>
      <c r="B1542" s="7" t="s">
        <v>2646</v>
      </c>
      <c r="C1542" s="7" t="s">
        <v>2779</v>
      </c>
      <c r="D1542" s="7">
        <v>1533</v>
      </c>
      <c r="E1542" s="7">
        <v>307</v>
      </c>
      <c r="F1542" s="7" t="s">
        <v>2012</v>
      </c>
      <c r="G1542" s="7">
        <v>915</v>
      </c>
      <c r="H1542" s="7" t="s">
        <v>1706</v>
      </c>
      <c r="I1542" s="70">
        <v>290472</v>
      </c>
      <c r="J1542" s="131">
        <v>7.6582163961558571E-3</v>
      </c>
      <c r="K1542" s="123">
        <f t="shared" si="240"/>
        <v>362390.54168803839</v>
      </c>
      <c r="L1542" s="122">
        <f>IF(K1544&gt;0, K1542/K1544, 0)</f>
        <v>9.5064786137295087E-3</v>
      </c>
      <c r="M1542" s="71"/>
      <c r="N1542" s="10">
        <f>ROUND(M1544*L1542,0)</f>
        <v>301115</v>
      </c>
      <c r="O1542" s="70">
        <v>241720</v>
      </c>
      <c r="P1542" s="10">
        <f>N1542-O1542</f>
        <v>59395</v>
      </c>
      <c r="Q1542" s="46">
        <f t="shared" si="239"/>
        <v>24.57181863312924</v>
      </c>
      <c r="R1542" s="10">
        <v>18</v>
      </c>
      <c r="S1542" s="7">
        <f t="shared" si="232"/>
        <v>0</v>
      </c>
      <c r="T1542" s="124">
        <f t="shared" si="233"/>
        <v>307</v>
      </c>
      <c r="U1542" s="124">
        <f t="shared" si="234"/>
        <v>915</v>
      </c>
      <c r="V1542" s="124">
        <f t="shared" si="235"/>
        <v>1533</v>
      </c>
      <c r="W1542" s="124">
        <f t="shared" si="236"/>
        <v>21.999999998610001</v>
      </c>
      <c r="X1542" s="124">
        <f t="shared" si="237"/>
        <v>362390.54168803839</v>
      </c>
      <c r="Y1542" s="264">
        <f t="shared" si="238"/>
        <v>1533</v>
      </c>
      <c r="Z1542" s="10">
        <v>307</v>
      </c>
      <c r="AA1542" s="7">
        <v>915</v>
      </c>
      <c r="AB1542" s="7">
        <v>1533</v>
      </c>
      <c r="AC1542" s="109">
        <v>21.999999998610001</v>
      </c>
      <c r="AD1542" s="109">
        <v>362390.54168803839</v>
      </c>
      <c r="AE1542" s="125"/>
      <c r="AF1542" s="10"/>
      <c r="AI1542" s="109"/>
      <c r="AJ1542" s="109"/>
      <c r="AL1542" s="10"/>
      <c r="AO1542" s="109"/>
      <c r="AP1542" s="109"/>
      <c r="AR1542" s="10"/>
      <c r="AU1542" s="109"/>
      <c r="AV1542" s="109"/>
      <c r="AX1542" s="10"/>
      <c r="BA1542" s="109"/>
      <c r="BB1542" s="109"/>
      <c r="BD1542" s="10"/>
      <c r="BG1542" s="109"/>
      <c r="BH1542" s="109"/>
      <c r="BJ1542" s="10"/>
      <c r="BM1542" s="109"/>
      <c r="BN1542" s="109"/>
      <c r="BP1542" s="10"/>
      <c r="BS1542" s="109"/>
      <c r="BT1542" s="109"/>
      <c r="BV1542" s="10"/>
      <c r="BY1542" s="109"/>
      <c r="BZ1542" s="109"/>
      <c r="CB1542" s="10"/>
      <c r="CE1542" s="109"/>
      <c r="CF1542" s="109"/>
      <c r="CH1542" s="10"/>
      <c r="CK1542" s="109"/>
      <c r="CL1542" s="109"/>
    </row>
    <row r="1543" spans="1:90">
      <c r="A1543" s="7" t="str">
        <f t="shared" si="231"/>
        <v>03070998</v>
      </c>
      <c r="B1543" s="7" t="s">
        <v>2646</v>
      </c>
      <c r="C1543" s="7" t="s">
        <v>2781</v>
      </c>
      <c r="D1543" s="7">
        <v>1534</v>
      </c>
      <c r="E1543" s="7">
        <v>307</v>
      </c>
      <c r="F1543" s="7" t="s">
        <v>2135</v>
      </c>
      <c r="G1543" s="7">
        <v>998</v>
      </c>
      <c r="H1543" s="7" t="s">
        <v>2135</v>
      </c>
      <c r="I1543" s="70">
        <v>0</v>
      </c>
      <c r="J1543" s="131">
        <v>0</v>
      </c>
      <c r="K1543" s="123">
        <f t="shared" si="240"/>
        <v>0</v>
      </c>
      <c r="L1543" s="122">
        <f>IF(K1544&gt;0, K1543/K1544, 0)</f>
        <v>0</v>
      </c>
      <c r="M1543" s="71"/>
      <c r="N1543" s="10">
        <f>ROUND(M1544*L1543,0)</f>
        <v>0</v>
      </c>
      <c r="O1543" s="70">
        <v>0</v>
      </c>
      <c r="P1543" s="10">
        <f>N1543-O1543</f>
        <v>0</v>
      </c>
      <c r="Q1543" s="46">
        <f t="shared" si="239"/>
        <v>0</v>
      </c>
      <c r="R1543" s="10">
        <v>0</v>
      </c>
      <c r="S1543" s="7">
        <f t="shared" si="232"/>
        <v>0</v>
      </c>
      <c r="T1543" s="124">
        <f t="shared" si="233"/>
        <v>307</v>
      </c>
      <c r="U1543" s="124">
        <f t="shared" si="234"/>
        <v>998</v>
      </c>
      <c r="V1543" s="124">
        <f t="shared" si="235"/>
        <v>1534</v>
      </c>
      <c r="W1543" s="124">
        <f t="shared" si="236"/>
        <v>0</v>
      </c>
      <c r="X1543" s="124">
        <f t="shared" si="237"/>
        <v>0</v>
      </c>
      <c r="Y1543" s="264">
        <f t="shared" si="238"/>
        <v>1534</v>
      </c>
      <c r="Z1543" s="10">
        <v>307</v>
      </c>
      <c r="AA1543" s="7">
        <v>998</v>
      </c>
      <c r="AB1543" s="7">
        <v>1534</v>
      </c>
      <c r="AC1543" s="109">
        <v>0</v>
      </c>
      <c r="AD1543" s="109">
        <v>0</v>
      </c>
      <c r="AE1543" s="125"/>
      <c r="AF1543" s="10"/>
      <c r="AI1543" s="109"/>
      <c r="AJ1543" s="109"/>
      <c r="AL1543" s="10"/>
      <c r="AO1543" s="109"/>
      <c r="AP1543" s="109"/>
      <c r="AR1543" s="10"/>
      <c r="AU1543" s="109"/>
      <c r="AV1543" s="109"/>
      <c r="AX1543" s="10"/>
      <c r="BA1543" s="109"/>
      <c r="BB1543" s="109"/>
      <c r="BD1543" s="10"/>
      <c r="BG1543" s="109"/>
      <c r="BH1543" s="109"/>
      <c r="BJ1543" s="10"/>
      <c r="BM1543" s="109"/>
      <c r="BN1543" s="109"/>
      <c r="BP1543" s="10"/>
      <c r="BS1543" s="109"/>
      <c r="BT1543" s="109"/>
      <c r="BV1543" s="10"/>
      <c r="BY1543" s="109"/>
      <c r="BZ1543" s="109"/>
      <c r="CB1543" s="10"/>
      <c r="CE1543" s="109"/>
      <c r="CF1543" s="109"/>
      <c r="CH1543" s="10"/>
      <c r="CK1543" s="109"/>
      <c r="CL1543" s="109"/>
    </row>
    <row r="1544" spans="1:90">
      <c r="A1544" s="7" t="str">
        <f t="shared" si="231"/>
        <v>03070999</v>
      </c>
      <c r="B1544" s="7" t="s">
        <v>2646</v>
      </c>
      <c r="C1544" s="7" t="s">
        <v>2782</v>
      </c>
      <c r="D1544" s="7">
        <v>1535</v>
      </c>
      <c r="E1544" s="11">
        <v>307</v>
      </c>
      <c r="F1544" s="11" t="s">
        <v>2012</v>
      </c>
      <c r="G1544" s="11">
        <v>999</v>
      </c>
      <c r="H1544" s="11" t="s">
        <v>1132</v>
      </c>
      <c r="I1544" s="134">
        <v>37929458.371769994</v>
      </c>
      <c r="J1544" s="135">
        <v>1</v>
      </c>
      <c r="K1544" s="127">
        <f>SUM(K1540:K1543)</f>
        <v>38120376.262632556</v>
      </c>
      <c r="L1544" s="126">
        <f>SUM(L1540:L1543)</f>
        <v>1</v>
      </c>
      <c r="M1544" s="105">
        <f>VLOOKUP(E1544,town351,22)</f>
        <v>31674750</v>
      </c>
      <c r="N1544" s="105">
        <f>SUM(N1540:N1543)</f>
        <v>31674749</v>
      </c>
      <c r="O1544" s="128">
        <v>31563453</v>
      </c>
      <c r="P1544" s="105">
        <f>SUM(P1540:P1543)</f>
        <v>111296</v>
      </c>
      <c r="Q1544" s="45">
        <f t="shared" si="239"/>
        <v>0.35261034336135527</v>
      </c>
      <c r="R1544" s="105">
        <v>3886</v>
      </c>
      <c r="S1544" s="7">
        <f t="shared" si="232"/>
        <v>0</v>
      </c>
      <c r="T1544" s="124">
        <f t="shared" si="233"/>
        <v>307</v>
      </c>
      <c r="U1544" s="124">
        <f t="shared" si="234"/>
        <v>999</v>
      </c>
      <c r="V1544" s="124">
        <f t="shared" si="235"/>
        <v>1535</v>
      </c>
      <c r="W1544" s="124">
        <f t="shared" si="236"/>
        <v>3813.9999999984898</v>
      </c>
      <c r="X1544" s="124">
        <f t="shared" si="237"/>
        <v>38120376.262632556</v>
      </c>
      <c r="Y1544" s="264">
        <f t="shared" si="238"/>
        <v>1535</v>
      </c>
      <c r="Z1544" s="10">
        <v>307</v>
      </c>
      <c r="AA1544" s="7">
        <v>999</v>
      </c>
      <c r="AB1544" s="7">
        <v>1535</v>
      </c>
      <c r="AC1544" s="109">
        <v>3813.9999999984898</v>
      </c>
      <c r="AD1544" s="109">
        <v>38120376.262632556</v>
      </c>
      <c r="AE1544" s="125"/>
      <c r="AF1544" s="10"/>
      <c r="AI1544" s="109"/>
      <c r="AJ1544" s="109"/>
      <c r="AL1544" s="10"/>
      <c r="AO1544" s="109"/>
      <c r="AP1544" s="109"/>
      <c r="AR1544" s="10"/>
      <c r="AU1544" s="109"/>
      <c r="AV1544" s="109"/>
      <c r="AX1544" s="10"/>
      <c r="BA1544" s="109"/>
      <c r="BB1544" s="109"/>
      <c r="BD1544" s="10"/>
      <c r="BG1544" s="109"/>
      <c r="BH1544" s="109"/>
      <c r="BJ1544" s="10"/>
      <c r="BM1544" s="109"/>
      <c r="BN1544" s="109"/>
      <c r="BP1544" s="10"/>
      <c r="BS1544" s="109"/>
      <c r="BT1544" s="109"/>
      <c r="BV1544" s="10"/>
      <c r="BY1544" s="109"/>
      <c r="BZ1544" s="109"/>
      <c r="CB1544" s="10"/>
      <c r="CE1544" s="109"/>
      <c r="CF1544" s="109"/>
      <c r="CH1544" s="10"/>
      <c r="CK1544" s="109"/>
      <c r="CL1544" s="109"/>
    </row>
    <row r="1545" spans="1:90">
      <c r="A1545" s="7" t="str">
        <f t="shared" si="231"/>
        <v>03080308</v>
      </c>
      <c r="B1545" s="7" t="s">
        <v>2647</v>
      </c>
      <c r="C1545" s="7" t="s">
        <v>2647</v>
      </c>
      <c r="D1545" s="7">
        <v>1536</v>
      </c>
      <c r="E1545" s="7">
        <v>308</v>
      </c>
      <c r="F1545" s="7" t="s">
        <v>2013</v>
      </c>
      <c r="G1545" s="7">
        <v>308</v>
      </c>
      <c r="H1545" s="7" t="s">
        <v>1574</v>
      </c>
      <c r="I1545" s="70">
        <v>62274785.537900016</v>
      </c>
      <c r="J1545" s="131">
        <v>1</v>
      </c>
      <c r="K1545" s="123">
        <f>X1545</f>
        <v>65721454.701030053</v>
      </c>
      <c r="L1545" s="122">
        <f>IF(K1549&gt;0, K1545/K1549, 0)</f>
        <v>1</v>
      </c>
      <c r="M1545" s="71"/>
      <c r="N1545" s="10">
        <f>ROUND(M1549*L1545,0)</f>
        <v>54285104</v>
      </c>
      <c r="O1545" s="70">
        <v>51887299</v>
      </c>
      <c r="P1545" s="10">
        <f>N1545-O1545</f>
        <v>2397805</v>
      </c>
      <c r="Q1545" s="46">
        <f t="shared" si="239"/>
        <v>4.6211790673474828</v>
      </c>
      <c r="R1545" s="10">
        <v>5432</v>
      </c>
      <c r="S1545" s="7">
        <f t="shared" si="232"/>
        <v>0</v>
      </c>
      <c r="T1545" s="124">
        <f t="shared" si="233"/>
        <v>308</v>
      </c>
      <c r="U1545" s="124">
        <f t="shared" si="234"/>
        <v>308</v>
      </c>
      <c r="V1545" s="124">
        <f t="shared" si="235"/>
        <v>1536</v>
      </c>
      <c r="W1545" s="124">
        <f t="shared" si="236"/>
        <v>5498</v>
      </c>
      <c r="X1545" s="124">
        <f t="shared" si="237"/>
        <v>65721454.701030053</v>
      </c>
      <c r="Y1545" s="264">
        <f t="shared" si="238"/>
        <v>1536</v>
      </c>
      <c r="Z1545" s="10">
        <v>308</v>
      </c>
      <c r="AA1545" s="7">
        <v>308</v>
      </c>
      <c r="AB1545" s="7">
        <v>1536</v>
      </c>
      <c r="AC1545" s="109">
        <v>5498</v>
      </c>
      <c r="AD1545" s="109">
        <v>65721454.701030053</v>
      </c>
      <c r="AE1545" s="125"/>
      <c r="AF1545" s="10"/>
      <c r="AI1545" s="109"/>
      <c r="AJ1545" s="109"/>
      <c r="AL1545" s="10"/>
      <c r="AO1545" s="109"/>
      <c r="AP1545" s="109"/>
      <c r="AR1545" s="10"/>
      <c r="AU1545" s="109"/>
      <c r="AV1545" s="109"/>
      <c r="AX1545" s="10"/>
      <c r="BA1545" s="109"/>
      <c r="BB1545" s="109"/>
      <c r="BD1545" s="10"/>
      <c r="BG1545" s="109"/>
      <c r="BH1545" s="109"/>
      <c r="BJ1545" s="10"/>
      <c r="BM1545" s="109"/>
      <c r="BN1545" s="109"/>
      <c r="BP1545" s="10"/>
      <c r="BS1545" s="109"/>
      <c r="BT1545" s="109"/>
      <c r="BV1545" s="10"/>
      <c r="BY1545" s="109"/>
      <c r="BZ1545" s="109"/>
      <c r="CB1545" s="10"/>
      <c r="CE1545" s="109"/>
      <c r="CF1545" s="109"/>
      <c r="CH1545" s="10"/>
      <c r="CK1545" s="109"/>
      <c r="CL1545" s="109"/>
    </row>
    <row r="1546" spans="1:90">
      <c r="A1546" s="7" t="str">
        <f t="shared" ref="A1546:A1609" si="241">B1546&amp;C1546</f>
        <v>03080998</v>
      </c>
      <c r="B1546" s="7" t="s">
        <v>2647</v>
      </c>
      <c r="C1546" s="7" t="s">
        <v>2781</v>
      </c>
      <c r="D1546" s="7">
        <v>1537</v>
      </c>
      <c r="E1546" s="7">
        <v>308</v>
      </c>
      <c r="F1546" s="7" t="s">
        <v>2135</v>
      </c>
      <c r="G1546" s="7">
        <v>998</v>
      </c>
      <c r="H1546" s="7" t="s">
        <v>2135</v>
      </c>
      <c r="I1546" s="70">
        <v>0</v>
      </c>
      <c r="J1546" s="131">
        <v>0</v>
      </c>
      <c r="K1546" s="123">
        <f t="shared" si="240"/>
        <v>0</v>
      </c>
      <c r="L1546" s="122">
        <f>IF(K1549&gt;0, K1546/K1549, 0)</f>
        <v>0</v>
      </c>
      <c r="M1546" s="71"/>
      <c r="N1546" s="10">
        <f>ROUND(M1549*L1546,0)</f>
        <v>0</v>
      </c>
      <c r="O1546" s="70">
        <v>0</v>
      </c>
      <c r="P1546" s="10">
        <f>N1546-O1546</f>
        <v>0</v>
      </c>
      <c r="Q1546" s="46">
        <f t="shared" si="239"/>
        <v>0</v>
      </c>
      <c r="R1546" s="10">
        <v>0</v>
      </c>
      <c r="S1546" s="7">
        <f t="shared" ref="S1546:S1609" si="242">ABS(T1546-E1546)+ABS(U1546-G1546)</f>
        <v>0</v>
      </c>
      <c r="T1546" s="124">
        <f t="shared" ref="T1546:T1609" si="243">VLOOKUP($D1546, foundoptions, VLOOKUP($T$6, foundoptcell, 2, FALSE), FALSE)</f>
        <v>308</v>
      </c>
      <c r="U1546" s="124">
        <f t="shared" ref="U1546:U1609" si="244">VLOOKUP($D1546, foundoptions, VLOOKUP($T$6, foundoptcell, 2, FALSE)+1, FALSE)</f>
        <v>998</v>
      </c>
      <c r="V1546" s="124">
        <f t="shared" ref="V1546:V1609" si="245">VLOOKUP($D1546, foundoptions, VLOOKUP($T$6, foundoptcell, 2, FALSE)+2, FALSE)</f>
        <v>1537</v>
      </c>
      <c r="W1546" s="124">
        <f t="shared" ref="W1546:W1609" si="246">VLOOKUP($D1546, foundoptions, VLOOKUP($T$6, foundoptcell, 2, FALSE)+3, FALSE)</f>
        <v>0</v>
      </c>
      <c r="X1546" s="124">
        <f t="shared" ref="X1546:X1609" si="247">VLOOKUP($D1546, foundoptions, VLOOKUP($T$6, foundoptcell, 2, FALSE)+4, FALSE)</f>
        <v>0</v>
      </c>
      <c r="Y1546" s="264">
        <f t="shared" si="238"/>
        <v>1537</v>
      </c>
      <c r="Z1546" s="10">
        <v>308</v>
      </c>
      <c r="AA1546" s="7">
        <v>998</v>
      </c>
      <c r="AB1546" s="7">
        <v>1537</v>
      </c>
      <c r="AC1546" s="109">
        <v>0</v>
      </c>
      <c r="AD1546" s="109">
        <v>0</v>
      </c>
      <c r="AE1546" s="125"/>
      <c r="AF1546" s="10"/>
      <c r="AI1546" s="109"/>
      <c r="AJ1546" s="109"/>
      <c r="AL1546" s="10"/>
      <c r="AO1546" s="109"/>
      <c r="AP1546" s="109"/>
      <c r="AR1546" s="10"/>
      <c r="AU1546" s="109"/>
      <c r="AV1546" s="109"/>
      <c r="AX1546" s="10"/>
      <c r="BA1546" s="109"/>
      <c r="BB1546" s="109"/>
      <c r="BD1546" s="10"/>
      <c r="BG1546" s="109"/>
      <c r="BH1546" s="109"/>
      <c r="BJ1546" s="10"/>
      <c r="BM1546" s="109"/>
      <c r="BN1546" s="109"/>
      <c r="BP1546" s="10"/>
      <c r="BS1546" s="109"/>
      <c r="BT1546" s="109"/>
      <c r="BV1546" s="10"/>
      <c r="BY1546" s="109"/>
      <c r="BZ1546" s="109"/>
      <c r="CB1546" s="10"/>
      <c r="CE1546" s="109"/>
      <c r="CF1546" s="109"/>
      <c r="CH1546" s="10"/>
      <c r="CK1546" s="109"/>
      <c r="CL1546" s="109"/>
    </row>
    <row r="1547" spans="1:90">
      <c r="A1547" s="7" t="str">
        <f t="shared" si="241"/>
        <v>03080998</v>
      </c>
      <c r="B1547" s="7" t="s">
        <v>2647</v>
      </c>
      <c r="C1547" s="7" t="s">
        <v>2781</v>
      </c>
      <c r="D1547" s="7">
        <v>1538</v>
      </c>
      <c r="E1547" s="7">
        <v>308</v>
      </c>
      <c r="F1547" s="7" t="s">
        <v>2135</v>
      </c>
      <c r="G1547" s="7">
        <v>998</v>
      </c>
      <c r="H1547" s="7" t="s">
        <v>2135</v>
      </c>
      <c r="I1547" s="70">
        <v>0</v>
      </c>
      <c r="J1547" s="131">
        <v>0</v>
      </c>
      <c r="K1547" s="123">
        <f t="shared" si="240"/>
        <v>0</v>
      </c>
      <c r="L1547" s="122">
        <f>IF(K1549&gt;0, K1547/K1549, 0)</f>
        <v>0</v>
      </c>
      <c r="M1547" s="71"/>
      <c r="N1547" s="10">
        <f>ROUND(M1549*L1547,0)</f>
        <v>0</v>
      </c>
      <c r="O1547" s="70">
        <v>0</v>
      </c>
      <c r="P1547" s="10">
        <f>N1547-O1547</f>
        <v>0</v>
      </c>
      <c r="Q1547" s="46">
        <f t="shared" si="239"/>
        <v>0</v>
      </c>
      <c r="R1547" s="10">
        <v>0</v>
      </c>
      <c r="S1547" s="7">
        <f t="shared" si="242"/>
        <v>0</v>
      </c>
      <c r="T1547" s="124">
        <f t="shared" si="243"/>
        <v>308</v>
      </c>
      <c r="U1547" s="124">
        <f t="shared" si="244"/>
        <v>998</v>
      </c>
      <c r="V1547" s="124">
        <f t="shared" si="245"/>
        <v>1538</v>
      </c>
      <c r="W1547" s="124">
        <f t="shared" si="246"/>
        <v>0</v>
      </c>
      <c r="X1547" s="124">
        <f t="shared" si="247"/>
        <v>0</v>
      </c>
      <c r="Y1547" s="264">
        <f t="shared" ref="Y1547:Y1610" si="248">D1547</f>
        <v>1538</v>
      </c>
      <c r="Z1547" s="10">
        <v>308</v>
      </c>
      <c r="AA1547" s="7">
        <v>998</v>
      </c>
      <c r="AB1547" s="7">
        <v>1538</v>
      </c>
      <c r="AC1547" s="109">
        <v>0</v>
      </c>
      <c r="AD1547" s="109">
        <v>0</v>
      </c>
      <c r="AE1547" s="125"/>
      <c r="AF1547" s="10"/>
      <c r="AI1547" s="109"/>
      <c r="AJ1547" s="109"/>
      <c r="AL1547" s="10"/>
      <c r="AO1547" s="109"/>
      <c r="AP1547" s="109"/>
      <c r="AR1547" s="10"/>
      <c r="AU1547" s="109"/>
      <c r="AV1547" s="109"/>
      <c r="AX1547" s="10"/>
      <c r="BA1547" s="109"/>
      <c r="BB1547" s="109"/>
      <c r="BD1547" s="10"/>
      <c r="BG1547" s="109"/>
      <c r="BH1547" s="109"/>
      <c r="BJ1547" s="10"/>
      <c r="BM1547" s="109"/>
      <c r="BN1547" s="109"/>
      <c r="BP1547" s="10"/>
      <c r="BS1547" s="109"/>
      <c r="BT1547" s="109"/>
      <c r="BV1547" s="10"/>
      <c r="BY1547" s="109"/>
      <c r="BZ1547" s="109"/>
      <c r="CB1547" s="10"/>
      <c r="CE1547" s="109"/>
      <c r="CF1547" s="109"/>
      <c r="CH1547" s="10"/>
      <c r="CK1547" s="109"/>
      <c r="CL1547" s="109"/>
    </row>
    <row r="1548" spans="1:90">
      <c r="A1548" s="7" t="str">
        <f t="shared" si="241"/>
        <v>03080998</v>
      </c>
      <c r="B1548" s="7" t="s">
        <v>2647</v>
      </c>
      <c r="C1548" s="7" t="s">
        <v>2781</v>
      </c>
      <c r="D1548" s="7">
        <v>1539</v>
      </c>
      <c r="E1548" s="7">
        <v>308</v>
      </c>
      <c r="F1548" s="7" t="s">
        <v>2135</v>
      </c>
      <c r="G1548" s="7">
        <v>998</v>
      </c>
      <c r="H1548" s="7" t="s">
        <v>2135</v>
      </c>
      <c r="I1548" s="70">
        <v>0</v>
      </c>
      <c r="J1548" s="131">
        <v>0</v>
      </c>
      <c r="K1548" s="123">
        <f t="shared" si="240"/>
        <v>0</v>
      </c>
      <c r="L1548" s="122">
        <f>IF(K1549&gt;0, K1548/K1549, 0)</f>
        <v>0</v>
      </c>
      <c r="M1548" s="71"/>
      <c r="N1548" s="10">
        <f>ROUND(M1549*L1548,0)</f>
        <v>0</v>
      </c>
      <c r="O1548" s="70">
        <v>0</v>
      </c>
      <c r="P1548" s="10">
        <f>N1548-O1548</f>
        <v>0</v>
      </c>
      <c r="Q1548" s="46">
        <f t="shared" si="239"/>
        <v>0</v>
      </c>
      <c r="R1548" s="10">
        <v>0</v>
      </c>
      <c r="S1548" s="7">
        <f t="shared" si="242"/>
        <v>0</v>
      </c>
      <c r="T1548" s="124">
        <f t="shared" si="243"/>
        <v>308</v>
      </c>
      <c r="U1548" s="124">
        <f t="shared" si="244"/>
        <v>998</v>
      </c>
      <c r="V1548" s="124">
        <f t="shared" si="245"/>
        <v>1539</v>
      </c>
      <c r="W1548" s="124">
        <f t="shared" si="246"/>
        <v>0</v>
      </c>
      <c r="X1548" s="124">
        <f t="shared" si="247"/>
        <v>0</v>
      </c>
      <c r="Y1548" s="264">
        <f t="shared" si="248"/>
        <v>1539</v>
      </c>
      <c r="Z1548" s="10">
        <v>308</v>
      </c>
      <c r="AA1548" s="7">
        <v>998</v>
      </c>
      <c r="AB1548" s="7">
        <v>1539</v>
      </c>
      <c r="AC1548" s="109">
        <v>0</v>
      </c>
      <c r="AD1548" s="109">
        <v>0</v>
      </c>
      <c r="AE1548" s="125"/>
      <c r="AF1548" s="10"/>
      <c r="AI1548" s="109"/>
      <c r="AJ1548" s="109"/>
      <c r="AL1548" s="10"/>
      <c r="AO1548" s="109"/>
      <c r="AP1548" s="109"/>
      <c r="AR1548" s="10"/>
      <c r="AU1548" s="109"/>
      <c r="AV1548" s="109"/>
      <c r="AX1548" s="10"/>
      <c r="BA1548" s="109"/>
      <c r="BB1548" s="109"/>
      <c r="BD1548" s="10"/>
      <c r="BG1548" s="109"/>
      <c r="BH1548" s="109"/>
      <c r="BJ1548" s="10"/>
      <c r="BM1548" s="109"/>
      <c r="BN1548" s="109"/>
      <c r="BP1548" s="10"/>
      <c r="BS1548" s="109"/>
      <c r="BT1548" s="109"/>
      <c r="BV1548" s="10"/>
      <c r="BY1548" s="109"/>
      <c r="BZ1548" s="109"/>
      <c r="CB1548" s="10"/>
      <c r="CE1548" s="109"/>
      <c r="CF1548" s="109"/>
      <c r="CH1548" s="10"/>
      <c r="CK1548" s="109"/>
      <c r="CL1548" s="109"/>
    </row>
    <row r="1549" spans="1:90">
      <c r="A1549" s="7" t="str">
        <f t="shared" si="241"/>
        <v>03080999</v>
      </c>
      <c r="B1549" s="7" t="s">
        <v>2647</v>
      </c>
      <c r="C1549" s="7" t="s">
        <v>2782</v>
      </c>
      <c r="D1549" s="7">
        <v>1540</v>
      </c>
      <c r="E1549" s="11">
        <v>308</v>
      </c>
      <c r="F1549" s="11" t="s">
        <v>2013</v>
      </c>
      <c r="G1549" s="11">
        <v>999</v>
      </c>
      <c r="H1549" s="11" t="s">
        <v>1132</v>
      </c>
      <c r="I1549" s="134">
        <v>62274785.537900016</v>
      </c>
      <c r="J1549" s="135">
        <v>1</v>
      </c>
      <c r="K1549" s="127">
        <f>SUM(K1545:K1548)</f>
        <v>65721454.701030053</v>
      </c>
      <c r="L1549" s="126">
        <f>SUM(L1545:L1548)</f>
        <v>1</v>
      </c>
      <c r="M1549" s="105">
        <f>VLOOKUP(E1549,town351,22)</f>
        <v>54285104</v>
      </c>
      <c r="N1549" s="105">
        <f>SUM(N1545:N1548)</f>
        <v>54285104</v>
      </c>
      <c r="O1549" s="128">
        <v>51887299</v>
      </c>
      <c r="P1549" s="105">
        <f>SUM(P1545:P1548)</f>
        <v>2397805</v>
      </c>
      <c r="Q1549" s="45">
        <f t="shared" si="239"/>
        <v>4.6211790673474828</v>
      </c>
      <c r="R1549" s="105">
        <v>5432</v>
      </c>
      <c r="S1549" s="7">
        <f t="shared" si="242"/>
        <v>0</v>
      </c>
      <c r="T1549" s="124">
        <f t="shared" si="243"/>
        <v>308</v>
      </c>
      <c r="U1549" s="124">
        <f t="shared" si="244"/>
        <v>999</v>
      </c>
      <c r="V1549" s="124">
        <f t="shared" si="245"/>
        <v>1540</v>
      </c>
      <c r="W1549" s="124">
        <f t="shared" si="246"/>
        <v>5498</v>
      </c>
      <c r="X1549" s="124">
        <f t="shared" si="247"/>
        <v>65721454.701030053</v>
      </c>
      <c r="Y1549" s="264">
        <f t="shared" si="248"/>
        <v>1540</v>
      </c>
      <c r="Z1549" s="10">
        <v>308</v>
      </c>
      <c r="AA1549" s="7">
        <v>999</v>
      </c>
      <c r="AB1549" s="7">
        <v>1540</v>
      </c>
      <c r="AC1549" s="109">
        <v>5498</v>
      </c>
      <c r="AD1549" s="109">
        <v>65721454.701030053</v>
      </c>
      <c r="AE1549" s="125"/>
      <c r="AF1549" s="10"/>
      <c r="AI1549" s="109"/>
      <c r="AJ1549" s="109"/>
      <c r="AL1549" s="10"/>
      <c r="AO1549" s="109"/>
      <c r="AP1549" s="109"/>
      <c r="AR1549" s="10"/>
      <c r="AU1549" s="109"/>
      <c r="AV1549" s="109"/>
      <c r="AX1549" s="10"/>
      <c r="BA1549" s="109"/>
      <c r="BB1549" s="109"/>
      <c r="BD1549" s="10"/>
      <c r="BG1549" s="109"/>
      <c r="BH1549" s="109"/>
      <c r="BJ1549" s="10"/>
      <c r="BM1549" s="109"/>
      <c r="BN1549" s="109"/>
      <c r="BP1549" s="10"/>
      <c r="BS1549" s="109"/>
      <c r="BT1549" s="109"/>
      <c r="BV1549" s="10"/>
      <c r="BY1549" s="109"/>
      <c r="BZ1549" s="109"/>
      <c r="CB1549" s="10"/>
      <c r="CE1549" s="109"/>
      <c r="CF1549" s="109"/>
      <c r="CH1549" s="10"/>
      <c r="CK1549" s="109"/>
      <c r="CL1549" s="109"/>
    </row>
    <row r="1550" spans="1:90">
      <c r="A1550" s="7" t="str">
        <f t="shared" si="241"/>
        <v>03090309</v>
      </c>
      <c r="B1550" s="7" t="s">
        <v>2648</v>
      </c>
      <c r="C1550" s="7" t="s">
        <v>2648</v>
      </c>
      <c r="D1550" s="7">
        <v>1541</v>
      </c>
      <c r="E1550" s="7">
        <v>309</v>
      </c>
      <c r="F1550" s="7" t="s">
        <v>2014</v>
      </c>
      <c r="G1550" s="7">
        <v>309</v>
      </c>
      <c r="H1550" s="7" t="s">
        <v>1575</v>
      </c>
      <c r="I1550" s="70">
        <v>14839037.079999998</v>
      </c>
      <c r="J1550" s="131">
        <v>0.90641135283570273</v>
      </c>
      <c r="K1550" s="123">
        <f>X1550</f>
        <v>14617553.305294422</v>
      </c>
      <c r="L1550" s="122">
        <f>IF(K1554&gt;0, K1550/K1554, 0)</f>
        <v>0.88592478869462421</v>
      </c>
      <c r="M1550" s="71"/>
      <c r="N1550" s="10">
        <f>ROUND(M1554*L1550,0)</f>
        <v>5149596</v>
      </c>
      <c r="O1550" s="70">
        <v>5469680</v>
      </c>
      <c r="P1550" s="10">
        <f>N1550-O1550</f>
        <v>-320084</v>
      </c>
      <c r="Q1550" s="46">
        <f t="shared" si="239"/>
        <v>-5.8519694022319406</v>
      </c>
      <c r="R1550" s="10">
        <v>1393</v>
      </c>
      <c r="S1550" s="7">
        <f t="shared" si="242"/>
        <v>0</v>
      </c>
      <c r="T1550" s="124">
        <f t="shared" si="243"/>
        <v>309</v>
      </c>
      <c r="U1550" s="124">
        <f t="shared" si="244"/>
        <v>309</v>
      </c>
      <c r="V1550" s="124">
        <f t="shared" si="245"/>
        <v>1541</v>
      </c>
      <c r="W1550" s="124">
        <f t="shared" si="246"/>
        <v>1341</v>
      </c>
      <c r="X1550" s="124">
        <f t="shared" si="247"/>
        <v>14617553.305294422</v>
      </c>
      <c r="Y1550" s="264">
        <f t="shared" si="248"/>
        <v>1541</v>
      </c>
      <c r="Z1550" s="10">
        <v>309</v>
      </c>
      <c r="AA1550" s="7">
        <v>309</v>
      </c>
      <c r="AB1550" s="7">
        <v>1541</v>
      </c>
      <c r="AC1550" s="109">
        <v>1341</v>
      </c>
      <c r="AD1550" s="109">
        <v>14617553.305294422</v>
      </c>
      <c r="AE1550" s="125"/>
      <c r="AF1550" s="10"/>
      <c r="AI1550" s="109"/>
      <c r="AJ1550" s="109"/>
      <c r="AL1550" s="10"/>
      <c r="AO1550" s="109"/>
      <c r="AP1550" s="109"/>
      <c r="AR1550" s="10"/>
      <c r="AU1550" s="109"/>
      <c r="AV1550" s="109"/>
      <c r="AX1550" s="10"/>
      <c r="BA1550" s="109"/>
      <c r="BB1550" s="109"/>
      <c r="BD1550" s="10"/>
      <c r="BG1550" s="109"/>
      <c r="BH1550" s="109"/>
      <c r="BJ1550" s="10"/>
      <c r="BM1550" s="109"/>
      <c r="BN1550" s="109"/>
      <c r="BP1550" s="10"/>
      <c r="BS1550" s="109"/>
      <c r="BT1550" s="109"/>
      <c r="BV1550" s="10"/>
      <c r="BY1550" s="109"/>
      <c r="BZ1550" s="109"/>
      <c r="CB1550" s="10"/>
      <c r="CE1550" s="109"/>
      <c r="CF1550" s="109"/>
      <c r="CH1550" s="10"/>
      <c r="CK1550" s="109"/>
      <c r="CL1550" s="109"/>
    </row>
    <row r="1551" spans="1:90">
      <c r="A1551" s="7" t="str">
        <f t="shared" si="241"/>
        <v>03090860</v>
      </c>
      <c r="B1551" s="7" t="s">
        <v>2648</v>
      </c>
      <c r="C1551" s="7" t="s">
        <v>2770</v>
      </c>
      <c r="D1551" s="7">
        <v>1542</v>
      </c>
      <c r="E1551" s="7">
        <v>309</v>
      </c>
      <c r="F1551" s="7" t="s">
        <v>2014</v>
      </c>
      <c r="G1551" s="7">
        <v>860</v>
      </c>
      <c r="H1551" s="7" t="s">
        <v>1697</v>
      </c>
      <c r="I1551" s="70">
        <v>1532158</v>
      </c>
      <c r="J1551" s="131">
        <v>9.3588647164297309E-2</v>
      </c>
      <c r="K1551" s="123">
        <f t="shared" si="240"/>
        <v>1882214.4987342022</v>
      </c>
      <c r="L1551" s="122">
        <f>IF(K1554&gt;0, K1551/K1554, 0)</f>
        <v>0.11407521130537583</v>
      </c>
      <c r="M1551" s="71"/>
      <c r="N1551" s="10">
        <f>ROUND(M1554*L1551,0)</f>
        <v>663083</v>
      </c>
      <c r="O1551" s="70">
        <v>564755</v>
      </c>
      <c r="P1551" s="10">
        <f>N1551-O1551</f>
        <v>98328</v>
      </c>
      <c r="Q1551" s="46">
        <f t="shared" si="239"/>
        <v>17.410735628723959</v>
      </c>
      <c r="R1551" s="10">
        <v>95</v>
      </c>
      <c r="S1551" s="7">
        <f t="shared" si="242"/>
        <v>0</v>
      </c>
      <c r="T1551" s="124">
        <f t="shared" si="243"/>
        <v>309</v>
      </c>
      <c r="U1551" s="124">
        <f t="shared" si="244"/>
        <v>860</v>
      </c>
      <c r="V1551" s="124">
        <f t="shared" si="245"/>
        <v>1542</v>
      </c>
      <c r="W1551" s="124">
        <f t="shared" si="246"/>
        <v>114.00000000244999</v>
      </c>
      <c r="X1551" s="124">
        <f t="shared" si="247"/>
        <v>1882214.4987342022</v>
      </c>
      <c r="Y1551" s="264">
        <f t="shared" si="248"/>
        <v>1542</v>
      </c>
      <c r="Z1551" s="10">
        <v>309</v>
      </c>
      <c r="AA1551" s="7">
        <v>860</v>
      </c>
      <c r="AB1551" s="7">
        <v>1542</v>
      </c>
      <c r="AC1551" s="109">
        <v>114.00000000244999</v>
      </c>
      <c r="AD1551" s="109">
        <v>1882214.4987342022</v>
      </c>
      <c r="AE1551" s="125"/>
      <c r="AF1551" s="10"/>
      <c r="AI1551" s="109"/>
      <c r="AJ1551" s="109"/>
      <c r="AL1551" s="10"/>
      <c r="AO1551" s="109"/>
      <c r="AP1551" s="109"/>
      <c r="AR1551" s="10"/>
      <c r="AU1551" s="109"/>
      <c r="AV1551" s="109"/>
      <c r="AX1551" s="10"/>
      <c r="BA1551" s="109"/>
      <c r="BB1551" s="109"/>
      <c r="BD1551" s="10"/>
      <c r="BG1551" s="109"/>
      <c r="BH1551" s="109"/>
      <c r="BJ1551" s="10"/>
      <c r="BM1551" s="109"/>
      <c r="BN1551" s="109"/>
      <c r="BP1551" s="10"/>
      <c r="BS1551" s="109"/>
      <c r="BT1551" s="109"/>
      <c r="BV1551" s="10"/>
      <c r="BY1551" s="109"/>
      <c r="BZ1551" s="109"/>
      <c r="CB1551" s="10"/>
      <c r="CE1551" s="109"/>
      <c r="CF1551" s="109"/>
      <c r="CH1551" s="10"/>
      <c r="CK1551" s="109"/>
      <c r="CL1551" s="109"/>
    </row>
    <row r="1552" spans="1:90">
      <c r="A1552" s="7" t="str">
        <f t="shared" si="241"/>
        <v>03090998</v>
      </c>
      <c r="B1552" s="7" t="s">
        <v>2648</v>
      </c>
      <c r="C1552" s="7" t="s">
        <v>2781</v>
      </c>
      <c r="D1552" s="7">
        <v>1543</v>
      </c>
      <c r="E1552" s="7">
        <v>309</v>
      </c>
      <c r="F1552" s="7" t="s">
        <v>2135</v>
      </c>
      <c r="G1552" s="7">
        <v>998</v>
      </c>
      <c r="H1552" s="7" t="s">
        <v>2135</v>
      </c>
      <c r="I1552" s="70">
        <v>0</v>
      </c>
      <c r="J1552" s="131">
        <v>0</v>
      </c>
      <c r="K1552" s="123">
        <f t="shared" si="240"/>
        <v>0</v>
      </c>
      <c r="L1552" s="122">
        <f>IF(K1554&gt;0, K1552/K1554, 0)</f>
        <v>0</v>
      </c>
      <c r="M1552" s="71"/>
      <c r="N1552" s="10">
        <f>ROUND(M1554*L1552,0)</f>
        <v>0</v>
      </c>
      <c r="O1552" s="70">
        <v>0</v>
      </c>
      <c r="P1552" s="10">
        <f>N1552-O1552</f>
        <v>0</v>
      </c>
      <c r="Q1552" s="46">
        <f>IF(O1552&gt;0,P1552*100/O1552,IF(P1552&gt;0,100,0))</f>
        <v>0</v>
      </c>
      <c r="R1552" s="10">
        <v>0</v>
      </c>
      <c r="S1552" s="7">
        <f t="shared" si="242"/>
        <v>0</v>
      </c>
      <c r="T1552" s="124">
        <f t="shared" si="243"/>
        <v>309</v>
      </c>
      <c r="U1552" s="124">
        <f t="shared" si="244"/>
        <v>998</v>
      </c>
      <c r="V1552" s="124">
        <f t="shared" si="245"/>
        <v>1543</v>
      </c>
      <c r="W1552" s="124">
        <f t="shared" si="246"/>
        <v>0</v>
      </c>
      <c r="X1552" s="124">
        <f t="shared" si="247"/>
        <v>0</v>
      </c>
      <c r="Y1552" s="264">
        <f t="shared" si="248"/>
        <v>1543</v>
      </c>
      <c r="Z1552" s="10">
        <v>309</v>
      </c>
      <c r="AA1552" s="7">
        <v>998</v>
      </c>
      <c r="AB1552" s="7">
        <v>1543</v>
      </c>
      <c r="AC1552" s="109">
        <v>0</v>
      </c>
      <c r="AD1552" s="109">
        <v>0</v>
      </c>
      <c r="AE1552" s="125"/>
      <c r="AF1552" s="10"/>
      <c r="AI1552" s="109"/>
      <c r="AJ1552" s="109"/>
      <c r="AL1552" s="10"/>
      <c r="AO1552" s="109"/>
      <c r="AP1552" s="109"/>
      <c r="AR1552" s="10"/>
      <c r="AU1552" s="109"/>
      <c r="AV1552" s="109"/>
      <c r="AX1552" s="10"/>
      <c r="BA1552" s="109"/>
      <c r="BB1552" s="109"/>
      <c r="BD1552" s="10"/>
      <c r="BG1552" s="109"/>
      <c r="BH1552" s="109"/>
      <c r="BJ1552" s="10"/>
      <c r="BM1552" s="109"/>
      <c r="BN1552" s="109"/>
      <c r="BP1552" s="10"/>
      <c r="BS1552" s="109"/>
      <c r="BT1552" s="109"/>
      <c r="BV1552" s="10"/>
      <c r="BY1552" s="109"/>
      <c r="BZ1552" s="109"/>
      <c r="CB1552" s="10"/>
      <c r="CE1552" s="109"/>
      <c r="CF1552" s="109"/>
      <c r="CH1552" s="10"/>
      <c r="CK1552" s="109"/>
      <c r="CL1552" s="109"/>
    </row>
    <row r="1553" spans="1:90">
      <c r="A1553" s="7" t="str">
        <f t="shared" si="241"/>
        <v>03090998</v>
      </c>
      <c r="B1553" s="7" t="s">
        <v>2648</v>
      </c>
      <c r="C1553" s="7" t="s">
        <v>2781</v>
      </c>
      <c r="D1553" s="7">
        <v>1544</v>
      </c>
      <c r="E1553" s="7">
        <v>309</v>
      </c>
      <c r="F1553" s="7" t="s">
        <v>2135</v>
      </c>
      <c r="G1553" s="7">
        <v>998</v>
      </c>
      <c r="H1553" s="7" t="s">
        <v>2135</v>
      </c>
      <c r="I1553" s="70">
        <v>0</v>
      </c>
      <c r="J1553" s="131">
        <v>0</v>
      </c>
      <c r="K1553" s="123">
        <f t="shared" si="240"/>
        <v>0</v>
      </c>
      <c r="L1553" s="122">
        <f>IF(K1554&gt;0, K1553/K1554, 0)</f>
        <v>0</v>
      </c>
      <c r="M1553" s="71"/>
      <c r="N1553" s="10">
        <f>ROUND(M1554*L1553,0)</f>
        <v>0</v>
      </c>
      <c r="O1553" s="70">
        <v>0</v>
      </c>
      <c r="P1553" s="10">
        <f>N1553-O1553</f>
        <v>0</v>
      </c>
      <c r="Q1553" s="46">
        <f>IF(O1553&gt;0,P1553*100/O1553,IF(P1553&gt;0,100,0))</f>
        <v>0</v>
      </c>
      <c r="R1553" s="10">
        <v>0</v>
      </c>
      <c r="S1553" s="7">
        <f t="shared" si="242"/>
        <v>0</v>
      </c>
      <c r="T1553" s="124">
        <f t="shared" si="243"/>
        <v>309</v>
      </c>
      <c r="U1553" s="124">
        <f t="shared" si="244"/>
        <v>998</v>
      </c>
      <c r="V1553" s="124">
        <f t="shared" si="245"/>
        <v>1544</v>
      </c>
      <c r="W1553" s="124">
        <f t="shared" si="246"/>
        <v>0</v>
      </c>
      <c r="X1553" s="124">
        <f t="shared" si="247"/>
        <v>0</v>
      </c>
      <c r="Y1553" s="264">
        <f t="shared" si="248"/>
        <v>1544</v>
      </c>
      <c r="Z1553" s="10">
        <v>309</v>
      </c>
      <c r="AA1553" s="7">
        <v>998</v>
      </c>
      <c r="AB1553" s="7">
        <v>1544</v>
      </c>
      <c r="AC1553" s="109">
        <v>0</v>
      </c>
      <c r="AD1553" s="109">
        <v>0</v>
      </c>
      <c r="AE1553" s="125"/>
      <c r="AF1553" s="10"/>
      <c r="AI1553" s="109"/>
      <c r="AJ1553" s="109"/>
      <c r="AL1553" s="10"/>
      <c r="AO1553" s="109"/>
      <c r="AP1553" s="109"/>
      <c r="AR1553" s="10"/>
      <c r="AU1553" s="109"/>
      <c r="AV1553" s="109"/>
      <c r="AX1553" s="10"/>
      <c r="BA1553" s="109"/>
      <c r="BB1553" s="109"/>
      <c r="BD1553" s="10"/>
      <c r="BG1553" s="109"/>
      <c r="BH1553" s="109"/>
      <c r="BJ1553" s="10"/>
      <c r="BM1553" s="109"/>
      <c r="BN1553" s="109"/>
      <c r="BP1553" s="10"/>
      <c r="BS1553" s="109"/>
      <c r="BT1553" s="109"/>
      <c r="BV1553" s="10"/>
      <c r="BY1553" s="109"/>
      <c r="BZ1553" s="109"/>
      <c r="CB1553" s="10"/>
      <c r="CE1553" s="109"/>
      <c r="CF1553" s="109"/>
      <c r="CH1553" s="10"/>
      <c r="CK1553" s="109"/>
      <c r="CL1553" s="109"/>
    </row>
    <row r="1554" spans="1:90">
      <c r="A1554" s="7" t="str">
        <f t="shared" si="241"/>
        <v>03090999</v>
      </c>
      <c r="B1554" s="7" t="s">
        <v>2648</v>
      </c>
      <c r="C1554" s="7" t="s">
        <v>2782</v>
      </c>
      <c r="D1554" s="7">
        <v>1545</v>
      </c>
      <c r="E1554" s="11">
        <v>309</v>
      </c>
      <c r="F1554" s="11" t="s">
        <v>2014</v>
      </c>
      <c r="G1554" s="11">
        <v>999</v>
      </c>
      <c r="H1554" s="11" t="s">
        <v>1132</v>
      </c>
      <c r="I1554" s="134">
        <v>16371195.079999998</v>
      </c>
      <c r="J1554" s="135">
        <v>1</v>
      </c>
      <c r="K1554" s="127">
        <f>SUM(K1550:K1553)</f>
        <v>16499767.804028625</v>
      </c>
      <c r="L1554" s="126">
        <f>SUM(L1550:L1553)</f>
        <v>1</v>
      </c>
      <c r="M1554" s="105">
        <f>VLOOKUP(E1554,town351,22)</f>
        <v>5812679</v>
      </c>
      <c r="N1554" s="105">
        <f>SUM(N1550:N1553)</f>
        <v>5812679</v>
      </c>
      <c r="O1554" s="128">
        <v>6034435</v>
      </c>
      <c r="P1554" s="105">
        <f>SUM(P1550:P1553)</f>
        <v>-221756</v>
      </c>
      <c r="Q1554" s="45">
        <f t="shared" ref="Q1554:Q1615" si="249">IF(O1554&gt;0,P1554*100/O1554,IF(P1554&gt;0,100,0))</f>
        <v>-3.6748427980415732</v>
      </c>
      <c r="R1554" s="105">
        <v>1488</v>
      </c>
      <c r="S1554" s="7">
        <f t="shared" si="242"/>
        <v>0</v>
      </c>
      <c r="T1554" s="124">
        <f t="shared" si="243"/>
        <v>309</v>
      </c>
      <c r="U1554" s="124">
        <f t="shared" si="244"/>
        <v>999</v>
      </c>
      <c r="V1554" s="124">
        <f t="shared" si="245"/>
        <v>1545</v>
      </c>
      <c r="W1554" s="124">
        <f t="shared" si="246"/>
        <v>1455.00000000245</v>
      </c>
      <c r="X1554" s="124">
        <f t="shared" si="247"/>
        <v>16499767.804028625</v>
      </c>
      <c r="Y1554" s="264">
        <f t="shared" si="248"/>
        <v>1545</v>
      </c>
      <c r="Z1554" s="10">
        <v>309</v>
      </c>
      <c r="AA1554" s="7">
        <v>999</v>
      </c>
      <c r="AB1554" s="7">
        <v>1545</v>
      </c>
      <c r="AC1554" s="109">
        <v>1455.00000000245</v>
      </c>
      <c r="AD1554" s="109">
        <v>16499767.804028625</v>
      </c>
      <c r="AE1554" s="125"/>
      <c r="AF1554" s="10"/>
      <c r="AI1554" s="109"/>
      <c r="AJ1554" s="109"/>
      <c r="AL1554" s="10"/>
      <c r="AO1554" s="109"/>
      <c r="AP1554" s="109"/>
      <c r="AR1554" s="10"/>
      <c r="AU1554" s="109"/>
      <c r="AV1554" s="109"/>
      <c r="AX1554" s="10"/>
      <c r="BA1554" s="109"/>
      <c r="BB1554" s="109"/>
      <c r="BD1554" s="10"/>
      <c r="BG1554" s="109"/>
      <c r="BH1554" s="109"/>
      <c r="BJ1554" s="10"/>
      <c r="BM1554" s="109"/>
      <c r="BN1554" s="109"/>
      <c r="BP1554" s="10"/>
      <c r="BS1554" s="109"/>
      <c r="BT1554" s="109"/>
      <c r="BV1554" s="10"/>
      <c r="BY1554" s="109"/>
      <c r="BZ1554" s="109"/>
      <c r="CB1554" s="10"/>
      <c r="CE1554" s="109"/>
      <c r="CF1554" s="109"/>
      <c r="CH1554" s="10"/>
      <c r="CK1554" s="109"/>
      <c r="CL1554" s="109"/>
    </row>
    <row r="1555" spans="1:90">
      <c r="A1555" s="7" t="str">
        <f t="shared" si="241"/>
        <v>03100310</v>
      </c>
      <c r="B1555" s="7" t="s">
        <v>2649</v>
      </c>
      <c r="C1555" s="7" t="s">
        <v>2649</v>
      </c>
      <c r="D1555" s="7">
        <v>1546</v>
      </c>
      <c r="E1555" s="7">
        <v>310</v>
      </c>
      <c r="F1555" s="7" t="s">
        <v>2015</v>
      </c>
      <c r="G1555" s="7">
        <v>310</v>
      </c>
      <c r="H1555" s="7" t="s">
        <v>1576</v>
      </c>
      <c r="I1555" s="70">
        <v>29850414.400000002</v>
      </c>
      <c r="J1555" s="131">
        <v>0.88343478131344666</v>
      </c>
      <c r="K1555" s="123">
        <f>X1555</f>
        <v>30448305.403478537</v>
      </c>
      <c r="L1555" s="122">
        <f>IF(K1559&gt;0, K1555/K1559, 0)</f>
        <v>0.886060557232351</v>
      </c>
      <c r="M1555" s="71"/>
      <c r="N1555" s="10">
        <f>ROUND(M1559*L1555,0)</f>
        <v>17216125</v>
      </c>
      <c r="O1555" s="70">
        <v>17354464</v>
      </c>
      <c r="P1555" s="10">
        <f>N1555-O1555</f>
        <v>-138339</v>
      </c>
      <c r="Q1555" s="46">
        <f t="shared" si="249"/>
        <v>-0.79713784303565927</v>
      </c>
      <c r="R1555" s="10">
        <v>2717</v>
      </c>
      <c r="S1555" s="7">
        <f t="shared" si="242"/>
        <v>0</v>
      </c>
      <c r="T1555" s="124">
        <f t="shared" si="243"/>
        <v>310</v>
      </c>
      <c r="U1555" s="124">
        <f t="shared" si="244"/>
        <v>310</v>
      </c>
      <c r="V1555" s="124">
        <f t="shared" si="245"/>
        <v>1546</v>
      </c>
      <c r="W1555" s="124">
        <f t="shared" si="246"/>
        <v>2680</v>
      </c>
      <c r="X1555" s="124">
        <f t="shared" si="247"/>
        <v>30448305.403478537</v>
      </c>
      <c r="Y1555" s="264">
        <f t="shared" si="248"/>
        <v>1546</v>
      </c>
      <c r="Z1555" s="10">
        <v>310</v>
      </c>
      <c r="AA1555" s="7">
        <v>310</v>
      </c>
      <c r="AB1555" s="7">
        <v>1546</v>
      </c>
      <c r="AC1555" s="109">
        <v>2680</v>
      </c>
      <c r="AD1555" s="109">
        <v>30448305.403478537</v>
      </c>
      <c r="AE1555" s="125"/>
      <c r="AF1555" s="10"/>
      <c r="AI1555" s="109"/>
      <c r="AJ1555" s="109"/>
      <c r="AL1555" s="10"/>
      <c r="AO1555" s="109"/>
      <c r="AP1555" s="109"/>
      <c r="AR1555" s="10"/>
      <c r="AU1555" s="109"/>
      <c r="AV1555" s="109"/>
      <c r="AX1555" s="10"/>
      <c r="BA1555" s="109"/>
      <c r="BB1555" s="109"/>
      <c r="BD1555" s="10"/>
      <c r="BG1555" s="109"/>
      <c r="BH1555" s="109"/>
      <c r="BJ1555" s="10"/>
      <c r="BM1555" s="109"/>
      <c r="BN1555" s="109"/>
      <c r="BP1555" s="10"/>
      <c r="BS1555" s="109"/>
      <c r="BT1555" s="109"/>
      <c r="BV1555" s="10"/>
      <c r="BY1555" s="109"/>
      <c r="BZ1555" s="109"/>
      <c r="CB1555" s="10"/>
      <c r="CE1555" s="109"/>
      <c r="CF1555" s="109"/>
      <c r="CH1555" s="10"/>
      <c r="CK1555" s="109"/>
      <c r="CL1555" s="109"/>
    </row>
    <row r="1556" spans="1:90">
      <c r="A1556" s="7" t="str">
        <f t="shared" si="241"/>
        <v>03100879</v>
      </c>
      <c r="B1556" s="7" t="s">
        <v>2649</v>
      </c>
      <c r="C1556" s="7" t="s">
        <v>2776</v>
      </c>
      <c r="D1556" s="7">
        <v>1547</v>
      </c>
      <c r="E1556" s="7">
        <v>310</v>
      </c>
      <c r="F1556" s="7" t="s">
        <v>2015</v>
      </c>
      <c r="G1556" s="7">
        <v>879</v>
      </c>
      <c r="H1556" s="7" t="s">
        <v>1703</v>
      </c>
      <c r="I1556" s="70">
        <v>3938627</v>
      </c>
      <c r="J1556" s="131">
        <v>0.11656521868655319</v>
      </c>
      <c r="K1556" s="123">
        <f t="shared" si="240"/>
        <v>3915379.059110743</v>
      </c>
      <c r="L1556" s="122">
        <f>IF(K1559&gt;0, K1556/K1559, 0)</f>
        <v>0.11393944276764907</v>
      </c>
      <c r="M1556" s="71"/>
      <c r="N1556" s="10">
        <f>ROUND(M1559*L1556,0)</f>
        <v>2213839</v>
      </c>
      <c r="O1556" s="70">
        <v>2289843</v>
      </c>
      <c r="P1556" s="10">
        <f>N1556-O1556</f>
        <v>-76004</v>
      </c>
      <c r="Q1556" s="46">
        <f t="shared" si="249"/>
        <v>-3.3191795245350884</v>
      </c>
      <c r="R1556" s="10">
        <v>253</v>
      </c>
      <c r="S1556" s="7">
        <f t="shared" si="242"/>
        <v>0</v>
      </c>
      <c r="T1556" s="124">
        <f t="shared" si="243"/>
        <v>310</v>
      </c>
      <c r="U1556" s="124">
        <f t="shared" si="244"/>
        <v>879</v>
      </c>
      <c r="V1556" s="124">
        <f t="shared" si="245"/>
        <v>1547</v>
      </c>
      <c r="W1556" s="124">
        <f t="shared" si="246"/>
        <v>248.66351351611002</v>
      </c>
      <c r="X1556" s="124">
        <f t="shared" si="247"/>
        <v>3915379.059110743</v>
      </c>
      <c r="Y1556" s="264">
        <f t="shared" si="248"/>
        <v>1547</v>
      </c>
      <c r="Z1556" s="10">
        <v>310</v>
      </c>
      <c r="AA1556" s="7">
        <v>879</v>
      </c>
      <c r="AB1556" s="7">
        <v>1547</v>
      </c>
      <c r="AC1556" s="109">
        <v>248.66351351611002</v>
      </c>
      <c r="AD1556" s="109">
        <v>3915379.059110743</v>
      </c>
      <c r="AE1556" s="125"/>
      <c r="AF1556" s="10"/>
      <c r="AI1556" s="109"/>
      <c r="AJ1556" s="109"/>
      <c r="AL1556" s="10"/>
      <c r="AO1556" s="109"/>
      <c r="AP1556" s="109"/>
      <c r="AR1556" s="10"/>
      <c r="AU1556" s="109"/>
      <c r="AV1556" s="109"/>
      <c r="AX1556" s="10"/>
      <c r="BA1556" s="109"/>
      <c r="BB1556" s="109"/>
      <c r="BD1556" s="10"/>
      <c r="BG1556" s="109"/>
      <c r="BH1556" s="109"/>
      <c r="BJ1556" s="10"/>
      <c r="BM1556" s="109"/>
      <c r="BN1556" s="109"/>
      <c r="BP1556" s="10"/>
      <c r="BS1556" s="109"/>
      <c r="BT1556" s="109"/>
      <c r="BV1556" s="10"/>
      <c r="BY1556" s="109"/>
      <c r="BZ1556" s="109"/>
      <c r="CB1556" s="10"/>
      <c r="CE1556" s="109"/>
      <c r="CF1556" s="109"/>
      <c r="CH1556" s="10"/>
      <c r="CK1556" s="109"/>
      <c r="CL1556" s="109"/>
    </row>
    <row r="1557" spans="1:90">
      <c r="A1557" s="7" t="str">
        <f t="shared" si="241"/>
        <v>03100998</v>
      </c>
      <c r="B1557" s="7" t="s">
        <v>2649</v>
      </c>
      <c r="C1557" s="7" t="s">
        <v>2781</v>
      </c>
      <c r="D1557" s="7">
        <v>1548</v>
      </c>
      <c r="E1557" s="7">
        <v>310</v>
      </c>
      <c r="F1557" s="7" t="s">
        <v>2135</v>
      </c>
      <c r="G1557" s="7">
        <v>998</v>
      </c>
      <c r="H1557" s="7" t="s">
        <v>2135</v>
      </c>
      <c r="I1557" s="70">
        <v>0</v>
      </c>
      <c r="J1557" s="131">
        <v>0</v>
      </c>
      <c r="K1557" s="123">
        <f t="shared" si="240"/>
        <v>0</v>
      </c>
      <c r="L1557" s="122">
        <f>IF(K1559&gt;0, K1557/K1559, 0)</f>
        <v>0</v>
      </c>
      <c r="M1557" s="71"/>
      <c r="N1557" s="10">
        <f>ROUND(M1559*L1557,0)</f>
        <v>0</v>
      </c>
      <c r="O1557" s="70">
        <v>0</v>
      </c>
      <c r="P1557" s="10">
        <f>N1557-O1557</f>
        <v>0</v>
      </c>
      <c r="Q1557" s="46">
        <f t="shared" si="249"/>
        <v>0</v>
      </c>
      <c r="R1557" s="10">
        <v>0</v>
      </c>
      <c r="S1557" s="7">
        <f t="shared" si="242"/>
        <v>0</v>
      </c>
      <c r="T1557" s="124">
        <f t="shared" si="243"/>
        <v>310</v>
      </c>
      <c r="U1557" s="124">
        <f t="shared" si="244"/>
        <v>998</v>
      </c>
      <c r="V1557" s="124">
        <f t="shared" si="245"/>
        <v>1548</v>
      </c>
      <c r="W1557" s="124">
        <f t="shared" si="246"/>
        <v>0</v>
      </c>
      <c r="X1557" s="124">
        <f t="shared" si="247"/>
        <v>0</v>
      </c>
      <c r="Y1557" s="264">
        <f t="shared" si="248"/>
        <v>1548</v>
      </c>
      <c r="Z1557" s="10">
        <v>310</v>
      </c>
      <c r="AA1557" s="7">
        <v>998</v>
      </c>
      <c r="AB1557" s="7">
        <v>1548</v>
      </c>
      <c r="AC1557" s="109">
        <v>0</v>
      </c>
      <c r="AD1557" s="109">
        <v>0</v>
      </c>
      <c r="AE1557" s="125"/>
      <c r="AF1557" s="10"/>
      <c r="AI1557" s="109"/>
      <c r="AJ1557" s="109"/>
      <c r="AL1557" s="10"/>
      <c r="AO1557" s="109"/>
      <c r="AP1557" s="109"/>
      <c r="AR1557" s="10"/>
      <c r="AU1557" s="109"/>
      <c r="AV1557" s="109"/>
      <c r="AX1557" s="10"/>
      <c r="BA1557" s="109"/>
      <c r="BB1557" s="109"/>
      <c r="BD1557" s="10"/>
      <c r="BG1557" s="109"/>
      <c r="BH1557" s="109"/>
      <c r="BJ1557" s="10"/>
      <c r="BM1557" s="109"/>
      <c r="BN1557" s="109"/>
      <c r="BP1557" s="10"/>
      <c r="BS1557" s="109"/>
      <c r="BT1557" s="109"/>
      <c r="BV1557" s="10"/>
      <c r="BY1557" s="109"/>
      <c r="BZ1557" s="109"/>
      <c r="CB1557" s="10"/>
      <c r="CE1557" s="109"/>
      <c r="CF1557" s="109"/>
      <c r="CH1557" s="10"/>
      <c r="CK1557" s="109"/>
      <c r="CL1557" s="109"/>
    </row>
    <row r="1558" spans="1:90">
      <c r="A1558" s="7" t="str">
        <f t="shared" si="241"/>
        <v>03100998</v>
      </c>
      <c r="B1558" s="7" t="s">
        <v>2649</v>
      </c>
      <c r="C1558" s="7" t="s">
        <v>2781</v>
      </c>
      <c r="D1558" s="7">
        <v>1549</v>
      </c>
      <c r="E1558" s="7">
        <v>310</v>
      </c>
      <c r="F1558" s="7" t="s">
        <v>2135</v>
      </c>
      <c r="G1558" s="7">
        <v>998</v>
      </c>
      <c r="H1558" s="7" t="s">
        <v>2135</v>
      </c>
      <c r="I1558" s="70">
        <v>0</v>
      </c>
      <c r="J1558" s="131">
        <v>0</v>
      </c>
      <c r="K1558" s="123">
        <f t="shared" si="240"/>
        <v>0</v>
      </c>
      <c r="L1558" s="122">
        <f>IF(K1559&gt;0, K1558/K1559, 0)</f>
        <v>0</v>
      </c>
      <c r="M1558" s="71"/>
      <c r="N1558" s="10">
        <f>ROUND(M1559*L1558,0)</f>
        <v>0</v>
      </c>
      <c r="O1558" s="70">
        <v>0</v>
      </c>
      <c r="P1558" s="10">
        <f>N1558-O1558</f>
        <v>0</v>
      </c>
      <c r="Q1558" s="46">
        <f t="shared" si="249"/>
        <v>0</v>
      </c>
      <c r="R1558" s="10">
        <v>0</v>
      </c>
      <c r="S1558" s="7">
        <f t="shared" si="242"/>
        <v>0</v>
      </c>
      <c r="T1558" s="124">
        <f t="shared" si="243"/>
        <v>310</v>
      </c>
      <c r="U1558" s="124">
        <f t="shared" si="244"/>
        <v>998</v>
      </c>
      <c r="V1558" s="124">
        <f t="shared" si="245"/>
        <v>1549</v>
      </c>
      <c r="W1558" s="124">
        <f t="shared" si="246"/>
        <v>0</v>
      </c>
      <c r="X1558" s="124">
        <f t="shared" si="247"/>
        <v>0</v>
      </c>
      <c r="Y1558" s="264">
        <f t="shared" si="248"/>
        <v>1549</v>
      </c>
      <c r="Z1558" s="10">
        <v>310</v>
      </c>
      <c r="AA1558" s="7">
        <v>998</v>
      </c>
      <c r="AB1558" s="7">
        <v>1549</v>
      </c>
      <c r="AC1558" s="109">
        <v>0</v>
      </c>
      <c r="AD1558" s="109">
        <v>0</v>
      </c>
      <c r="AE1558" s="125"/>
      <c r="AF1558" s="10"/>
      <c r="AI1558" s="109"/>
      <c r="AJ1558" s="109"/>
      <c r="AL1558" s="10"/>
      <c r="AO1558" s="109"/>
      <c r="AP1558" s="109"/>
      <c r="AR1558" s="10"/>
      <c r="AU1558" s="109"/>
      <c r="AV1558" s="109"/>
      <c r="AX1558" s="10"/>
      <c r="BA1558" s="109"/>
      <c r="BB1558" s="109"/>
      <c r="BD1558" s="10"/>
      <c r="BG1558" s="109"/>
      <c r="BH1558" s="109"/>
      <c r="BJ1558" s="10"/>
      <c r="BM1558" s="109"/>
      <c r="BN1558" s="109"/>
      <c r="BP1558" s="10"/>
      <c r="BS1558" s="109"/>
      <c r="BT1558" s="109"/>
      <c r="BV1558" s="10"/>
      <c r="BY1558" s="109"/>
      <c r="BZ1558" s="109"/>
      <c r="CB1558" s="10"/>
      <c r="CE1558" s="109"/>
      <c r="CF1558" s="109"/>
      <c r="CH1558" s="10"/>
      <c r="CK1558" s="109"/>
      <c r="CL1558" s="109"/>
    </row>
    <row r="1559" spans="1:90">
      <c r="A1559" s="7" t="str">
        <f t="shared" si="241"/>
        <v>03100999</v>
      </c>
      <c r="B1559" s="7" t="s">
        <v>2649</v>
      </c>
      <c r="C1559" s="7" t="s">
        <v>2782</v>
      </c>
      <c r="D1559" s="7">
        <v>1550</v>
      </c>
      <c r="E1559" s="11">
        <v>310</v>
      </c>
      <c r="F1559" s="11" t="s">
        <v>2015</v>
      </c>
      <c r="G1559" s="11">
        <v>999</v>
      </c>
      <c r="H1559" s="11" t="s">
        <v>1132</v>
      </c>
      <c r="I1559" s="134">
        <v>33789041.400000006</v>
      </c>
      <c r="J1559" s="135">
        <v>0.99999999999999989</v>
      </c>
      <c r="K1559" s="127">
        <f>SUM(K1555:K1558)</f>
        <v>34363684.462589279</v>
      </c>
      <c r="L1559" s="126">
        <f>SUM(L1555:L1558)</f>
        <v>1</v>
      </c>
      <c r="M1559" s="105">
        <f>VLOOKUP(E1559,town351,22)</f>
        <v>19429964</v>
      </c>
      <c r="N1559" s="105">
        <f>SUM(N1555:N1558)</f>
        <v>19429964</v>
      </c>
      <c r="O1559" s="128">
        <v>19644307</v>
      </c>
      <c r="P1559" s="105">
        <f>SUM(P1555:P1558)</f>
        <v>-214343</v>
      </c>
      <c r="Q1559" s="45">
        <f t="shared" si="249"/>
        <v>-1.0911201906995243</v>
      </c>
      <c r="R1559" s="105">
        <v>2970</v>
      </c>
      <c r="S1559" s="7">
        <f t="shared" si="242"/>
        <v>0</v>
      </c>
      <c r="T1559" s="124">
        <f t="shared" si="243"/>
        <v>310</v>
      </c>
      <c r="U1559" s="124">
        <f t="shared" si="244"/>
        <v>999</v>
      </c>
      <c r="V1559" s="124">
        <f t="shared" si="245"/>
        <v>1550</v>
      </c>
      <c r="W1559" s="124">
        <f t="shared" si="246"/>
        <v>2928.66351351611</v>
      </c>
      <c r="X1559" s="124">
        <f t="shared" si="247"/>
        <v>34363684.462589279</v>
      </c>
      <c r="Y1559" s="264">
        <f t="shared" si="248"/>
        <v>1550</v>
      </c>
      <c r="Z1559" s="10">
        <v>310</v>
      </c>
      <c r="AA1559" s="7">
        <v>999</v>
      </c>
      <c r="AB1559" s="7">
        <v>1550</v>
      </c>
      <c r="AC1559" s="109">
        <v>2928.66351351611</v>
      </c>
      <c r="AD1559" s="109">
        <v>34363684.462589279</v>
      </c>
      <c r="AE1559" s="125"/>
      <c r="AF1559" s="10"/>
      <c r="AI1559" s="109"/>
      <c r="AJ1559" s="109"/>
      <c r="AL1559" s="10"/>
      <c r="AO1559" s="109"/>
      <c r="AP1559" s="109"/>
      <c r="AR1559" s="10"/>
      <c r="AU1559" s="109"/>
      <c r="AV1559" s="109"/>
      <c r="AX1559" s="10"/>
      <c r="BA1559" s="109"/>
      <c r="BB1559" s="109"/>
      <c r="BD1559" s="10"/>
      <c r="BG1559" s="109"/>
      <c r="BH1559" s="109"/>
      <c r="BJ1559" s="10"/>
      <c r="BM1559" s="109"/>
      <c r="BN1559" s="109"/>
      <c r="BP1559" s="10"/>
      <c r="BS1559" s="109"/>
      <c r="BT1559" s="109"/>
      <c r="BV1559" s="10"/>
      <c r="BY1559" s="109"/>
      <c r="BZ1559" s="109"/>
      <c r="CB1559" s="10"/>
      <c r="CE1559" s="109"/>
      <c r="CF1559" s="109"/>
      <c r="CH1559" s="10"/>
      <c r="CK1559" s="109"/>
      <c r="CL1559" s="109"/>
    </row>
    <row r="1560" spans="1:90">
      <c r="A1560" s="7" t="str">
        <f t="shared" si="241"/>
        <v>03110311</v>
      </c>
      <c r="B1560" s="7" t="s">
        <v>2650</v>
      </c>
      <c r="C1560" s="7" t="s">
        <v>2650</v>
      </c>
      <c r="D1560" s="7">
        <v>1551</v>
      </c>
      <c r="E1560" s="7">
        <v>311</v>
      </c>
      <c r="F1560" s="7" t="s">
        <v>2016</v>
      </c>
      <c r="G1560" s="7">
        <v>311</v>
      </c>
      <c r="H1560" s="7" t="s">
        <v>1577</v>
      </c>
      <c r="I1560" s="70">
        <v>0</v>
      </c>
      <c r="J1560" s="131">
        <v>0</v>
      </c>
      <c r="K1560" s="123">
        <f>X1560</f>
        <v>0</v>
      </c>
      <c r="L1560" s="122">
        <f>IF(K1564&gt;0, K1560/K1564, 0)</f>
        <v>0</v>
      </c>
      <c r="M1560" s="71"/>
      <c r="N1560" s="10">
        <f>ROUND(M1564*L1560,0)</f>
        <v>0</v>
      </c>
      <c r="O1560" s="70">
        <v>0</v>
      </c>
      <c r="P1560" s="10">
        <f>N1560-O1560</f>
        <v>0</v>
      </c>
      <c r="Q1560" s="46">
        <f t="shared" si="249"/>
        <v>0</v>
      </c>
      <c r="R1560" s="10">
        <v>0</v>
      </c>
      <c r="S1560" s="7">
        <f t="shared" si="242"/>
        <v>0</v>
      </c>
      <c r="T1560" s="124">
        <f t="shared" si="243"/>
        <v>311</v>
      </c>
      <c r="U1560" s="124">
        <f t="shared" si="244"/>
        <v>311</v>
      </c>
      <c r="V1560" s="124">
        <f t="shared" si="245"/>
        <v>1551</v>
      </c>
      <c r="W1560" s="124">
        <f t="shared" si="246"/>
        <v>0</v>
      </c>
      <c r="X1560" s="124">
        <f t="shared" si="247"/>
        <v>0</v>
      </c>
      <c r="Y1560" s="264">
        <f t="shared" si="248"/>
        <v>1551</v>
      </c>
      <c r="Z1560" s="10">
        <v>311</v>
      </c>
      <c r="AA1560" s="7">
        <v>311</v>
      </c>
      <c r="AB1560" s="7">
        <v>1551</v>
      </c>
      <c r="AC1560" s="109">
        <v>0</v>
      </c>
      <c r="AD1560" s="109">
        <v>0</v>
      </c>
      <c r="AE1560" s="125"/>
      <c r="AF1560" s="10"/>
      <c r="AI1560" s="109"/>
      <c r="AJ1560" s="109"/>
      <c r="AL1560" s="10"/>
      <c r="AO1560" s="109"/>
      <c r="AP1560" s="109"/>
      <c r="AR1560" s="10"/>
      <c r="AU1560" s="109"/>
      <c r="AV1560" s="109"/>
      <c r="AX1560" s="10"/>
      <c r="BA1560" s="109"/>
      <c r="BB1560" s="109"/>
      <c r="BD1560" s="10"/>
      <c r="BG1560" s="109"/>
      <c r="BH1560" s="109"/>
      <c r="BJ1560" s="10"/>
      <c r="BM1560" s="109"/>
      <c r="BN1560" s="109"/>
      <c r="BP1560" s="10"/>
      <c r="BS1560" s="109"/>
      <c r="BT1560" s="109"/>
      <c r="BV1560" s="10"/>
      <c r="BY1560" s="109"/>
      <c r="BZ1560" s="109"/>
      <c r="CB1560" s="10"/>
      <c r="CE1560" s="109"/>
      <c r="CF1560" s="109"/>
      <c r="CH1560" s="10"/>
      <c r="CK1560" s="109"/>
      <c r="CL1560" s="109"/>
    </row>
    <row r="1561" spans="1:90">
      <c r="A1561" s="7" t="str">
        <f t="shared" si="241"/>
        <v>03110778</v>
      </c>
      <c r="B1561" s="7" t="s">
        <v>2650</v>
      </c>
      <c r="C1561" s="7" t="s">
        <v>2750</v>
      </c>
      <c r="D1561" s="7">
        <v>1552</v>
      </c>
      <c r="E1561" s="7">
        <v>311</v>
      </c>
      <c r="F1561" s="7" t="s">
        <v>2016</v>
      </c>
      <c r="G1561" s="7">
        <v>778</v>
      </c>
      <c r="H1561" s="7" t="s">
        <v>1677</v>
      </c>
      <c r="I1561" s="70">
        <v>8328425</v>
      </c>
      <c r="J1561" s="131">
        <v>0.91011569069535059</v>
      </c>
      <c r="K1561" s="123">
        <f t="shared" si="240"/>
        <v>8752902.999725271</v>
      </c>
      <c r="L1561" s="122">
        <f>IF(K1564&gt;0, K1561/K1564, 0)</f>
        <v>0.91067389850206448</v>
      </c>
      <c r="M1561" s="71"/>
      <c r="N1561" s="10">
        <f>ROUND(M1564*L1561,0)</f>
        <v>2367210</v>
      </c>
      <c r="O1561" s="70">
        <v>2347389</v>
      </c>
      <c r="P1561" s="10">
        <f>N1561-O1561</f>
        <v>19821</v>
      </c>
      <c r="Q1561" s="46">
        <f t="shared" si="249"/>
        <v>0.84438497411379199</v>
      </c>
      <c r="R1561" s="10">
        <v>791</v>
      </c>
      <c r="S1561" s="7">
        <f t="shared" si="242"/>
        <v>0</v>
      </c>
      <c r="T1561" s="124">
        <f t="shared" si="243"/>
        <v>311</v>
      </c>
      <c r="U1561" s="124">
        <f t="shared" si="244"/>
        <v>778</v>
      </c>
      <c r="V1561" s="124">
        <f t="shared" si="245"/>
        <v>1552</v>
      </c>
      <c r="W1561" s="124">
        <f t="shared" si="246"/>
        <v>807.43996961113999</v>
      </c>
      <c r="X1561" s="124">
        <f t="shared" si="247"/>
        <v>8752902.999725271</v>
      </c>
      <c r="Y1561" s="264">
        <f t="shared" si="248"/>
        <v>1552</v>
      </c>
      <c r="Z1561" s="10">
        <v>311</v>
      </c>
      <c r="AA1561" s="7">
        <v>778</v>
      </c>
      <c r="AB1561" s="7">
        <v>1552</v>
      </c>
      <c r="AC1561" s="109">
        <v>807.43996961113999</v>
      </c>
      <c r="AD1561" s="109">
        <v>8752902.999725271</v>
      </c>
      <c r="AE1561" s="125"/>
      <c r="AF1561" s="10"/>
      <c r="AI1561" s="109"/>
      <c r="AJ1561" s="109"/>
      <c r="AL1561" s="10"/>
      <c r="AO1561" s="109"/>
      <c r="AP1561" s="109"/>
      <c r="AR1561" s="10"/>
      <c r="AU1561" s="109"/>
      <c r="AV1561" s="109"/>
      <c r="AX1561" s="10"/>
      <c r="BA1561" s="109"/>
      <c r="BB1561" s="109"/>
      <c r="BD1561" s="10"/>
      <c r="BG1561" s="109"/>
      <c r="BH1561" s="109"/>
      <c r="BJ1561" s="10"/>
      <c r="BM1561" s="109"/>
      <c r="BN1561" s="109"/>
      <c r="BP1561" s="10"/>
      <c r="BS1561" s="109"/>
      <c r="BT1561" s="109"/>
      <c r="BV1561" s="10"/>
      <c r="BY1561" s="109"/>
      <c r="BZ1561" s="109"/>
      <c r="CB1561" s="10"/>
      <c r="CE1561" s="109"/>
      <c r="CF1561" s="109"/>
      <c r="CH1561" s="10"/>
      <c r="CK1561" s="109"/>
      <c r="CL1561" s="109"/>
    </row>
    <row r="1562" spans="1:90">
      <c r="A1562" s="7" t="str">
        <f t="shared" si="241"/>
        <v>03110860</v>
      </c>
      <c r="B1562" s="7" t="s">
        <v>2650</v>
      </c>
      <c r="C1562" s="7" t="s">
        <v>2770</v>
      </c>
      <c r="D1562" s="7">
        <v>1553</v>
      </c>
      <c r="E1562" s="7">
        <v>311</v>
      </c>
      <c r="F1562" s="7" t="s">
        <v>2016</v>
      </c>
      <c r="G1562" s="7">
        <v>860</v>
      </c>
      <c r="H1562" s="7" t="s">
        <v>1697</v>
      </c>
      <c r="I1562" s="70">
        <v>822527</v>
      </c>
      <c r="J1562" s="131">
        <v>8.9884309304649398E-2</v>
      </c>
      <c r="K1562" s="123">
        <f t="shared" si="240"/>
        <v>858553.98188210162</v>
      </c>
      <c r="L1562" s="122">
        <f>IF(K1564&gt;0, K1562/K1564, 0)</f>
        <v>8.9326101497935573E-2</v>
      </c>
      <c r="M1562" s="71"/>
      <c r="N1562" s="10">
        <f>ROUND(M1564*L1562,0)</f>
        <v>232195</v>
      </c>
      <c r="O1562" s="70">
        <v>231831</v>
      </c>
      <c r="P1562" s="10">
        <f>N1562-O1562</f>
        <v>364</v>
      </c>
      <c r="Q1562" s="46">
        <f t="shared" si="249"/>
        <v>0.15701092606251968</v>
      </c>
      <c r="R1562" s="10">
        <v>51</v>
      </c>
      <c r="S1562" s="7">
        <f t="shared" si="242"/>
        <v>0</v>
      </c>
      <c r="T1562" s="124">
        <f t="shared" si="243"/>
        <v>311</v>
      </c>
      <c r="U1562" s="124">
        <f t="shared" si="244"/>
        <v>860</v>
      </c>
      <c r="V1562" s="124">
        <f t="shared" si="245"/>
        <v>1553</v>
      </c>
      <c r="W1562" s="124">
        <f t="shared" si="246"/>
        <v>52.000000001320004</v>
      </c>
      <c r="X1562" s="124">
        <f t="shared" si="247"/>
        <v>858553.98188210162</v>
      </c>
      <c r="Y1562" s="264">
        <f t="shared" si="248"/>
        <v>1553</v>
      </c>
      <c r="Z1562" s="10">
        <v>311</v>
      </c>
      <c r="AA1562" s="7">
        <v>860</v>
      </c>
      <c r="AB1562" s="7">
        <v>1553</v>
      </c>
      <c r="AC1562" s="109">
        <v>52.000000001320004</v>
      </c>
      <c r="AD1562" s="109">
        <v>858553.98188210162</v>
      </c>
      <c r="AE1562" s="125"/>
      <c r="AF1562" s="10"/>
      <c r="AI1562" s="109"/>
      <c r="AJ1562" s="109"/>
      <c r="AL1562" s="10"/>
      <c r="AO1562" s="109"/>
      <c r="AP1562" s="109"/>
      <c r="AR1562" s="10"/>
      <c r="AU1562" s="109"/>
      <c r="AV1562" s="109"/>
      <c r="AX1562" s="10"/>
      <c r="BA1562" s="109"/>
      <c r="BB1562" s="109"/>
      <c r="BD1562" s="10"/>
      <c r="BG1562" s="109"/>
      <c r="BH1562" s="109"/>
      <c r="BJ1562" s="10"/>
      <c r="BM1562" s="109"/>
      <c r="BN1562" s="109"/>
      <c r="BP1562" s="10"/>
      <c r="BS1562" s="109"/>
      <c r="BT1562" s="109"/>
      <c r="BV1562" s="10"/>
      <c r="BY1562" s="109"/>
      <c r="BZ1562" s="109"/>
      <c r="CB1562" s="10"/>
      <c r="CE1562" s="109"/>
      <c r="CF1562" s="109"/>
      <c r="CH1562" s="10"/>
      <c r="CK1562" s="109"/>
      <c r="CL1562" s="109"/>
    </row>
    <row r="1563" spans="1:90">
      <c r="A1563" s="7" t="str">
        <f t="shared" si="241"/>
        <v>03110998</v>
      </c>
      <c r="B1563" s="7" t="s">
        <v>2650</v>
      </c>
      <c r="C1563" s="7" t="s">
        <v>2781</v>
      </c>
      <c r="D1563" s="7">
        <v>1554</v>
      </c>
      <c r="E1563" s="7">
        <v>311</v>
      </c>
      <c r="F1563" s="7" t="s">
        <v>2135</v>
      </c>
      <c r="G1563" s="7">
        <v>998</v>
      </c>
      <c r="H1563" s="7" t="s">
        <v>2135</v>
      </c>
      <c r="I1563" s="70">
        <v>0</v>
      </c>
      <c r="J1563" s="131">
        <v>0</v>
      </c>
      <c r="K1563" s="123">
        <f t="shared" si="240"/>
        <v>0</v>
      </c>
      <c r="L1563" s="122">
        <f>IF(K1564&gt;0, K1563/K1564, 0)</f>
        <v>0</v>
      </c>
      <c r="M1563" s="71"/>
      <c r="N1563" s="10">
        <f>ROUND(M1564*L1563,0)</f>
        <v>0</v>
      </c>
      <c r="O1563" s="70">
        <v>0</v>
      </c>
      <c r="P1563" s="10">
        <f>N1563-O1563</f>
        <v>0</v>
      </c>
      <c r="Q1563" s="46">
        <f t="shared" si="249"/>
        <v>0</v>
      </c>
      <c r="R1563" s="10">
        <v>0</v>
      </c>
      <c r="S1563" s="7">
        <f t="shared" si="242"/>
        <v>0</v>
      </c>
      <c r="T1563" s="124">
        <f t="shared" si="243"/>
        <v>311</v>
      </c>
      <c r="U1563" s="124">
        <f t="shared" si="244"/>
        <v>998</v>
      </c>
      <c r="V1563" s="124">
        <f t="shared" si="245"/>
        <v>1554</v>
      </c>
      <c r="W1563" s="124">
        <f t="shared" si="246"/>
        <v>0</v>
      </c>
      <c r="X1563" s="124">
        <f t="shared" si="247"/>
        <v>0</v>
      </c>
      <c r="Y1563" s="264">
        <f t="shared" si="248"/>
        <v>1554</v>
      </c>
      <c r="Z1563" s="10">
        <v>311</v>
      </c>
      <c r="AA1563" s="7">
        <v>998</v>
      </c>
      <c r="AB1563" s="7">
        <v>1554</v>
      </c>
      <c r="AC1563" s="109">
        <v>0</v>
      </c>
      <c r="AD1563" s="109">
        <v>0</v>
      </c>
      <c r="AE1563" s="125"/>
      <c r="AF1563" s="10"/>
      <c r="AI1563" s="109"/>
      <c r="AJ1563" s="109"/>
      <c r="AL1563" s="10"/>
      <c r="AO1563" s="109"/>
      <c r="AP1563" s="109"/>
      <c r="AR1563" s="10"/>
      <c r="AU1563" s="109"/>
      <c r="AV1563" s="109"/>
      <c r="AX1563" s="10"/>
      <c r="BA1563" s="109"/>
      <c r="BB1563" s="109"/>
      <c r="BD1563" s="10"/>
      <c r="BG1563" s="109"/>
      <c r="BH1563" s="109"/>
      <c r="BJ1563" s="10"/>
      <c r="BM1563" s="109"/>
      <c r="BN1563" s="109"/>
      <c r="BP1563" s="10"/>
      <c r="BS1563" s="109"/>
      <c r="BT1563" s="109"/>
      <c r="BV1563" s="10"/>
      <c r="BY1563" s="109"/>
      <c r="BZ1563" s="109"/>
      <c r="CB1563" s="10"/>
      <c r="CE1563" s="109"/>
      <c r="CF1563" s="109"/>
      <c r="CH1563" s="10"/>
      <c r="CK1563" s="109"/>
      <c r="CL1563" s="109"/>
    </row>
    <row r="1564" spans="1:90">
      <c r="A1564" s="7" t="str">
        <f t="shared" si="241"/>
        <v>03110999</v>
      </c>
      <c r="B1564" s="7" t="s">
        <v>2650</v>
      </c>
      <c r="C1564" s="7" t="s">
        <v>2782</v>
      </c>
      <c r="D1564" s="7">
        <v>1555</v>
      </c>
      <c r="E1564" s="11">
        <v>311</v>
      </c>
      <c r="F1564" s="11" t="s">
        <v>2016</v>
      </c>
      <c r="G1564" s="11">
        <v>999</v>
      </c>
      <c r="H1564" s="11" t="s">
        <v>1132</v>
      </c>
      <c r="I1564" s="134">
        <v>9150952</v>
      </c>
      <c r="J1564" s="135">
        <v>1</v>
      </c>
      <c r="K1564" s="127">
        <f>SUM(K1560:K1563)</f>
        <v>9611456.9816073719</v>
      </c>
      <c r="L1564" s="126">
        <f>SUM(L1560:L1563)</f>
        <v>1</v>
      </c>
      <c r="M1564" s="105">
        <f>VLOOKUP(E1564,town351,22)</f>
        <v>2599405</v>
      </c>
      <c r="N1564" s="105">
        <f>SUM(N1560:N1563)</f>
        <v>2599405</v>
      </c>
      <c r="O1564" s="128">
        <v>2579220</v>
      </c>
      <c r="P1564" s="105">
        <f>SUM(P1560:P1563)</f>
        <v>20185</v>
      </c>
      <c r="Q1564" s="45">
        <f t="shared" si="249"/>
        <v>0.78260094136987146</v>
      </c>
      <c r="R1564" s="105">
        <v>842</v>
      </c>
      <c r="S1564" s="7">
        <f t="shared" si="242"/>
        <v>0</v>
      </c>
      <c r="T1564" s="124">
        <f t="shared" si="243"/>
        <v>311</v>
      </c>
      <c r="U1564" s="124">
        <f t="shared" si="244"/>
        <v>999</v>
      </c>
      <c r="V1564" s="124">
        <f t="shared" si="245"/>
        <v>1555</v>
      </c>
      <c r="W1564" s="124">
        <f t="shared" si="246"/>
        <v>859.43996961246</v>
      </c>
      <c r="X1564" s="124">
        <f t="shared" si="247"/>
        <v>9611456.9816073719</v>
      </c>
      <c r="Y1564" s="264">
        <f t="shared" si="248"/>
        <v>1555</v>
      </c>
      <c r="Z1564" s="10">
        <v>311</v>
      </c>
      <c r="AA1564" s="7">
        <v>999</v>
      </c>
      <c r="AB1564" s="7">
        <v>1555</v>
      </c>
      <c r="AC1564" s="109">
        <v>859.43996961246</v>
      </c>
      <c r="AD1564" s="109">
        <v>9611456.9816073719</v>
      </c>
      <c r="AE1564" s="125"/>
      <c r="AF1564" s="10"/>
      <c r="AI1564" s="109"/>
      <c r="AJ1564" s="109"/>
      <c r="AL1564" s="10"/>
      <c r="AO1564" s="109"/>
      <c r="AP1564" s="109"/>
      <c r="AR1564" s="10"/>
      <c r="AU1564" s="109"/>
      <c r="AV1564" s="109"/>
      <c r="AX1564" s="10"/>
      <c r="BA1564" s="109"/>
      <c r="BB1564" s="109"/>
      <c r="BD1564" s="10"/>
      <c r="BG1564" s="109"/>
      <c r="BH1564" s="109"/>
      <c r="BJ1564" s="10"/>
      <c r="BM1564" s="109"/>
      <c r="BN1564" s="109"/>
      <c r="BP1564" s="10"/>
      <c r="BS1564" s="109"/>
      <c r="BT1564" s="109"/>
      <c r="BV1564" s="10"/>
      <c r="BY1564" s="109"/>
      <c r="BZ1564" s="109"/>
      <c r="CB1564" s="10"/>
      <c r="CE1564" s="109"/>
      <c r="CF1564" s="109"/>
      <c r="CH1564" s="10"/>
      <c r="CK1564" s="109"/>
      <c r="CL1564" s="109"/>
    </row>
    <row r="1565" spans="1:90">
      <c r="A1565" s="7" t="str">
        <f t="shared" si="241"/>
        <v>03120312</v>
      </c>
      <c r="B1565" s="7" t="s">
        <v>2651</v>
      </c>
      <c r="C1565" s="7" t="s">
        <v>2651</v>
      </c>
      <c r="D1565" s="7">
        <v>1556</v>
      </c>
      <c r="E1565" s="7">
        <v>312</v>
      </c>
      <c r="F1565" s="7" t="s">
        <v>2017</v>
      </c>
      <c r="G1565" s="7">
        <v>312</v>
      </c>
      <c r="H1565" s="7" t="s">
        <v>1578</v>
      </c>
      <c r="I1565" s="70">
        <v>0</v>
      </c>
      <c r="J1565" s="131">
        <v>0</v>
      </c>
      <c r="K1565" s="123">
        <f>X1565</f>
        <v>0</v>
      </c>
      <c r="L1565" s="122">
        <f>IF(K1569&gt;0, K1565/K1569, 0)</f>
        <v>0</v>
      </c>
      <c r="M1565" s="71"/>
      <c r="N1565" s="10">
        <f>ROUND(M1569*L1565,0)</f>
        <v>0</v>
      </c>
      <c r="O1565" s="70">
        <v>0</v>
      </c>
      <c r="P1565" s="10">
        <f>N1565-O1565</f>
        <v>0</v>
      </c>
      <c r="Q1565" s="46">
        <f t="shared" si="249"/>
        <v>0</v>
      </c>
      <c r="R1565" s="10">
        <v>0</v>
      </c>
      <c r="S1565" s="7">
        <f t="shared" si="242"/>
        <v>0</v>
      </c>
      <c r="T1565" s="124">
        <f t="shared" si="243"/>
        <v>312</v>
      </c>
      <c r="U1565" s="124">
        <f t="shared" si="244"/>
        <v>312</v>
      </c>
      <c r="V1565" s="124">
        <f t="shared" si="245"/>
        <v>1556</v>
      </c>
      <c r="W1565" s="124">
        <f t="shared" si="246"/>
        <v>0</v>
      </c>
      <c r="X1565" s="124">
        <f t="shared" si="247"/>
        <v>0</v>
      </c>
      <c r="Y1565" s="264">
        <f t="shared" si="248"/>
        <v>1556</v>
      </c>
      <c r="Z1565" s="10">
        <v>312</v>
      </c>
      <c r="AA1565" s="7">
        <v>312</v>
      </c>
      <c r="AB1565" s="7">
        <v>1556</v>
      </c>
      <c r="AC1565" s="109">
        <v>0</v>
      </c>
      <c r="AD1565" s="109">
        <v>0</v>
      </c>
      <c r="AE1565" s="125"/>
      <c r="AF1565" s="10"/>
      <c r="AI1565" s="109"/>
      <c r="AJ1565" s="109"/>
      <c r="AL1565" s="10"/>
      <c r="AO1565" s="109"/>
      <c r="AP1565" s="109"/>
      <c r="AR1565" s="10"/>
      <c r="AU1565" s="109"/>
      <c r="AV1565" s="109"/>
      <c r="AX1565" s="10"/>
      <c r="BA1565" s="109"/>
      <c r="BB1565" s="109"/>
      <c r="BD1565" s="10"/>
      <c r="BG1565" s="109"/>
      <c r="BH1565" s="109"/>
      <c r="BJ1565" s="10"/>
      <c r="BM1565" s="109"/>
      <c r="BN1565" s="109"/>
      <c r="BP1565" s="10"/>
      <c r="BS1565" s="109"/>
      <c r="BT1565" s="109"/>
      <c r="BV1565" s="10"/>
      <c r="BY1565" s="109"/>
      <c r="BZ1565" s="109"/>
      <c r="CB1565" s="10"/>
      <c r="CE1565" s="109"/>
      <c r="CF1565" s="109"/>
      <c r="CH1565" s="10"/>
      <c r="CK1565" s="109"/>
      <c r="CL1565" s="109"/>
    </row>
    <row r="1566" spans="1:90">
      <c r="A1566" s="7" t="str">
        <f t="shared" si="241"/>
        <v>03120750</v>
      </c>
      <c r="B1566" s="7" t="s">
        <v>2651</v>
      </c>
      <c r="C1566" s="7" t="s">
        <v>2738</v>
      </c>
      <c r="D1566" s="7">
        <v>1557</v>
      </c>
      <c r="E1566" s="7">
        <v>312</v>
      </c>
      <c r="F1566" s="7" t="s">
        <v>2017</v>
      </c>
      <c r="G1566" s="7">
        <v>750</v>
      </c>
      <c r="H1566" s="7" t="s">
        <v>1665</v>
      </c>
      <c r="I1566" s="70">
        <v>661778</v>
      </c>
      <c r="J1566" s="131">
        <v>0.91071202488096226</v>
      </c>
      <c r="K1566" s="123">
        <f t="shared" si="240"/>
        <v>751842.68150089041</v>
      </c>
      <c r="L1566" s="122">
        <f>IF(K1569&gt;0, K1566/K1569, 0)</f>
        <v>0.83446281095320152</v>
      </c>
      <c r="M1566" s="71"/>
      <c r="N1566" s="10">
        <f>ROUND(M1569*L1566,0)</f>
        <v>415411</v>
      </c>
      <c r="O1566" s="70">
        <v>481043</v>
      </c>
      <c r="P1566" s="10">
        <f>N1566-O1566</f>
        <v>-65632</v>
      </c>
      <c r="Q1566" s="46">
        <f t="shared" si="249"/>
        <v>-13.64368673902333</v>
      </c>
      <c r="R1566" s="10">
        <v>66</v>
      </c>
      <c r="S1566" s="7">
        <f t="shared" si="242"/>
        <v>0</v>
      </c>
      <c r="T1566" s="124">
        <f t="shared" si="243"/>
        <v>312</v>
      </c>
      <c r="U1566" s="124">
        <f t="shared" si="244"/>
        <v>750</v>
      </c>
      <c r="V1566" s="124">
        <f t="shared" si="245"/>
        <v>1557</v>
      </c>
      <c r="W1566" s="124">
        <f t="shared" si="246"/>
        <v>73.492455415679999</v>
      </c>
      <c r="X1566" s="124">
        <f t="shared" si="247"/>
        <v>751842.68150089041</v>
      </c>
      <c r="Y1566" s="264">
        <f t="shared" si="248"/>
        <v>1557</v>
      </c>
      <c r="Z1566" s="10">
        <v>312</v>
      </c>
      <c r="AA1566" s="7">
        <v>750</v>
      </c>
      <c r="AB1566" s="7">
        <v>1557</v>
      </c>
      <c r="AC1566" s="109">
        <v>73.492455415679999</v>
      </c>
      <c r="AD1566" s="109">
        <v>751842.68150089041</v>
      </c>
      <c r="AE1566" s="125"/>
      <c r="AF1566" s="10"/>
      <c r="AI1566" s="109"/>
      <c r="AJ1566" s="109"/>
      <c r="AL1566" s="10"/>
      <c r="AO1566" s="109"/>
      <c r="AP1566" s="109"/>
      <c r="AR1566" s="10"/>
      <c r="AU1566" s="109"/>
      <c r="AV1566" s="109"/>
      <c r="AX1566" s="10"/>
      <c r="BA1566" s="109"/>
      <c r="BB1566" s="109"/>
      <c r="BD1566" s="10"/>
      <c r="BG1566" s="109"/>
      <c r="BH1566" s="109"/>
      <c r="BJ1566" s="10"/>
      <c r="BM1566" s="109"/>
      <c r="BN1566" s="109"/>
      <c r="BP1566" s="10"/>
      <c r="BS1566" s="109"/>
      <c r="BT1566" s="109"/>
      <c r="BV1566" s="10"/>
      <c r="BY1566" s="109"/>
      <c r="BZ1566" s="109"/>
      <c r="CB1566" s="10"/>
      <c r="CE1566" s="109"/>
      <c r="CF1566" s="109"/>
      <c r="CH1566" s="10"/>
      <c r="CK1566" s="109"/>
      <c r="CL1566" s="109"/>
    </row>
    <row r="1567" spans="1:90">
      <c r="A1567" s="7" t="str">
        <f t="shared" si="241"/>
        <v>03120818</v>
      </c>
      <c r="B1567" s="7" t="s">
        <v>2651</v>
      </c>
      <c r="C1567" s="7" t="s">
        <v>2758</v>
      </c>
      <c r="D1567" s="7">
        <v>1558</v>
      </c>
      <c r="E1567" s="7">
        <v>312</v>
      </c>
      <c r="F1567" s="7" t="s">
        <v>2017</v>
      </c>
      <c r="G1567" s="7">
        <v>818</v>
      </c>
      <c r="H1567" s="7" t="s">
        <v>1685</v>
      </c>
      <c r="I1567" s="70">
        <v>64882</v>
      </c>
      <c r="J1567" s="131">
        <v>8.9287975119037785E-2</v>
      </c>
      <c r="K1567" s="123">
        <f t="shared" si="240"/>
        <v>149147.35859696049</v>
      </c>
      <c r="L1567" s="122">
        <f>IF(K1569&gt;0, K1567/K1569, 0)</f>
        <v>0.16553718904679848</v>
      </c>
      <c r="M1567" s="71"/>
      <c r="N1567" s="10">
        <f>ROUND(M1569*L1567,0)</f>
        <v>82408</v>
      </c>
      <c r="O1567" s="70">
        <v>47162</v>
      </c>
      <c r="P1567" s="10">
        <f>N1567-O1567</f>
        <v>35246</v>
      </c>
      <c r="Q1567" s="46">
        <f t="shared" si="249"/>
        <v>74.733895933166536</v>
      </c>
      <c r="R1567" s="10">
        <v>4</v>
      </c>
      <c r="S1567" s="7">
        <f t="shared" si="242"/>
        <v>0</v>
      </c>
      <c r="T1567" s="124">
        <f t="shared" si="243"/>
        <v>312</v>
      </c>
      <c r="U1567" s="124">
        <f t="shared" si="244"/>
        <v>818</v>
      </c>
      <c r="V1567" s="124">
        <f t="shared" si="245"/>
        <v>1558</v>
      </c>
      <c r="W1567" s="124">
        <f t="shared" si="246"/>
        <v>9.0000000021600002</v>
      </c>
      <c r="X1567" s="124">
        <f t="shared" si="247"/>
        <v>149147.35859696049</v>
      </c>
      <c r="Y1567" s="264">
        <f t="shared" si="248"/>
        <v>1558</v>
      </c>
      <c r="Z1567" s="10">
        <v>312</v>
      </c>
      <c r="AA1567" s="7">
        <v>818</v>
      </c>
      <c r="AB1567" s="7">
        <v>1558</v>
      </c>
      <c r="AC1567" s="109">
        <v>9.0000000021600002</v>
      </c>
      <c r="AD1567" s="109">
        <v>149147.35859696049</v>
      </c>
      <c r="AE1567" s="125"/>
      <c r="AF1567" s="10"/>
      <c r="AI1567" s="109"/>
      <c r="AJ1567" s="109"/>
      <c r="AL1567" s="10"/>
      <c r="AO1567" s="109"/>
      <c r="AP1567" s="109"/>
      <c r="AR1567" s="10"/>
      <c r="AU1567" s="109"/>
      <c r="AV1567" s="109"/>
      <c r="AX1567" s="10"/>
      <c r="BA1567" s="109"/>
      <c r="BB1567" s="109"/>
      <c r="BD1567" s="10"/>
      <c r="BG1567" s="109"/>
      <c r="BH1567" s="109"/>
      <c r="BJ1567" s="10"/>
      <c r="BM1567" s="109"/>
      <c r="BN1567" s="109"/>
      <c r="BP1567" s="10"/>
      <c r="BS1567" s="109"/>
      <c r="BT1567" s="109"/>
      <c r="BV1567" s="10"/>
      <c r="BY1567" s="109"/>
      <c r="BZ1567" s="109"/>
      <c r="CB1567" s="10"/>
      <c r="CE1567" s="109"/>
      <c r="CF1567" s="109"/>
      <c r="CH1567" s="10"/>
      <c r="CK1567" s="109"/>
      <c r="CL1567" s="109"/>
    </row>
    <row r="1568" spans="1:90">
      <c r="A1568" s="7" t="str">
        <f t="shared" si="241"/>
        <v>03120998</v>
      </c>
      <c r="B1568" s="7" t="s">
        <v>2651</v>
      </c>
      <c r="C1568" s="7" t="s">
        <v>2781</v>
      </c>
      <c r="D1568" s="7">
        <v>1559</v>
      </c>
      <c r="E1568" s="7">
        <v>312</v>
      </c>
      <c r="F1568" s="7" t="s">
        <v>2135</v>
      </c>
      <c r="G1568" s="7">
        <v>998</v>
      </c>
      <c r="H1568" s="7" t="s">
        <v>2135</v>
      </c>
      <c r="I1568" s="70">
        <v>0</v>
      </c>
      <c r="J1568" s="131">
        <v>0</v>
      </c>
      <c r="K1568" s="123">
        <f t="shared" si="240"/>
        <v>0</v>
      </c>
      <c r="L1568" s="122">
        <f>IF(K1569&gt;0, K1568/K1569, 0)</f>
        <v>0</v>
      </c>
      <c r="M1568" s="71"/>
      <c r="N1568" s="10">
        <f>ROUND(M1569*L1568,0)</f>
        <v>0</v>
      </c>
      <c r="O1568" s="70">
        <v>0</v>
      </c>
      <c r="P1568" s="10">
        <f>N1568-O1568</f>
        <v>0</v>
      </c>
      <c r="Q1568" s="46">
        <f t="shared" si="249"/>
        <v>0</v>
      </c>
      <c r="R1568" s="10">
        <v>0</v>
      </c>
      <c r="S1568" s="7">
        <f t="shared" si="242"/>
        <v>0</v>
      </c>
      <c r="T1568" s="124">
        <f t="shared" si="243"/>
        <v>312</v>
      </c>
      <c r="U1568" s="124">
        <f t="shared" si="244"/>
        <v>998</v>
      </c>
      <c r="V1568" s="124">
        <f t="shared" si="245"/>
        <v>1559</v>
      </c>
      <c r="W1568" s="124">
        <f t="shared" si="246"/>
        <v>0</v>
      </c>
      <c r="X1568" s="124">
        <f t="shared" si="247"/>
        <v>0</v>
      </c>
      <c r="Y1568" s="264">
        <f t="shared" si="248"/>
        <v>1559</v>
      </c>
      <c r="Z1568" s="10">
        <v>312</v>
      </c>
      <c r="AA1568" s="7">
        <v>998</v>
      </c>
      <c r="AB1568" s="7">
        <v>1559</v>
      </c>
      <c r="AC1568" s="109">
        <v>0</v>
      </c>
      <c r="AD1568" s="109">
        <v>0</v>
      </c>
      <c r="AE1568" s="125"/>
      <c r="AF1568" s="10"/>
      <c r="AI1568" s="109"/>
      <c r="AJ1568" s="109"/>
      <c r="AL1568" s="10"/>
      <c r="AO1568" s="109"/>
      <c r="AP1568" s="109"/>
      <c r="AR1568" s="10"/>
      <c r="AU1568" s="109"/>
      <c r="AV1568" s="109"/>
      <c r="AX1568" s="10"/>
      <c r="BA1568" s="109"/>
      <c r="BB1568" s="109"/>
      <c r="BD1568" s="10"/>
      <c r="BG1568" s="109"/>
      <c r="BH1568" s="109"/>
      <c r="BJ1568" s="10"/>
      <c r="BM1568" s="109"/>
      <c r="BN1568" s="109"/>
      <c r="BP1568" s="10"/>
      <c r="BS1568" s="109"/>
      <c r="BT1568" s="109"/>
      <c r="BV1568" s="10"/>
      <c r="BY1568" s="109"/>
      <c r="BZ1568" s="109"/>
      <c r="CB1568" s="10"/>
      <c r="CE1568" s="109"/>
      <c r="CF1568" s="109"/>
      <c r="CH1568" s="10"/>
      <c r="CK1568" s="109"/>
      <c r="CL1568" s="109"/>
    </row>
    <row r="1569" spans="1:90">
      <c r="A1569" s="7" t="str">
        <f t="shared" si="241"/>
        <v>03120999</v>
      </c>
      <c r="B1569" s="7" t="s">
        <v>2651</v>
      </c>
      <c r="C1569" s="7" t="s">
        <v>2782</v>
      </c>
      <c r="D1569" s="7">
        <v>1560</v>
      </c>
      <c r="E1569" s="11">
        <v>312</v>
      </c>
      <c r="F1569" s="11" t="s">
        <v>2017</v>
      </c>
      <c r="G1569" s="11">
        <v>999</v>
      </c>
      <c r="H1569" s="11" t="s">
        <v>1132</v>
      </c>
      <c r="I1569" s="134">
        <v>726660</v>
      </c>
      <c r="J1569" s="135">
        <v>1</v>
      </c>
      <c r="K1569" s="127">
        <f>SUM(K1565:K1568)</f>
        <v>900990.04009785084</v>
      </c>
      <c r="L1569" s="126">
        <f>SUM(L1565:L1568)</f>
        <v>1</v>
      </c>
      <c r="M1569" s="105">
        <f>VLOOKUP(E1569,town351,22)</f>
        <v>497819</v>
      </c>
      <c r="N1569" s="105">
        <f>SUM(N1565:N1568)</f>
        <v>497819</v>
      </c>
      <c r="O1569" s="128">
        <v>528205</v>
      </c>
      <c r="P1569" s="105">
        <f>SUM(P1565:P1568)</f>
        <v>-30386</v>
      </c>
      <c r="Q1569" s="45">
        <f t="shared" si="249"/>
        <v>-5.7526907166725039</v>
      </c>
      <c r="R1569" s="105">
        <v>70</v>
      </c>
      <c r="S1569" s="7">
        <f t="shared" si="242"/>
        <v>0</v>
      </c>
      <c r="T1569" s="124">
        <f t="shared" si="243"/>
        <v>312</v>
      </c>
      <c r="U1569" s="124">
        <f t="shared" si="244"/>
        <v>999</v>
      </c>
      <c r="V1569" s="124">
        <f t="shared" si="245"/>
        <v>1560</v>
      </c>
      <c r="W1569" s="124">
        <f t="shared" si="246"/>
        <v>82.492455417840006</v>
      </c>
      <c r="X1569" s="124">
        <f t="shared" si="247"/>
        <v>900990.04009785084</v>
      </c>
      <c r="Y1569" s="264">
        <f t="shared" si="248"/>
        <v>1560</v>
      </c>
      <c r="Z1569" s="10">
        <v>312</v>
      </c>
      <c r="AA1569" s="7">
        <v>999</v>
      </c>
      <c r="AB1569" s="7">
        <v>1560</v>
      </c>
      <c r="AC1569" s="109">
        <v>82.492455417840006</v>
      </c>
      <c r="AD1569" s="109">
        <v>900990.04009785084</v>
      </c>
      <c r="AE1569" s="125"/>
      <c r="AF1569" s="10"/>
      <c r="AI1569" s="109"/>
      <c r="AJ1569" s="109"/>
      <c r="AL1569" s="10"/>
      <c r="AO1569" s="109"/>
      <c r="AP1569" s="109"/>
      <c r="AR1569" s="10"/>
      <c r="AU1569" s="109"/>
      <c r="AV1569" s="109"/>
      <c r="AX1569" s="10"/>
      <c r="BA1569" s="109"/>
      <c r="BB1569" s="109"/>
      <c r="BD1569" s="10"/>
      <c r="BG1569" s="109"/>
      <c r="BH1569" s="109"/>
      <c r="BJ1569" s="10"/>
      <c r="BM1569" s="109"/>
      <c r="BN1569" s="109"/>
      <c r="BP1569" s="10"/>
      <c r="BS1569" s="109"/>
      <c r="BT1569" s="109"/>
      <c r="BV1569" s="10"/>
      <c r="BY1569" s="109"/>
      <c r="BZ1569" s="109"/>
      <c r="CB1569" s="10"/>
      <c r="CE1569" s="109"/>
      <c r="CF1569" s="109"/>
      <c r="CH1569" s="10"/>
      <c r="CK1569" s="109"/>
      <c r="CL1569" s="109"/>
    </row>
    <row r="1570" spans="1:90">
      <c r="A1570" s="7" t="str">
        <f t="shared" si="241"/>
        <v>03130313</v>
      </c>
      <c r="B1570" s="7" t="s">
        <v>2652</v>
      </c>
      <c r="C1570" s="7" t="s">
        <v>2652</v>
      </c>
      <c r="D1570" s="7">
        <v>1561</v>
      </c>
      <c r="E1570" s="7">
        <v>313</v>
      </c>
      <c r="F1570" s="7" t="s">
        <v>2018</v>
      </c>
      <c r="G1570" s="7">
        <v>313</v>
      </c>
      <c r="H1570" s="7" t="s">
        <v>1579</v>
      </c>
      <c r="I1570" s="70">
        <v>13170.920000000002</v>
      </c>
      <c r="J1570" s="131">
        <v>2.2518630514268397E-2</v>
      </c>
      <c r="K1570" s="123">
        <f>X1570</f>
        <v>26833.666687179095</v>
      </c>
      <c r="L1570" s="122">
        <f>IF(K1574&gt;0, K1570/K1574, 0)</f>
        <v>4.8262055428561525E-2</v>
      </c>
      <c r="M1570" s="71"/>
      <c r="N1570" s="10">
        <f>ROUND(M1574*L1570,0)</f>
        <v>22444</v>
      </c>
      <c r="O1570" s="70">
        <v>10882</v>
      </c>
      <c r="P1570" s="10">
        <f>N1570-O1570</f>
        <v>11562</v>
      </c>
      <c r="Q1570" s="46">
        <f t="shared" si="249"/>
        <v>106.24885131409667</v>
      </c>
      <c r="R1570" s="10">
        <v>1</v>
      </c>
      <c r="S1570" s="7">
        <f t="shared" si="242"/>
        <v>0</v>
      </c>
      <c r="T1570" s="124">
        <f t="shared" si="243"/>
        <v>313</v>
      </c>
      <c r="U1570" s="124">
        <f t="shared" si="244"/>
        <v>313</v>
      </c>
      <c r="V1570" s="124">
        <f t="shared" si="245"/>
        <v>1561</v>
      </c>
      <c r="W1570" s="124">
        <f t="shared" si="246"/>
        <v>2</v>
      </c>
      <c r="X1570" s="124">
        <f t="shared" si="247"/>
        <v>26833.666687179095</v>
      </c>
      <c r="Y1570" s="264">
        <f t="shared" si="248"/>
        <v>1561</v>
      </c>
      <c r="Z1570" s="10">
        <v>313</v>
      </c>
      <c r="AA1570" s="7">
        <v>313</v>
      </c>
      <c r="AB1570" s="7">
        <v>1561</v>
      </c>
      <c r="AC1570" s="109">
        <v>2</v>
      </c>
      <c r="AD1570" s="109">
        <v>26833.666687179095</v>
      </c>
      <c r="AE1570" s="125"/>
      <c r="AF1570" s="10"/>
      <c r="AI1570" s="109"/>
      <c r="AJ1570" s="109"/>
      <c r="AL1570" s="10"/>
      <c r="AO1570" s="109"/>
      <c r="AP1570" s="109"/>
      <c r="AR1570" s="10"/>
      <c r="AU1570" s="109"/>
      <c r="AV1570" s="109"/>
      <c r="AX1570" s="10"/>
      <c r="BA1570" s="109"/>
      <c r="BB1570" s="109"/>
      <c r="BD1570" s="10"/>
      <c r="BG1570" s="109"/>
      <c r="BH1570" s="109"/>
      <c r="BJ1570" s="10"/>
      <c r="BM1570" s="109"/>
      <c r="BN1570" s="109"/>
      <c r="BP1570" s="10"/>
      <c r="BS1570" s="109"/>
      <c r="BT1570" s="109"/>
      <c r="BV1570" s="10"/>
      <c r="BY1570" s="109"/>
      <c r="BZ1570" s="109"/>
      <c r="CB1570" s="10"/>
      <c r="CE1570" s="109"/>
      <c r="CF1570" s="109"/>
      <c r="CH1570" s="10"/>
      <c r="CK1570" s="109"/>
      <c r="CL1570" s="109"/>
    </row>
    <row r="1571" spans="1:90">
      <c r="A1571" s="7" t="str">
        <f t="shared" si="241"/>
        <v>03130635</v>
      </c>
      <c r="B1571" s="7" t="s">
        <v>2652</v>
      </c>
      <c r="C1571" s="7" t="s">
        <v>2705</v>
      </c>
      <c r="D1571" s="7">
        <v>1562</v>
      </c>
      <c r="E1571" s="7">
        <v>313</v>
      </c>
      <c r="F1571" s="7" t="s">
        <v>2018</v>
      </c>
      <c r="G1571" s="7">
        <v>635</v>
      </c>
      <c r="H1571" s="7" t="s">
        <v>1632</v>
      </c>
      <c r="I1571" s="70">
        <v>571719</v>
      </c>
      <c r="J1571" s="131">
        <v>0.9774813694857315</v>
      </c>
      <c r="K1571" s="123">
        <f t="shared" si="240"/>
        <v>529165.584668761</v>
      </c>
      <c r="L1571" s="122">
        <f>IF(K1574&gt;0, K1571/K1574, 0)</f>
        <v>0.95173794457143845</v>
      </c>
      <c r="M1571" s="71"/>
      <c r="N1571" s="10">
        <f>ROUND(M1574*L1571,0)</f>
        <v>442602</v>
      </c>
      <c r="O1571" s="70">
        <v>472348</v>
      </c>
      <c r="P1571" s="10">
        <f>N1571-O1571</f>
        <v>-29746</v>
      </c>
      <c r="Q1571" s="46">
        <f t="shared" si="249"/>
        <v>-6.2974755900310786</v>
      </c>
      <c r="R1571" s="10">
        <v>56</v>
      </c>
      <c r="S1571" s="7">
        <f t="shared" si="242"/>
        <v>0</v>
      </c>
      <c r="T1571" s="124">
        <f t="shared" si="243"/>
        <v>313</v>
      </c>
      <c r="U1571" s="124">
        <f t="shared" si="244"/>
        <v>635</v>
      </c>
      <c r="V1571" s="124">
        <f t="shared" si="245"/>
        <v>1562</v>
      </c>
      <c r="W1571" s="124">
        <f t="shared" si="246"/>
        <v>51.21116505138</v>
      </c>
      <c r="X1571" s="124">
        <f t="shared" si="247"/>
        <v>529165.584668761</v>
      </c>
      <c r="Y1571" s="264">
        <f t="shared" si="248"/>
        <v>1562</v>
      </c>
      <c r="Z1571" s="10">
        <v>313</v>
      </c>
      <c r="AA1571" s="7">
        <v>635</v>
      </c>
      <c r="AB1571" s="7">
        <v>1562</v>
      </c>
      <c r="AC1571" s="109">
        <v>51.21116505138</v>
      </c>
      <c r="AD1571" s="109">
        <v>529165.584668761</v>
      </c>
      <c r="AE1571" s="125"/>
      <c r="AF1571" s="10"/>
      <c r="AI1571" s="109"/>
      <c r="AJ1571" s="109"/>
      <c r="AL1571" s="10"/>
      <c r="AO1571" s="109"/>
      <c r="AP1571" s="109"/>
      <c r="AR1571" s="10"/>
      <c r="AU1571" s="109"/>
      <c r="AV1571" s="109"/>
      <c r="AX1571" s="10"/>
      <c r="BA1571" s="109"/>
      <c r="BB1571" s="109"/>
      <c r="BD1571" s="10"/>
      <c r="BG1571" s="109"/>
      <c r="BH1571" s="109"/>
      <c r="BJ1571" s="10"/>
      <c r="BM1571" s="109"/>
      <c r="BN1571" s="109"/>
      <c r="BP1571" s="10"/>
      <c r="BS1571" s="109"/>
      <c r="BT1571" s="109"/>
      <c r="BV1571" s="10"/>
      <c r="BY1571" s="109"/>
      <c r="BZ1571" s="109"/>
      <c r="CB1571" s="10"/>
      <c r="CE1571" s="109"/>
      <c r="CF1571" s="109"/>
      <c r="CH1571" s="10"/>
      <c r="CK1571" s="109"/>
      <c r="CL1571" s="109"/>
    </row>
    <row r="1572" spans="1:90">
      <c r="A1572" s="7" t="str">
        <f t="shared" si="241"/>
        <v>03130998</v>
      </c>
      <c r="B1572" s="7" t="s">
        <v>2652</v>
      </c>
      <c r="C1572" s="7" t="s">
        <v>2781</v>
      </c>
      <c r="D1572" s="7">
        <v>1563</v>
      </c>
      <c r="E1572" s="7">
        <v>313</v>
      </c>
      <c r="F1572" s="7" t="s">
        <v>2135</v>
      </c>
      <c r="G1572" s="7">
        <v>998</v>
      </c>
      <c r="H1572" s="7" t="s">
        <v>2135</v>
      </c>
      <c r="I1572" s="70">
        <v>0</v>
      </c>
      <c r="J1572" s="131">
        <v>0</v>
      </c>
      <c r="K1572" s="123">
        <f t="shared" si="240"/>
        <v>0</v>
      </c>
      <c r="L1572" s="122">
        <f>IF(K1574&gt;0, K1572/K1574, 0)</f>
        <v>0</v>
      </c>
      <c r="M1572" s="71"/>
      <c r="N1572" s="10">
        <f>ROUND(M1574*L1572,0)</f>
        <v>0</v>
      </c>
      <c r="O1572" s="70">
        <v>0</v>
      </c>
      <c r="P1572" s="10">
        <f>N1572-O1572</f>
        <v>0</v>
      </c>
      <c r="Q1572" s="46">
        <f t="shared" si="249"/>
        <v>0</v>
      </c>
      <c r="R1572" s="10">
        <v>0</v>
      </c>
      <c r="S1572" s="7">
        <f t="shared" si="242"/>
        <v>0</v>
      </c>
      <c r="T1572" s="124">
        <f t="shared" si="243"/>
        <v>313</v>
      </c>
      <c r="U1572" s="124">
        <f t="shared" si="244"/>
        <v>998</v>
      </c>
      <c r="V1572" s="124">
        <f t="shared" si="245"/>
        <v>1563</v>
      </c>
      <c r="W1572" s="124">
        <f t="shared" si="246"/>
        <v>0</v>
      </c>
      <c r="X1572" s="124">
        <f t="shared" si="247"/>
        <v>0</v>
      </c>
      <c r="Y1572" s="264">
        <f t="shared" si="248"/>
        <v>1563</v>
      </c>
      <c r="Z1572" s="10">
        <v>313</v>
      </c>
      <c r="AA1572" s="7">
        <v>998</v>
      </c>
      <c r="AB1572" s="7">
        <v>1563</v>
      </c>
      <c r="AC1572" s="109">
        <v>0</v>
      </c>
      <c r="AD1572" s="109">
        <v>0</v>
      </c>
      <c r="AE1572" s="125"/>
      <c r="AF1572" s="10"/>
      <c r="AI1572" s="109"/>
      <c r="AJ1572" s="109"/>
      <c r="AL1572" s="10"/>
      <c r="AO1572" s="109"/>
      <c r="AP1572" s="109"/>
      <c r="AR1572" s="10"/>
      <c r="AU1572" s="109"/>
      <c r="AV1572" s="109"/>
      <c r="AX1572" s="10"/>
      <c r="BA1572" s="109"/>
      <c r="BB1572" s="109"/>
      <c r="BD1572" s="10"/>
      <c r="BG1572" s="109"/>
      <c r="BH1572" s="109"/>
      <c r="BJ1572" s="10"/>
      <c r="BM1572" s="109"/>
      <c r="BN1572" s="109"/>
      <c r="BP1572" s="10"/>
      <c r="BS1572" s="109"/>
      <c r="BT1572" s="109"/>
      <c r="BV1572" s="10"/>
      <c r="BY1572" s="109"/>
      <c r="BZ1572" s="109"/>
      <c r="CB1572" s="10"/>
      <c r="CE1572" s="109"/>
      <c r="CF1572" s="109"/>
      <c r="CH1572" s="10"/>
      <c r="CK1572" s="109"/>
      <c r="CL1572" s="109"/>
    </row>
    <row r="1573" spans="1:90">
      <c r="A1573" s="7" t="str">
        <f t="shared" si="241"/>
        <v>03130998</v>
      </c>
      <c r="B1573" s="7" t="s">
        <v>2652</v>
      </c>
      <c r="C1573" s="7" t="s">
        <v>2781</v>
      </c>
      <c r="D1573" s="7">
        <v>1564</v>
      </c>
      <c r="E1573" s="7">
        <v>313</v>
      </c>
      <c r="F1573" s="7" t="s">
        <v>2135</v>
      </c>
      <c r="G1573" s="7">
        <v>998</v>
      </c>
      <c r="H1573" s="7" t="s">
        <v>2135</v>
      </c>
      <c r="I1573" s="70">
        <v>0</v>
      </c>
      <c r="J1573" s="131">
        <v>0</v>
      </c>
      <c r="K1573" s="123">
        <f t="shared" si="240"/>
        <v>0</v>
      </c>
      <c r="L1573" s="122">
        <f>IF(K1574&gt;0, K1573/K1574, 0)</f>
        <v>0</v>
      </c>
      <c r="M1573" s="71"/>
      <c r="N1573" s="10">
        <f>ROUND(M1574*L1573,0)</f>
        <v>0</v>
      </c>
      <c r="O1573" s="70">
        <v>0</v>
      </c>
      <c r="P1573" s="10">
        <f>N1573-O1573</f>
        <v>0</v>
      </c>
      <c r="Q1573" s="46">
        <f t="shared" si="249"/>
        <v>0</v>
      </c>
      <c r="R1573" s="10">
        <v>0</v>
      </c>
      <c r="S1573" s="7">
        <f t="shared" si="242"/>
        <v>0</v>
      </c>
      <c r="T1573" s="124">
        <f t="shared" si="243"/>
        <v>313</v>
      </c>
      <c r="U1573" s="124">
        <f t="shared" si="244"/>
        <v>998</v>
      </c>
      <c r="V1573" s="124">
        <f t="shared" si="245"/>
        <v>1564</v>
      </c>
      <c r="W1573" s="124">
        <f t="shared" si="246"/>
        <v>0</v>
      </c>
      <c r="X1573" s="124">
        <f t="shared" si="247"/>
        <v>0</v>
      </c>
      <c r="Y1573" s="264">
        <f t="shared" si="248"/>
        <v>1564</v>
      </c>
      <c r="Z1573" s="10">
        <v>313</v>
      </c>
      <c r="AA1573" s="7">
        <v>998</v>
      </c>
      <c r="AB1573" s="7">
        <v>1564</v>
      </c>
      <c r="AC1573" s="109">
        <v>0</v>
      </c>
      <c r="AD1573" s="109">
        <v>0</v>
      </c>
      <c r="AE1573" s="125"/>
      <c r="AF1573" s="10"/>
      <c r="AI1573" s="109"/>
      <c r="AJ1573" s="109"/>
      <c r="AL1573" s="10"/>
      <c r="AO1573" s="109"/>
      <c r="AP1573" s="109"/>
      <c r="AR1573" s="10"/>
      <c r="AU1573" s="109"/>
      <c r="AV1573" s="109"/>
      <c r="AX1573" s="10"/>
      <c r="BA1573" s="109"/>
      <c r="BB1573" s="109"/>
      <c r="BD1573" s="10"/>
      <c r="BG1573" s="109"/>
      <c r="BH1573" s="109"/>
      <c r="BJ1573" s="10"/>
      <c r="BM1573" s="109"/>
      <c r="BN1573" s="109"/>
      <c r="BP1573" s="10"/>
      <c r="BS1573" s="109"/>
      <c r="BT1573" s="109"/>
      <c r="BV1573" s="10"/>
      <c r="BY1573" s="109"/>
      <c r="BZ1573" s="109"/>
      <c r="CB1573" s="10"/>
      <c r="CE1573" s="109"/>
      <c r="CF1573" s="109"/>
      <c r="CH1573" s="10"/>
      <c r="CK1573" s="109"/>
      <c r="CL1573" s="109"/>
    </row>
    <row r="1574" spans="1:90">
      <c r="A1574" s="7" t="str">
        <f t="shared" si="241"/>
        <v>03130999</v>
      </c>
      <c r="B1574" s="7" t="s">
        <v>2652</v>
      </c>
      <c r="C1574" s="7" t="s">
        <v>2782</v>
      </c>
      <c r="D1574" s="7">
        <v>1565</v>
      </c>
      <c r="E1574" s="11">
        <v>313</v>
      </c>
      <c r="F1574" s="11" t="s">
        <v>2018</v>
      </c>
      <c r="G1574" s="11">
        <v>999</v>
      </c>
      <c r="H1574" s="11" t="s">
        <v>1132</v>
      </c>
      <c r="I1574" s="134">
        <v>584889.92000000004</v>
      </c>
      <c r="J1574" s="135">
        <v>0.99999999999999989</v>
      </c>
      <c r="K1574" s="127">
        <f>SUM(K1570:K1573)</f>
        <v>555999.25135594013</v>
      </c>
      <c r="L1574" s="126">
        <f>SUM(L1570:L1573)</f>
        <v>1</v>
      </c>
      <c r="M1574" s="105">
        <f>VLOOKUP(E1574,town351,22)</f>
        <v>465046</v>
      </c>
      <c r="N1574" s="105">
        <f>SUM(N1570:N1573)</f>
        <v>465046</v>
      </c>
      <c r="O1574" s="128">
        <v>483230</v>
      </c>
      <c r="P1574" s="105">
        <f>SUM(P1570:P1573)</f>
        <v>-18184</v>
      </c>
      <c r="Q1574" s="45">
        <f t="shared" si="249"/>
        <v>-3.7630114024377628</v>
      </c>
      <c r="R1574" s="105">
        <v>57</v>
      </c>
      <c r="S1574" s="7">
        <f t="shared" si="242"/>
        <v>0</v>
      </c>
      <c r="T1574" s="124">
        <f t="shared" si="243"/>
        <v>313</v>
      </c>
      <c r="U1574" s="124">
        <f t="shared" si="244"/>
        <v>999</v>
      </c>
      <c r="V1574" s="124">
        <f t="shared" si="245"/>
        <v>1565</v>
      </c>
      <c r="W1574" s="124">
        <f t="shared" si="246"/>
        <v>53.21116505138</v>
      </c>
      <c r="X1574" s="124">
        <f t="shared" si="247"/>
        <v>555999.25135594013</v>
      </c>
      <c r="Y1574" s="264">
        <f t="shared" si="248"/>
        <v>1565</v>
      </c>
      <c r="Z1574" s="10">
        <v>313</v>
      </c>
      <c r="AA1574" s="7">
        <v>999</v>
      </c>
      <c r="AB1574" s="7">
        <v>1565</v>
      </c>
      <c r="AC1574" s="109">
        <v>53.21116505138</v>
      </c>
      <c r="AD1574" s="109">
        <v>555999.25135594013</v>
      </c>
      <c r="AE1574" s="125"/>
      <c r="AF1574" s="10"/>
      <c r="AI1574" s="109"/>
      <c r="AJ1574" s="109"/>
      <c r="AL1574" s="10"/>
      <c r="AO1574" s="109"/>
      <c r="AP1574" s="109"/>
      <c r="AR1574" s="10"/>
      <c r="AU1574" s="109"/>
      <c r="AV1574" s="109"/>
      <c r="AX1574" s="10"/>
      <c r="BA1574" s="109"/>
      <c r="BB1574" s="109"/>
      <c r="BD1574" s="10"/>
      <c r="BG1574" s="109"/>
      <c r="BH1574" s="109"/>
      <c r="BJ1574" s="10"/>
      <c r="BM1574" s="109"/>
      <c r="BN1574" s="109"/>
      <c r="BP1574" s="10"/>
      <c r="BS1574" s="109"/>
      <c r="BT1574" s="109"/>
      <c r="BV1574" s="10"/>
      <c r="BY1574" s="109"/>
      <c r="BZ1574" s="109"/>
      <c r="CB1574" s="10"/>
      <c r="CE1574" s="109"/>
      <c r="CF1574" s="109"/>
      <c r="CH1574" s="10"/>
      <c r="CK1574" s="109"/>
      <c r="CL1574" s="109"/>
    </row>
    <row r="1575" spans="1:90">
      <c r="A1575" s="7" t="str">
        <f t="shared" si="241"/>
        <v>03140314</v>
      </c>
      <c r="B1575" s="7" t="s">
        <v>2653</v>
      </c>
      <c r="C1575" s="7" t="s">
        <v>2653</v>
      </c>
      <c r="D1575" s="7">
        <v>1566</v>
      </c>
      <c r="E1575" s="7">
        <v>314</v>
      </c>
      <c r="F1575" s="7" t="s">
        <v>2019</v>
      </c>
      <c r="G1575" s="7">
        <v>314</v>
      </c>
      <c r="H1575" s="7" t="s">
        <v>1580</v>
      </c>
      <c r="I1575" s="70">
        <v>27574866.376769997</v>
      </c>
      <c r="J1575" s="131">
        <v>1</v>
      </c>
      <c r="K1575" s="123">
        <f t="shared" ref="K1575:K1638" si="250">X1575</f>
        <v>28658582.599711496</v>
      </c>
      <c r="L1575" s="122">
        <f>IF(K1579&gt;0, K1575/K1579, 0)</f>
        <v>1</v>
      </c>
      <c r="M1575" s="71"/>
      <c r="N1575" s="10">
        <f>ROUND(M1579*L1575,0)</f>
        <v>23755394</v>
      </c>
      <c r="O1575" s="70">
        <v>23092613</v>
      </c>
      <c r="P1575" s="10">
        <f>N1575-O1575</f>
        <v>662781</v>
      </c>
      <c r="Q1575" s="46">
        <f t="shared" si="249"/>
        <v>2.8700996288293577</v>
      </c>
      <c r="R1575" s="10">
        <v>2570</v>
      </c>
      <c r="S1575" s="7">
        <f t="shared" si="242"/>
        <v>0</v>
      </c>
      <c r="T1575" s="124">
        <f t="shared" si="243"/>
        <v>314</v>
      </c>
      <c r="U1575" s="124">
        <f t="shared" si="244"/>
        <v>314</v>
      </c>
      <c r="V1575" s="124">
        <f t="shared" si="245"/>
        <v>1566</v>
      </c>
      <c r="W1575" s="124">
        <f t="shared" si="246"/>
        <v>2634</v>
      </c>
      <c r="X1575" s="124">
        <f t="shared" si="247"/>
        <v>28658582.599711496</v>
      </c>
      <c r="Y1575" s="264">
        <f t="shared" si="248"/>
        <v>1566</v>
      </c>
      <c r="Z1575" s="10">
        <v>314</v>
      </c>
      <c r="AA1575" s="7">
        <v>314</v>
      </c>
      <c r="AB1575" s="7">
        <v>1566</v>
      </c>
      <c r="AC1575" s="109">
        <v>2634</v>
      </c>
      <c r="AD1575" s="109">
        <v>28658582.599711496</v>
      </c>
      <c r="AE1575" s="125"/>
      <c r="AF1575" s="10"/>
      <c r="AI1575" s="109"/>
      <c r="AJ1575" s="109"/>
      <c r="AL1575" s="10"/>
      <c r="AO1575" s="109"/>
      <c r="AP1575" s="109"/>
      <c r="AR1575" s="10"/>
      <c r="AU1575" s="109"/>
      <c r="AV1575" s="109"/>
      <c r="AX1575" s="10"/>
      <c r="BA1575" s="109"/>
      <c r="BB1575" s="109"/>
      <c r="BD1575" s="10"/>
      <c r="BG1575" s="109"/>
      <c r="BH1575" s="109"/>
      <c r="BJ1575" s="10"/>
      <c r="BM1575" s="109"/>
      <c r="BN1575" s="109"/>
      <c r="BP1575" s="10"/>
      <c r="BS1575" s="109"/>
      <c r="BT1575" s="109"/>
      <c r="BV1575" s="10"/>
      <c r="BY1575" s="109"/>
      <c r="BZ1575" s="109"/>
      <c r="CB1575" s="10"/>
      <c r="CE1575" s="109"/>
      <c r="CF1575" s="109"/>
      <c r="CH1575" s="10"/>
      <c r="CK1575" s="109"/>
      <c r="CL1575" s="109"/>
    </row>
    <row r="1576" spans="1:90">
      <c r="A1576" s="7" t="str">
        <f t="shared" si="241"/>
        <v>03140998</v>
      </c>
      <c r="B1576" s="7" t="s">
        <v>2653</v>
      </c>
      <c r="C1576" s="7" t="s">
        <v>2781</v>
      </c>
      <c r="D1576" s="7">
        <v>1567</v>
      </c>
      <c r="E1576" s="7">
        <v>314</v>
      </c>
      <c r="F1576" s="7" t="s">
        <v>2135</v>
      </c>
      <c r="G1576" s="7">
        <v>998</v>
      </c>
      <c r="H1576" s="7" t="s">
        <v>2135</v>
      </c>
      <c r="I1576" s="70">
        <v>0</v>
      </c>
      <c r="J1576" s="131">
        <v>0</v>
      </c>
      <c r="K1576" s="123">
        <f t="shared" si="250"/>
        <v>0</v>
      </c>
      <c r="L1576" s="122">
        <f>IF(K1579&gt;0, K1576/K1579, 0)</f>
        <v>0</v>
      </c>
      <c r="M1576" s="71"/>
      <c r="N1576" s="10">
        <f>ROUND(M1579*L1576,0)</f>
        <v>0</v>
      </c>
      <c r="O1576" s="70">
        <v>0</v>
      </c>
      <c r="P1576" s="10">
        <f>N1576-O1576</f>
        <v>0</v>
      </c>
      <c r="Q1576" s="46">
        <f t="shared" si="249"/>
        <v>0</v>
      </c>
      <c r="R1576" s="10">
        <v>0</v>
      </c>
      <c r="S1576" s="7">
        <f t="shared" si="242"/>
        <v>0</v>
      </c>
      <c r="T1576" s="124">
        <f t="shared" si="243"/>
        <v>314</v>
      </c>
      <c r="U1576" s="124">
        <f t="shared" si="244"/>
        <v>998</v>
      </c>
      <c r="V1576" s="124">
        <f t="shared" si="245"/>
        <v>1567</v>
      </c>
      <c r="W1576" s="124">
        <f t="shared" si="246"/>
        <v>0</v>
      </c>
      <c r="X1576" s="124">
        <f t="shared" si="247"/>
        <v>0</v>
      </c>
      <c r="Y1576" s="264">
        <f t="shared" si="248"/>
        <v>1567</v>
      </c>
      <c r="Z1576" s="10">
        <v>314</v>
      </c>
      <c r="AA1576" s="7">
        <v>998</v>
      </c>
      <c r="AB1576" s="7">
        <v>1567</v>
      </c>
      <c r="AC1576" s="109">
        <v>0</v>
      </c>
      <c r="AD1576" s="109">
        <v>0</v>
      </c>
      <c r="AE1576" s="125"/>
      <c r="AF1576" s="10"/>
      <c r="AI1576" s="109"/>
      <c r="AJ1576" s="109"/>
      <c r="AL1576" s="10"/>
      <c r="AO1576" s="109"/>
      <c r="AP1576" s="109"/>
      <c r="AR1576" s="10"/>
      <c r="AU1576" s="109"/>
      <c r="AV1576" s="109"/>
      <c r="AX1576" s="10"/>
      <c r="BA1576" s="109"/>
      <c r="BB1576" s="109"/>
      <c r="BD1576" s="10"/>
      <c r="BG1576" s="109"/>
      <c r="BH1576" s="109"/>
      <c r="BJ1576" s="10"/>
      <c r="BM1576" s="109"/>
      <c r="BN1576" s="109"/>
      <c r="BP1576" s="10"/>
      <c r="BS1576" s="109"/>
      <c r="BT1576" s="109"/>
      <c r="BV1576" s="10"/>
      <c r="BY1576" s="109"/>
      <c r="BZ1576" s="109"/>
      <c r="CB1576" s="10"/>
      <c r="CE1576" s="109"/>
      <c r="CF1576" s="109"/>
      <c r="CH1576" s="10"/>
      <c r="CK1576" s="109"/>
      <c r="CL1576" s="109"/>
    </row>
    <row r="1577" spans="1:90">
      <c r="A1577" s="7" t="str">
        <f t="shared" si="241"/>
        <v>03140998</v>
      </c>
      <c r="B1577" s="7" t="s">
        <v>2653</v>
      </c>
      <c r="C1577" s="7" t="s">
        <v>2781</v>
      </c>
      <c r="D1577" s="7">
        <v>1568</v>
      </c>
      <c r="E1577" s="7">
        <v>314</v>
      </c>
      <c r="F1577" s="7" t="s">
        <v>2135</v>
      </c>
      <c r="G1577" s="7">
        <v>998</v>
      </c>
      <c r="H1577" s="7" t="s">
        <v>2135</v>
      </c>
      <c r="I1577" s="70">
        <v>0</v>
      </c>
      <c r="J1577" s="131">
        <v>0</v>
      </c>
      <c r="K1577" s="123">
        <f t="shared" si="250"/>
        <v>0</v>
      </c>
      <c r="L1577" s="122">
        <f>IF(K1579&gt;0, K1577/K1579, 0)</f>
        <v>0</v>
      </c>
      <c r="M1577" s="71"/>
      <c r="N1577" s="10">
        <f>ROUND(M1579*L1577,0)</f>
        <v>0</v>
      </c>
      <c r="O1577" s="70">
        <v>0</v>
      </c>
      <c r="P1577" s="10">
        <f>N1577-O1577</f>
        <v>0</v>
      </c>
      <c r="Q1577" s="46">
        <f t="shared" si="249"/>
        <v>0</v>
      </c>
      <c r="R1577" s="10">
        <v>0</v>
      </c>
      <c r="S1577" s="7">
        <f t="shared" si="242"/>
        <v>0</v>
      </c>
      <c r="T1577" s="124">
        <f t="shared" si="243"/>
        <v>314</v>
      </c>
      <c r="U1577" s="124">
        <f t="shared" si="244"/>
        <v>998</v>
      </c>
      <c r="V1577" s="124">
        <f t="shared" si="245"/>
        <v>1568</v>
      </c>
      <c r="W1577" s="124">
        <f t="shared" si="246"/>
        <v>0</v>
      </c>
      <c r="X1577" s="124">
        <f t="shared" si="247"/>
        <v>0</v>
      </c>
      <c r="Y1577" s="264">
        <f t="shared" si="248"/>
        <v>1568</v>
      </c>
      <c r="Z1577" s="10">
        <v>314</v>
      </c>
      <c r="AA1577" s="7">
        <v>998</v>
      </c>
      <c r="AB1577" s="7">
        <v>1568</v>
      </c>
      <c r="AC1577" s="109">
        <v>0</v>
      </c>
      <c r="AD1577" s="109">
        <v>0</v>
      </c>
      <c r="AE1577" s="125"/>
      <c r="AF1577" s="10"/>
      <c r="AI1577" s="109"/>
      <c r="AJ1577" s="109"/>
      <c r="AL1577" s="10"/>
      <c r="AO1577" s="109"/>
      <c r="AP1577" s="109"/>
      <c r="AR1577" s="10"/>
      <c r="AU1577" s="109"/>
      <c r="AV1577" s="109"/>
      <c r="AX1577" s="10"/>
      <c r="BA1577" s="109"/>
      <c r="BB1577" s="109"/>
      <c r="BD1577" s="10"/>
      <c r="BG1577" s="109"/>
      <c r="BH1577" s="109"/>
      <c r="BJ1577" s="10"/>
      <c r="BM1577" s="109"/>
      <c r="BN1577" s="109"/>
      <c r="BP1577" s="10"/>
      <c r="BS1577" s="109"/>
      <c r="BT1577" s="109"/>
      <c r="BV1577" s="10"/>
      <c r="BY1577" s="109"/>
      <c r="BZ1577" s="109"/>
      <c r="CB1577" s="10"/>
      <c r="CE1577" s="109"/>
      <c r="CF1577" s="109"/>
      <c r="CH1577" s="10"/>
      <c r="CK1577" s="109"/>
      <c r="CL1577" s="109"/>
    </row>
    <row r="1578" spans="1:90">
      <c r="A1578" s="7" t="str">
        <f t="shared" si="241"/>
        <v>03140998</v>
      </c>
      <c r="B1578" s="7" t="s">
        <v>2653</v>
      </c>
      <c r="C1578" s="7" t="s">
        <v>2781</v>
      </c>
      <c r="D1578" s="7">
        <v>1569</v>
      </c>
      <c r="E1578" s="7">
        <v>314</v>
      </c>
      <c r="F1578" s="7" t="s">
        <v>2135</v>
      </c>
      <c r="G1578" s="7">
        <v>998</v>
      </c>
      <c r="H1578" s="7" t="s">
        <v>2135</v>
      </c>
      <c r="I1578" s="70">
        <v>0</v>
      </c>
      <c r="J1578" s="131">
        <v>0</v>
      </c>
      <c r="K1578" s="123">
        <f t="shared" si="250"/>
        <v>0</v>
      </c>
      <c r="L1578" s="122">
        <f>IF(K1579&gt;0, K1578/K1579, 0)</f>
        <v>0</v>
      </c>
      <c r="M1578" s="71"/>
      <c r="N1578" s="10">
        <f>ROUND(M1579*L1578,0)</f>
        <v>0</v>
      </c>
      <c r="O1578" s="70">
        <v>0</v>
      </c>
      <c r="P1578" s="10">
        <f>N1578-O1578</f>
        <v>0</v>
      </c>
      <c r="Q1578" s="46">
        <f t="shared" si="249"/>
        <v>0</v>
      </c>
      <c r="R1578" s="10">
        <v>0</v>
      </c>
      <c r="S1578" s="7">
        <f t="shared" si="242"/>
        <v>0</v>
      </c>
      <c r="T1578" s="124">
        <f t="shared" si="243"/>
        <v>314</v>
      </c>
      <c r="U1578" s="124">
        <f t="shared" si="244"/>
        <v>998</v>
      </c>
      <c r="V1578" s="124">
        <f t="shared" si="245"/>
        <v>1569</v>
      </c>
      <c r="W1578" s="124">
        <f t="shared" si="246"/>
        <v>0</v>
      </c>
      <c r="X1578" s="124">
        <f t="shared" si="247"/>
        <v>0</v>
      </c>
      <c r="Y1578" s="264">
        <f t="shared" si="248"/>
        <v>1569</v>
      </c>
      <c r="Z1578" s="10">
        <v>314</v>
      </c>
      <c r="AA1578" s="7">
        <v>998</v>
      </c>
      <c r="AB1578" s="7">
        <v>1569</v>
      </c>
      <c r="AC1578" s="109">
        <v>0</v>
      </c>
      <c r="AD1578" s="109">
        <v>0</v>
      </c>
      <c r="AE1578" s="125"/>
      <c r="AF1578" s="10"/>
      <c r="AI1578" s="109"/>
      <c r="AJ1578" s="109"/>
      <c r="AL1578" s="10"/>
      <c r="AO1578" s="109"/>
      <c r="AP1578" s="109"/>
      <c r="AR1578" s="10"/>
      <c r="AU1578" s="109"/>
      <c r="AV1578" s="109"/>
      <c r="AX1578" s="10"/>
      <c r="BA1578" s="109"/>
      <c r="BB1578" s="109"/>
      <c r="BD1578" s="10"/>
      <c r="BG1578" s="109"/>
      <c r="BH1578" s="109"/>
      <c r="BJ1578" s="10"/>
      <c r="BM1578" s="109"/>
      <c r="BN1578" s="109"/>
      <c r="BP1578" s="10"/>
      <c r="BS1578" s="109"/>
      <c r="BT1578" s="109"/>
      <c r="BV1578" s="10"/>
      <c r="BY1578" s="109"/>
      <c r="BZ1578" s="109"/>
      <c r="CB1578" s="10"/>
      <c r="CE1578" s="109"/>
      <c r="CF1578" s="109"/>
      <c r="CH1578" s="10"/>
      <c r="CK1578" s="109"/>
      <c r="CL1578" s="109"/>
    </row>
    <row r="1579" spans="1:90">
      <c r="A1579" s="7" t="str">
        <f t="shared" si="241"/>
        <v>03140999</v>
      </c>
      <c r="B1579" s="7" t="s">
        <v>2653</v>
      </c>
      <c r="C1579" s="7" t="s">
        <v>2782</v>
      </c>
      <c r="D1579" s="7">
        <v>1570</v>
      </c>
      <c r="E1579" s="11">
        <v>314</v>
      </c>
      <c r="F1579" s="11" t="s">
        <v>2019</v>
      </c>
      <c r="G1579" s="11">
        <v>999</v>
      </c>
      <c r="H1579" s="11" t="s">
        <v>1132</v>
      </c>
      <c r="I1579" s="134">
        <v>27574866.376769997</v>
      </c>
      <c r="J1579" s="135">
        <v>1</v>
      </c>
      <c r="K1579" s="127">
        <f>SUM(K1575:K1578)</f>
        <v>28658582.599711496</v>
      </c>
      <c r="L1579" s="126">
        <f>SUM(L1575:L1578)</f>
        <v>1</v>
      </c>
      <c r="M1579" s="105">
        <f>VLOOKUP(E1579,town351,22)</f>
        <v>23755394</v>
      </c>
      <c r="N1579" s="105">
        <f>SUM(N1575:N1578)</f>
        <v>23755394</v>
      </c>
      <c r="O1579" s="128">
        <v>23092613</v>
      </c>
      <c r="P1579" s="105">
        <f>SUM(P1575:P1578)</f>
        <v>662781</v>
      </c>
      <c r="Q1579" s="45">
        <f t="shared" si="249"/>
        <v>2.8700996288293577</v>
      </c>
      <c r="R1579" s="105">
        <v>2570</v>
      </c>
      <c r="S1579" s="7">
        <f t="shared" si="242"/>
        <v>0</v>
      </c>
      <c r="T1579" s="124">
        <f t="shared" si="243"/>
        <v>314</v>
      </c>
      <c r="U1579" s="124">
        <f t="shared" si="244"/>
        <v>999</v>
      </c>
      <c r="V1579" s="124">
        <f t="shared" si="245"/>
        <v>1570</v>
      </c>
      <c r="W1579" s="124">
        <f t="shared" si="246"/>
        <v>2634</v>
      </c>
      <c r="X1579" s="124">
        <f t="shared" si="247"/>
        <v>28658582.599711496</v>
      </c>
      <c r="Y1579" s="264">
        <f t="shared" si="248"/>
        <v>1570</v>
      </c>
      <c r="Z1579" s="10">
        <v>314</v>
      </c>
      <c r="AA1579" s="7">
        <v>999</v>
      </c>
      <c r="AB1579" s="7">
        <v>1570</v>
      </c>
      <c r="AC1579" s="109">
        <v>2634</v>
      </c>
      <c r="AD1579" s="109">
        <v>28658582.599711496</v>
      </c>
      <c r="AE1579" s="125"/>
      <c r="AF1579" s="10"/>
      <c r="AI1579" s="109"/>
      <c r="AJ1579" s="109"/>
      <c r="AL1579" s="10"/>
      <c r="AO1579" s="109"/>
      <c r="AP1579" s="109"/>
      <c r="AR1579" s="10"/>
      <c r="AU1579" s="109"/>
      <c r="AV1579" s="109"/>
      <c r="AX1579" s="10"/>
      <c r="BA1579" s="109"/>
      <c r="BB1579" s="109"/>
      <c r="BD1579" s="10"/>
      <c r="BG1579" s="109"/>
      <c r="BH1579" s="109"/>
      <c r="BJ1579" s="10"/>
      <c r="BM1579" s="109"/>
      <c r="BN1579" s="109"/>
      <c r="BP1579" s="10"/>
      <c r="BS1579" s="109"/>
      <c r="BT1579" s="109"/>
      <c r="BV1579" s="10"/>
      <c r="BY1579" s="109"/>
      <c r="BZ1579" s="109"/>
      <c r="CB1579" s="10"/>
      <c r="CE1579" s="109"/>
      <c r="CF1579" s="109"/>
      <c r="CH1579" s="10"/>
      <c r="CK1579" s="109"/>
      <c r="CL1579" s="109"/>
    </row>
    <row r="1580" spans="1:90">
      <c r="A1580" s="7" t="str">
        <f t="shared" si="241"/>
        <v>03150315</v>
      </c>
      <c r="B1580" s="7" t="s">
        <v>2654</v>
      </c>
      <c r="C1580" s="7" t="s">
        <v>2654</v>
      </c>
      <c r="D1580" s="7">
        <v>1571</v>
      </c>
      <c r="E1580" s="7">
        <v>315</v>
      </c>
      <c r="F1580" s="7" t="s">
        <v>2020</v>
      </c>
      <c r="G1580" s="7">
        <v>315</v>
      </c>
      <c r="H1580" s="7" t="s">
        <v>1581</v>
      </c>
      <c r="I1580" s="70">
        <v>24640382.589680005</v>
      </c>
      <c r="J1580" s="131">
        <v>0.99858368665526143</v>
      </c>
      <c r="K1580" s="123">
        <f>X1580</f>
        <v>25043290.042167287</v>
      </c>
      <c r="L1580" s="122">
        <f>IF(K1584&gt;0, K1580/K1584, 0)</f>
        <v>1</v>
      </c>
      <c r="M1580" s="71"/>
      <c r="N1580" s="10">
        <f>ROUND(M1584*L1580,0)</f>
        <v>20778238</v>
      </c>
      <c r="O1580" s="70">
        <v>20643819</v>
      </c>
      <c r="P1580" s="10">
        <f>N1580-O1580</f>
        <v>134419</v>
      </c>
      <c r="Q1580" s="46">
        <f t="shared" si="249"/>
        <v>0.65113436617517328</v>
      </c>
      <c r="R1580" s="10">
        <v>2637</v>
      </c>
      <c r="S1580" s="7">
        <f t="shared" si="242"/>
        <v>0</v>
      </c>
      <c r="T1580" s="124">
        <f t="shared" si="243"/>
        <v>315</v>
      </c>
      <c r="U1580" s="124">
        <f t="shared" si="244"/>
        <v>315</v>
      </c>
      <c r="V1580" s="124">
        <f t="shared" si="245"/>
        <v>1571</v>
      </c>
      <c r="W1580" s="124">
        <f t="shared" si="246"/>
        <v>2602</v>
      </c>
      <c r="X1580" s="124">
        <f t="shared" si="247"/>
        <v>25043290.042167287</v>
      </c>
      <c r="Y1580" s="264">
        <f t="shared" si="248"/>
        <v>1571</v>
      </c>
      <c r="Z1580" s="10">
        <v>315</v>
      </c>
      <c r="AA1580" s="7">
        <v>315</v>
      </c>
      <c r="AB1580" s="7">
        <v>1571</v>
      </c>
      <c r="AC1580" s="109">
        <v>2602</v>
      </c>
      <c r="AD1580" s="109">
        <v>25043290.042167287</v>
      </c>
      <c r="AE1580" s="125"/>
      <c r="AF1580" s="10"/>
      <c r="AI1580" s="109"/>
      <c r="AJ1580" s="109"/>
      <c r="AL1580" s="10"/>
      <c r="AO1580" s="109"/>
      <c r="AP1580" s="109"/>
      <c r="AR1580" s="10"/>
      <c r="AU1580" s="109"/>
      <c r="AV1580" s="109"/>
      <c r="AX1580" s="10"/>
      <c r="BA1580" s="109"/>
      <c r="BB1580" s="109"/>
      <c r="BD1580" s="10"/>
      <c r="BG1580" s="109"/>
      <c r="BH1580" s="109"/>
      <c r="BJ1580" s="10"/>
      <c r="BM1580" s="109"/>
      <c r="BN1580" s="109"/>
      <c r="BP1580" s="10"/>
      <c r="BS1580" s="109"/>
      <c r="BT1580" s="109"/>
      <c r="BV1580" s="10"/>
      <c r="BY1580" s="109"/>
      <c r="BZ1580" s="109"/>
      <c r="CB1580" s="10"/>
      <c r="CE1580" s="109"/>
      <c r="CF1580" s="109"/>
      <c r="CH1580" s="10"/>
      <c r="CK1580" s="109"/>
      <c r="CL1580" s="109"/>
    </row>
    <row r="1581" spans="1:90">
      <c r="A1581" s="7" t="str">
        <f t="shared" si="241"/>
        <v>03150830</v>
      </c>
      <c r="B1581" s="7" t="s">
        <v>2654</v>
      </c>
      <c r="C1581" s="7" t="s">
        <v>2764</v>
      </c>
      <c r="D1581" s="7">
        <v>1572</v>
      </c>
      <c r="E1581" s="7">
        <v>315</v>
      </c>
      <c r="F1581" s="7" t="s">
        <v>2020</v>
      </c>
      <c r="G1581" s="7">
        <v>830</v>
      </c>
      <c r="H1581" s="7" t="s">
        <v>1691</v>
      </c>
      <c r="I1581" s="70">
        <v>34948</v>
      </c>
      <c r="J1581" s="131">
        <v>1.4163133447385847E-3</v>
      </c>
      <c r="K1581" s="123">
        <f t="shared" si="250"/>
        <v>0</v>
      </c>
      <c r="L1581" s="122">
        <f>IF(K1584&gt;0, K1581/K1584, 0)</f>
        <v>0</v>
      </c>
      <c r="M1581" s="71"/>
      <c r="N1581" s="10">
        <f>ROUND(M1584*L1581,0)</f>
        <v>0</v>
      </c>
      <c r="O1581" s="70">
        <v>29280</v>
      </c>
      <c r="P1581" s="10">
        <f>N1581-O1581</f>
        <v>-29280</v>
      </c>
      <c r="Q1581" s="46">
        <f t="shared" si="249"/>
        <v>-100</v>
      </c>
      <c r="R1581" s="10">
        <v>2</v>
      </c>
      <c r="S1581" s="7">
        <f t="shared" si="242"/>
        <v>0</v>
      </c>
      <c r="T1581" s="124">
        <f t="shared" si="243"/>
        <v>315</v>
      </c>
      <c r="U1581" s="124">
        <f t="shared" si="244"/>
        <v>830</v>
      </c>
      <c r="V1581" s="124">
        <f t="shared" si="245"/>
        <v>1572</v>
      </c>
      <c r="W1581" s="124">
        <f t="shared" si="246"/>
        <v>0</v>
      </c>
      <c r="X1581" s="124">
        <f t="shared" si="247"/>
        <v>0</v>
      </c>
      <c r="Y1581" s="264">
        <f t="shared" si="248"/>
        <v>1572</v>
      </c>
      <c r="Z1581" s="10">
        <v>315</v>
      </c>
      <c r="AA1581" s="7">
        <v>830</v>
      </c>
      <c r="AB1581" s="7">
        <v>1572</v>
      </c>
      <c r="AC1581" s="109">
        <v>0</v>
      </c>
      <c r="AD1581" s="109">
        <v>0</v>
      </c>
      <c r="AE1581" s="125"/>
      <c r="AF1581" s="10"/>
      <c r="AI1581" s="109"/>
      <c r="AJ1581" s="109"/>
      <c r="AL1581" s="10"/>
      <c r="AO1581" s="109"/>
      <c r="AP1581" s="109"/>
      <c r="AR1581" s="10"/>
      <c r="AU1581" s="109"/>
      <c r="AV1581" s="109"/>
      <c r="AX1581" s="10"/>
      <c r="BA1581" s="109"/>
      <c r="BB1581" s="109"/>
      <c r="BD1581" s="10"/>
      <c r="BG1581" s="109"/>
      <c r="BH1581" s="109"/>
      <c r="BJ1581" s="10"/>
      <c r="BM1581" s="109"/>
      <c r="BN1581" s="109"/>
      <c r="BP1581" s="10"/>
      <c r="BS1581" s="109"/>
      <c r="BT1581" s="109"/>
      <c r="BV1581" s="10"/>
      <c r="BY1581" s="109"/>
      <c r="BZ1581" s="109"/>
      <c r="CB1581" s="10"/>
      <c r="CE1581" s="109"/>
      <c r="CF1581" s="109"/>
      <c r="CH1581" s="10"/>
      <c r="CK1581" s="109"/>
      <c r="CL1581" s="109"/>
    </row>
    <row r="1582" spans="1:90">
      <c r="A1582" s="7" t="str">
        <f t="shared" si="241"/>
        <v>03150998</v>
      </c>
      <c r="B1582" s="7" t="s">
        <v>2654</v>
      </c>
      <c r="C1582" s="7" t="s">
        <v>2781</v>
      </c>
      <c r="D1582" s="7">
        <v>1573</v>
      </c>
      <c r="E1582" s="7">
        <v>315</v>
      </c>
      <c r="F1582" s="7" t="s">
        <v>2135</v>
      </c>
      <c r="G1582" s="7">
        <v>998</v>
      </c>
      <c r="H1582" s="7" t="s">
        <v>2135</v>
      </c>
      <c r="I1582" s="70">
        <v>0</v>
      </c>
      <c r="J1582" s="131">
        <v>0</v>
      </c>
      <c r="K1582" s="123">
        <f t="shared" si="250"/>
        <v>0</v>
      </c>
      <c r="L1582" s="122">
        <f>IF(K1584&gt;0, K1582/K1584, 0)</f>
        <v>0</v>
      </c>
      <c r="M1582" s="71"/>
      <c r="N1582" s="10">
        <f>ROUND(M1584*L1582,0)</f>
        <v>0</v>
      </c>
      <c r="O1582" s="70">
        <v>0</v>
      </c>
      <c r="P1582" s="10">
        <f>N1582-O1582</f>
        <v>0</v>
      </c>
      <c r="Q1582" s="46">
        <f t="shared" si="249"/>
        <v>0</v>
      </c>
      <c r="R1582" s="10">
        <v>0</v>
      </c>
      <c r="S1582" s="7">
        <f t="shared" si="242"/>
        <v>0</v>
      </c>
      <c r="T1582" s="124">
        <f t="shared" si="243"/>
        <v>315</v>
      </c>
      <c r="U1582" s="124">
        <f t="shared" si="244"/>
        <v>998</v>
      </c>
      <c r="V1582" s="124">
        <f t="shared" si="245"/>
        <v>1573</v>
      </c>
      <c r="W1582" s="124">
        <f t="shared" si="246"/>
        <v>0</v>
      </c>
      <c r="X1582" s="124">
        <f t="shared" si="247"/>
        <v>0</v>
      </c>
      <c r="Y1582" s="264">
        <f t="shared" si="248"/>
        <v>1573</v>
      </c>
      <c r="Z1582" s="10">
        <v>315</v>
      </c>
      <c r="AA1582" s="7">
        <v>998</v>
      </c>
      <c r="AB1582" s="7">
        <v>1573</v>
      </c>
      <c r="AC1582" s="109">
        <v>0</v>
      </c>
      <c r="AD1582" s="109">
        <v>0</v>
      </c>
      <c r="AE1582" s="125"/>
      <c r="AF1582" s="10"/>
      <c r="AI1582" s="109"/>
      <c r="AJ1582" s="109"/>
      <c r="AL1582" s="10"/>
      <c r="AO1582" s="109"/>
      <c r="AP1582" s="109"/>
      <c r="AR1582" s="10"/>
      <c r="AU1582" s="109"/>
      <c r="AV1582" s="109"/>
      <c r="AX1582" s="10"/>
      <c r="BA1582" s="109"/>
      <c r="BB1582" s="109"/>
      <c r="BD1582" s="10"/>
      <c r="BG1582" s="109"/>
      <c r="BH1582" s="109"/>
      <c r="BJ1582" s="10"/>
      <c r="BM1582" s="109"/>
      <c r="BN1582" s="109"/>
      <c r="BP1582" s="10"/>
      <c r="BS1582" s="109"/>
      <c r="BT1582" s="109"/>
      <c r="BV1582" s="10"/>
      <c r="BY1582" s="109"/>
      <c r="BZ1582" s="109"/>
      <c r="CB1582" s="10"/>
      <c r="CE1582" s="109"/>
      <c r="CF1582" s="109"/>
      <c r="CH1582" s="10"/>
      <c r="CK1582" s="109"/>
      <c r="CL1582" s="109"/>
    </row>
    <row r="1583" spans="1:90">
      <c r="A1583" s="7" t="str">
        <f t="shared" si="241"/>
        <v>03150998</v>
      </c>
      <c r="B1583" s="7" t="s">
        <v>2654</v>
      </c>
      <c r="C1583" s="7" t="s">
        <v>2781</v>
      </c>
      <c r="D1583" s="7">
        <v>1574</v>
      </c>
      <c r="E1583" s="7">
        <v>315</v>
      </c>
      <c r="F1583" s="7" t="s">
        <v>2135</v>
      </c>
      <c r="G1583" s="7">
        <v>998</v>
      </c>
      <c r="H1583" s="7" t="s">
        <v>2135</v>
      </c>
      <c r="I1583" s="70">
        <v>0</v>
      </c>
      <c r="J1583" s="131">
        <v>0</v>
      </c>
      <c r="K1583" s="123">
        <f t="shared" si="250"/>
        <v>0</v>
      </c>
      <c r="L1583" s="122">
        <f>IF(K1584&gt;0, K1583/K1584, 0)</f>
        <v>0</v>
      </c>
      <c r="M1583" s="71"/>
      <c r="N1583" s="10">
        <f>ROUND(M1584*L1583,0)</f>
        <v>0</v>
      </c>
      <c r="O1583" s="70">
        <v>0</v>
      </c>
      <c r="P1583" s="10">
        <f>N1583-O1583</f>
        <v>0</v>
      </c>
      <c r="Q1583" s="46">
        <f t="shared" si="249"/>
        <v>0</v>
      </c>
      <c r="R1583" s="10">
        <v>0</v>
      </c>
      <c r="S1583" s="7">
        <f t="shared" si="242"/>
        <v>0</v>
      </c>
      <c r="T1583" s="124">
        <f t="shared" si="243"/>
        <v>315</v>
      </c>
      <c r="U1583" s="124">
        <f t="shared" si="244"/>
        <v>998</v>
      </c>
      <c r="V1583" s="124">
        <f t="shared" si="245"/>
        <v>1574</v>
      </c>
      <c r="W1583" s="124">
        <f t="shared" si="246"/>
        <v>0</v>
      </c>
      <c r="X1583" s="124">
        <f t="shared" si="247"/>
        <v>0</v>
      </c>
      <c r="Y1583" s="264">
        <f t="shared" si="248"/>
        <v>1574</v>
      </c>
      <c r="Z1583" s="10">
        <v>315</v>
      </c>
      <c r="AA1583" s="7">
        <v>998</v>
      </c>
      <c r="AB1583" s="7">
        <v>1574</v>
      </c>
      <c r="AC1583" s="109">
        <v>0</v>
      </c>
      <c r="AD1583" s="109">
        <v>0</v>
      </c>
      <c r="AE1583" s="125"/>
      <c r="AF1583" s="10"/>
      <c r="AI1583" s="109"/>
      <c r="AJ1583" s="109"/>
      <c r="AL1583" s="10"/>
      <c r="AO1583" s="109"/>
      <c r="AP1583" s="109"/>
      <c r="AR1583" s="10"/>
      <c r="AU1583" s="109"/>
      <c r="AV1583" s="109"/>
      <c r="AX1583" s="10"/>
      <c r="BA1583" s="109"/>
      <c r="BB1583" s="109"/>
      <c r="BD1583" s="10"/>
      <c r="BG1583" s="109"/>
      <c r="BH1583" s="109"/>
      <c r="BJ1583" s="10"/>
      <c r="BM1583" s="109"/>
      <c r="BN1583" s="109"/>
      <c r="BP1583" s="10"/>
      <c r="BS1583" s="109"/>
      <c r="BT1583" s="109"/>
      <c r="BV1583" s="10"/>
      <c r="BY1583" s="109"/>
      <c r="BZ1583" s="109"/>
      <c r="CB1583" s="10"/>
      <c r="CE1583" s="109"/>
      <c r="CF1583" s="109"/>
      <c r="CH1583" s="10"/>
      <c r="CK1583" s="109"/>
      <c r="CL1583" s="109"/>
    </row>
    <row r="1584" spans="1:90">
      <c r="A1584" s="7" t="str">
        <f t="shared" si="241"/>
        <v>03150999</v>
      </c>
      <c r="B1584" s="7" t="s">
        <v>2654</v>
      </c>
      <c r="C1584" s="7" t="s">
        <v>2782</v>
      </c>
      <c r="D1584" s="7">
        <v>1575</v>
      </c>
      <c r="E1584" s="11">
        <v>315</v>
      </c>
      <c r="F1584" s="11" t="s">
        <v>2020</v>
      </c>
      <c r="G1584" s="11">
        <v>999</v>
      </c>
      <c r="H1584" s="11" t="s">
        <v>1132</v>
      </c>
      <c r="I1584" s="134">
        <v>24675330.589680005</v>
      </c>
      <c r="J1584" s="135">
        <v>1</v>
      </c>
      <c r="K1584" s="127">
        <f>SUM(K1580:K1583)</f>
        <v>25043290.042167287</v>
      </c>
      <c r="L1584" s="126">
        <f>SUM(L1580:L1583)</f>
        <v>1</v>
      </c>
      <c r="M1584" s="105">
        <f>VLOOKUP(E1584,town351,22)</f>
        <v>20778238</v>
      </c>
      <c r="N1584" s="105">
        <f>SUM(N1580:N1583)</f>
        <v>20778238</v>
      </c>
      <c r="O1584" s="128">
        <v>20673099</v>
      </c>
      <c r="P1584" s="105">
        <f>SUM(P1580:P1583)</f>
        <v>105139</v>
      </c>
      <c r="Q1584" s="45">
        <f t="shared" si="249"/>
        <v>0.50857880572235448</v>
      </c>
      <c r="R1584" s="105">
        <v>2639</v>
      </c>
      <c r="S1584" s="7">
        <f t="shared" si="242"/>
        <v>0</v>
      </c>
      <c r="T1584" s="124">
        <f t="shared" si="243"/>
        <v>315</v>
      </c>
      <c r="U1584" s="124">
        <f t="shared" si="244"/>
        <v>999</v>
      </c>
      <c r="V1584" s="124">
        <f t="shared" si="245"/>
        <v>1575</v>
      </c>
      <c r="W1584" s="124">
        <f t="shared" si="246"/>
        <v>2602</v>
      </c>
      <c r="X1584" s="124">
        <f t="shared" si="247"/>
        <v>25043290.042167287</v>
      </c>
      <c r="Y1584" s="264">
        <f t="shared" si="248"/>
        <v>1575</v>
      </c>
      <c r="Z1584" s="10">
        <v>315</v>
      </c>
      <c r="AA1584" s="7">
        <v>999</v>
      </c>
      <c r="AB1584" s="7">
        <v>1575</v>
      </c>
      <c r="AC1584" s="109">
        <v>2602</v>
      </c>
      <c r="AD1584" s="109">
        <v>25043290.042167287</v>
      </c>
      <c r="AE1584" s="125"/>
      <c r="AF1584" s="10"/>
      <c r="AI1584" s="109"/>
      <c r="AJ1584" s="109"/>
      <c r="AL1584" s="10"/>
      <c r="AO1584" s="109"/>
      <c r="AP1584" s="109"/>
      <c r="AR1584" s="10"/>
      <c r="AU1584" s="109"/>
      <c r="AV1584" s="109"/>
      <c r="AX1584" s="10"/>
      <c r="BA1584" s="109"/>
      <c r="BB1584" s="109"/>
      <c r="BD1584" s="10"/>
      <c r="BG1584" s="109"/>
      <c r="BH1584" s="109"/>
      <c r="BJ1584" s="10"/>
      <c r="BM1584" s="109"/>
      <c r="BN1584" s="109"/>
      <c r="BP1584" s="10"/>
      <c r="BS1584" s="109"/>
      <c r="BT1584" s="109"/>
      <c r="BV1584" s="10"/>
      <c r="BY1584" s="109"/>
      <c r="BZ1584" s="109"/>
      <c r="CB1584" s="10"/>
      <c r="CE1584" s="109"/>
      <c r="CF1584" s="109"/>
      <c r="CH1584" s="10"/>
      <c r="CK1584" s="109"/>
      <c r="CL1584" s="109"/>
    </row>
    <row r="1585" spans="1:90">
      <c r="A1585" s="7" t="str">
        <f t="shared" si="241"/>
        <v>03160316</v>
      </c>
      <c r="B1585" s="7" t="s">
        <v>2655</v>
      </c>
      <c r="C1585" s="7" t="s">
        <v>2655</v>
      </c>
      <c r="D1585" s="7">
        <v>1576</v>
      </c>
      <c r="E1585" s="7">
        <v>316</v>
      </c>
      <c r="F1585" s="7" t="s">
        <v>2021</v>
      </c>
      <c r="G1585" s="7">
        <v>316</v>
      </c>
      <c r="H1585" s="7" t="s">
        <v>1582</v>
      </c>
      <c r="I1585" s="70">
        <v>22136766.249999996</v>
      </c>
      <c r="J1585" s="131">
        <v>0.89871945537764808</v>
      </c>
      <c r="K1585" s="123">
        <f>X1585</f>
        <v>22425991.213709842</v>
      </c>
      <c r="L1585" s="122">
        <f>IF(K1589&gt;0, K1585/K1589, 0)</f>
        <v>0.90190720182124429</v>
      </c>
      <c r="M1585" s="71"/>
      <c r="N1585" s="10">
        <f>ROUND(M1589*L1585,0)</f>
        <v>10170354</v>
      </c>
      <c r="O1585" s="70">
        <v>10147763</v>
      </c>
      <c r="P1585" s="10">
        <f>N1585-O1585</f>
        <v>22591</v>
      </c>
      <c r="Q1585" s="46">
        <f t="shared" si="249"/>
        <v>0.22262049281206114</v>
      </c>
      <c r="R1585" s="10">
        <v>2004</v>
      </c>
      <c r="S1585" s="7">
        <f t="shared" si="242"/>
        <v>0</v>
      </c>
      <c r="T1585" s="124">
        <f t="shared" si="243"/>
        <v>316</v>
      </c>
      <c r="U1585" s="124">
        <f t="shared" si="244"/>
        <v>316</v>
      </c>
      <c r="V1585" s="124">
        <f t="shared" si="245"/>
        <v>1576</v>
      </c>
      <c r="W1585" s="124">
        <f t="shared" si="246"/>
        <v>1989</v>
      </c>
      <c r="X1585" s="124">
        <f t="shared" si="247"/>
        <v>22425991.213709842</v>
      </c>
      <c r="Y1585" s="264">
        <f t="shared" si="248"/>
        <v>1576</v>
      </c>
      <c r="Z1585" s="10">
        <v>316</v>
      </c>
      <c r="AA1585" s="7">
        <v>316</v>
      </c>
      <c r="AB1585" s="7">
        <v>1576</v>
      </c>
      <c r="AC1585" s="109">
        <v>1989</v>
      </c>
      <c r="AD1585" s="109">
        <v>22425991.213709842</v>
      </c>
      <c r="AE1585" s="125"/>
      <c r="AF1585" s="10"/>
      <c r="AI1585" s="109"/>
      <c r="AJ1585" s="109"/>
      <c r="AL1585" s="10"/>
      <c r="AO1585" s="109"/>
      <c r="AP1585" s="109"/>
      <c r="AR1585" s="10"/>
      <c r="AU1585" s="109"/>
      <c r="AV1585" s="109"/>
      <c r="AX1585" s="10"/>
      <c r="BA1585" s="109"/>
      <c r="BB1585" s="109"/>
      <c r="BD1585" s="10"/>
      <c r="BG1585" s="109"/>
      <c r="BH1585" s="109"/>
      <c r="BJ1585" s="10"/>
      <c r="BM1585" s="109"/>
      <c r="BN1585" s="109"/>
      <c r="BP1585" s="10"/>
      <c r="BS1585" s="109"/>
      <c r="BT1585" s="109"/>
      <c r="BV1585" s="10"/>
      <c r="BY1585" s="109"/>
      <c r="BZ1585" s="109"/>
      <c r="CB1585" s="10"/>
      <c r="CE1585" s="109"/>
      <c r="CF1585" s="109"/>
      <c r="CH1585" s="10"/>
      <c r="CK1585" s="109"/>
      <c r="CL1585" s="109"/>
    </row>
    <row r="1586" spans="1:90">
      <c r="A1586" s="7" t="str">
        <f t="shared" si="241"/>
        <v>03160876</v>
      </c>
      <c r="B1586" s="7" t="s">
        <v>2655</v>
      </c>
      <c r="C1586" s="7" t="s">
        <v>2774</v>
      </c>
      <c r="D1586" s="7">
        <v>1577</v>
      </c>
      <c r="E1586" s="7">
        <v>316</v>
      </c>
      <c r="F1586" s="7" t="s">
        <v>2021</v>
      </c>
      <c r="G1586" s="7">
        <v>876</v>
      </c>
      <c r="H1586" s="7" t="s">
        <v>1701</v>
      </c>
      <c r="I1586" s="70">
        <v>2494687</v>
      </c>
      <c r="J1586" s="131">
        <v>0.10128054462235192</v>
      </c>
      <c r="K1586" s="123">
        <f t="shared" si="250"/>
        <v>2439084.892151677</v>
      </c>
      <c r="L1586" s="122">
        <f>IF(K1589&gt;0, K1586/K1589, 0)</f>
        <v>9.8092798178755797E-2</v>
      </c>
      <c r="M1586" s="71"/>
      <c r="N1586" s="10">
        <f>ROUND(M1589*L1586,0)</f>
        <v>1106143</v>
      </c>
      <c r="O1586" s="70">
        <v>1143595</v>
      </c>
      <c r="P1586" s="10">
        <f>N1586-O1586</f>
        <v>-37452</v>
      </c>
      <c r="Q1586" s="46">
        <f t="shared" si="249"/>
        <v>-3.2749356196905373</v>
      </c>
      <c r="R1586" s="10">
        <v>160</v>
      </c>
      <c r="S1586" s="7">
        <f t="shared" si="242"/>
        <v>0</v>
      </c>
      <c r="T1586" s="124">
        <f t="shared" si="243"/>
        <v>316</v>
      </c>
      <c r="U1586" s="124">
        <f t="shared" si="244"/>
        <v>876</v>
      </c>
      <c r="V1586" s="124">
        <f t="shared" si="245"/>
        <v>1577</v>
      </c>
      <c r="W1586" s="124">
        <f t="shared" si="246"/>
        <v>153.99999999555001</v>
      </c>
      <c r="X1586" s="124">
        <f t="shared" si="247"/>
        <v>2439084.892151677</v>
      </c>
      <c r="Y1586" s="264">
        <f t="shared" si="248"/>
        <v>1577</v>
      </c>
      <c r="Z1586" s="10">
        <v>316</v>
      </c>
      <c r="AA1586" s="7">
        <v>876</v>
      </c>
      <c r="AB1586" s="7">
        <v>1577</v>
      </c>
      <c r="AC1586" s="109">
        <v>153.99999999555001</v>
      </c>
      <c r="AD1586" s="109">
        <v>2439084.892151677</v>
      </c>
      <c r="AE1586" s="125"/>
      <c r="AF1586" s="10"/>
      <c r="AI1586" s="109"/>
      <c r="AJ1586" s="109"/>
      <c r="AL1586" s="10"/>
      <c r="AO1586" s="109"/>
      <c r="AP1586" s="109"/>
      <c r="AR1586" s="10"/>
      <c r="AU1586" s="109"/>
      <c r="AV1586" s="109"/>
      <c r="AX1586" s="10"/>
      <c r="BA1586" s="109"/>
      <c r="BB1586" s="109"/>
      <c r="BD1586" s="10"/>
      <c r="BG1586" s="109"/>
      <c r="BH1586" s="109"/>
      <c r="BJ1586" s="10"/>
      <c r="BM1586" s="109"/>
      <c r="BN1586" s="109"/>
      <c r="BP1586" s="10"/>
      <c r="BS1586" s="109"/>
      <c r="BT1586" s="109"/>
      <c r="BV1586" s="10"/>
      <c r="BY1586" s="109"/>
      <c r="BZ1586" s="109"/>
      <c r="CB1586" s="10"/>
      <c r="CE1586" s="109"/>
      <c r="CF1586" s="109"/>
      <c r="CH1586" s="10"/>
      <c r="CK1586" s="109"/>
      <c r="CL1586" s="109"/>
    </row>
    <row r="1587" spans="1:90">
      <c r="A1587" s="7" t="str">
        <f t="shared" si="241"/>
        <v>03160998</v>
      </c>
      <c r="B1587" s="7" t="s">
        <v>2655</v>
      </c>
      <c r="C1587" s="7" t="s">
        <v>2781</v>
      </c>
      <c r="D1587" s="7">
        <v>1578</v>
      </c>
      <c r="E1587" s="7">
        <v>316</v>
      </c>
      <c r="F1587" s="7" t="s">
        <v>2135</v>
      </c>
      <c r="G1587" s="7">
        <v>998</v>
      </c>
      <c r="H1587" s="7" t="s">
        <v>2135</v>
      </c>
      <c r="I1587" s="70">
        <v>0</v>
      </c>
      <c r="J1587" s="131">
        <v>0</v>
      </c>
      <c r="K1587" s="123">
        <f t="shared" si="250"/>
        <v>0</v>
      </c>
      <c r="L1587" s="122">
        <f>IF(K1589&gt;0, K1587/K1589, 0)</f>
        <v>0</v>
      </c>
      <c r="M1587" s="71"/>
      <c r="N1587" s="10">
        <f>ROUND(M1589*L1587,0)</f>
        <v>0</v>
      </c>
      <c r="O1587" s="70">
        <v>0</v>
      </c>
      <c r="P1587" s="10">
        <f>N1587-O1587</f>
        <v>0</v>
      </c>
      <c r="Q1587" s="46">
        <f t="shared" si="249"/>
        <v>0</v>
      </c>
      <c r="R1587" s="10">
        <v>0</v>
      </c>
      <c r="S1587" s="7">
        <f t="shared" si="242"/>
        <v>0</v>
      </c>
      <c r="T1587" s="124">
        <f t="shared" si="243"/>
        <v>316</v>
      </c>
      <c r="U1587" s="124">
        <f t="shared" si="244"/>
        <v>998</v>
      </c>
      <c r="V1587" s="124">
        <f t="shared" si="245"/>
        <v>1578</v>
      </c>
      <c r="W1587" s="124">
        <f t="shared" si="246"/>
        <v>0</v>
      </c>
      <c r="X1587" s="124">
        <f t="shared" si="247"/>
        <v>0</v>
      </c>
      <c r="Y1587" s="264">
        <f t="shared" si="248"/>
        <v>1578</v>
      </c>
      <c r="Z1587" s="10">
        <v>316</v>
      </c>
      <c r="AA1587" s="7">
        <v>998</v>
      </c>
      <c r="AB1587" s="7">
        <v>1578</v>
      </c>
      <c r="AC1587" s="109">
        <v>0</v>
      </c>
      <c r="AD1587" s="109">
        <v>0</v>
      </c>
      <c r="AE1587" s="125"/>
      <c r="AF1587" s="10"/>
      <c r="AI1587" s="109"/>
      <c r="AJ1587" s="109"/>
      <c r="AL1587" s="10"/>
      <c r="AO1587" s="109"/>
      <c r="AP1587" s="109"/>
      <c r="AR1587" s="10"/>
      <c r="AU1587" s="109"/>
      <c r="AV1587" s="109"/>
      <c r="AX1587" s="10"/>
      <c r="BA1587" s="109"/>
      <c r="BB1587" s="109"/>
      <c r="BD1587" s="10"/>
      <c r="BG1587" s="109"/>
      <c r="BH1587" s="109"/>
      <c r="BJ1587" s="10"/>
      <c r="BM1587" s="109"/>
      <c r="BN1587" s="109"/>
      <c r="BP1587" s="10"/>
      <c r="BS1587" s="109"/>
      <c r="BT1587" s="109"/>
      <c r="BV1587" s="10"/>
      <c r="BY1587" s="109"/>
      <c r="BZ1587" s="109"/>
      <c r="CB1587" s="10"/>
      <c r="CE1587" s="109"/>
      <c r="CF1587" s="109"/>
      <c r="CH1587" s="10"/>
      <c r="CK1587" s="109"/>
      <c r="CL1587" s="109"/>
    </row>
    <row r="1588" spans="1:90">
      <c r="A1588" s="7" t="str">
        <f t="shared" si="241"/>
        <v>03160998</v>
      </c>
      <c r="B1588" s="7" t="s">
        <v>2655</v>
      </c>
      <c r="C1588" s="7" t="s">
        <v>2781</v>
      </c>
      <c r="D1588" s="7">
        <v>1579</v>
      </c>
      <c r="E1588" s="7">
        <v>316</v>
      </c>
      <c r="F1588" s="7" t="s">
        <v>2135</v>
      </c>
      <c r="G1588" s="7">
        <v>998</v>
      </c>
      <c r="H1588" s="7" t="s">
        <v>2135</v>
      </c>
      <c r="I1588" s="70">
        <v>0</v>
      </c>
      <c r="J1588" s="131">
        <v>0</v>
      </c>
      <c r="K1588" s="123">
        <f t="shared" si="250"/>
        <v>0</v>
      </c>
      <c r="L1588" s="122">
        <f>IF(K1589&gt;0, K1588/K1589, 0)</f>
        <v>0</v>
      </c>
      <c r="M1588" s="71"/>
      <c r="N1588" s="10">
        <f>ROUND(M1589*L1588,0)</f>
        <v>0</v>
      </c>
      <c r="O1588" s="70">
        <v>0</v>
      </c>
      <c r="P1588" s="10">
        <f>N1588-O1588</f>
        <v>0</v>
      </c>
      <c r="Q1588" s="46">
        <f t="shared" si="249"/>
        <v>0</v>
      </c>
      <c r="R1588" s="10">
        <v>0</v>
      </c>
      <c r="S1588" s="7">
        <f t="shared" si="242"/>
        <v>0</v>
      </c>
      <c r="T1588" s="124">
        <f t="shared" si="243"/>
        <v>316</v>
      </c>
      <c r="U1588" s="124">
        <f t="shared" si="244"/>
        <v>998</v>
      </c>
      <c r="V1588" s="124">
        <f t="shared" si="245"/>
        <v>1579</v>
      </c>
      <c r="W1588" s="124">
        <f t="shared" si="246"/>
        <v>0</v>
      </c>
      <c r="X1588" s="124">
        <f t="shared" si="247"/>
        <v>0</v>
      </c>
      <c r="Y1588" s="264">
        <f t="shared" si="248"/>
        <v>1579</v>
      </c>
      <c r="Z1588" s="10">
        <v>316</v>
      </c>
      <c r="AA1588" s="7">
        <v>998</v>
      </c>
      <c r="AB1588" s="7">
        <v>1579</v>
      </c>
      <c r="AC1588" s="109">
        <v>0</v>
      </c>
      <c r="AD1588" s="109">
        <v>0</v>
      </c>
      <c r="AE1588" s="125"/>
      <c r="AF1588" s="10"/>
      <c r="AI1588" s="109"/>
      <c r="AJ1588" s="109"/>
      <c r="AL1588" s="10"/>
      <c r="AO1588" s="109"/>
      <c r="AP1588" s="109"/>
      <c r="AR1588" s="10"/>
      <c r="AU1588" s="109"/>
      <c r="AV1588" s="109"/>
      <c r="AX1588" s="10"/>
      <c r="BA1588" s="109"/>
      <c r="BB1588" s="109"/>
      <c r="BD1588" s="10"/>
      <c r="BG1588" s="109"/>
      <c r="BH1588" s="109"/>
      <c r="BJ1588" s="10"/>
      <c r="BM1588" s="109"/>
      <c r="BN1588" s="109"/>
      <c r="BP1588" s="10"/>
      <c r="BS1588" s="109"/>
      <c r="BT1588" s="109"/>
      <c r="BV1588" s="10"/>
      <c r="BY1588" s="109"/>
      <c r="BZ1588" s="109"/>
      <c r="CB1588" s="10"/>
      <c r="CE1588" s="109"/>
      <c r="CF1588" s="109"/>
      <c r="CH1588" s="10"/>
      <c r="CK1588" s="109"/>
      <c r="CL1588" s="109"/>
    </row>
    <row r="1589" spans="1:90">
      <c r="A1589" s="7" t="str">
        <f t="shared" si="241"/>
        <v>03160999</v>
      </c>
      <c r="B1589" s="7" t="s">
        <v>2655</v>
      </c>
      <c r="C1589" s="7" t="s">
        <v>2782</v>
      </c>
      <c r="D1589" s="7">
        <v>1580</v>
      </c>
      <c r="E1589" s="11">
        <v>316</v>
      </c>
      <c r="F1589" s="11" t="s">
        <v>2021</v>
      </c>
      <c r="G1589" s="11">
        <v>999</v>
      </c>
      <c r="H1589" s="11" t="s">
        <v>1132</v>
      </c>
      <c r="I1589" s="134">
        <v>24631453.249999996</v>
      </c>
      <c r="J1589" s="135">
        <v>1</v>
      </c>
      <c r="K1589" s="127">
        <f>SUM(K1585:K1588)</f>
        <v>24865076.105861519</v>
      </c>
      <c r="L1589" s="126">
        <f>SUM(L1585:L1588)</f>
        <v>1</v>
      </c>
      <c r="M1589" s="105">
        <f>VLOOKUP(E1589,town351,22)</f>
        <v>11276497</v>
      </c>
      <c r="N1589" s="105">
        <f>SUM(N1585:N1588)</f>
        <v>11276497</v>
      </c>
      <c r="O1589" s="128">
        <v>11291358</v>
      </c>
      <c r="P1589" s="105">
        <f>SUM(P1585:P1588)</f>
        <v>-14861</v>
      </c>
      <c r="Q1589" s="45">
        <f t="shared" si="249"/>
        <v>-0.13161392987451112</v>
      </c>
      <c r="R1589" s="105">
        <v>2164</v>
      </c>
      <c r="S1589" s="7">
        <f t="shared" si="242"/>
        <v>0</v>
      </c>
      <c r="T1589" s="124">
        <f t="shared" si="243"/>
        <v>316</v>
      </c>
      <c r="U1589" s="124">
        <f t="shared" si="244"/>
        <v>999</v>
      </c>
      <c r="V1589" s="124">
        <f t="shared" si="245"/>
        <v>1580</v>
      </c>
      <c r="W1589" s="124">
        <f t="shared" si="246"/>
        <v>2142.9999999955498</v>
      </c>
      <c r="X1589" s="124">
        <f t="shared" si="247"/>
        <v>24865076.105861519</v>
      </c>
      <c r="Y1589" s="264">
        <f t="shared" si="248"/>
        <v>1580</v>
      </c>
      <c r="Z1589" s="10">
        <v>316</v>
      </c>
      <c r="AA1589" s="7">
        <v>999</v>
      </c>
      <c r="AB1589" s="7">
        <v>1580</v>
      </c>
      <c r="AC1589" s="109">
        <v>2142.9999999955498</v>
      </c>
      <c r="AD1589" s="109">
        <v>24865076.105861519</v>
      </c>
      <c r="AE1589" s="125"/>
      <c r="AF1589" s="10"/>
      <c r="AI1589" s="109"/>
      <c r="AJ1589" s="109"/>
      <c r="AL1589" s="10"/>
      <c r="AO1589" s="109"/>
      <c r="AP1589" s="109"/>
      <c r="AR1589" s="10"/>
      <c r="AU1589" s="109"/>
      <c r="AV1589" s="109"/>
      <c r="AX1589" s="10"/>
      <c r="BA1589" s="109"/>
      <c r="BB1589" s="109"/>
      <c r="BD1589" s="10"/>
      <c r="BG1589" s="109"/>
      <c r="BH1589" s="109"/>
      <c r="BJ1589" s="10"/>
      <c r="BM1589" s="109"/>
      <c r="BN1589" s="109"/>
      <c r="BP1589" s="10"/>
      <c r="BS1589" s="109"/>
      <c r="BT1589" s="109"/>
      <c r="BV1589" s="10"/>
      <c r="BY1589" s="109"/>
      <c r="BZ1589" s="109"/>
      <c r="CB1589" s="10"/>
      <c r="CE1589" s="109"/>
      <c r="CF1589" s="109"/>
      <c r="CH1589" s="10"/>
      <c r="CK1589" s="109"/>
      <c r="CL1589" s="109"/>
    </row>
    <row r="1590" spans="1:90">
      <c r="A1590" s="7" t="str">
        <f t="shared" si="241"/>
        <v>03170317</v>
      </c>
      <c r="B1590" s="7" t="s">
        <v>2656</v>
      </c>
      <c r="C1590" s="7" t="s">
        <v>2656</v>
      </c>
      <c r="D1590" s="7">
        <v>1581</v>
      </c>
      <c r="E1590" s="7">
        <v>317</v>
      </c>
      <c r="F1590" s="7" t="s">
        <v>2022</v>
      </c>
      <c r="G1590" s="7">
        <v>317</v>
      </c>
      <c r="H1590" s="7" t="s">
        <v>1583</v>
      </c>
      <c r="I1590" s="70">
        <v>49005990.891000003</v>
      </c>
      <c r="J1590" s="131">
        <v>0.99901309572338348</v>
      </c>
      <c r="K1590" s="123">
        <f>X1590</f>
        <v>49446876.963866338</v>
      </c>
      <c r="L1590" s="122">
        <f>IF(K1594&gt;0, K1590/K1594, 0)</f>
        <v>0.99866924846845517</v>
      </c>
      <c r="M1590" s="71"/>
      <c r="N1590" s="10">
        <f>ROUND(M1594*L1590,0)</f>
        <v>41046916</v>
      </c>
      <c r="O1590" s="70">
        <v>40807164</v>
      </c>
      <c r="P1590" s="10">
        <f>N1590-O1590</f>
        <v>239752</v>
      </c>
      <c r="Q1590" s="46">
        <f t="shared" si="249"/>
        <v>0.58752428862735961</v>
      </c>
      <c r="R1590" s="10">
        <v>5095</v>
      </c>
      <c r="S1590" s="7">
        <f t="shared" si="242"/>
        <v>0</v>
      </c>
      <c r="T1590" s="124">
        <f t="shared" si="243"/>
        <v>317</v>
      </c>
      <c r="U1590" s="124">
        <f t="shared" si="244"/>
        <v>317</v>
      </c>
      <c r="V1590" s="124">
        <f t="shared" si="245"/>
        <v>1581</v>
      </c>
      <c r="W1590" s="124">
        <f t="shared" si="246"/>
        <v>5030</v>
      </c>
      <c r="X1590" s="124">
        <f t="shared" si="247"/>
        <v>49446876.963866338</v>
      </c>
      <c r="Y1590" s="264">
        <f t="shared" si="248"/>
        <v>1581</v>
      </c>
      <c r="Z1590" s="10">
        <v>317</v>
      </c>
      <c r="AA1590" s="7">
        <v>317</v>
      </c>
      <c r="AB1590" s="7">
        <v>1581</v>
      </c>
      <c r="AC1590" s="109">
        <v>5030</v>
      </c>
      <c r="AD1590" s="109">
        <v>49446876.963866338</v>
      </c>
      <c r="AE1590" s="125"/>
      <c r="AF1590" s="10"/>
      <c r="AI1590" s="109"/>
      <c r="AJ1590" s="109"/>
      <c r="AL1590" s="10"/>
      <c r="AO1590" s="109"/>
      <c r="AP1590" s="109"/>
      <c r="AR1590" s="10"/>
      <c r="AU1590" s="109"/>
      <c r="AV1590" s="109"/>
      <c r="AX1590" s="10"/>
      <c r="BA1590" s="109"/>
      <c r="BB1590" s="109"/>
      <c r="BD1590" s="10"/>
      <c r="BG1590" s="109"/>
      <c r="BH1590" s="109"/>
      <c r="BJ1590" s="10"/>
      <c r="BM1590" s="109"/>
      <c r="BN1590" s="109"/>
      <c r="BP1590" s="10"/>
      <c r="BS1590" s="109"/>
      <c r="BT1590" s="109"/>
      <c r="BV1590" s="10"/>
      <c r="BY1590" s="109"/>
      <c r="BZ1590" s="109"/>
      <c r="CB1590" s="10"/>
      <c r="CE1590" s="109"/>
      <c r="CF1590" s="109"/>
      <c r="CH1590" s="10"/>
      <c r="CK1590" s="109"/>
      <c r="CL1590" s="109"/>
    </row>
    <row r="1591" spans="1:90">
      <c r="A1591" s="7" t="str">
        <f t="shared" si="241"/>
        <v>03170915</v>
      </c>
      <c r="B1591" s="7" t="s">
        <v>2656</v>
      </c>
      <c r="C1591" s="7" t="s">
        <v>2779</v>
      </c>
      <c r="D1591" s="7">
        <v>1582</v>
      </c>
      <c r="E1591" s="7">
        <v>317</v>
      </c>
      <c r="F1591" s="7" t="s">
        <v>2022</v>
      </c>
      <c r="G1591" s="7">
        <v>915</v>
      </c>
      <c r="H1591" s="7" t="s">
        <v>1706</v>
      </c>
      <c r="I1591" s="70">
        <v>48412</v>
      </c>
      <c r="J1591" s="131">
        <v>9.8690427661656715E-4</v>
      </c>
      <c r="K1591" s="123">
        <f t="shared" si="250"/>
        <v>65889.189389469204</v>
      </c>
      <c r="L1591" s="122">
        <f>IF(K1594&gt;0, K1591/K1594, 0)</f>
        <v>1.330751531544891E-3</v>
      </c>
      <c r="M1591" s="71"/>
      <c r="N1591" s="10">
        <f>ROUND(M1594*L1591,0)</f>
        <v>54696</v>
      </c>
      <c r="O1591" s="70">
        <v>40313</v>
      </c>
      <c r="P1591" s="10">
        <f>N1591-O1591</f>
        <v>14383</v>
      </c>
      <c r="Q1591" s="46">
        <f t="shared" si="249"/>
        <v>35.678317168159154</v>
      </c>
      <c r="R1591" s="10">
        <v>3</v>
      </c>
      <c r="S1591" s="7">
        <f t="shared" si="242"/>
        <v>0</v>
      </c>
      <c r="T1591" s="124">
        <f t="shared" si="243"/>
        <v>317</v>
      </c>
      <c r="U1591" s="124">
        <f t="shared" si="244"/>
        <v>915</v>
      </c>
      <c r="V1591" s="124">
        <f t="shared" si="245"/>
        <v>1582</v>
      </c>
      <c r="W1591" s="124">
        <f t="shared" si="246"/>
        <v>3.9999999992400004</v>
      </c>
      <c r="X1591" s="124">
        <f t="shared" si="247"/>
        <v>65889.189389469204</v>
      </c>
      <c r="Y1591" s="264">
        <f t="shared" si="248"/>
        <v>1582</v>
      </c>
      <c r="Z1591" s="10">
        <v>317</v>
      </c>
      <c r="AA1591" s="7">
        <v>915</v>
      </c>
      <c r="AB1591" s="7">
        <v>1582</v>
      </c>
      <c r="AC1591" s="109">
        <v>3.9999999992400004</v>
      </c>
      <c r="AD1591" s="109">
        <v>65889.189389469204</v>
      </c>
      <c r="AE1591" s="125"/>
      <c r="AF1591" s="10"/>
      <c r="AI1591" s="109"/>
      <c r="AJ1591" s="109"/>
      <c r="AL1591" s="10"/>
      <c r="AO1591" s="109"/>
      <c r="AP1591" s="109"/>
      <c r="AR1591" s="10"/>
      <c r="AU1591" s="109"/>
      <c r="AV1591" s="109"/>
      <c r="AX1591" s="10"/>
      <c r="BA1591" s="109"/>
      <c r="BB1591" s="109"/>
      <c r="BD1591" s="10"/>
      <c r="BG1591" s="109"/>
      <c r="BH1591" s="109"/>
      <c r="BJ1591" s="10"/>
      <c r="BM1591" s="109"/>
      <c r="BN1591" s="109"/>
      <c r="BP1591" s="10"/>
      <c r="BS1591" s="109"/>
      <c r="BT1591" s="109"/>
      <c r="BV1591" s="10"/>
      <c r="BY1591" s="109"/>
      <c r="BZ1591" s="109"/>
      <c r="CB1591" s="10"/>
      <c r="CE1591" s="109"/>
      <c r="CF1591" s="109"/>
      <c r="CH1591" s="10"/>
      <c r="CK1591" s="109"/>
      <c r="CL1591" s="109"/>
    </row>
    <row r="1592" spans="1:90">
      <c r="A1592" s="7" t="str">
        <f t="shared" si="241"/>
        <v>03170998</v>
      </c>
      <c r="B1592" s="7" t="s">
        <v>2656</v>
      </c>
      <c r="C1592" s="7" t="s">
        <v>2781</v>
      </c>
      <c r="D1592" s="7">
        <v>1583</v>
      </c>
      <c r="E1592" s="7">
        <v>317</v>
      </c>
      <c r="F1592" s="7" t="s">
        <v>2135</v>
      </c>
      <c r="G1592" s="7">
        <v>998</v>
      </c>
      <c r="H1592" s="7" t="s">
        <v>2135</v>
      </c>
      <c r="I1592" s="70">
        <v>0</v>
      </c>
      <c r="J1592" s="131">
        <v>0</v>
      </c>
      <c r="K1592" s="123">
        <f t="shared" si="250"/>
        <v>0</v>
      </c>
      <c r="L1592" s="122">
        <f>IF(K1594&gt;0, K1592/K1594, 0)</f>
        <v>0</v>
      </c>
      <c r="M1592" s="71"/>
      <c r="N1592" s="10">
        <f>ROUND(M1594*L1592,0)</f>
        <v>0</v>
      </c>
      <c r="O1592" s="70">
        <v>0</v>
      </c>
      <c r="P1592" s="10">
        <f>N1592-O1592</f>
        <v>0</v>
      </c>
      <c r="Q1592" s="46">
        <f t="shared" si="249"/>
        <v>0</v>
      </c>
      <c r="R1592" s="10">
        <v>0</v>
      </c>
      <c r="S1592" s="7">
        <f t="shared" si="242"/>
        <v>0</v>
      </c>
      <c r="T1592" s="124">
        <f t="shared" si="243"/>
        <v>317</v>
      </c>
      <c r="U1592" s="124">
        <f t="shared" si="244"/>
        <v>998</v>
      </c>
      <c r="V1592" s="124">
        <f t="shared" si="245"/>
        <v>1583</v>
      </c>
      <c r="W1592" s="124">
        <f t="shared" si="246"/>
        <v>0</v>
      </c>
      <c r="X1592" s="124">
        <f t="shared" si="247"/>
        <v>0</v>
      </c>
      <c r="Y1592" s="264">
        <f t="shared" si="248"/>
        <v>1583</v>
      </c>
      <c r="Z1592" s="10">
        <v>317</v>
      </c>
      <c r="AA1592" s="7">
        <v>998</v>
      </c>
      <c r="AB1592" s="7">
        <v>1583</v>
      </c>
      <c r="AC1592" s="109">
        <v>0</v>
      </c>
      <c r="AD1592" s="109">
        <v>0</v>
      </c>
      <c r="AE1592" s="125"/>
      <c r="AF1592" s="10"/>
      <c r="AI1592" s="109"/>
      <c r="AJ1592" s="109"/>
      <c r="AL1592" s="10"/>
      <c r="AO1592" s="109"/>
      <c r="AP1592" s="109"/>
      <c r="AR1592" s="10"/>
      <c r="AU1592" s="109"/>
      <c r="AV1592" s="109"/>
      <c r="AX1592" s="10"/>
      <c r="BA1592" s="109"/>
      <c r="BB1592" s="109"/>
      <c r="BD1592" s="10"/>
      <c r="BG1592" s="109"/>
      <c r="BH1592" s="109"/>
      <c r="BJ1592" s="10"/>
      <c r="BM1592" s="109"/>
      <c r="BN1592" s="109"/>
      <c r="BP1592" s="10"/>
      <c r="BS1592" s="109"/>
      <c r="BT1592" s="109"/>
      <c r="BV1592" s="10"/>
      <c r="BY1592" s="109"/>
      <c r="BZ1592" s="109"/>
      <c r="CB1592" s="10"/>
      <c r="CE1592" s="109"/>
      <c r="CF1592" s="109"/>
      <c r="CH1592" s="10"/>
      <c r="CK1592" s="109"/>
      <c r="CL1592" s="109"/>
    </row>
    <row r="1593" spans="1:90">
      <c r="A1593" s="7" t="str">
        <f t="shared" si="241"/>
        <v>03170998</v>
      </c>
      <c r="B1593" s="7" t="s">
        <v>2656</v>
      </c>
      <c r="C1593" s="7" t="s">
        <v>2781</v>
      </c>
      <c r="D1593" s="7">
        <v>1584</v>
      </c>
      <c r="E1593" s="7">
        <v>317</v>
      </c>
      <c r="F1593" s="7" t="s">
        <v>2135</v>
      </c>
      <c r="G1593" s="7">
        <v>998</v>
      </c>
      <c r="H1593" s="7" t="s">
        <v>2135</v>
      </c>
      <c r="I1593" s="70">
        <v>0</v>
      </c>
      <c r="J1593" s="131">
        <v>0</v>
      </c>
      <c r="K1593" s="123">
        <f t="shared" si="250"/>
        <v>0</v>
      </c>
      <c r="L1593" s="122">
        <f>IF(K1594&gt;0, K1593/K1594, 0)</f>
        <v>0</v>
      </c>
      <c r="M1593" s="71"/>
      <c r="N1593" s="10">
        <f>ROUND(M1594*L1593,0)</f>
        <v>0</v>
      </c>
      <c r="O1593" s="70">
        <v>0</v>
      </c>
      <c r="P1593" s="10">
        <f>N1593-O1593</f>
        <v>0</v>
      </c>
      <c r="Q1593" s="46">
        <f t="shared" si="249"/>
        <v>0</v>
      </c>
      <c r="R1593" s="10">
        <v>0</v>
      </c>
      <c r="S1593" s="7">
        <f t="shared" si="242"/>
        <v>0</v>
      </c>
      <c r="T1593" s="124">
        <f t="shared" si="243"/>
        <v>317</v>
      </c>
      <c r="U1593" s="124">
        <f t="shared" si="244"/>
        <v>998</v>
      </c>
      <c r="V1593" s="124">
        <f t="shared" si="245"/>
        <v>1584</v>
      </c>
      <c r="W1593" s="124">
        <f t="shared" si="246"/>
        <v>0</v>
      </c>
      <c r="X1593" s="124">
        <f t="shared" si="247"/>
        <v>0</v>
      </c>
      <c r="Y1593" s="264">
        <f t="shared" si="248"/>
        <v>1584</v>
      </c>
      <c r="Z1593" s="10">
        <v>317</v>
      </c>
      <c r="AA1593" s="7">
        <v>998</v>
      </c>
      <c r="AB1593" s="7">
        <v>1584</v>
      </c>
      <c r="AC1593" s="109">
        <v>0</v>
      </c>
      <c r="AD1593" s="109">
        <v>0</v>
      </c>
      <c r="AE1593" s="125"/>
      <c r="AF1593" s="10"/>
      <c r="AI1593" s="109"/>
      <c r="AJ1593" s="109"/>
      <c r="AL1593" s="10"/>
      <c r="AO1593" s="109"/>
      <c r="AP1593" s="109"/>
      <c r="AR1593" s="10"/>
      <c r="AU1593" s="109"/>
      <c r="AV1593" s="109"/>
      <c r="AX1593" s="10"/>
      <c r="BA1593" s="109"/>
      <c r="BB1593" s="109"/>
      <c r="BD1593" s="10"/>
      <c r="BG1593" s="109"/>
      <c r="BH1593" s="109"/>
      <c r="BJ1593" s="10"/>
      <c r="BM1593" s="109"/>
      <c r="BN1593" s="109"/>
      <c r="BP1593" s="10"/>
      <c r="BS1593" s="109"/>
      <c r="BT1593" s="109"/>
      <c r="BV1593" s="10"/>
      <c r="BY1593" s="109"/>
      <c r="BZ1593" s="109"/>
      <c r="CB1593" s="10"/>
      <c r="CE1593" s="109"/>
      <c r="CF1593" s="109"/>
      <c r="CH1593" s="10"/>
      <c r="CK1593" s="109"/>
      <c r="CL1593" s="109"/>
    </row>
    <row r="1594" spans="1:90">
      <c r="A1594" s="7" t="str">
        <f t="shared" si="241"/>
        <v>03170999</v>
      </c>
      <c r="B1594" s="7" t="s">
        <v>2656</v>
      </c>
      <c r="C1594" s="7" t="s">
        <v>2782</v>
      </c>
      <c r="D1594" s="7">
        <v>1585</v>
      </c>
      <c r="E1594" s="11">
        <v>317</v>
      </c>
      <c r="F1594" s="11" t="s">
        <v>2022</v>
      </c>
      <c r="G1594" s="11">
        <v>999</v>
      </c>
      <c r="H1594" s="11" t="s">
        <v>1132</v>
      </c>
      <c r="I1594" s="134">
        <v>49054402.891000003</v>
      </c>
      <c r="J1594" s="135">
        <v>1</v>
      </c>
      <c r="K1594" s="127">
        <f>SUM(K1590:K1593)</f>
        <v>49512766.153255805</v>
      </c>
      <c r="L1594" s="126">
        <f>SUM(L1590:L1593)</f>
        <v>1</v>
      </c>
      <c r="M1594" s="105">
        <f>VLOOKUP(E1594,town351,22)</f>
        <v>41101612</v>
      </c>
      <c r="N1594" s="105">
        <f>SUM(N1590:N1593)</f>
        <v>41101612</v>
      </c>
      <c r="O1594" s="128">
        <v>40847477</v>
      </c>
      <c r="P1594" s="105">
        <f>SUM(P1590:P1593)</f>
        <v>254135</v>
      </c>
      <c r="Q1594" s="45">
        <f t="shared" si="249"/>
        <v>0.62215592899409677</v>
      </c>
      <c r="R1594" s="105">
        <v>5098</v>
      </c>
      <c r="S1594" s="7">
        <f t="shared" si="242"/>
        <v>0</v>
      </c>
      <c r="T1594" s="124">
        <f t="shared" si="243"/>
        <v>317</v>
      </c>
      <c r="U1594" s="124">
        <f t="shared" si="244"/>
        <v>999</v>
      </c>
      <c r="V1594" s="124">
        <f t="shared" si="245"/>
        <v>1585</v>
      </c>
      <c r="W1594" s="124">
        <f t="shared" si="246"/>
        <v>5033.9999999992397</v>
      </c>
      <c r="X1594" s="124">
        <f t="shared" si="247"/>
        <v>49512766.153255805</v>
      </c>
      <c r="Y1594" s="264">
        <f t="shared" si="248"/>
        <v>1585</v>
      </c>
      <c r="Z1594" s="10">
        <v>317</v>
      </c>
      <c r="AA1594" s="7">
        <v>999</v>
      </c>
      <c r="AB1594" s="7">
        <v>1585</v>
      </c>
      <c r="AC1594" s="109">
        <v>5033.9999999992397</v>
      </c>
      <c r="AD1594" s="109">
        <v>49512766.153255805</v>
      </c>
      <c r="AE1594" s="125"/>
      <c r="AF1594" s="10"/>
      <c r="AI1594" s="109"/>
      <c r="AJ1594" s="109"/>
      <c r="AL1594" s="10"/>
      <c r="AO1594" s="109"/>
      <c r="AP1594" s="109"/>
      <c r="AR1594" s="10"/>
      <c r="AU1594" s="109"/>
      <c r="AV1594" s="109"/>
      <c r="AX1594" s="10"/>
      <c r="BA1594" s="109"/>
      <c r="BB1594" s="109"/>
      <c r="BD1594" s="10"/>
      <c r="BG1594" s="109"/>
      <c r="BH1594" s="109"/>
      <c r="BJ1594" s="10"/>
      <c r="BM1594" s="109"/>
      <c r="BN1594" s="109"/>
      <c r="BP1594" s="10"/>
      <c r="BS1594" s="109"/>
      <c r="BT1594" s="109"/>
      <c r="BV1594" s="10"/>
      <c r="BY1594" s="109"/>
      <c r="BZ1594" s="109"/>
      <c r="CB1594" s="10"/>
      <c r="CE1594" s="109"/>
      <c r="CF1594" s="109"/>
      <c r="CH1594" s="10"/>
      <c r="CK1594" s="109"/>
      <c r="CL1594" s="109"/>
    </row>
    <row r="1595" spans="1:90">
      <c r="A1595" s="7" t="str">
        <f t="shared" si="241"/>
        <v>03180318</v>
      </c>
      <c r="B1595" s="7" t="s">
        <v>2657</v>
      </c>
      <c r="C1595" s="7" t="s">
        <v>2657</v>
      </c>
      <c r="D1595" s="7">
        <v>1586</v>
      </c>
      <c r="E1595" s="7">
        <v>318</v>
      </c>
      <c r="F1595" s="7" t="s">
        <v>2023</v>
      </c>
      <c r="G1595" s="7">
        <v>318</v>
      </c>
      <c r="H1595" s="7" t="s">
        <v>1584</v>
      </c>
      <c r="I1595" s="70">
        <v>1067714.3400000001</v>
      </c>
      <c r="J1595" s="131">
        <v>0.37861843566381881</v>
      </c>
      <c r="K1595" s="123">
        <f>X1595</f>
        <v>1107735.4422992696</v>
      </c>
      <c r="L1595" s="122">
        <f>IF(K1599&gt;0, K1595/K1599, 0)</f>
        <v>0.37853576619435031</v>
      </c>
      <c r="M1595" s="71"/>
      <c r="N1595" s="10">
        <f>ROUND(M1599*L1595,0)</f>
        <v>917147</v>
      </c>
      <c r="O1595" s="70">
        <v>892056</v>
      </c>
      <c r="P1595" s="10">
        <f>N1595-O1595</f>
        <v>25091</v>
      </c>
      <c r="Q1595" s="46">
        <f t="shared" si="249"/>
        <v>2.8127157936273059</v>
      </c>
      <c r="R1595" s="10">
        <v>108</v>
      </c>
      <c r="S1595" s="7">
        <f t="shared" si="242"/>
        <v>0</v>
      </c>
      <c r="T1595" s="124">
        <f t="shared" si="243"/>
        <v>318</v>
      </c>
      <c r="U1595" s="124">
        <f t="shared" si="244"/>
        <v>318</v>
      </c>
      <c r="V1595" s="124">
        <f t="shared" si="245"/>
        <v>1586</v>
      </c>
      <c r="W1595" s="124">
        <f t="shared" si="246"/>
        <v>110</v>
      </c>
      <c r="X1595" s="124">
        <f t="shared" si="247"/>
        <v>1107735.4422992696</v>
      </c>
      <c r="Y1595" s="264">
        <f t="shared" si="248"/>
        <v>1586</v>
      </c>
      <c r="Z1595" s="10">
        <v>318</v>
      </c>
      <c r="AA1595" s="7">
        <v>318</v>
      </c>
      <c r="AB1595" s="7">
        <v>1586</v>
      </c>
      <c r="AC1595" s="109">
        <v>110</v>
      </c>
      <c r="AD1595" s="109">
        <v>1107735.4422992696</v>
      </c>
      <c r="AE1595" s="125"/>
      <c r="AF1595" s="10"/>
      <c r="AI1595" s="109"/>
      <c r="AJ1595" s="109"/>
      <c r="AL1595" s="10"/>
      <c r="AO1595" s="109"/>
      <c r="AP1595" s="109"/>
      <c r="AR1595" s="10"/>
      <c r="AU1595" s="109"/>
      <c r="AV1595" s="109"/>
      <c r="AX1595" s="10"/>
      <c r="BA1595" s="109"/>
      <c r="BB1595" s="109"/>
      <c r="BD1595" s="10"/>
      <c r="BG1595" s="109"/>
      <c r="BH1595" s="109"/>
      <c r="BJ1595" s="10"/>
      <c r="BM1595" s="109"/>
      <c r="BN1595" s="109"/>
      <c r="BP1595" s="10"/>
      <c r="BS1595" s="109"/>
      <c r="BT1595" s="109"/>
      <c r="BV1595" s="10"/>
      <c r="BY1595" s="109"/>
      <c r="BZ1595" s="109"/>
      <c r="CB1595" s="10"/>
      <c r="CE1595" s="109"/>
      <c r="CF1595" s="109"/>
      <c r="CH1595" s="10"/>
      <c r="CK1595" s="109"/>
      <c r="CL1595" s="109"/>
    </row>
    <row r="1596" spans="1:90">
      <c r="A1596" s="7" t="str">
        <f t="shared" si="241"/>
        <v>03180660</v>
      </c>
      <c r="B1596" s="7" t="s">
        <v>2657</v>
      </c>
      <c r="C1596" s="7" t="s">
        <v>2711</v>
      </c>
      <c r="D1596" s="7">
        <v>1587</v>
      </c>
      <c r="E1596" s="7">
        <v>318</v>
      </c>
      <c r="F1596" s="7" t="s">
        <v>2023</v>
      </c>
      <c r="G1596" s="7">
        <v>660</v>
      </c>
      <c r="H1596" s="7" t="s">
        <v>1638</v>
      </c>
      <c r="I1596" s="70">
        <v>1640550</v>
      </c>
      <c r="J1596" s="131">
        <v>0.58174967906516828</v>
      </c>
      <c r="K1596" s="123">
        <f t="shared" si="250"/>
        <v>1671042.8646366228</v>
      </c>
      <c r="L1596" s="122">
        <f>IF(K1599&gt;0, K1596/K1599, 0)</f>
        <v>0.57102938748251608</v>
      </c>
      <c r="M1596" s="71"/>
      <c r="N1596" s="10">
        <f>ROUND(M1599*L1596,0)</f>
        <v>1383537</v>
      </c>
      <c r="O1596" s="70">
        <v>1370650</v>
      </c>
      <c r="P1596" s="10">
        <f>N1596-O1596</f>
        <v>12887</v>
      </c>
      <c r="Q1596" s="46">
        <f t="shared" si="249"/>
        <v>0.94021084886732575</v>
      </c>
      <c r="R1596" s="10">
        <v>157</v>
      </c>
      <c r="S1596" s="7">
        <f t="shared" si="242"/>
        <v>0</v>
      </c>
      <c r="T1596" s="124">
        <f t="shared" si="243"/>
        <v>318</v>
      </c>
      <c r="U1596" s="124">
        <f t="shared" si="244"/>
        <v>660</v>
      </c>
      <c r="V1596" s="124">
        <f t="shared" si="245"/>
        <v>1587</v>
      </c>
      <c r="W1596" s="124">
        <f t="shared" si="246"/>
        <v>158.26756985949001</v>
      </c>
      <c r="X1596" s="124">
        <f t="shared" si="247"/>
        <v>1671042.8646366228</v>
      </c>
      <c r="Y1596" s="264">
        <f t="shared" si="248"/>
        <v>1587</v>
      </c>
      <c r="Z1596" s="10">
        <v>318</v>
      </c>
      <c r="AA1596" s="7">
        <v>660</v>
      </c>
      <c r="AB1596" s="7">
        <v>1587</v>
      </c>
      <c r="AC1596" s="109">
        <v>158.26756985949001</v>
      </c>
      <c r="AD1596" s="109">
        <v>1671042.8646366228</v>
      </c>
      <c r="AE1596" s="125"/>
      <c r="AF1596" s="10"/>
      <c r="AI1596" s="109"/>
      <c r="AJ1596" s="109"/>
      <c r="AL1596" s="10"/>
      <c r="AO1596" s="109"/>
      <c r="AP1596" s="109"/>
      <c r="AR1596" s="10"/>
      <c r="AU1596" s="109"/>
      <c r="AV1596" s="109"/>
      <c r="AX1596" s="10"/>
      <c r="BA1596" s="109"/>
      <c r="BB1596" s="109"/>
      <c r="BD1596" s="10"/>
      <c r="BG1596" s="109"/>
      <c r="BH1596" s="109"/>
      <c r="BJ1596" s="10"/>
      <c r="BM1596" s="109"/>
      <c r="BN1596" s="109"/>
      <c r="BP1596" s="10"/>
      <c r="BS1596" s="109"/>
      <c r="BT1596" s="109"/>
      <c r="BV1596" s="10"/>
      <c r="BY1596" s="109"/>
      <c r="BZ1596" s="109"/>
      <c r="CB1596" s="10"/>
      <c r="CE1596" s="109"/>
      <c r="CF1596" s="109"/>
      <c r="CH1596" s="10"/>
      <c r="CK1596" s="109"/>
      <c r="CL1596" s="109"/>
    </row>
    <row r="1597" spans="1:90">
      <c r="A1597" s="7" t="str">
        <f t="shared" si="241"/>
        <v>03180815</v>
      </c>
      <c r="B1597" s="7" t="s">
        <v>2657</v>
      </c>
      <c r="C1597" s="7" t="s">
        <v>2756</v>
      </c>
      <c r="D1597" s="7">
        <v>1588</v>
      </c>
      <c r="E1597" s="7">
        <v>318</v>
      </c>
      <c r="F1597" s="7" t="s">
        <v>2023</v>
      </c>
      <c r="G1597" s="7">
        <v>815</v>
      </c>
      <c r="H1597" s="7" t="s">
        <v>1683</v>
      </c>
      <c r="I1597" s="70">
        <v>111763</v>
      </c>
      <c r="J1597" s="131">
        <v>3.9631885271013016E-2</v>
      </c>
      <c r="K1597" s="123">
        <f t="shared" si="250"/>
        <v>147590.98555133044</v>
      </c>
      <c r="L1597" s="122">
        <f>IF(K1599&gt;0, K1597/K1599, 0)</f>
        <v>5.0434846323133657E-2</v>
      </c>
      <c r="M1597" s="71"/>
      <c r="N1597" s="10">
        <f>ROUND(M1599*L1597,0)</f>
        <v>122198</v>
      </c>
      <c r="O1597" s="70">
        <v>93376</v>
      </c>
      <c r="P1597" s="10">
        <f>N1597-O1597</f>
        <v>28822</v>
      </c>
      <c r="Q1597" s="46">
        <f t="shared" si="249"/>
        <v>30.866603838245375</v>
      </c>
      <c r="R1597" s="10">
        <v>7</v>
      </c>
      <c r="S1597" s="7">
        <f t="shared" si="242"/>
        <v>0</v>
      </c>
      <c r="T1597" s="124">
        <f t="shared" si="243"/>
        <v>318</v>
      </c>
      <c r="U1597" s="124">
        <f t="shared" si="244"/>
        <v>815</v>
      </c>
      <c r="V1597" s="124">
        <f t="shared" si="245"/>
        <v>1588</v>
      </c>
      <c r="W1597" s="124">
        <f t="shared" si="246"/>
        <v>9.0000000003899991</v>
      </c>
      <c r="X1597" s="124">
        <f t="shared" si="247"/>
        <v>147590.98555133044</v>
      </c>
      <c r="Y1597" s="264">
        <f t="shared" si="248"/>
        <v>1588</v>
      </c>
      <c r="Z1597" s="10">
        <v>318</v>
      </c>
      <c r="AA1597" s="7">
        <v>815</v>
      </c>
      <c r="AB1597" s="7">
        <v>1588</v>
      </c>
      <c r="AC1597" s="109">
        <v>9.0000000003899991</v>
      </c>
      <c r="AD1597" s="109">
        <v>147590.98555133044</v>
      </c>
      <c r="AE1597" s="125"/>
      <c r="AF1597" s="10"/>
      <c r="AI1597" s="109"/>
      <c r="AJ1597" s="109"/>
      <c r="AL1597" s="10"/>
      <c r="AO1597" s="109"/>
      <c r="AP1597" s="109"/>
      <c r="AR1597" s="10"/>
      <c r="AU1597" s="109"/>
      <c r="AV1597" s="109"/>
      <c r="AX1597" s="10"/>
      <c r="BA1597" s="109"/>
      <c r="BB1597" s="109"/>
      <c r="BD1597" s="10"/>
      <c r="BG1597" s="109"/>
      <c r="BH1597" s="109"/>
      <c r="BJ1597" s="10"/>
      <c r="BM1597" s="109"/>
      <c r="BN1597" s="109"/>
      <c r="BP1597" s="10"/>
      <c r="BS1597" s="109"/>
      <c r="BT1597" s="109"/>
      <c r="BV1597" s="10"/>
      <c r="BY1597" s="109"/>
      <c r="BZ1597" s="109"/>
      <c r="CB1597" s="10"/>
      <c r="CE1597" s="109"/>
      <c r="CF1597" s="109"/>
      <c r="CH1597" s="10"/>
      <c r="CK1597" s="109"/>
      <c r="CL1597" s="109"/>
    </row>
    <row r="1598" spans="1:90">
      <c r="A1598" s="7" t="str">
        <f t="shared" si="241"/>
        <v>03180998</v>
      </c>
      <c r="B1598" s="7" t="s">
        <v>2657</v>
      </c>
      <c r="C1598" s="7" t="s">
        <v>2781</v>
      </c>
      <c r="D1598" s="7">
        <v>1589</v>
      </c>
      <c r="E1598" s="7">
        <v>318</v>
      </c>
      <c r="F1598" s="7" t="s">
        <v>2135</v>
      </c>
      <c r="G1598" s="7">
        <v>998</v>
      </c>
      <c r="H1598" s="7" t="s">
        <v>2135</v>
      </c>
      <c r="I1598" s="70">
        <v>0</v>
      </c>
      <c r="J1598" s="131">
        <v>0</v>
      </c>
      <c r="K1598" s="123">
        <f t="shared" si="250"/>
        <v>0</v>
      </c>
      <c r="L1598" s="122">
        <f>IF(K1599&gt;0, K1598/K1599, 0)</f>
        <v>0</v>
      </c>
      <c r="M1598" s="71"/>
      <c r="N1598" s="10">
        <f>ROUND(M1599*L1598,0)</f>
        <v>0</v>
      </c>
      <c r="O1598" s="70">
        <v>0</v>
      </c>
      <c r="P1598" s="10">
        <f>N1598-O1598</f>
        <v>0</v>
      </c>
      <c r="Q1598" s="46">
        <f t="shared" si="249"/>
        <v>0</v>
      </c>
      <c r="R1598" s="10">
        <v>0</v>
      </c>
      <c r="S1598" s="7">
        <f t="shared" si="242"/>
        <v>0</v>
      </c>
      <c r="T1598" s="124">
        <f t="shared" si="243"/>
        <v>318</v>
      </c>
      <c r="U1598" s="124">
        <f t="shared" si="244"/>
        <v>998</v>
      </c>
      <c r="V1598" s="124">
        <f t="shared" si="245"/>
        <v>1589</v>
      </c>
      <c r="W1598" s="124">
        <f t="shared" si="246"/>
        <v>0</v>
      </c>
      <c r="X1598" s="124">
        <f t="shared" si="247"/>
        <v>0</v>
      </c>
      <c r="Y1598" s="264">
        <f t="shared" si="248"/>
        <v>1589</v>
      </c>
      <c r="Z1598" s="10">
        <v>318</v>
      </c>
      <c r="AA1598" s="7">
        <v>998</v>
      </c>
      <c r="AB1598" s="7">
        <v>1589</v>
      </c>
      <c r="AC1598" s="109">
        <v>0</v>
      </c>
      <c r="AD1598" s="109">
        <v>0</v>
      </c>
      <c r="AE1598" s="125"/>
      <c r="AF1598" s="10"/>
      <c r="AI1598" s="109"/>
      <c r="AJ1598" s="109"/>
      <c r="AL1598" s="10"/>
      <c r="AO1598" s="109"/>
      <c r="AP1598" s="109"/>
      <c r="AR1598" s="10"/>
      <c r="AU1598" s="109"/>
      <c r="AV1598" s="109"/>
      <c r="AX1598" s="10"/>
      <c r="BA1598" s="109"/>
      <c r="BB1598" s="109"/>
      <c r="BD1598" s="10"/>
      <c r="BG1598" s="109"/>
      <c r="BH1598" s="109"/>
      <c r="BJ1598" s="10"/>
      <c r="BM1598" s="109"/>
      <c r="BN1598" s="109"/>
      <c r="BP1598" s="10"/>
      <c r="BS1598" s="109"/>
      <c r="BT1598" s="109"/>
      <c r="BV1598" s="10"/>
      <c r="BY1598" s="109"/>
      <c r="BZ1598" s="109"/>
      <c r="CB1598" s="10"/>
      <c r="CE1598" s="109"/>
      <c r="CF1598" s="109"/>
      <c r="CH1598" s="10"/>
      <c r="CK1598" s="109"/>
      <c r="CL1598" s="109"/>
    </row>
    <row r="1599" spans="1:90">
      <c r="A1599" s="7" t="str">
        <f t="shared" si="241"/>
        <v>03180999</v>
      </c>
      <c r="B1599" s="7" t="s">
        <v>2657</v>
      </c>
      <c r="C1599" s="7" t="s">
        <v>2782</v>
      </c>
      <c r="D1599" s="7">
        <v>1590</v>
      </c>
      <c r="E1599" s="11">
        <v>318</v>
      </c>
      <c r="F1599" s="11" t="s">
        <v>2023</v>
      </c>
      <c r="G1599" s="11">
        <v>999</v>
      </c>
      <c r="H1599" s="11" t="s">
        <v>1132</v>
      </c>
      <c r="I1599" s="134">
        <v>2820027.34</v>
      </c>
      <c r="J1599" s="135">
        <v>1</v>
      </c>
      <c r="K1599" s="127">
        <f>SUM(K1595:K1598)</f>
        <v>2926369.2924872227</v>
      </c>
      <c r="L1599" s="126">
        <f>SUM(L1595:L1598)</f>
        <v>1</v>
      </c>
      <c r="M1599" s="105">
        <f>VLOOKUP(E1599,town351,22)</f>
        <v>2422882</v>
      </c>
      <c r="N1599" s="105">
        <f>SUM(N1595:N1598)</f>
        <v>2422882</v>
      </c>
      <c r="O1599" s="128">
        <v>2356082</v>
      </c>
      <c r="P1599" s="105">
        <f>SUM(P1595:P1598)</f>
        <v>66800</v>
      </c>
      <c r="Q1599" s="45">
        <f t="shared" si="249"/>
        <v>2.8352154127063489</v>
      </c>
      <c r="R1599" s="105">
        <v>272</v>
      </c>
      <c r="S1599" s="7">
        <f t="shared" si="242"/>
        <v>0</v>
      </c>
      <c r="T1599" s="124">
        <f t="shared" si="243"/>
        <v>318</v>
      </c>
      <c r="U1599" s="124">
        <f t="shared" si="244"/>
        <v>999</v>
      </c>
      <c r="V1599" s="124">
        <f t="shared" si="245"/>
        <v>1590</v>
      </c>
      <c r="W1599" s="124">
        <f t="shared" si="246"/>
        <v>277.26756985987998</v>
      </c>
      <c r="X1599" s="124">
        <f t="shared" si="247"/>
        <v>2926369.2924872227</v>
      </c>
      <c r="Y1599" s="264">
        <f t="shared" si="248"/>
        <v>1590</v>
      </c>
      <c r="Z1599" s="10">
        <v>318</v>
      </c>
      <c r="AA1599" s="7">
        <v>999</v>
      </c>
      <c r="AB1599" s="7">
        <v>1590</v>
      </c>
      <c r="AC1599" s="109">
        <v>277.26756985987998</v>
      </c>
      <c r="AD1599" s="109">
        <v>2926369.2924872227</v>
      </c>
      <c r="AE1599" s="125"/>
      <c r="AF1599" s="10"/>
      <c r="AI1599" s="109"/>
      <c r="AJ1599" s="109"/>
      <c r="AL1599" s="10"/>
      <c r="AO1599" s="109"/>
      <c r="AP1599" s="109"/>
      <c r="AR1599" s="10"/>
      <c r="AU1599" s="109"/>
      <c r="AV1599" s="109"/>
      <c r="AX1599" s="10"/>
      <c r="BA1599" s="109"/>
      <c r="BB1599" s="109"/>
      <c r="BD1599" s="10"/>
      <c r="BG1599" s="109"/>
      <c r="BH1599" s="109"/>
      <c r="BJ1599" s="10"/>
      <c r="BM1599" s="109"/>
      <c r="BN1599" s="109"/>
      <c r="BP1599" s="10"/>
      <c r="BS1599" s="109"/>
      <c r="BT1599" s="109"/>
      <c r="BV1599" s="10"/>
      <c r="BY1599" s="109"/>
      <c r="BZ1599" s="109"/>
      <c r="CB1599" s="10"/>
      <c r="CE1599" s="109"/>
      <c r="CF1599" s="109"/>
      <c r="CH1599" s="10"/>
      <c r="CK1599" s="109"/>
      <c r="CL1599" s="109"/>
    </row>
    <row r="1600" spans="1:90">
      <c r="A1600" s="7" t="str">
        <f t="shared" si="241"/>
        <v>03190319</v>
      </c>
      <c r="B1600" s="7" t="s">
        <v>2658</v>
      </c>
      <c r="C1600" s="7" t="s">
        <v>2658</v>
      </c>
      <c r="D1600" s="7">
        <v>1591</v>
      </c>
      <c r="E1600" s="7">
        <v>319</v>
      </c>
      <c r="F1600" s="7" t="s">
        <v>2024</v>
      </c>
      <c r="G1600" s="7">
        <v>319</v>
      </c>
      <c r="H1600" s="7" t="s">
        <v>1585</v>
      </c>
      <c r="I1600" s="70">
        <v>0</v>
      </c>
      <c r="J1600" s="131">
        <v>0</v>
      </c>
      <c r="K1600" s="123">
        <f>X1600</f>
        <v>0</v>
      </c>
      <c r="L1600" s="122">
        <f>IF(K1604&gt;0, K1600/K1604, 0)</f>
        <v>0</v>
      </c>
      <c r="M1600" s="71"/>
      <c r="N1600" s="10">
        <f>ROUND(M1604*L1600,0)</f>
        <v>0</v>
      </c>
      <c r="O1600" s="70">
        <v>0</v>
      </c>
      <c r="P1600" s="10">
        <f>N1600-O1600</f>
        <v>0</v>
      </c>
      <c r="Q1600" s="46">
        <f t="shared" si="249"/>
        <v>0</v>
      </c>
      <c r="R1600" s="10">
        <v>0</v>
      </c>
      <c r="S1600" s="7">
        <f t="shared" si="242"/>
        <v>0</v>
      </c>
      <c r="T1600" s="124">
        <f t="shared" si="243"/>
        <v>319</v>
      </c>
      <c r="U1600" s="124">
        <f t="shared" si="244"/>
        <v>319</v>
      </c>
      <c r="V1600" s="124">
        <f t="shared" si="245"/>
        <v>1591</v>
      </c>
      <c r="W1600" s="124">
        <f t="shared" si="246"/>
        <v>0</v>
      </c>
      <c r="X1600" s="124">
        <f t="shared" si="247"/>
        <v>0</v>
      </c>
      <c r="Y1600" s="264">
        <f t="shared" si="248"/>
        <v>1591</v>
      </c>
      <c r="Z1600" s="10">
        <v>319</v>
      </c>
      <c r="AA1600" s="7">
        <v>319</v>
      </c>
      <c r="AB1600" s="7">
        <v>1591</v>
      </c>
      <c r="AC1600" s="109">
        <v>0</v>
      </c>
      <c r="AD1600" s="109">
        <v>0</v>
      </c>
      <c r="AE1600" s="125"/>
      <c r="AF1600" s="10"/>
      <c r="AI1600" s="109"/>
      <c r="AJ1600" s="109"/>
      <c r="AL1600" s="10"/>
      <c r="AO1600" s="109"/>
      <c r="AP1600" s="109"/>
      <c r="AR1600" s="10"/>
      <c r="AU1600" s="109"/>
      <c r="AV1600" s="109"/>
      <c r="AX1600" s="10"/>
      <c r="BA1600" s="109"/>
      <c r="BB1600" s="109"/>
      <c r="BD1600" s="10"/>
      <c r="BG1600" s="109"/>
      <c r="BH1600" s="109"/>
      <c r="BJ1600" s="10"/>
      <c r="BM1600" s="109"/>
      <c r="BN1600" s="109"/>
      <c r="BP1600" s="10"/>
      <c r="BS1600" s="109"/>
      <c r="BT1600" s="109"/>
      <c r="BV1600" s="10"/>
      <c r="BY1600" s="109"/>
      <c r="BZ1600" s="109"/>
      <c r="CB1600" s="10"/>
      <c r="CE1600" s="109"/>
      <c r="CF1600" s="109"/>
      <c r="CH1600" s="10"/>
      <c r="CK1600" s="109"/>
      <c r="CL1600" s="109"/>
    </row>
    <row r="1601" spans="1:90">
      <c r="A1601" s="7" t="str">
        <f t="shared" si="241"/>
        <v>03190728</v>
      </c>
      <c r="B1601" s="7" t="s">
        <v>2658</v>
      </c>
      <c r="C1601" s="7" t="s">
        <v>2733</v>
      </c>
      <c r="D1601" s="7">
        <v>1592</v>
      </c>
      <c r="E1601" s="7">
        <v>319</v>
      </c>
      <c r="F1601" s="7" t="s">
        <v>2024</v>
      </c>
      <c r="G1601" s="7">
        <v>728</v>
      </c>
      <c r="H1601" s="7" t="s">
        <v>1660</v>
      </c>
      <c r="I1601" s="70">
        <v>717959</v>
      </c>
      <c r="J1601" s="131">
        <v>0.5909443715095869</v>
      </c>
      <c r="K1601" s="123">
        <f t="shared" si="250"/>
        <v>754930.43017995765</v>
      </c>
      <c r="L1601" s="122">
        <f>IF(K1604&gt;0, K1601/K1604, 0)</f>
        <v>0.62681580117571511</v>
      </c>
      <c r="M1601" s="71"/>
      <c r="N1601" s="10">
        <f>ROUND(M1604*L1601,0)</f>
        <v>377452</v>
      </c>
      <c r="O1601" s="70">
        <v>370486</v>
      </c>
      <c r="P1601" s="10">
        <f>N1601-O1601</f>
        <v>6966</v>
      </c>
      <c r="Q1601" s="46">
        <f t="shared" si="249"/>
        <v>1.8802329912601285</v>
      </c>
      <c r="R1601" s="10">
        <v>68</v>
      </c>
      <c r="S1601" s="7">
        <f t="shared" si="242"/>
        <v>0</v>
      </c>
      <c r="T1601" s="124">
        <f t="shared" si="243"/>
        <v>319</v>
      </c>
      <c r="U1601" s="124">
        <f t="shared" si="244"/>
        <v>728</v>
      </c>
      <c r="V1601" s="124">
        <f t="shared" si="245"/>
        <v>1592</v>
      </c>
      <c r="W1601" s="124">
        <f t="shared" si="246"/>
        <v>72.582781456499987</v>
      </c>
      <c r="X1601" s="124">
        <f t="shared" si="247"/>
        <v>754930.43017995765</v>
      </c>
      <c r="Y1601" s="264">
        <f t="shared" si="248"/>
        <v>1592</v>
      </c>
      <c r="Z1601" s="10">
        <v>319</v>
      </c>
      <c r="AA1601" s="7">
        <v>728</v>
      </c>
      <c r="AB1601" s="7">
        <v>1592</v>
      </c>
      <c r="AC1601" s="109">
        <v>72.582781456499987</v>
      </c>
      <c r="AD1601" s="109">
        <v>754930.43017995765</v>
      </c>
      <c r="AE1601" s="125"/>
      <c r="AF1601" s="10"/>
      <c r="AI1601" s="109"/>
      <c r="AJ1601" s="109"/>
      <c r="AL1601" s="10"/>
      <c r="AO1601" s="109"/>
      <c r="AP1601" s="109"/>
      <c r="AR1601" s="10"/>
      <c r="AU1601" s="109"/>
      <c r="AV1601" s="109"/>
      <c r="AX1601" s="10"/>
      <c r="BA1601" s="109"/>
      <c r="BB1601" s="109"/>
      <c r="BD1601" s="10"/>
      <c r="BG1601" s="109"/>
      <c r="BH1601" s="109"/>
      <c r="BJ1601" s="10"/>
      <c r="BM1601" s="109"/>
      <c r="BN1601" s="109"/>
      <c r="BP1601" s="10"/>
      <c r="BS1601" s="109"/>
      <c r="BT1601" s="109"/>
      <c r="BV1601" s="10"/>
      <c r="BY1601" s="109"/>
      <c r="BZ1601" s="109"/>
      <c r="CB1601" s="10"/>
      <c r="CE1601" s="109"/>
      <c r="CF1601" s="109"/>
      <c r="CH1601" s="10"/>
      <c r="CK1601" s="109"/>
      <c r="CL1601" s="109"/>
    </row>
    <row r="1602" spans="1:90">
      <c r="A1602" s="7" t="str">
        <f t="shared" si="241"/>
        <v>03190755</v>
      </c>
      <c r="B1602" s="7" t="s">
        <v>2658</v>
      </c>
      <c r="C1602" s="7" t="s">
        <v>2740</v>
      </c>
      <c r="D1602" s="7">
        <v>1593</v>
      </c>
      <c r="E1602" s="7">
        <v>319</v>
      </c>
      <c r="F1602" s="7" t="s">
        <v>2024</v>
      </c>
      <c r="G1602" s="7">
        <v>755</v>
      </c>
      <c r="H1602" s="7" t="s">
        <v>1667</v>
      </c>
      <c r="I1602" s="70">
        <v>350992</v>
      </c>
      <c r="J1602" s="131">
        <v>0.28889775996246714</v>
      </c>
      <c r="K1602" s="123">
        <f t="shared" si="250"/>
        <v>333455.66570296255</v>
      </c>
      <c r="L1602" s="122">
        <f>IF(K1604&gt;0, K1602/K1604, 0)</f>
        <v>0.2768669428312216</v>
      </c>
      <c r="M1602" s="71"/>
      <c r="N1602" s="10">
        <f>ROUND(M1604*L1602,0)</f>
        <v>166722</v>
      </c>
      <c r="O1602" s="70">
        <v>181121</v>
      </c>
      <c r="P1602" s="10">
        <f>N1602-O1602</f>
        <v>-14399</v>
      </c>
      <c r="Q1602" s="46">
        <f t="shared" si="249"/>
        <v>-7.9499340220073877</v>
      </c>
      <c r="R1602" s="10">
        <v>31</v>
      </c>
      <c r="S1602" s="7">
        <f t="shared" si="242"/>
        <v>0</v>
      </c>
      <c r="T1602" s="124">
        <f t="shared" si="243"/>
        <v>319</v>
      </c>
      <c r="U1602" s="124">
        <f t="shared" si="244"/>
        <v>755</v>
      </c>
      <c r="V1602" s="124">
        <f t="shared" si="245"/>
        <v>1593</v>
      </c>
      <c r="W1602" s="124">
        <f t="shared" si="246"/>
        <v>29.045597486360002</v>
      </c>
      <c r="X1602" s="124">
        <f t="shared" si="247"/>
        <v>333455.66570296255</v>
      </c>
      <c r="Y1602" s="264">
        <f t="shared" si="248"/>
        <v>1593</v>
      </c>
      <c r="Z1602" s="10">
        <v>319</v>
      </c>
      <c r="AA1602" s="7">
        <v>755</v>
      </c>
      <c r="AB1602" s="7">
        <v>1593</v>
      </c>
      <c r="AC1602" s="109">
        <v>29.045597486360002</v>
      </c>
      <c r="AD1602" s="109">
        <v>333455.66570296255</v>
      </c>
      <c r="AE1602" s="125"/>
      <c r="AF1602" s="10"/>
      <c r="AI1602" s="109"/>
      <c r="AJ1602" s="109"/>
      <c r="AL1602" s="10"/>
      <c r="AO1602" s="109"/>
      <c r="AP1602" s="109"/>
      <c r="AR1602" s="10"/>
      <c r="AU1602" s="109"/>
      <c r="AV1602" s="109"/>
      <c r="AX1602" s="10"/>
      <c r="BA1602" s="109"/>
      <c r="BB1602" s="109"/>
      <c r="BD1602" s="10"/>
      <c r="BG1602" s="109"/>
      <c r="BH1602" s="109"/>
      <c r="BJ1602" s="10"/>
      <c r="BM1602" s="109"/>
      <c r="BN1602" s="109"/>
      <c r="BP1602" s="10"/>
      <c r="BS1602" s="109"/>
      <c r="BT1602" s="109"/>
      <c r="BV1602" s="10"/>
      <c r="BY1602" s="109"/>
      <c r="BZ1602" s="109"/>
      <c r="CB1602" s="10"/>
      <c r="CE1602" s="109"/>
      <c r="CF1602" s="109"/>
      <c r="CH1602" s="10"/>
      <c r="CK1602" s="109"/>
      <c r="CL1602" s="109"/>
    </row>
    <row r="1603" spans="1:90">
      <c r="A1603" s="7" t="str">
        <f t="shared" si="241"/>
        <v>03190818</v>
      </c>
      <c r="B1603" s="7" t="s">
        <v>2658</v>
      </c>
      <c r="C1603" s="7" t="s">
        <v>2758</v>
      </c>
      <c r="D1603" s="7">
        <v>1594</v>
      </c>
      <c r="E1603" s="7">
        <v>319</v>
      </c>
      <c r="F1603" s="7" t="s">
        <v>2024</v>
      </c>
      <c r="G1603" s="7">
        <v>818</v>
      </c>
      <c r="H1603" s="7" t="s">
        <v>1685</v>
      </c>
      <c r="I1603" s="70">
        <v>145984</v>
      </c>
      <c r="J1603" s="131">
        <v>0.12015786852794594</v>
      </c>
      <c r="K1603" s="123">
        <f t="shared" si="250"/>
        <v>116003.50113096926</v>
      </c>
      <c r="L1603" s="122">
        <f>IF(K1604&gt;0, K1603/K1604, 0)</f>
        <v>9.6317255993063414E-2</v>
      </c>
      <c r="M1603" s="71"/>
      <c r="N1603" s="10">
        <f>ROUND(M1604*L1603,0)</f>
        <v>58000</v>
      </c>
      <c r="O1603" s="70">
        <v>75332</v>
      </c>
      <c r="P1603" s="10">
        <f>N1603-O1603</f>
        <v>-17332</v>
      </c>
      <c r="Q1603" s="46">
        <f t="shared" si="249"/>
        <v>-23.007486858174481</v>
      </c>
      <c r="R1603" s="10">
        <v>9</v>
      </c>
      <c r="S1603" s="7">
        <f t="shared" si="242"/>
        <v>0</v>
      </c>
      <c r="T1603" s="124">
        <f t="shared" si="243"/>
        <v>319</v>
      </c>
      <c r="U1603" s="124">
        <f t="shared" si="244"/>
        <v>818</v>
      </c>
      <c r="V1603" s="124">
        <f t="shared" si="245"/>
        <v>1594</v>
      </c>
      <c r="W1603" s="124">
        <f t="shared" si="246"/>
        <v>7.0000000016800001</v>
      </c>
      <c r="X1603" s="124">
        <f t="shared" si="247"/>
        <v>116003.50113096926</v>
      </c>
      <c r="Y1603" s="264">
        <f t="shared" si="248"/>
        <v>1594</v>
      </c>
      <c r="Z1603" s="10">
        <v>319</v>
      </c>
      <c r="AA1603" s="7">
        <v>818</v>
      </c>
      <c r="AB1603" s="7">
        <v>1594</v>
      </c>
      <c r="AC1603" s="109">
        <v>7.0000000016800001</v>
      </c>
      <c r="AD1603" s="109">
        <v>116003.50113096926</v>
      </c>
      <c r="AE1603" s="125"/>
      <c r="AF1603" s="10"/>
      <c r="AI1603" s="109"/>
      <c r="AJ1603" s="109"/>
      <c r="AL1603" s="10"/>
      <c r="AO1603" s="109"/>
      <c r="AP1603" s="109"/>
      <c r="AR1603" s="10"/>
      <c r="AU1603" s="109"/>
      <c r="AV1603" s="109"/>
      <c r="AX1603" s="10"/>
      <c r="BA1603" s="109"/>
      <c r="BB1603" s="109"/>
      <c r="BD1603" s="10"/>
      <c r="BG1603" s="109"/>
      <c r="BH1603" s="109"/>
      <c r="BJ1603" s="10"/>
      <c r="BM1603" s="109"/>
      <c r="BN1603" s="109"/>
      <c r="BP1603" s="10"/>
      <c r="BS1603" s="109"/>
      <c r="BT1603" s="109"/>
      <c r="BV1603" s="10"/>
      <c r="BY1603" s="109"/>
      <c r="BZ1603" s="109"/>
      <c r="CB1603" s="10"/>
      <c r="CE1603" s="109"/>
      <c r="CF1603" s="109"/>
      <c r="CH1603" s="10"/>
      <c r="CK1603" s="109"/>
      <c r="CL1603" s="109"/>
    </row>
    <row r="1604" spans="1:90">
      <c r="A1604" s="7" t="str">
        <f t="shared" si="241"/>
        <v>03190999</v>
      </c>
      <c r="B1604" s="7" t="s">
        <v>2658</v>
      </c>
      <c r="C1604" s="7" t="s">
        <v>2782</v>
      </c>
      <c r="D1604" s="7">
        <v>1595</v>
      </c>
      <c r="E1604" s="11">
        <v>319</v>
      </c>
      <c r="F1604" s="11" t="s">
        <v>2024</v>
      </c>
      <c r="G1604" s="11">
        <v>999</v>
      </c>
      <c r="H1604" s="11" t="s">
        <v>1132</v>
      </c>
      <c r="I1604" s="134">
        <v>1214935</v>
      </c>
      <c r="J1604" s="135">
        <v>1</v>
      </c>
      <c r="K1604" s="127">
        <f>SUM(K1600:K1603)</f>
        <v>1204389.5970138893</v>
      </c>
      <c r="L1604" s="126">
        <f>SUM(L1600:L1603)</f>
        <v>1.0000000000000002</v>
      </c>
      <c r="M1604" s="105">
        <f>VLOOKUP(E1604,town351,22)</f>
        <v>602174</v>
      </c>
      <c r="N1604" s="105">
        <f>SUM(N1600:N1603)</f>
        <v>602174</v>
      </c>
      <c r="O1604" s="128">
        <v>626939</v>
      </c>
      <c r="P1604" s="105">
        <f>SUM(P1600:P1603)</f>
        <v>-24765</v>
      </c>
      <c r="Q1604" s="45">
        <f t="shared" si="249"/>
        <v>-3.9501450699350333</v>
      </c>
      <c r="R1604" s="105">
        <v>108</v>
      </c>
      <c r="S1604" s="7">
        <f t="shared" si="242"/>
        <v>0</v>
      </c>
      <c r="T1604" s="124">
        <f t="shared" si="243"/>
        <v>319</v>
      </c>
      <c r="U1604" s="124">
        <f t="shared" si="244"/>
        <v>999</v>
      </c>
      <c r="V1604" s="124">
        <f t="shared" si="245"/>
        <v>1595</v>
      </c>
      <c r="W1604" s="124">
        <f t="shared" si="246"/>
        <v>108.62837894454</v>
      </c>
      <c r="X1604" s="124">
        <f t="shared" si="247"/>
        <v>1204389.5970138893</v>
      </c>
      <c r="Y1604" s="264">
        <f t="shared" si="248"/>
        <v>1595</v>
      </c>
      <c r="Z1604" s="10">
        <v>319</v>
      </c>
      <c r="AA1604" s="7">
        <v>999</v>
      </c>
      <c r="AB1604" s="7">
        <v>1595</v>
      </c>
      <c r="AC1604" s="109">
        <v>108.62837894454</v>
      </c>
      <c r="AD1604" s="109">
        <v>1204389.5970138893</v>
      </c>
      <c r="AE1604" s="125"/>
      <c r="AF1604" s="10"/>
      <c r="AI1604" s="109"/>
      <c r="AJ1604" s="109"/>
      <c r="AL1604" s="10"/>
      <c r="AO1604" s="109"/>
      <c r="AP1604" s="109"/>
      <c r="AR1604" s="10"/>
      <c r="AU1604" s="109"/>
      <c r="AV1604" s="109"/>
      <c r="AX1604" s="10"/>
      <c r="BA1604" s="109"/>
      <c r="BB1604" s="109"/>
      <c r="BD1604" s="10"/>
      <c r="BG1604" s="109"/>
      <c r="BH1604" s="109"/>
      <c r="BJ1604" s="10"/>
      <c r="BM1604" s="109"/>
      <c r="BN1604" s="109"/>
      <c r="BP1604" s="10"/>
      <c r="BS1604" s="109"/>
      <c r="BT1604" s="109"/>
      <c r="BV1604" s="10"/>
      <c r="BY1604" s="109"/>
      <c r="BZ1604" s="109"/>
      <c r="CB1604" s="10"/>
      <c r="CE1604" s="109"/>
      <c r="CF1604" s="109"/>
      <c r="CH1604" s="10"/>
      <c r="CK1604" s="109"/>
      <c r="CL1604" s="109"/>
    </row>
    <row r="1605" spans="1:90">
      <c r="A1605" s="7" t="str">
        <f t="shared" si="241"/>
        <v>03200320</v>
      </c>
      <c r="B1605" s="7" t="s">
        <v>2659</v>
      </c>
      <c r="C1605" s="7" t="s">
        <v>2659</v>
      </c>
      <c r="D1605" s="7">
        <v>1596</v>
      </c>
      <c r="E1605" s="7">
        <v>320</v>
      </c>
      <c r="F1605" s="7" t="s">
        <v>2025</v>
      </c>
      <c r="G1605" s="7">
        <v>320</v>
      </c>
      <c r="H1605" s="7" t="s">
        <v>1586</v>
      </c>
      <c r="I1605" s="70">
        <v>0</v>
      </c>
      <c r="J1605" s="131">
        <v>0</v>
      </c>
      <c r="K1605" s="123">
        <f>X1605</f>
        <v>0</v>
      </c>
      <c r="L1605" s="122">
        <f>IF(K1609&gt;0, K1605/K1609, 0)</f>
        <v>0</v>
      </c>
      <c r="M1605" s="71"/>
      <c r="N1605" s="10">
        <f>ROUND(M1609*L1605,0)</f>
        <v>0</v>
      </c>
      <c r="O1605" s="70">
        <v>0</v>
      </c>
      <c r="P1605" s="10">
        <f>N1605-O1605</f>
        <v>0</v>
      </c>
      <c r="Q1605" s="46">
        <f t="shared" si="249"/>
        <v>0</v>
      </c>
      <c r="R1605" s="10">
        <v>0</v>
      </c>
      <c r="S1605" s="7">
        <f t="shared" si="242"/>
        <v>0</v>
      </c>
      <c r="T1605" s="124">
        <f t="shared" si="243"/>
        <v>320</v>
      </c>
      <c r="U1605" s="124">
        <f t="shared" si="244"/>
        <v>320</v>
      </c>
      <c r="V1605" s="124">
        <f t="shared" si="245"/>
        <v>1596</v>
      </c>
      <c r="W1605" s="124">
        <f t="shared" si="246"/>
        <v>0</v>
      </c>
      <c r="X1605" s="124">
        <f t="shared" si="247"/>
        <v>0</v>
      </c>
      <c r="Y1605" s="264">
        <f t="shared" si="248"/>
        <v>1596</v>
      </c>
      <c r="Z1605" s="10">
        <v>320</v>
      </c>
      <c r="AA1605" s="7">
        <v>320</v>
      </c>
      <c r="AB1605" s="7">
        <v>1596</v>
      </c>
      <c r="AC1605" s="109">
        <v>0</v>
      </c>
      <c r="AD1605" s="109">
        <v>0</v>
      </c>
      <c r="AE1605" s="125"/>
      <c r="AF1605" s="10"/>
      <c r="AI1605" s="109"/>
      <c r="AJ1605" s="109"/>
      <c r="AL1605" s="10"/>
      <c r="AO1605" s="109"/>
      <c r="AP1605" s="109"/>
      <c r="AR1605" s="10"/>
      <c r="AU1605" s="109"/>
      <c r="AV1605" s="109"/>
      <c r="AX1605" s="10"/>
      <c r="BA1605" s="109"/>
      <c r="BB1605" s="109"/>
      <c r="BD1605" s="10"/>
      <c r="BG1605" s="109"/>
      <c r="BH1605" s="109"/>
      <c r="BJ1605" s="10"/>
      <c r="BM1605" s="109"/>
      <c r="BN1605" s="109"/>
      <c r="BP1605" s="10"/>
      <c r="BS1605" s="109"/>
      <c r="BT1605" s="109"/>
      <c r="BV1605" s="10"/>
      <c r="BY1605" s="109"/>
      <c r="BZ1605" s="109"/>
      <c r="CB1605" s="10"/>
      <c r="CE1605" s="109"/>
      <c r="CF1605" s="109"/>
      <c r="CH1605" s="10"/>
      <c r="CK1605" s="109"/>
      <c r="CL1605" s="109"/>
    </row>
    <row r="1606" spans="1:90">
      <c r="A1606" s="7" t="str">
        <f t="shared" si="241"/>
        <v>03200675</v>
      </c>
      <c r="B1606" s="7" t="s">
        <v>2659</v>
      </c>
      <c r="C1606" s="7" t="s">
        <v>2718</v>
      </c>
      <c r="D1606" s="7">
        <v>1597</v>
      </c>
      <c r="E1606" s="7">
        <v>320</v>
      </c>
      <c r="F1606" s="7" t="s">
        <v>2025</v>
      </c>
      <c r="G1606" s="7">
        <v>675</v>
      </c>
      <c r="H1606" s="7" t="s">
        <v>1645</v>
      </c>
      <c r="I1606" s="70">
        <v>5811603</v>
      </c>
      <c r="J1606" s="131">
        <v>0.97358525651334837</v>
      </c>
      <c r="K1606" s="123">
        <f t="shared" si="250"/>
        <v>5923295.4775531432</v>
      </c>
      <c r="L1606" s="122">
        <f>IF(K1609&gt;0, K1606/K1609, 0)</f>
        <v>0.97384688583172663</v>
      </c>
      <c r="M1606" s="71"/>
      <c r="N1606" s="10">
        <f>ROUND(M1609*L1606,0)</f>
        <v>4897170</v>
      </c>
      <c r="O1606" s="70">
        <v>4761280</v>
      </c>
      <c r="P1606" s="10">
        <f>N1606-O1606</f>
        <v>135890</v>
      </c>
      <c r="Q1606" s="46">
        <f t="shared" si="249"/>
        <v>2.8540644532562673</v>
      </c>
      <c r="R1606" s="10">
        <v>614</v>
      </c>
      <c r="S1606" s="7">
        <f t="shared" si="242"/>
        <v>0</v>
      </c>
      <c r="T1606" s="124">
        <f t="shared" si="243"/>
        <v>320</v>
      </c>
      <c r="U1606" s="124">
        <f t="shared" si="244"/>
        <v>675</v>
      </c>
      <c r="V1606" s="124">
        <f t="shared" si="245"/>
        <v>1597</v>
      </c>
      <c r="W1606" s="124">
        <f t="shared" si="246"/>
        <v>615.51664753725004</v>
      </c>
      <c r="X1606" s="124">
        <f t="shared" si="247"/>
        <v>5923295.4775531432</v>
      </c>
      <c r="Y1606" s="264">
        <f t="shared" si="248"/>
        <v>1597</v>
      </c>
      <c r="Z1606" s="10">
        <v>320</v>
      </c>
      <c r="AA1606" s="7">
        <v>675</v>
      </c>
      <c r="AB1606" s="7">
        <v>1597</v>
      </c>
      <c r="AC1606" s="109">
        <v>615.51664753725004</v>
      </c>
      <c r="AD1606" s="109">
        <v>5923295.4775531432</v>
      </c>
      <c r="AE1606" s="125"/>
      <c r="AF1606" s="10"/>
      <c r="AI1606" s="109"/>
      <c r="AJ1606" s="109"/>
      <c r="AL1606" s="10"/>
      <c r="AO1606" s="109"/>
      <c r="AP1606" s="109"/>
      <c r="AR1606" s="10"/>
      <c r="AU1606" s="109"/>
      <c r="AV1606" s="109"/>
      <c r="AX1606" s="10"/>
      <c r="BA1606" s="109"/>
      <c r="BB1606" s="109"/>
      <c r="BD1606" s="10"/>
      <c r="BG1606" s="109"/>
      <c r="BH1606" s="109"/>
      <c r="BJ1606" s="10"/>
      <c r="BM1606" s="109"/>
      <c r="BN1606" s="109"/>
      <c r="BP1606" s="10"/>
      <c r="BS1606" s="109"/>
      <c r="BT1606" s="109"/>
      <c r="BV1606" s="10"/>
      <c r="BY1606" s="109"/>
      <c r="BZ1606" s="109"/>
      <c r="CB1606" s="10"/>
      <c r="CE1606" s="109"/>
      <c r="CF1606" s="109"/>
      <c r="CH1606" s="10"/>
      <c r="CK1606" s="109"/>
      <c r="CL1606" s="109"/>
    </row>
    <row r="1607" spans="1:90">
      <c r="A1607" s="7" t="str">
        <f t="shared" si="241"/>
        <v>03200817</v>
      </c>
      <c r="B1607" s="7" t="s">
        <v>2659</v>
      </c>
      <c r="C1607" s="7" t="s">
        <v>2757</v>
      </c>
      <c r="D1607" s="7">
        <v>1598</v>
      </c>
      <c r="E1607" s="7">
        <v>320</v>
      </c>
      <c r="F1607" s="7" t="s">
        <v>2025</v>
      </c>
      <c r="G1607" s="7">
        <v>817</v>
      </c>
      <c r="H1607" s="7" t="s">
        <v>1684</v>
      </c>
      <c r="I1607" s="70">
        <v>157677</v>
      </c>
      <c r="J1607" s="131">
        <v>2.6414743486651657E-2</v>
      </c>
      <c r="K1607" s="123">
        <f t="shared" si="250"/>
        <v>159072.87390929041</v>
      </c>
      <c r="L1607" s="122">
        <f>IF(K1609&gt;0, K1607/K1609, 0)</f>
        <v>2.6153114168273487E-2</v>
      </c>
      <c r="M1607" s="71"/>
      <c r="N1607" s="10">
        <f>ROUND(M1609*L1607,0)</f>
        <v>131516</v>
      </c>
      <c r="O1607" s="70">
        <v>129180</v>
      </c>
      <c r="P1607" s="10">
        <f>N1607-O1607</f>
        <v>2336</v>
      </c>
      <c r="Q1607" s="46">
        <f t="shared" si="249"/>
        <v>1.8083294627651338</v>
      </c>
      <c r="R1607" s="10">
        <v>10</v>
      </c>
      <c r="S1607" s="7">
        <f t="shared" si="242"/>
        <v>0</v>
      </c>
      <c r="T1607" s="124">
        <f t="shared" si="243"/>
        <v>320</v>
      </c>
      <c r="U1607" s="124">
        <f t="shared" si="244"/>
        <v>817</v>
      </c>
      <c r="V1607" s="124">
        <f t="shared" si="245"/>
        <v>1598</v>
      </c>
      <c r="W1607" s="124">
        <f t="shared" si="246"/>
        <v>10.00000000116</v>
      </c>
      <c r="X1607" s="124">
        <f t="shared" si="247"/>
        <v>159072.87390929041</v>
      </c>
      <c r="Y1607" s="264">
        <f t="shared" si="248"/>
        <v>1598</v>
      </c>
      <c r="Z1607" s="10">
        <v>320</v>
      </c>
      <c r="AA1607" s="7">
        <v>817</v>
      </c>
      <c r="AB1607" s="7">
        <v>1598</v>
      </c>
      <c r="AC1607" s="109">
        <v>10.00000000116</v>
      </c>
      <c r="AD1607" s="109">
        <v>159072.87390929041</v>
      </c>
      <c r="AE1607" s="125"/>
      <c r="AF1607" s="10"/>
      <c r="AI1607" s="109"/>
      <c r="AJ1607" s="109"/>
      <c r="AL1607" s="10"/>
      <c r="AO1607" s="109"/>
      <c r="AP1607" s="109"/>
      <c r="AR1607" s="10"/>
      <c r="AU1607" s="109"/>
      <c r="AV1607" s="109"/>
      <c r="AX1607" s="10"/>
      <c r="BA1607" s="109"/>
      <c r="BB1607" s="109"/>
      <c r="BD1607" s="10"/>
      <c r="BG1607" s="109"/>
      <c r="BH1607" s="109"/>
      <c r="BJ1607" s="10"/>
      <c r="BM1607" s="109"/>
      <c r="BN1607" s="109"/>
      <c r="BP1607" s="10"/>
      <c r="BS1607" s="109"/>
      <c r="BT1607" s="109"/>
      <c r="BV1607" s="10"/>
      <c r="BY1607" s="109"/>
      <c r="BZ1607" s="109"/>
      <c r="CB1607" s="10"/>
      <c r="CE1607" s="109"/>
      <c r="CF1607" s="109"/>
      <c r="CH1607" s="10"/>
      <c r="CK1607" s="109"/>
      <c r="CL1607" s="109"/>
    </row>
    <row r="1608" spans="1:90">
      <c r="A1608" s="7" t="str">
        <f t="shared" si="241"/>
        <v>03200998</v>
      </c>
      <c r="B1608" s="7" t="s">
        <v>2659</v>
      </c>
      <c r="C1608" s="7" t="s">
        <v>2781</v>
      </c>
      <c r="D1608" s="7">
        <v>1599</v>
      </c>
      <c r="E1608" s="7">
        <v>320</v>
      </c>
      <c r="F1608" s="7" t="s">
        <v>2135</v>
      </c>
      <c r="G1608" s="7">
        <v>998</v>
      </c>
      <c r="I1608" s="129">
        <v>0</v>
      </c>
      <c r="J1608" s="130">
        <v>0</v>
      </c>
      <c r="K1608" s="123">
        <f t="shared" si="250"/>
        <v>0</v>
      </c>
      <c r="L1608" s="122">
        <f>IF(K1609&gt;0, K1608/K1609, 0)</f>
        <v>0</v>
      </c>
      <c r="M1608" s="71"/>
      <c r="N1608" s="10">
        <f>ROUND(M1609*L1608,0)</f>
        <v>0</v>
      </c>
      <c r="O1608" s="70">
        <v>0</v>
      </c>
      <c r="P1608" s="10">
        <f>N1608-O1608</f>
        <v>0</v>
      </c>
      <c r="Q1608" s="46">
        <f t="shared" si="249"/>
        <v>0</v>
      </c>
      <c r="R1608" s="10">
        <v>0</v>
      </c>
      <c r="S1608" s="7">
        <f t="shared" si="242"/>
        <v>0</v>
      </c>
      <c r="T1608" s="124">
        <f t="shared" si="243"/>
        <v>320</v>
      </c>
      <c r="U1608" s="124">
        <f t="shared" si="244"/>
        <v>998</v>
      </c>
      <c r="V1608" s="124">
        <f t="shared" si="245"/>
        <v>1599</v>
      </c>
      <c r="W1608" s="124">
        <f t="shared" si="246"/>
        <v>0</v>
      </c>
      <c r="X1608" s="124">
        <f t="shared" si="247"/>
        <v>0</v>
      </c>
      <c r="Y1608" s="264">
        <f t="shared" si="248"/>
        <v>1599</v>
      </c>
      <c r="Z1608" s="10">
        <v>320</v>
      </c>
      <c r="AA1608" s="7">
        <v>998</v>
      </c>
      <c r="AB1608" s="7">
        <v>1599</v>
      </c>
      <c r="AC1608" s="109">
        <v>0</v>
      </c>
      <c r="AD1608" s="109">
        <v>0</v>
      </c>
      <c r="AE1608" s="125"/>
      <c r="AF1608" s="10"/>
      <c r="AI1608" s="109"/>
      <c r="AJ1608" s="109"/>
      <c r="AL1608" s="10"/>
      <c r="AO1608" s="109"/>
      <c r="AP1608" s="109"/>
      <c r="AR1608" s="10"/>
      <c r="AU1608" s="109"/>
      <c r="AV1608" s="109"/>
      <c r="AX1608" s="10"/>
      <c r="BA1608" s="109"/>
      <c r="BB1608" s="109"/>
      <c r="BD1608" s="10"/>
      <c r="BG1608" s="109"/>
      <c r="BH1608" s="109"/>
      <c r="BJ1608" s="10"/>
      <c r="BM1608" s="109"/>
      <c r="BN1608" s="109"/>
      <c r="BP1608" s="10"/>
      <c r="BS1608" s="109"/>
      <c r="BT1608" s="109"/>
      <c r="BV1608" s="10"/>
      <c r="BY1608" s="109"/>
      <c r="BZ1608" s="109"/>
      <c r="CB1608" s="10"/>
      <c r="CE1608" s="109"/>
      <c r="CF1608" s="109"/>
      <c r="CH1608" s="10"/>
      <c r="CK1608" s="109"/>
      <c r="CL1608" s="109"/>
    </row>
    <row r="1609" spans="1:90">
      <c r="A1609" s="7" t="str">
        <f t="shared" si="241"/>
        <v>03200999</v>
      </c>
      <c r="B1609" s="7" t="s">
        <v>2659</v>
      </c>
      <c r="C1609" s="7" t="s">
        <v>2782</v>
      </c>
      <c r="D1609" s="7">
        <v>1600</v>
      </c>
      <c r="E1609" s="11">
        <v>320</v>
      </c>
      <c r="F1609" s="11" t="s">
        <v>2025</v>
      </c>
      <c r="G1609" s="11">
        <v>999</v>
      </c>
      <c r="H1609" s="11" t="s">
        <v>1132</v>
      </c>
      <c r="I1609" s="134">
        <v>5969280</v>
      </c>
      <c r="J1609" s="135">
        <v>1</v>
      </c>
      <c r="K1609" s="127">
        <f>SUM(K1605:K1608)</f>
        <v>6082368.3514624331</v>
      </c>
      <c r="L1609" s="126">
        <f>SUM(L1605:L1608)</f>
        <v>1.0000000000000002</v>
      </c>
      <c r="M1609" s="105">
        <f>VLOOKUP(E1609,town351,22)</f>
        <v>5028686</v>
      </c>
      <c r="N1609" s="105">
        <f>SUM(N1605:N1608)</f>
        <v>5028686</v>
      </c>
      <c r="O1609" s="128">
        <v>4890460</v>
      </c>
      <c r="P1609" s="105">
        <f>SUM(P1605:P1608)</f>
        <v>138226</v>
      </c>
      <c r="Q1609" s="45">
        <f t="shared" si="249"/>
        <v>2.8264416844223241</v>
      </c>
      <c r="R1609" s="105">
        <v>624</v>
      </c>
      <c r="S1609" s="7">
        <f t="shared" si="242"/>
        <v>0</v>
      </c>
      <c r="T1609" s="124">
        <f t="shared" si="243"/>
        <v>320</v>
      </c>
      <c r="U1609" s="124">
        <f t="shared" si="244"/>
        <v>999</v>
      </c>
      <c r="V1609" s="124">
        <f t="shared" si="245"/>
        <v>1600</v>
      </c>
      <c r="W1609" s="124">
        <f t="shared" si="246"/>
        <v>625.51664753840998</v>
      </c>
      <c r="X1609" s="124">
        <f t="shared" si="247"/>
        <v>6082368.3514624331</v>
      </c>
      <c r="Y1609" s="264">
        <f t="shared" si="248"/>
        <v>1600</v>
      </c>
      <c r="Z1609" s="10">
        <v>320</v>
      </c>
      <c r="AA1609" s="7">
        <v>999</v>
      </c>
      <c r="AB1609" s="7">
        <v>1600</v>
      </c>
      <c r="AC1609" s="109">
        <v>625.51664753840998</v>
      </c>
      <c r="AD1609" s="109">
        <v>6082368.3514624331</v>
      </c>
      <c r="AE1609" s="125"/>
      <c r="AF1609" s="10"/>
      <c r="AI1609" s="109"/>
      <c r="AJ1609" s="109"/>
      <c r="AL1609" s="10"/>
      <c r="AO1609" s="109"/>
      <c r="AP1609" s="109"/>
      <c r="AR1609" s="10"/>
      <c r="AU1609" s="109"/>
      <c r="AV1609" s="109"/>
      <c r="AX1609" s="10"/>
      <c r="BA1609" s="109"/>
      <c r="BB1609" s="109"/>
      <c r="BD1609" s="10"/>
      <c r="BG1609" s="109"/>
      <c r="BH1609" s="109"/>
      <c r="BJ1609" s="10"/>
      <c r="BM1609" s="109"/>
      <c r="BN1609" s="109"/>
      <c r="BP1609" s="10"/>
      <c r="BS1609" s="109"/>
      <c r="BT1609" s="109"/>
      <c r="BV1609" s="10"/>
      <c r="BY1609" s="109"/>
      <c r="BZ1609" s="109"/>
      <c r="CB1609" s="10"/>
      <c r="CE1609" s="109"/>
      <c r="CF1609" s="109"/>
      <c r="CH1609" s="10"/>
      <c r="CK1609" s="109"/>
      <c r="CL1609" s="109"/>
    </row>
    <row r="1610" spans="1:90">
      <c r="A1610" s="7" t="str">
        <f t="shared" ref="A1610:A1673" si="251">B1610&amp;C1610</f>
        <v>03210321</v>
      </c>
      <c r="B1610" s="7" t="s">
        <v>2660</v>
      </c>
      <c r="C1610" s="7" t="s">
        <v>2660</v>
      </c>
      <c r="D1610" s="7">
        <v>1601</v>
      </c>
      <c r="E1610" s="7">
        <v>321</v>
      </c>
      <c r="F1610" s="7" t="s">
        <v>2026</v>
      </c>
      <c r="G1610" s="7">
        <v>321</v>
      </c>
      <c r="H1610" s="7" t="s">
        <v>1587</v>
      </c>
      <c r="I1610" s="70">
        <v>33283538.019999992</v>
      </c>
      <c r="J1610" s="131">
        <v>0.98257159951818263</v>
      </c>
      <c r="K1610" s="123">
        <f>X1610</f>
        <v>36606246.041138574</v>
      </c>
      <c r="L1610" s="122">
        <f>IF(K1614&gt;0, K1610/K1614, 0)</f>
        <v>0.98233860101330883</v>
      </c>
      <c r="M1610" s="71"/>
      <c r="N1610" s="10">
        <f>ROUND(M1614*L1610,0)</f>
        <v>28766772</v>
      </c>
      <c r="O1610" s="70">
        <v>27451731</v>
      </c>
      <c r="P1610" s="10">
        <f>N1610-O1610</f>
        <v>1315041</v>
      </c>
      <c r="Q1610" s="46">
        <f t="shared" si="249"/>
        <v>4.7903755140249622</v>
      </c>
      <c r="R1610" s="10">
        <v>3563</v>
      </c>
      <c r="S1610" s="7">
        <f t="shared" ref="S1610:S1673" si="252">ABS(T1610-E1610)+ABS(U1610-G1610)</f>
        <v>0</v>
      </c>
      <c r="T1610" s="124">
        <f t="shared" ref="T1610:T1673" si="253">VLOOKUP($D1610, foundoptions, VLOOKUP($T$6, foundoptcell, 2, FALSE), FALSE)</f>
        <v>321</v>
      </c>
      <c r="U1610" s="124">
        <f t="shared" ref="U1610:U1673" si="254">VLOOKUP($D1610, foundoptions, VLOOKUP($T$6, foundoptcell, 2, FALSE)+1, FALSE)</f>
        <v>321</v>
      </c>
      <c r="V1610" s="124">
        <f t="shared" ref="V1610:V1673" si="255">VLOOKUP($D1610, foundoptions, VLOOKUP($T$6, foundoptcell, 2, FALSE)+2, FALSE)</f>
        <v>1601</v>
      </c>
      <c r="W1610" s="124">
        <f t="shared" ref="W1610:W1673" si="256">VLOOKUP($D1610, foundoptions, VLOOKUP($T$6, foundoptcell, 2, FALSE)+3, FALSE)</f>
        <v>3849</v>
      </c>
      <c r="X1610" s="124">
        <f t="shared" ref="X1610:X1673" si="257">VLOOKUP($D1610, foundoptions, VLOOKUP($T$6, foundoptcell, 2, FALSE)+4, FALSE)</f>
        <v>36606246.041138574</v>
      </c>
      <c r="Y1610" s="264">
        <f t="shared" si="248"/>
        <v>1601</v>
      </c>
      <c r="Z1610" s="10">
        <v>321</v>
      </c>
      <c r="AA1610" s="7">
        <v>321</v>
      </c>
      <c r="AB1610" s="7">
        <v>1601</v>
      </c>
      <c r="AC1610" s="109">
        <v>3849</v>
      </c>
      <c r="AD1610" s="109">
        <v>36606246.041138574</v>
      </c>
      <c r="AE1610" s="125"/>
      <c r="AF1610" s="10"/>
      <c r="AI1610" s="109"/>
      <c r="AJ1610" s="109"/>
      <c r="AL1610" s="10"/>
      <c r="AO1610" s="109"/>
      <c r="AP1610" s="109"/>
      <c r="AR1610" s="10"/>
      <c r="AU1610" s="109"/>
      <c r="AV1610" s="109"/>
      <c r="AX1610" s="10"/>
      <c r="BA1610" s="109"/>
      <c r="BB1610" s="109"/>
      <c r="BD1610" s="10"/>
      <c r="BG1610" s="109"/>
      <c r="BH1610" s="109"/>
      <c r="BJ1610" s="10"/>
      <c r="BM1610" s="109"/>
      <c r="BN1610" s="109"/>
      <c r="BP1610" s="10"/>
      <c r="BS1610" s="109"/>
      <c r="BT1610" s="109"/>
      <c r="BV1610" s="10"/>
      <c r="BY1610" s="109"/>
      <c r="BZ1610" s="109"/>
      <c r="CB1610" s="10"/>
      <c r="CE1610" s="109"/>
      <c r="CF1610" s="109"/>
      <c r="CH1610" s="10"/>
      <c r="CK1610" s="109"/>
      <c r="CL1610" s="109"/>
    </row>
    <row r="1611" spans="1:90">
      <c r="A1611" s="7" t="str">
        <f t="shared" si="251"/>
        <v>03210801</v>
      </c>
      <c r="B1611" s="7" t="s">
        <v>2660</v>
      </c>
      <c r="C1611" s="7" t="s">
        <v>2752</v>
      </c>
      <c r="D1611" s="7">
        <v>1602</v>
      </c>
      <c r="E1611" s="7">
        <v>321</v>
      </c>
      <c r="F1611" s="7" t="s">
        <v>2026</v>
      </c>
      <c r="G1611" s="7">
        <v>801</v>
      </c>
      <c r="H1611" s="7" t="s">
        <v>1679</v>
      </c>
      <c r="I1611" s="70">
        <v>590368</v>
      </c>
      <c r="J1611" s="131">
        <v>1.7428400481817246E-2</v>
      </c>
      <c r="K1611" s="123">
        <f t="shared" si="250"/>
        <v>658141.21125916368</v>
      </c>
      <c r="L1611" s="122">
        <f>IF(K1614&gt;0, K1611/K1614, 0)</f>
        <v>1.766139898669114E-2</v>
      </c>
      <c r="M1611" s="71"/>
      <c r="N1611" s="10">
        <f>ROUND(M1614*L1611,0)</f>
        <v>517196</v>
      </c>
      <c r="O1611" s="70">
        <v>486926</v>
      </c>
      <c r="P1611" s="10">
        <f>N1611-O1611</f>
        <v>30270</v>
      </c>
      <c r="Q1611" s="46">
        <f t="shared" si="249"/>
        <v>6.2165503587814168</v>
      </c>
      <c r="R1611" s="10">
        <v>35</v>
      </c>
      <c r="S1611" s="7">
        <f t="shared" si="252"/>
        <v>0</v>
      </c>
      <c r="T1611" s="124">
        <f t="shared" si="253"/>
        <v>321</v>
      </c>
      <c r="U1611" s="124">
        <f t="shared" si="254"/>
        <v>801</v>
      </c>
      <c r="V1611" s="124">
        <f t="shared" si="255"/>
        <v>1602</v>
      </c>
      <c r="W1611" s="124">
        <f t="shared" si="256"/>
        <v>39.000000002230003</v>
      </c>
      <c r="X1611" s="124">
        <f t="shared" si="257"/>
        <v>658141.21125916368</v>
      </c>
      <c r="Y1611" s="264">
        <f t="shared" ref="Y1611:Y1674" si="258">D1611</f>
        <v>1602</v>
      </c>
      <c r="Z1611" s="10">
        <v>321</v>
      </c>
      <c r="AA1611" s="7">
        <v>801</v>
      </c>
      <c r="AB1611" s="7">
        <v>1602</v>
      </c>
      <c r="AC1611" s="109">
        <v>39.000000002230003</v>
      </c>
      <c r="AD1611" s="109">
        <v>658141.21125916368</v>
      </c>
      <c r="AE1611" s="125"/>
      <c r="AF1611" s="10"/>
      <c r="AI1611" s="109"/>
      <c r="AJ1611" s="109"/>
      <c r="AL1611" s="10"/>
      <c r="AO1611" s="109"/>
      <c r="AP1611" s="109"/>
      <c r="AR1611" s="10"/>
      <c r="AU1611" s="109"/>
      <c r="AV1611" s="109"/>
      <c r="AX1611" s="10"/>
      <c r="BA1611" s="109"/>
      <c r="BB1611" s="109"/>
      <c r="BD1611" s="10"/>
      <c r="BG1611" s="109"/>
      <c r="BH1611" s="109"/>
      <c r="BJ1611" s="10"/>
      <c r="BM1611" s="109"/>
      <c r="BN1611" s="109"/>
      <c r="BP1611" s="10"/>
      <c r="BS1611" s="109"/>
      <c r="BT1611" s="109"/>
      <c r="BV1611" s="10"/>
      <c r="BY1611" s="109"/>
      <c r="BZ1611" s="109"/>
      <c r="CB1611" s="10"/>
      <c r="CE1611" s="109"/>
      <c r="CF1611" s="109"/>
      <c r="CH1611" s="10"/>
      <c r="CK1611" s="109"/>
      <c r="CL1611" s="109"/>
    </row>
    <row r="1612" spans="1:90">
      <c r="A1612" s="7" t="str">
        <f t="shared" si="251"/>
        <v>03210998</v>
      </c>
      <c r="B1612" s="7" t="s">
        <v>2660</v>
      </c>
      <c r="C1612" s="7" t="s">
        <v>2781</v>
      </c>
      <c r="D1612" s="7">
        <v>1603</v>
      </c>
      <c r="E1612" s="7">
        <v>321</v>
      </c>
      <c r="F1612" s="7" t="s">
        <v>2135</v>
      </c>
      <c r="G1612" s="7">
        <v>998</v>
      </c>
      <c r="H1612" s="7" t="s">
        <v>2135</v>
      </c>
      <c r="I1612" s="70">
        <v>0</v>
      </c>
      <c r="J1612" s="131">
        <v>0</v>
      </c>
      <c r="K1612" s="123">
        <f t="shared" si="250"/>
        <v>0</v>
      </c>
      <c r="L1612" s="122">
        <f>IF(K1614&gt;0, K1612/K1614, 0)</f>
        <v>0</v>
      </c>
      <c r="M1612" s="71"/>
      <c r="N1612" s="10">
        <f>ROUND(M1614*L1612,0)</f>
        <v>0</v>
      </c>
      <c r="O1612" s="70">
        <v>0</v>
      </c>
      <c r="P1612" s="10">
        <f>N1612-O1612</f>
        <v>0</v>
      </c>
      <c r="Q1612" s="46">
        <f t="shared" si="249"/>
        <v>0</v>
      </c>
      <c r="R1612" s="10">
        <v>0</v>
      </c>
      <c r="S1612" s="7">
        <f t="shared" si="252"/>
        <v>0</v>
      </c>
      <c r="T1612" s="124">
        <f t="shared" si="253"/>
        <v>321</v>
      </c>
      <c r="U1612" s="124">
        <f t="shared" si="254"/>
        <v>998</v>
      </c>
      <c r="V1612" s="124">
        <f t="shared" si="255"/>
        <v>1603</v>
      </c>
      <c r="W1612" s="124">
        <f t="shared" si="256"/>
        <v>0</v>
      </c>
      <c r="X1612" s="124">
        <f t="shared" si="257"/>
        <v>0</v>
      </c>
      <c r="Y1612" s="264">
        <f t="shared" si="258"/>
        <v>1603</v>
      </c>
      <c r="Z1612" s="10">
        <v>321</v>
      </c>
      <c r="AA1612" s="7">
        <v>998</v>
      </c>
      <c r="AB1612" s="7">
        <v>1603</v>
      </c>
      <c r="AC1612" s="109">
        <v>0</v>
      </c>
      <c r="AD1612" s="109">
        <v>0</v>
      </c>
      <c r="AE1612" s="125"/>
      <c r="AF1612" s="10"/>
      <c r="AI1612" s="109"/>
      <c r="AJ1612" s="109"/>
      <c r="AL1612" s="10"/>
      <c r="AO1612" s="109"/>
      <c r="AP1612" s="109"/>
      <c r="AR1612" s="10"/>
      <c r="AU1612" s="109"/>
      <c r="AV1612" s="109"/>
      <c r="AX1612" s="10"/>
      <c r="BA1612" s="109"/>
      <c r="BB1612" s="109"/>
      <c r="BD1612" s="10"/>
      <c r="BG1612" s="109"/>
      <c r="BH1612" s="109"/>
      <c r="BJ1612" s="10"/>
      <c r="BM1612" s="109"/>
      <c r="BN1612" s="109"/>
      <c r="BP1612" s="10"/>
      <c r="BS1612" s="109"/>
      <c r="BT1612" s="109"/>
      <c r="BV1612" s="10"/>
      <c r="BY1612" s="109"/>
      <c r="BZ1612" s="109"/>
      <c r="CB1612" s="10"/>
      <c r="CE1612" s="109"/>
      <c r="CF1612" s="109"/>
      <c r="CH1612" s="10"/>
      <c r="CK1612" s="109"/>
      <c r="CL1612" s="109"/>
    </row>
    <row r="1613" spans="1:90">
      <c r="A1613" s="7" t="str">
        <f t="shared" si="251"/>
        <v>03210998</v>
      </c>
      <c r="B1613" s="7" t="s">
        <v>2660</v>
      </c>
      <c r="C1613" s="7" t="s">
        <v>2781</v>
      </c>
      <c r="D1613" s="7">
        <v>1604</v>
      </c>
      <c r="E1613" s="7">
        <v>321</v>
      </c>
      <c r="F1613" s="7" t="s">
        <v>2135</v>
      </c>
      <c r="G1613" s="7">
        <v>998</v>
      </c>
      <c r="H1613" s="7" t="s">
        <v>2135</v>
      </c>
      <c r="I1613" s="70">
        <v>0</v>
      </c>
      <c r="J1613" s="131">
        <v>0</v>
      </c>
      <c r="K1613" s="123">
        <f t="shared" si="250"/>
        <v>0</v>
      </c>
      <c r="L1613" s="122">
        <f>IF(K1614&gt;0, K1613/K1614, 0)</f>
        <v>0</v>
      </c>
      <c r="M1613" s="71"/>
      <c r="N1613" s="10">
        <f>ROUND(M1614*L1613,0)</f>
        <v>0</v>
      </c>
      <c r="O1613" s="70">
        <v>0</v>
      </c>
      <c r="P1613" s="10">
        <f>N1613-O1613</f>
        <v>0</v>
      </c>
      <c r="Q1613" s="46">
        <f t="shared" si="249"/>
        <v>0</v>
      </c>
      <c r="R1613" s="10">
        <v>0</v>
      </c>
      <c r="S1613" s="7">
        <f t="shared" si="252"/>
        <v>0</v>
      </c>
      <c r="T1613" s="124">
        <f t="shared" si="253"/>
        <v>321</v>
      </c>
      <c r="U1613" s="124">
        <f t="shared" si="254"/>
        <v>998</v>
      </c>
      <c r="V1613" s="124">
        <f t="shared" si="255"/>
        <v>1604</v>
      </c>
      <c r="W1613" s="124">
        <f t="shared" si="256"/>
        <v>0</v>
      </c>
      <c r="X1613" s="124">
        <f t="shared" si="257"/>
        <v>0</v>
      </c>
      <c r="Y1613" s="264">
        <f t="shared" si="258"/>
        <v>1604</v>
      </c>
      <c r="Z1613" s="10">
        <v>321</v>
      </c>
      <c r="AA1613" s="7">
        <v>998</v>
      </c>
      <c r="AB1613" s="7">
        <v>1604</v>
      </c>
      <c r="AC1613" s="109">
        <v>0</v>
      </c>
      <c r="AD1613" s="109">
        <v>0</v>
      </c>
      <c r="AE1613" s="125"/>
      <c r="AF1613" s="10"/>
      <c r="AI1613" s="109"/>
      <c r="AJ1613" s="109"/>
      <c r="AL1613" s="10"/>
      <c r="AO1613" s="109"/>
      <c r="AP1613" s="109"/>
      <c r="AR1613" s="10"/>
      <c r="AU1613" s="109"/>
      <c r="AV1613" s="109"/>
      <c r="AX1613" s="10"/>
      <c r="BA1613" s="109"/>
      <c r="BB1613" s="109"/>
      <c r="BD1613" s="10"/>
      <c r="BG1613" s="109"/>
      <c r="BH1613" s="109"/>
      <c r="BJ1613" s="10"/>
      <c r="BM1613" s="109"/>
      <c r="BN1613" s="109"/>
      <c r="BP1613" s="10"/>
      <c r="BS1613" s="109"/>
      <c r="BT1613" s="109"/>
      <c r="BV1613" s="10"/>
      <c r="BY1613" s="109"/>
      <c r="BZ1613" s="109"/>
      <c r="CB1613" s="10"/>
      <c r="CE1613" s="109"/>
      <c r="CF1613" s="109"/>
      <c r="CH1613" s="10"/>
      <c r="CK1613" s="109"/>
      <c r="CL1613" s="109"/>
    </row>
    <row r="1614" spans="1:90">
      <c r="A1614" s="7" t="str">
        <f t="shared" si="251"/>
        <v>03210999</v>
      </c>
      <c r="B1614" s="7" t="s">
        <v>2660</v>
      </c>
      <c r="C1614" s="7" t="s">
        <v>2782</v>
      </c>
      <c r="D1614" s="7">
        <v>1605</v>
      </c>
      <c r="E1614" s="11">
        <v>321</v>
      </c>
      <c r="F1614" s="11" t="s">
        <v>2026</v>
      </c>
      <c r="G1614" s="11">
        <v>999</v>
      </c>
      <c r="H1614" s="11" t="s">
        <v>1132</v>
      </c>
      <c r="I1614" s="134">
        <v>33873906.019999996</v>
      </c>
      <c r="J1614" s="135">
        <v>0.99999999999999989</v>
      </c>
      <c r="K1614" s="127">
        <f>SUM(K1610:K1613)</f>
        <v>37264387.252397738</v>
      </c>
      <c r="L1614" s="126">
        <f>SUM(L1610:L1613)</f>
        <v>1</v>
      </c>
      <c r="M1614" s="105">
        <f>VLOOKUP(E1614,town351,22)</f>
        <v>29283968</v>
      </c>
      <c r="N1614" s="105">
        <f>SUM(N1610:N1613)</f>
        <v>29283968</v>
      </c>
      <c r="O1614" s="128">
        <v>27938657</v>
      </c>
      <c r="P1614" s="105">
        <f>SUM(P1610:P1613)</f>
        <v>1345311</v>
      </c>
      <c r="Q1614" s="45">
        <f t="shared" si="249"/>
        <v>4.8152314551125341</v>
      </c>
      <c r="R1614" s="105">
        <v>3598</v>
      </c>
      <c r="S1614" s="7">
        <f t="shared" si="252"/>
        <v>0</v>
      </c>
      <c r="T1614" s="124">
        <f t="shared" si="253"/>
        <v>321</v>
      </c>
      <c r="U1614" s="124">
        <f t="shared" si="254"/>
        <v>999</v>
      </c>
      <c r="V1614" s="124">
        <f t="shared" si="255"/>
        <v>1605</v>
      </c>
      <c r="W1614" s="124">
        <f t="shared" si="256"/>
        <v>3888.0000000022301</v>
      </c>
      <c r="X1614" s="124">
        <f t="shared" si="257"/>
        <v>37264387.252397738</v>
      </c>
      <c r="Y1614" s="264">
        <f t="shared" si="258"/>
        <v>1605</v>
      </c>
      <c r="Z1614" s="10">
        <v>321</v>
      </c>
      <c r="AA1614" s="7">
        <v>999</v>
      </c>
      <c r="AB1614" s="7">
        <v>1605</v>
      </c>
      <c r="AC1614" s="109">
        <v>3888.0000000022301</v>
      </c>
      <c r="AD1614" s="109">
        <v>37264387.252397738</v>
      </c>
      <c r="AE1614" s="125"/>
      <c r="AF1614" s="10"/>
      <c r="AI1614" s="109"/>
      <c r="AJ1614" s="109"/>
      <c r="AL1614" s="10"/>
      <c r="AO1614" s="109"/>
      <c r="AP1614" s="109"/>
      <c r="AR1614" s="10"/>
      <c r="AU1614" s="109"/>
      <c r="AV1614" s="109"/>
      <c r="AX1614" s="10"/>
      <c r="BA1614" s="109"/>
      <c r="BB1614" s="109"/>
      <c r="BD1614" s="10"/>
      <c r="BG1614" s="109"/>
      <c r="BH1614" s="109"/>
      <c r="BJ1614" s="10"/>
      <c r="BM1614" s="109"/>
      <c r="BN1614" s="109"/>
      <c r="BP1614" s="10"/>
      <c r="BS1614" s="109"/>
      <c r="BT1614" s="109"/>
      <c r="BV1614" s="10"/>
      <c r="BY1614" s="109"/>
      <c r="BZ1614" s="109"/>
      <c r="CB1614" s="10"/>
      <c r="CE1614" s="109"/>
      <c r="CF1614" s="109"/>
      <c r="CH1614" s="10"/>
      <c r="CK1614" s="109"/>
      <c r="CL1614" s="109"/>
    </row>
    <row r="1615" spans="1:90">
      <c r="A1615" s="7" t="str">
        <f t="shared" si="251"/>
        <v>03220322</v>
      </c>
      <c r="B1615" s="7" t="s">
        <v>2661</v>
      </c>
      <c r="C1615" s="7" t="s">
        <v>2661</v>
      </c>
      <c r="D1615" s="7">
        <v>1606</v>
      </c>
      <c r="E1615" s="7">
        <v>322</v>
      </c>
      <c r="F1615" s="7" t="s">
        <v>2027</v>
      </c>
      <c r="G1615" s="7">
        <v>322</v>
      </c>
      <c r="H1615" s="7" t="s">
        <v>1588</v>
      </c>
      <c r="I1615" s="70">
        <v>8692760.0099999998</v>
      </c>
      <c r="J1615" s="131">
        <v>1</v>
      </c>
      <c r="K1615" s="123">
        <f>X1615</f>
        <v>8877321.1119815204</v>
      </c>
      <c r="L1615" s="122">
        <f>IF(K1619&gt;0, K1615/K1619, 0)</f>
        <v>1</v>
      </c>
      <c r="M1615" s="71"/>
      <c r="N1615" s="10">
        <f>ROUND(M1619*L1615,0)</f>
        <v>6760095</v>
      </c>
      <c r="O1615" s="70">
        <v>6831386</v>
      </c>
      <c r="P1615" s="10">
        <f>N1615-O1615</f>
        <v>-71291</v>
      </c>
      <c r="Q1615" s="46">
        <f t="shared" si="249"/>
        <v>-1.0435803217677935</v>
      </c>
      <c r="R1615" s="10">
        <v>868</v>
      </c>
      <c r="S1615" s="7">
        <f t="shared" si="252"/>
        <v>0</v>
      </c>
      <c r="T1615" s="124">
        <f t="shared" si="253"/>
        <v>322</v>
      </c>
      <c r="U1615" s="124">
        <f t="shared" si="254"/>
        <v>322</v>
      </c>
      <c r="V1615" s="124">
        <f t="shared" si="255"/>
        <v>1606</v>
      </c>
      <c r="W1615" s="124">
        <f t="shared" si="256"/>
        <v>862</v>
      </c>
      <c r="X1615" s="124">
        <f t="shared" si="257"/>
        <v>8877321.1119815204</v>
      </c>
      <c r="Y1615" s="264">
        <f t="shared" si="258"/>
        <v>1606</v>
      </c>
      <c r="Z1615" s="10">
        <v>322</v>
      </c>
      <c r="AA1615" s="7">
        <v>322</v>
      </c>
      <c r="AB1615" s="7">
        <v>1606</v>
      </c>
      <c r="AC1615" s="109">
        <v>862</v>
      </c>
      <c r="AD1615" s="109">
        <v>8877321.1119815204</v>
      </c>
      <c r="AE1615" s="125"/>
      <c r="AF1615" s="10"/>
      <c r="AI1615" s="109"/>
      <c r="AJ1615" s="109"/>
      <c r="AL1615" s="10"/>
      <c r="AO1615" s="109"/>
      <c r="AP1615" s="109"/>
      <c r="AR1615" s="10"/>
      <c r="AU1615" s="109"/>
      <c r="AV1615" s="109"/>
      <c r="AX1615" s="10"/>
      <c r="BA1615" s="109"/>
      <c r="BB1615" s="109"/>
      <c r="BD1615" s="10"/>
      <c r="BG1615" s="109"/>
      <c r="BH1615" s="109"/>
      <c r="BJ1615" s="10"/>
      <c r="BM1615" s="109"/>
      <c r="BN1615" s="109"/>
      <c r="BP1615" s="10"/>
      <c r="BS1615" s="109"/>
      <c r="BT1615" s="109"/>
      <c r="BV1615" s="10"/>
      <c r="BY1615" s="109"/>
      <c r="BZ1615" s="109"/>
      <c r="CB1615" s="10"/>
      <c r="CE1615" s="109"/>
      <c r="CF1615" s="109"/>
      <c r="CH1615" s="10"/>
      <c r="CK1615" s="109"/>
      <c r="CL1615" s="109"/>
    </row>
    <row r="1616" spans="1:90">
      <c r="A1616" s="7" t="str">
        <f t="shared" si="251"/>
        <v>03220998</v>
      </c>
      <c r="B1616" s="7" t="s">
        <v>2661</v>
      </c>
      <c r="C1616" s="7" t="s">
        <v>2781</v>
      </c>
      <c r="D1616" s="7">
        <v>1607</v>
      </c>
      <c r="E1616" s="7">
        <v>322</v>
      </c>
      <c r="F1616" s="7" t="s">
        <v>2135</v>
      </c>
      <c r="G1616" s="7">
        <v>998</v>
      </c>
      <c r="H1616" s="7" t="s">
        <v>2135</v>
      </c>
      <c r="I1616" s="70">
        <v>0</v>
      </c>
      <c r="J1616" s="131">
        <v>0</v>
      </c>
      <c r="K1616" s="123">
        <f t="shared" si="250"/>
        <v>0</v>
      </c>
      <c r="L1616" s="122">
        <f>IF(K1619&gt;0, K1616/K1619, 0)</f>
        <v>0</v>
      </c>
      <c r="M1616" s="71"/>
      <c r="N1616" s="10">
        <f>ROUND(M1619*L1616,0)</f>
        <v>0</v>
      </c>
      <c r="O1616" s="70">
        <v>0</v>
      </c>
      <c r="P1616" s="10">
        <f>N1616-O1616</f>
        <v>0</v>
      </c>
      <c r="Q1616" s="46">
        <f>IF(O1616&gt;0,P1616*100/O1616,IF(P1616&gt;0,100,0))</f>
        <v>0</v>
      </c>
      <c r="R1616" s="10">
        <v>0</v>
      </c>
      <c r="S1616" s="7">
        <f t="shared" si="252"/>
        <v>0</v>
      </c>
      <c r="T1616" s="124">
        <f t="shared" si="253"/>
        <v>322</v>
      </c>
      <c r="U1616" s="124">
        <f t="shared" si="254"/>
        <v>998</v>
      </c>
      <c r="V1616" s="124">
        <f t="shared" si="255"/>
        <v>1607</v>
      </c>
      <c r="W1616" s="124">
        <f t="shared" si="256"/>
        <v>0</v>
      </c>
      <c r="X1616" s="124">
        <f t="shared" si="257"/>
        <v>0</v>
      </c>
      <c r="Y1616" s="264">
        <f t="shared" si="258"/>
        <v>1607</v>
      </c>
      <c r="Z1616" s="10">
        <v>322</v>
      </c>
      <c r="AA1616" s="7">
        <v>998</v>
      </c>
      <c r="AB1616" s="7">
        <v>1607</v>
      </c>
      <c r="AC1616" s="109">
        <v>0</v>
      </c>
      <c r="AD1616" s="109">
        <v>0</v>
      </c>
      <c r="AE1616" s="125"/>
      <c r="AF1616" s="10"/>
      <c r="AI1616" s="109"/>
      <c r="AJ1616" s="109"/>
      <c r="AL1616" s="10"/>
      <c r="AO1616" s="109"/>
      <c r="AP1616" s="109"/>
      <c r="AR1616" s="10"/>
      <c r="AU1616" s="109"/>
      <c r="AV1616" s="109"/>
      <c r="AX1616" s="10"/>
      <c r="BA1616" s="109"/>
      <c r="BB1616" s="109"/>
      <c r="BD1616" s="10"/>
      <c r="BG1616" s="109"/>
      <c r="BH1616" s="109"/>
      <c r="BJ1616" s="10"/>
      <c r="BM1616" s="109"/>
      <c r="BN1616" s="109"/>
      <c r="BP1616" s="10"/>
      <c r="BS1616" s="109"/>
      <c r="BT1616" s="109"/>
      <c r="BV1616" s="10"/>
      <c r="BY1616" s="109"/>
      <c r="BZ1616" s="109"/>
      <c r="CB1616" s="10"/>
      <c r="CE1616" s="109"/>
      <c r="CF1616" s="109"/>
      <c r="CH1616" s="10"/>
      <c r="CK1616" s="109"/>
      <c r="CL1616" s="109"/>
    </row>
    <row r="1617" spans="1:90">
      <c r="A1617" s="7" t="str">
        <f t="shared" si="251"/>
        <v>03220998</v>
      </c>
      <c r="B1617" s="7" t="s">
        <v>2661</v>
      </c>
      <c r="C1617" s="7" t="s">
        <v>2781</v>
      </c>
      <c r="D1617" s="7">
        <v>1608</v>
      </c>
      <c r="E1617" s="7">
        <v>322</v>
      </c>
      <c r="F1617" s="7" t="s">
        <v>2135</v>
      </c>
      <c r="G1617" s="7">
        <v>998</v>
      </c>
      <c r="H1617" s="7" t="s">
        <v>2135</v>
      </c>
      <c r="I1617" s="70">
        <v>0</v>
      </c>
      <c r="J1617" s="131">
        <v>0</v>
      </c>
      <c r="K1617" s="123">
        <f t="shared" si="250"/>
        <v>0</v>
      </c>
      <c r="L1617" s="122">
        <f>IF(K1619&gt;0, K1617/K1619, 0)</f>
        <v>0</v>
      </c>
      <c r="M1617" s="71"/>
      <c r="N1617" s="10">
        <f>ROUND(M1619*L1617,0)</f>
        <v>0</v>
      </c>
      <c r="O1617" s="70">
        <v>0</v>
      </c>
      <c r="P1617" s="10">
        <f>N1617-O1617</f>
        <v>0</v>
      </c>
      <c r="Q1617" s="46">
        <f>IF(O1617&gt;0,P1617*100/O1617,IF(P1617&gt;0,100,0))</f>
        <v>0</v>
      </c>
      <c r="R1617" s="10">
        <v>0</v>
      </c>
      <c r="S1617" s="7">
        <f t="shared" si="252"/>
        <v>0</v>
      </c>
      <c r="T1617" s="124">
        <f t="shared" si="253"/>
        <v>322</v>
      </c>
      <c r="U1617" s="124">
        <f t="shared" si="254"/>
        <v>998</v>
      </c>
      <c r="V1617" s="124">
        <f t="shared" si="255"/>
        <v>1608</v>
      </c>
      <c r="W1617" s="124">
        <f t="shared" si="256"/>
        <v>0</v>
      </c>
      <c r="X1617" s="124">
        <f t="shared" si="257"/>
        <v>0</v>
      </c>
      <c r="Y1617" s="264">
        <f t="shared" si="258"/>
        <v>1608</v>
      </c>
      <c r="Z1617" s="10">
        <v>322</v>
      </c>
      <c r="AA1617" s="7">
        <v>998</v>
      </c>
      <c r="AB1617" s="7">
        <v>1608</v>
      </c>
      <c r="AC1617" s="109">
        <v>0</v>
      </c>
      <c r="AD1617" s="109">
        <v>0</v>
      </c>
      <c r="AE1617" s="125"/>
      <c r="AF1617" s="10"/>
      <c r="AI1617" s="109"/>
      <c r="AJ1617" s="109"/>
      <c r="AL1617" s="10"/>
      <c r="AO1617" s="109"/>
      <c r="AP1617" s="109"/>
      <c r="AR1617" s="10"/>
      <c r="AU1617" s="109"/>
      <c r="AV1617" s="109"/>
      <c r="AX1617" s="10"/>
      <c r="BA1617" s="109"/>
      <c r="BB1617" s="109"/>
      <c r="BD1617" s="10"/>
      <c r="BG1617" s="109"/>
      <c r="BH1617" s="109"/>
      <c r="BJ1617" s="10"/>
      <c r="BM1617" s="109"/>
      <c r="BN1617" s="109"/>
      <c r="BP1617" s="10"/>
      <c r="BS1617" s="109"/>
      <c r="BT1617" s="109"/>
      <c r="BV1617" s="10"/>
      <c r="BY1617" s="109"/>
      <c r="BZ1617" s="109"/>
      <c r="CB1617" s="10"/>
      <c r="CE1617" s="109"/>
      <c r="CF1617" s="109"/>
      <c r="CH1617" s="10"/>
      <c r="CK1617" s="109"/>
      <c r="CL1617" s="109"/>
    </row>
    <row r="1618" spans="1:90">
      <c r="A1618" s="7" t="str">
        <f t="shared" si="251"/>
        <v>03220998</v>
      </c>
      <c r="B1618" s="7" t="s">
        <v>2661</v>
      </c>
      <c r="C1618" s="7" t="s">
        <v>2781</v>
      </c>
      <c r="D1618" s="7">
        <v>1609</v>
      </c>
      <c r="E1618" s="7">
        <v>322</v>
      </c>
      <c r="F1618" s="7" t="s">
        <v>2135</v>
      </c>
      <c r="G1618" s="7">
        <v>998</v>
      </c>
      <c r="H1618" s="7" t="s">
        <v>2135</v>
      </c>
      <c r="I1618" s="70">
        <v>0</v>
      </c>
      <c r="J1618" s="131">
        <v>0</v>
      </c>
      <c r="K1618" s="123">
        <f t="shared" si="250"/>
        <v>0</v>
      </c>
      <c r="L1618" s="122">
        <f>IF(K1619&gt;0, K1618/K1619, 0)</f>
        <v>0</v>
      </c>
      <c r="M1618" s="71"/>
      <c r="N1618" s="10">
        <f>ROUND(M1619*L1618,0)</f>
        <v>0</v>
      </c>
      <c r="O1618" s="70">
        <v>0</v>
      </c>
      <c r="P1618" s="10">
        <f>N1618-O1618</f>
        <v>0</v>
      </c>
      <c r="Q1618" s="46">
        <f>IF(O1618&gt;0,P1618*100/O1618,IF(P1618&gt;0,100,0))</f>
        <v>0</v>
      </c>
      <c r="R1618" s="10">
        <v>0</v>
      </c>
      <c r="S1618" s="7">
        <f t="shared" si="252"/>
        <v>0</v>
      </c>
      <c r="T1618" s="124">
        <f t="shared" si="253"/>
        <v>322</v>
      </c>
      <c r="U1618" s="124">
        <f t="shared" si="254"/>
        <v>998</v>
      </c>
      <c r="V1618" s="124">
        <f t="shared" si="255"/>
        <v>1609</v>
      </c>
      <c r="W1618" s="124">
        <f t="shared" si="256"/>
        <v>0</v>
      </c>
      <c r="X1618" s="124">
        <f t="shared" si="257"/>
        <v>0</v>
      </c>
      <c r="Y1618" s="264">
        <f t="shared" si="258"/>
        <v>1609</v>
      </c>
      <c r="Z1618" s="10">
        <v>322</v>
      </c>
      <c r="AA1618" s="7">
        <v>998</v>
      </c>
      <c r="AB1618" s="7">
        <v>1609</v>
      </c>
      <c r="AC1618" s="109">
        <v>0</v>
      </c>
      <c r="AD1618" s="109">
        <v>0</v>
      </c>
      <c r="AE1618" s="125"/>
      <c r="AF1618" s="10"/>
      <c r="AI1618" s="109"/>
      <c r="AJ1618" s="109"/>
      <c r="AL1618" s="10"/>
      <c r="AO1618" s="109"/>
      <c r="AP1618" s="109"/>
      <c r="AR1618" s="10"/>
      <c r="AU1618" s="109"/>
      <c r="AV1618" s="109"/>
      <c r="AX1618" s="10"/>
      <c r="BA1618" s="109"/>
      <c r="BB1618" s="109"/>
      <c r="BD1618" s="10"/>
      <c r="BG1618" s="109"/>
      <c r="BH1618" s="109"/>
      <c r="BJ1618" s="10"/>
      <c r="BM1618" s="109"/>
      <c r="BN1618" s="109"/>
      <c r="BP1618" s="10"/>
      <c r="BS1618" s="109"/>
      <c r="BT1618" s="109"/>
      <c r="BV1618" s="10"/>
      <c r="BY1618" s="109"/>
      <c r="BZ1618" s="109"/>
      <c r="CB1618" s="10"/>
      <c r="CE1618" s="109"/>
      <c r="CF1618" s="109"/>
      <c r="CH1618" s="10"/>
      <c r="CK1618" s="109"/>
      <c r="CL1618" s="109"/>
    </row>
    <row r="1619" spans="1:90">
      <c r="A1619" s="7" t="str">
        <f t="shared" si="251"/>
        <v>03220999</v>
      </c>
      <c r="B1619" s="7" t="s">
        <v>2661</v>
      </c>
      <c r="C1619" s="7" t="s">
        <v>2782</v>
      </c>
      <c r="D1619" s="7">
        <v>1610</v>
      </c>
      <c r="E1619" s="11">
        <v>322</v>
      </c>
      <c r="F1619" s="11" t="s">
        <v>2027</v>
      </c>
      <c r="G1619" s="11">
        <v>999</v>
      </c>
      <c r="H1619" s="11" t="s">
        <v>1132</v>
      </c>
      <c r="I1619" s="134">
        <v>8692760.0099999998</v>
      </c>
      <c r="J1619" s="135">
        <v>1</v>
      </c>
      <c r="K1619" s="127">
        <f>SUM(K1615:K1618)</f>
        <v>8877321.1119815204</v>
      </c>
      <c r="L1619" s="126">
        <f>SUM(L1615:L1618)</f>
        <v>1</v>
      </c>
      <c r="M1619" s="105">
        <f>VLOOKUP(E1619,town351,22)</f>
        <v>6760095</v>
      </c>
      <c r="N1619" s="105">
        <f>SUM(N1615:N1618)</f>
        <v>6760095</v>
      </c>
      <c r="O1619" s="128">
        <v>6831386</v>
      </c>
      <c r="P1619" s="105">
        <f>SUM(P1615:P1618)</f>
        <v>-71291</v>
      </c>
      <c r="Q1619" s="45">
        <f t="shared" ref="Q1619:Q1679" si="259">IF(O1619&gt;0,P1619*100/O1619,IF(P1619&gt;0,100,0))</f>
        <v>-1.0435803217677935</v>
      </c>
      <c r="R1619" s="105">
        <v>868</v>
      </c>
      <c r="S1619" s="7">
        <f t="shared" si="252"/>
        <v>0</v>
      </c>
      <c r="T1619" s="124">
        <f t="shared" si="253"/>
        <v>322</v>
      </c>
      <c r="U1619" s="124">
        <f t="shared" si="254"/>
        <v>999</v>
      </c>
      <c r="V1619" s="124">
        <f t="shared" si="255"/>
        <v>1610</v>
      </c>
      <c r="W1619" s="124">
        <f t="shared" si="256"/>
        <v>862</v>
      </c>
      <c r="X1619" s="124">
        <f t="shared" si="257"/>
        <v>8877321.1119815204</v>
      </c>
      <c r="Y1619" s="264">
        <f t="shared" si="258"/>
        <v>1610</v>
      </c>
      <c r="Z1619" s="10">
        <v>322</v>
      </c>
      <c r="AA1619" s="7">
        <v>999</v>
      </c>
      <c r="AB1619" s="7">
        <v>1610</v>
      </c>
      <c r="AC1619" s="109">
        <v>862</v>
      </c>
      <c r="AD1619" s="109">
        <v>8877321.1119815204</v>
      </c>
      <c r="AE1619" s="125"/>
      <c r="AF1619" s="10"/>
      <c r="AI1619" s="109"/>
      <c r="AJ1619" s="109"/>
      <c r="AL1619" s="10"/>
      <c r="AO1619" s="109"/>
      <c r="AP1619" s="109"/>
      <c r="AR1619" s="10"/>
      <c r="AU1619" s="109"/>
      <c r="AV1619" s="109"/>
      <c r="AX1619" s="10"/>
      <c r="BA1619" s="109"/>
      <c r="BB1619" s="109"/>
      <c r="BD1619" s="10"/>
      <c r="BG1619" s="109"/>
      <c r="BH1619" s="109"/>
      <c r="BJ1619" s="10"/>
      <c r="BM1619" s="109"/>
      <c r="BN1619" s="109"/>
      <c r="BP1619" s="10"/>
      <c r="BS1619" s="109"/>
      <c r="BT1619" s="109"/>
      <c r="BV1619" s="10"/>
      <c r="BY1619" s="109"/>
      <c r="BZ1619" s="109"/>
      <c r="CB1619" s="10"/>
      <c r="CE1619" s="109"/>
      <c r="CF1619" s="109"/>
      <c r="CH1619" s="10"/>
      <c r="CK1619" s="109"/>
      <c r="CL1619" s="109"/>
    </row>
    <row r="1620" spans="1:90">
      <c r="A1620" s="7" t="str">
        <f t="shared" si="251"/>
        <v>03230323</v>
      </c>
      <c r="B1620" s="7" t="s">
        <v>2662</v>
      </c>
      <c r="C1620" s="7" t="s">
        <v>2662</v>
      </c>
      <c r="D1620" s="7">
        <v>1611</v>
      </c>
      <c r="E1620" s="7">
        <v>323</v>
      </c>
      <c r="F1620" s="7" t="s">
        <v>2028</v>
      </c>
      <c r="G1620" s="7">
        <v>323</v>
      </c>
      <c r="H1620" s="7" t="s">
        <v>1589</v>
      </c>
      <c r="I1620" s="70">
        <v>10285489.059999999</v>
      </c>
      <c r="J1620" s="131">
        <v>0.93446194530666504</v>
      </c>
      <c r="K1620" s="123">
        <f>X1620</f>
        <v>10346624.462660685</v>
      </c>
      <c r="L1620" s="122">
        <f>IF(K1624&gt;0, K1620/K1624, 0)</f>
        <v>0.925319697968773</v>
      </c>
      <c r="M1620" s="71"/>
      <c r="N1620" s="10">
        <f>ROUND(M1624*L1620,0)</f>
        <v>6795040</v>
      </c>
      <c r="O1620" s="70">
        <v>6653790</v>
      </c>
      <c r="P1620" s="10">
        <f>N1620-O1620</f>
        <v>141250</v>
      </c>
      <c r="Q1620" s="46">
        <f t="shared" si="259"/>
        <v>2.1228502853261073</v>
      </c>
      <c r="R1620" s="10">
        <v>1050</v>
      </c>
      <c r="S1620" s="7">
        <f t="shared" si="252"/>
        <v>0</v>
      </c>
      <c r="T1620" s="124">
        <f t="shared" si="253"/>
        <v>323</v>
      </c>
      <c r="U1620" s="124">
        <f t="shared" si="254"/>
        <v>323</v>
      </c>
      <c r="V1620" s="124">
        <f t="shared" si="255"/>
        <v>1611</v>
      </c>
      <c r="W1620" s="124">
        <f t="shared" si="256"/>
        <v>1052</v>
      </c>
      <c r="X1620" s="124">
        <f t="shared" si="257"/>
        <v>10346624.462660685</v>
      </c>
      <c r="Y1620" s="264">
        <f t="shared" si="258"/>
        <v>1611</v>
      </c>
      <c r="Z1620" s="10">
        <v>323</v>
      </c>
      <c r="AA1620" s="7">
        <v>323</v>
      </c>
      <c r="AB1620" s="7">
        <v>1611</v>
      </c>
      <c r="AC1620" s="109">
        <v>1052</v>
      </c>
      <c r="AD1620" s="109">
        <v>10346624.462660685</v>
      </c>
      <c r="AE1620" s="125"/>
      <c r="AF1620" s="10"/>
      <c r="AI1620" s="109"/>
      <c r="AJ1620" s="109"/>
      <c r="AL1620" s="10"/>
      <c r="AO1620" s="109"/>
      <c r="AP1620" s="109"/>
      <c r="AR1620" s="10"/>
      <c r="AU1620" s="109"/>
      <c r="AV1620" s="109"/>
      <c r="AX1620" s="10"/>
      <c r="BA1620" s="109"/>
      <c r="BB1620" s="109"/>
      <c r="BD1620" s="10"/>
      <c r="BG1620" s="109"/>
      <c r="BH1620" s="109"/>
      <c r="BJ1620" s="10"/>
      <c r="BM1620" s="109"/>
      <c r="BN1620" s="109"/>
      <c r="BP1620" s="10"/>
      <c r="BS1620" s="109"/>
      <c r="BT1620" s="109"/>
      <c r="BV1620" s="10"/>
      <c r="BY1620" s="109"/>
      <c r="BZ1620" s="109"/>
      <c r="CB1620" s="10"/>
      <c r="CE1620" s="109"/>
      <c r="CF1620" s="109"/>
      <c r="CH1620" s="10"/>
      <c r="CK1620" s="109"/>
      <c r="CL1620" s="109"/>
    </row>
    <row r="1621" spans="1:90">
      <c r="A1621" s="7" t="str">
        <f t="shared" si="251"/>
        <v>03230872</v>
      </c>
      <c r="B1621" s="7" t="s">
        <v>2662</v>
      </c>
      <c r="C1621" s="7" t="s">
        <v>2772</v>
      </c>
      <c r="D1621" s="7">
        <v>1612</v>
      </c>
      <c r="E1621" s="7">
        <v>323</v>
      </c>
      <c r="F1621" s="7" t="s">
        <v>2028</v>
      </c>
      <c r="G1621" s="7">
        <v>872</v>
      </c>
      <c r="H1621" s="7" t="s">
        <v>1699</v>
      </c>
      <c r="I1621" s="70">
        <v>721368</v>
      </c>
      <c r="J1621" s="131">
        <v>6.5538054693334971E-2</v>
      </c>
      <c r="K1621" s="123">
        <f t="shared" si="250"/>
        <v>835050.89275777864</v>
      </c>
      <c r="L1621" s="122">
        <f>IF(K1624&gt;0, K1621/K1624, 0)</f>
        <v>7.4680302031227025E-2</v>
      </c>
      <c r="M1621" s="71"/>
      <c r="N1621" s="10">
        <f>ROUND(M1624*L1621,0)</f>
        <v>548411</v>
      </c>
      <c r="O1621" s="70">
        <v>466661</v>
      </c>
      <c r="P1621" s="10">
        <f>N1621-O1621</f>
        <v>81750</v>
      </c>
      <c r="Q1621" s="46">
        <f t="shared" si="259"/>
        <v>17.518069862276899</v>
      </c>
      <c r="R1621" s="10">
        <v>45</v>
      </c>
      <c r="S1621" s="7">
        <f t="shared" si="252"/>
        <v>0</v>
      </c>
      <c r="T1621" s="124">
        <f t="shared" si="253"/>
        <v>323</v>
      </c>
      <c r="U1621" s="124">
        <f t="shared" si="254"/>
        <v>872</v>
      </c>
      <c r="V1621" s="124">
        <f t="shared" si="255"/>
        <v>1612</v>
      </c>
      <c r="W1621" s="124">
        <f t="shared" si="256"/>
        <v>51.101593621469995</v>
      </c>
      <c r="X1621" s="124">
        <f t="shared" si="257"/>
        <v>835050.89275777864</v>
      </c>
      <c r="Y1621" s="264">
        <f t="shared" si="258"/>
        <v>1612</v>
      </c>
      <c r="Z1621" s="10">
        <v>323</v>
      </c>
      <c r="AA1621" s="7">
        <v>872</v>
      </c>
      <c r="AB1621" s="7">
        <v>1612</v>
      </c>
      <c r="AC1621" s="109">
        <v>51.101593621469995</v>
      </c>
      <c r="AD1621" s="109">
        <v>835050.89275777864</v>
      </c>
      <c r="AE1621" s="125"/>
      <c r="AF1621" s="10"/>
      <c r="AI1621" s="109"/>
      <c r="AJ1621" s="109"/>
      <c r="AL1621" s="10"/>
      <c r="AO1621" s="109"/>
      <c r="AP1621" s="109"/>
      <c r="AR1621" s="10"/>
      <c r="AU1621" s="109"/>
      <c r="AV1621" s="109"/>
      <c r="AX1621" s="10"/>
      <c r="BA1621" s="109"/>
      <c r="BB1621" s="109"/>
      <c r="BD1621" s="10"/>
      <c r="BG1621" s="109"/>
      <c r="BH1621" s="109"/>
      <c r="BJ1621" s="10"/>
      <c r="BM1621" s="109"/>
      <c r="BN1621" s="109"/>
      <c r="BP1621" s="10"/>
      <c r="BS1621" s="109"/>
      <c r="BT1621" s="109"/>
      <c r="BV1621" s="10"/>
      <c r="BY1621" s="109"/>
      <c r="BZ1621" s="109"/>
      <c r="CB1621" s="10"/>
      <c r="CE1621" s="109"/>
      <c r="CF1621" s="109"/>
      <c r="CH1621" s="10"/>
      <c r="CK1621" s="109"/>
      <c r="CL1621" s="109"/>
    </row>
    <row r="1622" spans="1:90">
      <c r="A1622" s="7" t="str">
        <f t="shared" si="251"/>
        <v>03230998</v>
      </c>
      <c r="B1622" s="7" t="s">
        <v>2662</v>
      </c>
      <c r="C1622" s="7" t="s">
        <v>2781</v>
      </c>
      <c r="D1622" s="7">
        <v>1613</v>
      </c>
      <c r="E1622" s="7">
        <v>323</v>
      </c>
      <c r="F1622" s="7" t="s">
        <v>2135</v>
      </c>
      <c r="G1622" s="7">
        <v>998</v>
      </c>
      <c r="H1622" s="7" t="s">
        <v>2135</v>
      </c>
      <c r="I1622" s="70">
        <v>0</v>
      </c>
      <c r="J1622" s="131">
        <v>0</v>
      </c>
      <c r="K1622" s="123">
        <f t="shared" si="250"/>
        <v>0</v>
      </c>
      <c r="L1622" s="122">
        <f>IF(K1624&gt;0, K1622/K1624, 0)</f>
        <v>0</v>
      </c>
      <c r="M1622" s="71"/>
      <c r="N1622" s="10">
        <f>ROUND(M1624*L1622,0)</f>
        <v>0</v>
      </c>
      <c r="O1622" s="70">
        <v>0</v>
      </c>
      <c r="P1622" s="10">
        <f>N1622-O1622</f>
        <v>0</v>
      </c>
      <c r="Q1622" s="46">
        <f t="shared" si="259"/>
        <v>0</v>
      </c>
      <c r="R1622" s="10">
        <v>0</v>
      </c>
      <c r="S1622" s="7">
        <f t="shared" si="252"/>
        <v>0</v>
      </c>
      <c r="T1622" s="124">
        <f t="shared" si="253"/>
        <v>323</v>
      </c>
      <c r="U1622" s="124">
        <f t="shared" si="254"/>
        <v>998</v>
      </c>
      <c r="V1622" s="124">
        <f t="shared" si="255"/>
        <v>1613</v>
      </c>
      <c r="W1622" s="124">
        <f t="shared" si="256"/>
        <v>0</v>
      </c>
      <c r="X1622" s="124">
        <f t="shared" si="257"/>
        <v>0</v>
      </c>
      <c r="Y1622" s="264">
        <f t="shared" si="258"/>
        <v>1613</v>
      </c>
      <c r="Z1622" s="10">
        <v>323</v>
      </c>
      <c r="AA1622" s="7">
        <v>998</v>
      </c>
      <c r="AB1622" s="7">
        <v>1613</v>
      </c>
      <c r="AC1622" s="109">
        <v>0</v>
      </c>
      <c r="AD1622" s="109">
        <v>0</v>
      </c>
      <c r="AE1622" s="125"/>
      <c r="AF1622" s="10"/>
      <c r="AI1622" s="109"/>
      <c r="AJ1622" s="109"/>
      <c r="AL1622" s="10"/>
      <c r="AO1622" s="109"/>
      <c r="AP1622" s="109"/>
      <c r="AR1622" s="10"/>
      <c r="AU1622" s="109"/>
      <c r="AV1622" s="109"/>
      <c r="AX1622" s="10"/>
      <c r="BA1622" s="109"/>
      <c r="BB1622" s="109"/>
      <c r="BD1622" s="10"/>
      <c r="BG1622" s="109"/>
      <c r="BH1622" s="109"/>
      <c r="BJ1622" s="10"/>
      <c r="BM1622" s="109"/>
      <c r="BN1622" s="109"/>
      <c r="BP1622" s="10"/>
      <c r="BS1622" s="109"/>
      <c r="BT1622" s="109"/>
      <c r="BV1622" s="10"/>
      <c r="BY1622" s="109"/>
      <c r="BZ1622" s="109"/>
      <c r="CB1622" s="10"/>
      <c r="CE1622" s="109"/>
      <c r="CF1622" s="109"/>
      <c r="CH1622" s="10"/>
      <c r="CK1622" s="109"/>
      <c r="CL1622" s="109"/>
    </row>
    <row r="1623" spans="1:90">
      <c r="A1623" s="7" t="str">
        <f t="shared" si="251"/>
        <v>03230998</v>
      </c>
      <c r="B1623" s="7" t="s">
        <v>2662</v>
      </c>
      <c r="C1623" s="7" t="s">
        <v>2781</v>
      </c>
      <c r="D1623" s="7">
        <v>1614</v>
      </c>
      <c r="E1623" s="7">
        <v>323</v>
      </c>
      <c r="F1623" s="7" t="s">
        <v>2135</v>
      </c>
      <c r="G1623" s="7">
        <v>998</v>
      </c>
      <c r="H1623" s="7" t="s">
        <v>2135</v>
      </c>
      <c r="I1623" s="70">
        <v>0</v>
      </c>
      <c r="J1623" s="131">
        <v>0</v>
      </c>
      <c r="K1623" s="123">
        <f t="shared" si="250"/>
        <v>0</v>
      </c>
      <c r="L1623" s="122">
        <f>IF(K1624&gt;0, K1623/K1624, 0)</f>
        <v>0</v>
      </c>
      <c r="M1623" s="71"/>
      <c r="N1623" s="10">
        <f>ROUND(M1624*L1623,0)</f>
        <v>0</v>
      </c>
      <c r="O1623" s="70">
        <v>0</v>
      </c>
      <c r="P1623" s="10">
        <f>N1623-O1623</f>
        <v>0</v>
      </c>
      <c r="Q1623" s="46">
        <f t="shared" si="259"/>
        <v>0</v>
      </c>
      <c r="R1623" s="10">
        <v>0</v>
      </c>
      <c r="S1623" s="7">
        <f t="shared" si="252"/>
        <v>0</v>
      </c>
      <c r="T1623" s="124">
        <f t="shared" si="253"/>
        <v>323</v>
      </c>
      <c r="U1623" s="124">
        <f t="shared" si="254"/>
        <v>998</v>
      </c>
      <c r="V1623" s="124">
        <f t="shared" si="255"/>
        <v>1614</v>
      </c>
      <c r="W1623" s="124">
        <f t="shared" si="256"/>
        <v>0</v>
      </c>
      <c r="X1623" s="124">
        <f t="shared" si="257"/>
        <v>0</v>
      </c>
      <c r="Y1623" s="264">
        <f t="shared" si="258"/>
        <v>1614</v>
      </c>
      <c r="Z1623" s="10">
        <v>323</v>
      </c>
      <c r="AA1623" s="7">
        <v>998</v>
      </c>
      <c r="AB1623" s="7">
        <v>1614</v>
      </c>
      <c r="AC1623" s="109">
        <v>0</v>
      </c>
      <c r="AD1623" s="109">
        <v>0</v>
      </c>
      <c r="AE1623" s="125"/>
      <c r="AF1623" s="10"/>
      <c r="AI1623" s="109"/>
      <c r="AJ1623" s="109"/>
      <c r="AL1623" s="10"/>
      <c r="AO1623" s="109"/>
      <c r="AP1623" s="109"/>
      <c r="AR1623" s="10"/>
      <c r="AU1623" s="109"/>
      <c r="AV1623" s="109"/>
      <c r="AX1623" s="10"/>
      <c r="BA1623" s="109"/>
      <c r="BB1623" s="109"/>
      <c r="BD1623" s="10"/>
      <c r="BG1623" s="109"/>
      <c r="BH1623" s="109"/>
      <c r="BJ1623" s="10"/>
      <c r="BM1623" s="109"/>
      <c r="BN1623" s="109"/>
      <c r="BP1623" s="10"/>
      <c r="BS1623" s="109"/>
      <c r="BT1623" s="109"/>
      <c r="BV1623" s="10"/>
      <c r="BY1623" s="109"/>
      <c r="BZ1623" s="109"/>
      <c r="CB1623" s="10"/>
      <c r="CE1623" s="109"/>
      <c r="CF1623" s="109"/>
      <c r="CH1623" s="10"/>
      <c r="CK1623" s="109"/>
      <c r="CL1623" s="109"/>
    </row>
    <row r="1624" spans="1:90">
      <c r="A1624" s="7" t="str">
        <f t="shared" si="251"/>
        <v>03230999</v>
      </c>
      <c r="B1624" s="7" t="s">
        <v>2662</v>
      </c>
      <c r="C1624" s="7" t="s">
        <v>2782</v>
      </c>
      <c r="D1624" s="7">
        <v>1615</v>
      </c>
      <c r="E1624" s="11">
        <v>323</v>
      </c>
      <c r="F1624" s="11" t="s">
        <v>2028</v>
      </c>
      <c r="G1624" s="11">
        <v>999</v>
      </c>
      <c r="H1624" s="11" t="s">
        <v>1132</v>
      </c>
      <c r="I1624" s="134">
        <v>11006857.059999999</v>
      </c>
      <c r="J1624" s="135">
        <v>1</v>
      </c>
      <c r="K1624" s="127">
        <f>SUM(K1620:K1623)</f>
        <v>11181675.355418464</v>
      </c>
      <c r="L1624" s="126">
        <f>SUM(L1620:L1623)</f>
        <v>1</v>
      </c>
      <c r="M1624" s="105">
        <f>VLOOKUP(E1624,town351,22)</f>
        <v>7343451</v>
      </c>
      <c r="N1624" s="105">
        <f>SUM(N1620:N1623)</f>
        <v>7343451</v>
      </c>
      <c r="O1624" s="128">
        <v>7120451</v>
      </c>
      <c r="P1624" s="105">
        <f>SUM(P1620:P1623)</f>
        <v>223000</v>
      </c>
      <c r="Q1624" s="45">
        <f t="shared" si="259"/>
        <v>3.1318240937266473</v>
      </c>
      <c r="R1624" s="105">
        <v>1095</v>
      </c>
      <c r="S1624" s="7">
        <f t="shared" si="252"/>
        <v>0</v>
      </c>
      <c r="T1624" s="124">
        <f t="shared" si="253"/>
        <v>323</v>
      </c>
      <c r="U1624" s="124">
        <f t="shared" si="254"/>
        <v>999</v>
      </c>
      <c r="V1624" s="124">
        <f t="shared" si="255"/>
        <v>1615</v>
      </c>
      <c r="W1624" s="124">
        <f t="shared" si="256"/>
        <v>1103.1015936214701</v>
      </c>
      <c r="X1624" s="124">
        <f t="shared" si="257"/>
        <v>11181675.355418464</v>
      </c>
      <c r="Y1624" s="264">
        <f t="shared" si="258"/>
        <v>1615</v>
      </c>
      <c r="Z1624" s="10">
        <v>323</v>
      </c>
      <c r="AA1624" s="7">
        <v>999</v>
      </c>
      <c r="AB1624" s="7">
        <v>1615</v>
      </c>
      <c r="AC1624" s="109">
        <v>1103.1015936214701</v>
      </c>
      <c r="AD1624" s="109">
        <v>11181675.355418464</v>
      </c>
      <c r="AE1624" s="125"/>
      <c r="AF1624" s="10"/>
      <c r="AI1624" s="109"/>
      <c r="AJ1624" s="109"/>
      <c r="AL1624" s="10"/>
      <c r="AO1624" s="109"/>
      <c r="AP1624" s="109"/>
      <c r="AR1624" s="10"/>
      <c r="AU1624" s="109"/>
      <c r="AV1624" s="109"/>
      <c r="AX1624" s="10"/>
      <c r="BA1624" s="109"/>
      <c r="BB1624" s="109"/>
      <c r="BD1624" s="10"/>
      <c r="BG1624" s="109"/>
      <c r="BH1624" s="109"/>
      <c r="BJ1624" s="10"/>
      <c r="BM1624" s="109"/>
      <c r="BN1624" s="109"/>
      <c r="BP1624" s="10"/>
      <c r="BS1624" s="109"/>
      <c r="BT1624" s="109"/>
      <c r="BV1624" s="10"/>
      <c r="BY1624" s="109"/>
      <c r="BZ1624" s="109"/>
      <c r="CB1624" s="10"/>
      <c r="CE1624" s="109"/>
      <c r="CF1624" s="109"/>
      <c r="CH1624" s="10"/>
      <c r="CK1624" s="109"/>
      <c r="CL1624" s="109"/>
    </row>
    <row r="1625" spans="1:90">
      <c r="A1625" s="7" t="str">
        <f t="shared" si="251"/>
        <v>03240324</v>
      </c>
      <c r="B1625" s="7" t="s">
        <v>2663</v>
      </c>
      <c r="C1625" s="7" t="s">
        <v>2663</v>
      </c>
      <c r="D1625" s="7">
        <v>1616</v>
      </c>
      <c r="E1625" s="7">
        <v>324</v>
      </c>
      <c r="F1625" s="7" t="s">
        <v>2029</v>
      </c>
      <c r="G1625" s="7">
        <v>324</v>
      </c>
      <c r="H1625" s="7" t="s">
        <v>1590</v>
      </c>
      <c r="I1625" s="70">
        <v>354549.68000000005</v>
      </c>
      <c r="J1625" s="131">
        <v>6.3026082948891962E-2</v>
      </c>
      <c r="K1625" s="123">
        <f>X1625</f>
        <v>507435.69877084321</v>
      </c>
      <c r="L1625" s="122">
        <f>IF(K1629&gt;0, K1625/K1629, 0)</f>
        <v>8.5674629090284837E-2</v>
      </c>
      <c r="M1625" s="71"/>
      <c r="N1625" s="10">
        <f>ROUND(M1629*L1625,0)</f>
        <v>254467</v>
      </c>
      <c r="O1625" s="70">
        <v>186072</v>
      </c>
      <c r="P1625" s="10">
        <f>N1625-O1625</f>
        <v>68395</v>
      </c>
      <c r="Q1625" s="46">
        <f t="shared" si="259"/>
        <v>36.757276753084824</v>
      </c>
      <c r="R1625" s="10">
        <v>25</v>
      </c>
      <c r="S1625" s="7">
        <f t="shared" si="252"/>
        <v>0</v>
      </c>
      <c r="T1625" s="124">
        <f t="shared" si="253"/>
        <v>324</v>
      </c>
      <c r="U1625" s="124">
        <f t="shared" si="254"/>
        <v>324</v>
      </c>
      <c r="V1625" s="124">
        <f t="shared" si="255"/>
        <v>1616</v>
      </c>
      <c r="W1625" s="124">
        <f t="shared" si="256"/>
        <v>34</v>
      </c>
      <c r="X1625" s="124">
        <f t="shared" si="257"/>
        <v>507435.69877084321</v>
      </c>
      <c r="Y1625" s="264">
        <f t="shared" si="258"/>
        <v>1616</v>
      </c>
      <c r="Z1625" s="10">
        <v>324</v>
      </c>
      <c r="AA1625" s="7">
        <v>324</v>
      </c>
      <c r="AB1625" s="7">
        <v>1616</v>
      </c>
      <c r="AC1625" s="109">
        <v>34</v>
      </c>
      <c r="AD1625" s="109">
        <v>507435.69877084321</v>
      </c>
      <c r="AE1625" s="125"/>
      <c r="AF1625" s="10"/>
      <c r="AI1625" s="109"/>
      <c r="AJ1625" s="109"/>
      <c r="AL1625" s="10"/>
      <c r="AO1625" s="109"/>
      <c r="AP1625" s="109"/>
      <c r="AR1625" s="10"/>
      <c r="AU1625" s="109"/>
      <c r="AV1625" s="109"/>
      <c r="AX1625" s="10"/>
      <c r="BA1625" s="109"/>
      <c r="BB1625" s="109"/>
      <c r="BD1625" s="10"/>
      <c r="BG1625" s="109"/>
      <c r="BH1625" s="109"/>
      <c r="BJ1625" s="10"/>
      <c r="BM1625" s="109"/>
      <c r="BN1625" s="109"/>
      <c r="BP1625" s="10"/>
      <c r="BS1625" s="109"/>
      <c r="BT1625" s="109"/>
      <c r="BV1625" s="10"/>
      <c r="BY1625" s="109"/>
      <c r="BZ1625" s="109"/>
      <c r="CB1625" s="10"/>
      <c r="CE1625" s="109"/>
      <c r="CF1625" s="109"/>
      <c r="CH1625" s="10"/>
      <c r="CK1625" s="109"/>
      <c r="CL1625" s="109"/>
    </row>
    <row r="1626" spans="1:90">
      <c r="A1626" s="7" t="str">
        <f t="shared" si="251"/>
        <v>03240778</v>
      </c>
      <c r="B1626" s="7" t="s">
        <v>2663</v>
      </c>
      <c r="C1626" s="7" t="s">
        <v>2750</v>
      </c>
      <c r="D1626" s="7">
        <v>1617</v>
      </c>
      <c r="E1626" s="7">
        <v>324</v>
      </c>
      <c r="F1626" s="7" t="s">
        <v>2029</v>
      </c>
      <c r="G1626" s="7">
        <v>778</v>
      </c>
      <c r="H1626" s="7" t="s">
        <v>1677</v>
      </c>
      <c r="I1626" s="70">
        <v>5270894</v>
      </c>
      <c r="J1626" s="131">
        <v>0.93697391705110811</v>
      </c>
      <c r="K1626" s="123">
        <f t="shared" si="250"/>
        <v>5415387.7106669964</v>
      </c>
      <c r="L1626" s="122">
        <f>IF(K1629&gt;0, K1626/K1629, 0)</f>
        <v>0.91432537090971511</v>
      </c>
      <c r="M1626" s="71"/>
      <c r="N1626" s="10">
        <f>ROUND(M1629*L1626,0)</f>
        <v>2715691</v>
      </c>
      <c r="O1626" s="70">
        <v>2766235</v>
      </c>
      <c r="P1626" s="10">
        <f>N1626-O1626</f>
        <v>-50544</v>
      </c>
      <c r="Q1626" s="46">
        <f t="shared" si="259"/>
        <v>-1.82717664985079</v>
      </c>
      <c r="R1626" s="10">
        <v>501</v>
      </c>
      <c r="S1626" s="7">
        <f t="shared" si="252"/>
        <v>0</v>
      </c>
      <c r="T1626" s="124">
        <f t="shared" si="253"/>
        <v>324</v>
      </c>
      <c r="U1626" s="124">
        <f t="shared" si="254"/>
        <v>778</v>
      </c>
      <c r="V1626" s="124">
        <f t="shared" si="255"/>
        <v>1617</v>
      </c>
      <c r="W1626" s="124">
        <f t="shared" si="256"/>
        <v>499.56003038886001</v>
      </c>
      <c r="X1626" s="124">
        <f t="shared" si="257"/>
        <v>5415387.7106669964</v>
      </c>
      <c r="Y1626" s="264">
        <f t="shared" si="258"/>
        <v>1617</v>
      </c>
      <c r="Z1626" s="10">
        <v>324</v>
      </c>
      <c r="AA1626" s="7">
        <v>778</v>
      </c>
      <c r="AB1626" s="7">
        <v>1617</v>
      </c>
      <c r="AC1626" s="109">
        <v>499.56003038886001</v>
      </c>
      <c r="AD1626" s="109">
        <v>5415387.7106669964</v>
      </c>
      <c r="AE1626" s="125"/>
      <c r="AF1626" s="10"/>
      <c r="AI1626" s="109"/>
      <c r="AJ1626" s="109"/>
      <c r="AL1626" s="10"/>
      <c r="AO1626" s="109"/>
      <c r="AP1626" s="109"/>
      <c r="AR1626" s="10"/>
      <c r="AU1626" s="109"/>
      <c r="AV1626" s="109"/>
      <c r="AX1626" s="10"/>
      <c r="BA1626" s="109"/>
      <c r="BB1626" s="109"/>
      <c r="BD1626" s="10"/>
      <c r="BG1626" s="109"/>
      <c r="BH1626" s="109"/>
      <c r="BJ1626" s="10"/>
      <c r="BM1626" s="109"/>
      <c r="BN1626" s="109"/>
      <c r="BP1626" s="10"/>
      <c r="BS1626" s="109"/>
      <c r="BT1626" s="109"/>
      <c r="BV1626" s="10"/>
      <c r="BY1626" s="109"/>
      <c r="BZ1626" s="109"/>
      <c r="CB1626" s="10"/>
      <c r="CE1626" s="109"/>
      <c r="CF1626" s="109"/>
      <c r="CH1626" s="10"/>
      <c r="CK1626" s="109"/>
      <c r="CL1626" s="109"/>
    </row>
    <row r="1627" spans="1:90">
      <c r="A1627" s="7" t="str">
        <f t="shared" si="251"/>
        <v>03240998</v>
      </c>
      <c r="B1627" s="7" t="s">
        <v>2663</v>
      </c>
      <c r="C1627" s="7" t="s">
        <v>2781</v>
      </c>
      <c r="D1627" s="7">
        <v>1618</v>
      </c>
      <c r="E1627" s="7">
        <v>324</v>
      </c>
      <c r="F1627" s="7" t="s">
        <v>2135</v>
      </c>
      <c r="G1627" s="7">
        <v>998</v>
      </c>
      <c r="H1627" s="7" t="s">
        <v>2135</v>
      </c>
      <c r="I1627" s="70">
        <v>0</v>
      </c>
      <c r="J1627" s="131">
        <v>0</v>
      </c>
      <c r="K1627" s="123">
        <f t="shared" si="250"/>
        <v>0</v>
      </c>
      <c r="L1627" s="122">
        <f>IF(K1629&gt;0, K1627/K1629, 0)</f>
        <v>0</v>
      </c>
      <c r="M1627" s="71"/>
      <c r="N1627" s="10">
        <f>ROUND(M1629*L1627,0)</f>
        <v>0</v>
      </c>
      <c r="O1627" s="70">
        <v>0</v>
      </c>
      <c r="P1627" s="10">
        <f>N1627-O1627</f>
        <v>0</v>
      </c>
      <c r="Q1627" s="46">
        <f t="shared" si="259"/>
        <v>0</v>
      </c>
      <c r="R1627" s="10">
        <v>0</v>
      </c>
      <c r="S1627" s="7">
        <f t="shared" si="252"/>
        <v>0</v>
      </c>
      <c r="T1627" s="124">
        <f t="shared" si="253"/>
        <v>324</v>
      </c>
      <c r="U1627" s="124">
        <f t="shared" si="254"/>
        <v>998</v>
      </c>
      <c r="V1627" s="124">
        <f t="shared" si="255"/>
        <v>1618</v>
      </c>
      <c r="W1627" s="124">
        <f t="shared" si="256"/>
        <v>0</v>
      </c>
      <c r="X1627" s="124">
        <f t="shared" si="257"/>
        <v>0</v>
      </c>
      <c r="Y1627" s="264">
        <f t="shared" si="258"/>
        <v>1618</v>
      </c>
      <c r="Z1627" s="10">
        <v>324</v>
      </c>
      <c r="AA1627" s="7">
        <v>998</v>
      </c>
      <c r="AB1627" s="7">
        <v>1618</v>
      </c>
      <c r="AC1627" s="109">
        <v>0</v>
      </c>
      <c r="AD1627" s="109">
        <v>0</v>
      </c>
      <c r="AE1627" s="125"/>
      <c r="AF1627" s="10"/>
      <c r="AI1627" s="109"/>
      <c r="AJ1627" s="109"/>
      <c r="AL1627" s="10"/>
      <c r="AO1627" s="109"/>
      <c r="AP1627" s="109"/>
      <c r="AR1627" s="10"/>
      <c r="AU1627" s="109"/>
      <c r="AV1627" s="109"/>
      <c r="AX1627" s="10"/>
      <c r="BA1627" s="109"/>
      <c r="BB1627" s="109"/>
      <c r="BD1627" s="10"/>
      <c r="BG1627" s="109"/>
      <c r="BH1627" s="109"/>
      <c r="BJ1627" s="10"/>
      <c r="BM1627" s="109"/>
      <c r="BN1627" s="109"/>
      <c r="BP1627" s="10"/>
      <c r="BS1627" s="109"/>
      <c r="BT1627" s="109"/>
      <c r="BV1627" s="10"/>
      <c r="BY1627" s="109"/>
      <c r="BZ1627" s="109"/>
      <c r="CB1627" s="10"/>
      <c r="CE1627" s="109"/>
      <c r="CF1627" s="109"/>
      <c r="CH1627" s="10"/>
      <c r="CK1627" s="109"/>
      <c r="CL1627" s="109"/>
    </row>
    <row r="1628" spans="1:90">
      <c r="A1628" s="7" t="str">
        <f t="shared" si="251"/>
        <v>03240998</v>
      </c>
      <c r="B1628" s="7" t="s">
        <v>2663</v>
      </c>
      <c r="C1628" s="7" t="s">
        <v>2781</v>
      </c>
      <c r="D1628" s="7">
        <v>1619</v>
      </c>
      <c r="E1628" s="7">
        <v>324</v>
      </c>
      <c r="F1628" s="7" t="s">
        <v>2135</v>
      </c>
      <c r="G1628" s="7">
        <v>998</v>
      </c>
      <c r="H1628" s="7" t="s">
        <v>2135</v>
      </c>
      <c r="I1628" s="70">
        <v>0</v>
      </c>
      <c r="J1628" s="131">
        <v>0</v>
      </c>
      <c r="K1628" s="123">
        <f t="shared" si="250"/>
        <v>0</v>
      </c>
      <c r="L1628" s="122">
        <f>IF(K1629&gt;0, K1628/K1629, 0)</f>
        <v>0</v>
      </c>
      <c r="M1628" s="71"/>
      <c r="N1628" s="10">
        <f>ROUND(M1629*L1628,0)</f>
        <v>0</v>
      </c>
      <c r="O1628" s="70">
        <v>0</v>
      </c>
      <c r="P1628" s="10">
        <f>N1628-O1628</f>
        <v>0</v>
      </c>
      <c r="Q1628" s="46">
        <f t="shared" si="259"/>
        <v>0</v>
      </c>
      <c r="R1628" s="10">
        <v>0</v>
      </c>
      <c r="S1628" s="7">
        <f t="shared" si="252"/>
        <v>0</v>
      </c>
      <c r="T1628" s="124">
        <f t="shared" si="253"/>
        <v>324</v>
      </c>
      <c r="U1628" s="124">
        <f t="shared" si="254"/>
        <v>998</v>
      </c>
      <c r="V1628" s="124">
        <f t="shared" si="255"/>
        <v>1619</v>
      </c>
      <c r="W1628" s="124">
        <f t="shared" si="256"/>
        <v>0</v>
      </c>
      <c r="X1628" s="124">
        <f t="shared" si="257"/>
        <v>0</v>
      </c>
      <c r="Y1628" s="264">
        <f t="shared" si="258"/>
        <v>1619</v>
      </c>
      <c r="Z1628" s="10">
        <v>324</v>
      </c>
      <c r="AA1628" s="7">
        <v>998</v>
      </c>
      <c r="AB1628" s="7">
        <v>1619</v>
      </c>
      <c r="AC1628" s="109">
        <v>0</v>
      </c>
      <c r="AD1628" s="109">
        <v>0</v>
      </c>
      <c r="AE1628" s="125"/>
      <c r="AF1628" s="10"/>
      <c r="AI1628" s="109"/>
      <c r="AJ1628" s="109"/>
      <c r="AL1628" s="10"/>
      <c r="AO1628" s="109"/>
      <c r="AP1628" s="109"/>
      <c r="AR1628" s="10"/>
      <c r="AU1628" s="109"/>
      <c r="AV1628" s="109"/>
      <c r="AX1628" s="10"/>
      <c r="BA1628" s="109"/>
      <c r="BB1628" s="109"/>
      <c r="BD1628" s="10"/>
      <c r="BG1628" s="109"/>
      <c r="BH1628" s="109"/>
      <c r="BJ1628" s="10"/>
      <c r="BM1628" s="109"/>
      <c r="BN1628" s="109"/>
      <c r="BP1628" s="10"/>
      <c r="BS1628" s="109"/>
      <c r="BT1628" s="109"/>
      <c r="BV1628" s="10"/>
      <c r="BY1628" s="109"/>
      <c r="BZ1628" s="109"/>
      <c r="CB1628" s="10"/>
      <c r="CE1628" s="109"/>
      <c r="CF1628" s="109"/>
      <c r="CH1628" s="10"/>
      <c r="CK1628" s="109"/>
      <c r="CL1628" s="109"/>
    </row>
    <row r="1629" spans="1:90">
      <c r="A1629" s="7" t="str">
        <f t="shared" si="251"/>
        <v>03240999</v>
      </c>
      <c r="B1629" s="7" t="s">
        <v>2663</v>
      </c>
      <c r="C1629" s="7" t="s">
        <v>2782</v>
      </c>
      <c r="D1629" s="7">
        <v>1620</v>
      </c>
      <c r="E1629" s="11">
        <v>324</v>
      </c>
      <c r="F1629" s="11" t="s">
        <v>2029</v>
      </c>
      <c r="G1629" s="11">
        <v>999</v>
      </c>
      <c r="H1629" s="11" t="s">
        <v>1132</v>
      </c>
      <c r="I1629" s="134">
        <v>5625443.6799999997</v>
      </c>
      <c r="J1629" s="135">
        <v>1</v>
      </c>
      <c r="K1629" s="127">
        <f>SUM(K1625:K1628)</f>
        <v>5922823.4094378399</v>
      </c>
      <c r="L1629" s="126">
        <f>SUM(L1625:L1628)</f>
        <v>1</v>
      </c>
      <c r="M1629" s="105">
        <f>VLOOKUP(E1629,town351,22)</f>
        <v>2970158</v>
      </c>
      <c r="N1629" s="105">
        <f>SUM(N1625:N1628)</f>
        <v>2970158</v>
      </c>
      <c r="O1629" s="128">
        <v>2952307</v>
      </c>
      <c r="P1629" s="105">
        <f>SUM(P1625:P1628)</f>
        <v>17851</v>
      </c>
      <c r="Q1629" s="45">
        <f t="shared" si="259"/>
        <v>0.60464579056310874</v>
      </c>
      <c r="R1629" s="105">
        <v>526</v>
      </c>
      <c r="S1629" s="7">
        <f t="shared" si="252"/>
        <v>0</v>
      </c>
      <c r="T1629" s="124">
        <f t="shared" si="253"/>
        <v>324</v>
      </c>
      <c r="U1629" s="124">
        <f t="shared" si="254"/>
        <v>999</v>
      </c>
      <c r="V1629" s="124">
        <f t="shared" si="255"/>
        <v>1620</v>
      </c>
      <c r="W1629" s="124">
        <f t="shared" si="256"/>
        <v>533.56003038886001</v>
      </c>
      <c r="X1629" s="124">
        <f t="shared" si="257"/>
        <v>5922823.4094378399</v>
      </c>
      <c r="Y1629" s="264">
        <f t="shared" si="258"/>
        <v>1620</v>
      </c>
      <c r="Z1629" s="10">
        <v>324</v>
      </c>
      <c r="AA1629" s="7">
        <v>999</v>
      </c>
      <c r="AB1629" s="7">
        <v>1620</v>
      </c>
      <c r="AC1629" s="109">
        <v>533.56003038886001</v>
      </c>
      <c r="AD1629" s="109">
        <v>5922823.4094378399</v>
      </c>
      <c r="AE1629" s="125"/>
      <c r="AF1629" s="10"/>
      <c r="AI1629" s="109"/>
      <c r="AJ1629" s="109"/>
      <c r="AL1629" s="10"/>
      <c r="AO1629" s="109"/>
      <c r="AP1629" s="109"/>
      <c r="AR1629" s="10"/>
      <c r="AU1629" s="109"/>
      <c r="AV1629" s="109"/>
      <c r="AX1629" s="10"/>
      <c r="BA1629" s="109"/>
      <c r="BB1629" s="109"/>
      <c r="BD1629" s="10"/>
      <c r="BG1629" s="109"/>
      <c r="BH1629" s="109"/>
      <c r="BJ1629" s="10"/>
      <c r="BM1629" s="109"/>
      <c r="BN1629" s="109"/>
      <c r="BP1629" s="10"/>
      <c r="BS1629" s="109"/>
      <c r="BT1629" s="109"/>
      <c r="BV1629" s="10"/>
      <c r="BY1629" s="109"/>
      <c r="BZ1629" s="109"/>
      <c r="CB1629" s="10"/>
      <c r="CE1629" s="109"/>
      <c r="CF1629" s="109"/>
      <c r="CH1629" s="10"/>
      <c r="CK1629" s="109"/>
      <c r="CL1629" s="109"/>
    </row>
    <row r="1630" spans="1:90">
      <c r="A1630" s="7" t="str">
        <f t="shared" si="251"/>
        <v>03250325</v>
      </c>
      <c r="B1630" s="7" t="s">
        <v>2664</v>
      </c>
      <c r="C1630" s="7" t="s">
        <v>2664</v>
      </c>
      <c r="D1630" s="7">
        <v>1621</v>
      </c>
      <c r="E1630" s="7">
        <v>325</v>
      </c>
      <c r="F1630" s="7" t="s">
        <v>2030</v>
      </c>
      <c r="G1630" s="7">
        <v>325</v>
      </c>
      <c r="H1630" s="7" t="s">
        <v>1591</v>
      </c>
      <c r="I1630" s="70">
        <v>59795241.399999999</v>
      </c>
      <c r="J1630" s="131">
        <v>1</v>
      </c>
      <c r="K1630" s="123">
        <f>X1630</f>
        <v>60917916.743617475</v>
      </c>
      <c r="L1630" s="122">
        <f>IF(K1634&gt;0, K1630/K1634, 0)</f>
        <v>1</v>
      </c>
      <c r="M1630" s="71"/>
      <c r="N1630" s="10">
        <f>ROUND(M1634*L1630,0)</f>
        <v>26596469</v>
      </c>
      <c r="O1630" s="70">
        <v>26781337</v>
      </c>
      <c r="P1630" s="10">
        <f>N1630-O1630</f>
        <v>-184868</v>
      </c>
      <c r="Q1630" s="46">
        <f t="shared" si="259"/>
        <v>-0.69028667239428709</v>
      </c>
      <c r="R1630" s="10">
        <v>5504</v>
      </c>
      <c r="S1630" s="7">
        <f t="shared" si="252"/>
        <v>0</v>
      </c>
      <c r="T1630" s="124">
        <f t="shared" si="253"/>
        <v>325</v>
      </c>
      <c r="U1630" s="124">
        <f t="shared" si="254"/>
        <v>325</v>
      </c>
      <c r="V1630" s="124">
        <f t="shared" si="255"/>
        <v>1621</v>
      </c>
      <c r="W1630" s="124">
        <f t="shared" si="256"/>
        <v>5474</v>
      </c>
      <c r="X1630" s="124">
        <f t="shared" si="257"/>
        <v>60917916.743617475</v>
      </c>
      <c r="Y1630" s="264">
        <f t="shared" si="258"/>
        <v>1621</v>
      </c>
      <c r="Z1630" s="10">
        <v>325</v>
      </c>
      <c r="AA1630" s="7">
        <v>325</v>
      </c>
      <c r="AB1630" s="7">
        <v>1621</v>
      </c>
      <c r="AC1630" s="109">
        <v>5474</v>
      </c>
      <c r="AD1630" s="109">
        <v>60917916.743617475</v>
      </c>
      <c r="AE1630" s="125"/>
      <c r="AF1630" s="10"/>
      <c r="AI1630" s="109"/>
      <c r="AJ1630" s="109"/>
      <c r="AL1630" s="10"/>
      <c r="AO1630" s="109"/>
      <c r="AP1630" s="109"/>
      <c r="AR1630" s="10"/>
      <c r="AU1630" s="109"/>
      <c r="AV1630" s="109"/>
      <c r="AX1630" s="10"/>
      <c r="BA1630" s="109"/>
      <c r="BB1630" s="109"/>
      <c r="BD1630" s="10"/>
      <c r="BG1630" s="109"/>
      <c r="BH1630" s="109"/>
      <c r="BJ1630" s="10"/>
      <c r="BM1630" s="109"/>
      <c r="BN1630" s="109"/>
      <c r="BP1630" s="10"/>
      <c r="BS1630" s="109"/>
      <c r="BT1630" s="109"/>
      <c r="BV1630" s="10"/>
      <c r="BY1630" s="109"/>
      <c r="BZ1630" s="109"/>
      <c r="CB1630" s="10"/>
      <c r="CE1630" s="109"/>
      <c r="CF1630" s="109"/>
      <c r="CH1630" s="10"/>
      <c r="CK1630" s="109"/>
      <c r="CL1630" s="109"/>
    </row>
    <row r="1631" spans="1:90">
      <c r="A1631" s="7" t="str">
        <f t="shared" si="251"/>
        <v>03250998</v>
      </c>
      <c r="B1631" s="7" t="s">
        <v>2664</v>
      </c>
      <c r="C1631" s="7" t="s">
        <v>2781</v>
      </c>
      <c r="D1631" s="7">
        <v>1622</v>
      </c>
      <c r="E1631" s="7">
        <v>325</v>
      </c>
      <c r="F1631" s="7" t="s">
        <v>2135</v>
      </c>
      <c r="G1631" s="7">
        <v>998</v>
      </c>
      <c r="H1631" s="7" t="s">
        <v>2135</v>
      </c>
      <c r="I1631" s="70">
        <v>0</v>
      </c>
      <c r="J1631" s="131">
        <v>0</v>
      </c>
      <c r="K1631" s="123">
        <f t="shared" si="250"/>
        <v>0</v>
      </c>
      <c r="L1631" s="122">
        <f>IF(K1634&gt;0, K1631/K1634, 0)</f>
        <v>0</v>
      </c>
      <c r="M1631" s="71"/>
      <c r="N1631" s="10">
        <f>ROUND(M1634*L1631,0)</f>
        <v>0</v>
      </c>
      <c r="O1631" s="70">
        <v>0</v>
      </c>
      <c r="P1631" s="10">
        <f>N1631-O1631</f>
        <v>0</v>
      </c>
      <c r="Q1631" s="46">
        <f t="shared" si="259"/>
        <v>0</v>
      </c>
      <c r="R1631" s="10">
        <v>0</v>
      </c>
      <c r="S1631" s="7">
        <f t="shared" si="252"/>
        <v>0</v>
      </c>
      <c r="T1631" s="124">
        <f t="shared" si="253"/>
        <v>325</v>
      </c>
      <c r="U1631" s="124">
        <f t="shared" si="254"/>
        <v>998</v>
      </c>
      <c r="V1631" s="124">
        <f t="shared" si="255"/>
        <v>1622</v>
      </c>
      <c r="W1631" s="124">
        <f t="shared" si="256"/>
        <v>0</v>
      </c>
      <c r="X1631" s="124">
        <f t="shared" si="257"/>
        <v>0</v>
      </c>
      <c r="Y1631" s="264">
        <f t="shared" si="258"/>
        <v>1622</v>
      </c>
      <c r="Z1631" s="10">
        <v>325</v>
      </c>
      <c r="AA1631" s="7">
        <v>998</v>
      </c>
      <c r="AB1631" s="7">
        <v>1622</v>
      </c>
      <c r="AC1631" s="109">
        <v>0</v>
      </c>
      <c r="AD1631" s="109">
        <v>0</v>
      </c>
      <c r="AE1631" s="125"/>
      <c r="AF1631" s="10"/>
      <c r="AI1631" s="109"/>
      <c r="AJ1631" s="109"/>
      <c r="AL1631" s="10"/>
      <c r="AO1631" s="109"/>
      <c r="AP1631" s="109"/>
      <c r="AR1631" s="10"/>
      <c r="AU1631" s="109"/>
      <c r="AV1631" s="109"/>
      <c r="AX1631" s="10"/>
      <c r="BA1631" s="109"/>
      <c r="BB1631" s="109"/>
      <c r="BD1631" s="10"/>
      <c r="BG1631" s="109"/>
      <c r="BH1631" s="109"/>
      <c r="BJ1631" s="10"/>
      <c r="BM1631" s="109"/>
      <c r="BN1631" s="109"/>
      <c r="BP1631" s="10"/>
      <c r="BS1631" s="109"/>
      <c r="BT1631" s="109"/>
      <c r="BV1631" s="10"/>
      <c r="BY1631" s="109"/>
      <c r="BZ1631" s="109"/>
      <c r="CB1631" s="10"/>
      <c r="CE1631" s="109"/>
      <c r="CF1631" s="109"/>
      <c r="CH1631" s="10"/>
      <c r="CK1631" s="109"/>
      <c r="CL1631" s="109"/>
    </row>
    <row r="1632" spans="1:90">
      <c r="A1632" s="7" t="str">
        <f t="shared" si="251"/>
        <v>03250998</v>
      </c>
      <c r="B1632" s="7" t="s">
        <v>2664</v>
      </c>
      <c r="C1632" s="7" t="s">
        <v>2781</v>
      </c>
      <c r="D1632" s="7">
        <v>1623</v>
      </c>
      <c r="E1632" s="7">
        <v>325</v>
      </c>
      <c r="F1632" s="7" t="s">
        <v>2135</v>
      </c>
      <c r="G1632" s="7">
        <v>998</v>
      </c>
      <c r="H1632" s="7" t="s">
        <v>2135</v>
      </c>
      <c r="I1632" s="70">
        <v>0</v>
      </c>
      <c r="J1632" s="131">
        <v>0</v>
      </c>
      <c r="K1632" s="123">
        <f t="shared" si="250"/>
        <v>0</v>
      </c>
      <c r="L1632" s="122">
        <f>IF(K1634&gt;0, K1632/K1634, 0)</f>
        <v>0</v>
      </c>
      <c r="M1632" s="71"/>
      <c r="N1632" s="10">
        <f>ROUND(M1634*L1632,0)</f>
        <v>0</v>
      </c>
      <c r="O1632" s="70">
        <v>0</v>
      </c>
      <c r="P1632" s="10">
        <f>N1632-O1632</f>
        <v>0</v>
      </c>
      <c r="Q1632" s="46">
        <f t="shared" si="259"/>
        <v>0</v>
      </c>
      <c r="R1632" s="10">
        <v>0</v>
      </c>
      <c r="S1632" s="7">
        <f t="shared" si="252"/>
        <v>0</v>
      </c>
      <c r="T1632" s="124">
        <f t="shared" si="253"/>
        <v>325</v>
      </c>
      <c r="U1632" s="124">
        <f t="shared" si="254"/>
        <v>998</v>
      </c>
      <c r="V1632" s="124">
        <f t="shared" si="255"/>
        <v>1623</v>
      </c>
      <c r="W1632" s="124">
        <f t="shared" si="256"/>
        <v>0</v>
      </c>
      <c r="X1632" s="124">
        <f t="shared" si="257"/>
        <v>0</v>
      </c>
      <c r="Y1632" s="264">
        <f t="shared" si="258"/>
        <v>1623</v>
      </c>
      <c r="Z1632" s="10">
        <v>325</v>
      </c>
      <c r="AA1632" s="7">
        <v>998</v>
      </c>
      <c r="AB1632" s="7">
        <v>1623</v>
      </c>
      <c r="AC1632" s="109">
        <v>0</v>
      </c>
      <c r="AD1632" s="109">
        <v>0</v>
      </c>
      <c r="AE1632" s="125"/>
      <c r="AF1632" s="10"/>
      <c r="AI1632" s="109"/>
      <c r="AJ1632" s="109"/>
      <c r="AL1632" s="10"/>
      <c r="AO1632" s="109"/>
      <c r="AP1632" s="109"/>
      <c r="AR1632" s="10"/>
      <c r="AU1632" s="109"/>
      <c r="AV1632" s="109"/>
      <c r="AX1632" s="10"/>
      <c r="BA1632" s="109"/>
      <c r="BB1632" s="109"/>
      <c r="BD1632" s="10"/>
      <c r="BG1632" s="109"/>
      <c r="BH1632" s="109"/>
      <c r="BJ1632" s="10"/>
      <c r="BM1632" s="109"/>
      <c r="BN1632" s="109"/>
      <c r="BP1632" s="10"/>
      <c r="BS1632" s="109"/>
      <c r="BT1632" s="109"/>
      <c r="BV1632" s="10"/>
      <c r="BY1632" s="109"/>
      <c r="BZ1632" s="109"/>
      <c r="CB1632" s="10"/>
      <c r="CE1632" s="109"/>
      <c r="CF1632" s="109"/>
      <c r="CH1632" s="10"/>
      <c r="CK1632" s="109"/>
      <c r="CL1632" s="109"/>
    </row>
    <row r="1633" spans="1:90">
      <c r="A1633" s="7" t="str">
        <f t="shared" si="251"/>
        <v>03250998</v>
      </c>
      <c r="B1633" s="7" t="s">
        <v>2664</v>
      </c>
      <c r="C1633" s="7" t="s">
        <v>2781</v>
      </c>
      <c r="D1633" s="7">
        <v>1624</v>
      </c>
      <c r="E1633" s="7">
        <v>325</v>
      </c>
      <c r="F1633" s="7" t="s">
        <v>2135</v>
      </c>
      <c r="G1633" s="7">
        <v>998</v>
      </c>
      <c r="H1633" s="7" t="s">
        <v>2135</v>
      </c>
      <c r="I1633" s="70">
        <v>0</v>
      </c>
      <c r="J1633" s="131">
        <v>0</v>
      </c>
      <c r="K1633" s="123">
        <f t="shared" si="250"/>
        <v>0</v>
      </c>
      <c r="L1633" s="122">
        <f>IF(K1634&gt;0, K1633/K1634, 0)</f>
        <v>0</v>
      </c>
      <c r="M1633" s="71"/>
      <c r="N1633" s="10">
        <f>ROUND(M1634*L1633,0)</f>
        <v>0</v>
      </c>
      <c r="O1633" s="70">
        <v>0</v>
      </c>
      <c r="P1633" s="10">
        <f>N1633-O1633</f>
        <v>0</v>
      </c>
      <c r="Q1633" s="46">
        <f t="shared" si="259"/>
        <v>0</v>
      </c>
      <c r="R1633" s="10">
        <v>0</v>
      </c>
      <c r="S1633" s="7">
        <f t="shared" si="252"/>
        <v>0</v>
      </c>
      <c r="T1633" s="124">
        <f t="shared" si="253"/>
        <v>325</v>
      </c>
      <c r="U1633" s="124">
        <f t="shared" si="254"/>
        <v>998</v>
      </c>
      <c r="V1633" s="124">
        <f t="shared" si="255"/>
        <v>1624</v>
      </c>
      <c r="W1633" s="124">
        <f t="shared" si="256"/>
        <v>0</v>
      </c>
      <c r="X1633" s="124">
        <f t="shared" si="257"/>
        <v>0</v>
      </c>
      <c r="Y1633" s="264">
        <f t="shared" si="258"/>
        <v>1624</v>
      </c>
      <c r="Z1633" s="10">
        <v>325</v>
      </c>
      <c r="AA1633" s="7">
        <v>998</v>
      </c>
      <c r="AB1633" s="7">
        <v>1624</v>
      </c>
      <c r="AC1633" s="109">
        <v>0</v>
      </c>
      <c r="AD1633" s="109">
        <v>0</v>
      </c>
      <c r="AE1633" s="125"/>
      <c r="AF1633" s="10"/>
      <c r="AI1633" s="109"/>
      <c r="AJ1633" s="109"/>
      <c r="AL1633" s="10"/>
      <c r="AO1633" s="109"/>
      <c r="AP1633" s="109"/>
      <c r="AR1633" s="10"/>
      <c r="AU1633" s="109"/>
      <c r="AV1633" s="109"/>
      <c r="AX1633" s="10"/>
      <c r="BA1633" s="109"/>
      <c r="BB1633" s="109"/>
      <c r="BD1633" s="10"/>
      <c r="BG1633" s="109"/>
      <c r="BH1633" s="109"/>
      <c r="BJ1633" s="10"/>
      <c r="BM1633" s="109"/>
      <c r="BN1633" s="109"/>
      <c r="BP1633" s="10"/>
      <c r="BS1633" s="109"/>
      <c r="BT1633" s="109"/>
      <c r="BV1633" s="10"/>
      <c r="BY1633" s="109"/>
      <c r="BZ1633" s="109"/>
      <c r="CB1633" s="10"/>
      <c r="CE1633" s="109"/>
      <c r="CF1633" s="109"/>
      <c r="CH1633" s="10"/>
      <c r="CK1633" s="109"/>
      <c r="CL1633" s="109"/>
    </row>
    <row r="1634" spans="1:90">
      <c r="A1634" s="7" t="str">
        <f t="shared" si="251"/>
        <v>03250999</v>
      </c>
      <c r="B1634" s="7" t="s">
        <v>2664</v>
      </c>
      <c r="C1634" s="7" t="s">
        <v>2782</v>
      </c>
      <c r="D1634" s="7">
        <v>1625</v>
      </c>
      <c r="E1634" s="11">
        <v>325</v>
      </c>
      <c r="F1634" s="11" t="s">
        <v>2030</v>
      </c>
      <c r="G1634" s="11">
        <v>999</v>
      </c>
      <c r="H1634" s="11" t="s">
        <v>1132</v>
      </c>
      <c r="I1634" s="134">
        <v>59795241.399999999</v>
      </c>
      <c r="J1634" s="135">
        <v>1</v>
      </c>
      <c r="K1634" s="127">
        <f>SUM(K1630:K1633)</f>
        <v>60917916.743617475</v>
      </c>
      <c r="L1634" s="126">
        <f>SUM(L1630:L1633)</f>
        <v>1</v>
      </c>
      <c r="M1634" s="105">
        <f>VLOOKUP(E1634,town351,22)</f>
        <v>26596469</v>
      </c>
      <c r="N1634" s="105">
        <f>SUM(N1630:N1633)</f>
        <v>26596469</v>
      </c>
      <c r="O1634" s="128">
        <v>26781337</v>
      </c>
      <c r="P1634" s="105">
        <f>SUM(P1630:P1633)</f>
        <v>-184868</v>
      </c>
      <c r="Q1634" s="45">
        <f t="shared" si="259"/>
        <v>-0.69028667239428709</v>
      </c>
      <c r="R1634" s="105">
        <v>5504</v>
      </c>
      <c r="S1634" s="7">
        <f t="shared" si="252"/>
        <v>0</v>
      </c>
      <c r="T1634" s="124">
        <f t="shared" si="253"/>
        <v>325</v>
      </c>
      <c r="U1634" s="124">
        <f t="shared" si="254"/>
        <v>999</v>
      </c>
      <c r="V1634" s="124">
        <f t="shared" si="255"/>
        <v>1625</v>
      </c>
      <c r="W1634" s="124">
        <f t="shared" si="256"/>
        <v>5474</v>
      </c>
      <c r="X1634" s="124">
        <f t="shared" si="257"/>
        <v>60917916.743617475</v>
      </c>
      <c r="Y1634" s="264">
        <f t="shared" si="258"/>
        <v>1625</v>
      </c>
      <c r="Z1634" s="10">
        <v>325</v>
      </c>
      <c r="AA1634" s="7">
        <v>999</v>
      </c>
      <c r="AB1634" s="7">
        <v>1625</v>
      </c>
      <c r="AC1634" s="109">
        <v>5474</v>
      </c>
      <c r="AD1634" s="109">
        <v>60917916.743617475</v>
      </c>
      <c r="AE1634" s="125"/>
      <c r="AF1634" s="10"/>
      <c r="AI1634" s="109"/>
      <c r="AJ1634" s="109"/>
      <c r="AL1634" s="10"/>
      <c r="AO1634" s="109"/>
      <c r="AP1634" s="109"/>
      <c r="AR1634" s="10"/>
      <c r="AU1634" s="109"/>
      <c r="AV1634" s="109"/>
      <c r="AX1634" s="10"/>
      <c r="BA1634" s="109"/>
      <c r="BB1634" s="109"/>
      <c r="BD1634" s="10"/>
      <c r="BG1634" s="109"/>
      <c r="BH1634" s="109"/>
      <c r="BJ1634" s="10"/>
      <c r="BM1634" s="109"/>
      <c r="BN1634" s="109"/>
      <c r="BP1634" s="10"/>
      <c r="BS1634" s="109"/>
      <c r="BT1634" s="109"/>
      <c r="BV1634" s="10"/>
      <c r="BY1634" s="109"/>
      <c r="BZ1634" s="109"/>
      <c r="CB1634" s="10"/>
      <c r="CE1634" s="109"/>
      <c r="CF1634" s="109"/>
      <c r="CH1634" s="10"/>
      <c r="CK1634" s="109"/>
      <c r="CL1634" s="109"/>
    </row>
    <row r="1635" spans="1:90">
      <c r="A1635" s="7" t="str">
        <f t="shared" si="251"/>
        <v>03260326</v>
      </c>
      <c r="B1635" s="7" t="s">
        <v>2665</v>
      </c>
      <c r="C1635" s="7" t="s">
        <v>2665</v>
      </c>
      <c r="D1635" s="7">
        <v>1626</v>
      </c>
      <c r="E1635" s="7">
        <v>326</v>
      </c>
      <c r="F1635" s="7" t="s">
        <v>2031</v>
      </c>
      <c r="G1635" s="7">
        <v>326</v>
      </c>
      <c r="H1635" s="7" t="s">
        <v>1592</v>
      </c>
      <c r="I1635" s="70">
        <v>45233495.410999998</v>
      </c>
      <c r="J1635" s="131">
        <v>0.98335839635007005</v>
      </c>
      <c r="K1635" s="123">
        <f>X1635</f>
        <v>46319271.278671294</v>
      </c>
      <c r="L1635" s="122">
        <f>IF(K1639&gt;0, K1635/K1639, 0)</f>
        <v>0.9834083414881758</v>
      </c>
      <c r="M1635" s="71"/>
      <c r="N1635" s="10">
        <f>ROUND(M1639*L1635,0)</f>
        <v>35059135</v>
      </c>
      <c r="O1635" s="70">
        <v>33677123</v>
      </c>
      <c r="P1635" s="10">
        <f>N1635-O1635</f>
        <v>1382012</v>
      </c>
      <c r="Q1635" s="46">
        <f t="shared" si="259"/>
        <v>4.1037115908030506</v>
      </c>
      <c r="R1635" s="10">
        <v>4908</v>
      </c>
      <c r="S1635" s="7">
        <f t="shared" si="252"/>
        <v>0</v>
      </c>
      <c r="T1635" s="124">
        <f t="shared" si="253"/>
        <v>326</v>
      </c>
      <c r="U1635" s="124">
        <f t="shared" si="254"/>
        <v>326</v>
      </c>
      <c r="V1635" s="124">
        <f t="shared" si="255"/>
        <v>1626</v>
      </c>
      <c r="W1635" s="124">
        <f t="shared" si="256"/>
        <v>4883</v>
      </c>
      <c r="X1635" s="124">
        <f t="shared" si="257"/>
        <v>46319271.278671294</v>
      </c>
      <c r="Y1635" s="264">
        <f t="shared" si="258"/>
        <v>1626</v>
      </c>
      <c r="Z1635" s="10">
        <v>326</v>
      </c>
      <c r="AA1635" s="7">
        <v>326</v>
      </c>
      <c r="AB1635" s="7">
        <v>1626</v>
      </c>
      <c r="AC1635" s="109">
        <v>4883</v>
      </c>
      <c r="AD1635" s="109">
        <v>46319271.278671294</v>
      </c>
      <c r="AE1635" s="125"/>
      <c r="AF1635" s="10"/>
      <c r="AI1635" s="109"/>
      <c r="AJ1635" s="109"/>
      <c r="AL1635" s="10"/>
      <c r="AO1635" s="109"/>
      <c r="AP1635" s="109"/>
      <c r="AR1635" s="10"/>
      <c r="AU1635" s="109"/>
      <c r="AV1635" s="109"/>
      <c r="AX1635" s="10"/>
      <c r="BA1635" s="109"/>
      <c r="BB1635" s="109"/>
      <c r="BD1635" s="10"/>
      <c r="BG1635" s="109"/>
      <c r="BH1635" s="109"/>
      <c r="BJ1635" s="10"/>
      <c r="BM1635" s="109"/>
      <c r="BN1635" s="109"/>
      <c r="BP1635" s="10"/>
      <c r="BS1635" s="109"/>
      <c r="BT1635" s="109"/>
      <c r="BV1635" s="10"/>
      <c r="BY1635" s="109"/>
      <c r="BZ1635" s="109"/>
      <c r="CB1635" s="10"/>
      <c r="CE1635" s="109"/>
      <c r="CF1635" s="109"/>
      <c r="CH1635" s="10"/>
      <c r="CK1635" s="109"/>
      <c r="CL1635" s="109"/>
    </row>
    <row r="1636" spans="1:90">
      <c r="A1636" s="7" t="str">
        <f t="shared" si="251"/>
        <v>03260852</v>
      </c>
      <c r="B1636" s="7" t="s">
        <v>2665</v>
      </c>
      <c r="C1636" s="7" t="s">
        <v>2767</v>
      </c>
      <c r="D1636" s="7">
        <v>1627</v>
      </c>
      <c r="E1636" s="7">
        <v>326</v>
      </c>
      <c r="F1636" s="7" t="s">
        <v>2031</v>
      </c>
      <c r="G1636" s="7">
        <v>852</v>
      </c>
      <c r="H1636" s="7" t="s">
        <v>1694</v>
      </c>
      <c r="I1636" s="70">
        <v>765497</v>
      </c>
      <c r="J1636" s="131">
        <v>1.664160364993E-2</v>
      </c>
      <c r="K1636" s="123">
        <f t="shared" si="250"/>
        <v>781479.57379462686</v>
      </c>
      <c r="L1636" s="122">
        <f>IF(K1639&gt;0, K1636/K1639, 0)</f>
        <v>1.6591658511824193E-2</v>
      </c>
      <c r="M1636" s="71"/>
      <c r="N1636" s="10">
        <f>ROUND(M1639*L1636,0)</f>
        <v>591503</v>
      </c>
      <c r="O1636" s="70">
        <v>569926</v>
      </c>
      <c r="P1636" s="10">
        <f>N1636-O1636</f>
        <v>21577</v>
      </c>
      <c r="Q1636" s="46">
        <f t="shared" si="259"/>
        <v>3.7859301032063812</v>
      </c>
      <c r="R1636" s="10">
        <v>49</v>
      </c>
      <c r="S1636" s="7">
        <f t="shared" si="252"/>
        <v>0</v>
      </c>
      <c r="T1636" s="124">
        <f t="shared" si="253"/>
        <v>326</v>
      </c>
      <c r="U1636" s="124">
        <f t="shared" si="254"/>
        <v>852</v>
      </c>
      <c r="V1636" s="124">
        <f t="shared" si="255"/>
        <v>1627</v>
      </c>
      <c r="W1636" s="124">
        <f t="shared" si="256"/>
        <v>48.999999998250004</v>
      </c>
      <c r="X1636" s="124">
        <f t="shared" si="257"/>
        <v>781479.57379462686</v>
      </c>
      <c r="Y1636" s="264">
        <f t="shared" si="258"/>
        <v>1627</v>
      </c>
      <c r="Z1636" s="10">
        <v>326</v>
      </c>
      <c r="AA1636" s="7">
        <v>852</v>
      </c>
      <c r="AB1636" s="7">
        <v>1627</v>
      </c>
      <c r="AC1636" s="109">
        <v>48.999999998250004</v>
      </c>
      <c r="AD1636" s="109">
        <v>781479.57379462686</v>
      </c>
      <c r="AE1636" s="125"/>
      <c r="AF1636" s="10"/>
      <c r="AI1636" s="109"/>
      <c r="AJ1636" s="109"/>
      <c r="AL1636" s="10"/>
      <c r="AO1636" s="109"/>
      <c r="AP1636" s="109"/>
      <c r="AR1636" s="10"/>
      <c r="AU1636" s="109"/>
      <c r="AV1636" s="109"/>
      <c r="AX1636" s="10"/>
      <c r="BA1636" s="109"/>
      <c r="BB1636" s="109"/>
      <c r="BD1636" s="10"/>
      <c r="BG1636" s="109"/>
      <c r="BH1636" s="109"/>
      <c r="BJ1636" s="10"/>
      <c r="BM1636" s="109"/>
      <c r="BN1636" s="109"/>
      <c r="BP1636" s="10"/>
      <c r="BS1636" s="109"/>
      <c r="BT1636" s="109"/>
      <c r="BV1636" s="10"/>
      <c r="BY1636" s="109"/>
      <c r="BZ1636" s="109"/>
      <c r="CB1636" s="10"/>
      <c r="CE1636" s="109"/>
      <c r="CF1636" s="109"/>
      <c r="CH1636" s="10"/>
      <c r="CK1636" s="109"/>
      <c r="CL1636" s="109"/>
    </row>
    <row r="1637" spans="1:90">
      <c r="A1637" s="7" t="str">
        <f t="shared" si="251"/>
        <v>03260998</v>
      </c>
      <c r="B1637" s="7" t="s">
        <v>2665</v>
      </c>
      <c r="C1637" s="7" t="s">
        <v>2781</v>
      </c>
      <c r="D1637" s="7">
        <v>1628</v>
      </c>
      <c r="E1637" s="7">
        <v>326</v>
      </c>
      <c r="F1637" s="7" t="s">
        <v>2135</v>
      </c>
      <c r="G1637" s="7">
        <v>998</v>
      </c>
      <c r="H1637" s="7" t="s">
        <v>2135</v>
      </c>
      <c r="I1637" s="70">
        <v>0</v>
      </c>
      <c r="J1637" s="131">
        <v>0</v>
      </c>
      <c r="K1637" s="123">
        <f t="shared" si="250"/>
        <v>0</v>
      </c>
      <c r="L1637" s="122">
        <f>IF(K1639&gt;0, K1637/K1639, 0)</f>
        <v>0</v>
      </c>
      <c r="M1637" s="71"/>
      <c r="N1637" s="10">
        <f>ROUND(M1639*L1637,0)</f>
        <v>0</v>
      </c>
      <c r="O1637" s="70">
        <v>0</v>
      </c>
      <c r="P1637" s="10">
        <f>N1637-O1637</f>
        <v>0</v>
      </c>
      <c r="Q1637" s="46">
        <f t="shared" si="259"/>
        <v>0</v>
      </c>
      <c r="R1637" s="10">
        <v>0</v>
      </c>
      <c r="S1637" s="7">
        <f t="shared" si="252"/>
        <v>0</v>
      </c>
      <c r="T1637" s="124">
        <f t="shared" si="253"/>
        <v>326</v>
      </c>
      <c r="U1637" s="124">
        <f t="shared" si="254"/>
        <v>998</v>
      </c>
      <c r="V1637" s="124">
        <f t="shared" si="255"/>
        <v>1628</v>
      </c>
      <c r="W1637" s="124">
        <f t="shared" si="256"/>
        <v>0</v>
      </c>
      <c r="X1637" s="124">
        <f t="shared" si="257"/>
        <v>0</v>
      </c>
      <c r="Y1637" s="264">
        <f t="shared" si="258"/>
        <v>1628</v>
      </c>
      <c r="Z1637" s="10">
        <v>326</v>
      </c>
      <c r="AA1637" s="7">
        <v>998</v>
      </c>
      <c r="AB1637" s="7">
        <v>1628</v>
      </c>
      <c r="AC1637" s="109">
        <v>0</v>
      </c>
      <c r="AD1637" s="109">
        <v>0</v>
      </c>
      <c r="AE1637" s="125"/>
      <c r="AF1637" s="10"/>
      <c r="AI1637" s="109"/>
      <c r="AJ1637" s="109"/>
      <c r="AL1637" s="10"/>
      <c r="AO1637" s="109"/>
      <c r="AP1637" s="109"/>
      <c r="AR1637" s="10"/>
      <c r="AU1637" s="109"/>
      <c r="AV1637" s="109"/>
      <c r="AX1637" s="10"/>
      <c r="BA1637" s="109"/>
      <c r="BB1637" s="109"/>
      <c r="BD1637" s="10"/>
      <c r="BG1637" s="109"/>
      <c r="BH1637" s="109"/>
      <c r="BJ1637" s="10"/>
      <c r="BM1637" s="109"/>
      <c r="BN1637" s="109"/>
      <c r="BP1637" s="10"/>
      <c r="BS1637" s="109"/>
      <c r="BT1637" s="109"/>
      <c r="BV1637" s="10"/>
      <c r="BY1637" s="109"/>
      <c r="BZ1637" s="109"/>
      <c r="CB1637" s="10"/>
      <c r="CE1637" s="109"/>
      <c r="CF1637" s="109"/>
      <c r="CH1637" s="10"/>
      <c r="CK1637" s="109"/>
      <c r="CL1637" s="109"/>
    </row>
    <row r="1638" spans="1:90">
      <c r="A1638" s="7" t="str">
        <f t="shared" si="251"/>
        <v>03260998</v>
      </c>
      <c r="B1638" s="7" t="s">
        <v>2665</v>
      </c>
      <c r="C1638" s="7" t="s">
        <v>2781</v>
      </c>
      <c r="D1638" s="7">
        <v>1629</v>
      </c>
      <c r="E1638" s="7">
        <v>326</v>
      </c>
      <c r="F1638" s="7" t="s">
        <v>2135</v>
      </c>
      <c r="G1638" s="7">
        <v>998</v>
      </c>
      <c r="H1638" s="7" t="s">
        <v>2135</v>
      </c>
      <c r="I1638" s="70">
        <v>0</v>
      </c>
      <c r="J1638" s="131">
        <v>0</v>
      </c>
      <c r="K1638" s="123">
        <f t="shared" si="250"/>
        <v>0</v>
      </c>
      <c r="L1638" s="122">
        <f>IF(K1639&gt;0, K1638/K1639, 0)</f>
        <v>0</v>
      </c>
      <c r="M1638" s="71"/>
      <c r="N1638" s="10">
        <f>ROUND(M1639*L1638,0)</f>
        <v>0</v>
      </c>
      <c r="O1638" s="70">
        <v>0</v>
      </c>
      <c r="P1638" s="10">
        <f>N1638-O1638</f>
        <v>0</v>
      </c>
      <c r="Q1638" s="46">
        <f t="shared" si="259"/>
        <v>0</v>
      </c>
      <c r="R1638" s="10">
        <v>0</v>
      </c>
      <c r="S1638" s="7">
        <f t="shared" si="252"/>
        <v>0</v>
      </c>
      <c r="T1638" s="124">
        <f t="shared" si="253"/>
        <v>326</v>
      </c>
      <c r="U1638" s="124">
        <f t="shared" si="254"/>
        <v>998</v>
      </c>
      <c r="V1638" s="124">
        <f t="shared" si="255"/>
        <v>1629</v>
      </c>
      <c r="W1638" s="124">
        <f t="shared" si="256"/>
        <v>0</v>
      </c>
      <c r="X1638" s="124">
        <f t="shared" si="257"/>
        <v>0</v>
      </c>
      <c r="Y1638" s="264">
        <f t="shared" si="258"/>
        <v>1629</v>
      </c>
      <c r="Z1638" s="10">
        <v>326</v>
      </c>
      <c r="AA1638" s="7">
        <v>998</v>
      </c>
      <c r="AB1638" s="7">
        <v>1629</v>
      </c>
      <c r="AC1638" s="109">
        <v>0</v>
      </c>
      <c r="AD1638" s="109">
        <v>0</v>
      </c>
      <c r="AE1638" s="125"/>
      <c r="AF1638" s="10"/>
      <c r="AI1638" s="109"/>
      <c r="AJ1638" s="109"/>
      <c r="AL1638" s="10"/>
      <c r="AO1638" s="109"/>
      <c r="AP1638" s="109"/>
      <c r="AR1638" s="10"/>
      <c r="AU1638" s="109"/>
      <c r="AV1638" s="109"/>
      <c r="AX1638" s="10"/>
      <c r="BA1638" s="109"/>
      <c r="BB1638" s="109"/>
      <c r="BD1638" s="10"/>
      <c r="BG1638" s="109"/>
      <c r="BH1638" s="109"/>
      <c r="BJ1638" s="10"/>
      <c r="BM1638" s="109"/>
      <c r="BN1638" s="109"/>
      <c r="BP1638" s="10"/>
      <c r="BS1638" s="109"/>
      <c r="BT1638" s="109"/>
      <c r="BV1638" s="10"/>
      <c r="BY1638" s="109"/>
      <c r="BZ1638" s="109"/>
      <c r="CB1638" s="10"/>
      <c r="CE1638" s="109"/>
      <c r="CF1638" s="109"/>
      <c r="CH1638" s="10"/>
      <c r="CK1638" s="109"/>
      <c r="CL1638" s="109"/>
    </row>
    <row r="1639" spans="1:90">
      <c r="A1639" s="7" t="str">
        <f t="shared" si="251"/>
        <v>03260999</v>
      </c>
      <c r="B1639" s="7" t="s">
        <v>2665</v>
      </c>
      <c r="C1639" s="7" t="s">
        <v>2782</v>
      </c>
      <c r="D1639" s="7">
        <v>1630</v>
      </c>
      <c r="E1639" s="11">
        <v>326</v>
      </c>
      <c r="F1639" s="11" t="s">
        <v>2031</v>
      </c>
      <c r="G1639" s="11">
        <v>999</v>
      </c>
      <c r="H1639" s="11" t="s">
        <v>1132</v>
      </c>
      <c r="I1639" s="134">
        <v>45998992.410999998</v>
      </c>
      <c r="J1639" s="135">
        <v>1</v>
      </c>
      <c r="K1639" s="127">
        <f>SUM(K1635:K1638)</f>
        <v>47100750.85246592</v>
      </c>
      <c r="L1639" s="126">
        <f>SUM(L1635:L1638)</f>
        <v>1</v>
      </c>
      <c r="M1639" s="105">
        <f>VLOOKUP(E1639,town351,22)</f>
        <v>35650638</v>
      </c>
      <c r="N1639" s="105">
        <f>SUM(N1635:N1638)</f>
        <v>35650638</v>
      </c>
      <c r="O1639" s="128">
        <v>34247049</v>
      </c>
      <c r="P1639" s="105">
        <f>SUM(P1635:P1638)</f>
        <v>1403589</v>
      </c>
      <c r="Q1639" s="45">
        <f t="shared" si="259"/>
        <v>4.0984231955284676</v>
      </c>
      <c r="R1639" s="105">
        <v>4957</v>
      </c>
      <c r="S1639" s="7">
        <f t="shared" si="252"/>
        <v>0</v>
      </c>
      <c r="T1639" s="124">
        <f t="shared" si="253"/>
        <v>326</v>
      </c>
      <c r="U1639" s="124">
        <f t="shared" si="254"/>
        <v>999</v>
      </c>
      <c r="V1639" s="124">
        <f t="shared" si="255"/>
        <v>1630</v>
      </c>
      <c r="W1639" s="124">
        <f t="shared" si="256"/>
        <v>4931.9999999982501</v>
      </c>
      <c r="X1639" s="124">
        <f t="shared" si="257"/>
        <v>47100750.85246592</v>
      </c>
      <c r="Y1639" s="264">
        <f t="shared" si="258"/>
        <v>1630</v>
      </c>
      <c r="Z1639" s="10">
        <v>326</v>
      </c>
      <c r="AA1639" s="7">
        <v>999</v>
      </c>
      <c r="AB1639" s="7">
        <v>1630</v>
      </c>
      <c r="AC1639" s="109">
        <v>4931.9999999982501</v>
      </c>
      <c r="AD1639" s="109">
        <v>47100750.85246592</v>
      </c>
      <c r="AE1639" s="125"/>
      <c r="AF1639" s="10"/>
      <c r="AI1639" s="109"/>
      <c r="AJ1639" s="109"/>
      <c r="AL1639" s="10"/>
      <c r="AO1639" s="109"/>
      <c r="AP1639" s="109"/>
      <c r="AR1639" s="10"/>
      <c r="AU1639" s="109"/>
      <c r="AV1639" s="109"/>
      <c r="AX1639" s="10"/>
      <c r="BA1639" s="109"/>
      <c r="BB1639" s="109"/>
      <c r="BD1639" s="10"/>
      <c r="BG1639" s="109"/>
      <c r="BH1639" s="109"/>
      <c r="BJ1639" s="10"/>
      <c r="BM1639" s="109"/>
      <c r="BN1639" s="109"/>
      <c r="BP1639" s="10"/>
      <c r="BS1639" s="109"/>
      <c r="BT1639" s="109"/>
      <c r="BV1639" s="10"/>
      <c r="BY1639" s="109"/>
      <c r="BZ1639" s="109"/>
      <c r="CB1639" s="10"/>
      <c r="CE1639" s="109"/>
      <c r="CF1639" s="109"/>
      <c r="CH1639" s="10"/>
      <c r="CK1639" s="109"/>
      <c r="CL1639" s="109"/>
    </row>
    <row r="1640" spans="1:90">
      <c r="A1640" s="7" t="str">
        <f t="shared" si="251"/>
        <v>03270327</v>
      </c>
      <c r="B1640" s="7" t="s">
        <v>2666</v>
      </c>
      <c r="C1640" s="7" t="s">
        <v>2666</v>
      </c>
      <c r="D1640" s="7">
        <v>1631</v>
      </c>
      <c r="E1640" s="7">
        <v>327</v>
      </c>
      <c r="F1640" s="7" t="s">
        <v>2032</v>
      </c>
      <c r="G1640" s="7">
        <v>327</v>
      </c>
      <c r="H1640" s="7" t="s">
        <v>1593</v>
      </c>
      <c r="I1640" s="70">
        <v>1360673</v>
      </c>
      <c r="J1640" s="131">
        <v>0.60499846157403203</v>
      </c>
      <c r="K1640" s="123">
        <f t="shared" ref="K1640:K1703" si="260">X1640</f>
        <v>1297572.8942240474</v>
      </c>
      <c r="L1640" s="122">
        <f>IF(K1644&gt;0, K1640/K1644, 0)</f>
        <v>0.58383812011580483</v>
      </c>
      <c r="M1640" s="71"/>
      <c r="N1640" s="10">
        <f>ROUND(M1644*L1640,0)</f>
        <v>918872</v>
      </c>
      <c r="O1640" s="70">
        <v>968330</v>
      </c>
      <c r="P1640" s="10">
        <f>N1640-O1640</f>
        <v>-49458</v>
      </c>
      <c r="Q1640" s="46">
        <f t="shared" si="259"/>
        <v>-5.1075563082833328</v>
      </c>
      <c r="R1640" s="10">
        <v>140</v>
      </c>
      <c r="S1640" s="7">
        <f t="shared" si="252"/>
        <v>0</v>
      </c>
      <c r="T1640" s="124">
        <f t="shared" si="253"/>
        <v>327</v>
      </c>
      <c r="U1640" s="124">
        <f t="shared" si="254"/>
        <v>327</v>
      </c>
      <c r="V1640" s="124">
        <f t="shared" si="255"/>
        <v>1631</v>
      </c>
      <c r="W1640" s="124">
        <f t="shared" si="256"/>
        <v>131</v>
      </c>
      <c r="X1640" s="124">
        <f t="shared" si="257"/>
        <v>1297572.8942240474</v>
      </c>
      <c r="Y1640" s="264">
        <f t="shared" si="258"/>
        <v>1631</v>
      </c>
      <c r="Z1640" s="10">
        <v>327</v>
      </c>
      <c r="AA1640" s="7">
        <v>327</v>
      </c>
      <c r="AB1640" s="7">
        <v>1631</v>
      </c>
      <c r="AC1640" s="109">
        <v>131</v>
      </c>
      <c r="AD1640" s="109">
        <v>1297572.8942240474</v>
      </c>
      <c r="AE1640" s="125"/>
      <c r="AF1640" s="10"/>
      <c r="AI1640" s="109"/>
      <c r="AJ1640" s="109"/>
      <c r="AL1640" s="10"/>
      <c r="AO1640" s="109"/>
      <c r="AP1640" s="109"/>
      <c r="AR1640" s="10"/>
      <c r="AU1640" s="109"/>
      <c r="AV1640" s="109"/>
      <c r="AX1640" s="10"/>
      <c r="BA1640" s="109"/>
      <c r="BB1640" s="109"/>
      <c r="BD1640" s="10"/>
      <c r="BG1640" s="109"/>
      <c r="BH1640" s="109"/>
      <c r="BJ1640" s="10"/>
      <c r="BM1640" s="109"/>
      <c r="BN1640" s="109"/>
      <c r="BP1640" s="10"/>
      <c r="BS1640" s="109"/>
      <c r="BT1640" s="109"/>
      <c r="BV1640" s="10"/>
      <c r="BY1640" s="109"/>
      <c r="BZ1640" s="109"/>
      <c r="CB1640" s="10"/>
      <c r="CE1640" s="109"/>
      <c r="CF1640" s="109"/>
      <c r="CH1640" s="10"/>
      <c r="CK1640" s="109"/>
      <c r="CL1640" s="109"/>
    </row>
    <row r="1641" spans="1:90">
      <c r="A1641" s="7" t="str">
        <f t="shared" si="251"/>
        <v>03270683</v>
      </c>
      <c r="B1641" s="7" t="s">
        <v>2666</v>
      </c>
      <c r="C1641" s="7" t="s">
        <v>2720</v>
      </c>
      <c r="D1641" s="7">
        <v>1632</v>
      </c>
      <c r="E1641" s="7">
        <v>327</v>
      </c>
      <c r="F1641" s="7" t="s">
        <v>2032</v>
      </c>
      <c r="G1641" s="7">
        <v>683</v>
      </c>
      <c r="H1641" s="7" t="s">
        <v>1647</v>
      </c>
      <c r="I1641" s="70">
        <v>888379</v>
      </c>
      <c r="J1641" s="131">
        <v>0.39500153842596791</v>
      </c>
      <c r="K1641" s="123">
        <f t="shared" si="260"/>
        <v>924914.55480835307</v>
      </c>
      <c r="L1641" s="122">
        <f>IF(K1644&gt;0, K1641/K1644, 0)</f>
        <v>0.41616187988419506</v>
      </c>
      <c r="M1641" s="71"/>
      <c r="N1641" s="10">
        <f>ROUND(M1644*L1641,0)</f>
        <v>654976</v>
      </c>
      <c r="O1641" s="70">
        <v>632219</v>
      </c>
      <c r="P1641" s="10">
        <f>N1641-O1641</f>
        <v>22757</v>
      </c>
      <c r="Q1641" s="46">
        <f t="shared" si="259"/>
        <v>3.5995438289580033</v>
      </c>
      <c r="R1641" s="10">
        <v>89</v>
      </c>
      <c r="S1641" s="7">
        <f t="shared" si="252"/>
        <v>0</v>
      </c>
      <c r="T1641" s="124">
        <f t="shared" si="253"/>
        <v>327</v>
      </c>
      <c r="U1641" s="124">
        <f t="shared" si="254"/>
        <v>683</v>
      </c>
      <c r="V1641" s="124">
        <f t="shared" si="255"/>
        <v>1632</v>
      </c>
      <c r="W1641" s="124">
        <f t="shared" si="256"/>
        <v>91.259259259519993</v>
      </c>
      <c r="X1641" s="124">
        <f t="shared" si="257"/>
        <v>924914.55480835307</v>
      </c>
      <c r="Y1641" s="264">
        <f t="shared" si="258"/>
        <v>1632</v>
      </c>
      <c r="Z1641" s="10">
        <v>327</v>
      </c>
      <c r="AA1641" s="7">
        <v>683</v>
      </c>
      <c r="AB1641" s="7">
        <v>1632</v>
      </c>
      <c r="AC1641" s="109">
        <v>91.259259259519993</v>
      </c>
      <c r="AD1641" s="109">
        <v>924914.55480835307</v>
      </c>
      <c r="AE1641" s="125"/>
      <c r="AF1641" s="10"/>
      <c r="AI1641" s="109"/>
      <c r="AJ1641" s="109"/>
      <c r="AL1641" s="10"/>
      <c r="AO1641" s="109"/>
      <c r="AP1641" s="109"/>
      <c r="AR1641" s="10"/>
      <c r="AU1641" s="109"/>
      <c r="AV1641" s="109"/>
      <c r="AX1641" s="10"/>
      <c r="BA1641" s="109"/>
      <c r="BB1641" s="109"/>
      <c r="BD1641" s="10"/>
      <c r="BG1641" s="109"/>
      <c r="BH1641" s="109"/>
      <c r="BJ1641" s="10"/>
      <c r="BM1641" s="109"/>
      <c r="BN1641" s="109"/>
      <c r="BP1641" s="10"/>
      <c r="BS1641" s="109"/>
      <c r="BT1641" s="109"/>
      <c r="BV1641" s="10"/>
      <c r="BY1641" s="109"/>
      <c r="BZ1641" s="109"/>
      <c r="CB1641" s="10"/>
      <c r="CE1641" s="109"/>
      <c r="CF1641" s="109"/>
      <c r="CH1641" s="10"/>
      <c r="CK1641" s="109"/>
      <c r="CL1641" s="109"/>
    </row>
    <row r="1642" spans="1:90">
      <c r="A1642" s="7" t="str">
        <f t="shared" si="251"/>
        <v>03270998</v>
      </c>
      <c r="B1642" s="7" t="s">
        <v>2666</v>
      </c>
      <c r="C1642" s="7" t="s">
        <v>2781</v>
      </c>
      <c r="D1642" s="7">
        <v>1633</v>
      </c>
      <c r="E1642" s="7">
        <v>327</v>
      </c>
      <c r="F1642" s="7" t="s">
        <v>2135</v>
      </c>
      <c r="G1642" s="7">
        <v>998</v>
      </c>
      <c r="H1642" s="7" t="s">
        <v>2135</v>
      </c>
      <c r="I1642" s="70">
        <v>0</v>
      </c>
      <c r="J1642" s="131">
        <v>0</v>
      </c>
      <c r="K1642" s="123">
        <f t="shared" si="260"/>
        <v>0</v>
      </c>
      <c r="L1642" s="122">
        <f>IF(K1644&gt;0, K1642/K1644, 0)</f>
        <v>0</v>
      </c>
      <c r="M1642" s="71"/>
      <c r="N1642" s="10">
        <f>ROUND(M1644*L1642,0)</f>
        <v>0</v>
      </c>
      <c r="O1642" s="70">
        <v>0</v>
      </c>
      <c r="P1642" s="10">
        <f>N1642-O1642</f>
        <v>0</v>
      </c>
      <c r="Q1642" s="46">
        <f t="shared" si="259"/>
        <v>0</v>
      </c>
      <c r="R1642" s="10">
        <v>0</v>
      </c>
      <c r="S1642" s="7">
        <f t="shared" si="252"/>
        <v>0</v>
      </c>
      <c r="T1642" s="124">
        <f t="shared" si="253"/>
        <v>327</v>
      </c>
      <c r="U1642" s="124">
        <f t="shared" si="254"/>
        <v>998</v>
      </c>
      <c r="V1642" s="124">
        <f t="shared" si="255"/>
        <v>1633</v>
      </c>
      <c r="W1642" s="124">
        <f t="shared" si="256"/>
        <v>0</v>
      </c>
      <c r="X1642" s="124">
        <f t="shared" si="257"/>
        <v>0</v>
      </c>
      <c r="Y1642" s="264">
        <f t="shared" si="258"/>
        <v>1633</v>
      </c>
      <c r="Z1642" s="10">
        <v>327</v>
      </c>
      <c r="AA1642" s="7">
        <v>998</v>
      </c>
      <c r="AB1642" s="7">
        <v>1633</v>
      </c>
      <c r="AC1642" s="109">
        <v>0</v>
      </c>
      <c r="AD1642" s="109">
        <v>0</v>
      </c>
      <c r="AE1642" s="125"/>
      <c r="AF1642" s="10"/>
      <c r="AI1642" s="109"/>
      <c r="AJ1642" s="109"/>
      <c r="AL1642" s="10"/>
      <c r="AO1642" s="109"/>
      <c r="AP1642" s="109"/>
      <c r="AR1642" s="10"/>
      <c r="AU1642" s="109"/>
      <c r="AV1642" s="109"/>
      <c r="AX1642" s="10"/>
      <c r="BA1642" s="109"/>
      <c r="BB1642" s="109"/>
      <c r="BD1642" s="10"/>
      <c r="BG1642" s="109"/>
      <c r="BH1642" s="109"/>
      <c r="BJ1642" s="10"/>
      <c r="BM1642" s="109"/>
      <c r="BN1642" s="109"/>
      <c r="BP1642" s="10"/>
      <c r="BS1642" s="109"/>
      <c r="BT1642" s="109"/>
      <c r="BV1642" s="10"/>
      <c r="BY1642" s="109"/>
      <c r="BZ1642" s="109"/>
      <c r="CB1642" s="10"/>
      <c r="CE1642" s="109"/>
      <c r="CF1642" s="109"/>
      <c r="CH1642" s="10"/>
      <c r="CK1642" s="109"/>
      <c r="CL1642" s="109"/>
    </row>
    <row r="1643" spans="1:90">
      <c r="A1643" s="7" t="str">
        <f t="shared" si="251"/>
        <v>03270998</v>
      </c>
      <c r="B1643" s="7" t="s">
        <v>2666</v>
      </c>
      <c r="C1643" s="7" t="s">
        <v>2781</v>
      </c>
      <c r="D1643" s="7">
        <v>1634</v>
      </c>
      <c r="E1643" s="7">
        <v>327</v>
      </c>
      <c r="F1643" s="7" t="s">
        <v>2135</v>
      </c>
      <c r="G1643" s="7">
        <v>998</v>
      </c>
      <c r="H1643" s="7" t="s">
        <v>2135</v>
      </c>
      <c r="I1643" s="70">
        <v>0</v>
      </c>
      <c r="J1643" s="131">
        <v>0</v>
      </c>
      <c r="K1643" s="123">
        <f t="shared" si="260"/>
        <v>0</v>
      </c>
      <c r="L1643" s="122">
        <f>IF(K1644&gt;0, K1643/K1644, 0)</f>
        <v>0</v>
      </c>
      <c r="M1643" s="71"/>
      <c r="N1643" s="10">
        <f>ROUND(M1644*L1643,0)</f>
        <v>0</v>
      </c>
      <c r="O1643" s="70">
        <v>0</v>
      </c>
      <c r="P1643" s="10">
        <f>N1643-O1643</f>
        <v>0</v>
      </c>
      <c r="Q1643" s="46">
        <f t="shared" si="259"/>
        <v>0</v>
      </c>
      <c r="R1643" s="10">
        <v>0</v>
      </c>
      <c r="S1643" s="7">
        <f t="shared" si="252"/>
        <v>0</v>
      </c>
      <c r="T1643" s="124">
        <f t="shared" si="253"/>
        <v>327</v>
      </c>
      <c r="U1643" s="124">
        <f t="shared" si="254"/>
        <v>998</v>
      </c>
      <c r="V1643" s="124">
        <f t="shared" si="255"/>
        <v>1634</v>
      </c>
      <c r="W1643" s="124">
        <f t="shared" si="256"/>
        <v>0</v>
      </c>
      <c r="X1643" s="124">
        <f t="shared" si="257"/>
        <v>0</v>
      </c>
      <c r="Y1643" s="264">
        <f t="shared" si="258"/>
        <v>1634</v>
      </c>
      <c r="Z1643" s="10">
        <v>327</v>
      </c>
      <c r="AA1643" s="7">
        <v>998</v>
      </c>
      <c r="AB1643" s="7">
        <v>1634</v>
      </c>
      <c r="AC1643" s="109">
        <v>0</v>
      </c>
      <c r="AD1643" s="109">
        <v>0</v>
      </c>
      <c r="AE1643" s="125"/>
      <c r="AF1643" s="10"/>
      <c r="AI1643" s="109"/>
      <c r="AJ1643" s="109"/>
      <c r="AL1643" s="10"/>
      <c r="AO1643" s="109"/>
      <c r="AP1643" s="109"/>
      <c r="AR1643" s="10"/>
      <c r="AU1643" s="109"/>
      <c r="AV1643" s="109"/>
      <c r="AX1643" s="10"/>
      <c r="BA1643" s="109"/>
      <c r="BB1643" s="109"/>
      <c r="BD1643" s="10"/>
      <c r="BG1643" s="109"/>
      <c r="BH1643" s="109"/>
      <c r="BJ1643" s="10"/>
      <c r="BM1643" s="109"/>
      <c r="BN1643" s="109"/>
      <c r="BP1643" s="10"/>
      <c r="BS1643" s="109"/>
      <c r="BT1643" s="109"/>
      <c r="BV1643" s="10"/>
      <c r="BY1643" s="109"/>
      <c r="BZ1643" s="109"/>
      <c r="CB1643" s="10"/>
      <c r="CE1643" s="109"/>
      <c r="CF1643" s="109"/>
      <c r="CH1643" s="10"/>
      <c r="CK1643" s="109"/>
      <c r="CL1643" s="109"/>
    </row>
    <row r="1644" spans="1:90">
      <c r="A1644" s="7" t="str">
        <f t="shared" si="251"/>
        <v>03270999</v>
      </c>
      <c r="B1644" s="7" t="s">
        <v>2666</v>
      </c>
      <c r="C1644" s="7" t="s">
        <v>2782</v>
      </c>
      <c r="D1644" s="7">
        <v>1635</v>
      </c>
      <c r="E1644" s="11">
        <v>327</v>
      </c>
      <c r="F1644" s="11" t="s">
        <v>2032</v>
      </c>
      <c r="G1644" s="11">
        <v>999</v>
      </c>
      <c r="H1644" s="11" t="s">
        <v>1132</v>
      </c>
      <c r="I1644" s="134">
        <v>2249052</v>
      </c>
      <c r="J1644" s="135">
        <v>1</v>
      </c>
      <c r="K1644" s="127">
        <f>SUM(K1640:K1643)</f>
        <v>2222487.4490324007</v>
      </c>
      <c r="L1644" s="126">
        <f>SUM(L1640:L1643)</f>
        <v>0.99999999999999989</v>
      </c>
      <c r="M1644" s="105">
        <f>VLOOKUP(E1644,town351,22)</f>
        <v>1573848</v>
      </c>
      <c r="N1644" s="105">
        <f>SUM(N1640:N1643)</f>
        <v>1573848</v>
      </c>
      <c r="O1644" s="128">
        <v>1600549</v>
      </c>
      <c r="P1644" s="105">
        <f>SUM(P1640:P1643)</f>
        <v>-26701</v>
      </c>
      <c r="Q1644" s="45">
        <f t="shared" si="259"/>
        <v>-1.668240085120793</v>
      </c>
      <c r="R1644" s="105">
        <v>229</v>
      </c>
      <c r="S1644" s="7">
        <f t="shared" si="252"/>
        <v>0</v>
      </c>
      <c r="T1644" s="124">
        <f t="shared" si="253"/>
        <v>327</v>
      </c>
      <c r="U1644" s="124">
        <f t="shared" si="254"/>
        <v>999</v>
      </c>
      <c r="V1644" s="124">
        <f t="shared" si="255"/>
        <v>1635</v>
      </c>
      <c r="W1644" s="124">
        <f t="shared" si="256"/>
        <v>222.25925925951998</v>
      </c>
      <c r="X1644" s="124">
        <f t="shared" si="257"/>
        <v>2222487.4490324007</v>
      </c>
      <c r="Y1644" s="264">
        <f t="shared" si="258"/>
        <v>1635</v>
      </c>
      <c r="Z1644" s="10">
        <v>327</v>
      </c>
      <c r="AA1644" s="7">
        <v>999</v>
      </c>
      <c r="AB1644" s="7">
        <v>1635</v>
      </c>
      <c r="AC1644" s="109">
        <v>222.25925925951998</v>
      </c>
      <c r="AD1644" s="109">
        <v>2222487.4490324007</v>
      </c>
      <c r="AE1644" s="125"/>
      <c r="AF1644" s="10"/>
      <c r="AI1644" s="109"/>
      <c r="AJ1644" s="109"/>
      <c r="AL1644" s="10"/>
      <c r="AO1644" s="109"/>
      <c r="AP1644" s="109"/>
      <c r="AR1644" s="10"/>
      <c r="AU1644" s="109"/>
      <c r="AV1644" s="109"/>
      <c r="AX1644" s="10"/>
      <c r="BA1644" s="109"/>
      <c r="BB1644" s="109"/>
      <c r="BD1644" s="10"/>
      <c r="BG1644" s="109"/>
      <c r="BH1644" s="109"/>
      <c r="BJ1644" s="10"/>
      <c r="BM1644" s="109"/>
      <c r="BN1644" s="109"/>
      <c r="BP1644" s="10"/>
      <c r="BS1644" s="109"/>
      <c r="BT1644" s="109"/>
      <c r="BV1644" s="10"/>
      <c r="BY1644" s="109"/>
      <c r="BZ1644" s="109"/>
      <c r="CB1644" s="10"/>
      <c r="CE1644" s="109"/>
      <c r="CF1644" s="109"/>
      <c r="CH1644" s="10"/>
      <c r="CK1644" s="109"/>
      <c r="CL1644" s="109"/>
    </row>
    <row r="1645" spans="1:90">
      <c r="A1645" s="7" t="str">
        <f t="shared" si="251"/>
        <v>03280328</v>
      </c>
      <c r="B1645" s="7" t="s">
        <v>2667</v>
      </c>
      <c r="C1645" s="7" t="s">
        <v>2667</v>
      </c>
      <c r="D1645" s="7">
        <v>1636</v>
      </c>
      <c r="E1645" s="7">
        <v>328</v>
      </c>
      <c r="F1645" s="7" t="s">
        <v>2033</v>
      </c>
      <c r="G1645" s="7">
        <v>328</v>
      </c>
      <c r="H1645" s="7" t="s">
        <v>1594</v>
      </c>
      <c r="I1645" s="70">
        <v>0</v>
      </c>
      <c r="J1645" s="131">
        <v>0</v>
      </c>
      <c r="K1645" s="123">
        <f>X1645</f>
        <v>0</v>
      </c>
      <c r="L1645" s="122">
        <f>IF(K1649&gt;0, K1645/K1649, 0)</f>
        <v>0</v>
      </c>
      <c r="M1645" s="71"/>
      <c r="N1645" s="10">
        <f>ROUND(M1649*L1645,0)</f>
        <v>0</v>
      </c>
      <c r="O1645" s="70">
        <v>0</v>
      </c>
      <c r="P1645" s="10">
        <f>N1645-O1645</f>
        <v>0</v>
      </c>
      <c r="Q1645" s="46">
        <f t="shared" si="259"/>
        <v>0</v>
      </c>
      <c r="R1645" s="10">
        <v>0</v>
      </c>
      <c r="S1645" s="7">
        <f t="shared" si="252"/>
        <v>0</v>
      </c>
      <c r="T1645" s="124">
        <f t="shared" si="253"/>
        <v>328</v>
      </c>
      <c r="U1645" s="124">
        <f t="shared" si="254"/>
        <v>328</v>
      </c>
      <c r="V1645" s="124">
        <f t="shared" si="255"/>
        <v>1636</v>
      </c>
      <c r="W1645" s="124">
        <f t="shared" si="256"/>
        <v>0</v>
      </c>
      <c r="X1645" s="124">
        <f t="shared" si="257"/>
        <v>0</v>
      </c>
      <c r="Y1645" s="264">
        <f t="shared" si="258"/>
        <v>1636</v>
      </c>
      <c r="Z1645" s="10">
        <v>328</v>
      </c>
      <c r="AA1645" s="7">
        <v>328</v>
      </c>
      <c r="AB1645" s="7">
        <v>1636</v>
      </c>
      <c r="AC1645" s="109">
        <v>0</v>
      </c>
      <c r="AD1645" s="109">
        <v>0</v>
      </c>
      <c r="AE1645" s="125"/>
      <c r="AF1645" s="10"/>
      <c r="AI1645" s="109"/>
      <c r="AJ1645" s="109"/>
      <c r="AL1645" s="10"/>
      <c r="AO1645" s="109"/>
      <c r="AP1645" s="109"/>
      <c r="AR1645" s="10"/>
      <c r="AU1645" s="109"/>
      <c r="AV1645" s="109"/>
      <c r="AX1645" s="10"/>
      <c r="BA1645" s="109"/>
      <c r="BB1645" s="109"/>
      <c r="BD1645" s="10"/>
      <c r="BG1645" s="109"/>
      <c r="BH1645" s="109"/>
      <c r="BJ1645" s="10"/>
      <c r="BM1645" s="109"/>
      <c r="BN1645" s="109"/>
      <c r="BP1645" s="10"/>
      <c r="BS1645" s="109"/>
      <c r="BT1645" s="109"/>
      <c r="BV1645" s="10"/>
      <c r="BY1645" s="109"/>
      <c r="BZ1645" s="109"/>
      <c r="CB1645" s="10"/>
      <c r="CE1645" s="109"/>
      <c r="CF1645" s="109"/>
      <c r="CH1645" s="10"/>
      <c r="CK1645" s="109"/>
      <c r="CL1645" s="109"/>
    </row>
    <row r="1646" spans="1:90">
      <c r="A1646" s="7" t="str">
        <f t="shared" si="251"/>
        <v>03280610</v>
      </c>
      <c r="B1646" s="7" t="s">
        <v>2667</v>
      </c>
      <c r="C1646" s="7" t="s">
        <v>2697</v>
      </c>
      <c r="D1646" s="7">
        <v>1637</v>
      </c>
      <c r="E1646" s="7">
        <v>328</v>
      </c>
      <c r="F1646" s="7" t="s">
        <v>2033</v>
      </c>
      <c r="G1646" s="7">
        <v>610</v>
      </c>
      <c r="H1646" s="7" t="s">
        <v>1624</v>
      </c>
      <c r="I1646" s="70">
        <v>10931508</v>
      </c>
      <c r="J1646" s="131">
        <v>0.89691245405701314</v>
      </c>
      <c r="K1646" s="123">
        <f t="shared" si="260"/>
        <v>11324709.742871594</v>
      </c>
      <c r="L1646" s="122">
        <f>IF(K1649&gt;0, K1646/K1649, 0)</f>
        <v>0.90742979517220324</v>
      </c>
      <c r="M1646" s="71"/>
      <c r="N1646" s="10">
        <f>ROUND(M1649*L1646,0)</f>
        <v>6773657</v>
      </c>
      <c r="O1646" s="70">
        <v>6421776</v>
      </c>
      <c r="P1646" s="10">
        <f>N1646-O1646</f>
        <v>351881</v>
      </c>
      <c r="Q1646" s="46">
        <f t="shared" si="259"/>
        <v>5.479496637690259</v>
      </c>
      <c r="R1646" s="10">
        <v>1138</v>
      </c>
      <c r="S1646" s="7">
        <f t="shared" si="252"/>
        <v>0</v>
      </c>
      <c r="T1646" s="124">
        <f t="shared" si="253"/>
        <v>328</v>
      </c>
      <c r="U1646" s="124">
        <f t="shared" si="254"/>
        <v>610</v>
      </c>
      <c r="V1646" s="124">
        <f t="shared" si="255"/>
        <v>1637</v>
      </c>
      <c r="W1646" s="124">
        <f t="shared" si="256"/>
        <v>1157.8416107337598</v>
      </c>
      <c r="X1646" s="124">
        <f t="shared" si="257"/>
        <v>11324709.742871594</v>
      </c>
      <c r="Y1646" s="264">
        <f t="shared" si="258"/>
        <v>1637</v>
      </c>
      <c r="Z1646" s="10">
        <v>328</v>
      </c>
      <c r="AA1646" s="7">
        <v>610</v>
      </c>
      <c r="AB1646" s="7">
        <v>1637</v>
      </c>
      <c r="AC1646" s="109">
        <v>1157.8416107337598</v>
      </c>
      <c r="AD1646" s="109">
        <v>11324709.742871594</v>
      </c>
      <c r="AE1646" s="125"/>
      <c r="AF1646" s="10"/>
      <c r="AI1646" s="109"/>
      <c r="AJ1646" s="109"/>
      <c r="AL1646" s="10"/>
      <c r="AO1646" s="109"/>
      <c r="AP1646" s="109"/>
      <c r="AR1646" s="10"/>
      <c r="AU1646" s="109"/>
      <c r="AV1646" s="109"/>
      <c r="AX1646" s="10"/>
      <c r="BA1646" s="109"/>
      <c r="BB1646" s="109"/>
      <c r="BD1646" s="10"/>
      <c r="BG1646" s="109"/>
      <c r="BH1646" s="109"/>
      <c r="BJ1646" s="10"/>
      <c r="BM1646" s="109"/>
      <c r="BN1646" s="109"/>
      <c r="BP1646" s="10"/>
      <c r="BS1646" s="109"/>
      <c r="BT1646" s="109"/>
      <c r="BV1646" s="10"/>
      <c r="BY1646" s="109"/>
      <c r="BZ1646" s="109"/>
      <c r="CB1646" s="10"/>
      <c r="CE1646" s="109"/>
      <c r="CF1646" s="109"/>
      <c r="CH1646" s="10"/>
      <c r="CK1646" s="109"/>
      <c r="CL1646" s="109"/>
    </row>
    <row r="1647" spans="1:90">
      <c r="A1647" s="7" t="str">
        <f t="shared" si="251"/>
        <v>03280832</v>
      </c>
      <c r="B1647" s="7" t="s">
        <v>2667</v>
      </c>
      <c r="C1647" s="7" t="s">
        <v>2765</v>
      </c>
      <c r="D1647" s="7">
        <v>1638</v>
      </c>
      <c r="E1647" s="7">
        <v>328</v>
      </c>
      <c r="F1647" s="7" t="s">
        <v>2033</v>
      </c>
      <c r="G1647" s="7">
        <v>832</v>
      </c>
      <c r="H1647" s="7" t="s">
        <v>1692</v>
      </c>
      <c r="I1647" s="70">
        <v>1256424</v>
      </c>
      <c r="J1647" s="131">
        <v>0.10308754594298689</v>
      </c>
      <c r="K1647" s="123">
        <f t="shared" si="260"/>
        <v>1155274.7177692433</v>
      </c>
      <c r="L1647" s="122">
        <f>IF(K1649&gt;0, K1647/K1649, 0)</f>
        <v>9.2570204827796793E-2</v>
      </c>
      <c r="M1647" s="71"/>
      <c r="N1647" s="10">
        <f>ROUND(M1649*L1647,0)</f>
        <v>691005</v>
      </c>
      <c r="O1647" s="70">
        <v>738093</v>
      </c>
      <c r="P1647" s="10">
        <f>N1647-O1647</f>
        <v>-47088</v>
      </c>
      <c r="Q1647" s="46">
        <f t="shared" si="259"/>
        <v>-6.3796838609768685</v>
      </c>
      <c r="R1647" s="10">
        <v>82</v>
      </c>
      <c r="S1647" s="7">
        <f t="shared" si="252"/>
        <v>0</v>
      </c>
      <c r="T1647" s="124">
        <f t="shared" si="253"/>
        <v>328</v>
      </c>
      <c r="U1647" s="124">
        <f t="shared" si="254"/>
        <v>832</v>
      </c>
      <c r="V1647" s="124">
        <f t="shared" si="255"/>
        <v>1638</v>
      </c>
      <c r="W1647" s="124">
        <f t="shared" si="256"/>
        <v>74.049498328959999</v>
      </c>
      <c r="X1647" s="124">
        <f t="shared" si="257"/>
        <v>1155274.7177692433</v>
      </c>
      <c r="Y1647" s="264">
        <f t="shared" si="258"/>
        <v>1638</v>
      </c>
      <c r="Z1647" s="10">
        <v>328</v>
      </c>
      <c r="AA1647" s="7">
        <v>832</v>
      </c>
      <c r="AB1647" s="7">
        <v>1638</v>
      </c>
      <c r="AC1647" s="109">
        <v>74.049498328959999</v>
      </c>
      <c r="AD1647" s="109">
        <v>1155274.7177692433</v>
      </c>
      <c r="AE1647" s="125"/>
      <c r="AF1647" s="10"/>
      <c r="AI1647" s="109"/>
      <c r="AJ1647" s="109"/>
      <c r="AL1647" s="10"/>
      <c r="AO1647" s="109"/>
      <c r="AP1647" s="109"/>
      <c r="AR1647" s="10"/>
      <c r="AU1647" s="109"/>
      <c r="AV1647" s="109"/>
      <c r="AX1647" s="10"/>
      <c r="BA1647" s="109"/>
      <c r="BB1647" s="109"/>
      <c r="BD1647" s="10"/>
      <c r="BG1647" s="109"/>
      <c r="BH1647" s="109"/>
      <c r="BJ1647" s="10"/>
      <c r="BM1647" s="109"/>
      <c r="BN1647" s="109"/>
      <c r="BP1647" s="10"/>
      <c r="BS1647" s="109"/>
      <c r="BT1647" s="109"/>
      <c r="BV1647" s="10"/>
      <c r="BY1647" s="109"/>
      <c r="BZ1647" s="109"/>
      <c r="CB1647" s="10"/>
      <c r="CE1647" s="109"/>
      <c r="CF1647" s="109"/>
      <c r="CH1647" s="10"/>
      <c r="CK1647" s="109"/>
      <c r="CL1647" s="109"/>
    </row>
    <row r="1648" spans="1:90">
      <c r="A1648" s="7" t="str">
        <f t="shared" si="251"/>
        <v>03280998</v>
      </c>
      <c r="B1648" s="7" t="s">
        <v>2667</v>
      </c>
      <c r="C1648" s="7" t="s">
        <v>2781</v>
      </c>
      <c r="D1648" s="7">
        <v>1639</v>
      </c>
      <c r="E1648" s="7">
        <v>328</v>
      </c>
      <c r="F1648" s="7" t="s">
        <v>2135</v>
      </c>
      <c r="G1648" s="7">
        <v>998</v>
      </c>
      <c r="H1648" s="7" t="s">
        <v>2135</v>
      </c>
      <c r="I1648" s="70">
        <v>0</v>
      </c>
      <c r="J1648" s="131">
        <v>0</v>
      </c>
      <c r="K1648" s="123">
        <f t="shared" si="260"/>
        <v>0</v>
      </c>
      <c r="L1648" s="122">
        <f>IF(K1649&gt;0, K1648/K1649, 0)</f>
        <v>0</v>
      </c>
      <c r="M1648" s="71"/>
      <c r="N1648" s="10">
        <f>ROUND(M1649*L1648,0)</f>
        <v>0</v>
      </c>
      <c r="O1648" s="70">
        <v>0</v>
      </c>
      <c r="P1648" s="10">
        <f>N1648-O1648</f>
        <v>0</v>
      </c>
      <c r="Q1648" s="46">
        <f t="shared" si="259"/>
        <v>0</v>
      </c>
      <c r="R1648" s="10">
        <v>0</v>
      </c>
      <c r="S1648" s="7">
        <f t="shared" si="252"/>
        <v>0</v>
      </c>
      <c r="T1648" s="124">
        <f t="shared" si="253"/>
        <v>328</v>
      </c>
      <c r="U1648" s="124">
        <f t="shared" si="254"/>
        <v>998</v>
      </c>
      <c r="V1648" s="124">
        <f t="shared" si="255"/>
        <v>1639</v>
      </c>
      <c r="W1648" s="124">
        <f t="shared" si="256"/>
        <v>0</v>
      </c>
      <c r="X1648" s="124">
        <f t="shared" si="257"/>
        <v>0</v>
      </c>
      <c r="Y1648" s="264">
        <f t="shared" si="258"/>
        <v>1639</v>
      </c>
      <c r="Z1648" s="10">
        <v>328</v>
      </c>
      <c r="AA1648" s="7">
        <v>998</v>
      </c>
      <c r="AB1648" s="7">
        <v>1639</v>
      </c>
      <c r="AC1648" s="109">
        <v>0</v>
      </c>
      <c r="AD1648" s="109">
        <v>0</v>
      </c>
      <c r="AE1648" s="125"/>
      <c r="AF1648" s="10"/>
      <c r="AI1648" s="109"/>
      <c r="AJ1648" s="109"/>
      <c r="AL1648" s="10"/>
      <c r="AO1648" s="109"/>
      <c r="AP1648" s="109"/>
      <c r="AR1648" s="10"/>
      <c r="AU1648" s="109"/>
      <c r="AV1648" s="109"/>
      <c r="AX1648" s="10"/>
      <c r="BA1648" s="109"/>
      <c r="BB1648" s="109"/>
      <c r="BD1648" s="10"/>
      <c r="BG1648" s="109"/>
      <c r="BH1648" s="109"/>
      <c r="BJ1648" s="10"/>
      <c r="BM1648" s="109"/>
      <c r="BN1648" s="109"/>
      <c r="BP1648" s="10"/>
      <c r="BS1648" s="109"/>
      <c r="BT1648" s="109"/>
      <c r="BV1648" s="10"/>
      <c r="BY1648" s="109"/>
      <c r="BZ1648" s="109"/>
      <c r="CB1648" s="10"/>
      <c r="CE1648" s="109"/>
      <c r="CF1648" s="109"/>
      <c r="CH1648" s="10"/>
      <c r="CK1648" s="109"/>
      <c r="CL1648" s="109"/>
    </row>
    <row r="1649" spans="1:90">
      <c r="A1649" s="7" t="str">
        <f t="shared" si="251"/>
        <v>03280999</v>
      </c>
      <c r="B1649" s="7" t="s">
        <v>2667</v>
      </c>
      <c r="C1649" s="7" t="s">
        <v>2782</v>
      </c>
      <c r="D1649" s="7">
        <v>1640</v>
      </c>
      <c r="E1649" s="11">
        <v>328</v>
      </c>
      <c r="F1649" s="11" t="s">
        <v>2033</v>
      </c>
      <c r="G1649" s="11">
        <v>999</v>
      </c>
      <c r="H1649" s="11" t="s">
        <v>1132</v>
      </c>
      <c r="I1649" s="134">
        <v>12187932</v>
      </c>
      <c r="J1649" s="135">
        <v>1</v>
      </c>
      <c r="K1649" s="127">
        <f>SUM(K1645:K1648)</f>
        <v>12479984.460640837</v>
      </c>
      <c r="L1649" s="126">
        <f>SUM(L1645:L1648)</f>
        <v>1</v>
      </c>
      <c r="M1649" s="105">
        <f>VLOOKUP(E1649,town351,22)</f>
        <v>7464662</v>
      </c>
      <c r="N1649" s="105">
        <f>SUM(N1645:N1648)</f>
        <v>7464662</v>
      </c>
      <c r="O1649" s="128">
        <v>7159869</v>
      </c>
      <c r="P1649" s="105">
        <f>SUM(P1645:P1648)</f>
        <v>304793</v>
      </c>
      <c r="Q1649" s="45">
        <f t="shared" si="259"/>
        <v>4.2569633606424926</v>
      </c>
      <c r="R1649" s="105">
        <v>1220</v>
      </c>
      <c r="S1649" s="7">
        <f t="shared" si="252"/>
        <v>0</v>
      </c>
      <c r="T1649" s="124">
        <f t="shared" si="253"/>
        <v>328</v>
      </c>
      <c r="U1649" s="124">
        <f t="shared" si="254"/>
        <v>999</v>
      </c>
      <c r="V1649" s="124">
        <f t="shared" si="255"/>
        <v>1640</v>
      </c>
      <c r="W1649" s="124">
        <f t="shared" si="256"/>
        <v>1231.8911090627198</v>
      </c>
      <c r="X1649" s="124">
        <f t="shared" si="257"/>
        <v>12479984.460640837</v>
      </c>
      <c r="Y1649" s="264">
        <f t="shared" si="258"/>
        <v>1640</v>
      </c>
      <c r="Z1649" s="10">
        <v>328</v>
      </c>
      <c r="AA1649" s="7">
        <v>999</v>
      </c>
      <c r="AB1649" s="7">
        <v>1640</v>
      </c>
      <c r="AC1649" s="109">
        <v>1231.8911090627198</v>
      </c>
      <c r="AD1649" s="109">
        <v>12479984.460640837</v>
      </c>
      <c r="AE1649" s="125"/>
      <c r="AF1649" s="10"/>
      <c r="AI1649" s="109"/>
      <c r="AJ1649" s="109"/>
      <c r="AL1649" s="10"/>
      <c r="AO1649" s="109"/>
      <c r="AP1649" s="109"/>
      <c r="AR1649" s="10"/>
      <c r="AU1649" s="109"/>
      <c r="AV1649" s="109"/>
      <c r="AX1649" s="10"/>
      <c r="BA1649" s="109"/>
      <c r="BB1649" s="109"/>
      <c r="BD1649" s="10"/>
      <c r="BG1649" s="109"/>
      <c r="BH1649" s="109"/>
      <c r="BJ1649" s="10"/>
      <c r="BM1649" s="109"/>
      <c r="BN1649" s="109"/>
      <c r="BP1649" s="10"/>
      <c r="BS1649" s="109"/>
      <c r="BT1649" s="109"/>
      <c r="BV1649" s="10"/>
      <c r="BY1649" s="109"/>
      <c r="BZ1649" s="109"/>
      <c r="CB1649" s="10"/>
      <c r="CE1649" s="109"/>
      <c r="CF1649" s="109"/>
      <c r="CH1649" s="10"/>
      <c r="CK1649" s="109"/>
      <c r="CL1649" s="109"/>
    </row>
    <row r="1650" spans="1:90">
      <c r="A1650" s="7" t="str">
        <f t="shared" si="251"/>
        <v>03290329</v>
      </c>
      <c r="B1650" s="7" t="s">
        <v>2668</v>
      </c>
      <c r="C1650" s="7" t="s">
        <v>2668</v>
      </c>
      <c r="D1650" s="7">
        <v>1641</v>
      </c>
      <c r="E1650" s="7">
        <v>329</v>
      </c>
      <c r="F1650" s="7" t="s">
        <v>2034</v>
      </c>
      <c r="G1650" s="7">
        <v>329</v>
      </c>
      <c r="H1650" s="7" t="s">
        <v>1595</v>
      </c>
      <c r="I1650" s="70">
        <v>0</v>
      </c>
      <c r="J1650" s="131">
        <v>0</v>
      </c>
      <c r="K1650" s="123">
        <f>X1650</f>
        <v>13416.833343589547</v>
      </c>
      <c r="L1650" s="122">
        <f>IF(K1654&gt;0, K1650/K1654, 0)</f>
        <v>2.1149875670985474E-3</v>
      </c>
      <c r="M1650" s="71"/>
      <c r="N1650" s="10">
        <f>ROUND(M1654*L1650,0)</f>
        <v>11105</v>
      </c>
      <c r="O1650" s="70">
        <v>0</v>
      </c>
      <c r="P1650" s="10">
        <f>N1650-O1650</f>
        <v>11105</v>
      </c>
      <c r="Q1650" s="46">
        <f t="shared" si="259"/>
        <v>100</v>
      </c>
      <c r="R1650" s="10">
        <v>0</v>
      </c>
      <c r="S1650" s="7">
        <f t="shared" si="252"/>
        <v>0</v>
      </c>
      <c r="T1650" s="124">
        <f t="shared" si="253"/>
        <v>329</v>
      </c>
      <c r="U1650" s="124">
        <f t="shared" si="254"/>
        <v>329</v>
      </c>
      <c r="V1650" s="124">
        <f t="shared" si="255"/>
        <v>1641</v>
      </c>
      <c r="W1650" s="124">
        <f t="shared" si="256"/>
        <v>1</v>
      </c>
      <c r="X1650" s="124">
        <f t="shared" si="257"/>
        <v>13416.833343589547</v>
      </c>
      <c r="Y1650" s="264">
        <f t="shared" si="258"/>
        <v>1641</v>
      </c>
      <c r="Z1650" s="10">
        <v>329</v>
      </c>
      <c r="AA1650" s="7">
        <v>329</v>
      </c>
      <c r="AB1650" s="7">
        <v>1641</v>
      </c>
      <c r="AC1650" s="109">
        <v>1</v>
      </c>
      <c r="AD1650" s="109">
        <v>13416.833343589547</v>
      </c>
      <c r="AE1650" s="125"/>
      <c r="AF1650" s="10"/>
      <c r="AI1650" s="109"/>
      <c r="AJ1650" s="109"/>
      <c r="AL1650" s="10"/>
      <c r="AO1650" s="109"/>
      <c r="AP1650" s="109"/>
      <c r="AR1650" s="10"/>
      <c r="AU1650" s="109"/>
      <c r="AV1650" s="109"/>
      <c r="AX1650" s="10"/>
      <c r="BA1650" s="109"/>
      <c r="BB1650" s="109"/>
      <c r="BD1650" s="10"/>
      <c r="BG1650" s="109"/>
      <c r="BH1650" s="109"/>
      <c r="BJ1650" s="10"/>
      <c r="BM1650" s="109"/>
      <c r="BN1650" s="109"/>
      <c r="BP1650" s="10"/>
      <c r="BS1650" s="109"/>
      <c r="BT1650" s="109"/>
      <c r="BV1650" s="10"/>
      <c r="BY1650" s="109"/>
      <c r="BZ1650" s="109"/>
      <c r="CB1650" s="10"/>
      <c r="CE1650" s="109"/>
      <c r="CF1650" s="109"/>
      <c r="CH1650" s="10"/>
      <c r="CK1650" s="109"/>
      <c r="CL1650" s="109"/>
    </row>
    <row r="1651" spans="1:90">
      <c r="A1651" s="7" t="str">
        <f t="shared" si="251"/>
        <v>03290745</v>
      </c>
      <c r="B1651" s="7" t="s">
        <v>2668</v>
      </c>
      <c r="C1651" s="7" t="s">
        <v>2737</v>
      </c>
      <c r="D1651" s="7">
        <v>1642</v>
      </c>
      <c r="E1651" s="7">
        <v>329</v>
      </c>
      <c r="F1651" s="7" t="s">
        <v>2034</v>
      </c>
      <c r="G1651" s="7">
        <v>745</v>
      </c>
      <c r="H1651" s="7" t="s">
        <v>1664</v>
      </c>
      <c r="I1651" s="70">
        <v>5779357</v>
      </c>
      <c r="J1651" s="131">
        <v>0.94574950395810742</v>
      </c>
      <c r="K1651" s="123">
        <f t="shared" si="260"/>
        <v>5960435.1384728961</v>
      </c>
      <c r="L1651" s="122">
        <f>IF(K1654&gt;0, K1651/K1654, 0)</f>
        <v>0.9395843184107705</v>
      </c>
      <c r="M1651" s="71"/>
      <c r="N1651" s="10">
        <f>ROUND(M1654*L1651,0)</f>
        <v>4933483</v>
      </c>
      <c r="O1651" s="70">
        <v>4842804</v>
      </c>
      <c r="P1651" s="10">
        <f>N1651-O1651</f>
        <v>90679</v>
      </c>
      <c r="Q1651" s="46">
        <f t="shared" si="259"/>
        <v>1.8724482758335874</v>
      </c>
      <c r="R1651" s="10">
        <v>622</v>
      </c>
      <c r="S1651" s="7">
        <f t="shared" si="252"/>
        <v>0</v>
      </c>
      <c r="T1651" s="124">
        <f t="shared" si="253"/>
        <v>329</v>
      </c>
      <c r="U1651" s="124">
        <f t="shared" si="254"/>
        <v>745</v>
      </c>
      <c r="V1651" s="124">
        <f t="shared" si="255"/>
        <v>1642</v>
      </c>
      <c r="W1651" s="124">
        <f t="shared" si="256"/>
        <v>627.47899160435998</v>
      </c>
      <c r="X1651" s="124">
        <f t="shared" si="257"/>
        <v>5960435.1384728961</v>
      </c>
      <c r="Y1651" s="264">
        <f t="shared" si="258"/>
        <v>1642</v>
      </c>
      <c r="Z1651" s="10">
        <v>329</v>
      </c>
      <c r="AA1651" s="7">
        <v>745</v>
      </c>
      <c r="AB1651" s="7">
        <v>1642</v>
      </c>
      <c r="AC1651" s="109">
        <v>627.47899160435998</v>
      </c>
      <c r="AD1651" s="109">
        <v>5960435.1384728961</v>
      </c>
      <c r="AE1651" s="125"/>
      <c r="AF1651" s="10"/>
      <c r="AI1651" s="109"/>
      <c r="AJ1651" s="109"/>
      <c r="AL1651" s="10"/>
      <c r="AO1651" s="109"/>
      <c r="AP1651" s="109"/>
      <c r="AR1651" s="10"/>
      <c r="AU1651" s="109"/>
      <c r="AV1651" s="109"/>
      <c r="AX1651" s="10"/>
      <c r="BA1651" s="109"/>
      <c r="BB1651" s="109"/>
      <c r="BD1651" s="10"/>
      <c r="BG1651" s="109"/>
      <c r="BH1651" s="109"/>
      <c r="BJ1651" s="10"/>
      <c r="BM1651" s="109"/>
      <c r="BN1651" s="109"/>
      <c r="BP1651" s="10"/>
      <c r="BS1651" s="109"/>
      <c r="BT1651" s="109"/>
      <c r="BV1651" s="10"/>
      <c r="BY1651" s="109"/>
      <c r="BZ1651" s="109"/>
      <c r="CB1651" s="10"/>
      <c r="CE1651" s="109"/>
      <c r="CF1651" s="109"/>
      <c r="CH1651" s="10"/>
      <c r="CK1651" s="109"/>
      <c r="CL1651" s="109"/>
    </row>
    <row r="1652" spans="1:90">
      <c r="A1652" s="7" t="str">
        <f t="shared" si="251"/>
        <v>03290885</v>
      </c>
      <c r="B1652" s="7" t="s">
        <v>2668</v>
      </c>
      <c r="C1652" s="7" t="s">
        <v>2777</v>
      </c>
      <c r="D1652" s="7">
        <v>1643</v>
      </c>
      <c r="E1652" s="7">
        <v>329</v>
      </c>
      <c r="F1652" s="7" t="s">
        <v>2034</v>
      </c>
      <c r="G1652" s="7">
        <v>885</v>
      </c>
      <c r="H1652" s="7" t="s">
        <v>1704</v>
      </c>
      <c r="I1652" s="70">
        <v>331518</v>
      </c>
      <c r="J1652" s="131">
        <v>5.4250496041892526E-2</v>
      </c>
      <c r="K1652" s="123">
        <f t="shared" si="260"/>
        <v>369841.74643807282</v>
      </c>
      <c r="L1652" s="122">
        <f>IF(K1654&gt;0, K1652/K1654, 0)</f>
        <v>5.8300694022130888E-2</v>
      </c>
      <c r="M1652" s="71"/>
      <c r="N1652" s="10">
        <f>ROUND(M1654*L1652,0)</f>
        <v>306120</v>
      </c>
      <c r="O1652" s="70">
        <v>277795</v>
      </c>
      <c r="P1652" s="10">
        <f>N1652-O1652</f>
        <v>28325</v>
      </c>
      <c r="Q1652" s="46">
        <f t="shared" si="259"/>
        <v>10.196367825194837</v>
      </c>
      <c r="R1652" s="10">
        <v>21</v>
      </c>
      <c r="S1652" s="7">
        <f t="shared" si="252"/>
        <v>0</v>
      </c>
      <c r="T1652" s="124">
        <f t="shared" si="253"/>
        <v>329</v>
      </c>
      <c r="U1652" s="124">
        <f t="shared" si="254"/>
        <v>885</v>
      </c>
      <c r="V1652" s="124">
        <f t="shared" si="255"/>
        <v>1643</v>
      </c>
      <c r="W1652" s="124">
        <f t="shared" si="256"/>
        <v>22.981285594600003</v>
      </c>
      <c r="X1652" s="124">
        <f t="shared" si="257"/>
        <v>369841.74643807282</v>
      </c>
      <c r="Y1652" s="264">
        <f t="shared" si="258"/>
        <v>1643</v>
      </c>
      <c r="Z1652" s="10">
        <v>329</v>
      </c>
      <c r="AA1652" s="7">
        <v>885</v>
      </c>
      <c r="AB1652" s="7">
        <v>1643</v>
      </c>
      <c r="AC1652" s="109">
        <v>22.981285594600003</v>
      </c>
      <c r="AD1652" s="109">
        <v>369841.74643807282</v>
      </c>
      <c r="AE1652" s="125"/>
      <c r="AF1652" s="10"/>
      <c r="AI1652" s="109"/>
      <c r="AJ1652" s="109"/>
      <c r="AL1652" s="10"/>
      <c r="AO1652" s="109"/>
      <c r="AP1652" s="109"/>
      <c r="AR1652" s="10"/>
      <c r="AU1652" s="109"/>
      <c r="AV1652" s="109"/>
      <c r="AX1652" s="10"/>
      <c r="BA1652" s="109"/>
      <c r="BB1652" s="109"/>
      <c r="BD1652" s="10"/>
      <c r="BG1652" s="109"/>
      <c r="BH1652" s="109"/>
      <c r="BJ1652" s="10"/>
      <c r="BM1652" s="109"/>
      <c r="BN1652" s="109"/>
      <c r="BP1652" s="10"/>
      <c r="BS1652" s="109"/>
      <c r="BT1652" s="109"/>
      <c r="BV1652" s="10"/>
      <c r="BY1652" s="109"/>
      <c r="BZ1652" s="109"/>
      <c r="CB1652" s="10"/>
      <c r="CE1652" s="109"/>
      <c r="CF1652" s="109"/>
      <c r="CH1652" s="10"/>
      <c r="CK1652" s="109"/>
      <c r="CL1652" s="109"/>
    </row>
    <row r="1653" spans="1:90">
      <c r="A1653" s="7" t="str">
        <f t="shared" si="251"/>
        <v>03290998</v>
      </c>
      <c r="B1653" s="7" t="s">
        <v>2668</v>
      </c>
      <c r="C1653" s="7" t="s">
        <v>2781</v>
      </c>
      <c r="D1653" s="7">
        <v>1644</v>
      </c>
      <c r="E1653" s="7">
        <v>329</v>
      </c>
      <c r="F1653" s="7" t="s">
        <v>2135</v>
      </c>
      <c r="G1653" s="7">
        <v>998</v>
      </c>
      <c r="I1653" s="129">
        <v>0</v>
      </c>
      <c r="J1653" s="130">
        <v>0</v>
      </c>
      <c r="K1653" s="123">
        <f t="shared" si="260"/>
        <v>0</v>
      </c>
      <c r="L1653" s="122">
        <f>IF(K1654&gt;0, K1653/K1654, 0)</f>
        <v>0</v>
      </c>
      <c r="M1653" s="71"/>
      <c r="N1653" s="10">
        <f>ROUND(M1654*L1653,0)</f>
        <v>0</v>
      </c>
      <c r="O1653" s="70">
        <v>0</v>
      </c>
      <c r="P1653" s="10">
        <f>N1653-O1653</f>
        <v>0</v>
      </c>
      <c r="Q1653" s="46">
        <f t="shared" si="259"/>
        <v>0</v>
      </c>
      <c r="R1653" s="10">
        <v>0</v>
      </c>
      <c r="S1653" s="7">
        <f t="shared" si="252"/>
        <v>0</v>
      </c>
      <c r="T1653" s="124">
        <f t="shared" si="253"/>
        <v>329</v>
      </c>
      <c r="U1653" s="124">
        <f t="shared" si="254"/>
        <v>998</v>
      </c>
      <c r="V1653" s="124">
        <f t="shared" si="255"/>
        <v>1644</v>
      </c>
      <c r="W1653" s="124">
        <f t="shared" si="256"/>
        <v>0</v>
      </c>
      <c r="X1653" s="124">
        <f t="shared" si="257"/>
        <v>0</v>
      </c>
      <c r="Y1653" s="264">
        <f t="shared" si="258"/>
        <v>1644</v>
      </c>
      <c r="Z1653" s="10">
        <v>329</v>
      </c>
      <c r="AA1653" s="7">
        <v>998</v>
      </c>
      <c r="AB1653" s="7">
        <v>1644</v>
      </c>
      <c r="AC1653" s="109">
        <v>0</v>
      </c>
      <c r="AD1653" s="109">
        <v>0</v>
      </c>
      <c r="AE1653" s="125"/>
      <c r="AF1653" s="10"/>
      <c r="AI1653" s="109"/>
      <c r="AJ1653" s="109"/>
      <c r="AL1653" s="10"/>
      <c r="AO1653" s="109"/>
      <c r="AP1653" s="109"/>
      <c r="AR1653" s="10"/>
      <c r="AU1653" s="109"/>
      <c r="AV1653" s="109"/>
      <c r="AX1653" s="10"/>
      <c r="BA1653" s="109"/>
      <c r="BB1653" s="109"/>
      <c r="BD1653" s="10"/>
      <c r="BG1653" s="109"/>
      <c r="BH1653" s="109"/>
      <c r="BJ1653" s="10"/>
      <c r="BM1653" s="109"/>
      <c r="BN1653" s="109"/>
      <c r="BP1653" s="10"/>
      <c r="BS1653" s="109"/>
      <c r="BT1653" s="109"/>
      <c r="BV1653" s="10"/>
      <c r="BY1653" s="109"/>
      <c r="BZ1653" s="109"/>
      <c r="CB1653" s="10"/>
      <c r="CE1653" s="109"/>
      <c r="CF1653" s="109"/>
      <c r="CH1653" s="10"/>
      <c r="CK1653" s="109"/>
      <c r="CL1653" s="109"/>
    </row>
    <row r="1654" spans="1:90">
      <c r="A1654" s="7" t="str">
        <f t="shared" si="251"/>
        <v>03290999</v>
      </c>
      <c r="B1654" s="7" t="s">
        <v>2668</v>
      </c>
      <c r="C1654" s="7" t="s">
        <v>2782</v>
      </c>
      <c r="D1654" s="7">
        <v>1645</v>
      </c>
      <c r="E1654" s="11">
        <v>329</v>
      </c>
      <c r="F1654" s="11" t="s">
        <v>2034</v>
      </c>
      <c r="G1654" s="11">
        <v>999</v>
      </c>
      <c r="H1654" s="11" t="s">
        <v>1132</v>
      </c>
      <c r="I1654" s="134">
        <v>6110875</v>
      </c>
      <c r="J1654" s="135">
        <v>1</v>
      </c>
      <c r="K1654" s="127">
        <f>SUM(K1650:K1653)</f>
        <v>6343693.7182545587</v>
      </c>
      <c r="L1654" s="126">
        <f>SUM(L1650:L1653)</f>
        <v>1</v>
      </c>
      <c r="M1654" s="105">
        <f>VLOOKUP(E1654,town351,22)</f>
        <v>5250708</v>
      </c>
      <c r="N1654" s="105">
        <f>SUM(N1650:N1653)</f>
        <v>5250708</v>
      </c>
      <c r="O1654" s="128">
        <v>5120599</v>
      </c>
      <c r="P1654" s="105">
        <f>SUM(P1650:P1653)</f>
        <v>130109</v>
      </c>
      <c r="Q1654" s="45">
        <f t="shared" si="259"/>
        <v>2.5408941414861816</v>
      </c>
      <c r="R1654" s="105">
        <v>643</v>
      </c>
      <c r="S1654" s="7">
        <f t="shared" si="252"/>
        <v>0</v>
      </c>
      <c r="T1654" s="124">
        <f t="shared" si="253"/>
        <v>329</v>
      </c>
      <c r="U1654" s="124">
        <f t="shared" si="254"/>
        <v>999</v>
      </c>
      <c r="V1654" s="124">
        <f t="shared" si="255"/>
        <v>1645</v>
      </c>
      <c r="W1654" s="124">
        <f t="shared" si="256"/>
        <v>651.46027719895994</v>
      </c>
      <c r="X1654" s="124">
        <f t="shared" si="257"/>
        <v>6343693.7182545587</v>
      </c>
      <c r="Y1654" s="264">
        <f t="shared" si="258"/>
        <v>1645</v>
      </c>
      <c r="Z1654" s="10">
        <v>329</v>
      </c>
      <c r="AA1654" s="7">
        <v>999</v>
      </c>
      <c r="AB1654" s="7">
        <v>1645</v>
      </c>
      <c r="AC1654" s="109">
        <v>651.46027719895994</v>
      </c>
      <c r="AD1654" s="109">
        <v>6343693.7182545587</v>
      </c>
      <c r="AE1654" s="125"/>
      <c r="AF1654" s="10"/>
      <c r="AI1654" s="109"/>
      <c r="AJ1654" s="109"/>
      <c r="AL1654" s="10"/>
      <c r="AO1654" s="109"/>
      <c r="AP1654" s="109"/>
      <c r="AR1654" s="10"/>
      <c r="AU1654" s="109"/>
      <c r="AV1654" s="109"/>
      <c r="AX1654" s="10"/>
      <c r="BA1654" s="109"/>
      <c r="BB1654" s="109"/>
      <c r="BD1654" s="10"/>
      <c r="BG1654" s="109"/>
      <c r="BH1654" s="109"/>
      <c r="BJ1654" s="10"/>
      <c r="BM1654" s="109"/>
      <c r="BN1654" s="109"/>
      <c r="BP1654" s="10"/>
      <c r="BS1654" s="109"/>
      <c r="BT1654" s="109"/>
      <c r="BV1654" s="10"/>
      <c r="BY1654" s="109"/>
      <c r="BZ1654" s="109"/>
      <c r="CB1654" s="10"/>
      <c r="CE1654" s="109"/>
      <c r="CF1654" s="109"/>
      <c r="CH1654" s="10"/>
      <c r="CK1654" s="109"/>
      <c r="CL1654" s="109"/>
    </row>
    <row r="1655" spans="1:90">
      <c r="A1655" s="7" t="str">
        <f t="shared" si="251"/>
        <v>03300330</v>
      </c>
      <c r="B1655" s="7" t="s">
        <v>2669</v>
      </c>
      <c r="C1655" s="7" t="s">
        <v>2669</v>
      </c>
      <c r="D1655" s="7">
        <v>1646</v>
      </c>
      <c r="E1655" s="7">
        <v>330</v>
      </c>
      <c r="F1655" s="7" t="s">
        <v>2035</v>
      </c>
      <c r="G1655" s="7">
        <v>330</v>
      </c>
      <c r="H1655" s="7" t="s">
        <v>1596</v>
      </c>
      <c r="I1655" s="70">
        <v>20900052.866529997</v>
      </c>
      <c r="J1655" s="131">
        <v>0.99583703056084438</v>
      </c>
      <c r="K1655" s="123">
        <f>X1655</f>
        <v>21251738.294267315</v>
      </c>
      <c r="L1655" s="122">
        <f>IF(K1659&gt;0, K1655/K1659, 0)</f>
        <v>1</v>
      </c>
      <c r="M1655" s="71"/>
      <c r="N1655" s="10">
        <f>ROUND(M1659*L1655,0)</f>
        <v>17672626</v>
      </c>
      <c r="O1655" s="70">
        <v>17600265</v>
      </c>
      <c r="P1655" s="10">
        <f>N1655-O1655</f>
        <v>72361</v>
      </c>
      <c r="Q1655" s="46">
        <f t="shared" si="259"/>
        <v>0.41113585505672784</v>
      </c>
      <c r="R1655" s="10">
        <v>2181</v>
      </c>
      <c r="S1655" s="7">
        <f t="shared" si="252"/>
        <v>0</v>
      </c>
      <c r="T1655" s="124">
        <f t="shared" si="253"/>
        <v>330</v>
      </c>
      <c r="U1655" s="124">
        <f t="shared" si="254"/>
        <v>330</v>
      </c>
      <c r="V1655" s="124">
        <f t="shared" si="255"/>
        <v>1646</v>
      </c>
      <c r="W1655" s="124">
        <f t="shared" si="256"/>
        <v>2159</v>
      </c>
      <c r="X1655" s="124">
        <f t="shared" si="257"/>
        <v>21251738.294267315</v>
      </c>
      <c r="Y1655" s="264">
        <f t="shared" si="258"/>
        <v>1646</v>
      </c>
      <c r="Z1655" s="10">
        <v>330</v>
      </c>
      <c r="AA1655" s="7">
        <v>330</v>
      </c>
      <c r="AB1655" s="7">
        <v>1646</v>
      </c>
      <c r="AC1655" s="109">
        <v>2159</v>
      </c>
      <c r="AD1655" s="109">
        <v>21251738.294267315</v>
      </c>
      <c r="AE1655" s="125"/>
      <c r="AF1655" s="10"/>
      <c r="AI1655" s="109"/>
      <c r="AJ1655" s="109"/>
      <c r="AL1655" s="10"/>
      <c r="AO1655" s="109"/>
      <c r="AP1655" s="109"/>
      <c r="AR1655" s="10"/>
      <c r="AU1655" s="109"/>
      <c r="AV1655" s="109"/>
      <c r="AX1655" s="10"/>
      <c r="BA1655" s="109"/>
      <c r="BB1655" s="109"/>
      <c r="BD1655" s="10"/>
      <c r="BG1655" s="109"/>
      <c r="BH1655" s="109"/>
      <c r="BJ1655" s="10"/>
      <c r="BM1655" s="109"/>
      <c r="BN1655" s="109"/>
      <c r="BP1655" s="10"/>
      <c r="BS1655" s="109"/>
      <c r="BT1655" s="109"/>
      <c r="BV1655" s="10"/>
      <c r="BY1655" s="109"/>
      <c r="BZ1655" s="109"/>
      <c r="CB1655" s="10"/>
      <c r="CE1655" s="109"/>
      <c r="CF1655" s="109"/>
      <c r="CH1655" s="10"/>
      <c r="CK1655" s="109"/>
      <c r="CL1655" s="109"/>
    </row>
    <row r="1656" spans="1:90">
      <c r="A1656" s="7" t="str">
        <f t="shared" si="251"/>
        <v>03300830</v>
      </c>
      <c r="B1656" s="7" t="s">
        <v>2669</v>
      </c>
      <c r="C1656" s="7" t="s">
        <v>2764</v>
      </c>
      <c r="D1656" s="7">
        <v>1647</v>
      </c>
      <c r="E1656" s="7">
        <v>330</v>
      </c>
      <c r="F1656" s="7" t="s">
        <v>2035</v>
      </c>
      <c r="G1656" s="7">
        <v>830</v>
      </c>
      <c r="H1656" s="7" t="s">
        <v>1691</v>
      </c>
      <c r="I1656" s="70">
        <v>87370</v>
      </c>
      <c r="J1656" s="131">
        <v>4.1629694391556093E-3</v>
      </c>
      <c r="K1656" s="123">
        <f t="shared" si="260"/>
        <v>0</v>
      </c>
      <c r="L1656" s="122">
        <f>IF(K1659&gt;0, K1656/K1659, 0)</f>
        <v>0</v>
      </c>
      <c r="M1656" s="71"/>
      <c r="N1656" s="10">
        <f>ROUND(M1659*L1656,0)</f>
        <v>0</v>
      </c>
      <c r="O1656" s="70">
        <v>73576</v>
      </c>
      <c r="P1656" s="10">
        <f>N1656-O1656</f>
        <v>-73576</v>
      </c>
      <c r="Q1656" s="46">
        <f t="shared" si="259"/>
        <v>-100</v>
      </c>
      <c r="R1656" s="10">
        <v>5</v>
      </c>
      <c r="S1656" s="7">
        <f t="shared" si="252"/>
        <v>0</v>
      </c>
      <c r="T1656" s="124">
        <f t="shared" si="253"/>
        <v>330</v>
      </c>
      <c r="U1656" s="124">
        <f t="shared" si="254"/>
        <v>830</v>
      </c>
      <c r="V1656" s="124">
        <f t="shared" si="255"/>
        <v>1647</v>
      </c>
      <c r="W1656" s="124">
        <f t="shared" si="256"/>
        <v>0</v>
      </c>
      <c r="X1656" s="124">
        <f t="shared" si="257"/>
        <v>0</v>
      </c>
      <c r="Y1656" s="264">
        <f t="shared" si="258"/>
        <v>1647</v>
      </c>
      <c r="Z1656" s="10">
        <v>330</v>
      </c>
      <c r="AA1656" s="7">
        <v>830</v>
      </c>
      <c r="AB1656" s="7">
        <v>1647</v>
      </c>
      <c r="AC1656" s="109">
        <v>0</v>
      </c>
      <c r="AD1656" s="109">
        <v>0</v>
      </c>
      <c r="AE1656" s="125"/>
      <c r="AF1656" s="10"/>
      <c r="AI1656" s="109"/>
      <c r="AJ1656" s="109"/>
      <c r="AL1656" s="10"/>
      <c r="AO1656" s="109"/>
      <c r="AP1656" s="109"/>
      <c r="AR1656" s="10"/>
      <c r="AU1656" s="109"/>
      <c r="AV1656" s="109"/>
      <c r="AX1656" s="10"/>
      <c r="BA1656" s="109"/>
      <c r="BB1656" s="109"/>
      <c r="BD1656" s="10"/>
      <c r="BG1656" s="109"/>
      <c r="BH1656" s="109"/>
      <c r="BJ1656" s="10"/>
      <c r="BM1656" s="109"/>
      <c r="BN1656" s="109"/>
      <c r="BP1656" s="10"/>
      <c r="BS1656" s="109"/>
      <c r="BT1656" s="109"/>
      <c r="BV1656" s="10"/>
      <c r="BY1656" s="109"/>
      <c r="BZ1656" s="109"/>
      <c r="CB1656" s="10"/>
      <c r="CE1656" s="109"/>
      <c r="CF1656" s="109"/>
      <c r="CH1656" s="10"/>
      <c r="CK1656" s="109"/>
      <c r="CL1656" s="109"/>
    </row>
    <row r="1657" spans="1:90">
      <c r="A1657" s="7" t="str">
        <f t="shared" si="251"/>
        <v>03300998</v>
      </c>
      <c r="B1657" s="7" t="s">
        <v>2669</v>
      </c>
      <c r="C1657" s="7" t="s">
        <v>2781</v>
      </c>
      <c r="D1657" s="7">
        <v>1648</v>
      </c>
      <c r="E1657" s="7">
        <v>330</v>
      </c>
      <c r="F1657" s="7" t="s">
        <v>2135</v>
      </c>
      <c r="G1657" s="7">
        <v>998</v>
      </c>
      <c r="H1657" s="7" t="s">
        <v>2135</v>
      </c>
      <c r="I1657" s="70">
        <v>0</v>
      </c>
      <c r="J1657" s="131">
        <v>0</v>
      </c>
      <c r="K1657" s="123">
        <f t="shared" si="260"/>
        <v>0</v>
      </c>
      <c r="L1657" s="122">
        <f>IF(K1659&gt;0, K1657/K1659, 0)</f>
        <v>0</v>
      </c>
      <c r="M1657" s="71"/>
      <c r="N1657" s="10">
        <f>ROUND(M1659*L1657,0)</f>
        <v>0</v>
      </c>
      <c r="O1657" s="70">
        <v>0</v>
      </c>
      <c r="P1657" s="10">
        <f>N1657-O1657</f>
        <v>0</v>
      </c>
      <c r="Q1657" s="46">
        <f t="shared" si="259"/>
        <v>0</v>
      </c>
      <c r="R1657" s="10">
        <v>0</v>
      </c>
      <c r="S1657" s="7">
        <f t="shared" si="252"/>
        <v>0</v>
      </c>
      <c r="T1657" s="124">
        <f t="shared" si="253"/>
        <v>330</v>
      </c>
      <c r="U1657" s="124">
        <f t="shared" si="254"/>
        <v>998</v>
      </c>
      <c r="V1657" s="124">
        <f t="shared" si="255"/>
        <v>1648</v>
      </c>
      <c r="W1657" s="124">
        <f t="shared" si="256"/>
        <v>0</v>
      </c>
      <c r="X1657" s="124">
        <f t="shared" si="257"/>
        <v>0</v>
      </c>
      <c r="Y1657" s="264">
        <f t="shared" si="258"/>
        <v>1648</v>
      </c>
      <c r="Z1657" s="10">
        <v>330</v>
      </c>
      <c r="AA1657" s="7">
        <v>998</v>
      </c>
      <c r="AB1657" s="7">
        <v>1648</v>
      </c>
      <c r="AC1657" s="109">
        <v>0</v>
      </c>
      <c r="AD1657" s="109">
        <v>0</v>
      </c>
      <c r="AE1657" s="125"/>
      <c r="AF1657" s="10"/>
      <c r="AI1657" s="109"/>
      <c r="AJ1657" s="109"/>
      <c r="AL1657" s="10"/>
      <c r="AO1657" s="109"/>
      <c r="AP1657" s="109"/>
      <c r="AR1657" s="10"/>
      <c r="AU1657" s="109"/>
      <c r="AV1657" s="109"/>
      <c r="AX1657" s="10"/>
      <c r="BA1657" s="109"/>
      <c r="BB1657" s="109"/>
      <c r="BD1657" s="10"/>
      <c r="BG1657" s="109"/>
      <c r="BH1657" s="109"/>
      <c r="BJ1657" s="10"/>
      <c r="BM1657" s="109"/>
      <c r="BN1657" s="109"/>
      <c r="BP1657" s="10"/>
      <c r="BS1657" s="109"/>
      <c r="BT1657" s="109"/>
      <c r="BV1657" s="10"/>
      <c r="BY1657" s="109"/>
      <c r="BZ1657" s="109"/>
      <c r="CB1657" s="10"/>
      <c r="CE1657" s="109"/>
      <c r="CF1657" s="109"/>
      <c r="CH1657" s="10"/>
      <c r="CK1657" s="109"/>
      <c r="CL1657" s="109"/>
    </row>
    <row r="1658" spans="1:90">
      <c r="A1658" s="7" t="str">
        <f t="shared" si="251"/>
        <v>03300998</v>
      </c>
      <c r="B1658" s="7" t="s">
        <v>2669</v>
      </c>
      <c r="C1658" s="7" t="s">
        <v>2781</v>
      </c>
      <c r="D1658" s="7">
        <v>1649</v>
      </c>
      <c r="E1658" s="7">
        <v>330</v>
      </c>
      <c r="F1658" s="7" t="s">
        <v>2135</v>
      </c>
      <c r="G1658" s="7">
        <v>998</v>
      </c>
      <c r="H1658" s="7" t="s">
        <v>2135</v>
      </c>
      <c r="I1658" s="70">
        <v>0</v>
      </c>
      <c r="J1658" s="131">
        <v>0</v>
      </c>
      <c r="K1658" s="123">
        <f t="shared" si="260"/>
        <v>0</v>
      </c>
      <c r="L1658" s="122">
        <f>IF(K1659&gt;0, K1658/K1659, 0)</f>
        <v>0</v>
      </c>
      <c r="M1658" s="71"/>
      <c r="N1658" s="10">
        <f>ROUND(M1659*L1658,0)</f>
        <v>0</v>
      </c>
      <c r="O1658" s="70">
        <v>0</v>
      </c>
      <c r="P1658" s="10">
        <f>N1658-O1658</f>
        <v>0</v>
      </c>
      <c r="Q1658" s="46">
        <f t="shared" si="259"/>
        <v>0</v>
      </c>
      <c r="R1658" s="10">
        <v>0</v>
      </c>
      <c r="S1658" s="7">
        <f t="shared" si="252"/>
        <v>0</v>
      </c>
      <c r="T1658" s="124">
        <f t="shared" si="253"/>
        <v>330</v>
      </c>
      <c r="U1658" s="124">
        <f t="shared" si="254"/>
        <v>998</v>
      </c>
      <c r="V1658" s="124">
        <f t="shared" si="255"/>
        <v>1649</v>
      </c>
      <c r="W1658" s="124">
        <f t="shared" si="256"/>
        <v>0</v>
      </c>
      <c r="X1658" s="124">
        <f t="shared" si="257"/>
        <v>0</v>
      </c>
      <c r="Y1658" s="264">
        <f t="shared" si="258"/>
        <v>1649</v>
      </c>
      <c r="Z1658" s="10">
        <v>330</v>
      </c>
      <c r="AA1658" s="7">
        <v>998</v>
      </c>
      <c r="AB1658" s="7">
        <v>1649</v>
      </c>
      <c r="AC1658" s="109">
        <v>0</v>
      </c>
      <c r="AD1658" s="109">
        <v>0</v>
      </c>
      <c r="AE1658" s="125"/>
      <c r="AF1658" s="10"/>
      <c r="AI1658" s="109"/>
      <c r="AJ1658" s="109"/>
      <c r="AL1658" s="10"/>
      <c r="AO1658" s="109"/>
      <c r="AP1658" s="109"/>
      <c r="AR1658" s="10"/>
      <c r="AU1658" s="109"/>
      <c r="AV1658" s="109"/>
      <c r="AX1658" s="10"/>
      <c r="BA1658" s="109"/>
      <c r="BB1658" s="109"/>
      <c r="BD1658" s="10"/>
      <c r="BG1658" s="109"/>
      <c r="BH1658" s="109"/>
      <c r="BJ1658" s="10"/>
      <c r="BM1658" s="109"/>
      <c r="BN1658" s="109"/>
      <c r="BP1658" s="10"/>
      <c r="BS1658" s="109"/>
      <c r="BT1658" s="109"/>
      <c r="BV1658" s="10"/>
      <c r="BY1658" s="109"/>
      <c r="BZ1658" s="109"/>
      <c r="CB1658" s="10"/>
      <c r="CE1658" s="109"/>
      <c r="CF1658" s="109"/>
      <c r="CH1658" s="10"/>
      <c r="CK1658" s="109"/>
      <c r="CL1658" s="109"/>
    </row>
    <row r="1659" spans="1:90">
      <c r="A1659" s="7" t="str">
        <f t="shared" si="251"/>
        <v>03300999</v>
      </c>
      <c r="B1659" s="7" t="s">
        <v>2669</v>
      </c>
      <c r="C1659" s="7" t="s">
        <v>2782</v>
      </c>
      <c r="D1659" s="7">
        <v>1650</v>
      </c>
      <c r="E1659" s="11">
        <v>330</v>
      </c>
      <c r="F1659" s="11" t="s">
        <v>2035</v>
      </c>
      <c r="G1659" s="11">
        <v>999</v>
      </c>
      <c r="H1659" s="11" t="s">
        <v>1132</v>
      </c>
      <c r="I1659" s="134">
        <v>20987422.866529997</v>
      </c>
      <c r="J1659" s="135">
        <v>1</v>
      </c>
      <c r="K1659" s="127">
        <f>SUM(K1655:K1658)</f>
        <v>21251738.294267315</v>
      </c>
      <c r="L1659" s="126">
        <f>SUM(L1655:L1658)</f>
        <v>1</v>
      </c>
      <c r="M1659" s="105">
        <f>VLOOKUP(E1659,town351,22)</f>
        <v>17672626</v>
      </c>
      <c r="N1659" s="105">
        <f>SUM(N1655:N1658)</f>
        <v>17672626</v>
      </c>
      <c r="O1659" s="128">
        <v>17673841</v>
      </c>
      <c r="P1659" s="105">
        <f>SUM(P1655:P1658)</f>
        <v>-1215</v>
      </c>
      <c r="Q1659" s="45">
        <f t="shared" si="259"/>
        <v>-6.87456676791423E-3</v>
      </c>
      <c r="R1659" s="105">
        <v>2186</v>
      </c>
      <c r="S1659" s="7">
        <f t="shared" si="252"/>
        <v>0</v>
      </c>
      <c r="T1659" s="124">
        <f t="shared" si="253"/>
        <v>330</v>
      </c>
      <c r="U1659" s="124">
        <f t="shared" si="254"/>
        <v>999</v>
      </c>
      <c r="V1659" s="124">
        <f t="shared" si="255"/>
        <v>1650</v>
      </c>
      <c r="W1659" s="124">
        <f t="shared" si="256"/>
        <v>2159</v>
      </c>
      <c r="X1659" s="124">
        <f t="shared" si="257"/>
        <v>21251738.294267315</v>
      </c>
      <c r="Y1659" s="264">
        <f t="shared" si="258"/>
        <v>1650</v>
      </c>
      <c r="Z1659" s="10">
        <v>330</v>
      </c>
      <c r="AA1659" s="7">
        <v>999</v>
      </c>
      <c r="AB1659" s="7">
        <v>1650</v>
      </c>
      <c r="AC1659" s="109">
        <v>2159</v>
      </c>
      <c r="AD1659" s="109">
        <v>21251738.294267315</v>
      </c>
      <c r="AE1659" s="125"/>
      <c r="AF1659" s="10"/>
      <c r="AI1659" s="109"/>
      <c r="AJ1659" s="109"/>
      <c r="AL1659" s="10"/>
      <c r="AO1659" s="109"/>
      <c r="AP1659" s="109"/>
      <c r="AR1659" s="10"/>
      <c r="AU1659" s="109"/>
      <c r="AV1659" s="109"/>
      <c r="AX1659" s="10"/>
      <c r="BA1659" s="109"/>
      <c r="BB1659" s="109"/>
      <c r="BD1659" s="10"/>
      <c r="BG1659" s="109"/>
      <c r="BH1659" s="109"/>
      <c r="BJ1659" s="10"/>
      <c r="BM1659" s="109"/>
      <c r="BN1659" s="109"/>
      <c r="BP1659" s="10"/>
      <c r="BS1659" s="109"/>
      <c r="BT1659" s="109"/>
      <c r="BV1659" s="10"/>
      <c r="BY1659" s="109"/>
      <c r="BZ1659" s="109"/>
      <c r="CB1659" s="10"/>
      <c r="CE1659" s="109"/>
      <c r="CF1659" s="109"/>
      <c r="CH1659" s="10"/>
      <c r="CK1659" s="109"/>
      <c r="CL1659" s="109"/>
    </row>
    <row r="1660" spans="1:90">
      <c r="A1660" s="7" t="str">
        <f t="shared" si="251"/>
        <v>03310331</v>
      </c>
      <c r="B1660" s="7" t="s">
        <v>2670</v>
      </c>
      <c r="C1660" s="7" t="s">
        <v>2670</v>
      </c>
      <c r="D1660" s="7">
        <v>1651</v>
      </c>
      <c r="E1660" s="7">
        <v>331</v>
      </c>
      <c r="F1660" s="7" t="s">
        <v>2036</v>
      </c>
      <c r="G1660" s="7">
        <v>331</v>
      </c>
      <c r="H1660" s="7" t="s">
        <v>1597</v>
      </c>
      <c r="I1660" s="70">
        <v>14911266.000000002</v>
      </c>
      <c r="J1660" s="131">
        <v>0.86697101684624134</v>
      </c>
      <c r="K1660" s="123">
        <f>X1660</f>
        <v>14885291.294271678</v>
      </c>
      <c r="L1660" s="122">
        <f>IF(K1664&gt;0, K1660/K1664, 0)</f>
        <v>0.85026484600760965</v>
      </c>
      <c r="M1660" s="71"/>
      <c r="N1660" s="10">
        <f>ROUND(M1664*L1660,0)</f>
        <v>12354601</v>
      </c>
      <c r="O1660" s="70">
        <v>12467729</v>
      </c>
      <c r="P1660" s="10">
        <f>N1660-O1660</f>
        <v>-113128</v>
      </c>
      <c r="Q1660" s="46">
        <f t="shared" si="259"/>
        <v>-0.90736653002323042</v>
      </c>
      <c r="R1660" s="10">
        <v>1522</v>
      </c>
      <c r="S1660" s="7">
        <f t="shared" si="252"/>
        <v>0</v>
      </c>
      <c r="T1660" s="124">
        <f t="shared" si="253"/>
        <v>331</v>
      </c>
      <c r="U1660" s="124">
        <f t="shared" si="254"/>
        <v>331</v>
      </c>
      <c r="V1660" s="124">
        <f t="shared" si="255"/>
        <v>1651</v>
      </c>
      <c r="W1660" s="124">
        <f t="shared" si="256"/>
        <v>1491</v>
      </c>
      <c r="X1660" s="124">
        <f t="shared" si="257"/>
        <v>14885291.294271678</v>
      </c>
      <c r="Y1660" s="264">
        <f t="shared" si="258"/>
        <v>1651</v>
      </c>
      <c r="Z1660" s="10">
        <v>331</v>
      </c>
      <c r="AA1660" s="7">
        <v>331</v>
      </c>
      <c r="AB1660" s="7">
        <v>1651</v>
      </c>
      <c r="AC1660" s="109">
        <v>1491</v>
      </c>
      <c r="AD1660" s="109">
        <v>14885291.294271678</v>
      </c>
      <c r="AE1660" s="125"/>
      <c r="AF1660" s="10"/>
      <c r="AI1660" s="109"/>
      <c r="AJ1660" s="109"/>
      <c r="AL1660" s="10"/>
      <c r="AO1660" s="109"/>
      <c r="AP1660" s="109"/>
      <c r="AR1660" s="10"/>
      <c r="AU1660" s="109"/>
      <c r="AV1660" s="109"/>
      <c r="AX1660" s="10"/>
      <c r="BA1660" s="109"/>
      <c r="BB1660" s="109"/>
      <c r="BD1660" s="10"/>
      <c r="BG1660" s="109"/>
      <c r="BH1660" s="109"/>
      <c r="BJ1660" s="10"/>
      <c r="BM1660" s="109"/>
      <c r="BN1660" s="109"/>
      <c r="BP1660" s="10"/>
      <c r="BS1660" s="109"/>
      <c r="BT1660" s="109"/>
      <c r="BV1660" s="10"/>
      <c r="BY1660" s="109"/>
      <c r="BZ1660" s="109"/>
      <c r="CB1660" s="10"/>
      <c r="CE1660" s="109"/>
      <c r="CF1660" s="109"/>
      <c r="CH1660" s="10"/>
      <c r="CK1660" s="109"/>
      <c r="CL1660" s="109"/>
    </row>
    <row r="1661" spans="1:90">
      <c r="A1661" s="7" t="str">
        <f t="shared" si="251"/>
        <v>03310821</v>
      </c>
      <c r="B1661" s="7" t="s">
        <v>2670</v>
      </c>
      <c r="C1661" s="7" t="s">
        <v>2759</v>
      </c>
      <c r="D1661" s="7">
        <v>1652</v>
      </c>
      <c r="E1661" s="7">
        <v>331</v>
      </c>
      <c r="F1661" s="7" t="s">
        <v>2036</v>
      </c>
      <c r="G1661" s="7">
        <v>821</v>
      </c>
      <c r="H1661" s="7" t="s">
        <v>1686</v>
      </c>
      <c r="I1661" s="70">
        <v>1813035</v>
      </c>
      <c r="J1661" s="131">
        <v>0.10541350395920943</v>
      </c>
      <c r="K1661" s="123">
        <f t="shared" si="260"/>
        <v>2105995.9760283311</v>
      </c>
      <c r="L1661" s="122">
        <f>IF(K1664&gt;0, K1661/K1664, 0)</f>
        <v>0.12029689636906696</v>
      </c>
      <c r="M1661" s="71"/>
      <c r="N1661" s="10">
        <f>ROUND(M1664*L1661,0)</f>
        <v>1747950</v>
      </c>
      <c r="O1661" s="70">
        <v>1515930</v>
      </c>
      <c r="P1661" s="10">
        <f>N1661-O1661</f>
        <v>232020</v>
      </c>
      <c r="Q1661" s="46">
        <f t="shared" si="259"/>
        <v>15.305456056678079</v>
      </c>
      <c r="R1661" s="10">
        <v>115</v>
      </c>
      <c r="S1661" s="7">
        <f t="shared" si="252"/>
        <v>0</v>
      </c>
      <c r="T1661" s="124">
        <f t="shared" si="253"/>
        <v>331</v>
      </c>
      <c r="U1661" s="124">
        <f t="shared" si="254"/>
        <v>821</v>
      </c>
      <c r="V1661" s="124">
        <f t="shared" si="255"/>
        <v>1652</v>
      </c>
      <c r="W1661" s="124">
        <f t="shared" si="256"/>
        <v>130.00000000115</v>
      </c>
      <c r="X1661" s="124">
        <f t="shared" si="257"/>
        <v>2105995.9760283311</v>
      </c>
      <c r="Y1661" s="264">
        <f t="shared" si="258"/>
        <v>1652</v>
      </c>
      <c r="Z1661" s="10">
        <v>331</v>
      </c>
      <c r="AA1661" s="7">
        <v>821</v>
      </c>
      <c r="AB1661" s="7">
        <v>1652</v>
      </c>
      <c r="AC1661" s="109">
        <v>130.00000000115</v>
      </c>
      <c r="AD1661" s="109">
        <v>2105995.9760283311</v>
      </c>
      <c r="AE1661" s="125"/>
      <c r="AF1661" s="10"/>
      <c r="AI1661" s="109"/>
      <c r="AJ1661" s="109"/>
      <c r="AL1661" s="10"/>
      <c r="AO1661" s="109"/>
      <c r="AP1661" s="109"/>
      <c r="AR1661" s="10"/>
      <c r="AU1661" s="109"/>
      <c r="AV1661" s="109"/>
      <c r="AX1661" s="10"/>
      <c r="BA1661" s="109"/>
      <c r="BB1661" s="109"/>
      <c r="BD1661" s="10"/>
      <c r="BG1661" s="109"/>
      <c r="BH1661" s="109"/>
      <c r="BJ1661" s="10"/>
      <c r="BM1661" s="109"/>
      <c r="BN1661" s="109"/>
      <c r="BP1661" s="10"/>
      <c r="BS1661" s="109"/>
      <c r="BT1661" s="109"/>
      <c r="BV1661" s="10"/>
      <c r="BY1661" s="109"/>
      <c r="BZ1661" s="109"/>
      <c r="CB1661" s="10"/>
      <c r="CE1661" s="109"/>
      <c r="CF1661" s="109"/>
      <c r="CH1661" s="10"/>
      <c r="CK1661" s="109"/>
      <c r="CL1661" s="109"/>
    </row>
    <row r="1662" spans="1:90">
      <c r="A1662" s="7" t="str">
        <f t="shared" si="251"/>
        <v>03310910</v>
      </c>
      <c r="B1662" s="7" t="s">
        <v>2670</v>
      </c>
      <c r="C1662" s="7" t="s">
        <v>2778</v>
      </c>
      <c r="D1662" s="7">
        <v>1653</v>
      </c>
      <c r="E1662" s="7">
        <v>331</v>
      </c>
      <c r="F1662" s="7" t="s">
        <v>2036</v>
      </c>
      <c r="G1662" s="7">
        <v>910</v>
      </c>
      <c r="H1662" s="7" t="s">
        <v>1705</v>
      </c>
      <c r="I1662" s="70">
        <v>474966</v>
      </c>
      <c r="J1662" s="131">
        <v>2.7615479194549396E-2</v>
      </c>
      <c r="K1662" s="123">
        <f t="shared" si="260"/>
        <v>515365.34995716077</v>
      </c>
      <c r="L1662" s="122">
        <f>IF(K1664&gt;0, K1662/K1664, 0)</f>
        <v>2.9438257623323433E-2</v>
      </c>
      <c r="M1662" s="71"/>
      <c r="N1662" s="10">
        <f>ROUND(M1664*L1662,0)</f>
        <v>427747</v>
      </c>
      <c r="O1662" s="70">
        <v>397132</v>
      </c>
      <c r="P1662" s="10">
        <f>N1662-O1662</f>
        <v>30615</v>
      </c>
      <c r="Q1662" s="46">
        <f t="shared" si="259"/>
        <v>7.7090236999284869</v>
      </c>
      <c r="R1662" s="10">
        <v>31</v>
      </c>
      <c r="S1662" s="7">
        <f t="shared" si="252"/>
        <v>0</v>
      </c>
      <c r="T1662" s="124">
        <f t="shared" si="253"/>
        <v>331</v>
      </c>
      <c r="U1662" s="124">
        <f t="shared" si="254"/>
        <v>910</v>
      </c>
      <c r="V1662" s="124">
        <f t="shared" si="255"/>
        <v>1653</v>
      </c>
      <c r="W1662" s="124">
        <f t="shared" si="256"/>
        <v>33.00000000056</v>
      </c>
      <c r="X1662" s="124">
        <f t="shared" si="257"/>
        <v>515365.34995716077</v>
      </c>
      <c r="Y1662" s="264">
        <f t="shared" si="258"/>
        <v>1653</v>
      </c>
      <c r="Z1662" s="10">
        <v>331</v>
      </c>
      <c r="AA1662" s="7">
        <v>910</v>
      </c>
      <c r="AB1662" s="7">
        <v>1653</v>
      </c>
      <c r="AC1662" s="109">
        <v>33.00000000056</v>
      </c>
      <c r="AD1662" s="109">
        <v>515365.34995716077</v>
      </c>
      <c r="AE1662" s="125"/>
      <c r="AF1662" s="10"/>
      <c r="AI1662" s="109"/>
      <c r="AJ1662" s="109"/>
      <c r="AL1662" s="10"/>
      <c r="AO1662" s="109"/>
      <c r="AP1662" s="109"/>
      <c r="AR1662" s="10"/>
      <c r="AU1662" s="109"/>
      <c r="AV1662" s="109"/>
      <c r="AX1662" s="10"/>
      <c r="BA1662" s="109"/>
      <c r="BB1662" s="109"/>
      <c r="BD1662" s="10"/>
      <c r="BG1662" s="109"/>
      <c r="BH1662" s="109"/>
      <c r="BJ1662" s="10"/>
      <c r="BM1662" s="109"/>
      <c r="BN1662" s="109"/>
      <c r="BP1662" s="10"/>
      <c r="BS1662" s="109"/>
      <c r="BT1662" s="109"/>
      <c r="BV1662" s="10"/>
      <c r="BY1662" s="109"/>
      <c r="BZ1662" s="109"/>
      <c r="CB1662" s="10"/>
      <c r="CE1662" s="109"/>
      <c r="CF1662" s="109"/>
      <c r="CH1662" s="10"/>
      <c r="CK1662" s="109"/>
      <c r="CL1662" s="109"/>
    </row>
    <row r="1663" spans="1:90">
      <c r="A1663" s="7" t="str">
        <f t="shared" si="251"/>
        <v>03310998</v>
      </c>
      <c r="B1663" s="7" t="s">
        <v>2670</v>
      </c>
      <c r="C1663" s="7" t="s">
        <v>2781</v>
      </c>
      <c r="D1663" s="7">
        <v>1654</v>
      </c>
      <c r="E1663" s="7">
        <v>331</v>
      </c>
      <c r="F1663" s="7" t="s">
        <v>2135</v>
      </c>
      <c r="G1663" s="7">
        <v>998</v>
      </c>
      <c r="H1663" s="7" t="s">
        <v>2135</v>
      </c>
      <c r="I1663" s="70">
        <v>0</v>
      </c>
      <c r="J1663" s="131">
        <v>0</v>
      </c>
      <c r="K1663" s="123">
        <f t="shared" si="260"/>
        <v>0</v>
      </c>
      <c r="L1663" s="122">
        <f>IF(K1664&gt;0, K1663/K1664, 0)</f>
        <v>0</v>
      </c>
      <c r="M1663" s="71"/>
      <c r="N1663" s="10">
        <f>ROUND(M1664*L1663,0)</f>
        <v>0</v>
      </c>
      <c r="O1663" s="70">
        <v>0</v>
      </c>
      <c r="P1663" s="10">
        <f>N1663-O1663</f>
        <v>0</v>
      </c>
      <c r="Q1663" s="46">
        <f t="shared" si="259"/>
        <v>0</v>
      </c>
      <c r="R1663" s="10">
        <v>0</v>
      </c>
      <c r="S1663" s="7">
        <f t="shared" si="252"/>
        <v>0</v>
      </c>
      <c r="T1663" s="124">
        <f t="shared" si="253"/>
        <v>331</v>
      </c>
      <c r="U1663" s="124">
        <f t="shared" si="254"/>
        <v>998</v>
      </c>
      <c r="V1663" s="124">
        <f t="shared" si="255"/>
        <v>1654</v>
      </c>
      <c r="W1663" s="124">
        <f t="shared" si="256"/>
        <v>0</v>
      </c>
      <c r="X1663" s="124">
        <f t="shared" si="257"/>
        <v>0</v>
      </c>
      <c r="Y1663" s="264">
        <f t="shared" si="258"/>
        <v>1654</v>
      </c>
      <c r="Z1663" s="10">
        <v>331</v>
      </c>
      <c r="AA1663" s="7">
        <v>998</v>
      </c>
      <c r="AB1663" s="7">
        <v>1654</v>
      </c>
      <c r="AC1663" s="109">
        <v>0</v>
      </c>
      <c r="AD1663" s="109">
        <v>0</v>
      </c>
      <c r="AE1663" s="125"/>
      <c r="AF1663" s="10"/>
      <c r="AI1663" s="109"/>
      <c r="AJ1663" s="109"/>
      <c r="AL1663" s="10"/>
      <c r="AO1663" s="109"/>
      <c r="AP1663" s="109"/>
      <c r="AR1663" s="10"/>
      <c r="AU1663" s="109"/>
      <c r="AV1663" s="109"/>
      <c r="AX1663" s="10"/>
      <c r="BA1663" s="109"/>
      <c r="BB1663" s="109"/>
      <c r="BD1663" s="10"/>
      <c r="BG1663" s="109"/>
      <c r="BH1663" s="109"/>
      <c r="BJ1663" s="10"/>
      <c r="BM1663" s="109"/>
      <c r="BN1663" s="109"/>
      <c r="BP1663" s="10"/>
      <c r="BS1663" s="109"/>
      <c r="BT1663" s="109"/>
      <c r="BV1663" s="10"/>
      <c r="BY1663" s="109"/>
      <c r="BZ1663" s="109"/>
      <c r="CB1663" s="10"/>
      <c r="CE1663" s="109"/>
      <c r="CF1663" s="109"/>
      <c r="CH1663" s="10"/>
      <c r="CK1663" s="109"/>
      <c r="CL1663" s="109"/>
    </row>
    <row r="1664" spans="1:90">
      <c r="A1664" s="7" t="str">
        <f t="shared" si="251"/>
        <v>03310999</v>
      </c>
      <c r="B1664" s="7" t="s">
        <v>2670</v>
      </c>
      <c r="C1664" s="7" t="s">
        <v>2782</v>
      </c>
      <c r="D1664" s="7">
        <v>1655</v>
      </c>
      <c r="E1664" s="11">
        <v>331</v>
      </c>
      <c r="F1664" s="11" t="s">
        <v>2036</v>
      </c>
      <c r="G1664" s="11">
        <v>999</v>
      </c>
      <c r="H1664" s="11" t="s">
        <v>1132</v>
      </c>
      <c r="I1664" s="134">
        <v>17199267</v>
      </c>
      <c r="J1664" s="135">
        <v>1.0000000000000002</v>
      </c>
      <c r="K1664" s="127">
        <f>SUM(K1660:K1663)</f>
        <v>17506652.620257169</v>
      </c>
      <c r="L1664" s="126">
        <f>SUM(L1660:L1663)</f>
        <v>1</v>
      </c>
      <c r="M1664" s="105">
        <f>VLOOKUP(E1664,town351,22)</f>
        <v>14530297</v>
      </c>
      <c r="N1664" s="105">
        <f>SUM(N1660:N1663)</f>
        <v>14530298</v>
      </c>
      <c r="O1664" s="128">
        <v>14380791</v>
      </c>
      <c r="P1664" s="105">
        <f>SUM(P1660:P1663)</f>
        <v>149507</v>
      </c>
      <c r="Q1664" s="45">
        <f t="shared" si="259"/>
        <v>1.0396298784955571</v>
      </c>
      <c r="R1664" s="105">
        <v>1668</v>
      </c>
      <c r="S1664" s="7">
        <f t="shared" si="252"/>
        <v>0</v>
      </c>
      <c r="T1664" s="124">
        <f t="shared" si="253"/>
        <v>331</v>
      </c>
      <c r="U1664" s="124">
        <f t="shared" si="254"/>
        <v>999</v>
      </c>
      <c r="V1664" s="124">
        <f t="shared" si="255"/>
        <v>1655</v>
      </c>
      <c r="W1664" s="124">
        <f t="shared" si="256"/>
        <v>1654.0000000017101</v>
      </c>
      <c r="X1664" s="124">
        <f t="shared" si="257"/>
        <v>17506652.620257169</v>
      </c>
      <c r="Y1664" s="264">
        <f t="shared" si="258"/>
        <v>1655</v>
      </c>
      <c r="Z1664" s="10">
        <v>331</v>
      </c>
      <c r="AA1664" s="7">
        <v>999</v>
      </c>
      <c r="AB1664" s="7">
        <v>1655</v>
      </c>
      <c r="AC1664" s="109">
        <v>1654.0000000017101</v>
      </c>
      <c r="AD1664" s="109">
        <v>17506652.620257169</v>
      </c>
      <c r="AE1664" s="125"/>
      <c r="AF1664" s="10"/>
      <c r="AI1664" s="109"/>
      <c r="AJ1664" s="109"/>
      <c r="AL1664" s="10"/>
      <c r="AO1664" s="109"/>
      <c r="AP1664" s="109"/>
      <c r="AR1664" s="10"/>
      <c r="AU1664" s="109"/>
      <c r="AV1664" s="109"/>
      <c r="AX1664" s="10"/>
      <c r="BA1664" s="109"/>
      <c r="BB1664" s="109"/>
      <c r="BD1664" s="10"/>
      <c r="BG1664" s="109"/>
      <c r="BH1664" s="109"/>
      <c r="BJ1664" s="10"/>
      <c r="BM1664" s="109"/>
      <c r="BN1664" s="109"/>
      <c r="BP1664" s="10"/>
      <c r="BS1664" s="109"/>
      <c r="BT1664" s="109"/>
      <c r="BV1664" s="10"/>
      <c r="BY1664" s="109"/>
      <c r="BZ1664" s="109"/>
      <c r="CB1664" s="10"/>
      <c r="CE1664" s="109"/>
      <c r="CF1664" s="109"/>
      <c r="CH1664" s="10"/>
      <c r="CK1664" s="109"/>
      <c r="CL1664" s="109"/>
    </row>
    <row r="1665" spans="1:90">
      <c r="A1665" s="7" t="str">
        <f t="shared" si="251"/>
        <v>03320332</v>
      </c>
      <c r="B1665" s="7" t="s">
        <v>2671</v>
      </c>
      <c r="C1665" s="7" t="s">
        <v>2671</v>
      </c>
      <c r="D1665" s="7">
        <v>1656</v>
      </c>
      <c r="E1665" s="7">
        <v>332</v>
      </c>
      <c r="F1665" s="7" t="s">
        <v>2037</v>
      </c>
      <c r="G1665" s="7">
        <v>332</v>
      </c>
      <c r="H1665" s="7" t="s">
        <v>1598</v>
      </c>
      <c r="I1665" s="70">
        <v>44295065.429999992</v>
      </c>
      <c r="J1665" s="131">
        <v>1</v>
      </c>
      <c r="K1665" s="123">
        <f>X1665</f>
        <v>46379224.347272687</v>
      </c>
      <c r="L1665" s="122">
        <f>IF(K1669&gt;0, K1665/K1669, 0)</f>
        <v>1</v>
      </c>
      <c r="M1665" s="71"/>
      <c r="N1665" s="10">
        <f>ROUND(M1669*L1665,0)</f>
        <v>20257037</v>
      </c>
      <c r="O1665" s="70">
        <v>20212569</v>
      </c>
      <c r="P1665" s="10">
        <f>N1665-O1665</f>
        <v>44468</v>
      </c>
      <c r="Q1665" s="46">
        <f t="shared" si="259"/>
        <v>0.22000172269047047</v>
      </c>
      <c r="R1665" s="10">
        <v>3980</v>
      </c>
      <c r="S1665" s="7">
        <f t="shared" si="252"/>
        <v>0</v>
      </c>
      <c r="T1665" s="124">
        <f t="shared" si="253"/>
        <v>332</v>
      </c>
      <c r="U1665" s="124">
        <f t="shared" si="254"/>
        <v>332</v>
      </c>
      <c r="V1665" s="124">
        <f t="shared" si="255"/>
        <v>1656</v>
      </c>
      <c r="W1665" s="124">
        <f t="shared" si="256"/>
        <v>4082</v>
      </c>
      <c r="X1665" s="124">
        <f t="shared" si="257"/>
        <v>46379224.347272687</v>
      </c>
      <c r="Y1665" s="264">
        <f t="shared" si="258"/>
        <v>1656</v>
      </c>
      <c r="Z1665" s="10">
        <v>332</v>
      </c>
      <c r="AA1665" s="7">
        <v>332</v>
      </c>
      <c r="AB1665" s="7">
        <v>1656</v>
      </c>
      <c r="AC1665" s="109">
        <v>4082</v>
      </c>
      <c r="AD1665" s="109">
        <v>46379224.347272687</v>
      </c>
      <c r="AE1665" s="125"/>
      <c r="AF1665" s="10"/>
      <c r="AI1665" s="109"/>
      <c r="AJ1665" s="109"/>
      <c r="AL1665" s="10"/>
      <c r="AO1665" s="109"/>
      <c r="AP1665" s="109"/>
      <c r="AR1665" s="10"/>
      <c r="AU1665" s="109"/>
      <c r="AV1665" s="109"/>
      <c r="AX1665" s="10"/>
      <c r="BA1665" s="109"/>
      <c r="BB1665" s="109"/>
      <c r="BD1665" s="10"/>
      <c r="BG1665" s="109"/>
      <c r="BH1665" s="109"/>
      <c r="BJ1665" s="10"/>
      <c r="BM1665" s="109"/>
      <c r="BN1665" s="109"/>
      <c r="BP1665" s="10"/>
      <c r="BS1665" s="109"/>
      <c r="BT1665" s="109"/>
      <c r="BV1665" s="10"/>
      <c r="BY1665" s="109"/>
      <c r="BZ1665" s="109"/>
      <c r="CB1665" s="10"/>
      <c r="CE1665" s="109"/>
      <c r="CF1665" s="109"/>
      <c r="CH1665" s="10"/>
      <c r="CK1665" s="109"/>
      <c r="CL1665" s="109"/>
    </row>
    <row r="1666" spans="1:90">
      <c r="A1666" s="7" t="str">
        <f t="shared" si="251"/>
        <v>03320998</v>
      </c>
      <c r="B1666" s="7" t="s">
        <v>2671</v>
      </c>
      <c r="C1666" s="7" t="s">
        <v>2781</v>
      </c>
      <c r="D1666" s="7">
        <v>1657</v>
      </c>
      <c r="E1666" s="7">
        <v>332</v>
      </c>
      <c r="F1666" s="7" t="s">
        <v>2135</v>
      </c>
      <c r="G1666" s="7">
        <v>998</v>
      </c>
      <c r="H1666" s="7" t="s">
        <v>2135</v>
      </c>
      <c r="I1666" s="70">
        <v>0</v>
      </c>
      <c r="J1666" s="131">
        <v>0</v>
      </c>
      <c r="K1666" s="123">
        <f t="shared" si="260"/>
        <v>0</v>
      </c>
      <c r="L1666" s="122">
        <f>IF(K1669&gt;0, K1666/K1669, 0)</f>
        <v>0</v>
      </c>
      <c r="M1666" s="71"/>
      <c r="N1666" s="10">
        <f>ROUND(M1669*L1666,0)</f>
        <v>0</v>
      </c>
      <c r="O1666" s="70">
        <v>0</v>
      </c>
      <c r="P1666" s="10">
        <f>N1666-O1666</f>
        <v>0</v>
      </c>
      <c r="Q1666" s="46">
        <f t="shared" si="259"/>
        <v>0</v>
      </c>
      <c r="R1666" s="10">
        <v>0</v>
      </c>
      <c r="S1666" s="7">
        <f t="shared" si="252"/>
        <v>0</v>
      </c>
      <c r="T1666" s="124">
        <f t="shared" si="253"/>
        <v>332</v>
      </c>
      <c r="U1666" s="124">
        <f t="shared" si="254"/>
        <v>998</v>
      </c>
      <c r="V1666" s="124">
        <f t="shared" si="255"/>
        <v>1657</v>
      </c>
      <c r="W1666" s="124">
        <f t="shared" si="256"/>
        <v>0</v>
      </c>
      <c r="X1666" s="124">
        <f t="shared" si="257"/>
        <v>0</v>
      </c>
      <c r="Y1666" s="264">
        <f t="shared" si="258"/>
        <v>1657</v>
      </c>
      <c r="Z1666" s="10">
        <v>332</v>
      </c>
      <c r="AA1666" s="7">
        <v>998</v>
      </c>
      <c r="AB1666" s="7">
        <v>1657</v>
      </c>
      <c r="AC1666" s="109">
        <v>0</v>
      </c>
      <c r="AD1666" s="109">
        <v>0</v>
      </c>
      <c r="AE1666" s="125"/>
      <c r="AF1666" s="10"/>
      <c r="AI1666" s="109"/>
      <c r="AJ1666" s="109"/>
      <c r="AL1666" s="10"/>
      <c r="AO1666" s="109"/>
      <c r="AP1666" s="109"/>
      <c r="AR1666" s="10"/>
      <c r="AU1666" s="109"/>
      <c r="AV1666" s="109"/>
      <c r="AX1666" s="10"/>
      <c r="BA1666" s="109"/>
      <c r="BB1666" s="109"/>
      <c r="BD1666" s="10"/>
      <c r="BG1666" s="109"/>
      <c r="BH1666" s="109"/>
      <c r="BJ1666" s="10"/>
      <c r="BM1666" s="109"/>
      <c r="BN1666" s="109"/>
      <c r="BP1666" s="10"/>
      <c r="BS1666" s="109"/>
      <c r="BT1666" s="109"/>
      <c r="BV1666" s="10"/>
      <c r="BY1666" s="109"/>
      <c r="BZ1666" s="109"/>
      <c r="CB1666" s="10"/>
      <c r="CE1666" s="109"/>
      <c r="CF1666" s="109"/>
      <c r="CH1666" s="10"/>
      <c r="CK1666" s="109"/>
      <c r="CL1666" s="109"/>
    </row>
    <row r="1667" spans="1:90">
      <c r="A1667" s="7" t="str">
        <f t="shared" si="251"/>
        <v>03320998</v>
      </c>
      <c r="B1667" s="7" t="s">
        <v>2671</v>
      </c>
      <c r="C1667" s="7" t="s">
        <v>2781</v>
      </c>
      <c r="D1667" s="7">
        <v>1658</v>
      </c>
      <c r="E1667" s="7">
        <v>332</v>
      </c>
      <c r="F1667" s="7" t="s">
        <v>2135</v>
      </c>
      <c r="G1667" s="7">
        <v>998</v>
      </c>
      <c r="H1667" s="7" t="s">
        <v>2135</v>
      </c>
      <c r="I1667" s="70">
        <v>0</v>
      </c>
      <c r="J1667" s="131">
        <v>0</v>
      </c>
      <c r="K1667" s="123">
        <f t="shared" si="260"/>
        <v>0</v>
      </c>
      <c r="L1667" s="122">
        <f>IF(K1669&gt;0, K1667/K1669, 0)</f>
        <v>0</v>
      </c>
      <c r="M1667" s="71"/>
      <c r="N1667" s="10">
        <f>ROUND(M1669*L1667,0)</f>
        <v>0</v>
      </c>
      <c r="O1667" s="70">
        <v>0</v>
      </c>
      <c r="P1667" s="10">
        <f>N1667-O1667</f>
        <v>0</v>
      </c>
      <c r="Q1667" s="46">
        <f t="shared" si="259"/>
        <v>0</v>
      </c>
      <c r="R1667" s="10">
        <v>0</v>
      </c>
      <c r="S1667" s="7">
        <f t="shared" si="252"/>
        <v>0</v>
      </c>
      <c r="T1667" s="124">
        <f t="shared" si="253"/>
        <v>332</v>
      </c>
      <c r="U1667" s="124">
        <f t="shared" si="254"/>
        <v>998</v>
      </c>
      <c r="V1667" s="124">
        <f t="shared" si="255"/>
        <v>1658</v>
      </c>
      <c r="W1667" s="124">
        <f t="shared" si="256"/>
        <v>0</v>
      </c>
      <c r="X1667" s="124">
        <f t="shared" si="257"/>
        <v>0</v>
      </c>
      <c r="Y1667" s="264">
        <f t="shared" si="258"/>
        <v>1658</v>
      </c>
      <c r="Z1667" s="10">
        <v>332</v>
      </c>
      <c r="AA1667" s="7">
        <v>998</v>
      </c>
      <c r="AB1667" s="7">
        <v>1658</v>
      </c>
      <c r="AC1667" s="109">
        <v>0</v>
      </c>
      <c r="AD1667" s="109">
        <v>0</v>
      </c>
      <c r="AE1667" s="125"/>
      <c r="AF1667" s="10"/>
      <c r="AI1667" s="109"/>
      <c r="AJ1667" s="109"/>
      <c r="AL1667" s="10"/>
      <c r="AO1667" s="109"/>
      <c r="AP1667" s="109"/>
      <c r="AR1667" s="10"/>
      <c r="AU1667" s="109"/>
      <c r="AV1667" s="109"/>
      <c r="AX1667" s="10"/>
      <c r="BA1667" s="109"/>
      <c r="BB1667" s="109"/>
      <c r="BD1667" s="10"/>
      <c r="BG1667" s="109"/>
      <c r="BH1667" s="109"/>
      <c r="BJ1667" s="10"/>
      <c r="BM1667" s="109"/>
      <c r="BN1667" s="109"/>
      <c r="BP1667" s="10"/>
      <c r="BS1667" s="109"/>
      <c r="BT1667" s="109"/>
      <c r="BV1667" s="10"/>
      <c r="BY1667" s="109"/>
      <c r="BZ1667" s="109"/>
      <c r="CB1667" s="10"/>
      <c r="CE1667" s="109"/>
      <c r="CF1667" s="109"/>
      <c r="CH1667" s="10"/>
      <c r="CK1667" s="109"/>
      <c r="CL1667" s="109"/>
    </row>
    <row r="1668" spans="1:90">
      <c r="A1668" s="7" t="str">
        <f t="shared" si="251"/>
        <v>03320998</v>
      </c>
      <c r="B1668" s="7" t="s">
        <v>2671</v>
      </c>
      <c r="C1668" s="7" t="s">
        <v>2781</v>
      </c>
      <c r="D1668" s="7">
        <v>1659</v>
      </c>
      <c r="E1668" s="7">
        <v>332</v>
      </c>
      <c r="F1668" s="7" t="s">
        <v>2135</v>
      </c>
      <c r="G1668" s="7">
        <v>998</v>
      </c>
      <c r="H1668" s="7" t="s">
        <v>2135</v>
      </c>
      <c r="I1668" s="70">
        <v>0</v>
      </c>
      <c r="J1668" s="131">
        <v>0</v>
      </c>
      <c r="K1668" s="123">
        <f t="shared" si="260"/>
        <v>0</v>
      </c>
      <c r="L1668" s="122">
        <f>IF(K1669&gt;0, K1668/K1669, 0)</f>
        <v>0</v>
      </c>
      <c r="M1668" s="71"/>
      <c r="N1668" s="10">
        <f>ROUND(M1669*L1668,0)</f>
        <v>0</v>
      </c>
      <c r="O1668" s="70">
        <v>0</v>
      </c>
      <c r="P1668" s="10">
        <f>N1668-O1668</f>
        <v>0</v>
      </c>
      <c r="Q1668" s="46">
        <f t="shared" si="259"/>
        <v>0</v>
      </c>
      <c r="R1668" s="10">
        <v>0</v>
      </c>
      <c r="S1668" s="7">
        <f t="shared" si="252"/>
        <v>0</v>
      </c>
      <c r="T1668" s="124">
        <f t="shared" si="253"/>
        <v>332</v>
      </c>
      <c r="U1668" s="124">
        <f t="shared" si="254"/>
        <v>998</v>
      </c>
      <c r="V1668" s="124">
        <f t="shared" si="255"/>
        <v>1659</v>
      </c>
      <c r="W1668" s="124">
        <f t="shared" si="256"/>
        <v>0</v>
      </c>
      <c r="X1668" s="124">
        <f t="shared" si="257"/>
        <v>0</v>
      </c>
      <c r="Y1668" s="264">
        <f t="shared" si="258"/>
        <v>1659</v>
      </c>
      <c r="Z1668" s="10">
        <v>332</v>
      </c>
      <c r="AA1668" s="7">
        <v>998</v>
      </c>
      <c r="AB1668" s="7">
        <v>1659</v>
      </c>
      <c r="AC1668" s="109">
        <v>0</v>
      </c>
      <c r="AD1668" s="109">
        <v>0</v>
      </c>
      <c r="AE1668" s="125"/>
      <c r="AF1668" s="10"/>
      <c r="AI1668" s="109"/>
      <c r="AJ1668" s="109"/>
      <c r="AL1668" s="10"/>
      <c r="AO1668" s="109"/>
      <c r="AP1668" s="109"/>
      <c r="AR1668" s="10"/>
      <c r="AU1668" s="109"/>
      <c r="AV1668" s="109"/>
      <c r="AX1668" s="10"/>
      <c r="BA1668" s="109"/>
      <c r="BB1668" s="109"/>
      <c r="BD1668" s="10"/>
      <c r="BG1668" s="109"/>
      <c r="BH1668" s="109"/>
      <c r="BJ1668" s="10"/>
      <c r="BM1668" s="109"/>
      <c r="BN1668" s="109"/>
      <c r="BP1668" s="10"/>
      <c r="BS1668" s="109"/>
      <c r="BT1668" s="109"/>
      <c r="BV1668" s="10"/>
      <c r="BY1668" s="109"/>
      <c r="BZ1668" s="109"/>
      <c r="CB1668" s="10"/>
      <c r="CE1668" s="109"/>
      <c r="CF1668" s="109"/>
      <c r="CH1668" s="10"/>
      <c r="CK1668" s="109"/>
      <c r="CL1668" s="109"/>
    </row>
    <row r="1669" spans="1:90">
      <c r="A1669" s="7" t="str">
        <f t="shared" si="251"/>
        <v>03320999</v>
      </c>
      <c r="B1669" s="7" t="s">
        <v>2671</v>
      </c>
      <c r="C1669" s="7" t="s">
        <v>2782</v>
      </c>
      <c r="D1669" s="7">
        <v>1660</v>
      </c>
      <c r="E1669" s="11">
        <v>332</v>
      </c>
      <c r="F1669" s="11" t="s">
        <v>2037</v>
      </c>
      <c r="G1669" s="11">
        <v>999</v>
      </c>
      <c r="H1669" s="11" t="s">
        <v>1132</v>
      </c>
      <c r="I1669" s="134">
        <v>44295065.429999992</v>
      </c>
      <c r="J1669" s="135">
        <v>1</v>
      </c>
      <c r="K1669" s="127">
        <f>SUM(K1665:K1668)</f>
        <v>46379224.347272687</v>
      </c>
      <c r="L1669" s="126">
        <f>SUM(L1665:L1668)</f>
        <v>1</v>
      </c>
      <c r="M1669" s="105">
        <f>VLOOKUP(E1669,town351,22)</f>
        <v>20257037</v>
      </c>
      <c r="N1669" s="105">
        <f>SUM(N1665:N1668)</f>
        <v>20257037</v>
      </c>
      <c r="O1669" s="128">
        <v>20212569</v>
      </c>
      <c r="P1669" s="105">
        <f>SUM(P1665:P1668)</f>
        <v>44468</v>
      </c>
      <c r="Q1669" s="45">
        <f t="shared" si="259"/>
        <v>0.22000172269047047</v>
      </c>
      <c r="R1669" s="105">
        <v>3980</v>
      </c>
      <c r="S1669" s="7">
        <f t="shared" si="252"/>
        <v>0</v>
      </c>
      <c r="T1669" s="124">
        <f t="shared" si="253"/>
        <v>332</v>
      </c>
      <c r="U1669" s="124">
        <f t="shared" si="254"/>
        <v>999</v>
      </c>
      <c r="V1669" s="124">
        <f t="shared" si="255"/>
        <v>1660</v>
      </c>
      <c r="W1669" s="124">
        <f t="shared" si="256"/>
        <v>4082</v>
      </c>
      <c r="X1669" s="124">
        <f t="shared" si="257"/>
        <v>46379224.347272687</v>
      </c>
      <c r="Y1669" s="264">
        <f t="shared" si="258"/>
        <v>1660</v>
      </c>
      <c r="Z1669" s="10">
        <v>332</v>
      </c>
      <c r="AA1669" s="7">
        <v>999</v>
      </c>
      <c r="AB1669" s="7">
        <v>1660</v>
      </c>
      <c r="AC1669" s="109">
        <v>4082</v>
      </c>
      <c r="AD1669" s="109">
        <v>46379224.347272687</v>
      </c>
      <c r="AE1669" s="125"/>
      <c r="AF1669" s="10"/>
      <c r="AI1669" s="109"/>
      <c r="AJ1669" s="109"/>
      <c r="AL1669" s="10"/>
      <c r="AO1669" s="109"/>
      <c r="AP1669" s="109"/>
      <c r="AR1669" s="10"/>
      <c r="AU1669" s="109"/>
      <c r="AV1669" s="109"/>
      <c r="AX1669" s="10"/>
      <c r="BA1669" s="109"/>
      <c r="BB1669" s="109"/>
      <c r="BD1669" s="10"/>
      <c r="BG1669" s="109"/>
      <c r="BH1669" s="109"/>
      <c r="BJ1669" s="10"/>
      <c r="BM1669" s="109"/>
      <c r="BN1669" s="109"/>
      <c r="BP1669" s="10"/>
      <c r="BS1669" s="109"/>
      <c r="BT1669" s="109"/>
      <c r="BV1669" s="10"/>
      <c r="BY1669" s="109"/>
      <c r="BZ1669" s="109"/>
      <c r="CB1669" s="10"/>
      <c r="CE1669" s="109"/>
      <c r="CF1669" s="109"/>
      <c r="CH1669" s="10"/>
      <c r="CK1669" s="109"/>
      <c r="CL1669" s="109"/>
    </row>
    <row r="1670" spans="1:90">
      <c r="A1670" s="7" t="str">
        <f t="shared" si="251"/>
        <v>03330333</v>
      </c>
      <c r="B1670" s="7" t="s">
        <v>2672</v>
      </c>
      <c r="C1670" s="7" t="s">
        <v>2672</v>
      </c>
      <c r="D1670" s="7">
        <v>1661</v>
      </c>
      <c r="E1670" s="7">
        <v>333</v>
      </c>
      <c r="F1670" s="7" t="s">
        <v>2038</v>
      </c>
      <c r="G1670" s="7">
        <v>333</v>
      </c>
      <c r="H1670" s="7" t="s">
        <v>1599</v>
      </c>
      <c r="I1670" s="70">
        <v>0</v>
      </c>
      <c r="J1670" s="131">
        <v>0</v>
      </c>
      <c r="K1670" s="123">
        <f>X1670</f>
        <v>0</v>
      </c>
      <c r="L1670" s="122">
        <f>IF(K1674&gt;0, K1670/K1674, 0)</f>
        <v>0</v>
      </c>
      <c r="M1670" s="71"/>
      <c r="N1670" s="10">
        <f>ROUND(M1674*L1670,0)</f>
        <v>0</v>
      </c>
      <c r="O1670" s="70">
        <v>0</v>
      </c>
      <c r="P1670" s="10">
        <f>N1670-O1670</f>
        <v>0</v>
      </c>
      <c r="Q1670" s="46">
        <f t="shared" si="259"/>
        <v>0</v>
      </c>
      <c r="R1670" s="10">
        <v>0</v>
      </c>
      <c r="S1670" s="7">
        <f t="shared" si="252"/>
        <v>0</v>
      </c>
      <c r="T1670" s="124">
        <f t="shared" si="253"/>
        <v>333</v>
      </c>
      <c r="U1670" s="124">
        <f t="shared" si="254"/>
        <v>333</v>
      </c>
      <c r="V1670" s="124">
        <f t="shared" si="255"/>
        <v>1661</v>
      </c>
      <c r="W1670" s="124">
        <f t="shared" si="256"/>
        <v>0</v>
      </c>
      <c r="X1670" s="124">
        <f t="shared" si="257"/>
        <v>0</v>
      </c>
      <c r="Y1670" s="264">
        <f t="shared" si="258"/>
        <v>1661</v>
      </c>
      <c r="Z1670" s="10">
        <v>333</v>
      </c>
      <c r="AA1670" s="7">
        <v>333</v>
      </c>
      <c r="AB1670" s="7">
        <v>1661</v>
      </c>
      <c r="AC1670" s="109">
        <v>0</v>
      </c>
      <c r="AD1670" s="109">
        <v>0</v>
      </c>
      <c r="AE1670" s="125"/>
      <c r="AF1670" s="10"/>
      <c r="AI1670" s="109"/>
      <c r="AJ1670" s="109"/>
      <c r="AL1670" s="10"/>
      <c r="AO1670" s="109"/>
      <c r="AP1670" s="109"/>
      <c r="AR1670" s="10"/>
      <c r="AU1670" s="109"/>
      <c r="AV1670" s="109"/>
      <c r="AX1670" s="10"/>
      <c r="BA1670" s="109"/>
      <c r="BB1670" s="109"/>
      <c r="BD1670" s="10"/>
      <c r="BG1670" s="109"/>
      <c r="BH1670" s="109"/>
      <c r="BJ1670" s="10"/>
      <c r="BM1670" s="109"/>
      <c r="BN1670" s="109"/>
      <c r="BP1670" s="10"/>
      <c r="BS1670" s="109"/>
      <c r="BT1670" s="109"/>
      <c r="BV1670" s="10"/>
      <c r="BY1670" s="109"/>
      <c r="BZ1670" s="109"/>
      <c r="CB1670" s="10"/>
      <c r="CE1670" s="109"/>
      <c r="CF1670" s="109"/>
      <c r="CH1670" s="10"/>
      <c r="CK1670" s="109"/>
      <c r="CL1670" s="109"/>
    </row>
    <row r="1671" spans="1:90">
      <c r="A1671" s="7" t="str">
        <f t="shared" si="251"/>
        <v>03330618</v>
      </c>
      <c r="B1671" s="7" t="s">
        <v>2672</v>
      </c>
      <c r="C1671" s="7" t="s">
        <v>2700</v>
      </c>
      <c r="D1671" s="7">
        <v>1662</v>
      </c>
      <c r="E1671" s="7">
        <v>333</v>
      </c>
      <c r="F1671" s="7" t="s">
        <v>2038</v>
      </c>
      <c r="G1671" s="7">
        <v>618</v>
      </c>
      <c r="H1671" s="7" t="s">
        <v>1627</v>
      </c>
      <c r="I1671" s="70">
        <v>1665765</v>
      </c>
      <c r="J1671" s="131">
        <v>1</v>
      </c>
      <c r="K1671" s="123">
        <f t="shared" si="260"/>
        <v>1593367.0165889598</v>
      </c>
      <c r="L1671" s="122">
        <f>IF(K1674&gt;0, K1671/K1674, 0)</f>
        <v>1</v>
      </c>
      <c r="M1671" s="71"/>
      <c r="N1671" s="10">
        <f>ROUND(M1674*L1671,0)</f>
        <v>1333107</v>
      </c>
      <c r="O1671" s="70">
        <v>1387065</v>
      </c>
      <c r="P1671" s="10">
        <f>N1671-O1671</f>
        <v>-53958</v>
      </c>
      <c r="Q1671" s="46">
        <f t="shared" si="259"/>
        <v>-3.8900844589114425</v>
      </c>
      <c r="R1671" s="10">
        <v>155</v>
      </c>
      <c r="S1671" s="7">
        <f t="shared" si="252"/>
        <v>0</v>
      </c>
      <c r="T1671" s="124">
        <f t="shared" si="253"/>
        <v>333</v>
      </c>
      <c r="U1671" s="124">
        <f t="shared" si="254"/>
        <v>618</v>
      </c>
      <c r="V1671" s="124">
        <f t="shared" si="255"/>
        <v>1662</v>
      </c>
      <c r="W1671" s="124">
        <f t="shared" si="256"/>
        <v>148.31273062866001</v>
      </c>
      <c r="X1671" s="124">
        <f t="shared" si="257"/>
        <v>1593367.0165889598</v>
      </c>
      <c r="Y1671" s="264">
        <f t="shared" si="258"/>
        <v>1662</v>
      </c>
      <c r="Z1671" s="10">
        <v>333</v>
      </c>
      <c r="AA1671" s="7">
        <v>618</v>
      </c>
      <c r="AB1671" s="7">
        <v>1662</v>
      </c>
      <c r="AC1671" s="109">
        <v>148.31273062866001</v>
      </c>
      <c r="AD1671" s="109">
        <v>1593367.0165889598</v>
      </c>
      <c r="AE1671" s="125"/>
      <c r="AF1671" s="10"/>
      <c r="AI1671" s="109"/>
      <c r="AJ1671" s="109"/>
      <c r="AL1671" s="10"/>
      <c r="AO1671" s="109"/>
      <c r="AP1671" s="109"/>
      <c r="AR1671" s="10"/>
      <c r="AU1671" s="109"/>
      <c r="AV1671" s="109"/>
      <c r="AX1671" s="10"/>
      <c r="BA1671" s="109"/>
      <c r="BB1671" s="109"/>
      <c r="BD1671" s="10"/>
      <c r="BG1671" s="109"/>
      <c r="BH1671" s="109"/>
      <c r="BJ1671" s="10"/>
      <c r="BM1671" s="109"/>
      <c r="BN1671" s="109"/>
      <c r="BP1671" s="10"/>
      <c r="BS1671" s="109"/>
      <c r="BT1671" s="109"/>
      <c r="BV1671" s="10"/>
      <c r="BY1671" s="109"/>
      <c r="BZ1671" s="109"/>
      <c r="CB1671" s="10"/>
      <c r="CE1671" s="109"/>
      <c r="CF1671" s="109"/>
      <c r="CH1671" s="10"/>
      <c r="CK1671" s="109"/>
      <c r="CL1671" s="109"/>
    </row>
    <row r="1672" spans="1:90">
      <c r="A1672" s="7" t="str">
        <f t="shared" si="251"/>
        <v>03330998</v>
      </c>
      <c r="B1672" s="7" t="s">
        <v>2672</v>
      </c>
      <c r="C1672" s="7" t="s">
        <v>2781</v>
      </c>
      <c r="D1672" s="7">
        <v>1663</v>
      </c>
      <c r="E1672" s="7">
        <v>333</v>
      </c>
      <c r="F1672" s="7" t="s">
        <v>2135</v>
      </c>
      <c r="G1672" s="7">
        <v>998</v>
      </c>
      <c r="H1672" s="7" t="s">
        <v>2135</v>
      </c>
      <c r="I1672" s="70">
        <v>0</v>
      </c>
      <c r="J1672" s="131">
        <v>0</v>
      </c>
      <c r="K1672" s="123">
        <f t="shared" si="260"/>
        <v>0</v>
      </c>
      <c r="L1672" s="122">
        <f>IF(K1674&gt;0, K1672/K1674, 0)</f>
        <v>0</v>
      </c>
      <c r="M1672" s="71"/>
      <c r="N1672" s="10">
        <f>ROUND(M1674*L1672,0)</f>
        <v>0</v>
      </c>
      <c r="O1672" s="70">
        <v>0</v>
      </c>
      <c r="P1672" s="10">
        <f>N1672-O1672</f>
        <v>0</v>
      </c>
      <c r="Q1672" s="46">
        <f t="shared" si="259"/>
        <v>0</v>
      </c>
      <c r="R1672" s="10">
        <v>0</v>
      </c>
      <c r="S1672" s="7">
        <f t="shared" si="252"/>
        <v>0</v>
      </c>
      <c r="T1672" s="124">
        <f t="shared" si="253"/>
        <v>333</v>
      </c>
      <c r="U1672" s="124">
        <f t="shared" si="254"/>
        <v>998</v>
      </c>
      <c r="V1672" s="124">
        <f t="shared" si="255"/>
        <v>1663</v>
      </c>
      <c r="W1672" s="124">
        <f t="shared" si="256"/>
        <v>0</v>
      </c>
      <c r="X1672" s="124">
        <f t="shared" si="257"/>
        <v>0</v>
      </c>
      <c r="Y1672" s="264">
        <f t="shared" si="258"/>
        <v>1663</v>
      </c>
      <c r="Z1672" s="10">
        <v>333</v>
      </c>
      <c r="AA1672" s="7">
        <v>998</v>
      </c>
      <c r="AB1672" s="7">
        <v>1663</v>
      </c>
      <c r="AC1672" s="109">
        <v>0</v>
      </c>
      <c r="AD1672" s="109">
        <v>0</v>
      </c>
      <c r="AE1672" s="125"/>
      <c r="AF1672" s="10"/>
      <c r="AI1672" s="109"/>
      <c r="AJ1672" s="109"/>
      <c r="AL1672" s="10"/>
      <c r="AO1672" s="109"/>
      <c r="AP1672" s="109"/>
      <c r="AR1672" s="10"/>
      <c r="AU1672" s="109"/>
      <c r="AV1672" s="109"/>
      <c r="AX1672" s="10"/>
      <c r="BA1672" s="109"/>
      <c r="BB1672" s="109"/>
      <c r="BD1672" s="10"/>
      <c r="BG1672" s="109"/>
      <c r="BH1672" s="109"/>
      <c r="BJ1672" s="10"/>
      <c r="BM1672" s="109"/>
      <c r="BN1672" s="109"/>
      <c r="BP1672" s="10"/>
      <c r="BS1672" s="109"/>
      <c r="BT1672" s="109"/>
      <c r="BV1672" s="10"/>
      <c r="BY1672" s="109"/>
      <c r="BZ1672" s="109"/>
      <c r="CB1672" s="10"/>
      <c r="CE1672" s="109"/>
      <c r="CF1672" s="109"/>
      <c r="CH1672" s="10"/>
      <c r="CK1672" s="109"/>
      <c r="CL1672" s="109"/>
    </row>
    <row r="1673" spans="1:90">
      <c r="A1673" s="7" t="str">
        <f t="shared" si="251"/>
        <v>03330998</v>
      </c>
      <c r="B1673" s="7" t="s">
        <v>2672</v>
      </c>
      <c r="C1673" s="7" t="s">
        <v>2781</v>
      </c>
      <c r="D1673" s="7">
        <v>1664</v>
      </c>
      <c r="E1673" s="7">
        <v>333</v>
      </c>
      <c r="F1673" s="7" t="s">
        <v>2135</v>
      </c>
      <c r="G1673" s="7">
        <v>998</v>
      </c>
      <c r="H1673" s="7" t="s">
        <v>2135</v>
      </c>
      <c r="I1673" s="70">
        <v>0</v>
      </c>
      <c r="J1673" s="131">
        <v>0</v>
      </c>
      <c r="K1673" s="123">
        <f t="shared" si="260"/>
        <v>0</v>
      </c>
      <c r="L1673" s="122">
        <f>IF(K1674&gt;0, K1673/K1674, 0)</f>
        <v>0</v>
      </c>
      <c r="M1673" s="71"/>
      <c r="N1673" s="10">
        <f>ROUND(M1674*L1673,0)</f>
        <v>0</v>
      </c>
      <c r="O1673" s="70">
        <v>0</v>
      </c>
      <c r="P1673" s="10">
        <f>N1673-O1673</f>
        <v>0</v>
      </c>
      <c r="Q1673" s="46">
        <f t="shared" si="259"/>
        <v>0</v>
      </c>
      <c r="R1673" s="10">
        <v>0</v>
      </c>
      <c r="S1673" s="7">
        <f t="shared" si="252"/>
        <v>0</v>
      </c>
      <c r="T1673" s="124">
        <f t="shared" si="253"/>
        <v>333</v>
      </c>
      <c r="U1673" s="124">
        <f t="shared" si="254"/>
        <v>998</v>
      </c>
      <c r="V1673" s="124">
        <f t="shared" si="255"/>
        <v>1664</v>
      </c>
      <c r="W1673" s="124">
        <f t="shared" si="256"/>
        <v>0</v>
      </c>
      <c r="X1673" s="124">
        <f t="shared" si="257"/>
        <v>0</v>
      </c>
      <c r="Y1673" s="264">
        <f t="shared" si="258"/>
        <v>1664</v>
      </c>
      <c r="Z1673" s="10">
        <v>333</v>
      </c>
      <c r="AA1673" s="7">
        <v>998</v>
      </c>
      <c r="AB1673" s="7">
        <v>1664</v>
      </c>
      <c r="AC1673" s="109">
        <v>0</v>
      </c>
      <c r="AD1673" s="109">
        <v>0</v>
      </c>
      <c r="AE1673" s="125"/>
      <c r="AF1673" s="10"/>
      <c r="AI1673" s="109"/>
      <c r="AJ1673" s="109"/>
      <c r="AL1673" s="10"/>
      <c r="AO1673" s="109"/>
      <c r="AP1673" s="109"/>
      <c r="AR1673" s="10"/>
      <c r="AU1673" s="109"/>
      <c r="AV1673" s="109"/>
      <c r="AX1673" s="10"/>
      <c r="BA1673" s="109"/>
      <c r="BB1673" s="109"/>
      <c r="BD1673" s="10"/>
      <c r="BG1673" s="109"/>
      <c r="BH1673" s="109"/>
      <c r="BJ1673" s="10"/>
      <c r="BM1673" s="109"/>
      <c r="BN1673" s="109"/>
      <c r="BP1673" s="10"/>
      <c r="BS1673" s="109"/>
      <c r="BT1673" s="109"/>
      <c r="BV1673" s="10"/>
      <c r="BY1673" s="109"/>
      <c r="BZ1673" s="109"/>
      <c r="CB1673" s="10"/>
      <c r="CE1673" s="109"/>
      <c r="CF1673" s="109"/>
      <c r="CH1673" s="10"/>
      <c r="CK1673" s="109"/>
      <c r="CL1673" s="109"/>
    </row>
    <row r="1674" spans="1:90">
      <c r="A1674" s="7" t="str">
        <f t="shared" ref="A1674:A1737" si="261">B1674&amp;C1674</f>
        <v>03330999</v>
      </c>
      <c r="B1674" s="7" t="s">
        <v>2672</v>
      </c>
      <c r="C1674" s="7" t="s">
        <v>2782</v>
      </c>
      <c r="D1674" s="7">
        <v>1665</v>
      </c>
      <c r="E1674" s="11">
        <v>333</v>
      </c>
      <c r="F1674" s="11" t="s">
        <v>2038</v>
      </c>
      <c r="G1674" s="11">
        <v>999</v>
      </c>
      <c r="H1674" s="11" t="s">
        <v>1132</v>
      </c>
      <c r="I1674" s="134">
        <v>1665765</v>
      </c>
      <c r="J1674" s="135">
        <v>1</v>
      </c>
      <c r="K1674" s="127">
        <f>SUM(K1670:K1673)</f>
        <v>1593367.0165889598</v>
      </c>
      <c r="L1674" s="126">
        <f>SUM(L1670:L1673)</f>
        <v>1</v>
      </c>
      <c r="M1674" s="105">
        <f>VLOOKUP(E1674,town351,22)</f>
        <v>1333107</v>
      </c>
      <c r="N1674" s="105">
        <f>SUM(N1670:N1673)</f>
        <v>1333107</v>
      </c>
      <c r="O1674" s="128">
        <v>1387065</v>
      </c>
      <c r="P1674" s="105">
        <f>SUM(P1670:P1673)</f>
        <v>-53958</v>
      </c>
      <c r="Q1674" s="45">
        <f t="shared" si="259"/>
        <v>-3.8900844589114425</v>
      </c>
      <c r="R1674" s="105">
        <v>155</v>
      </c>
      <c r="S1674" s="7">
        <f t="shared" ref="S1674:S1737" si="262">ABS(T1674-E1674)+ABS(U1674-G1674)</f>
        <v>0</v>
      </c>
      <c r="T1674" s="124">
        <f t="shared" ref="T1674:T1737" si="263">VLOOKUP($D1674, foundoptions, VLOOKUP($T$6, foundoptcell, 2, FALSE), FALSE)</f>
        <v>333</v>
      </c>
      <c r="U1674" s="124">
        <f t="shared" ref="U1674:U1737" si="264">VLOOKUP($D1674, foundoptions, VLOOKUP($T$6, foundoptcell, 2, FALSE)+1, FALSE)</f>
        <v>999</v>
      </c>
      <c r="V1674" s="124">
        <f t="shared" ref="V1674:V1737" si="265">VLOOKUP($D1674, foundoptions, VLOOKUP($T$6, foundoptcell, 2, FALSE)+2, FALSE)</f>
        <v>1665</v>
      </c>
      <c r="W1674" s="124">
        <f t="shared" ref="W1674:W1737" si="266">VLOOKUP($D1674, foundoptions, VLOOKUP($T$6, foundoptcell, 2, FALSE)+3, FALSE)</f>
        <v>148.31273062866001</v>
      </c>
      <c r="X1674" s="124">
        <f t="shared" ref="X1674:X1737" si="267">VLOOKUP($D1674, foundoptions, VLOOKUP($T$6, foundoptcell, 2, FALSE)+4, FALSE)</f>
        <v>1593367.0165889598</v>
      </c>
      <c r="Y1674" s="264">
        <f t="shared" si="258"/>
        <v>1665</v>
      </c>
      <c r="Z1674" s="10">
        <v>333</v>
      </c>
      <c r="AA1674" s="7">
        <v>999</v>
      </c>
      <c r="AB1674" s="7">
        <v>1665</v>
      </c>
      <c r="AC1674" s="109">
        <v>148.31273062866001</v>
      </c>
      <c r="AD1674" s="109">
        <v>1593367.0165889598</v>
      </c>
      <c r="AE1674" s="125"/>
      <c r="AF1674" s="10"/>
      <c r="AI1674" s="109"/>
      <c r="AJ1674" s="109"/>
      <c r="AL1674" s="10"/>
      <c r="AO1674" s="109"/>
      <c r="AP1674" s="109"/>
      <c r="AR1674" s="10"/>
      <c r="AU1674" s="109"/>
      <c r="AV1674" s="109"/>
      <c r="AX1674" s="10"/>
      <c r="BA1674" s="109"/>
      <c r="BB1674" s="109"/>
      <c r="BD1674" s="10"/>
      <c r="BG1674" s="109"/>
      <c r="BH1674" s="109"/>
      <c r="BJ1674" s="10"/>
      <c r="BM1674" s="109"/>
      <c r="BN1674" s="109"/>
      <c r="BP1674" s="10"/>
      <c r="BS1674" s="109"/>
      <c r="BT1674" s="109"/>
      <c r="BV1674" s="10"/>
      <c r="BY1674" s="109"/>
      <c r="BZ1674" s="109"/>
      <c r="CB1674" s="10"/>
      <c r="CE1674" s="109"/>
      <c r="CF1674" s="109"/>
      <c r="CH1674" s="10"/>
      <c r="CK1674" s="109"/>
      <c r="CL1674" s="109"/>
    </row>
    <row r="1675" spans="1:90">
      <c r="A1675" s="7" t="str">
        <f t="shared" si="261"/>
        <v>03340334</v>
      </c>
      <c r="B1675" s="7" t="s">
        <v>2673</v>
      </c>
      <c r="C1675" s="7" t="s">
        <v>2673</v>
      </c>
      <c r="D1675" s="7">
        <v>1666</v>
      </c>
      <c r="E1675" s="7">
        <v>334</v>
      </c>
      <c r="F1675" s="7" t="s">
        <v>2039</v>
      </c>
      <c r="G1675" s="7">
        <v>334</v>
      </c>
      <c r="H1675" s="7" t="s">
        <v>1600</v>
      </c>
      <c r="I1675" s="70">
        <v>0</v>
      </c>
      <c r="J1675" s="131">
        <v>0</v>
      </c>
      <c r="K1675" s="123">
        <f>X1675</f>
        <v>0</v>
      </c>
      <c r="L1675" s="122">
        <f>IF(K1679&gt;0, K1675/K1679, 0)</f>
        <v>0</v>
      </c>
      <c r="M1675" s="71"/>
      <c r="N1675" s="10">
        <f>ROUND(M1679*L1675,0)</f>
        <v>0</v>
      </c>
      <c r="O1675" s="70">
        <v>0</v>
      </c>
      <c r="P1675" s="10">
        <f>N1675-O1675</f>
        <v>0</v>
      </c>
      <c r="Q1675" s="46">
        <f t="shared" si="259"/>
        <v>0</v>
      </c>
      <c r="R1675" s="10">
        <v>0</v>
      </c>
      <c r="S1675" s="7">
        <f t="shared" si="262"/>
        <v>0</v>
      </c>
      <c r="T1675" s="124">
        <f t="shared" si="263"/>
        <v>334</v>
      </c>
      <c r="U1675" s="124">
        <f t="shared" si="264"/>
        <v>334</v>
      </c>
      <c r="V1675" s="124">
        <f t="shared" si="265"/>
        <v>1666</v>
      </c>
      <c r="W1675" s="124">
        <f t="shared" si="266"/>
        <v>0</v>
      </c>
      <c r="X1675" s="124">
        <f t="shared" si="267"/>
        <v>0</v>
      </c>
      <c r="Y1675" s="264">
        <f t="shared" ref="Y1675:Y1738" si="268">D1675</f>
        <v>1666</v>
      </c>
      <c r="Z1675" s="10">
        <v>334</v>
      </c>
      <c r="AA1675" s="7">
        <v>334</v>
      </c>
      <c r="AB1675" s="7">
        <v>1666</v>
      </c>
      <c r="AC1675" s="109">
        <v>0</v>
      </c>
      <c r="AD1675" s="109">
        <v>0</v>
      </c>
      <c r="AE1675" s="125"/>
      <c r="AF1675" s="10"/>
      <c r="AI1675" s="109"/>
      <c r="AJ1675" s="109"/>
      <c r="AL1675" s="10"/>
      <c r="AO1675" s="109"/>
      <c r="AP1675" s="109"/>
      <c r="AR1675" s="10"/>
      <c r="AU1675" s="109"/>
      <c r="AV1675" s="109"/>
      <c r="AX1675" s="10"/>
      <c r="BA1675" s="109"/>
      <c r="BB1675" s="109"/>
      <c r="BD1675" s="10"/>
      <c r="BG1675" s="109"/>
      <c r="BH1675" s="109"/>
      <c r="BJ1675" s="10"/>
      <c r="BM1675" s="109"/>
      <c r="BN1675" s="109"/>
      <c r="BP1675" s="10"/>
      <c r="BS1675" s="109"/>
      <c r="BT1675" s="109"/>
      <c r="BV1675" s="10"/>
      <c r="BY1675" s="109"/>
      <c r="BZ1675" s="109"/>
      <c r="CB1675" s="10"/>
      <c r="CE1675" s="109"/>
      <c r="CF1675" s="109"/>
      <c r="CH1675" s="10"/>
      <c r="CK1675" s="109"/>
      <c r="CL1675" s="109"/>
    </row>
    <row r="1676" spans="1:90">
      <c r="A1676" s="7" t="str">
        <f t="shared" si="261"/>
        <v>03340700</v>
      </c>
      <c r="B1676" s="7" t="s">
        <v>2673</v>
      </c>
      <c r="C1676" s="7" t="s">
        <v>2725</v>
      </c>
      <c r="D1676" s="7">
        <v>1667</v>
      </c>
      <c r="E1676" s="7">
        <v>334</v>
      </c>
      <c r="F1676" s="7" t="s">
        <v>2039</v>
      </c>
      <c r="G1676" s="7">
        <v>700</v>
      </c>
      <c r="H1676" s="7" t="s">
        <v>1652</v>
      </c>
      <c r="I1676" s="70">
        <v>1352856</v>
      </c>
      <c r="J1676" s="131">
        <v>0.35422459758630331</v>
      </c>
      <c r="K1676" s="123">
        <f t="shared" si="260"/>
        <v>1458422.5309841761</v>
      </c>
      <c r="L1676" s="122">
        <f>IF(K1679&gt;0, K1676/K1679, 0)</f>
        <v>0.35396953861529162</v>
      </c>
      <c r="M1676" s="71"/>
      <c r="N1676" s="10">
        <f>ROUND(M1679*L1676,0)</f>
        <v>1172481</v>
      </c>
      <c r="O1676" s="70">
        <v>1119265</v>
      </c>
      <c r="P1676" s="10">
        <f>N1676-O1676</f>
        <v>53216</v>
      </c>
      <c r="Q1676" s="46">
        <f t="shared" si="259"/>
        <v>4.7545487440418492</v>
      </c>
      <c r="R1676" s="10">
        <v>114</v>
      </c>
      <c r="S1676" s="7">
        <f t="shared" si="262"/>
        <v>0</v>
      </c>
      <c r="T1676" s="124">
        <f t="shared" si="263"/>
        <v>334</v>
      </c>
      <c r="U1676" s="124">
        <f t="shared" si="264"/>
        <v>700</v>
      </c>
      <c r="V1676" s="124">
        <f t="shared" si="265"/>
        <v>1667</v>
      </c>
      <c r="W1676" s="124">
        <f t="shared" si="266"/>
        <v>117.00000000128</v>
      </c>
      <c r="X1676" s="124">
        <f t="shared" si="267"/>
        <v>1458422.5309841761</v>
      </c>
      <c r="Y1676" s="264">
        <f t="shared" si="268"/>
        <v>1667</v>
      </c>
      <c r="Z1676" s="10">
        <v>334</v>
      </c>
      <c r="AA1676" s="7">
        <v>700</v>
      </c>
      <c r="AB1676" s="7">
        <v>1667</v>
      </c>
      <c r="AC1676" s="109">
        <v>117.00000000128</v>
      </c>
      <c r="AD1676" s="109">
        <v>1458422.5309841761</v>
      </c>
      <c r="AE1676" s="125"/>
      <c r="AF1676" s="10"/>
      <c r="AI1676" s="109"/>
      <c r="AJ1676" s="109"/>
      <c r="AL1676" s="10"/>
      <c r="AO1676" s="109"/>
      <c r="AP1676" s="109"/>
      <c r="AR1676" s="10"/>
      <c r="AU1676" s="109"/>
      <c r="AV1676" s="109"/>
      <c r="AX1676" s="10"/>
      <c r="BA1676" s="109"/>
      <c r="BB1676" s="109"/>
      <c r="BD1676" s="10"/>
      <c r="BG1676" s="109"/>
      <c r="BH1676" s="109"/>
      <c r="BJ1676" s="10"/>
      <c r="BM1676" s="109"/>
      <c r="BN1676" s="109"/>
      <c r="BP1676" s="10"/>
      <c r="BS1676" s="109"/>
      <c r="BT1676" s="109"/>
      <c r="BV1676" s="10"/>
      <c r="BY1676" s="109"/>
      <c r="BZ1676" s="109"/>
      <c r="CB1676" s="10"/>
      <c r="CE1676" s="109"/>
      <c r="CF1676" s="109"/>
      <c r="CH1676" s="10"/>
      <c r="CK1676" s="109"/>
      <c r="CL1676" s="109"/>
    </row>
    <row r="1677" spans="1:90">
      <c r="A1677" s="7" t="str">
        <f t="shared" si="261"/>
        <v>03340774</v>
      </c>
      <c r="B1677" s="7" t="s">
        <v>2673</v>
      </c>
      <c r="C1677" s="7" t="s">
        <v>2748</v>
      </c>
      <c r="D1677" s="7">
        <v>1668</v>
      </c>
      <c r="E1677" s="7">
        <v>334</v>
      </c>
      <c r="F1677" s="7" t="s">
        <v>2039</v>
      </c>
      <c r="G1677" s="7">
        <v>774</v>
      </c>
      <c r="H1677" s="7" t="s">
        <v>1675</v>
      </c>
      <c r="I1677" s="70">
        <v>2466348</v>
      </c>
      <c r="J1677" s="131">
        <v>0.64577540241369669</v>
      </c>
      <c r="K1677" s="123">
        <f t="shared" si="260"/>
        <v>2661769.6660321006</v>
      </c>
      <c r="L1677" s="122">
        <f>IF(K1679&gt;0, K1677/K1679, 0)</f>
        <v>0.64603046138470843</v>
      </c>
      <c r="M1677" s="71"/>
      <c r="N1677" s="10">
        <f>ROUND(M1679*L1677,0)</f>
        <v>2139896</v>
      </c>
      <c r="O1677" s="70">
        <v>2040495</v>
      </c>
      <c r="P1677" s="10">
        <f>N1677-O1677</f>
        <v>99401</v>
      </c>
      <c r="Q1677" s="46">
        <f t="shared" si="259"/>
        <v>4.8714160044499009</v>
      </c>
      <c r="R1677" s="10">
        <v>258</v>
      </c>
      <c r="S1677" s="7">
        <f t="shared" si="262"/>
        <v>0</v>
      </c>
      <c r="T1677" s="124">
        <f t="shared" si="263"/>
        <v>334</v>
      </c>
      <c r="U1677" s="124">
        <f t="shared" si="264"/>
        <v>774</v>
      </c>
      <c r="V1677" s="124">
        <f t="shared" si="265"/>
        <v>1668</v>
      </c>
      <c r="W1677" s="124">
        <f t="shared" si="266"/>
        <v>271.53652393112003</v>
      </c>
      <c r="X1677" s="124">
        <f t="shared" si="267"/>
        <v>2661769.6660321006</v>
      </c>
      <c r="Y1677" s="264">
        <f t="shared" si="268"/>
        <v>1668</v>
      </c>
      <c r="Z1677" s="10">
        <v>334</v>
      </c>
      <c r="AA1677" s="7">
        <v>774</v>
      </c>
      <c r="AB1677" s="7">
        <v>1668</v>
      </c>
      <c r="AC1677" s="109">
        <v>271.53652393112003</v>
      </c>
      <c r="AD1677" s="109">
        <v>2661769.6660321006</v>
      </c>
      <c r="AE1677" s="125"/>
      <c r="AF1677" s="10"/>
      <c r="AI1677" s="109"/>
      <c r="AJ1677" s="109"/>
      <c r="AL1677" s="10"/>
      <c r="AO1677" s="109"/>
      <c r="AP1677" s="109"/>
      <c r="AR1677" s="10"/>
      <c r="AU1677" s="109"/>
      <c r="AV1677" s="109"/>
      <c r="AX1677" s="10"/>
      <c r="BA1677" s="109"/>
      <c r="BB1677" s="109"/>
      <c r="BD1677" s="10"/>
      <c r="BG1677" s="109"/>
      <c r="BH1677" s="109"/>
      <c r="BJ1677" s="10"/>
      <c r="BM1677" s="109"/>
      <c r="BN1677" s="109"/>
      <c r="BP1677" s="10"/>
      <c r="BS1677" s="109"/>
      <c r="BT1677" s="109"/>
      <c r="BV1677" s="10"/>
      <c r="BY1677" s="109"/>
      <c r="BZ1677" s="109"/>
      <c r="CB1677" s="10"/>
      <c r="CE1677" s="109"/>
      <c r="CF1677" s="109"/>
      <c r="CH1677" s="10"/>
      <c r="CK1677" s="109"/>
      <c r="CL1677" s="109"/>
    </row>
    <row r="1678" spans="1:90">
      <c r="A1678" s="7" t="str">
        <f t="shared" si="261"/>
        <v>03340998</v>
      </c>
      <c r="B1678" s="7" t="s">
        <v>2673</v>
      </c>
      <c r="C1678" s="7" t="s">
        <v>2781</v>
      </c>
      <c r="D1678" s="7">
        <v>1669</v>
      </c>
      <c r="E1678" s="7">
        <v>334</v>
      </c>
      <c r="F1678" s="7" t="s">
        <v>2135</v>
      </c>
      <c r="G1678" s="7">
        <v>998</v>
      </c>
      <c r="H1678" s="7" t="s">
        <v>2135</v>
      </c>
      <c r="I1678" s="70">
        <v>0</v>
      </c>
      <c r="J1678" s="131">
        <v>0</v>
      </c>
      <c r="K1678" s="123">
        <f t="shared" si="260"/>
        <v>0</v>
      </c>
      <c r="L1678" s="122">
        <f>IF(K1679&gt;0, K1678/K1679, 0)</f>
        <v>0</v>
      </c>
      <c r="M1678" s="71"/>
      <c r="N1678" s="10">
        <f>ROUND(M1679*L1678,0)</f>
        <v>0</v>
      </c>
      <c r="O1678" s="70">
        <v>0</v>
      </c>
      <c r="P1678" s="10">
        <f>N1678-O1678</f>
        <v>0</v>
      </c>
      <c r="Q1678" s="46">
        <f t="shared" si="259"/>
        <v>0</v>
      </c>
      <c r="R1678" s="10">
        <v>0</v>
      </c>
      <c r="S1678" s="7">
        <f t="shared" si="262"/>
        <v>0</v>
      </c>
      <c r="T1678" s="124">
        <f t="shared" si="263"/>
        <v>334</v>
      </c>
      <c r="U1678" s="124">
        <f t="shared" si="264"/>
        <v>998</v>
      </c>
      <c r="V1678" s="124">
        <f t="shared" si="265"/>
        <v>1669</v>
      </c>
      <c r="W1678" s="124">
        <f t="shared" si="266"/>
        <v>0</v>
      </c>
      <c r="X1678" s="124">
        <f t="shared" si="267"/>
        <v>0</v>
      </c>
      <c r="Y1678" s="264">
        <f t="shared" si="268"/>
        <v>1669</v>
      </c>
      <c r="Z1678" s="10">
        <v>334</v>
      </c>
      <c r="AA1678" s="7">
        <v>998</v>
      </c>
      <c r="AB1678" s="7">
        <v>1669</v>
      </c>
      <c r="AC1678" s="109">
        <v>0</v>
      </c>
      <c r="AD1678" s="109">
        <v>0</v>
      </c>
      <c r="AE1678" s="125"/>
      <c r="AF1678" s="10"/>
      <c r="AI1678" s="109"/>
      <c r="AJ1678" s="109"/>
      <c r="AL1678" s="10"/>
      <c r="AO1678" s="109"/>
      <c r="AP1678" s="109"/>
      <c r="AR1678" s="10"/>
      <c r="AU1678" s="109"/>
      <c r="AV1678" s="109"/>
      <c r="AX1678" s="10"/>
      <c r="BA1678" s="109"/>
      <c r="BB1678" s="109"/>
      <c r="BD1678" s="10"/>
      <c r="BG1678" s="109"/>
      <c r="BH1678" s="109"/>
      <c r="BJ1678" s="10"/>
      <c r="BM1678" s="109"/>
      <c r="BN1678" s="109"/>
      <c r="BP1678" s="10"/>
      <c r="BS1678" s="109"/>
      <c r="BT1678" s="109"/>
      <c r="BV1678" s="10"/>
      <c r="BY1678" s="109"/>
      <c r="BZ1678" s="109"/>
      <c r="CB1678" s="10"/>
      <c r="CE1678" s="109"/>
      <c r="CF1678" s="109"/>
      <c r="CH1678" s="10"/>
      <c r="CK1678" s="109"/>
      <c r="CL1678" s="109"/>
    </row>
    <row r="1679" spans="1:90">
      <c r="A1679" s="7" t="str">
        <f t="shared" si="261"/>
        <v>03340999</v>
      </c>
      <c r="B1679" s="7" t="s">
        <v>2673</v>
      </c>
      <c r="C1679" s="7" t="s">
        <v>2782</v>
      </c>
      <c r="D1679" s="7">
        <v>1670</v>
      </c>
      <c r="E1679" s="11">
        <v>334</v>
      </c>
      <c r="F1679" s="11" t="s">
        <v>2039</v>
      </c>
      <c r="G1679" s="11">
        <v>999</v>
      </c>
      <c r="H1679" s="11" t="s">
        <v>1132</v>
      </c>
      <c r="I1679" s="134">
        <v>3819204</v>
      </c>
      <c r="J1679" s="135">
        <v>1</v>
      </c>
      <c r="K1679" s="127">
        <f>SUM(K1675:K1678)</f>
        <v>4120192.1970162764</v>
      </c>
      <c r="L1679" s="126">
        <f>SUM(L1675:L1678)</f>
        <v>1</v>
      </c>
      <c r="M1679" s="105">
        <f>VLOOKUP(E1679,town351,22)</f>
        <v>3312377</v>
      </c>
      <c r="N1679" s="105">
        <f>SUM(N1675:N1678)</f>
        <v>3312377</v>
      </c>
      <c r="O1679" s="128">
        <v>3159760</v>
      </c>
      <c r="P1679" s="105">
        <f>SUM(P1675:P1678)</f>
        <v>152617</v>
      </c>
      <c r="Q1679" s="45">
        <f t="shared" si="259"/>
        <v>4.8300187356001718</v>
      </c>
      <c r="R1679" s="105">
        <v>372</v>
      </c>
      <c r="S1679" s="7">
        <f t="shared" si="262"/>
        <v>0</v>
      </c>
      <c r="T1679" s="124">
        <f t="shared" si="263"/>
        <v>334</v>
      </c>
      <c r="U1679" s="124">
        <f t="shared" si="264"/>
        <v>999</v>
      </c>
      <c r="V1679" s="124">
        <f t="shared" si="265"/>
        <v>1670</v>
      </c>
      <c r="W1679" s="124">
        <f t="shared" si="266"/>
        <v>388.53652393240003</v>
      </c>
      <c r="X1679" s="124">
        <f t="shared" si="267"/>
        <v>4120192.1970162764</v>
      </c>
      <c r="Y1679" s="264">
        <f t="shared" si="268"/>
        <v>1670</v>
      </c>
      <c r="Z1679" s="10">
        <v>334</v>
      </c>
      <c r="AA1679" s="7">
        <v>999</v>
      </c>
      <c r="AB1679" s="7">
        <v>1670</v>
      </c>
      <c r="AC1679" s="109">
        <v>388.53652393240003</v>
      </c>
      <c r="AD1679" s="109">
        <v>4120192.1970162764</v>
      </c>
      <c r="AE1679" s="125"/>
      <c r="AF1679" s="10"/>
      <c r="AI1679" s="109"/>
      <c r="AJ1679" s="109"/>
      <c r="AL1679" s="10"/>
      <c r="AO1679" s="109"/>
      <c r="AP1679" s="109"/>
      <c r="AR1679" s="10"/>
      <c r="AU1679" s="109"/>
      <c r="AV1679" s="109"/>
      <c r="AX1679" s="10"/>
      <c r="BA1679" s="109"/>
      <c r="BB1679" s="109"/>
      <c r="BD1679" s="10"/>
      <c r="BG1679" s="109"/>
      <c r="BH1679" s="109"/>
      <c r="BJ1679" s="10"/>
      <c r="BM1679" s="109"/>
      <c r="BN1679" s="109"/>
      <c r="BP1679" s="10"/>
      <c r="BS1679" s="109"/>
      <c r="BT1679" s="109"/>
      <c r="BV1679" s="10"/>
      <c r="BY1679" s="109"/>
      <c r="BZ1679" s="109"/>
      <c r="CB1679" s="10"/>
      <c r="CE1679" s="109"/>
      <c r="CF1679" s="109"/>
      <c r="CH1679" s="10"/>
      <c r="CK1679" s="109"/>
      <c r="CL1679" s="109"/>
    </row>
    <row r="1680" spans="1:90">
      <c r="A1680" s="7" t="str">
        <f t="shared" si="261"/>
        <v>03350335</v>
      </c>
      <c r="B1680" s="7" t="s">
        <v>2674</v>
      </c>
      <c r="C1680" s="7" t="s">
        <v>2674</v>
      </c>
      <c r="D1680" s="7">
        <v>1671</v>
      </c>
      <c r="E1680" s="7">
        <v>335</v>
      </c>
      <c r="F1680" s="7" t="s">
        <v>2040</v>
      </c>
      <c r="G1680" s="7">
        <v>335</v>
      </c>
      <c r="H1680" s="7" t="s">
        <v>1601</v>
      </c>
      <c r="I1680" s="70">
        <v>29301469.672719996</v>
      </c>
      <c r="J1680" s="131">
        <v>0.99396719313050419</v>
      </c>
      <c r="K1680" s="123">
        <f>X1680</f>
        <v>30014821.710917722</v>
      </c>
      <c r="L1680" s="122">
        <f>IF(K1684&gt;0, K1680/K1684, 0)</f>
        <v>0.99345736155608544</v>
      </c>
      <c r="M1680" s="71"/>
      <c r="N1680" s="10">
        <f>ROUND(M1684*L1680,0)</f>
        <v>24903789</v>
      </c>
      <c r="O1680" s="70">
        <v>24485112</v>
      </c>
      <c r="P1680" s="10">
        <f>N1680-O1680</f>
        <v>418677</v>
      </c>
      <c r="Q1680" s="46">
        <f>IF(O1680&gt;0,P1680*100/O1680,IF(P1680&gt;0,100,0))</f>
        <v>1.7099247902153767</v>
      </c>
      <c r="R1680" s="10">
        <v>3063</v>
      </c>
      <c r="S1680" s="7">
        <f t="shared" si="262"/>
        <v>0</v>
      </c>
      <c r="T1680" s="124">
        <f t="shared" si="263"/>
        <v>335</v>
      </c>
      <c r="U1680" s="124">
        <f t="shared" si="264"/>
        <v>335</v>
      </c>
      <c r="V1680" s="124">
        <f t="shared" si="265"/>
        <v>1671</v>
      </c>
      <c r="W1680" s="124">
        <f t="shared" si="266"/>
        <v>3077</v>
      </c>
      <c r="X1680" s="124">
        <f t="shared" si="267"/>
        <v>30014821.710917722</v>
      </c>
      <c r="Y1680" s="264">
        <f t="shared" si="268"/>
        <v>1671</v>
      </c>
      <c r="Z1680" s="10">
        <v>335</v>
      </c>
      <c r="AA1680" s="7">
        <v>335</v>
      </c>
      <c r="AB1680" s="7">
        <v>1671</v>
      </c>
      <c r="AC1680" s="109">
        <v>3077</v>
      </c>
      <c r="AD1680" s="109">
        <v>30014821.710917722</v>
      </c>
      <c r="AE1680" s="125"/>
      <c r="AF1680" s="10"/>
      <c r="AI1680" s="109"/>
      <c r="AJ1680" s="109"/>
      <c r="AL1680" s="10"/>
      <c r="AO1680" s="109"/>
      <c r="AP1680" s="109"/>
      <c r="AR1680" s="10"/>
      <c r="AU1680" s="109"/>
      <c r="AV1680" s="109"/>
      <c r="AX1680" s="10"/>
      <c r="BA1680" s="109"/>
      <c r="BB1680" s="109"/>
      <c r="BD1680" s="10"/>
      <c r="BG1680" s="109"/>
      <c r="BH1680" s="109"/>
      <c r="BJ1680" s="10"/>
      <c r="BM1680" s="109"/>
      <c r="BN1680" s="109"/>
      <c r="BP1680" s="10"/>
      <c r="BS1680" s="109"/>
      <c r="BT1680" s="109"/>
      <c r="BV1680" s="10"/>
      <c r="BY1680" s="109"/>
      <c r="BZ1680" s="109"/>
      <c r="CB1680" s="10"/>
      <c r="CE1680" s="109"/>
      <c r="CF1680" s="109"/>
      <c r="CH1680" s="10"/>
      <c r="CK1680" s="109"/>
      <c r="CL1680" s="109"/>
    </row>
    <row r="1681" spans="1:90">
      <c r="A1681" s="7" t="str">
        <f t="shared" si="261"/>
        <v>03350806</v>
      </c>
      <c r="B1681" s="7" t="s">
        <v>2674</v>
      </c>
      <c r="C1681" s="7" t="s">
        <v>2754</v>
      </c>
      <c r="D1681" s="7">
        <v>1672</v>
      </c>
      <c r="E1681" s="7">
        <v>335</v>
      </c>
      <c r="F1681" s="7" t="s">
        <v>2040</v>
      </c>
      <c r="G1681" s="7">
        <v>806</v>
      </c>
      <c r="H1681" s="7" t="s">
        <v>1681</v>
      </c>
      <c r="I1681" s="70">
        <v>113294</v>
      </c>
      <c r="J1681" s="131">
        <v>3.8431696579154535E-3</v>
      </c>
      <c r="K1681" s="123">
        <f t="shared" si="260"/>
        <v>131780.21647763337</v>
      </c>
      <c r="L1681" s="122">
        <f>IF(K1684&gt;0, K1681/K1684, 0)</f>
        <v>4.3617792378736241E-3</v>
      </c>
      <c r="M1681" s="71"/>
      <c r="N1681" s="10">
        <f>ROUND(M1684*L1681,0)</f>
        <v>109340</v>
      </c>
      <c r="O1681" s="70">
        <v>94672</v>
      </c>
      <c r="P1681" s="10">
        <f>N1681-O1681</f>
        <v>14668</v>
      </c>
      <c r="Q1681" s="46">
        <f>IF(O1681&gt;0,P1681*100/O1681,IF(P1681&gt;0,100,0))</f>
        <v>15.493493324319756</v>
      </c>
      <c r="R1681" s="10">
        <v>7</v>
      </c>
      <c r="S1681" s="7">
        <f t="shared" si="262"/>
        <v>0</v>
      </c>
      <c r="T1681" s="124">
        <f t="shared" si="263"/>
        <v>335</v>
      </c>
      <c r="U1681" s="124">
        <f t="shared" si="264"/>
        <v>806</v>
      </c>
      <c r="V1681" s="124">
        <f t="shared" si="265"/>
        <v>1672</v>
      </c>
      <c r="W1681" s="124">
        <f t="shared" si="266"/>
        <v>8.0000000014400001</v>
      </c>
      <c r="X1681" s="124">
        <f t="shared" si="267"/>
        <v>131780.21647763337</v>
      </c>
      <c r="Y1681" s="264">
        <f t="shared" si="268"/>
        <v>1672</v>
      </c>
      <c r="Z1681" s="10">
        <v>335</v>
      </c>
      <c r="AA1681" s="7">
        <v>806</v>
      </c>
      <c r="AB1681" s="7">
        <v>1672</v>
      </c>
      <c r="AC1681" s="109">
        <v>8.0000000014400001</v>
      </c>
      <c r="AD1681" s="109">
        <v>131780.21647763337</v>
      </c>
      <c r="AE1681" s="125"/>
      <c r="AF1681" s="10"/>
      <c r="AI1681" s="109"/>
      <c r="AJ1681" s="109"/>
      <c r="AL1681" s="10"/>
      <c r="AO1681" s="109"/>
      <c r="AP1681" s="109"/>
      <c r="AR1681" s="10"/>
      <c r="AU1681" s="109"/>
      <c r="AV1681" s="109"/>
      <c r="AX1681" s="10"/>
      <c r="BA1681" s="109"/>
      <c r="BB1681" s="109"/>
      <c r="BD1681" s="10"/>
      <c r="BG1681" s="109"/>
      <c r="BH1681" s="109"/>
      <c r="BJ1681" s="10"/>
      <c r="BM1681" s="109"/>
      <c r="BN1681" s="109"/>
      <c r="BP1681" s="10"/>
      <c r="BS1681" s="109"/>
      <c r="BT1681" s="109"/>
      <c r="BV1681" s="10"/>
      <c r="BY1681" s="109"/>
      <c r="BZ1681" s="109"/>
      <c r="CB1681" s="10"/>
      <c r="CE1681" s="109"/>
      <c r="CF1681" s="109"/>
      <c r="CH1681" s="10"/>
      <c r="CK1681" s="109"/>
      <c r="CL1681" s="109"/>
    </row>
    <row r="1682" spans="1:90">
      <c r="A1682" s="7" t="str">
        <f t="shared" si="261"/>
        <v>03350915</v>
      </c>
      <c r="B1682" s="7" t="s">
        <v>2674</v>
      </c>
      <c r="C1682" s="7" t="s">
        <v>2779</v>
      </c>
      <c r="D1682" s="7">
        <v>1673</v>
      </c>
      <c r="E1682" s="7">
        <v>335</v>
      </c>
      <c r="F1682" s="7" t="s">
        <v>2040</v>
      </c>
      <c r="G1682" s="7">
        <v>915</v>
      </c>
      <c r="H1682" s="7" t="s">
        <v>1706</v>
      </c>
      <c r="I1682" s="70">
        <v>64549</v>
      </c>
      <c r="J1682" s="131">
        <v>2.1896372115803539E-3</v>
      </c>
      <c r="K1682" s="123">
        <f t="shared" si="260"/>
        <v>65889.189389469204</v>
      </c>
      <c r="L1682" s="122">
        <f>IF(K1684&gt;0, K1682/K1684, 0)</f>
        <v>2.1808592060409034E-3</v>
      </c>
      <c r="M1682" s="71"/>
      <c r="N1682" s="10">
        <f>ROUND(M1684*L1682,0)</f>
        <v>54669</v>
      </c>
      <c r="O1682" s="70">
        <v>53939</v>
      </c>
      <c r="P1682" s="10">
        <f>N1682-O1682</f>
        <v>730</v>
      </c>
      <c r="Q1682" s="46">
        <f>IF(O1682&gt;0,P1682*100/O1682,IF(P1682&gt;0,100,0))</f>
        <v>1.3533806707577078</v>
      </c>
      <c r="R1682" s="10">
        <v>4</v>
      </c>
      <c r="S1682" s="7">
        <f t="shared" si="262"/>
        <v>0</v>
      </c>
      <c r="T1682" s="124">
        <f t="shared" si="263"/>
        <v>335</v>
      </c>
      <c r="U1682" s="124">
        <f t="shared" si="264"/>
        <v>915</v>
      </c>
      <c r="V1682" s="124">
        <f t="shared" si="265"/>
        <v>1673</v>
      </c>
      <c r="W1682" s="124">
        <f t="shared" si="266"/>
        <v>3.9999999992400004</v>
      </c>
      <c r="X1682" s="124">
        <f t="shared" si="267"/>
        <v>65889.189389469204</v>
      </c>
      <c r="Y1682" s="264">
        <f t="shared" si="268"/>
        <v>1673</v>
      </c>
      <c r="Z1682" s="10">
        <v>335</v>
      </c>
      <c r="AA1682" s="7">
        <v>915</v>
      </c>
      <c r="AB1682" s="7">
        <v>1673</v>
      </c>
      <c r="AC1682" s="109">
        <v>3.9999999992400004</v>
      </c>
      <c r="AD1682" s="109">
        <v>65889.189389469204</v>
      </c>
      <c r="AE1682" s="125"/>
      <c r="AF1682" s="10"/>
      <c r="AI1682" s="109"/>
      <c r="AJ1682" s="109"/>
      <c r="AL1682" s="10"/>
      <c r="AO1682" s="109"/>
      <c r="AP1682" s="109"/>
      <c r="AR1682" s="10"/>
      <c r="AU1682" s="109"/>
      <c r="AV1682" s="109"/>
      <c r="AX1682" s="10"/>
      <c r="BA1682" s="109"/>
      <c r="BB1682" s="109"/>
      <c r="BD1682" s="10"/>
      <c r="BG1682" s="109"/>
      <c r="BH1682" s="109"/>
      <c r="BJ1682" s="10"/>
      <c r="BM1682" s="109"/>
      <c r="BN1682" s="109"/>
      <c r="BP1682" s="10"/>
      <c r="BS1682" s="109"/>
      <c r="BT1682" s="109"/>
      <c r="BV1682" s="10"/>
      <c r="BY1682" s="109"/>
      <c r="BZ1682" s="109"/>
      <c r="CB1682" s="10"/>
      <c r="CE1682" s="109"/>
      <c r="CF1682" s="109"/>
      <c r="CH1682" s="10"/>
      <c r="CK1682" s="109"/>
      <c r="CL1682" s="109"/>
    </row>
    <row r="1683" spans="1:90">
      <c r="A1683" s="7" t="str">
        <f t="shared" si="261"/>
        <v>03350998</v>
      </c>
      <c r="B1683" s="7" t="s">
        <v>2674</v>
      </c>
      <c r="C1683" s="7" t="s">
        <v>2781</v>
      </c>
      <c r="D1683" s="7">
        <v>1674</v>
      </c>
      <c r="E1683" s="7">
        <v>335</v>
      </c>
      <c r="F1683" s="7" t="s">
        <v>2135</v>
      </c>
      <c r="G1683" s="7">
        <v>998</v>
      </c>
      <c r="H1683" s="7" t="s">
        <v>2135</v>
      </c>
      <c r="I1683" s="70">
        <v>0</v>
      </c>
      <c r="J1683" s="131">
        <v>0</v>
      </c>
      <c r="K1683" s="123">
        <f t="shared" si="260"/>
        <v>0</v>
      </c>
      <c r="L1683" s="122">
        <f>IF(K1684&gt;0, K1683/K1684, 0)</f>
        <v>0</v>
      </c>
      <c r="M1683" s="71"/>
      <c r="N1683" s="10">
        <f>ROUND(M1684*L1683,0)</f>
        <v>0</v>
      </c>
      <c r="O1683" s="70">
        <v>0</v>
      </c>
      <c r="P1683" s="10">
        <f>N1683-O1683</f>
        <v>0</v>
      </c>
      <c r="Q1683" s="46">
        <f>IF(O1683&gt;0,P1683*100/O1683,IF(P1683&gt;0,100,0))</f>
        <v>0</v>
      </c>
      <c r="R1683" s="10">
        <v>0</v>
      </c>
      <c r="S1683" s="7">
        <f t="shared" si="262"/>
        <v>0</v>
      </c>
      <c r="T1683" s="124">
        <f t="shared" si="263"/>
        <v>335</v>
      </c>
      <c r="U1683" s="124">
        <f t="shared" si="264"/>
        <v>998</v>
      </c>
      <c r="V1683" s="124">
        <f t="shared" si="265"/>
        <v>1674</v>
      </c>
      <c r="W1683" s="124">
        <f t="shared" si="266"/>
        <v>0</v>
      </c>
      <c r="X1683" s="124">
        <f t="shared" si="267"/>
        <v>0</v>
      </c>
      <c r="Y1683" s="264">
        <f t="shared" si="268"/>
        <v>1674</v>
      </c>
      <c r="Z1683" s="10">
        <v>335</v>
      </c>
      <c r="AA1683" s="7">
        <v>998</v>
      </c>
      <c r="AB1683" s="7">
        <v>1674</v>
      </c>
      <c r="AC1683" s="109">
        <v>0</v>
      </c>
      <c r="AD1683" s="109">
        <v>0</v>
      </c>
      <c r="AE1683" s="125"/>
      <c r="AF1683" s="10"/>
      <c r="AI1683" s="109"/>
      <c r="AJ1683" s="109"/>
      <c r="AL1683" s="10"/>
      <c r="AO1683" s="109"/>
      <c r="AP1683" s="109"/>
      <c r="AR1683" s="10"/>
      <c r="AU1683" s="109"/>
      <c r="AV1683" s="109"/>
      <c r="AX1683" s="10"/>
      <c r="BA1683" s="109"/>
      <c r="BB1683" s="109"/>
      <c r="BD1683" s="10"/>
      <c r="BG1683" s="109"/>
      <c r="BH1683" s="109"/>
      <c r="BJ1683" s="10"/>
      <c r="BM1683" s="109"/>
      <c r="BN1683" s="109"/>
      <c r="BP1683" s="10"/>
      <c r="BS1683" s="109"/>
      <c r="BT1683" s="109"/>
      <c r="BV1683" s="10"/>
      <c r="BY1683" s="109"/>
      <c r="BZ1683" s="109"/>
      <c r="CB1683" s="10"/>
      <c r="CE1683" s="109"/>
      <c r="CF1683" s="109"/>
      <c r="CH1683" s="10"/>
      <c r="CK1683" s="109"/>
      <c r="CL1683" s="109"/>
    </row>
    <row r="1684" spans="1:90">
      <c r="A1684" s="7" t="str">
        <f t="shared" si="261"/>
        <v>03350999</v>
      </c>
      <c r="B1684" s="7" t="s">
        <v>2674</v>
      </c>
      <c r="C1684" s="7" t="s">
        <v>2782</v>
      </c>
      <c r="D1684" s="7">
        <v>1675</v>
      </c>
      <c r="E1684" s="11">
        <v>335</v>
      </c>
      <c r="F1684" s="11" t="s">
        <v>2040</v>
      </c>
      <c r="G1684" s="11">
        <v>999</v>
      </c>
      <c r="H1684" s="11" t="s">
        <v>1132</v>
      </c>
      <c r="I1684" s="134">
        <v>29479312.672719996</v>
      </c>
      <c r="J1684" s="135">
        <v>1</v>
      </c>
      <c r="K1684" s="127">
        <f>SUM(K1680:K1683)</f>
        <v>30212491.116784826</v>
      </c>
      <c r="L1684" s="126">
        <f>SUM(L1680:L1683)</f>
        <v>1</v>
      </c>
      <c r="M1684" s="105">
        <f>VLOOKUP(E1684,town351,22)</f>
        <v>25067799</v>
      </c>
      <c r="N1684" s="105">
        <f>SUM(N1680:N1683)</f>
        <v>25067798</v>
      </c>
      <c r="O1684" s="128">
        <v>24633723</v>
      </c>
      <c r="P1684" s="105">
        <f>SUM(P1680:P1683)</f>
        <v>434075</v>
      </c>
      <c r="Q1684" s="45">
        <f t="shared" ref="Q1684:Q1743" si="269">IF(O1684&gt;0,P1684*100/O1684,IF(P1684&gt;0,100,0))</f>
        <v>1.7621169159042667</v>
      </c>
      <c r="R1684" s="105">
        <v>3074</v>
      </c>
      <c r="S1684" s="7">
        <f t="shared" si="262"/>
        <v>0</v>
      </c>
      <c r="T1684" s="124">
        <f t="shared" si="263"/>
        <v>335</v>
      </c>
      <c r="U1684" s="124">
        <f t="shared" si="264"/>
        <v>999</v>
      </c>
      <c r="V1684" s="124">
        <f t="shared" si="265"/>
        <v>1675</v>
      </c>
      <c r="W1684" s="124">
        <f t="shared" si="266"/>
        <v>3089.0000000006803</v>
      </c>
      <c r="X1684" s="124">
        <f t="shared" si="267"/>
        <v>30212491.116784826</v>
      </c>
      <c r="Y1684" s="264">
        <f t="shared" si="268"/>
        <v>1675</v>
      </c>
      <c r="Z1684" s="10">
        <v>335</v>
      </c>
      <c r="AA1684" s="7">
        <v>999</v>
      </c>
      <c r="AB1684" s="7">
        <v>1675</v>
      </c>
      <c r="AC1684" s="109">
        <v>3089.0000000006803</v>
      </c>
      <c r="AD1684" s="109">
        <v>30212491.116784826</v>
      </c>
      <c r="AE1684" s="125"/>
      <c r="AF1684" s="10"/>
      <c r="AI1684" s="109"/>
      <c r="AJ1684" s="109"/>
      <c r="AL1684" s="10"/>
      <c r="AO1684" s="109"/>
      <c r="AP1684" s="109"/>
      <c r="AR1684" s="10"/>
      <c r="AU1684" s="109"/>
      <c r="AV1684" s="109"/>
      <c r="AX1684" s="10"/>
      <c r="BA1684" s="109"/>
      <c r="BB1684" s="109"/>
      <c r="BD1684" s="10"/>
      <c r="BG1684" s="109"/>
      <c r="BH1684" s="109"/>
      <c r="BJ1684" s="10"/>
      <c r="BM1684" s="109"/>
      <c r="BN1684" s="109"/>
      <c r="BP1684" s="10"/>
      <c r="BS1684" s="109"/>
      <c r="BT1684" s="109"/>
      <c r="BV1684" s="10"/>
      <c r="BY1684" s="109"/>
      <c r="BZ1684" s="109"/>
      <c r="CB1684" s="10"/>
      <c r="CE1684" s="109"/>
      <c r="CF1684" s="109"/>
      <c r="CH1684" s="10"/>
      <c r="CK1684" s="109"/>
      <c r="CL1684" s="109"/>
    </row>
    <row r="1685" spans="1:90">
      <c r="A1685" s="7" t="str">
        <f t="shared" si="261"/>
        <v>03360336</v>
      </c>
      <c r="B1685" s="7" t="s">
        <v>2675</v>
      </c>
      <c r="C1685" s="7" t="s">
        <v>2675</v>
      </c>
      <c r="D1685" s="7">
        <v>1676</v>
      </c>
      <c r="E1685" s="7">
        <v>336</v>
      </c>
      <c r="F1685" s="7" t="s">
        <v>2041</v>
      </c>
      <c r="G1685" s="7">
        <v>336</v>
      </c>
      <c r="H1685" s="7" t="s">
        <v>1602</v>
      </c>
      <c r="I1685" s="70">
        <v>69159899.607649997</v>
      </c>
      <c r="J1685" s="131">
        <v>0.99350906944587125</v>
      </c>
      <c r="K1685" s="123">
        <f>X1685</f>
        <v>69172635.260738254</v>
      </c>
      <c r="L1685" s="122">
        <f>IF(K1689&gt;0, K1685/K1689, 0)</f>
        <v>0.99243736850613185</v>
      </c>
      <c r="M1685" s="71"/>
      <c r="N1685" s="10">
        <f>ROUND(M1689*L1685,0)</f>
        <v>49020130</v>
      </c>
      <c r="O1685" s="70">
        <v>47454854</v>
      </c>
      <c r="P1685" s="10">
        <f>N1685-O1685</f>
        <v>1565276</v>
      </c>
      <c r="Q1685" s="46">
        <f t="shared" si="269"/>
        <v>3.2984528832392992</v>
      </c>
      <c r="R1685" s="10">
        <v>6428</v>
      </c>
      <c r="S1685" s="7">
        <f t="shared" si="262"/>
        <v>0</v>
      </c>
      <c r="T1685" s="124">
        <f t="shared" si="263"/>
        <v>336</v>
      </c>
      <c r="U1685" s="124">
        <f t="shared" si="264"/>
        <v>336</v>
      </c>
      <c r="V1685" s="124">
        <f t="shared" si="265"/>
        <v>1676</v>
      </c>
      <c r="W1685" s="124">
        <f t="shared" si="266"/>
        <v>6263</v>
      </c>
      <c r="X1685" s="124">
        <f t="shared" si="267"/>
        <v>69172635.260738254</v>
      </c>
      <c r="Y1685" s="264">
        <f t="shared" si="268"/>
        <v>1676</v>
      </c>
      <c r="Z1685" s="10">
        <v>336</v>
      </c>
      <c r="AA1685" s="7">
        <v>336</v>
      </c>
      <c r="AB1685" s="7">
        <v>1676</v>
      </c>
      <c r="AC1685" s="109">
        <v>6263</v>
      </c>
      <c r="AD1685" s="109">
        <v>69172635.260738254</v>
      </c>
      <c r="AE1685" s="125"/>
      <c r="AF1685" s="10"/>
      <c r="AI1685" s="109"/>
      <c r="AJ1685" s="109"/>
      <c r="AL1685" s="10"/>
      <c r="AO1685" s="109"/>
      <c r="AP1685" s="109"/>
      <c r="AR1685" s="10"/>
      <c r="AU1685" s="109"/>
      <c r="AV1685" s="109"/>
      <c r="AX1685" s="10"/>
      <c r="BA1685" s="109"/>
      <c r="BB1685" s="109"/>
      <c r="BD1685" s="10"/>
      <c r="BG1685" s="109"/>
      <c r="BH1685" s="109"/>
      <c r="BJ1685" s="10"/>
      <c r="BM1685" s="109"/>
      <c r="BN1685" s="109"/>
      <c r="BP1685" s="10"/>
      <c r="BS1685" s="109"/>
      <c r="BT1685" s="109"/>
      <c r="BV1685" s="10"/>
      <c r="BY1685" s="109"/>
      <c r="BZ1685" s="109"/>
      <c r="CB1685" s="10"/>
      <c r="CE1685" s="109"/>
      <c r="CF1685" s="109"/>
      <c r="CH1685" s="10"/>
      <c r="CK1685" s="109"/>
      <c r="CL1685" s="109"/>
    </row>
    <row r="1686" spans="1:90">
      <c r="A1686" s="7" t="str">
        <f t="shared" si="261"/>
        <v>03360915</v>
      </c>
      <c r="B1686" s="7" t="s">
        <v>2675</v>
      </c>
      <c r="C1686" s="7" t="s">
        <v>2779</v>
      </c>
      <c r="D1686" s="7">
        <v>1677</v>
      </c>
      <c r="E1686" s="7">
        <v>336</v>
      </c>
      <c r="F1686" s="7" t="s">
        <v>2041</v>
      </c>
      <c r="G1686" s="7">
        <v>915</v>
      </c>
      <c r="H1686" s="7" t="s">
        <v>1706</v>
      </c>
      <c r="I1686" s="70">
        <v>451845</v>
      </c>
      <c r="J1686" s="131">
        <v>6.4909305541287123E-3</v>
      </c>
      <c r="K1686" s="123">
        <f t="shared" si="260"/>
        <v>527113.51520766912</v>
      </c>
      <c r="L1686" s="122">
        <f>IF(K1689&gt;0, K1686/K1689, 0)</f>
        <v>7.5626314938681853E-3</v>
      </c>
      <c r="M1686" s="71"/>
      <c r="N1686" s="10">
        <f>ROUND(M1689*L1686,0)</f>
        <v>373546</v>
      </c>
      <c r="O1686" s="70">
        <v>310039</v>
      </c>
      <c r="P1686" s="10">
        <f>N1686-O1686</f>
        <v>63507</v>
      </c>
      <c r="Q1686" s="46">
        <f t="shared" si="269"/>
        <v>20.483552069255804</v>
      </c>
      <c r="R1686" s="10">
        <v>28</v>
      </c>
      <c r="S1686" s="7">
        <f t="shared" si="262"/>
        <v>0</v>
      </c>
      <c r="T1686" s="124">
        <f t="shared" si="263"/>
        <v>336</v>
      </c>
      <c r="U1686" s="124">
        <f t="shared" si="264"/>
        <v>915</v>
      </c>
      <c r="V1686" s="124">
        <f t="shared" si="265"/>
        <v>1677</v>
      </c>
      <c r="W1686" s="124">
        <f t="shared" si="266"/>
        <v>31.999999999500002</v>
      </c>
      <c r="X1686" s="124">
        <f t="shared" si="267"/>
        <v>527113.51520766912</v>
      </c>
      <c r="Y1686" s="264">
        <f t="shared" si="268"/>
        <v>1677</v>
      </c>
      <c r="Z1686" s="10">
        <v>336</v>
      </c>
      <c r="AA1686" s="7">
        <v>915</v>
      </c>
      <c r="AB1686" s="7">
        <v>1677</v>
      </c>
      <c r="AC1686" s="109">
        <v>31.999999999500002</v>
      </c>
      <c r="AD1686" s="109">
        <v>527113.51520766912</v>
      </c>
      <c r="AE1686" s="125"/>
      <c r="AF1686" s="10"/>
      <c r="AI1686" s="109"/>
      <c r="AJ1686" s="109"/>
      <c r="AL1686" s="10"/>
      <c r="AO1686" s="109"/>
      <c r="AP1686" s="109"/>
      <c r="AR1686" s="10"/>
      <c r="AU1686" s="109"/>
      <c r="AV1686" s="109"/>
      <c r="AX1686" s="10"/>
      <c r="BA1686" s="109"/>
      <c r="BB1686" s="109"/>
      <c r="BD1686" s="10"/>
      <c r="BG1686" s="109"/>
      <c r="BH1686" s="109"/>
      <c r="BJ1686" s="10"/>
      <c r="BM1686" s="109"/>
      <c r="BN1686" s="109"/>
      <c r="BP1686" s="10"/>
      <c r="BS1686" s="109"/>
      <c r="BT1686" s="109"/>
      <c r="BV1686" s="10"/>
      <c r="BY1686" s="109"/>
      <c r="BZ1686" s="109"/>
      <c r="CB1686" s="10"/>
      <c r="CE1686" s="109"/>
      <c r="CF1686" s="109"/>
      <c r="CH1686" s="10"/>
      <c r="CK1686" s="109"/>
      <c r="CL1686" s="109"/>
    </row>
    <row r="1687" spans="1:90">
      <c r="A1687" s="7" t="str">
        <f t="shared" si="261"/>
        <v>03360998</v>
      </c>
      <c r="B1687" s="7" t="s">
        <v>2675</v>
      </c>
      <c r="C1687" s="7" t="s">
        <v>2781</v>
      </c>
      <c r="D1687" s="7">
        <v>1678</v>
      </c>
      <c r="E1687" s="7">
        <v>336</v>
      </c>
      <c r="F1687" s="7" t="s">
        <v>2135</v>
      </c>
      <c r="G1687" s="7">
        <v>998</v>
      </c>
      <c r="H1687" s="7" t="s">
        <v>2135</v>
      </c>
      <c r="I1687" s="70">
        <v>0</v>
      </c>
      <c r="J1687" s="131">
        <v>0</v>
      </c>
      <c r="K1687" s="123">
        <f t="shared" si="260"/>
        <v>0</v>
      </c>
      <c r="L1687" s="122">
        <f>IF(K1689&gt;0, K1687/K1689, 0)</f>
        <v>0</v>
      </c>
      <c r="M1687" s="71"/>
      <c r="N1687" s="10">
        <f>ROUND(M1689*L1687,0)</f>
        <v>0</v>
      </c>
      <c r="O1687" s="70">
        <v>0</v>
      </c>
      <c r="P1687" s="10">
        <f>N1687-O1687</f>
        <v>0</v>
      </c>
      <c r="Q1687" s="46">
        <f t="shared" si="269"/>
        <v>0</v>
      </c>
      <c r="R1687" s="10">
        <v>0</v>
      </c>
      <c r="S1687" s="7">
        <f t="shared" si="262"/>
        <v>0</v>
      </c>
      <c r="T1687" s="124">
        <f t="shared" si="263"/>
        <v>336</v>
      </c>
      <c r="U1687" s="124">
        <f t="shared" si="264"/>
        <v>998</v>
      </c>
      <c r="V1687" s="124">
        <f t="shared" si="265"/>
        <v>1678</v>
      </c>
      <c r="W1687" s="124">
        <f t="shared" si="266"/>
        <v>0</v>
      </c>
      <c r="X1687" s="124">
        <f t="shared" si="267"/>
        <v>0</v>
      </c>
      <c r="Y1687" s="264">
        <f t="shared" si="268"/>
        <v>1678</v>
      </c>
      <c r="Z1687" s="10">
        <v>336</v>
      </c>
      <c r="AA1687" s="7">
        <v>998</v>
      </c>
      <c r="AB1687" s="7">
        <v>1678</v>
      </c>
      <c r="AC1687" s="109">
        <v>0</v>
      </c>
      <c r="AD1687" s="109">
        <v>0</v>
      </c>
      <c r="AE1687" s="125"/>
      <c r="AF1687" s="10"/>
      <c r="AI1687" s="109"/>
      <c r="AJ1687" s="109"/>
      <c r="AL1687" s="10"/>
      <c r="AO1687" s="109"/>
      <c r="AP1687" s="109"/>
      <c r="AR1687" s="10"/>
      <c r="AU1687" s="109"/>
      <c r="AV1687" s="109"/>
      <c r="AX1687" s="10"/>
      <c r="BA1687" s="109"/>
      <c r="BB1687" s="109"/>
      <c r="BD1687" s="10"/>
      <c r="BG1687" s="109"/>
      <c r="BH1687" s="109"/>
      <c r="BJ1687" s="10"/>
      <c r="BM1687" s="109"/>
      <c r="BN1687" s="109"/>
      <c r="BP1687" s="10"/>
      <c r="BS1687" s="109"/>
      <c r="BT1687" s="109"/>
      <c r="BV1687" s="10"/>
      <c r="BY1687" s="109"/>
      <c r="BZ1687" s="109"/>
      <c r="CB1687" s="10"/>
      <c r="CE1687" s="109"/>
      <c r="CF1687" s="109"/>
      <c r="CH1687" s="10"/>
      <c r="CK1687" s="109"/>
      <c r="CL1687" s="109"/>
    </row>
    <row r="1688" spans="1:90">
      <c r="A1688" s="7" t="str">
        <f t="shared" si="261"/>
        <v>03360998</v>
      </c>
      <c r="B1688" s="7" t="s">
        <v>2675</v>
      </c>
      <c r="C1688" s="7" t="s">
        <v>2781</v>
      </c>
      <c r="D1688" s="7">
        <v>1679</v>
      </c>
      <c r="E1688" s="7">
        <v>336</v>
      </c>
      <c r="F1688" s="7" t="s">
        <v>2135</v>
      </c>
      <c r="G1688" s="7">
        <v>998</v>
      </c>
      <c r="H1688" s="7" t="s">
        <v>2135</v>
      </c>
      <c r="I1688" s="70">
        <v>0</v>
      </c>
      <c r="J1688" s="131">
        <v>0</v>
      </c>
      <c r="K1688" s="123">
        <f t="shared" si="260"/>
        <v>0</v>
      </c>
      <c r="L1688" s="122">
        <f>IF(K1689&gt;0, K1688/K1689, 0)</f>
        <v>0</v>
      </c>
      <c r="M1688" s="71"/>
      <c r="N1688" s="10">
        <f>ROUND(M1689*L1688,0)</f>
        <v>0</v>
      </c>
      <c r="O1688" s="70">
        <v>0</v>
      </c>
      <c r="P1688" s="10">
        <f>N1688-O1688</f>
        <v>0</v>
      </c>
      <c r="Q1688" s="46">
        <f t="shared" si="269"/>
        <v>0</v>
      </c>
      <c r="R1688" s="10">
        <v>0</v>
      </c>
      <c r="S1688" s="7">
        <f t="shared" si="262"/>
        <v>0</v>
      </c>
      <c r="T1688" s="124">
        <f t="shared" si="263"/>
        <v>336</v>
      </c>
      <c r="U1688" s="124">
        <f t="shared" si="264"/>
        <v>998</v>
      </c>
      <c r="V1688" s="124">
        <f t="shared" si="265"/>
        <v>1679</v>
      </c>
      <c r="W1688" s="124">
        <f t="shared" si="266"/>
        <v>0</v>
      </c>
      <c r="X1688" s="124">
        <f t="shared" si="267"/>
        <v>0</v>
      </c>
      <c r="Y1688" s="264">
        <f t="shared" si="268"/>
        <v>1679</v>
      </c>
      <c r="Z1688" s="10">
        <v>336</v>
      </c>
      <c r="AA1688" s="7">
        <v>998</v>
      </c>
      <c r="AB1688" s="7">
        <v>1679</v>
      </c>
      <c r="AC1688" s="109">
        <v>0</v>
      </c>
      <c r="AD1688" s="109">
        <v>0</v>
      </c>
      <c r="AE1688" s="125"/>
      <c r="AF1688" s="10"/>
      <c r="AI1688" s="109"/>
      <c r="AJ1688" s="109"/>
      <c r="AL1688" s="10"/>
      <c r="AO1688" s="109"/>
      <c r="AP1688" s="109"/>
      <c r="AR1688" s="10"/>
      <c r="AU1688" s="109"/>
      <c r="AV1688" s="109"/>
      <c r="AX1688" s="10"/>
      <c r="BA1688" s="109"/>
      <c r="BB1688" s="109"/>
      <c r="BD1688" s="10"/>
      <c r="BG1688" s="109"/>
      <c r="BH1688" s="109"/>
      <c r="BJ1688" s="10"/>
      <c r="BM1688" s="109"/>
      <c r="BN1688" s="109"/>
      <c r="BP1688" s="10"/>
      <c r="BS1688" s="109"/>
      <c r="BT1688" s="109"/>
      <c r="BV1688" s="10"/>
      <c r="BY1688" s="109"/>
      <c r="BZ1688" s="109"/>
      <c r="CB1688" s="10"/>
      <c r="CE1688" s="109"/>
      <c r="CF1688" s="109"/>
      <c r="CH1688" s="10"/>
      <c r="CK1688" s="109"/>
      <c r="CL1688" s="109"/>
    </row>
    <row r="1689" spans="1:90">
      <c r="A1689" s="7" t="str">
        <f t="shared" si="261"/>
        <v>03360999</v>
      </c>
      <c r="B1689" s="7" t="s">
        <v>2675</v>
      </c>
      <c r="C1689" s="7" t="s">
        <v>2782</v>
      </c>
      <c r="D1689" s="7">
        <v>1680</v>
      </c>
      <c r="E1689" s="11">
        <v>336</v>
      </c>
      <c r="F1689" s="11" t="s">
        <v>2041</v>
      </c>
      <c r="G1689" s="11">
        <v>999</v>
      </c>
      <c r="H1689" s="11" t="s">
        <v>1132</v>
      </c>
      <c r="I1689" s="128">
        <v>69611744.607649997</v>
      </c>
      <c r="J1689" s="135">
        <v>1</v>
      </c>
      <c r="K1689" s="127">
        <f>SUM(K1685:K1688)</f>
        <v>69699748.775945917</v>
      </c>
      <c r="L1689" s="126">
        <f>SUM(L1685:L1688)</f>
        <v>1</v>
      </c>
      <c r="M1689" s="105">
        <f>VLOOKUP(E1689,town351,22)</f>
        <v>49393676</v>
      </c>
      <c r="N1689" s="105">
        <f>SUM(N1685:N1688)</f>
        <v>49393676</v>
      </c>
      <c r="O1689" s="128">
        <v>47764893</v>
      </c>
      <c r="P1689" s="105">
        <f>SUM(P1685:P1688)</f>
        <v>1628783</v>
      </c>
      <c r="Q1689" s="45">
        <f t="shared" si="269"/>
        <v>3.4100003113165145</v>
      </c>
      <c r="R1689" s="105">
        <v>6456</v>
      </c>
      <c r="S1689" s="7">
        <f t="shared" si="262"/>
        <v>0</v>
      </c>
      <c r="T1689" s="124">
        <f t="shared" si="263"/>
        <v>336</v>
      </c>
      <c r="U1689" s="124">
        <f t="shared" si="264"/>
        <v>999</v>
      </c>
      <c r="V1689" s="124">
        <f t="shared" si="265"/>
        <v>1680</v>
      </c>
      <c r="W1689" s="124">
        <f t="shared" si="266"/>
        <v>6294.9999999994998</v>
      </c>
      <c r="X1689" s="124">
        <f t="shared" si="267"/>
        <v>69699748.775945917</v>
      </c>
      <c r="Y1689" s="264">
        <f t="shared" si="268"/>
        <v>1680</v>
      </c>
      <c r="Z1689" s="10">
        <v>336</v>
      </c>
      <c r="AA1689" s="7">
        <v>999</v>
      </c>
      <c r="AB1689" s="7">
        <v>1680</v>
      </c>
      <c r="AC1689" s="109">
        <v>6294.9999999994998</v>
      </c>
      <c r="AD1689" s="109">
        <v>69699748.775945917</v>
      </c>
      <c r="AE1689" s="125"/>
      <c r="AF1689" s="10"/>
      <c r="AI1689" s="109"/>
      <c r="AJ1689" s="109"/>
      <c r="AL1689" s="10"/>
      <c r="AO1689" s="109"/>
      <c r="AP1689" s="109"/>
      <c r="AR1689" s="10"/>
      <c r="AU1689" s="109"/>
      <c r="AV1689" s="109"/>
      <c r="AX1689" s="10"/>
      <c r="BA1689" s="109"/>
      <c r="BB1689" s="109"/>
      <c r="BD1689" s="10"/>
      <c r="BG1689" s="109"/>
      <c r="BH1689" s="109"/>
      <c r="BJ1689" s="10"/>
      <c r="BM1689" s="109"/>
      <c r="BN1689" s="109"/>
      <c r="BP1689" s="10"/>
      <c r="BS1689" s="109"/>
      <c r="BT1689" s="109"/>
      <c r="BV1689" s="10"/>
      <c r="BY1689" s="109"/>
      <c r="BZ1689" s="109"/>
      <c r="CB1689" s="10"/>
      <c r="CE1689" s="109"/>
      <c r="CF1689" s="109"/>
      <c r="CH1689" s="10"/>
      <c r="CK1689" s="109"/>
      <c r="CL1689" s="109"/>
    </row>
    <row r="1690" spans="1:90">
      <c r="A1690" s="7" t="str">
        <f t="shared" si="261"/>
        <v>03370337</v>
      </c>
      <c r="B1690" s="7" t="s">
        <v>2676</v>
      </c>
      <c r="C1690" s="7" t="s">
        <v>2676</v>
      </c>
      <c r="D1690" s="7">
        <v>1681</v>
      </c>
      <c r="E1690" s="7">
        <v>337</v>
      </c>
      <c r="F1690" s="7" t="s">
        <v>2042</v>
      </c>
      <c r="G1690" s="7">
        <v>337</v>
      </c>
      <c r="H1690" s="7" t="s">
        <v>1603</v>
      </c>
      <c r="I1690" s="70">
        <v>852415.71000000008</v>
      </c>
      <c r="J1690" s="131">
        <v>0.50689586587834912</v>
      </c>
      <c r="K1690" s="123">
        <f>X1690</f>
        <v>869184.11954740097</v>
      </c>
      <c r="L1690" s="122">
        <f>IF(K1694&gt;0, K1690/K1694, 0)</f>
        <v>0.50633443543594447</v>
      </c>
      <c r="M1690" s="71"/>
      <c r="N1690" s="10">
        <f>ROUND(M1694*L1690,0)</f>
        <v>720991</v>
      </c>
      <c r="O1690" s="70">
        <v>714075</v>
      </c>
      <c r="P1690" s="10">
        <f>N1690-O1690</f>
        <v>6916</v>
      </c>
      <c r="Q1690" s="46">
        <f t="shared" si="269"/>
        <v>0.96852571508595031</v>
      </c>
      <c r="R1690" s="10">
        <v>82</v>
      </c>
      <c r="S1690" s="7">
        <f t="shared" si="262"/>
        <v>0</v>
      </c>
      <c r="T1690" s="124">
        <f t="shared" si="263"/>
        <v>337</v>
      </c>
      <c r="U1690" s="124">
        <f t="shared" si="264"/>
        <v>337</v>
      </c>
      <c r="V1690" s="124">
        <f t="shared" si="265"/>
        <v>1681</v>
      </c>
      <c r="W1690" s="124">
        <f t="shared" si="266"/>
        <v>83</v>
      </c>
      <c r="X1690" s="124">
        <f t="shared" si="267"/>
        <v>869184.11954740097</v>
      </c>
      <c r="Y1690" s="264">
        <f t="shared" si="268"/>
        <v>1681</v>
      </c>
      <c r="Z1690" s="10">
        <v>337</v>
      </c>
      <c r="AA1690" s="7">
        <v>337</v>
      </c>
      <c r="AB1690" s="7">
        <v>1681</v>
      </c>
      <c r="AC1690" s="109">
        <v>83</v>
      </c>
      <c r="AD1690" s="109">
        <v>869184.11954740097</v>
      </c>
      <c r="AE1690" s="125"/>
      <c r="AF1690" s="10"/>
      <c r="AI1690" s="109"/>
      <c r="AJ1690" s="109"/>
      <c r="AL1690" s="10"/>
      <c r="AO1690" s="109"/>
      <c r="AP1690" s="109"/>
      <c r="AR1690" s="10"/>
      <c r="AU1690" s="109"/>
      <c r="AV1690" s="109"/>
      <c r="AX1690" s="10"/>
      <c r="BA1690" s="109"/>
      <c r="BB1690" s="109"/>
      <c r="BD1690" s="10"/>
      <c r="BG1690" s="109"/>
      <c r="BH1690" s="109"/>
      <c r="BJ1690" s="10"/>
      <c r="BM1690" s="109"/>
      <c r="BN1690" s="109"/>
      <c r="BP1690" s="10"/>
      <c r="BS1690" s="109"/>
      <c r="BT1690" s="109"/>
      <c r="BV1690" s="10"/>
      <c r="BY1690" s="109"/>
      <c r="BZ1690" s="109"/>
      <c r="CB1690" s="10"/>
      <c r="CE1690" s="109"/>
      <c r="CF1690" s="109"/>
      <c r="CH1690" s="10"/>
      <c r="CK1690" s="109"/>
      <c r="CL1690" s="109"/>
    </row>
    <row r="1691" spans="1:90">
      <c r="A1691" s="7" t="str">
        <f t="shared" si="261"/>
        <v>03370670</v>
      </c>
      <c r="B1691" s="7" t="s">
        <v>2676</v>
      </c>
      <c r="C1691" s="7" t="s">
        <v>2714</v>
      </c>
      <c r="D1691" s="7">
        <v>1682</v>
      </c>
      <c r="E1691" s="7">
        <v>337</v>
      </c>
      <c r="F1691" s="7" t="s">
        <v>2042</v>
      </c>
      <c r="G1691" s="7">
        <v>670</v>
      </c>
      <c r="H1691" s="7" t="s">
        <v>1641</v>
      </c>
      <c r="I1691" s="70">
        <v>715680</v>
      </c>
      <c r="J1691" s="131">
        <v>0.42558487488671098</v>
      </c>
      <c r="K1691" s="123">
        <f t="shared" si="260"/>
        <v>698289.11630335706</v>
      </c>
      <c r="L1691" s="122">
        <f>IF(K1694&gt;0, K1691/K1694, 0)</f>
        <v>0.40678127628313515</v>
      </c>
      <c r="M1691" s="71"/>
      <c r="N1691" s="10">
        <f>ROUND(M1694*L1691,0)</f>
        <v>579233</v>
      </c>
      <c r="O1691" s="70">
        <v>599531</v>
      </c>
      <c r="P1691" s="10">
        <f>N1691-O1691</f>
        <v>-20298</v>
      </c>
      <c r="Q1691" s="46">
        <f t="shared" si="269"/>
        <v>-3.385646446972717</v>
      </c>
      <c r="R1691" s="10">
        <v>71</v>
      </c>
      <c r="S1691" s="7">
        <f t="shared" si="262"/>
        <v>0</v>
      </c>
      <c r="T1691" s="124">
        <f t="shared" si="263"/>
        <v>337</v>
      </c>
      <c r="U1691" s="124">
        <f t="shared" si="264"/>
        <v>670</v>
      </c>
      <c r="V1691" s="124">
        <f t="shared" si="265"/>
        <v>1682</v>
      </c>
      <c r="W1691" s="124">
        <f t="shared" si="266"/>
        <v>67.121818182819993</v>
      </c>
      <c r="X1691" s="124">
        <f t="shared" si="267"/>
        <v>698289.11630335706</v>
      </c>
      <c r="Y1691" s="264">
        <f t="shared" si="268"/>
        <v>1682</v>
      </c>
      <c r="Z1691" s="10">
        <v>337</v>
      </c>
      <c r="AA1691" s="7">
        <v>670</v>
      </c>
      <c r="AB1691" s="7">
        <v>1682</v>
      </c>
      <c r="AC1691" s="109">
        <v>67.121818182819993</v>
      </c>
      <c r="AD1691" s="109">
        <v>698289.11630335706</v>
      </c>
      <c r="AE1691" s="125"/>
      <c r="AF1691" s="10"/>
      <c r="AI1691" s="109"/>
      <c r="AJ1691" s="109"/>
      <c r="AL1691" s="10"/>
      <c r="AO1691" s="109"/>
      <c r="AP1691" s="109"/>
      <c r="AR1691" s="10"/>
      <c r="AU1691" s="109"/>
      <c r="AV1691" s="109"/>
      <c r="AX1691" s="10"/>
      <c r="BA1691" s="109"/>
      <c r="BB1691" s="109"/>
      <c r="BD1691" s="10"/>
      <c r="BG1691" s="109"/>
      <c r="BH1691" s="109"/>
      <c r="BJ1691" s="10"/>
      <c r="BM1691" s="109"/>
      <c r="BN1691" s="109"/>
      <c r="BP1691" s="10"/>
      <c r="BS1691" s="109"/>
      <c r="BT1691" s="109"/>
      <c r="BV1691" s="10"/>
      <c r="BY1691" s="109"/>
      <c r="BZ1691" s="109"/>
      <c r="CB1691" s="10"/>
      <c r="CE1691" s="109"/>
      <c r="CF1691" s="109"/>
      <c r="CH1691" s="10"/>
      <c r="CK1691" s="109"/>
      <c r="CL1691" s="109"/>
    </row>
    <row r="1692" spans="1:90">
      <c r="A1692" s="7" t="str">
        <f t="shared" si="261"/>
        <v>03370818</v>
      </c>
      <c r="B1692" s="7" t="s">
        <v>2676</v>
      </c>
      <c r="C1692" s="7" t="s">
        <v>2758</v>
      </c>
      <c r="D1692" s="7">
        <v>1683</v>
      </c>
      <c r="E1692" s="7">
        <v>337</v>
      </c>
      <c r="F1692" s="7" t="s">
        <v>2042</v>
      </c>
      <c r="G1692" s="7">
        <v>818</v>
      </c>
      <c r="H1692" s="7" t="s">
        <v>1685</v>
      </c>
      <c r="I1692" s="37">
        <v>113543</v>
      </c>
      <c r="J1692" s="122">
        <v>6.7519259234939955E-2</v>
      </c>
      <c r="K1692" s="123">
        <f t="shared" si="260"/>
        <v>149147.35859696049</v>
      </c>
      <c r="L1692" s="122">
        <f>IF(K1694&gt;0, K1692/K1694, 0)</f>
        <v>8.6884288280920388E-2</v>
      </c>
      <c r="M1692" s="71"/>
      <c r="N1692" s="10">
        <f>ROUND(M1694*L1692,0)</f>
        <v>123718</v>
      </c>
      <c r="O1692" s="70">
        <v>95116</v>
      </c>
      <c r="P1692" s="10">
        <f>N1692-O1692</f>
        <v>28602</v>
      </c>
      <c r="Q1692" s="46">
        <f t="shared" si="269"/>
        <v>30.070650574035913</v>
      </c>
      <c r="R1692" s="10">
        <v>7</v>
      </c>
      <c r="S1692" s="7">
        <f t="shared" si="262"/>
        <v>0</v>
      </c>
      <c r="T1692" s="124">
        <f t="shared" si="263"/>
        <v>337</v>
      </c>
      <c r="U1692" s="124">
        <f t="shared" si="264"/>
        <v>818</v>
      </c>
      <c r="V1692" s="124">
        <f t="shared" si="265"/>
        <v>1683</v>
      </c>
      <c r="W1692" s="124">
        <f t="shared" si="266"/>
        <v>9.0000000021600002</v>
      </c>
      <c r="X1692" s="124">
        <f t="shared" si="267"/>
        <v>149147.35859696049</v>
      </c>
      <c r="Y1692" s="264">
        <f t="shared" si="268"/>
        <v>1683</v>
      </c>
      <c r="Z1692" s="10">
        <v>337</v>
      </c>
      <c r="AA1692" s="7">
        <v>818</v>
      </c>
      <c r="AB1692" s="7">
        <v>1683</v>
      </c>
      <c r="AC1692" s="109">
        <v>9.0000000021600002</v>
      </c>
      <c r="AD1692" s="109">
        <v>149147.35859696049</v>
      </c>
      <c r="AE1692" s="125"/>
      <c r="AF1692" s="10"/>
      <c r="AI1692" s="109"/>
      <c r="AJ1692" s="109"/>
      <c r="AL1692" s="10"/>
      <c r="AO1692" s="109"/>
      <c r="AP1692" s="109"/>
      <c r="AR1692" s="10"/>
      <c r="AU1692" s="109"/>
      <c r="AV1692" s="109"/>
      <c r="AX1692" s="10"/>
      <c r="BA1692" s="109"/>
      <c r="BB1692" s="109"/>
      <c r="BD1692" s="10"/>
      <c r="BG1692" s="109"/>
      <c r="BH1692" s="109"/>
      <c r="BJ1692" s="10"/>
      <c r="BM1692" s="109"/>
      <c r="BN1692" s="109"/>
      <c r="BP1692" s="10"/>
      <c r="BS1692" s="109"/>
      <c r="BT1692" s="109"/>
      <c r="BV1692" s="10"/>
      <c r="BY1692" s="109"/>
      <c r="BZ1692" s="109"/>
      <c r="CB1692" s="10"/>
      <c r="CE1692" s="109"/>
      <c r="CF1692" s="109"/>
      <c r="CH1692" s="10"/>
      <c r="CK1692" s="109"/>
      <c r="CL1692" s="109"/>
    </row>
    <row r="1693" spans="1:90">
      <c r="A1693" s="7" t="str">
        <f t="shared" si="261"/>
        <v>03370998</v>
      </c>
      <c r="B1693" s="7" t="s">
        <v>2676</v>
      </c>
      <c r="C1693" s="7" t="s">
        <v>2781</v>
      </c>
      <c r="D1693" s="7">
        <v>1684</v>
      </c>
      <c r="E1693" s="7">
        <v>337</v>
      </c>
      <c r="F1693" s="7" t="s">
        <v>2135</v>
      </c>
      <c r="G1693" s="7">
        <v>998</v>
      </c>
      <c r="H1693" s="7" t="s">
        <v>2135</v>
      </c>
      <c r="I1693" s="37">
        <v>0</v>
      </c>
      <c r="J1693" s="122">
        <v>0</v>
      </c>
      <c r="K1693" s="123">
        <f t="shared" si="260"/>
        <v>0</v>
      </c>
      <c r="L1693" s="122">
        <f>IF(K1694&gt;0, K1693/K1694, 0)</f>
        <v>0</v>
      </c>
      <c r="M1693" s="71"/>
      <c r="N1693" s="10">
        <f>ROUND(M1694*L1693,0)</f>
        <v>0</v>
      </c>
      <c r="O1693" s="70">
        <v>0</v>
      </c>
      <c r="P1693" s="10">
        <f>N1693-O1693</f>
        <v>0</v>
      </c>
      <c r="Q1693" s="46">
        <f t="shared" si="269"/>
        <v>0</v>
      </c>
      <c r="R1693" s="10">
        <v>0</v>
      </c>
      <c r="S1693" s="7">
        <f t="shared" si="262"/>
        <v>0</v>
      </c>
      <c r="T1693" s="124">
        <f t="shared" si="263"/>
        <v>337</v>
      </c>
      <c r="U1693" s="124">
        <f t="shared" si="264"/>
        <v>998</v>
      </c>
      <c r="V1693" s="124">
        <f t="shared" si="265"/>
        <v>1684</v>
      </c>
      <c r="W1693" s="124">
        <f t="shared" si="266"/>
        <v>0</v>
      </c>
      <c r="X1693" s="124">
        <f t="shared" si="267"/>
        <v>0</v>
      </c>
      <c r="Y1693" s="264">
        <f t="shared" si="268"/>
        <v>1684</v>
      </c>
      <c r="Z1693" s="10">
        <v>337</v>
      </c>
      <c r="AA1693" s="7">
        <v>998</v>
      </c>
      <c r="AB1693" s="7">
        <v>1684</v>
      </c>
      <c r="AC1693" s="109">
        <v>0</v>
      </c>
      <c r="AD1693" s="109">
        <v>0</v>
      </c>
      <c r="AE1693" s="125"/>
      <c r="AF1693" s="10"/>
      <c r="AI1693" s="109"/>
      <c r="AJ1693" s="109"/>
      <c r="AL1693" s="10"/>
      <c r="AO1693" s="109"/>
      <c r="AP1693" s="109"/>
      <c r="AR1693" s="10"/>
      <c r="AU1693" s="109"/>
      <c r="AV1693" s="109"/>
      <c r="AX1693" s="10"/>
      <c r="BA1693" s="109"/>
      <c r="BB1693" s="109"/>
      <c r="BD1693" s="10"/>
      <c r="BG1693" s="109"/>
      <c r="BH1693" s="109"/>
      <c r="BJ1693" s="10"/>
      <c r="BM1693" s="109"/>
      <c r="BN1693" s="109"/>
      <c r="BP1693" s="10"/>
      <c r="BS1693" s="109"/>
      <c r="BT1693" s="109"/>
      <c r="BV1693" s="10"/>
      <c r="BY1693" s="109"/>
      <c r="BZ1693" s="109"/>
      <c r="CB1693" s="10"/>
      <c r="CE1693" s="109"/>
      <c r="CF1693" s="109"/>
      <c r="CH1693" s="10"/>
      <c r="CK1693" s="109"/>
      <c r="CL1693" s="109"/>
    </row>
    <row r="1694" spans="1:90">
      <c r="A1694" s="7" t="str">
        <f t="shared" si="261"/>
        <v>03370999</v>
      </c>
      <c r="B1694" s="7" t="s">
        <v>2676</v>
      </c>
      <c r="C1694" s="7" t="s">
        <v>2782</v>
      </c>
      <c r="D1694" s="7">
        <v>1685</v>
      </c>
      <c r="E1694" s="11">
        <v>337</v>
      </c>
      <c r="F1694" s="11" t="s">
        <v>2042</v>
      </c>
      <c r="G1694" s="11">
        <v>999</v>
      </c>
      <c r="H1694" s="11" t="s">
        <v>1132</v>
      </c>
      <c r="I1694" s="105">
        <v>1681638.71</v>
      </c>
      <c r="J1694" s="126">
        <v>1</v>
      </c>
      <c r="K1694" s="127">
        <f>SUM(K1690:K1693)</f>
        <v>1716620.5944477185</v>
      </c>
      <c r="L1694" s="126">
        <f>SUM(L1690:L1693)</f>
        <v>1</v>
      </c>
      <c r="M1694" s="105">
        <f>VLOOKUP(E1694,town351,22)</f>
        <v>1423942</v>
      </c>
      <c r="N1694" s="105">
        <f>SUM(N1690:N1693)</f>
        <v>1423942</v>
      </c>
      <c r="O1694" s="128">
        <v>1408722</v>
      </c>
      <c r="P1694" s="105">
        <f>SUM(P1690:P1693)</f>
        <v>15220</v>
      </c>
      <c r="Q1694" s="45">
        <f t="shared" si="269"/>
        <v>1.0804118910615437</v>
      </c>
      <c r="R1694" s="105">
        <v>160</v>
      </c>
      <c r="S1694" s="7">
        <f t="shared" si="262"/>
        <v>0</v>
      </c>
      <c r="T1694" s="124">
        <f t="shared" si="263"/>
        <v>337</v>
      </c>
      <c r="U1694" s="124">
        <f t="shared" si="264"/>
        <v>999</v>
      </c>
      <c r="V1694" s="124">
        <f t="shared" si="265"/>
        <v>1685</v>
      </c>
      <c r="W1694" s="124">
        <f t="shared" si="266"/>
        <v>159.12181818497999</v>
      </c>
      <c r="X1694" s="124">
        <f t="shared" si="267"/>
        <v>1716620.5944477185</v>
      </c>
      <c r="Y1694" s="264">
        <f t="shared" si="268"/>
        <v>1685</v>
      </c>
      <c r="Z1694" s="10">
        <v>337</v>
      </c>
      <c r="AA1694" s="7">
        <v>999</v>
      </c>
      <c r="AB1694" s="7">
        <v>1685</v>
      </c>
      <c r="AC1694" s="109">
        <v>159.12181818497999</v>
      </c>
      <c r="AD1694" s="109">
        <v>1716620.5944477185</v>
      </c>
      <c r="AE1694" s="125"/>
      <c r="AF1694" s="10"/>
      <c r="AI1694" s="109"/>
      <c r="AJ1694" s="109"/>
      <c r="AL1694" s="10"/>
      <c r="AO1694" s="109"/>
      <c r="AP1694" s="109"/>
      <c r="AR1694" s="10"/>
      <c r="AU1694" s="109"/>
      <c r="AV1694" s="109"/>
      <c r="AX1694" s="10"/>
      <c r="BA1694" s="109"/>
      <c r="BB1694" s="109"/>
      <c r="BD1694" s="10"/>
      <c r="BG1694" s="109"/>
      <c r="BH1694" s="109"/>
      <c r="BJ1694" s="10"/>
      <c r="BM1694" s="109"/>
      <c r="BN1694" s="109"/>
      <c r="BP1694" s="10"/>
      <c r="BS1694" s="109"/>
      <c r="BT1694" s="109"/>
      <c r="BV1694" s="10"/>
      <c r="BY1694" s="109"/>
      <c r="BZ1694" s="109"/>
      <c r="CB1694" s="10"/>
      <c r="CE1694" s="109"/>
      <c r="CF1694" s="109"/>
      <c r="CH1694" s="10"/>
      <c r="CK1694" s="109"/>
      <c r="CL1694" s="109"/>
    </row>
    <row r="1695" spans="1:90">
      <c r="A1695" s="7" t="str">
        <f t="shared" si="261"/>
        <v>03380338</v>
      </c>
      <c r="B1695" s="7" t="s">
        <v>2677</v>
      </c>
      <c r="C1695" s="7" t="s">
        <v>2677</v>
      </c>
      <c r="D1695" s="7">
        <v>1686</v>
      </c>
      <c r="E1695" s="7">
        <v>338</v>
      </c>
      <c r="F1695" s="7" t="s">
        <v>2043</v>
      </c>
      <c r="G1695" s="7">
        <v>338</v>
      </c>
      <c r="H1695" s="7" t="s">
        <v>1604</v>
      </c>
      <c r="I1695" s="37">
        <v>118538.28</v>
      </c>
      <c r="J1695" s="122">
        <v>4.7926371449595112E-3</v>
      </c>
      <c r="K1695" s="123">
        <f>X1695</f>
        <v>120751.50009230593</v>
      </c>
      <c r="L1695" s="122">
        <f>IF(K1699&gt;0, K1695/K1699, 0)</f>
        <v>4.8113042048804518E-3</v>
      </c>
      <c r="M1695" s="71"/>
      <c r="N1695" s="10">
        <f>ROUND(M1699*L1695,0)</f>
        <v>51831</v>
      </c>
      <c r="O1695" s="70">
        <v>48874</v>
      </c>
      <c r="P1695" s="10">
        <f>N1695-O1695</f>
        <v>2957</v>
      </c>
      <c r="Q1695" s="46">
        <f t="shared" si="269"/>
        <v>6.0502516675533</v>
      </c>
      <c r="R1695" s="10">
        <v>9</v>
      </c>
      <c r="S1695" s="7">
        <f t="shared" si="262"/>
        <v>0</v>
      </c>
      <c r="T1695" s="124">
        <f t="shared" si="263"/>
        <v>338</v>
      </c>
      <c r="U1695" s="124">
        <f t="shared" si="264"/>
        <v>338</v>
      </c>
      <c r="V1695" s="124">
        <f t="shared" si="265"/>
        <v>1686</v>
      </c>
      <c r="W1695" s="124">
        <f t="shared" si="266"/>
        <v>9</v>
      </c>
      <c r="X1695" s="124">
        <f t="shared" si="267"/>
        <v>120751.50009230593</v>
      </c>
      <c r="Y1695" s="264">
        <f t="shared" si="268"/>
        <v>1686</v>
      </c>
      <c r="Z1695" s="10">
        <v>338</v>
      </c>
      <c r="AA1695" s="7">
        <v>338</v>
      </c>
      <c r="AB1695" s="7">
        <v>1686</v>
      </c>
      <c r="AC1695" s="109">
        <v>9</v>
      </c>
      <c r="AD1695" s="109">
        <v>120751.50009230593</v>
      </c>
      <c r="AE1695" s="125"/>
      <c r="AF1695" s="10"/>
      <c r="AI1695" s="109"/>
      <c r="AJ1695" s="109"/>
      <c r="AL1695" s="10"/>
      <c r="AO1695" s="109"/>
      <c r="AP1695" s="109"/>
      <c r="AR1695" s="10"/>
      <c r="AU1695" s="109"/>
      <c r="AV1695" s="109"/>
      <c r="AX1695" s="10"/>
      <c r="BA1695" s="109"/>
      <c r="BB1695" s="109"/>
      <c r="BD1695" s="10"/>
      <c r="BG1695" s="109"/>
      <c r="BH1695" s="109"/>
      <c r="BJ1695" s="10"/>
      <c r="BM1695" s="109"/>
      <c r="BN1695" s="109"/>
      <c r="BP1695" s="10"/>
      <c r="BS1695" s="109"/>
      <c r="BT1695" s="109"/>
      <c r="BV1695" s="10"/>
      <c r="BY1695" s="109"/>
      <c r="BZ1695" s="109"/>
      <c r="CB1695" s="10"/>
      <c r="CE1695" s="109"/>
      <c r="CF1695" s="109"/>
      <c r="CH1695" s="10"/>
      <c r="CK1695" s="109"/>
      <c r="CL1695" s="109"/>
    </row>
    <row r="1696" spans="1:90">
      <c r="A1696" s="7" t="str">
        <f t="shared" si="261"/>
        <v>03380780</v>
      </c>
      <c r="B1696" s="7" t="s">
        <v>2677</v>
      </c>
      <c r="C1696" s="7" t="s">
        <v>2751</v>
      </c>
      <c r="D1696" s="7">
        <v>1687</v>
      </c>
      <c r="E1696" s="7">
        <v>338</v>
      </c>
      <c r="F1696" s="7" t="s">
        <v>2043</v>
      </c>
      <c r="G1696" s="7">
        <v>780</v>
      </c>
      <c r="H1696" s="7" t="s">
        <v>1678</v>
      </c>
      <c r="I1696" s="37">
        <v>22432548</v>
      </c>
      <c r="J1696" s="122">
        <v>0.90697336591088706</v>
      </c>
      <c r="K1696" s="123">
        <f t="shared" si="260"/>
        <v>22731959.518422764</v>
      </c>
      <c r="L1696" s="122">
        <f>IF(K1699&gt;0, K1696/K1699, 0)</f>
        <v>0.90574752555913418</v>
      </c>
      <c r="M1696" s="71"/>
      <c r="N1696" s="10">
        <f>ROUND(M1699*L1696,0)</f>
        <v>9757454</v>
      </c>
      <c r="O1696" s="70">
        <v>9249015</v>
      </c>
      <c r="P1696" s="10">
        <f>N1696-O1696</f>
        <v>508439</v>
      </c>
      <c r="Q1696" s="46">
        <f t="shared" si="269"/>
        <v>5.4972232178237359</v>
      </c>
      <c r="R1696" s="10">
        <v>2305</v>
      </c>
      <c r="S1696" s="7">
        <f t="shared" si="262"/>
        <v>0</v>
      </c>
      <c r="T1696" s="124">
        <f t="shared" si="263"/>
        <v>338</v>
      </c>
      <c r="U1696" s="124">
        <f t="shared" si="264"/>
        <v>780</v>
      </c>
      <c r="V1696" s="124">
        <f t="shared" si="265"/>
        <v>1687</v>
      </c>
      <c r="W1696" s="124">
        <f t="shared" si="266"/>
        <v>2294.9801980369998</v>
      </c>
      <c r="X1696" s="124">
        <f t="shared" si="267"/>
        <v>22731959.518422764</v>
      </c>
      <c r="Y1696" s="264">
        <f t="shared" si="268"/>
        <v>1687</v>
      </c>
      <c r="Z1696" s="10">
        <v>338</v>
      </c>
      <c r="AA1696" s="7">
        <v>780</v>
      </c>
      <c r="AB1696" s="7">
        <v>1687</v>
      </c>
      <c r="AC1696" s="109">
        <v>2294.9801980369998</v>
      </c>
      <c r="AD1696" s="109">
        <v>22731959.518422764</v>
      </c>
      <c r="AE1696" s="125"/>
      <c r="AF1696" s="10"/>
      <c r="AI1696" s="109"/>
      <c r="AJ1696" s="109"/>
      <c r="AL1696" s="10"/>
      <c r="AO1696" s="109"/>
      <c r="AP1696" s="109"/>
      <c r="AR1696" s="10"/>
      <c r="AU1696" s="109"/>
      <c r="AV1696" s="109"/>
      <c r="AX1696" s="10"/>
      <c r="BA1696" s="109"/>
      <c r="BB1696" s="109"/>
      <c r="BD1696" s="10"/>
      <c r="BG1696" s="109"/>
      <c r="BH1696" s="109"/>
      <c r="BJ1696" s="10"/>
      <c r="BM1696" s="109"/>
      <c r="BN1696" s="109"/>
      <c r="BP1696" s="10"/>
      <c r="BS1696" s="109"/>
      <c r="BT1696" s="109"/>
      <c r="BV1696" s="10"/>
      <c r="BY1696" s="109"/>
      <c r="BZ1696" s="109"/>
      <c r="CB1696" s="10"/>
      <c r="CE1696" s="109"/>
      <c r="CF1696" s="109"/>
      <c r="CH1696" s="10"/>
      <c r="CK1696" s="109"/>
      <c r="CL1696" s="109"/>
    </row>
    <row r="1697" spans="1:90">
      <c r="A1697" s="7" t="str">
        <f t="shared" si="261"/>
        <v>03380873</v>
      </c>
      <c r="B1697" s="7" t="s">
        <v>2677</v>
      </c>
      <c r="C1697" s="7" t="s">
        <v>2773</v>
      </c>
      <c r="D1697" s="7">
        <v>1688</v>
      </c>
      <c r="E1697" s="7">
        <v>338</v>
      </c>
      <c r="F1697" s="7" t="s">
        <v>2043</v>
      </c>
      <c r="G1697" s="7">
        <v>873</v>
      </c>
      <c r="H1697" s="7" t="s">
        <v>1700</v>
      </c>
      <c r="I1697" s="37">
        <v>2182328</v>
      </c>
      <c r="J1697" s="122">
        <v>8.8233996944153389E-2</v>
      </c>
      <c r="K1697" s="123">
        <f t="shared" si="260"/>
        <v>2244745.9183834512</v>
      </c>
      <c r="L1697" s="122">
        <f>IF(K1699&gt;0, K1697/K1699, 0)</f>
        <v>8.9441170235985315E-2</v>
      </c>
      <c r="M1697" s="71"/>
      <c r="N1697" s="10">
        <f>ROUND(M1699*L1697,0)</f>
        <v>963534</v>
      </c>
      <c r="O1697" s="70">
        <v>899781</v>
      </c>
      <c r="P1697" s="10">
        <f>N1697-O1697</f>
        <v>63753</v>
      </c>
      <c r="Q1697" s="46">
        <f t="shared" si="269"/>
        <v>7.0853907784227497</v>
      </c>
      <c r="R1697" s="10">
        <v>138</v>
      </c>
      <c r="S1697" s="7">
        <f t="shared" si="262"/>
        <v>0</v>
      </c>
      <c r="T1697" s="124">
        <f t="shared" si="263"/>
        <v>338</v>
      </c>
      <c r="U1697" s="124">
        <f t="shared" si="264"/>
        <v>873</v>
      </c>
      <c r="V1697" s="124">
        <f t="shared" si="265"/>
        <v>1688</v>
      </c>
      <c r="W1697" s="124">
        <f t="shared" si="266"/>
        <v>137.99999999920001</v>
      </c>
      <c r="X1697" s="124">
        <f t="shared" si="267"/>
        <v>2244745.9183834512</v>
      </c>
      <c r="Y1697" s="264">
        <f t="shared" si="268"/>
        <v>1688</v>
      </c>
      <c r="Z1697" s="10">
        <v>338</v>
      </c>
      <c r="AA1697" s="7">
        <v>873</v>
      </c>
      <c r="AB1697" s="7">
        <v>1688</v>
      </c>
      <c r="AC1697" s="109">
        <v>137.99999999920001</v>
      </c>
      <c r="AD1697" s="109">
        <v>2244745.9183834512</v>
      </c>
      <c r="AE1697" s="125"/>
      <c r="AF1697" s="10"/>
      <c r="AI1697" s="109"/>
      <c r="AJ1697" s="109"/>
      <c r="AL1697" s="10"/>
      <c r="AO1697" s="109"/>
      <c r="AP1697" s="109"/>
      <c r="AR1697" s="10"/>
      <c r="AU1697" s="109"/>
      <c r="AV1697" s="109"/>
      <c r="AX1697" s="10"/>
      <c r="BA1697" s="109"/>
      <c r="BB1697" s="109"/>
      <c r="BD1697" s="10"/>
      <c r="BG1697" s="109"/>
      <c r="BH1697" s="109"/>
      <c r="BJ1697" s="10"/>
      <c r="BM1697" s="109"/>
      <c r="BN1697" s="109"/>
      <c r="BP1697" s="10"/>
      <c r="BS1697" s="109"/>
      <c r="BT1697" s="109"/>
      <c r="BV1697" s="10"/>
      <c r="BY1697" s="109"/>
      <c r="BZ1697" s="109"/>
      <c r="CB1697" s="10"/>
      <c r="CE1697" s="109"/>
      <c r="CF1697" s="109"/>
      <c r="CH1697" s="10"/>
      <c r="CK1697" s="109"/>
      <c r="CL1697" s="109"/>
    </row>
    <row r="1698" spans="1:90">
      <c r="A1698" s="7" t="str">
        <f t="shared" si="261"/>
        <v>03380998</v>
      </c>
      <c r="B1698" s="7" t="s">
        <v>2677</v>
      </c>
      <c r="C1698" s="7" t="s">
        <v>2781</v>
      </c>
      <c r="D1698" s="7">
        <v>1689</v>
      </c>
      <c r="E1698" s="7">
        <v>338</v>
      </c>
      <c r="F1698" s="7" t="s">
        <v>2135</v>
      </c>
      <c r="G1698" s="7">
        <v>998</v>
      </c>
      <c r="H1698" s="7" t="s">
        <v>2135</v>
      </c>
      <c r="I1698" s="37">
        <v>0</v>
      </c>
      <c r="J1698" s="122">
        <v>0</v>
      </c>
      <c r="K1698" s="123">
        <f t="shared" si="260"/>
        <v>0</v>
      </c>
      <c r="L1698" s="122">
        <f>IF(K1699&gt;0, K1698/K1699, 0)</f>
        <v>0</v>
      </c>
      <c r="M1698" s="71"/>
      <c r="N1698" s="10">
        <f>ROUND(M1699*L1698,0)</f>
        <v>0</v>
      </c>
      <c r="O1698" s="70">
        <v>0</v>
      </c>
      <c r="P1698" s="10">
        <f>N1698-O1698</f>
        <v>0</v>
      </c>
      <c r="Q1698" s="46">
        <f t="shared" si="269"/>
        <v>0</v>
      </c>
      <c r="R1698" s="10">
        <v>0</v>
      </c>
      <c r="S1698" s="7">
        <f t="shared" si="262"/>
        <v>0</v>
      </c>
      <c r="T1698" s="124">
        <f t="shared" si="263"/>
        <v>338</v>
      </c>
      <c r="U1698" s="124">
        <f t="shared" si="264"/>
        <v>998</v>
      </c>
      <c r="V1698" s="124">
        <f t="shared" si="265"/>
        <v>1689</v>
      </c>
      <c r="W1698" s="124">
        <f t="shared" si="266"/>
        <v>0</v>
      </c>
      <c r="X1698" s="124">
        <f t="shared" si="267"/>
        <v>0</v>
      </c>
      <c r="Y1698" s="264">
        <f t="shared" si="268"/>
        <v>1689</v>
      </c>
      <c r="Z1698" s="10">
        <v>338</v>
      </c>
      <c r="AA1698" s="7">
        <v>998</v>
      </c>
      <c r="AB1698" s="7">
        <v>1689</v>
      </c>
      <c r="AC1698" s="109">
        <v>0</v>
      </c>
      <c r="AD1698" s="109">
        <v>0</v>
      </c>
      <c r="AE1698" s="125"/>
      <c r="AF1698" s="10"/>
      <c r="AI1698" s="109"/>
      <c r="AJ1698" s="109"/>
      <c r="AL1698" s="10"/>
      <c r="AO1698" s="109"/>
      <c r="AP1698" s="109"/>
      <c r="AR1698" s="10"/>
      <c r="AU1698" s="109"/>
      <c r="AV1698" s="109"/>
      <c r="AX1698" s="10"/>
      <c r="BA1698" s="109"/>
      <c r="BB1698" s="109"/>
      <c r="BD1698" s="10"/>
      <c r="BG1698" s="109"/>
      <c r="BH1698" s="109"/>
      <c r="BJ1698" s="10"/>
      <c r="BM1698" s="109"/>
      <c r="BN1698" s="109"/>
      <c r="BP1698" s="10"/>
      <c r="BS1698" s="109"/>
      <c r="BT1698" s="109"/>
      <c r="BV1698" s="10"/>
      <c r="BY1698" s="109"/>
      <c r="BZ1698" s="109"/>
      <c r="CB1698" s="10"/>
      <c r="CE1698" s="109"/>
      <c r="CF1698" s="109"/>
      <c r="CH1698" s="10"/>
      <c r="CK1698" s="109"/>
      <c r="CL1698" s="109"/>
    </row>
    <row r="1699" spans="1:90">
      <c r="A1699" s="7" t="str">
        <f t="shared" si="261"/>
        <v>03380999</v>
      </c>
      <c r="B1699" s="7" t="s">
        <v>2677</v>
      </c>
      <c r="C1699" s="7" t="s">
        <v>2782</v>
      </c>
      <c r="D1699" s="7">
        <v>1690</v>
      </c>
      <c r="E1699" s="11">
        <v>338</v>
      </c>
      <c r="F1699" s="11" t="s">
        <v>2043</v>
      </c>
      <c r="G1699" s="11">
        <v>999</v>
      </c>
      <c r="H1699" s="11" t="s">
        <v>1132</v>
      </c>
      <c r="I1699" s="105">
        <v>24733414.280000001</v>
      </c>
      <c r="J1699" s="126">
        <v>0.99999999999999989</v>
      </c>
      <c r="K1699" s="127">
        <f>SUM(K1695:K1698)</f>
        <v>25097456.936898522</v>
      </c>
      <c r="L1699" s="126">
        <f>SUM(L1695:L1698)</f>
        <v>0.99999999999999989</v>
      </c>
      <c r="M1699" s="105">
        <f>VLOOKUP(E1699,town351,22)</f>
        <v>10772819</v>
      </c>
      <c r="N1699" s="105">
        <f>SUM(N1695:N1698)</f>
        <v>10772819</v>
      </c>
      <c r="O1699" s="128">
        <v>10197670</v>
      </c>
      <c r="P1699" s="105">
        <f>SUM(P1695:P1698)</f>
        <v>575149</v>
      </c>
      <c r="Q1699" s="45">
        <f t="shared" si="269"/>
        <v>5.6400040401385807</v>
      </c>
      <c r="R1699" s="105">
        <v>2452</v>
      </c>
      <c r="S1699" s="7">
        <f t="shared" si="262"/>
        <v>0</v>
      </c>
      <c r="T1699" s="124">
        <f t="shared" si="263"/>
        <v>338</v>
      </c>
      <c r="U1699" s="124">
        <f t="shared" si="264"/>
        <v>999</v>
      </c>
      <c r="V1699" s="124">
        <f t="shared" si="265"/>
        <v>1690</v>
      </c>
      <c r="W1699" s="124">
        <f t="shared" si="266"/>
        <v>2441.9801980361999</v>
      </c>
      <c r="X1699" s="124">
        <f t="shared" si="267"/>
        <v>25097456.936898522</v>
      </c>
      <c r="Y1699" s="264">
        <f t="shared" si="268"/>
        <v>1690</v>
      </c>
      <c r="Z1699" s="10">
        <v>338</v>
      </c>
      <c r="AA1699" s="7">
        <v>999</v>
      </c>
      <c r="AB1699" s="7">
        <v>1690</v>
      </c>
      <c r="AC1699" s="109">
        <v>2441.9801980361999</v>
      </c>
      <c r="AD1699" s="109">
        <v>25097456.936898522</v>
      </c>
      <c r="AE1699" s="125"/>
      <c r="AF1699" s="10"/>
      <c r="AI1699" s="109"/>
      <c r="AJ1699" s="109"/>
      <c r="AL1699" s="10"/>
      <c r="AO1699" s="109"/>
      <c r="AP1699" s="109"/>
      <c r="AR1699" s="10"/>
      <c r="AU1699" s="109"/>
      <c r="AV1699" s="109"/>
      <c r="AX1699" s="10"/>
      <c r="BA1699" s="109"/>
      <c r="BB1699" s="109"/>
      <c r="BD1699" s="10"/>
      <c r="BG1699" s="109"/>
      <c r="BH1699" s="109"/>
      <c r="BJ1699" s="10"/>
      <c r="BM1699" s="109"/>
      <c r="BN1699" s="109"/>
      <c r="BP1699" s="10"/>
      <c r="BS1699" s="109"/>
      <c r="BT1699" s="109"/>
      <c r="BV1699" s="10"/>
      <c r="BY1699" s="109"/>
      <c r="BZ1699" s="109"/>
      <c r="CB1699" s="10"/>
      <c r="CE1699" s="109"/>
      <c r="CF1699" s="109"/>
      <c r="CH1699" s="10"/>
      <c r="CK1699" s="109"/>
      <c r="CL1699" s="109"/>
    </row>
    <row r="1700" spans="1:90">
      <c r="A1700" s="7" t="str">
        <f t="shared" si="261"/>
        <v>03390339</v>
      </c>
      <c r="B1700" s="7" t="s">
        <v>2678</v>
      </c>
      <c r="C1700" s="7" t="s">
        <v>2678</v>
      </c>
      <c r="D1700" s="7">
        <v>1691</v>
      </c>
      <c r="E1700" s="7">
        <v>339</v>
      </c>
      <c r="F1700" s="7" t="s">
        <v>2044</v>
      </c>
      <c r="G1700" s="7">
        <v>339</v>
      </c>
      <c r="H1700" s="7" t="s">
        <v>1605</v>
      </c>
      <c r="I1700" s="37">
        <v>0</v>
      </c>
      <c r="J1700" s="122">
        <v>0</v>
      </c>
      <c r="K1700" s="123">
        <f>X1700</f>
        <v>0</v>
      </c>
      <c r="L1700" s="122">
        <f>IF(K1704&gt;0, K1700/K1704, 0)</f>
        <v>0</v>
      </c>
      <c r="M1700" s="71"/>
      <c r="N1700" s="10">
        <f>ROUND(M1704*L1700,0)</f>
        <v>0</v>
      </c>
      <c r="O1700" s="70">
        <v>0</v>
      </c>
      <c r="P1700" s="10">
        <f>N1700-O1700</f>
        <v>0</v>
      </c>
      <c r="Q1700" s="46">
        <f t="shared" si="269"/>
        <v>0</v>
      </c>
      <c r="R1700" s="10">
        <v>0</v>
      </c>
      <c r="S1700" s="7">
        <f t="shared" si="262"/>
        <v>0</v>
      </c>
      <c r="T1700" s="124">
        <f t="shared" si="263"/>
        <v>339</v>
      </c>
      <c r="U1700" s="124">
        <f t="shared" si="264"/>
        <v>339</v>
      </c>
      <c r="V1700" s="124">
        <f t="shared" si="265"/>
        <v>1691</v>
      </c>
      <c r="W1700" s="124">
        <f t="shared" si="266"/>
        <v>0</v>
      </c>
      <c r="X1700" s="124">
        <f t="shared" si="267"/>
        <v>0</v>
      </c>
      <c r="Y1700" s="264">
        <f t="shared" si="268"/>
        <v>1691</v>
      </c>
      <c r="Z1700" s="10">
        <v>339</v>
      </c>
      <c r="AA1700" s="7">
        <v>339</v>
      </c>
      <c r="AB1700" s="7">
        <v>1691</v>
      </c>
      <c r="AC1700" s="109">
        <v>0</v>
      </c>
      <c r="AD1700" s="109">
        <v>0</v>
      </c>
      <c r="AE1700" s="125"/>
      <c r="AF1700" s="10"/>
      <c r="AI1700" s="109"/>
      <c r="AJ1700" s="109"/>
      <c r="AL1700" s="10"/>
      <c r="AO1700" s="109"/>
      <c r="AP1700" s="109"/>
      <c r="AR1700" s="10"/>
      <c r="AU1700" s="109"/>
      <c r="AV1700" s="109"/>
      <c r="AX1700" s="10"/>
      <c r="BA1700" s="109"/>
      <c r="BB1700" s="109"/>
      <c r="BD1700" s="10"/>
      <c r="BG1700" s="109"/>
      <c r="BH1700" s="109"/>
      <c r="BJ1700" s="10"/>
      <c r="BM1700" s="109"/>
      <c r="BN1700" s="109"/>
      <c r="BP1700" s="10"/>
      <c r="BS1700" s="109"/>
      <c r="BT1700" s="109"/>
      <c r="BV1700" s="10"/>
      <c r="BY1700" s="109"/>
      <c r="BZ1700" s="109"/>
      <c r="CB1700" s="10"/>
      <c r="CE1700" s="109"/>
      <c r="CF1700" s="109"/>
      <c r="CH1700" s="10"/>
      <c r="CK1700" s="109"/>
      <c r="CL1700" s="109"/>
    </row>
    <row r="1701" spans="1:90">
      <c r="A1701" s="7" t="str">
        <f t="shared" si="261"/>
        <v>03390680</v>
      </c>
      <c r="B1701" s="7" t="s">
        <v>2678</v>
      </c>
      <c r="C1701" s="7" t="s">
        <v>2719</v>
      </c>
      <c r="D1701" s="7">
        <v>1692</v>
      </c>
      <c r="E1701" s="7">
        <v>339</v>
      </c>
      <c r="F1701" s="7" t="s">
        <v>2044</v>
      </c>
      <c r="G1701" s="7">
        <v>680</v>
      </c>
      <c r="H1701" s="7" t="s">
        <v>1646</v>
      </c>
      <c r="I1701" s="37">
        <v>22339898</v>
      </c>
      <c r="J1701" s="122">
        <v>1</v>
      </c>
      <c r="K1701" s="123">
        <f t="shared" si="260"/>
        <v>22695534.133417137</v>
      </c>
      <c r="L1701" s="122">
        <f>IF(K1704&gt;0, K1701/K1704, 0)</f>
        <v>1</v>
      </c>
      <c r="M1701" s="71"/>
      <c r="N1701" s="10">
        <f>ROUND(M1704*L1701,0)</f>
        <v>15523241</v>
      </c>
      <c r="O1701" s="70">
        <v>15316802</v>
      </c>
      <c r="P1701" s="10">
        <f>N1701-O1701</f>
        <v>206439</v>
      </c>
      <c r="Q1701" s="46">
        <f t="shared" si="269"/>
        <v>1.3477944025130051</v>
      </c>
      <c r="R1701" s="10">
        <v>2322</v>
      </c>
      <c r="S1701" s="7">
        <f t="shared" si="262"/>
        <v>0</v>
      </c>
      <c r="T1701" s="124">
        <f t="shared" si="263"/>
        <v>339</v>
      </c>
      <c r="U1701" s="124">
        <f t="shared" si="264"/>
        <v>680</v>
      </c>
      <c r="V1701" s="124">
        <f t="shared" si="265"/>
        <v>1692</v>
      </c>
      <c r="W1701" s="124">
        <f t="shared" si="266"/>
        <v>2306.0000000107198</v>
      </c>
      <c r="X1701" s="124">
        <f t="shared" si="267"/>
        <v>22695534.133417137</v>
      </c>
      <c r="Y1701" s="264">
        <f t="shared" si="268"/>
        <v>1692</v>
      </c>
      <c r="Z1701" s="10">
        <v>339</v>
      </c>
      <c r="AA1701" s="7">
        <v>680</v>
      </c>
      <c r="AB1701" s="7">
        <v>1692</v>
      </c>
      <c r="AC1701" s="109">
        <v>2306.0000000107198</v>
      </c>
      <c r="AD1701" s="109">
        <v>22695534.133417137</v>
      </c>
      <c r="AE1701" s="125"/>
      <c r="AF1701" s="10"/>
      <c r="AI1701" s="109"/>
      <c r="AJ1701" s="109"/>
      <c r="AL1701" s="10"/>
      <c r="AO1701" s="109"/>
      <c r="AP1701" s="109"/>
      <c r="AR1701" s="10"/>
      <c r="AU1701" s="109"/>
      <c r="AV1701" s="109"/>
      <c r="AX1701" s="10"/>
      <c r="BA1701" s="109"/>
      <c r="BB1701" s="109"/>
      <c r="BD1701" s="10"/>
      <c r="BG1701" s="109"/>
      <c r="BH1701" s="109"/>
      <c r="BJ1701" s="10"/>
      <c r="BM1701" s="109"/>
      <c r="BN1701" s="109"/>
      <c r="BP1701" s="10"/>
      <c r="BS1701" s="109"/>
      <c r="BT1701" s="109"/>
      <c r="BV1701" s="10"/>
      <c r="BY1701" s="109"/>
      <c r="BZ1701" s="109"/>
      <c r="CB1701" s="10"/>
      <c r="CE1701" s="109"/>
      <c r="CF1701" s="109"/>
      <c r="CH1701" s="10"/>
      <c r="CK1701" s="109"/>
      <c r="CL1701" s="109"/>
    </row>
    <row r="1702" spans="1:90">
      <c r="A1702" s="7" t="str">
        <f t="shared" si="261"/>
        <v>03390998</v>
      </c>
      <c r="B1702" s="7" t="s">
        <v>2678</v>
      </c>
      <c r="C1702" s="7" t="s">
        <v>2781</v>
      </c>
      <c r="D1702" s="7">
        <v>1693</v>
      </c>
      <c r="E1702" s="7">
        <v>339</v>
      </c>
      <c r="F1702" s="7" t="s">
        <v>2135</v>
      </c>
      <c r="G1702" s="7">
        <v>998</v>
      </c>
      <c r="H1702" s="7" t="s">
        <v>2135</v>
      </c>
      <c r="I1702" s="37">
        <v>0</v>
      </c>
      <c r="J1702" s="122">
        <v>0</v>
      </c>
      <c r="K1702" s="123">
        <f t="shared" si="260"/>
        <v>0</v>
      </c>
      <c r="L1702" s="122">
        <f>IF(K1704&gt;0, K1702/K1704, 0)</f>
        <v>0</v>
      </c>
      <c r="M1702" s="71"/>
      <c r="N1702" s="10">
        <f>ROUND(M1704*L1702,0)</f>
        <v>0</v>
      </c>
      <c r="O1702" s="70">
        <v>0</v>
      </c>
      <c r="P1702" s="10">
        <f>N1702-O1702</f>
        <v>0</v>
      </c>
      <c r="Q1702" s="46">
        <f t="shared" si="269"/>
        <v>0</v>
      </c>
      <c r="R1702" s="10">
        <v>0</v>
      </c>
      <c r="S1702" s="7">
        <f t="shared" si="262"/>
        <v>0</v>
      </c>
      <c r="T1702" s="124">
        <f t="shared" si="263"/>
        <v>339</v>
      </c>
      <c r="U1702" s="124">
        <f t="shared" si="264"/>
        <v>998</v>
      </c>
      <c r="V1702" s="124">
        <f t="shared" si="265"/>
        <v>1693</v>
      </c>
      <c r="W1702" s="124">
        <f t="shared" si="266"/>
        <v>0</v>
      </c>
      <c r="X1702" s="124">
        <f t="shared" si="267"/>
        <v>0</v>
      </c>
      <c r="Y1702" s="264">
        <f t="shared" si="268"/>
        <v>1693</v>
      </c>
      <c r="Z1702" s="10">
        <v>339</v>
      </c>
      <c r="AA1702" s="7">
        <v>998</v>
      </c>
      <c r="AB1702" s="7">
        <v>1693</v>
      </c>
      <c r="AC1702" s="109">
        <v>0</v>
      </c>
      <c r="AD1702" s="109">
        <v>0</v>
      </c>
      <c r="AE1702" s="125"/>
      <c r="AF1702" s="10"/>
      <c r="AI1702" s="109"/>
      <c r="AJ1702" s="109"/>
      <c r="AL1702" s="10"/>
      <c r="AO1702" s="109"/>
      <c r="AP1702" s="109"/>
      <c r="AR1702" s="10"/>
      <c r="AU1702" s="109"/>
      <c r="AV1702" s="109"/>
      <c r="AX1702" s="10"/>
      <c r="BA1702" s="109"/>
      <c r="BB1702" s="109"/>
      <c r="BD1702" s="10"/>
      <c r="BG1702" s="109"/>
      <c r="BH1702" s="109"/>
      <c r="BJ1702" s="10"/>
      <c r="BM1702" s="109"/>
      <c r="BN1702" s="109"/>
      <c r="BP1702" s="10"/>
      <c r="BS1702" s="109"/>
      <c r="BT1702" s="109"/>
      <c r="BV1702" s="10"/>
      <c r="BY1702" s="109"/>
      <c r="BZ1702" s="109"/>
      <c r="CB1702" s="10"/>
      <c r="CE1702" s="109"/>
      <c r="CF1702" s="109"/>
      <c r="CH1702" s="10"/>
      <c r="CK1702" s="109"/>
      <c r="CL1702" s="109"/>
    </row>
    <row r="1703" spans="1:90">
      <c r="A1703" s="7" t="str">
        <f t="shared" si="261"/>
        <v>03390998</v>
      </c>
      <c r="B1703" s="7" t="s">
        <v>2678</v>
      </c>
      <c r="C1703" s="7" t="s">
        <v>2781</v>
      </c>
      <c r="D1703" s="7">
        <v>1694</v>
      </c>
      <c r="E1703" s="7">
        <v>339</v>
      </c>
      <c r="F1703" s="7" t="s">
        <v>2135</v>
      </c>
      <c r="G1703" s="7">
        <v>998</v>
      </c>
      <c r="H1703" s="7" t="s">
        <v>2135</v>
      </c>
      <c r="I1703" s="37">
        <v>0</v>
      </c>
      <c r="J1703" s="122">
        <v>0</v>
      </c>
      <c r="K1703" s="123">
        <f t="shared" si="260"/>
        <v>0</v>
      </c>
      <c r="L1703" s="122">
        <f>IF(K1704&gt;0, K1703/K1704, 0)</f>
        <v>0</v>
      </c>
      <c r="M1703" s="71"/>
      <c r="N1703" s="10">
        <f>ROUND(M1704*L1703,0)</f>
        <v>0</v>
      </c>
      <c r="O1703" s="70">
        <v>0</v>
      </c>
      <c r="P1703" s="10">
        <f>N1703-O1703</f>
        <v>0</v>
      </c>
      <c r="Q1703" s="46">
        <f t="shared" si="269"/>
        <v>0</v>
      </c>
      <c r="R1703" s="10">
        <v>0</v>
      </c>
      <c r="S1703" s="7">
        <f t="shared" si="262"/>
        <v>0</v>
      </c>
      <c r="T1703" s="124">
        <f t="shared" si="263"/>
        <v>339</v>
      </c>
      <c r="U1703" s="124">
        <f t="shared" si="264"/>
        <v>998</v>
      </c>
      <c r="V1703" s="124">
        <f t="shared" si="265"/>
        <v>1694</v>
      </c>
      <c r="W1703" s="124">
        <f t="shared" si="266"/>
        <v>0</v>
      </c>
      <c r="X1703" s="124">
        <f t="shared" si="267"/>
        <v>0</v>
      </c>
      <c r="Y1703" s="264">
        <f t="shared" si="268"/>
        <v>1694</v>
      </c>
      <c r="Z1703" s="10">
        <v>339</v>
      </c>
      <c r="AA1703" s="7">
        <v>998</v>
      </c>
      <c r="AB1703" s="7">
        <v>1694</v>
      </c>
      <c r="AC1703" s="109">
        <v>0</v>
      </c>
      <c r="AD1703" s="109">
        <v>0</v>
      </c>
      <c r="AE1703" s="125"/>
      <c r="AF1703" s="10"/>
      <c r="AI1703" s="109"/>
      <c r="AJ1703" s="109"/>
      <c r="AL1703" s="10"/>
      <c r="AO1703" s="109"/>
      <c r="AP1703" s="109"/>
      <c r="AR1703" s="10"/>
      <c r="AU1703" s="109"/>
      <c r="AV1703" s="109"/>
      <c r="AX1703" s="10"/>
      <c r="BA1703" s="109"/>
      <c r="BB1703" s="109"/>
      <c r="BD1703" s="10"/>
      <c r="BG1703" s="109"/>
      <c r="BH1703" s="109"/>
      <c r="BJ1703" s="10"/>
      <c r="BM1703" s="109"/>
      <c r="BN1703" s="109"/>
      <c r="BP1703" s="10"/>
      <c r="BS1703" s="109"/>
      <c r="BT1703" s="109"/>
      <c r="BV1703" s="10"/>
      <c r="BY1703" s="109"/>
      <c r="BZ1703" s="109"/>
      <c r="CB1703" s="10"/>
      <c r="CE1703" s="109"/>
      <c r="CF1703" s="109"/>
      <c r="CH1703" s="10"/>
      <c r="CK1703" s="109"/>
      <c r="CL1703" s="109"/>
    </row>
    <row r="1704" spans="1:90">
      <c r="A1704" s="7" t="str">
        <f t="shared" si="261"/>
        <v>03390999</v>
      </c>
      <c r="B1704" s="7" t="s">
        <v>2678</v>
      </c>
      <c r="C1704" s="7" t="s">
        <v>2782</v>
      </c>
      <c r="D1704" s="7">
        <v>1695</v>
      </c>
      <c r="E1704" s="11">
        <v>339</v>
      </c>
      <c r="F1704" s="11" t="s">
        <v>2044</v>
      </c>
      <c r="G1704" s="11">
        <v>999</v>
      </c>
      <c r="H1704" s="11" t="s">
        <v>1132</v>
      </c>
      <c r="I1704" s="105">
        <v>22339898</v>
      </c>
      <c r="J1704" s="126">
        <v>1</v>
      </c>
      <c r="K1704" s="127">
        <f>SUM(K1700:K1703)</f>
        <v>22695534.133417137</v>
      </c>
      <c r="L1704" s="126">
        <f>SUM(L1700:L1703)</f>
        <v>1</v>
      </c>
      <c r="M1704" s="105">
        <f>VLOOKUP(E1704,town351,22)</f>
        <v>15523241</v>
      </c>
      <c r="N1704" s="105">
        <f>SUM(N1700:N1703)</f>
        <v>15523241</v>
      </c>
      <c r="O1704" s="128">
        <v>15316802</v>
      </c>
      <c r="P1704" s="105">
        <f>SUM(P1700:P1703)</f>
        <v>206439</v>
      </c>
      <c r="Q1704" s="45">
        <f t="shared" si="269"/>
        <v>1.3477944025130051</v>
      </c>
      <c r="R1704" s="105">
        <v>2322</v>
      </c>
      <c r="S1704" s="7">
        <f t="shared" si="262"/>
        <v>0</v>
      </c>
      <c r="T1704" s="124">
        <f t="shared" si="263"/>
        <v>339</v>
      </c>
      <c r="U1704" s="124">
        <f t="shared" si="264"/>
        <v>999</v>
      </c>
      <c r="V1704" s="124">
        <f t="shared" si="265"/>
        <v>1695</v>
      </c>
      <c r="W1704" s="124">
        <f t="shared" si="266"/>
        <v>2306.0000000107198</v>
      </c>
      <c r="X1704" s="124">
        <f t="shared" si="267"/>
        <v>22695534.133417137</v>
      </c>
      <c r="Y1704" s="264">
        <f t="shared" si="268"/>
        <v>1695</v>
      </c>
      <c r="Z1704" s="10">
        <v>339</v>
      </c>
      <c r="AA1704" s="7">
        <v>999</v>
      </c>
      <c r="AB1704" s="7">
        <v>1695</v>
      </c>
      <c r="AC1704" s="109">
        <v>2306.0000000107198</v>
      </c>
      <c r="AD1704" s="109">
        <v>22695534.133417137</v>
      </c>
      <c r="AE1704" s="125"/>
      <c r="AF1704" s="10"/>
      <c r="AI1704" s="109"/>
      <c r="AJ1704" s="109"/>
      <c r="AL1704" s="10"/>
      <c r="AO1704" s="109"/>
      <c r="AP1704" s="109"/>
      <c r="AR1704" s="10"/>
      <c r="AU1704" s="109"/>
      <c r="AV1704" s="109"/>
      <c r="AX1704" s="10"/>
      <c r="BA1704" s="109"/>
      <c r="BB1704" s="109"/>
      <c r="BD1704" s="10"/>
      <c r="BG1704" s="109"/>
      <c r="BH1704" s="109"/>
      <c r="BJ1704" s="10"/>
      <c r="BM1704" s="109"/>
      <c r="BN1704" s="109"/>
      <c r="BP1704" s="10"/>
      <c r="BS1704" s="109"/>
      <c r="BT1704" s="109"/>
      <c r="BV1704" s="10"/>
      <c r="BY1704" s="109"/>
      <c r="BZ1704" s="109"/>
      <c r="CB1704" s="10"/>
      <c r="CE1704" s="109"/>
      <c r="CF1704" s="109"/>
      <c r="CH1704" s="10"/>
      <c r="CK1704" s="109"/>
      <c r="CL1704" s="109"/>
    </row>
    <row r="1705" spans="1:90">
      <c r="A1705" s="7" t="str">
        <f t="shared" si="261"/>
        <v>03400340</v>
      </c>
      <c r="B1705" s="7" t="s">
        <v>2679</v>
      </c>
      <c r="C1705" s="7" t="s">
        <v>2679</v>
      </c>
      <c r="D1705" s="7">
        <v>1696</v>
      </c>
      <c r="E1705" s="7">
        <v>340</v>
      </c>
      <c r="F1705" s="7" t="s">
        <v>2045</v>
      </c>
      <c r="G1705" s="7">
        <v>340</v>
      </c>
      <c r="H1705" s="7" t="s">
        <v>1606</v>
      </c>
      <c r="I1705" s="37">
        <v>1665309.4700000002</v>
      </c>
      <c r="J1705" s="122">
        <v>0.60265102263521286</v>
      </c>
      <c r="K1705" s="123">
        <f t="shared" ref="K1705:K1763" si="270">X1705</f>
        <v>1640814.868103652</v>
      </c>
      <c r="L1705" s="122">
        <f>IF(K1709&gt;0, K1705/K1709, 0)</f>
        <v>0.59474736327862021</v>
      </c>
      <c r="M1705" s="71"/>
      <c r="N1705" s="10">
        <f>ROUND(M1709*L1705,0)</f>
        <v>1224301</v>
      </c>
      <c r="O1705" s="70">
        <v>1295778</v>
      </c>
      <c r="P1705" s="10">
        <f>N1705-O1705</f>
        <v>-71477</v>
      </c>
      <c r="Q1705" s="46">
        <f t="shared" si="269"/>
        <v>-5.5161455125800867</v>
      </c>
      <c r="R1705" s="10">
        <v>176</v>
      </c>
      <c r="S1705" s="7">
        <f t="shared" si="262"/>
        <v>0</v>
      </c>
      <c r="T1705" s="124">
        <f t="shared" si="263"/>
        <v>340</v>
      </c>
      <c r="U1705" s="124">
        <f t="shared" si="264"/>
        <v>340</v>
      </c>
      <c r="V1705" s="124">
        <f t="shared" si="265"/>
        <v>1696</v>
      </c>
      <c r="W1705" s="124">
        <f t="shared" si="266"/>
        <v>171</v>
      </c>
      <c r="X1705" s="124">
        <f t="shared" si="267"/>
        <v>1640814.868103652</v>
      </c>
      <c r="Y1705" s="264">
        <f t="shared" si="268"/>
        <v>1696</v>
      </c>
      <c r="Z1705" s="10">
        <v>340</v>
      </c>
      <c r="AA1705" s="7">
        <v>340</v>
      </c>
      <c r="AB1705" s="7">
        <v>1696</v>
      </c>
      <c r="AC1705" s="109">
        <v>171</v>
      </c>
      <c r="AD1705" s="109">
        <v>1640814.868103652</v>
      </c>
      <c r="AE1705" s="125"/>
      <c r="AF1705" s="10"/>
      <c r="AI1705" s="109"/>
      <c r="AJ1705" s="109"/>
      <c r="AL1705" s="10"/>
      <c r="AO1705" s="109"/>
      <c r="AP1705" s="109"/>
      <c r="AR1705" s="10"/>
      <c r="AU1705" s="109"/>
      <c r="AV1705" s="109"/>
      <c r="AX1705" s="10"/>
      <c r="BA1705" s="109"/>
      <c r="BB1705" s="109"/>
      <c r="BD1705" s="10"/>
      <c r="BG1705" s="109"/>
      <c r="BH1705" s="109"/>
      <c r="BJ1705" s="10"/>
      <c r="BM1705" s="109"/>
      <c r="BN1705" s="109"/>
      <c r="BP1705" s="10"/>
      <c r="BS1705" s="109"/>
      <c r="BT1705" s="109"/>
      <c r="BV1705" s="10"/>
      <c r="BY1705" s="109"/>
      <c r="BZ1705" s="109"/>
      <c r="CB1705" s="10"/>
      <c r="CE1705" s="109"/>
      <c r="CF1705" s="109"/>
      <c r="CH1705" s="10"/>
      <c r="CK1705" s="109"/>
      <c r="CL1705" s="109"/>
    </row>
    <row r="1706" spans="1:90">
      <c r="A1706" s="7" t="str">
        <f t="shared" si="261"/>
        <v>03400683</v>
      </c>
      <c r="B1706" s="7" t="s">
        <v>2679</v>
      </c>
      <c r="C1706" s="7" t="s">
        <v>2720</v>
      </c>
      <c r="D1706" s="7">
        <v>1697</v>
      </c>
      <c r="E1706" s="7">
        <v>340</v>
      </c>
      <c r="F1706" s="7" t="s">
        <v>2045</v>
      </c>
      <c r="G1706" s="7">
        <v>683</v>
      </c>
      <c r="H1706" s="7" t="s">
        <v>1647</v>
      </c>
      <c r="I1706" s="37">
        <v>1097997</v>
      </c>
      <c r="J1706" s="122">
        <v>0.39734897736478714</v>
      </c>
      <c r="K1706" s="123">
        <f t="shared" si="270"/>
        <v>1118028.5827667348</v>
      </c>
      <c r="L1706" s="122">
        <f>IF(K1709&gt;0, K1706/K1709, 0)</f>
        <v>0.40525263672137984</v>
      </c>
      <c r="M1706" s="71"/>
      <c r="N1706" s="10">
        <f>ROUND(M1709*L1706,0)</f>
        <v>834221</v>
      </c>
      <c r="O1706" s="70">
        <v>854352</v>
      </c>
      <c r="P1706" s="10">
        <f>N1706-O1706</f>
        <v>-20131</v>
      </c>
      <c r="Q1706" s="46">
        <f t="shared" si="269"/>
        <v>-2.3562887428132666</v>
      </c>
      <c r="R1706" s="10">
        <v>110</v>
      </c>
      <c r="S1706" s="7">
        <f t="shared" si="262"/>
        <v>0</v>
      </c>
      <c r="T1706" s="124">
        <f t="shared" si="263"/>
        <v>340</v>
      </c>
      <c r="U1706" s="124">
        <f t="shared" si="264"/>
        <v>683</v>
      </c>
      <c r="V1706" s="124">
        <f t="shared" si="265"/>
        <v>1697</v>
      </c>
      <c r="W1706" s="124">
        <f t="shared" si="266"/>
        <v>110.3133903168</v>
      </c>
      <c r="X1706" s="124">
        <f t="shared" si="267"/>
        <v>1118028.5827667348</v>
      </c>
      <c r="Y1706" s="264">
        <f t="shared" si="268"/>
        <v>1697</v>
      </c>
      <c r="Z1706" s="10">
        <v>340</v>
      </c>
      <c r="AA1706" s="7">
        <v>683</v>
      </c>
      <c r="AB1706" s="7">
        <v>1697</v>
      </c>
      <c r="AC1706" s="109">
        <v>110.3133903168</v>
      </c>
      <c r="AD1706" s="109">
        <v>1118028.5827667348</v>
      </c>
      <c r="AE1706" s="125"/>
      <c r="AF1706" s="10"/>
      <c r="AI1706" s="109"/>
      <c r="AJ1706" s="109"/>
      <c r="AL1706" s="10"/>
      <c r="AO1706" s="109"/>
      <c r="AP1706" s="109"/>
      <c r="AR1706" s="10"/>
      <c r="AU1706" s="109"/>
      <c r="AV1706" s="109"/>
      <c r="AX1706" s="10"/>
      <c r="BA1706" s="109"/>
      <c r="BB1706" s="109"/>
      <c r="BD1706" s="10"/>
      <c r="BG1706" s="109"/>
      <c r="BH1706" s="109"/>
      <c r="BJ1706" s="10"/>
      <c r="BM1706" s="109"/>
      <c r="BN1706" s="109"/>
      <c r="BP1706" s="10"/>
      <c r="BS1706" s="109"/>
      <c r="BT1706" s="109"/>
      <c r="BV1706" s="10"/>
      <c r="BY1706" s="109"/>
      <c r="BZ1706" s="109"/>
      <c r="CB1706" s="10"/>
      <c r="CE1706" s="109"/>
      <c r="CF1706" s="109"/>
      <c r="CH1706" s="10"/>
      <c r="CK1706" s="109"/>
      <c r="CL1706" s="109"/>
    </row>
    <row r="1707" spans="1:90">
      <c r="A1707" s="7" t="str">
        <f t="shared" si="261"/>
        <v>03400998</v>
      </c>
      <c r="B1707" s="7" t="s">
        <v>2679</v>
      </c>
      <c r="C1707" s="7" t="s">
        <v>2781</v>
      </c>
      <c r="D1707" s="7">
        <v>1698</v>
      </c>
      <c r="E1707" s="7">
        <v>340</v>
      </c>
      <c r="F1707" s="7" t="s">
        <v>2135</v>
      </c>
      <c r="G1707" s="7">
        <v>998</v>
      </c>
      <c r="H1707" s="7" t="s">
        <v>2135</v>
      </c>
      <c r="I1707" s="37">
        <v>0</v>
      </c>
      <c r="J1707" s="122">
        <v>0</v>
      </c>
      <c r="K1707" s="123">
        <f t="shared" si="270"/>
        <v>0</v>
      </c>
      <c r="L1707" s="122">
        <f>IF(K1709&gt;0, K1707/K1709, 0)</f>
        <v>0</v>
      </c>
      <c r="M1707" s="71"/>
      <c r="N1707" s="10">
        <f>ROUND(M1709*L1707,0)</f>
        <v>0</v>
      </c>
      <c r="O1707" s="70">
        <v>0</v>
      </c>
      <c r="P1707" s="10">
        <f>N1707-O1707</f>
        <v>0</v>
      </c>
      <c r="Q1707" s="46">
        <f t="shared" si="269"/>
        <v>0</v>
      </c>
      <c r="R1707" s="10">
        <v>0</v>
      </c>
      <c r="S1707" s="7">
        <f t="shared" si="262"/>
        <v>0</v>
      </c>
      <c r="T1707" s="124">
        <f t="shared" si="263"/>
        <v>340</v>
      </c>
      <c r="U1707" s="124">
        <f t="shared" si="264"/>
        <v>998</v>
      </c>
      <c r="V1707" s="124">
        <f t="shared" si="265"/>
        <v>1698</v>
      </c>
      <c r="W1707" s="124">
        <f t="shared" si="266"/>
        <v>0</v>
      </c>
      <c r="X1707" s="124">
        <f t="shared" si="267"/>
        <v>0</v>
      </c>
      <c r="Y1707" s="264">
        <f t="shared" si="268"/>
        <v>1698</v>
      </c>
      <c r="Z1707" s="10">
        <v>340</v>
      </c>
      <c r="AA1707" s="7">
        <v>998</v>
      </c>
      <c r="AB1707" s="7">
        <v>1698</v>
      </c>
      <c r="AC1707" s="109">
        <v>0</v>
      </c>
      <c r="AD1707" s="109">
        <v>0</v>
      </c>
      <c r="AE1707" s="125"/>
      <c r="AF1707" s="10"/>
      <c r="AI1707" s="109"/>
      <c r="AJ1707" s="109"/>
      <c r="AL1707" s="10"/>
      <c r="AO1707" s="109"/>
      <c r="AP1707" s="109"/>
      <c r="AR1707" s="10"/>
      <c r="AU1707" s="109"/>
      <c r="AV1707" s="109"/>
      <c r="AX1707" s="10"/>
      <c r="BA1707" s="109"/>
      <c r="BB1707" s="109"/>
      <c r="BD1707" s="10"/>
      <c r="BG1707" s="109"/>
      <c r="BH1707" s="109"/>
      <c r="BJ1707" s="10"/>
      <c r="BM1707" s="109"/>
      <c r="BN1707" s="109"/>
      <c r="BP1707" s="10"/>
      <c r="BS1707" s="109"/>
      <c r="BT1707" s="109"/>
      <c r="BV1707" s="10"/>
      <c r="BY1707" s="109"/>
      <c r="BZ1707" s="109"/>
      <c r="CB1707" s="10"/>
      <c r="CE1707" s="109"/>
      <c r="CF1707" s="109"/>
      <c r="CH1707" s="10"/>
      <c r="CK1707" s="109"/>
      <c r="CL1707" s="109"/>
    </row>
    <row r="1708" spans="1:90">
      <c r="A1708" s="7" t="str">
        <f t="shared" si="261"/>
        <v>03400998</v>
      </c>
      <c r="B1708" s="7" t="s">
        <v>2679</v>
      </c>
      <c r="C1708" s="7" t="s">
        <v>2781</v>
      </c>
      <c r="D1708" s="7">
        <v>1699</v>
      </c>
      <c r="E1708" s="7">
        <v>340</v>
      </c>
      <c r="F1708" s="7" t="s">
        <v>2135</v>
      </c>
      <c r="G1708" s="7">
        <v>998</v>
      </c>
      <c r="H1708" s="7" t="s">
        <v>2135</v>
      </c>
      <c r="I1708" s="37">
        <v>0</v>
      </c>
      <c r="J1708" s="122">
        <v>0</v>
      </c>
      <c r="K1708" s="123">
        <f t="shared" si="270"/>
        <v>0</v>
      </c>
      <c r="L1708" s="122">
        <f>IF(K1709&gt;0, K1708/K1709, 0)</f>
        <v>0</v>
      </c>
      <c r="M1708" s="71"/>
      <c r="N1708" s="10">
        <f>ROUND(M1709*L1708,0)</f>
        <v>0</v>
      </c>
      <c r="O1708" s="70">
        <v>0</v>
      </c>
      <c r="P1708" s="10">
        <f>N1708-O1708</f>
        <v>0</v>
      </c>
      <c r="Q1708" s="46">
        <f t="shared" si="269"/>
        <v>0</v>
      </c>
      <c r="R1708" s="10">
        <v>0</v>
      </c>
      <c r="S1708" s="7">
        <f t="shared" si="262"/>
        <v>0</v>
      </c>
      <c r="T1708" s="124">
        <f t="shared" si="263"/>
        <v>340</v>
      </c>
      <c r="U1708" s="124">
        <f t="shared" si="264"/>
        <v>998</v>
      </c>
      <c r="V1708" s="124">
        <f t="shared" si="265"/>
        <v>1699</v>
      </c>
      <c r="W1708" s="124">
        <f t="shared" si="266"/>
        <v>0</v>
      </c>
      <c r="X1708" s="124">
        <f t="shared" si="267"/>
        <v>0</v>
      </c>
      <c r="Y1708" s="264">
        <f t="shared" si="268"/>
        <v>1699</v>
      </c>
      <c r="Z1708" s="10">
        <v>340</v>
      </c>
      <c r="AA1708" s="7">
        <v>998</v>
      </c>
      <c r="AB1708" s="7">
        <v>1699</v>
      </c>
      <c r="AC1708" s="109">
        <v>0</v>
      </c>
      <c r="AD1708" s="109">
        <v>0</v>
      </c>
      <c r="AE1708" s="125"/>
      <c r="AF1708" s="10"/>
      <c r="AI1708" s="109"/>
      <c r="AJ1708" s="109"/>
      <c r="AL1708" s="10"/>
      <c r="AO1708" s="109"/>
      <c r="AP1708" s="109"/>
      <c r="AR1708" s="10"/>
      <c r="AU1708" s="109"/>
      <c r="AV1708" s="109"/>
      <c r="AX1708" s="10"/>
      <c r="BA1708" s="109"/>
      <c r="BB1708" s="109"/>
      <c r="BD1708" s="10"/>
      <c r="BG1708" s="109"/>
      <c r="BH1708" s="109"/>
      <c r="BJ1708" s="10"/>
      <c r="BM1708" s="109"/>
      <c r="BN1708" s="109"/>
      <c r="BP1708" s="10"/>
      <c r="BS1708" s="109"/>
      <c r="BT1708" s="109"/>
      <c r="BV1708" s="10"/>
      <c r="BY1708" s="109"/>
      <c r="BZ1708" s="109"/>
      <c r="CB1708" s="10"/>
      <c r="CE1708" s="109"/>
      <c r="CF1708" s="109"/>
      <c r="CH1708" s="10"/>
      <c r="CK1708" s="109"/>
      <c r="CL1708" s="109"/>
    </row>
    <row r="1709" spans="1:90">
      <c r="A1709" s="7" t="str">
        <f t="shared" si="261"/>
        <v>03400999</v>
      </c>
      <c r="B1709" s="7" t="s">
        <v>2679</v>
      </c>
      <c r="C1709" s="7" t="s">
        <v>2782</v>
      </c>
      <c r="D1709" s="7">
        <v>1700</v>
      </c>
      <c r="E1709" s="11">
        <v>340</v>
      </c>
      <c r="F1709" s="11" t="s">
        <v>2045</v>
      </c>
      <c r="G1709" s="11">
        <v>999</v>
      </c>
      <c r="H1709" s="11" t="s">
        <v>1132</v>
      </c>
      <c r="I1709" s="105">
        <v>2763306.47</v>
      </c>
      <c r="J1709" s="126">
        <v>1</v>
      </c>
      <c r="K1709" s="127">
        <f>SUM(K1705:K1708)</f>
        <v>2758843.4508703868</v>
      </c>
      <c r="L1709" s="126">
        <f>SUM(L1705:L1708)</f>
        <v>1</v>
      </c>
      <c r="M1709" s="105">
        <f>VLOOKUP(E1709,town351,22)</f>
        <v>2058522</v>
      </c>
      <c r="N1709" s="105">
        <f>SUM(N1705:N1708)</f>
        <v>2058522</v>
      </c>
      <c r="O1709" s="128">
        <v>2150130</v>
      </c>
      <c r="P1709" s="105">
        <f>SUM(P1705:P1708)</f>
        <v>-91608</v>
      </c>
      <c r="Q1709" s="45">
        <f t="shared" si="269"/>
        <v>-4.2605795928618271</v>
      </c>
      <c r="R1709" s="105">
        <v>286</v>
      </c>
      <c r="S1709" s="7">
        <f t="shared" si="262"/>
        <v>0</v>
      </c>
      <c r="T1709" s="124">
        <f t="shared" si="263"/>
        <v>340</v>
      </c>
      <c r="U1709" s="124">
        <f t="shared" si="264"/>
        <v>999</v>
      </c>
      <c r="V1709" s="124">
        <f t="shared" si="265"/>
        <v>1700</v>
      </c>
      <c r="W1709" s="124">
        <f t="shared" si="266"/>
        <v>281.3133903168</v>
      </c>
      <c r="X1709" s="124">
        <f t="shared" si="267"/>
        <v>2758843.4508703868</v>
      </c>
      <c r="Y1709" s="264">
        <f t="shared" si="268"/>
        <v>1700</v>
      </c>
      <c r="Z1709" s="10">
        <v>340</v>
      </c>
      <c r="AA1709" s="7">
        <v>999</v>
      </c>
      <c r="AB1709" s="7">
        <v>1700</v>
      </c>
      <c r="AC1709" s="109">
        <v>281.3133903168</v>
      </c>
      <c r="AD1709" s="109">
        <v>2758843.4508703868</v>
      </c>
      <c r="AE1709" s="125"/>
      <c r="AF1709" s="10"/>
      <c r="AI1709" s="109"/>
      <c r="AJ1709" s="109"/>
      <c r="AL1709" s="10"/>
      <c r="AO1709" s="109"/>
      <c r="AP1709" s="109"/>
      <c r="AR1709" s="10"/>
      <c r="AU1709" s="109"/>
      <c r="AV1709" s="109"/>
      <c r="AX1709" s="10"/>
      <c r="BA1709" s="109"/>
      <c r="BB1709" s="109"/>
      <c r="BD1709" s="10"/>
      <c r="BG1709" s="109"/>
      <c r="BH1709" s="109"/>
      <c r="BJ1709" s="10"/>
      <c r="BM1709" s="109"/>
      <c r="BN1709" s="109"/>
      <c r="BP1709" s="10"/>
      <c r="BS1709" s="109"/>
      <c r="BT1709" s="109"/>
      <c r="BV1709" s="10"/>
      <c r="BY1709" s="109"/>
      <c r="BZ1709" s="109"/>
      <c r="CB1709" s="10"/>
      <c r="CE1709" s="109"/>
      <c r="CF1709" s="109"/>
      <c r="CH1709" s="10"/>
      <c r="CK1709" s="109"/>
      <c r="CL1709" s="109"/>
    </row>
    <row r="1710" spans="1:90">
      <c r="A1710" s="7" t="str">
        <f t="shared" si="261"/>
        <v>03410341</v>
      </c>
      <c r="B1710" s="7" t="s">
        <v>2680</v>
      </c>
      <c r="C1710" s="7" t="s">
        <v>2680</v>
      </c>
      <c r="D1710" s="7">
        <v>1701</v>
      </c>
      <c r="E1710" s="7">
        <v>341</v>
      </c>
      <c r="F1710" s="7" t="s">
        <v>2046</v>
      </c>
      <c r="G1710" s="7">
        <v>341</v>
      </c>
      <c r="H1710" s="7" t="s">
        <v>1607</v>
      </c>
      <c r="I1710" s="37">
        <v>3780882.2300000004</v>
      </c>
      <c r="J1710" s="122">
        <v>0.52721504626634619</v>
      </c>
      <c r="K1710" s="123">
        <f>X1710</f>
        <v>3766818.1625702963</v>
      </c>
      <c r="L1710" s="122">
        <f>IF(K1714&gt;0, K1710/K1714, 0)</f>
        <v>0.52076598918181916</v>
      </c>
      <c r="M1710" s="71"/>
      <c r="N1710" s="10">
        <f>ROUND(M1714*L1710,0)</f>
        <v>3122141</v>
      </c>
      <c r="O1710" s="70">
        <v>3127725</v>
      </c>
      <c r="P1710" s="10">
        <f>N1710-O1710</f>
        <v>-5584</v>
      </c>
      <c r="Q1710" s="46">
        <f t="shared" si="269"/>
        <v>-0.17853231981711948</v>
      </c>
      <c r="R1710" s="10">
        <v>404</v>
      </c>
      <c r="S1710" s="7">
        <f t="shared" si="262"/>
        <v>0</v>
      </c>
      <c r="T1710" s="124">
        <f t="shared" si="263"/>
        <v>341</v>
      </c>
      <c r="U1710" s="124">
        <f t="shared" si="264"/>
        <v>341</v>
      </c>
      <c r="V1710" s="124">
        <f t="shared" si="265"/>
        <v>1701</v>
      </c>
      <c r="W1710" s="124">
        <f t="shared" si="266"/>
        <v>394</v>
      </c>
      <c r="X1710" s="124">
        <f t="shared" si="267"/>
        <v>3766818.1625702963</v>
      </c>
      <c r="Y1710" s="264">
        <f t="shared" si="268"/>
        <v>1701</v>
      </c>
      <c r="Z1710" s="10">
        <v>341</v>
      </c>
      <c r="AA1710" s="7">
        <v>341</v>
      </c>
      <c r="AB1710" s="7">
        <v>1701</v>
      </c>
      <c r="AC1710" s="109">
        <v>394</v>
      </c>
      <c r="AD1710" s="109">
        <v>3766818.1625702963</v>
      </c>
      <c r="AE1710" s="125"/>
      <c r="AF1710" s="10"/>
      <c r="AI1710" s="109"/>
      <c r="AJ1710" s="109"/>
      <c r="AL1710" s="10"/>
      <c r="AO1710" s="109"/>
      <c r="AP1710" s="109"/>
      <c r="AR1710" s="10"/>
      <c r="AU1710" s="109"/>
      <c r="AV1710" s="109"/>
      <c r="AX1710" s="10"/>
      <c r="BA1710" s="109"/>
      <c r="BB1710" s="109"/>
      <c r="BD1710" s="10"/>
      <c r="BG1710" s="109"/>
      <c r="BH1710" s="109"/>
      <c r="BJ1710" s="10"/>
      <c r="BM1710" s="109"/>
      <c r="BN1710" s="109"/>
      <c r="BP1710" s="10"/>
      <c r="BS1710" s="109"/>
      <c r="BT1710" s="109"/>
      <c r="BV1710" s="10"/>
      <c r="BY1710" s="109"/>
      <c r="BZ1710" s="109"/>
      <c r="CB1710" s="10"/>
      <c r="CE1710" s="109"/>
      <c r="CF1710" s="109"/>
      <c r="CH1710" s="10"/>
      <c r="CK1710" s="109"/>
      <c r="CL1710" s="109"/>
    </row>
    <row r="1711" spans="1:90">
      <c r="A1711" s="7" t="str">
        <f t="shared" si="261"/>
        <v>03410715</v>
      </c>
      <c r="B1711" s="7" t="s">
        <v>2680</v>
      </c>
      <c r="C1711" s="7" t="s">
        <v>2729</v>
      </c>
      <c r="D1711" s="7">
        <v>1702</v>
      </c>
      <c r="E1711" s="7">
        <v>341</v>
      </c>
      <c r="F1711" s="7" t="s">
        <v>2046</v>
      </c>
      <c r="G1711" s="7">
        <v>715</v>
      </c>
      <c r="H1711" s="7" t="s">
        <v>1656</v>
      </c>
      <c r="I1711" s="37">
        <v>3152990</v>
      </c>
      <c r="J1711" s="122">
        <v>0.43966028762745324</v>
      </c>
      <c r="K1711" s="123">
        <f t="shared" si="270"/>
        <v>3209079.0375599149</v>
      </c>
      <c r="L1711" s="122">
        <f>IF(K1714&gt;0, K1711/K1714, 0)</f>
        <v>0.44365805495033411</v>
      </c>
      <c r="M1711" s="71"/>
      <c r="N1711" s="10">
        <f>ROUND(M1714*L1711,0)</f>
        <v>2659856</v>
      </c>
      <c r="O1711" s="70">
        <v>2608303</v>
      </c>
      <c r="P1711" s="10">
        <f>N1711-O1711</f>
        <v>51553</v>
      </c>
      <c r="Q1711" s="46">
        <f t="shared" si="269"/>
        <v>1.9764958288971795</v>
      </c>
      <c r="R1711" s="10">
        <v>314</v>
      </c>
      <c r="S1711" s="7">
        <f t="shared" si="262"/>
        <v>0</v>
      </c>
      <c r="T1711" s="124">
        <f t="shared" si="263"/>
        <v>341</v>
      </c>
      <c r="U1711" s="124">
        <f t="shared" si="264"/>
        <v>715</v>
      </c>
      <c r="V1711" s="124">
        <f t="shared" si="265"/>
        <v>1702</v>
      </c>
      <c r="W1711" s="124">
        <f t="shared" si="266"/>
        <v>310</v>
      </c>
      <c r="X1711" s="124">
        <f t="shared" si="267"/>
        <v>3209079.0375599149</v>
      </c>
      <c r="Y1711" s="264">
        <f t="shared" si="268"/>
        <v>1702</v>
      </c>
      <c r="Z1711" s="10">
        <v>341</v>
      </c>
      <c r="AA1711" s="7">
        <v>715</v>
      </c>
      <c r="AB1711" s="7">
        <v>1702</v>
      </c>
      <c r="AC1711" s="109">
        <v>310</v>
      </c>
      <c r="AD1711" s="109">
        <v>3209079.0375599149</v>
      </c>
      <c r="AE1711" s="125"/>
      <c r="AF1711" s="10"/>
      <c r="AI1711" s="109"/>
      <c r="AJ1711" s="109"/>
      <c r="AL1711" s="10"/>
      <c r="AO1711" s="109"/>
      <c r="AP1711" s="109"/>
      <c r="AR1711" s="10"/>
      <c r="AU1711" s="109"/>
      <c r="AV1711" s="109"/>
      <c r="AX1711" s="10"/>
      <c r="BA1711" s="109"/>
      <c r="BB1711" s="109"/>
      <c r="BD1711" s="10"/>
      <c r="BG1711" s="109"/>
      <c r="BH1711" s="109"/>
      <c r="BJ1711" s="10"/>
      <c r="BM1711" s="109"/>
      <c r="BN1711" s="109"/>
      <c r="BP1711" s="10"/>
      <c r="BS1711" s="109"/>
      <c r="BT1711" s="109"/>
      <c r="BV1711" s="10"/>
      <c r="BY1711" s="109"/>
      <c r="BZ1711" s="109"/>
      <c r="CB1711" s="10"/>
      <c r="CE1711" s="109"/>
      <c r="CF1711" s="109"/>
      <c r="CH1711" s="10"/>
      <c r="CK1711" s="109"/>
      <c r="CL1711" s="109"/>
    </row>
    <row r="1712" spans="1:90">
      <c r="A1712" s="7" t="str">
        <f t="shared" si="261"/>
        <v>03410851</v>
      </c>
      <c r="B1712" s="7" t="s">
        <v>2680</v>
      </c>
      <c r="C1712" s="7" t="s">
        <v>2766</v>
      </c>
      <c r="D1712" s="7">
        <v>1703</v>
      </c>
      <c r="E1712" s="7">
        <v>341</v>
      </c>
      <c r="F1712" s="7" t="s">
        <v>2046</v>
      </c>
      <c r="G1712" s="7">
        <v>851</v>
      </c>
      <c r="H1712" s="7" t="s">
        <v>1693</v>
      </c>
      <c r="I1712" s="37">
        <v>237551</v>
      </c>
      <c r="J1712" s="122">
        <v>3.3124666106200511E-2</v>
      </c>
      <c r="K1712" s="123">
        <f t="shared" si="270"/>
        <v>257328.93372001094</v>
      </c>
      <c r="L1712" s="122">
        <f>IF(K1714&gt;0, K1712/K1714, 0)</f>
        <v>3.5575955867846704E-2</v>
      </c>
      <c r="M1712" s="71"/>
      <c r="N1712" s="10">
        <f>ROUND(M1714*L1712,0)</f>
        <v>213288</v>
      </c>
      <c r="O1712" s="70">
        <v>196513</v>
      </c>
      <c r="P1712" s="10">
        <f>N1712-O1712</f>
        <v>16775</v>
      </c>
      <c r="Q1712" s="46">
        <f t="shared" si="269"/>
        <v>8.5363309297603713</v>
      </c>
      <c r="R1712" s="10">
        <v>15</v>
      </c>
      <c r="S1712" s="7">
        <f t="shared" si="262"/>
        <v>0</v>
      </c>
      <c r="T1712" s="124">
        <f t="shared" si="263"/>
        <v>341</v>
      </c>
      <c r="U1712" s="124">
        <f t="shared" si="264"/>
        <v>851</v>
      </c>
      <c r="V1712" s="124">
        <f t="shared" si="265"/>
        <v>1703</v>
      </c>
      <c r="W1712" s="124">
        <f t="shared" si="266"/>
        <v>16.0000000008</v>
      </c>
      <c r="X1712" s="124">
        <f t="shared" si="267"/>
        <v>257328.93372001094</v>
      </c>
      <c r="Y1712" s="264">
        <f t="shared" si="268"/>
        <v>1703</v>
      </c>
      <c r="Z1712" s="10">
        <v>341</v>
      </c>
      <c r="AA1712" s="7">
        <v>851</v>
      </c>
      <c r="AB1712" s="7">
        <v>1703</v>
      </c>
      <c r="AC1712" s="109">
        <v>16.0000000008</v>
      </c>
      <c r="AD1712" s="109">
        <v>257328.93372001094</v>
      </c>
      <c r="AE1712" s="125"/>
      <c r="AF1712" s="10"/>
      <c r="AI1712" s="109"/>
      <c r="AJ1712" s="109"/>
      <c r="AL1712" s="10"/>
      <c r="AO1712" s="109"/>
      <c r="AP1712" s="109"/>
      <c r="AR1712" s="10"/>
      <c r="AU1712" s="109"/>
      <c r="AV1712" s="109"/>
      <c r="AX1712" s="10"/>
      <c r="BA1712" s="109"/>
      <c r="BB1712" s="109"/>
      <c r="BD1712" s="10"/>
      <c r="BG1712" s="109"/>
      <c r="BH1712" s="109"/>
      <c r="BJ1712" s="10"/>
      <c r="BM1712" s="109"/>
      <c r="BN1712" s="109"/>
      <c r="BP1712" s="10"/>
      <c r="BS1712" s="109"/>
      <c r="BT1712" s="109"/>
      <c r="BV1712" s="10"/>
      <c r="BY1712" s="109"/>
      <c r="BZ1712" s="109"/>
      <c r="CB1712" s="10"/>
      <c r="CE1712" s="109"/>
      <c r="CF1712" s="109"/>
      <c r="CH1712" s="10"/>
      <c r="CK1712" s="109"/>
      <c r="CL1712" s="109"/>
    </row>
    <row r="1713" spans="1:90">
      <c r="A1713" s="7" t="str">
        <f t="shared" si="261"/>
        <v>03410998</v>
      </c>
      <c r="B1713" s="7" t="s">
        <v>2680</v>
      </c>
      <c r="C1713" s="7" t="s">
        <v>2781</v>
      </c>
      <c r="D1713" s="7">
        <v>1704</v>
      </c>
      <c r="E1713" s="7">
        <v>341</v>
      </c>
      <c r="F1713" s="7" t="s">
        <v>2135</v>
      </c>
      <c r="G1713" s="7">
        <v>998</v>
      </c>
      <c r="H1713" s="7" t="s">
        <v>2135</v>
      </c>
      <c r="I1713" s="37">
        <v>0</v>
      </c>
      <c r="J1713" s="122">
        <v>0</v>
      </c>
      <c r="K1713" s="123">
        <f t="shared" si="270"/>
        <v>0</v>
      </c>
      <c r="L1713" s="122">
        <f>IF(K1714&gt;0, K1713/K1714, 0)</f>
        <v>0</v>
      </c>
      <c r="M1713" s="71"/>
      <c r="N1713" s="10">
        <f>ROUND(M1714*L1713,0)</f>
        <v>0</v>
      </c>
      <c r="O1713" s="70">
        <v>0</v>
      </c>
      <c r="P1713" s="10">
        <f>N1713-O1713</f>
        <v>0</v>
      </c>
      <c r="Q1713" s="46">
        <f t="shared" si="269"/>
        <v>0</v>
      </c>
      <c r="R1713" s="10">
        <v>0</v>
      </c>
      <c r="S1713" s="7">
        <f t="shared" si="262"/>
        <v>0</v>
      </c>
      <c r="T1713" s="124">
        <f t="shared" si="263"/>
        <v>341</v>
      </c>
      <c r="U1713" s="124">
        <f t="shared" si="264"/>
        <v>998</v>
      </c>
      <c r="V1713" s="124">
        <f t="shared" si="265"/>
        <v>1704</v>
      </c>
      <c r="W1713" s="124">
        <f t="shared" si="266"/>
        <v>0</v>
      </c>
      <c r="X1713" s="124">
        <f t="shared" si="267"/>
        <v>0</v>
      </c>
      <c r="Y1713" s="264">
        <f t="shared" si="268"/>
        <v>1704</v>
      </c>
      <c r="Z1713" s="10">
        <v>341</v>
      </c>
      <c r="AA1713" s="7">
        <v>998</v>
      </c>
      <c r="AB1713" s="7">
        <v>1704</v>
      </c>
      <c r="AC1713" s="109">
        <v>0</v>
      </c>
      <c r="AD1713" s="109">
        <v>0</v>
      </c>
      <c r="AE1713" s="125"/>
      <c r="AF1713" s="10"/>
      <c r="AI1713" s="109"/>
      <c r="AJ1713" s="109"/>
      <c r="AL1713" s="10"/>
      <c r="AO1713" s="109"/>
      <c r="AP1713" s="109"/>
      <c r="AR1713" s="10"/>
      <c r="AU1713" s="109"/>
      <c r="AV1713" s="109"/>
      <c r="AX1713" s="10"/>
      <c r="BA1713" s="109"/>
      <c r="BB1713" s="109"/>
      <c r="BD1713" s="10"/>
      <c r="BG1713" s="109"/>
      <c r="BH1713" s="109"/>
      <c r="BJ1713" s="10"/>
      <c r="BM1713" s="109"/>
      <c r="BN1713" s="109"/>
      <c r="BP1713" s="10"/>
      <c r="BS1713" s="109"/>
      <c r="BT1713" s="109"/>
      <c r="BV1713" s="10"/>
      <c r="BY1713" s="109"/>
      <c r="BZ1713" s="109"/>
      <c r="CB1713" s="10"/>
      <c r="CE1713" s="109"/>
      <c r="CF1713" s="109"/>
      <c r="CH1713" s="10"/>
      <c r="CK1713" s="109"/>
      <c r="CL1713" s="109"/>
    </row>
    <row r="1714" spans="1:90">
      <c r="A1714" s="7" t="str">
        <f t="shared" si="261"/>
        <v>03410999</v>
      </c>
      <c r="B1714" s="7" t="s">
        <v>2680</v>
      </c>
      <c r="C1714" s="7" t="s">
        <v>2782</v>
      </c>
      <c r="D1714" s="7">
        <v>1705</v>
      </c>
      <c r="E1714" s="11">
        <v>341</v>
      </c>
      <c r="F1714" s="11" t="s">
        <v>2046</v>
      </c>
      <c r="G1714" s="11">
        <v>999</v>
      </c>
      <c r="H1714" s="11" t="s">
        <v>1132</v>
      </c>
      <c r="I1714" s="105">
        <v>7171423.2300000004</v>
      </c>
      <c r="J1714" s="126">
        <v>0.99999999999999989</v>
      </c>
      <c r="K1714" s="127">
        <f>SUM(K1710:K1713)</f>
        <v>7233226.1338502225</v>
      </c>
      <c r="L1714" s="126">
        <f>SUM(L1710:L1713)</f>
        <v>0.99999999999999989</v>
      </c>
      <c r="M1714" s="105">
        <f>VLOOKUP(E1714,town351,22)</f>
        <v>5995285</v>
      </c>
      <c r="N1714" s="105">
        <f>SUM(N1710:N1713)</f>
        <v>5995285</v>
      </c>
      <c r="O1714" s="128">
        <v>5932541</v>
      </c>
      <c r="P1714" s="105">
        <f>SUM(P1710:P1713)</f>
        <v>62744</v>
      </c>
      <c r="Q1714" s="45">
        <f t="shared" si="269"/>
        <v>1.0576243805141845</v>
      </c>
      <c r="R1714" s="105">
        <v>733</v>
      </c>
      <c r="S1714" s="7">
        <f t="shared" si="262"/>
        <v>0</v>
      </c>
      <c r="T1714" s="124">
        <f t="shared" si="263"/>
        <v>341</v>
      </c>
      <c r="U1714" s="124">
        <f t="shared" si="264"/>
        <v>999</v>
      </c>
      <c r="V1714" s="124">
        <f t="shared" si="265"/>
        <v>1705</v>
      </c>
      <c r="W1714" s="124">
        <f t="shared" si="266"/>
        <v>720.00000000080001</v>
      </c>
      <c r="X1714" s="124">
        <f t="shared" si="267"/>
        <v>7233226.1338502225</v>
      </c>
      <c r="Y1714" s="264">
        <f t="shared" si="268"/>
        <v>1705</v>
      </c>
      <c r="Z1714" s="10">
        <v>341</v>
      </c>
      <c r="AA1714" s="7">
        <v>999</v>
      </c>
      <c r="AB1714" s="7">
        <v>1705</v>
      </c>
      <c r="AC1714" s="109">
        <v>720.00000000080001</v>
      </c>
      <c r="AD1714" s="109">
        <v>7233226.1338502225</v>
      </c>
      <c r="AE1714" s="125"/>
      <c r="AF1714" s="10"/>
      <c r="AI1714" s="109"/>
      <c r="AJ1714" s="109"/>
      <c r="AL1714" s="10"/>
      <c r="AO1714" s="109"/>
      <c r="AP1714" s="109"/>
      <c r="AR1714" s="10"/>
      <c r="AU1714" s="109"/>
      <c r="AV1714" s="109"/>
      <c r="AX1714" s="10"/>
      <c r="BA1714" s="109"/>
      <c r="BB1714" s="109"/>
      <c r="BD1714" s="10"/>
      <c r="BG1714" s="109"/>
      <c r="BH1714" s="109"/>
      <c r="BJ1714" s="10"/>
      <c r="BM1714" s="109"/>
      <c r="BN1714" s="109"/>
      <c r="BP1714" s="10"/>
      <c r="BS1714" s="109"/>
      <c r="BT1714" s="109"/>
      <c r="BV1714" s="10"/>
      <c r="BY1714" s="109"/>
      <c r="BZ1714" s="109"/>
      <c r="CB1714" s="10"/>
      <c r="CE1714" s="109"/>
      <c r="CF1714" s="109"/>
      <c r="CH1714" s="10"/>
      <c r="CK1714" s="109"/>
      <c r="CL1714" s="109"/>
    </row>
    <row r="1715" spans="1:90">
      <c r="A1715" s="7" t="str">
        <f t="shared" si="261"/>
        <v>03420342</v>
      </c>
      <c r="B1715" s="7" t="s">
        <v>2681</v>
      </c>
      <c r="C1715" s="7" t="s">
        <v>2681</v>
      </c>
      <c r="D1715" s="7">
        <v>1706</v>
      </c>
      <c r="E1715" s="7">
        <v>342</v>
      </c>
      <c r="F1715" s="7" t="s">
        <v>2047</v>
      </c>
      <c r="G1715" s="7">
        <v>342</v>
      </c>
      <c r="H1715" s="7" t="s">
        <v>1608</v>
      </c>
      <c r="I1715" s="37">
        <v>33396838.325240005</v>
      </c>
      <c r="J1715" s="122">
        <v>0.90148422462550037</v>
      </c>
      <c r="K1715" s="123">
        <f>X1715</f>
        <v>34239954.195590727</v>
      </c>
      <c r="L1715" s="122">
        <f>IF(K1719&gt;0, K1715/K1719, 0)</f>
        <v>0.90274509439052331</v>
      </c>
      <c r="M1715" s="71"/>
      <c r="N1715" s="10">
        <f>ROUND(M1719*L1715,0)</f>
        <v>25512508</v>
      </c>
      <c r="O1715" s="70">
        <v>24739359</v>
      </c>
      <c r="P1715" s="10">
        <f>N1715-O1715</f>
        <v>773149</v>
      </c>
      <c r="Q1715" s="46">
        <f t="shared" si="269"/>
        <v>3.1251779805612587</v>
      </c>
      <c r="R1715" s="10">
        <v>3426</v>
      </c>
      <c r="S1715" s="7">
        <f t="shared" si="262"/>
        <v>0</v>
      </c>
      <c r="T1715" s="124">
        <f t="shared" si="263"/>
        <v>342</v>
      </c>
      <c r="U1715" s="124">
        <f t="shared" si="264"/>
        <v>342</v>
      </c>
      <c r="V1715" s="124">
        <f t="shared" si="265"/>
        <v>1706</v>
      </c>
      <c r="W1715" s="124">
        <f t="shared" si="266"/>
        <v>3439</v>
      </c>
      <c r="X1715" s="124">
        <f t="shared" si="267"/>
        <v>34239954.195590727</v>
      </c>
      <c r="Y1715" s="264">
        <f t="shared" si="268"/>
        <v>1706</v>
      </c>
      <c r="Z1715" s="10">
        <v>342</v>
      </c>
      <c r="AA1715" s="7">
        <v>342</v>
      </c>
      <c r="AB1715" s="7">
        <v>1706</v>
      </c>
      <c r="AC1715" s="109">
        <v>3439</v>
      </c>
      <c r="AD1715" s="109">
        <v>34239954.195590727</v>
      </c>
      <c r="AE1715" s="125"/>
      <c r="AF1715" s="10"/>
      <c r="AI1715" s="109"/>
      <c r="AJ1715" s="109"/>
      <c r="AL1715" s="10"/>
      <c r="AO1715" s="109"/>
      <c r="AP1715" s="109"/>
      <c r="AR1715" s="10"/>
      <c r="AU1715" s="109"/>
      <c r="AV1715" s="109"/>
      <c r="AX1715" s="10"/>
      <c r="BA1715" s="109"/>
      <c r="BB1715" s="109"/>
      <c r="BD1715" s="10"/>
      <c r="BG1715" s="109"/>
      <c r="BH1715" s="109"/>
      <c r="BJ1715" s="10"/>
      <c r="BM1715" s="109"/>
      <c r="BN1715" s="109"/>
      <c r="BP1715" s="10"/>
      <c r="BS1715" s="109"/>
      <c r="BT1715" s="109"/>
      <c r="BV1715" s="10"/>
      <c r="BY1715" s="109"/>
      <c r="BZ1715" s="109"/>
      <c r="CB1715" s="10"/>
      <c r="CE1715" s="109"/>
      <c r="CF1715" s="109"/>
      <c r="CH1715" s="10"/>
      <c r="CK1715" s="109"/>
      <c r="CL1715" s="109"/>
    </row>
    <row r="1716" spans="1:90">
      <c r="A1716" s="7" t="str">
        <f t="shared" si="261"/>
        <v>03420871</v>
      </c>
      <c r="B1716" s="7" t="s">
        <v>2681</v>
      </c>
      <c r="C1716" s="7" t="s">
        <v>2771</v>
      </c>
      <c r="D1716" s="7">
        <v>1707</v>
      </c>
      <c r="E1716" s="7">
        <v>342</v>
      </c>
      <c r="F1716" s="7" t="s">
        <v>2047</v>
      </c>
      <c r="G1716" s="7">
        <v>871</v>
      </c>
      <c r="H1716" s="7" t="s">
        <v>1698</v>
      </c>
      <c r="I1716" s="37">
        <v>3649665</v>
      </c>
      <c r="J1716" s="122">
        <v>9.8515775374499695E-2</v>
      </c>
      <c r="K1716" s="123">
        <f t="shared" si="270"/>
        <v>3688752.8207651875</v>
      </c>
      <c r="L1716" s="122">
        <f>IF(K1719&gt;0, K1716/K1719, 0)</f>
        <v>9.7254905609476597E-2</v>
      </c>
      <c r="M1716" s="71"/>
      <c r="N1716" s="10">
        <f>ROUND(M1719*L1716,0)</f>
        <v>2748524</v>
      </c>
      <c r="O1716" s="70">
        <v>2703560</v>
      </c>
      <c r="P1716" s="10">
        <f>N1716-O1716</f>
        <v>44964</v>
      </c>
      <c r="Q1716" s="46">
        <f t="shared" si="269"/>
        <v>1.6631404518486737</v>
      </c>
      <c r="R1716" s="10">
        <v>241</v>
      </c>
      <c r="S1716" s="7">
        <f t="shared" si="262"/>
        <v>0</v>
      </c>
      <c r="T1716" s="124">
        <f t="shared" si="263"/>
        <v>342</v>
      </c>
      <c r="U1716" s="124">
        <f t="shared" si="264"/>
        <v>871</v>
      </c>
      <c r="V1716" s="124">
        <f t="shared" si="265"/>
        <v>1707</v>
      </c>
      <c r="W1716" s="124">
        <f t="shared" si="266"/>
        <v>240.00000000079999</v>
      </c>
      <c r="X1716" s="124">
        <f t="shared" si="267"/>
        <v>3688752.8207651875</v>
      </c>
      <c r="Y1716" s="264">
        <f t="shared" si="268"/>
        <v>1707</v>
      </c>
      <c r="Z1716" s="10">
        <v>342</v>
      </c>
      <c r="AA1716" s="7">
        <v>871</v>
      </c>
      <c r="AB1716" s="7">
        <v>1707</v>
      </c>
      <c r="AC1716" s="109">
        <v>240.00000000079999</v>
      </c>
      <c r="AD1716" s="109">
        <v>3688752.8207651875</v>
      </c>
      <c r="AE1716" s="125"/>
      <c r="AF1716" s="10"/>
      <c r="AI1716" s="109"/>
      <c r="AJ1716" s="109"/>
      <c r="AL1716" s="10"/>
      <c r="AO1716" s="109"/>
      <c r="AP1716" s="109"/>
      <c r="AR1716" s="10"/>
      <c r="AU1716" s="109"/>
      <c r="AV1716" s="109"/>
      <c r="AX1716" s="10"/>
      <c r="BA1716" s="109"/>
      <c r="BB1716" s="109"/>
      <c r="BD1716" s="10"/>
      <c r="BG1716" s="109"/>
      <c r="BH1716" s="109"/>
      <c r="BJ1716" s="10"/>
      <c r="BM1716" s="109"/>
      <c r="BN1716" s="109"/>
      <c r="BP1716" s="10"/>
      <c r="BS1716" s="109"/>
      <c r="BT1716" s="109"/>
      <c r="BV1716" s="10"/>
      <c r="BY1716" s="109"/>
      <c r="BZ1716" s="109"/>
      <c r="CB1716" s="10"/>
      <c r="CE1716" s="109"/>
      <c r="CF1716" s="109"/>
      <c r="CH1716" s="10"/>
      <c r="CK1716" s="109"/>
      <c r="CL1716" s="109"/>
    </row>
    <row r="1717" spans="1:90">
      <c r="A1717" s="7" t="str">
        <f t="shared" si="261"/>
        <v>03420998</v>
      </c>
      <c r="B1717" s="7" t="s">
        <v>2681</v>
      </c>
      <c r="C1717" s="7" t="s">
        <v>2781</v>
      </c>
      <c r="D1717" s="7">
        <v>1708</v>
      </c>
      <c r="E1717" s="7">
        <v>342</v>
      </c>
      <c r="F1717" s="7" t="s">
        <v>2135</v>
      </c>
      <c r="G1717" s="7">
        <v>998</v>
      </c>
      <c r="I1717" s="129">
        <v>0</v>
      </c>
      <c r="J1717" s="130">
        <v>0</v>
      </c>
      <c r="K1717" s="123">
        <f t="shared" si="270"/>
        <v>0</v>
      </c>
      <c r="L1717" s="122">
        <f>IF(K1719&gt;0, K1717/K1719, 0)</f>
        <v>0</v>
      </c>
      <c r="M1717" s="71"/>
      <c r="N1717" s="10">
        <f>ROUND(M1719*L1717,0)</f>
        <v>0</v>
      </c>
      <c r="O1717" s="70">
        <v>0</v>
      </c>
      <c r="P1717" s="10">
        <f>N1717-O1717</f>
        <v>0</v>
      </c>
      <c r="Q1717" s="46">
        <f t="shared" si="269"/>
        <v>0</v>
      </c>
      <c r="R1717" s="10">
        <v>0</v>
      </c>
      <c r="S1717" s="7">
        <f t="shared" si="262"/>
        <v>0</v>
      </c>
      <c r="T1717" s="124">
        <f t="shared" si="263"/>
        <v>342</v>
      </c>
      <c r="U1717" s="124">
        <f t="shared" si="264"/>
        <v>998</v>
      </c>
      <c r="V1717" s="124">
        <f t="shared" si="265"/>
        <v>1708</v>
      </c>
      <c r="W1717" s="124">
        <f t="shared" si="266"/>
        <v>0</v>
      </c>
      <c r="X1717" s="124">
        <f t="shared" si="267"/>
        <v>0</v>
      </c>
      <c r="Y1717" s="264">
        <f t="shared" si="268"/>
        <v>1708</v>
      </c>
      <c r="Z1717" s="10">
        <v>342</v>
      </c>
      <c r="AA1717" s="7">
        <v>998</v>
      </c>
      <c r="AB1717" s="7">
        <v>1708</v>
      </c>
      <c r="AC1717" s="109">
        <v>0</v>
      </c>
      <c r="AD1717" s="109">
        <v>0</v>
      </c>
      <c r="AE1717" s="125"/>
      <c r="AF1717" s="10"/>
      <c r="AI1717" s="109"/>
      <c r="AJ1717" s="109"/>
      <c r="AL1717" s="10"/>
      <c r="AO1717" s="109"/>
      <c r="AP1717" s="109"/>
      <c r="AR1717" s="10"/>
      <c r="AU1717" s="109"/>
      <c r="AV1717" s="109"/>
      <c r="AX1717" s="10"/>
      <c r="BA1717" s="109"/>
      <c r="BB1717" s="109"/>
      <c r="BD1717" s="10"/>
      <c r="BG1717" s="109"/>
      <c r="BH1717" s="109"/>
      <c r="BJ1717" s="10"/>
      <c r="BM1717" s="109"/>
      <c r="BN1717" s="109"/>
      <c r="BP1717" s="10"/>
      <c r="BS1717" s="109"/>
      <c r="BT1717" s="109"/>
      <c r="BV1717" s="10"/>
      <c r="BY1717" s="109"/>
      <c r="BZ1717" s="109"/>
      <c r="CB1717" s="10"/>
      <c r="CE1717" s="109"/>
      <c r="CF1717" s="109"/>
      <c r="CH1717" s="10"/>
      <c r="CK1717" s="109"/>
      <c r="CL1717" s="109"/>
    </row>
    <row r="1718" spans="1:90">
      <c r="A1718" s="7" t="str">
        <f t="shared" si="261"/>
        <v>03420998</v>
      </c>
      <c r="B1718" s="7" t="s">
        <v>2681</v>
      </c>
      <c r="C1718" s="7" t="s">
        <v>2781</v>
      </c>
      <c r="D1718" s="7">
        <v>1709</v>
      </c>
      <c r="E1718" s="7">
        <v>342</v>
      </c>
      <c r="F1718" s="7" t="s">
        <v>2135</v>
      </c>
      <c r="G1718" s="7">
        <v>998</v>
      </c>
      <c r="H1718" s="7" t="s">
        <v>2135</v>
      </c>
      <c r="I1718" s="37">
        <v>0</v>
      </c>
      <c r="J1718" s="122">
        <v>0</v>
      </c>
      <c r="K1718" s="123">
        <f t="shared" si="270"/>
        <v>0</v>
      </c>
      <c r="L1718" s="122">
        <f>IF(K1719&gt;0, K1718/K1719, 0)</f>
        <v>0</v>
      </c>
      <c r="M1718" s="71"/>
      <c r="N1718" s="10">
        <f>ROUND(M1719*L1718,0)</f>
        <v>0</v>
      </c>
      <c r="O1718" s="70">
        <v>0</v>
      </c>
      <c r="P1718" s="10">
        <f>N1718-O1718</f>
        <v>0</v>
      </c>
      <c r="Q1718" s="46">
        <f t="shared" si="269"/>
        <v>0</v>
      </c>
      <c r="R1718" s="10">
        <v>0</v>
      </c>
      <c r="S1718" s="7">
        <f t="shared" si="262"/>
        <v>0</v>
      </c>
      <c r="T1718" s="124">
        <f t="shared" si="263"/>
        <v>342</v>
      </c>
      <c r="U1718" s="124">
        <f t="shared" si="264"/>
        <v>998</v>
      </c>
      <c r="V1718" s="124">
        <f t="shared" si="265"/>
        <v>1709</v>
      </c>
      <c r="W1718" s="124">
        <f t="shared" si="266"/>
        <v>0</v>
      </c>
      <c r="X1718" s="124">
        <f t="shared" si="267"/>
        <v>0</v>
      </c>
      <c r="Y1718" s="264">
        <f t="shared" si="268"/>
        <v>1709</v>
      </c>
      <c r="Z1718" s="10">
        <v>342</v>
      </c>
      <c r="AA1718" s="7">
        <v>998</v>
      </c>
      <c r="AB1718" s="7">
        <v>1709</v>
      </c>
      <c r="AC1718" s="109">
        <v>0</v>
      </c>
      <c r="AD1718" s="109">
        <v>0</v>
      </c>
      <c r="AE1718" s="125"/>
      <c r="AF1718" s="10"/>
      <c r="AI1718" s="109"/>
      <c r="AJ1718" s="109"/>
      <c r="AL1718" s="10"/>
      <c r="AO1718" s="109"/>
      <c r="AP1718" s="109"/>
      <c r="AR1718" s="10"/>
      <c r="AU1718" s="109"/>
      <c r="AV1718" s="109"/>
      <c r="AX1718" s="10"/>
      <c r="BA1718" s="109"/>
      <c r="BB1718" s="109"/>
      <c r="BD1718" s="10"/>
      <c r="BG1718" s="109"/>
      <c r="BH1718" s="109"/>
      <c r="BJ1718" s="10"/>
      <c r="BM1718" s="109"/>
      <c r="BN1718" s="109"/>
      <c r="BP1718" s="10"/>
      <c r="BS1718" s="109"/>
      <c r="BT1718" s="109"/>
      <c r="BV1718" s="10"/>
      <c r="BY1718" s="109"/>
      <c r="BZ1718" s="109"/>
      <c r="CB1718" s="10"/>
      <c r="CE1718" s="109"/>
      <c r="CF1718" s="109"/>
      <c r="CH1718" s="10"/>
      <c r="CK1718" s="109"/>
      <c r="CL1718" s="109"/>
    </row>
    <row r="1719" spans="1:90">
      <c r="A1719" s="7" t="str">
        <f t="shared" si="261"/>
        <v>03420999</v>
      </c>
      <c r="B1719" s="7" t="s">
        <v>2681</v>
      </c>
      <c r="C1719" s="7" t="s">
        <v>2782</v>
      </c>
      <c r="D1719" s="7">
        <v>1710</v>
      </c>
      <c r="E1719" s="11">
        <v>342</v>
      </c>
      <c r="F1719" s="11" t="s">
        <v>2047</v>
      </c>
      <c r="G1719" s="11">
        <v>999</v>
      </c>
      <c r="H1719" s="11" t="s">
        <v>1132</v>
      </c>
      <c r="I1719" s="105">
        <v>37046503.325240001</v>
      </c>
      <c r="J1719" s="126">
        <v>1</v>
      </c>
      <c r="K1719" s="127">
        <f>SUM(K1715:K1718)</f>
        <v>37928707.016355917</v>
      </c>
      <c r="L1719" s="126">
        <f>SUM(L1715:L1718)</f>
        <v>0.99999999999999989</v>
      </c>
      <c r="M1719" s="105">
        <f>VLOOKUP(E1719,town351,22)</f>
        <v>28261032</v>
      </c>
      <c r="N1719" s="105">
        <f>SUM(N1715:N1718)</f>
        <v>28261032</v>
      </c>
      <c r="O1719" s="128">
        <v>27442919</v>
      </c>
      <c r="P1719" s="105">
        <f>SUM(P1715:P1718)</f>
        <v>818113</v>
      </c>
      <c r="Q1719" s="45">
        <f t="shared" si="269"/>
        <v>2.9811442434385351</v>
      </c>
      <c r="R1719" s="105">
        <v>3667</v>
      </c>
      <c r="S1719" s="7">
        <f t="shared" si="262"/>
        <v>0</v>
      </c>
      <c r="T1719" s="124">
        <f t="shared" si="263"/>
        <v>342</v>
      </c>
      <c r="U1719" s="124">
        <f t="shared" si="264"/>
        <v>999</v>
      </c>
      <c r="V1719" s="124">
        <f t="shared" si="265"/>
        <v>1710</v>
      </c>
      <c r="W1719" s="124">
        <f t="shared" si="266"/>
        <v>3679.0000000007999</v>
      </c>
      <c r="X1719" s="124">
        <f t="shared" si="267"/>
        <v>37928707.016355917</v>
      </c>
      <c r="Y1719" s="264">
        <f t="shared" si="268"/>
        <v>1710</v>
      </c>
      <c r="Z1719" s="10">
        <v>342</v>
      </c>
      <c r="AA1719" s="7">
        <v>999</v>
      </c>
      <c r="AB1719" s="7">
        <v>1710</v>
      </c>
      <c r="AC1719" s="109">
        <v>3679.0000000007999</v>
      </c>
      <c r="AD1719" s="109">
        <v>37928707.016355917</v>
      </c>
      <c r="AE1719" s="125"/>
      <c r="AF1719" s="10"/>
      <c r="AI1719" s="109"/>
      <c r="AJ1719" s="109"/>
      <c r="AL1719" s="10"/>
      <c r="AO1719" s="109"/>
      <c r="AP1719" s="109"/>
      <c r="AR1719" s="10"/>
      <c r="AU1719" s="109"/>
      <c r="AV1719" s="109"/>
      <c r="AX1719" s="10"/>
      <c r="BA1719" s="109"/>
      <c r="BB1719" s="109"/>
      <c r="BD1719" s="10"/>
      <c r="BG1719" s="109"/>
      <c r="BH1719" s="109"/>
      <c r="BJ1719" s="10"/>
      <c r="BM1719" s="109"/>
      <c r="BN1719" s="109"/>
      <c r="BP1719" s="10"/>
      <c r="BS1719" s="109"/>
      <c r="BT1719" s="109"/>
      <c r="BV1719" s="10"/>
      <c r="BY1719" s="109"/>
      <c r="BZ1719" s="109"/>
      <c r="CB1719" s="10"/>
      <c r="CE1719" s="109"/>
      <c r="CF1719" s="109"/>
      <c r="CH1719" s="10"/>
      <c r="CK1719" s="109"/>
      <c r="CL1719" s="109"/>
    </row>
    <row r="1720" spans="1:90">
      <c r="A1720" s="7" t="str">
        <f t="shared" si="261"/>
        <v>03430343</v>
      </c>
      <c r="B1720" s="7" t="s">
        <v>2682</v>
      </c>
      <c r="C1720" s="7" t="s">
        <v>2682</v>
      </c>
      <c r="D1720" s="7">
        <v>1711</v>
      </c>
      <c r="E1720" s="7">
        <v>343</v>
      </c>
      <c r="F1720" s="7" t="s">
        <v>2048</v>
      </c>
      <c r="G1720" s="7">
        <v>343</v>
      </c>
      <c r="H1720" s="7" t="s">
        <v>1609</v>
      </c>
      <c r="I1720" s="37">
        <v>14883842.210000001</v>
      </c>
      <c r="J1720" s="122">
        <v>0.8623919770098416</v>
      </c>
      <c r="K1720" s="123">
        <f>X1720</f>
        <v>14578929.593496464</v>
      </c>
      <c r="L1720" s="122">
        <f>IF(K1724&gt;0, K1720/K1724, 0)</f>
        <v>0.84984153852465583</v>
      </c>
      <c r="M1720" s="71"/>
      <c r="N1720" s="10">
        <f>ROUND(M1724*L1720,0)</f>
        <v>4751326</v>
      </c>
      <c r="O1720" s="70">
        <v>4860783</v>
      </c>
      <c r="P1720" s="10">
        <f>N1720-O1720</f>
        <v>-109457</v>
      </c>
      <c r="Q1720" s="46">
        <f t="shared" si="269"/>
        <v>-2.2518388498313953</v>
      </c>
      <c r="R1720" s="10">
        <v>1429</v>
      </c>
      <c r="S1720" s="7">
        <f t="shared" si="262"/>
        <v>0</v>
      </c>
      <c r="T1720" s="124">
        <f t="shared" si="263"/>
        <v>343</v>
      </c>
      <c r="U1720" s="124">
        <f t="shared" si="264"/>
        <v>343</v>
      </c>
      <c r="V1720" s="124">
        <f t="shared" si="265"/>
        <v>1711</v>
      </c>
      <c r="W1720" s="124">
        <f t="shared" si="266"/>
        <v>1373</v>
      </c>
      <c r="X1720" s="124">
        <f t="shared" si="267"/>
        <v>14578929.593496464</v>
      </c>
      <c r="Y1720" s="264">
        <f t="shared" si="268"/>
        <v>1711</v>
      </c>
      <c r="Z1720" s="10">
        <v>343</v>
      </c>
      <c r="AA1720" s="7">
        <v>343</v>
      </c>
      <c r="AB1720" s="7">
        <v>1711</v>
      </c>
      <c r="AC1720" s="109">
        <v>1373</v>
      </c>
      <c r="AD1720" s="109">
        <v>14578929.593496464</v>
      </c>
      <c r="AE1720" s="125"/>
      <c r="AF1720" s="10"/>
      <c r="AI1720" s="109"/>
      <c r="AJ1720" s="109"/>
      <c r="AL1720" s="10"/>
      <c r="AO1720" s="109"/>
      <c r="AP1720" s="109"/>
      <c r="AR1720" s="10"/>
      <c r="AU1720" s="109"/>
      <c r="AV1720" s="109"/>
      <c r="AX1720" s="10"/>
      <c r="BA1720" s="109"/>
      <c r="BB1720" s="109"/>
      <c r="BD1720" s="10"/>
      <c r="BG1720" s="109"/>
      <c r="BH1720" s="109"/>
      <c r="BJ1720" s="10"/>
      <c r="BM1720" s="109"/>
      <c r="BN1720" s="109"/>
      <c r="BP1720" s="10"/>
      <c r="BS1720" s="109"/>
      <c r="BT1720" s="109"/>
      <c r="BV1720" s="10"/>
      <c r="BY1720" s="109"/>
      <c r="BZ1720" s="109"/>
      <c r="CB1720" s="10"/>
      <c r="CE1720" s="109"/>
      <c r="CF1720" s="109"/>
      <c r="CH1720" s="10"/>
      <c r="CK1720" s="109"/>
      <c r="CL1720" s="109"/>
    </row>
    <row r="1721" spans="1:90">
      <c r="A1721" s="7" t="str">
        <f t="shared" si="261"/>
        <v>03430832</v>
      </c>
      <c r="B1721" s="7" t="s">
        <v>2682</v>
      </c>
      <c r="C1721" s="7" t="s">
        <v>2765</v>
      </c>
      <c r="D1721" s="7">
        <v>1712</v>
      </c>
      <c r="E1721" s="7">
        <v>343</v>
      </c>
      <c r="F1721" s="7" t="s">
        <v>2048</v>
      </c>
      <c r="G1721" s="7">
        <v>832</v>
      </c>
      <c r="H1721" s="7" t="s">
        <v>1692</v>
      </c>
      <c r="I1721" s="37">
        <v>2374948</v>
      </c>
      <c r="J1721" s="122">
        <v>0.13760802299015834</v>
      </c>
      <c r="K1721" s="123">
        <f t="shared" si="270"/>
        <v>2575950.384253053</v>
      </c>
      <c r="L1721" s="122">
        <f>IF(K1724&gt;0, K1721/K1724, 0)</f>
        <v>0.15015846147534409</v>
      </c>
      <c r="M1721" s="71"/>
      <c r="N1721" s="10">
        <f>ROUND(M1724*L1721,0)</f>
        <v>839511</v>
      </c>
      <c r="O1721" s="70">
        <v>775613</v>
      </c>
      <c r="P1721" s="10">
        <f>N1721-O1721</f>
        <v>63898</v>
      </c>
      <c r="Q1721" s="46">
        <f t="shared" si="269"/>
        <v>8.2383869275012156</v>
      </c>
      <c r="R1721" s="10">
        <v>155</v>
      </c>
      <c r="S1721" s="7">
        <f t="shared" si="262"/>
        <v>0</v>
      </c>
      <c r="T1721" s="124">
        <f t="shared" si="263"/>
        <v>343</v>
      </c>
      <c r="U1721" s="124">
        <f t="shared" si="264"/>
        <v>832</v>
      </c>
      <c r="V1721" s="124">
        <f t="shared" si="265"/>
        <v>1712</v>
      </c>
      <c r="W1721" s="124">
        <f t="shared" si="266"/>
        <v>165.11036789808</v>
      </c>
      <c r="X1721" s="124">
        <f t="shared" si="267"/>
        <v>2575950.384253053</v>
      </c>
      <c r="Y1721" s="264">
        <f t="shared" si="268"/>
        <v>1712</v>
      </c>
      <c r="Z1721" s="10">
        <v>343</v>
      </c>
      <c r="AA1721" s="7">
        <v>832</v>
      </c>
      <c r="AB1721" s="7">
        <v>1712</v>
      </c>
      <c r="AC1721" s="109">
        <v>165.11036789808</v>
      </c>
      <c r="AD1721" s="109">
        <v>2575950.384253053</v>
      </c>
      <c r="AE1721" s="125"/>
      <c r="AF1721" s="10"/>
      <c r="AI1721" s="109"/>
      <c r="AJ1721" s="109"/>
      <c r="AL1721" s="10"/>
      <c r="AO1721" s="109"/>
      <c r="AP1721" s="109"/>
      <c r="AR1721" s="10"/>
      <c r="AU1721" s="109"/>
      <c r="AV1721" s="109"/>
      <c r="AX1721" s="10"/>
      <c r="BA1721" s="109"/>
      <c r="BB1721" s="109"/>
      <c r="BD1721" s="10"/>
      <c r="BG1721" s="109"/>
      <c r="BH1721" s="109"/>
      <c r="BJ1721" s="10"/>
      <c r="BM1721" s="109"/>
      <c r="BN1721" s="109"/>
      <c r="BP1721" s="10"/>
      <c r="BS1721" s="109"/>
      <c r="BT1721" s="109"/>
      <c r="BV1721" s="10"/>
      <c r="BY1721" s="109"/>
      <c r="BZ1721" s="109"/>
      <c r="CB1721" s="10"/>
      <c r="CE1721" s="109"/>
      <c r="CF1721" s="109"/>
      <c r="CH1721" s="10"/>
      <c r="CK1721" s="109"/>
      <c r="CL1721" s="109"/>
    </row>
    <row r="1722" spans="1:90">
      <c r="A1722" s="7" t="str">
        <f t="shared" si="261"/>
        <v>03430998</v>
      </c>
      <c r="B1722" s="7" t="s">
        <v>2682</v>
      </c>
      <c r="C1722" s="7" t="s">
        <v>2781</v>
      </c>
      <c r="D1722" s="7">
        <v>1713</v>
      </c>
      <c r="E1722" s="7">
        <v>343</v>
      </c>
      <c r="F1722" s="7" t="s">
        <v>2135</v>
      </c>
      <c r="G1722" s="7">
        <v>998</v>
      </c>
      <c r="H1722" s="7" t="s">
        <v>2135</v>
      </c>
      <c r="I1722" s="37">
        <v>0</v>
      </c>
      <c r="J1722" s="122">
        <v>0</v>
      </c>
      <c r="K1722" s="123">
        <f t="shared" si="270"/>
        <v>0</v>
      </c>
      <c r="L1722" s="122">
        <f>IF(K1724&gt;0, K1722/K1724, 0)</f>
        <v>0</v>
      </c>
      <c r="M1722" s="71"/>
      <c r="N1722" s="10">
        <f>ROUND(M1724*L1722,0)</f>
        <v>0</v>
      </c>
      <c r="O1722" s="70">
        <v>0</v>
      </c>
      <c r="P1722" s="10">
        <f>N1722-O1722</f>
        <v>0</v>
      </c>
      <c r="Q1722" s="46">
        <f t="shared" si="269"/>
        <v>0</v>
      </c>
      <c r="R1722" s="10">
        <v>0</v>
      </c>
      <c r="S1722" s="7">
        <f t="shared" si="262"/>
        <v>0</v>
      </c>
      <c r="T1722" s="124">
        <f t="shared" si="263"/>
        <v>343</v>
      </c>
      <c r="U1722" s="124">
        <f t="shared" si="264"/>
        <v>998</v>
      </c>
      <c r="V1722" s="124">
        <f t="shared" si="265"/>
        <v>1713</v>
      </c>
      <c r="W1722" s="124">
        <f t="shared" si="266"/>
        <v>0</v>
      </c>
      <c r="X1722" s="124">
        <f t="shared" si="267"/>
        <v>0</v>
      </c>
      <c r="Y1722" s="264">
        <f t="shared" si="268"/>
        <v>1713</v>
      </c>
      <c r="Z1722" s="10">
        <v>343</v>
      </c>
      <c r="AA1722" s="7">
        <v>998</v>
      </c>
      <c r="AB1722" s="7">
        <v>1713</v>
      </c>
      <c r="AC1722" s="109">
        <v>0</v>
      </c>
      <c r="AD1722" s="109">
        <v>0</v>
      </c>
      <c r="AE1722" s="125"/>
      <c r="AF1722" s="10"/>
      <c r="AI1722" s="109"/>
      <c r="AJ1722" s="109"/>
      <c r="AL1722" s="10"/>
      <c r="AO1722" s="109"/>
      <c r="AP1722" s="109"/>
      <c r="AR1722" s="10"/>
      <c r="AU1722" s="109"/>
      <c r="AV1722" s="109"/>
      <c r="AX1722" s="10"/>
      <c r="BA1722" s="109"/>
      <c r="BB1722" s="109"/>
      <c r="BD1722" s="10"/>
      <c r="BG1722" s="109"/>
      <c r="BH1722" s="109"/>
      <c r="BJ1722" s="10"/>
      <c r="BM1722" s="109"/>
      <c r="BN1722" s="109"/>
      <c r="BP1722" s="10"/>
      <c r="BS1722" s="109"/>
      <c r="BT1722" s="109"/>
      <c r="BV1722" s="10"/>
      <c r="BY1722" s="109"/>
      <c r="BZ1722" s="109"/>
      <c r="CB1722" s="10"/>
      <c r="CE1722" s="109"/>
      <c r="CF1722" s="109"/>
      <c r="CH1722" s="10"/>
      <c r="CK1722" s="109"/>
      <c r="CL1722" s="109"/>
    </row>
    <row r="1723" spans="1:90">
      <c r="A1723" s="7" t="str">
        <f t="shared" si="261"/>
        <v>03430998</v>
      </c>
      <c r="B1723" s="7" t="s">
        <v>2682</v>
      </c>
      <c r="C1723" s="7" t="s">
        <v>2781</v>
      </c>
      <c r="D1723" s="7">
        <v>1714</v>
      </c>
      <c r="E1723" s="7">
        <v>343</v>
      </c>
      <c r="F1723" s="7" t="s">
        <v>2135</v>
      </c>
      <c r="G1723" s="7">
        <v>998</v>
      </c>
      <c r="H1723" s="7" t="s">
        <v>2135</v>
      </c>
      <c r="I1723" s="37">
        <v>0</v>
      </c>
      <c r="J1723" s="122">
        <v>0</v>
      </c>
      <c r="K1723" s="123">
        <f t="shared" si="270"/>
        <v>0</v>
      </c>
      <c r="L1723" s="122">
        <f>IF(K1724&gt;0, K1723/K1724, 0)</f>
        <v>0</v>
      </c>
      <c r="M1723" s="71"/>
      <c r="N1723" s="10">
        <f>ROUND(M1724*L1723,0)</f>
        <v>0</v>
      </c>
      <c r="O1723" s="70">
        <v>0</v>
      </c>
      <c r="P1723" s="10">
        <f>N1723-O1723</f>
        <v>0</v>
      </c>
      <c r="Q1723" s="46">
        <f t="shared" si="269"/>
        <v>0</v>
      </c>
      <c r="R1723" s="10">
        <v>0</v>
      </c>
      <c r="S1723" s="7">
        <f t="shared" si="262"/>
        <v>0</v>
      </c>
      <c r="T1723" s="124">
        <f t="shared" si="263"/>
        <v>343</v>
      </c>
      <c r="U1723" s="124">
        <f t="shared" si="264"/>
        <v>998</v>
      </c>
      <c r="V1723" s="124">
        <f t="shared" si="265"/>
        <v>1714</v>
      </c>
      <c r="W1723" s="124">
        <f t="shared" si="266"/>
        <v>0</v>
      </c>
      <c r="X1723" s="124">
        <f t="shared" si="267"/>
        <v>0</v>
      </c>
      <c r="Y1723" s="264">
        <f t="shared" si="268"/>
        <v>1714</v>
      </c>
      <c r="Z1723" s="10">
        <v>343</v>
      </c>
      <c r="AA1723" s="7">
        <v>998</v>
      </c>
      <c r="AB1723" s="7">
        <v>1714</v>
      </c>
      <c r="AC1723" s="109">
        <v>0</v>
      </c>
      <c r="AD1723" s="109">
        <v>0</v>
      </c>
      <c r="AE1723" s="125"/>
      <c r="AF1723" s="10"/>
      <c r="AI1723" s="109"/>
      <c r="AJ1723" s="109"/>
      <c r="AL1723" s="10"/>
      <c r="AO1723" s="109"/>
      <c r="AP1723" s="109"/>
      <c r="AR1723" s="10"/>
      <c r="AU1723" s="109"/>
      <c r="AV1723" s="109"/>
      <c r="AX1723" s="10"/>
      <c r="BA1723" s="109"/>
      <c r="BB1723" s="109"/>
      <c r="BD1723" s="10"/>
      <c r="BG1723" s="109"/>
      <c r="BH1723" s="109"/>
      <c r="BJ1723" s="10"/>
      <c r="BM1723" s="109"/>
      <c r="BN1723" s="109"/>
      <c r="BP1723" s="10"/>
      <c r="BS1723" s="109"/>
      <c r="BT1723" s="109"/>
      <c r="BV1723" s="10"/>
      <c r="BY1723" s="109"/>
      <c r="BZ1723" s="109"/>
      <c r="CB1723" s="10"/>
      <c r="CE1723" s="109"/>
      <c r="CF1723" s="109"/>
      <c r="CH1723" s="10"/>
      <c r="CK1723" s="109"/>
      <c r="CL1723" s="109"/>
    </row>
    <row r="1724" spans="1:90">
      <c r="A1724" s="7" t="str">
        <f t="shared" si="261"/>
        <v>03430999</v>
      </c>
      <c r="B1724" s="7" t="s">
        <v>2682</v>
      </c>
      <c r="C1724" s="7" t="s">
        <v>2782</v>
      </c>
      <c r="D1724" s="7">
        <v>1715</v>
      </c>
      <c r="E1724" s="11">
        <v>343</v>
      </c>
      <c r="F1724" s="11" t="s">
        <v>2048</v>
      </c>
      <c r="G1724" s="11">
        <v>999</v>
      </c>
      <c r="H1724" s="11" t="s">
        <v>1132</v>
      </c>
      <c r="I1724" s="105">
        <v>17258790.210000001</v>
      </c>
      <c r="J1724" s="126">
        <v>1</v>
      </c>
      <c r="K1724" s="127">
        <f>SUM(K1720:K1723)</f>
        <v>17154879.977749519</v>
      </c>
      <c r="L1724" s="126">
        <f>SUM(L1720:L1723)</f>
        <v>0.99999999999999989</v>
      </c>
      <c r="M1724" s="105">
        <f>VLOOKUP(E1724,town351,22)</f>
        <v>5590837</v>
      </c>
      <c r="N1724" s="105">
        <f>SUM(N1720:N1723)</f>
        <v>5590837</v>
      </c>
      <c r="O1724" s="128">
        <v>5636396</v>
      </c>
      <c r="P1724" s="105">
        <f>SUM(P1720:P1723)</f>
        <v>-45559</v>
      </c>
      <c r="Q1724" s="45">
        <f t="shared" si="269"/>
        <v>-0.80830019750209181</v>
      </c>
      <c r="R1724" s="105">
        <v>1584</v>
      </c>
      <c r="S1724" s="7">
        <f t="shared" si="262"/>
        <v>0</v>
      </c>
      <c r="T1724" s="124">
        <f t="shared" si="263"/>
        <v>343</v>
      </c>
      <c r="U1724" s="124">
        <f t="shared" si="264"/>
        <v>999</v>
      </c>
      <c r="V1724" s="124">
        <f t="shared" si="265"/>
        <v>1715</v>
      </c>
      <c r="W1724" s="124">
        <f t="shared" si="266"/>
        <v>1538.1103678980801</v>
      </c>
      <c r="X1724" s="124">
        <f t="shared" si="267"/>
        <v>17154879.977749519</v>
      </c>
      <c r="Y1724" s="264">
        <f t="shared" si="268"/>
        <v>1715</v>
      </c>
      <c r="Z1724" s="10">
        <v>343</v>
      </c>
      <c r="AA1724" s="7">
        <v>999</v>
      </c>
      <c r="AB1724" s="7">
        <v>1715</v>
      </c>
      <c r="AC1724" s="109">
        <v>1538.1103678980801</v>
      </c>
      <c r="AD1724" s="109">
        <v>17154879.977749519</v>
      </c>
      <c r="AE1724" s="125"/>
      <c r="AF1724" s="10"/>
      <c r="AI1724" s="109"/>
      <c r="AJ1724" s="109"/>
      <c r="AL1724" s="10"/>
      <c r="AO1724" s="109"/>
      <c r="AP1724" s="109"/>
      <c r="AR1724" s="10"/>
      <c r="AU1724" s="109"/>
      <c r="AV1724" s="109"/>
      <c r="AX1724" s="10"/>
      <c r="BA1724" s="109"/>
      <c r="BB1724" s="109"/>
      <c r="BD1724" s="10"/>
      <c r="BG1724" s="109"/>
      <c r="BH1724" s="109"/>
      <c r="BJ1724" s="10"/>
      <c r="BM1724" s="109"/>
      <c r="BN1724" s="109"/>
      <c r="BP1724" s="10"/>
      <c r="BS1724" s="109"/>
      <c r="BT1724" s="109"/>
      <c r="BV1724" s="10"/>
      <c r="BY1724" s="109"/>
      <c r="BZ1724" s="109"/>
      <c r="CB1724" s="10"/>
      <c r="CE1724" s="109"/>
      <c r="CF1724" s="109"/>
      <c r="CH1724" s="10"/>
      <c r="CK1724" s="109"/>
      <c r="CL1724" s="109"/>
    </row>
    <row r="1725" spans="1:90">
      <c r="A1725" s="7" t="str">
        <f t="shared" si="261"/>
        <v>03440344</v>
      </c>
      <c r="B1725" s="7" t="s">
        <v>2683</v>
      </c>
      <c r="C1725" s="7" t="s">
        <v>2683</v>
      </c>
      <c r="D1725" s="7">
        <v>1716</v>
      </c>
      <c r="E1725" s="7">
        <v>344</v>
      </c>
      <c r="F1725" s="7" t="s">
        <v>2049</v>
      </c>
      <c r="G1725" s="7">
        <v>344</v>
      </c>
      <c r="H1725" s="7" t="s">
        <v>1610</v>
      </c>
      <c r="I1725" s="37">
        <v>41694755.431160003</v>
      </c>
      <c r="J1725" s="122">
        <v>0.99484486239654701</v>
      </c>
      <c r="K1725" s="123">
        <f>X1725</f>
        <v>43175541.000589445</v>
      </c>
      <c r="L1725" s="122">
        <f>IF(K1729&gt;0, K1725/K1729, 0)</f>
        <v>0.99608937047458579</v>
      </c>
      <c r="M1725" s="71"/>
      <c r="N1725" s="10">
        <f>ROUND(M1729*L1725,0)</f>
        <v>35662566</v>
      </c>
      <c r="O1725" s="70">
        <v>34474073</v>
      </c>
      <c r="P1725" s="10">
        <f>N1725-O1725</f>
        <v>1188493</v>
      </c>
      <c r="Q1725" s="46">
        <f t="shared" si="269"/>
        <v>3.4474980661553976</v>
      </c>
      <c r="R1725" s="10">
        <v>4433</v>
      </c>
      <c r="S1725" s="7">
        <f t="shared" si="262"/>
        <v>0</v>
      </c>
      <c r="T1725" s="124">
        <f t="shared" si="263"/>
        <v>344</v>
      </c>
      <c r="U1725" s="124">
        <f t="shared" si="264"/>
        <v>344</v>
      </c>
      <c r="V1725" s="124">
        <f t="shared" si="265"/>
        <v>1716</v>
      </c>
      <c r="W1725" s="124">
        <f t="shared" si="266"/>
        <v>4484</v>
      </c>
      <c r="X1725" s="124">
        <f t="shared" si="267"/>
        <v>43175541.000589445</v>
      </c>
      <c r="Y1725" s="264">
        <f t="shared" si="268"/>
        <v>1716</v>
      </c>
      <c r="Z1725" s="10">
        <v>344</v>
      </c>
      <c r="AA1725" s="7">
        <v>344</v>
      </c>
      <c r="AB1725" s="7">
        <v>1716</v>
      </c>
      <c r="AC1725" s="109">
        <v>4484</v>
      </c>
      <c r="AD1725" s="109">
        <v>43175541.000589445</v>
      </c>
      <c r="AE1725" s="125"/>
      <c r="AF1725" s="10"/>
      <c r="AI1725" s="109"/>
      <c r="AJ1725" s="109"/>
      <c r="AL1725" s="10"/>
      <c r="AO1725" s="109"/>
      <c r="AP1725" s="109"/>
      <c r="AR1725" s="10"/>
      <c r="AU1725" s="109"/>
      <c r="AV1725" s="109"/>
      <c r="AX1725" s="10"/>
      <c r="BA1725" s="109"/>
      <c r="BB1725" s="109"/>
      <c r="BD1725" s="10"/>
      <c r="BG1725" s="109"/>
      <c r="BH1725" s="109"/>
      <c r="BJ1725" s="10"/>
      <c r="BM1725" s="109"/>
      <c r="BN1725" s="109"/>
      <c r="BP1725" s="10"/>
      <c r="BS1725" s="109"/>
      <c r="BT1725" s="109"/>
      <c r="BV1725" s="10"/>
      <c r="BY1725" s="109"/>
      <c r="BZ1725" s="109"/>
      <c r="CB1725" s="10"/>
      <c r="CE1725" s="109"/>
      <c r="CF1725" s="109"/>
      <c r="CH1725" s="10"/>
      <c r="CK1725" s="109"/>
      <c r="CL1725" s="109"/>
    </row>
    <row r="1726" spans="1:90">
      <c r="A1726" s="7" t="str">
        <f t="shared" si="261"/>
        <v>03440853</v>
      </c>
      <c r="B1726" s="7" t="s">
        <v>2683</v>
      </c>
      <c r="C1726" s="7" t="s">
        <v>2768</v>
      </c>
      <c r="D1726" s="7">
        <v>1717</v>
      </c>
      <c r="E1726" s="7">
        <v>344</v>
      </c>
      <c r="F1726" s="7" t="s">
        <v>2049</v>
      </c>
      <c r="G1726" s="7">
        <v>853</v>
      </c>
      <c r="H1726" s="7" t="s">
        <v>1695</v>
      </c>
      <c r="I1726" s="37">
        <v>216056</v>
      </c>
      <c r="J1726" s="122">
        <v>5.1551376034529818E-3</v>
      </c>
      <c r="K1726" s="123">
        <f t="shared" si="270"/>
        <v>169506.42223216279</v>
      </c>
      <c r="L1726" s="122">
        <f>IF(K1729&gt;0, K1726/K1729, 0)</f>
        <v>3.910629525414152E-3</v>
      </c>
      <c r="M1726" s="71"/>
      <c r="N1726" s="10">
        <f>ROUND(M1729*L1726,0)</f>
        <v>140011</v>
      </c>
      <c r="O1726" s="70">
        <v>178639</v>
      </c>
      <c r="P1726" s="10">
        <f>N1726-O1726</f>
        <v>-38628</v>
      </c>
      <c r="Q1726" s="46">
        <f t="shared" si="269"/>
        <v>-21.623497668482248</v>
      </c>
      <c r="R1726" s="10">
        <v>13</v>
      </c>
      <c r="S1726" s="7">
        <f t="shared" si="262"/>
        <v>0</v>
      </c>
      <c r="T1726" s="124">
        <f t="shared" si="263"/>
        <v>344</v>
      </c>
      <c r="U1726" s="124">
        <f t="shared" si="264"/>
        <v>853</v>
      </c>
      <c r="V1726" s="124">
        <f t="shared" si="265"/>
        <v>1717</v>
      </c>
      <c r="W1726" s="124">
        <f t="shared" si="266"/>
        <v>9.99999999978</v>
      </c>
      <c r="X1726" s="124">
        <f t="shared" si="267"/>
        <v>169506.42223216279</v>
      </c>
      <c r="Y1726" s="264">
        <f t="shared" si="268"/>
        <v>1717</v>
      </c>
      <c r="Z1726" s="10">
        <v>344</v>
      </c>
      <c r="AA1726" s="7">
        <v>853</v>
      </c>
      <c r="AB1726" s="7">
        <v>1717</v>
      </c>
      <c r="AC1726" s="109">
        <v>9.99999999978</v>
      </c>
      <c r="AD1726" s="109">
        <v>169506.42223216279</v>
      </c>
      <c r="AE1726" s="125"/>
      <c r="AF1726" s="10"/>
      <c r="AI1726" s="109"/>
      <c r="AJ1726" s="109"/>
      <c r="AL1726" s="10"/>
      <c r="AO1726" s="109"/>
      <c r="AP1726" s="109"/>
      <c r="AR1726" s="10"/>
      <c r="AU1726" s="109"/>
      <c r="AV1726" s="109"/>
      <c r="AX1726" s="10"/>
      <c r="BA1726" s="109"/>
      <c r="BB1726" s="109"/>
      <c r="BD1726" s="10"/>
      <c r="BG1726" s="109"/>
      <c r="BH1726" s="109"/>
      <c r="BJ1726" s="10"/>
      <c r="BM1726" s="109"/>
      <c r="BN1726" s="109"/>
      <c r="BP1726" s="10"/>
      <c r="BS1726" s="109"/>
      <c r="BT1726" s="109"/>
      <c r="BV1726" s="10"/>
      <c r="BY1726" s="109"/>
      <c r="BZ1726" s="109"/>
      <c r="CB1726" s="10"/>
      <c r="CE1726" s="109"/>
      <c r="CF1726" s="109"/>
      <c r="CH1726" s="10"/>
      <c r="CK1726" s="109"/>
      <c r="CL1726" s="109"/>
    </row>
    <row r="1727" spans="1:90">
      <c r="A1727" s="7" t="str">
        <f t="shared" si="261"/>
        <v>03440998</v>
      </c>
      <c r="B1727" s="7" t="s">
        <v>2683</v>
      </c>
      <c r="C1727" s="7" t="s">
        <v>2781</v>
      </c>
      <c r="D1727" s="7">
        <v>1718</v>
      </c>
      <c r="E1727" s="7">
        <v>344</v>
      </c>
      <c r="F1727" s="7" t="s">
        <v>2135</v>
      </c>
      <c r="G1727" s="7">
        <v>998</v>
      </c>
      <c r="H1727" s="7" t="s">
        <v>2135</v>
      </c>
      <c r="I1727" s="37">
        <v>0</v>
      </c>
      <c r="J1727" s="122">
        <v>0</v>
      </c>
      <c r="K1727" s="123">
        <f t="shared" si="270"/>
        <v>0</v>
      </c>
      <c r="L1727" s="122">
        <f>IF(K1729&gt;0, K1727/K1729, 0)</f>
        <v>0</v>
      </c>
      <c r="M1727" s="71"/>
      <c r="N1727" s="10">
        <f>ROUND(M1729*L1727,0)</f>
        <v>0</v>
      </c>
      <c r="O1727" s="70">
        <v>0</v>
      </c>
      <c r="P1727" s="10">
        <f>N1727-O1727</f>
        <v>0</v>
      </c>
      <c r="Q1727" s="46">
        <f t="shared" si="269"/>
        <v>0</v>
      </c>
      <c r="R1727" s="10">
        <v>0</v>
      </c>
      <c r="S1727" s="7">
        <f t="shared" si="262"/>
        <v>0</v>
      </c>
      <c r="T1727" s="124">
        <f t="shared" si="263"/>
        <v>344</v>
      </c>
      <c r="U1727" s="124">
        <f t="shared" si="264"/>
        <v>998</v>
      </c>
      <c r="V1727" s="124">
        <f t="shared" si="265"/>
        <v>1718</v>
      </c>
      <c r="W1727" s="124">
        <f t="shared" si="266"/>
        <v>0</v>
      </c>
      <c r="X1727" s="124">
        <f t="shared" si="267"/>
        <v>0</v>
      </c>
      <c r="Y1727" s="264">
        <f t="shared" si="268"/>
        <v>1718</v>
      </c>
      <c r="Z1727" s="10">
        <v>344</v>
      </c>
      <c r="AA1727" s="7">
        <v>998</v>
      </c>
      <c r="AB1727" s="7">
        <v>1718</v>
      </c>
      <c r="AC1727" s="109">
        <v>0</v>
      </c>
      <c r="AD1727" s="109">
        <v>0</v>
      </c>
      <c r="AE1727" s="125"/>
      <c r="AF1727" s="10"/>
      <c r="AI1727" s="109"/>
      <c r="AJ1727" s="109"/>
      <c r="AL1727" s="10"/>
      <c r="AO1727" s="109"/>
      <c r="AP1727" s="109"/>
      <c r="AR1727" s="10"/>
      <c r="AU1727" s="109"/>
      <c r="AV1727" s="109"/>
      <c r="AX1727" s="10"/>
      <c r="BA1727" s="109"/>
      <c r="BB1727" s="109"/>
      <c r="BD1727" s="10"/>
      <c r="BG1727" s="109"/>
      <c r="BH1727" s="109"/>
      <c r="BJ1727" s="10"/>
      <c r="BM1727" s="109"/>
      <c r="BN1727" s="109"/>
      <c r="BP1727" s="10"/>
      <c r="BS1727" s="109"/>
      <c r="BT1727" s="109"/>
      <c r="BV1727" s="10"/>
      <c r="BY1727" s="109"/>
      <c r="BZ1727" s="109"/>
      <c r="CB1727" s="10"/>
      <c r="CE1727" s="109"/>
      <c r="CF1727" s="109"/>
      <c r="CH1727" s="10"/>
      <c r="CK1727" s="109"/>
      <c r="CL1727" s="109"/>
    </row>
    <row r="1728" spans="1:90">
      <c r="A1728" s="7" t="str">
        <f t="shared" si="261"/>
        <v>03440998</v>
      </c>
      <c r="B1728" s="7" t="s">
        <v>2683</v>
      </c>
      <c r="C1728" s="7" t="s">
        <v>2781</v>
      </c>
      <c r="D1728" s="7">
        <v>1719</v>
      </c>
      <c r="E1728" s="7">
        <v>344</v>
      </c>
      <c r="F1728" s="7" t="s">
        <v>2135</v>
      </c>
      <c r="G1728" s="7">
        <v>998</v>
      </c>
      <c r="H1728" s="7" t="s">
        <v>2135</v>
      </c>
      <c r="I1728" s="37">
        <v>0</v>
      </c>
      <c r="J1728" s="122">
        <v>0</v>
      </c>
      <c r="K1728" s="123">
        <f t="shared" si="270"/>
        <v>0</v>
      </c>
      <c r="L1728" s="122">
        <f>IF(K1729&gt;0, K1728/K1729, 0)</f>
        <v>0</v>
      </c>
      <c r="M1728" s="71"/>
      <c r="N1728" s="10">
        <f>ROUND(M1729*L1728,0)</f>
        <v>0</v>
      </c>
      <c r="O1728" s="70">
        <v>0</v>
      </c>
      <c r="P1728" s="10">
        <f>N1728-O1728</f>
        <v>0</v>
      </c>
      <c r="Q1728" s="46">
        <f t="shared" si="269"/>
        <v>0</v>
      </c>
      <c r="R1728" s="10">
        <v>0</v>
      </c>
      <c r="S1728" s="7">
        <f t="shared" si="262"/>
        <v>0</v>
      </c>
      <c r="T1728" s="124">
        <f t="shared" si="263"/>
        <v>344</v>
      </c>
      <c r="U1728" s="124">
        <f t="shared" si="264"/>
        <v>998</v>
      </c>
      <c r="V1728" s="124">
        <f t="shared" si="265"/>
        <v>1719</v>
      </c>
      <c r="W1728" s="124">
        <f t="shared" si="266"/>
        <v>0</v>
      </c>
      <c r="X1728" s="124">
        <f t="shared" si="267"/>
        <v>0</v>
      </c>
      <c r="Y1728" s="264">
        <f t="shared" si="268"/>
        <v>1719</v>
      </c>
      <c r="Z1728" s="10">
        <v>344</v>
      </c>
      <c r="AA1728" s="7">
        <v>998</v>
      </c>
      <c r="AB1728" s="7">
        <v>1719</v>
      </c>
      <c r="AC1728" s="109">
        <v>0</v>
      </c>
      <c r="AD1728" s="109">
        <v>0</v>
      </c>
      <c r="AE1728" s="125"/>
      <c r="AF1728" s="10"/>
      <c r="AI1728" s="109"/>
      <c r="AJ1728" s="109"/>
      <c r="AL1728" s="10"/>
      <c r="AO1728" s="109"/>
      <c r="AP1728" s="109"/>
      <c r="AR1728" s="10"/>
      <c r="AU1728" s="109"/>
      <c r="AV1728" s="109"/>
      <c r="AX1728" s="10"/>
      <c r="BA1728" s="109"/>
      <c r="BB1728" s="109"/>
      <c r="BD1728" s="10"/>
      <c r="BG1728" s="109"/>
      <c r="BH1728" s="109"/>
      <c r="BJ1728" s="10"/>
      <c r="BM1728" s="109"/>
      <c r="BN1728" s="109"/>
      <c r="BP1728" s="10"/>
      <c r="BS1728" s="109"/>
      <c r="BT1728" s="109"/>
      <c r="BV1728" s="10"/>
      <c r="BY1728" s="109"/>
      <c r="BZ1728" s="109"/>
      <c r="CB1728" s="10"/>
      <c r="CE1728" s="109"/>
      <c r="CF1728" s="109"/>
      <c r="CH1728" s="10"/>
      <c r="CK1728" s="109"/>
      <c r="CL1728" s="109"/>
    </row>
    <row r="1729" spans="1:90">
      <c r="A1729" s="7" t="str">
        <f t="shared" si="261"/>
        <v>03440999</v>
      </c>
      <c r="B1729" s="7" t="s">
        <v>2683</v>
      </c>
      <c r="C1729" s="7" t="s">
        <v>2782</v>
      </c>
      <c r="D1729" s="7">
        <v>1720</v>
      </c>
      <c r="E1729" s="11">
        <v>344</v>
      </c>
      <c r="F1729" s="11" t="s">
        <v>2049</v>
      </c>
      <c r="G1729" s="11">
        <v>999</v>
      </c>
      <c r="H1729" s="11" t="s">
        <v>1132</v>
      </c>
      <c r="I1729" s="105">
        <v>41910811.431160003</v>
      </c>
      <c r="J1729" s="126">
        <v>1</v>
      </c>
      <c r="K1729" s="127">
        <f>SUM(K1725:K1728)</f>
        <v>43345047.422821611</v>
      </c>
      <c r="L1729" s="126">
        <f>SUM(L1725:L1728)</f>
        <v>0.99999999999999989</v>
      </c>
      <c r="M1729" s="105">
        <f>VLOOKUP(E1729,town351,22)</f>
        <v>35802577</v>
      </c>
      <c r="N1729" s="105">
        <f>SUM(N1725:N1728)</f>
        <v>35802577</v>
      </c>
      <c r="O1729" s="128">
        <v>34652712</v>
      </c>
      <c r="P1729" s="105">
        <f>SUM(P1725:P1728)</f>
        <v>1149865</v>
      </c>
      <c r="Q1729" s="45">
        <f t="shared" si="269"/>
        <v>3.3182539940885434</v>
      </c>
      <c r="R1729" s="105">
        <v>4446</v>
      </c>
      <c r="S1729" s="7">
        <f t="shared" si="262"/>
        <v>0</v>
      </c>
      <c r="T1729" s="124">
        <f t="shared" si="263"/>
        <v>344</v>
      </c>
      <c r="U1729" s="124">
        <f t="shared" si="264"/>
        <v>999</v>
      </c>
      <c r="V1729" s="124">
        <f t="shared" si="265"/>
        <v>1720</v>
      </c>
      <c r="W1729" s="124">
        <f t="shared" si="266"/>
        <v>4493.9999999997799</v>
      </c>
      <c r="X1729" s="124">
        <f t="shared" si="267"/>
        <v>43345047.422821611</v>
      </c>
      <c r="Y1729" s="264">
        <f t="shared" si="268"/>
        <v>1720</v>
      </c>
      <c r="Z1729" s="10">
        <v>344</v>
      </c>
      <c r="AA1729" s="7">
        <v>999</v>
      </c>
      <c r="AB1729" s="7">
        <v>1720</v>
      </c>
      <c r="AC1729" s="109">
        <v>4493.9999999997799</v>
      </c>
      <c r="AD1729" s="109">
        <v>43345047.422821611</v>
      </c>
      <c r="AE1729" s="125"/>
      <c r="AF1729" s="10"/>
      <c r="AI1729" s="109"/>
      <c r="AJ1729" s="109"/>
      <c r="AL1729" s="10"/>
      <c r="AO1729" s="109"/>
      <c r="AP1729" s="109"/>
      <c r="AR1729" s="10"/>
      <c r="AU1729" s="109"/>
      <c r="AV1729" s="109"/>
      <c r="AX1729" s="10"/>
      <c r="BA1729" s="109"/>
      <c r="BB1729" s="109"/>
      <c r="BD1729" s="10"/>
      <c r="BG1729" s="109"/>
      <c r="BH1729" s="109"/>
      <c r="BJ1729" s="10"/>
      <c r="BM1729" s="109"/>
      <c r="BN1729" s="109"/>
      <c r="BP1729" s="10"/>
      <c r="BS1729" s="109"/>
      <c r="BT1729" s="109"/>
      <c r="BV1729" s="10"/>
      <c r="BY1729" s="109"/>
      <c r="BZ1729" s="109"/>
      <c r="CB1729" s="10"/>
      <c r="CE1729" s="109"/>
      <c r="CF1729" s="109"/>
      <c r="CH1729" s="10"/>
      <c r="CK1729" s="109"/>
      <c r="CL1729" s="109"/>
    </row>
    <row r="1730" spans="1:90">
      <c r="A1730" s="7" t="str">
        <f t="shared" si="261"/>
        <v>03450345</v>
      </c>
      <c r="B1730" s="7" t="s">
        <v>2684</v>
      </c>
      <c r="C1730" s="7" t="s">
        <v>2684</v>
      </c>
      <c r="D1730" s="7">
        <v>1721</v>
      </c>
      <c r="E1730" s="7">
        <v>345</v>
      </c>
      <c r="F1730" s="7" t="s">
        <v>2050</v>
      </c>
      <c r="G1730" s="7">
        <v>345</v>
      </c>
      <c r="H1730" s="7" t="s">
        <v>1611</v>
      </c>
      <c r="I1730" s="37">
        <v>26341.840000000004</v>
      </c>
      <c r="J1730" s="122">
        <v>3.1033706990451528E-2</v>
      </c>
      <c r="K1730" s="123">
        <f>X1730</f>
        <v>26833.666687179095</v>
      </c>
      <c r="L1730" s="122">
        <f>IF(K1734&gt;0, K1730/K1734, 0)</f>
        <v>3.1155310515558431E-2</v>
      </c>
      <c r="M1730" s="71"/>
      <c r="N1730" s="10">
        <f>ROUND(M1734*L1730,0)</f>
        <v>22290</v>
      </c>
      <c r="O1730" s="70">
        <v>22244</v>
      </c>
      <c r="P1730" s="10">
        <f>N1730-O1730</f>
        <v>46</v>
      </c>
      <c r="Q1730" s="46">
        <f t="shared" si="269"/>
        <v>0.20679733860816399</v>
      </c>
      <c r="R1730" s="10">
        <v>2</v>
      </c>
      <c r="S1730" s="7">
        <f t="shared" si="262"/>
        <v>0</v>
      </c>
      <c r="T1730" s="124">
        <f t="shared" si="263"/>
        <v>345</v>
      </c>
      <c r="U1730" s="124">
        <f t="shared" si="264"/>
        <v>345</v>
      </c>
      <c r="V1730" s="124">
        <f t="shared" si="265"/>
        <v>1721</v>
      </c>
      <c r="W1730" s="124">
        <f t="shared" si="266"/>
        <v>2</v>
      </c>
      <c r="X1730" s="124">
        <f t="shared" si="267"/>
        <v>26833.666687179095</v>
      </c>
      <c r="Y1730" s="264">
        <f t="shared" si="268"/>
        <v>1721</v>
      </c>
      <c r="Z1730" s="10">
        <v>345</v>
      </c>
      <c r="AA1730" s="7">
        <v>345</v>
      </c>
      <c r="AB1730" s="7">
        <v>1721</v>
      </c>
      <c r="AC1730" s="109">
        <v>2</v>
      </c>
      <c r="AD1730" s="109">
        <v>26833.666687179095</v>
      </c>
      <c r="AE1730" s="125"/>
      <c r="AF1730" s="10"/>
      <c r="AI1730" s="109"/>
      <c r="AJ1730" s="109"/>
      <c r="AL1730" s="10"/>
      <c r="AO1730" s="109"/>
      <c r="AP1730" s="109"/>
      <c r="AR1730" s="10"/>
      <c r="AU1730" s="109"/>
      <c r="AV1730" s="109"/>
      <c r="AX1730" s="10"/>
      <c r="BA1730" s="109"/>
      <c r="BB1730" s="109"/>
      <c r="BD1730" s="10"/>
      <c r="BG1730" s="109"/>
      <c r="BH1730" s="109"/>
      <c r="BJ1730" s="10"/>
      <c r="BM1730" s="109"/>
      <c r="BN1730" s="109"/>
      <c r="BP1730" s="10"/>
      <c r="BS1730" s="109"/>
      <c r="BT1730" s="109"/>
      <c r="BV1730" s="10"/>
      <c r="BY1730" s="109"/>
      <c r="BZ1730" s="109"/>
      <c r="CB1730" s="10"/>
      <c r="CE1730" s="109"/>
      <c r="CF1730" s="109"/>
      <c r="CH1730" s="10"/>
      <c r="CK1730" s="109"/>
      <c r="CL1730" s="109"/>
    </row>
    <row r="1731" spans="1:90">
      <c r="A1731" s="7" t="str">
        <f t="shared" si="261"/>
        <v>03450635</v>
      </c>
      <c r="B1731" s="7" t="s">
        <v>2684</v>
      </c>
      <c r="C1731" s="7" t="s">
        <v>2705</v>
      </c>
      <c r="D1731" s="7">
        <v>1722</v>
      </c>
      <c r="E1731" s="7">
        <v>345</v>
      </c>
      <c r="F1731" s="7" t="s">
        <v>2050</v>
      </c>
      <c r="G1731" s="7">
        <v>635</v>
      </c>
      <c r="H1731" s="7" t="s">
        <v>1632</v>
      </c>
      <c r="I1731" s="37">
        <v>822472</v>
      </c>
      <c r="J1731" s="122">
        <v>0.96896629300954851</v>
      </c>
      <c r="K1731" s="123">
        <f t="shared" si="270"/>
        <v>834453.42187445855</v>
      </c>
      <c r="L1731" s="122">
        <f>IF(K1734&gt;0, K1731/K1734, 0)</f>
        <v>0.96884468948444158</v>
      </c>
      <c r="M1731" s="71"/>
      <c r="N1731" s="10">
        <f>ROUND(M1734*L1731,0)</f>
        <v>693168</v>
      </c>
      <c r="O1731" s="70">
        <v>694511</v>
      </c>
      <c r="P1731" s="10">
        <f>N1731-O1731</f>
        <v>-1343</v>
      </c>
      <c r="Q1731" s="46">
        <f t="shared" si="269"/>
        <v>-0.19337346708691439</v>
      </c>
      <c r="R1731" s="10">
        <v>81</v>
      </c>
      <c r="S1731" s="7">
        <f t="shared" si="262"/>
        <v>0</v>
      </c>
      <c r="T1731" s="124">
        <f t="shared" si="263"/>
        <v>345</v>
      </c>
      <c r="U1731" s="124">
        <f t="shared" si="264"/>
        <v>635</v>
      </c>
      <c r="V1731" s="124">
        <f t="shared" si="265"/>
        <v>1722</v>
      </c>
      <c r="W1731" s="124">
        <f t="shared" si="266"/>
        <v>80.756067955649996</v>
      </c>
      <c r="X1731" s="124">
        <f t="shared" si="267"/>
        <v>834453.42187445855</v>
      </c>
      <c r="Y1731" s="264">
        <f t="shared" si="268"/>
        <v>1722</v>
      </c>
      <c r="Z1731" s="10">
        <v>345</v>
      </c>
      <c r="AA1731" s="7">
        <v>635</v>
      </c>
      <c r="AB1731" s="7">
        <v>1722</v>
      </c>
      <c r="AC1731" s="109">
        <v>80.756067955649996</v>
      </c>
      <c r="AD1731" s="109">
        <v>834453.42187445855</v>
      </c>
      <c r="AE1731" s="125"/>
      <c r="AF1731" s="10"/>
      <c r="AI1731" s="109"/>
      <c r="AJ1731" s="109"/>
      <c r="AL1731" s="10"/>
      <c r="AO1731" s="109"/>
      <c r="AP1731" s="109"/>
      <c r="AR1731" s="10"/>
      <c r="AU1731" s="109"/>
      <c r="AV1731" s="109"/>
      <c r="AX1731" s="10"/>
      <c r="BA1731" s="109"/>
      <c r="BB1731" s="109"/>
      <c r="BD1731" s="10"/>
      <c r="BG1731" s="109"/>
      <c r="BH1731" s="109"/>
      <c r="BJ1731" s="10"/>
      <c r="BM1731" s="109"/>
      <c r="BN1731" s="109"/>
      <c r="BP1731" s="10"/>
      <c r="BS1731" s="109"/>
      <c r="BT1731" s="109"/>
      <c r="BV1731" s="10"/>
      <c r="BY1731" s="109"/>
      <c r="BZ1731" s="109"/>
      <c r="CB1731" s="10"/>
      <c r="CE1731" s="109"/>
      <c r="CF1731" s="109"/>
      <c r="CH1731" s="10"/>
      <c r="CK1731" s="109"/>
      <c r="CL1731" s="109"/>
    </row>
    <row r="1732" spans="1:90">
      <c r="A1732" s="7" t="str">
        <f t="shared" si="261"/>
        <v>03450998</v>
      </c>
      <c r="B1732" s="7" t="s">
        <v>2684</v>
      </c>
      <c r="C1732" s="7" t="s">
        <v>2781</v>
      </c>
      <c r="D1732" s="7">
        <v>1723</v>
      </c>
      <c r="E1732" s="7">
        <v>345</v>
      </c>
      <c r="F1732" s="7" t="s">
        <v>2135</v>
      </c>
      <c r="G1732" s="7">
        <v>998</v>
      </c>
      <c r="H1732" s="7" t="s">
        <v>2135</v>
      </c>
      <c r="I1732" s="37">
        <v>0</v>
      </c>
      <c r="J1732" s="122">
        <v>0</v>
      </c>
      <c r="K1732" s="123">
        <f t="shared" si="270"/>
        <v>0</v>
      </c>
      <c r="L1732" s="122">
        <f>IF(K1734&gt;0, K1732/K1734, 0)</f>
        <v>0</v>
      </c>
      <c r="M1732" s="71"/>
      <c r="N1732" s="10">
        <f>ROUND(M1734*L1732,0)</f>
        <v>0</v>
      </c>
      <c r="O1732" s="70">
        <v>0</v>
      </c>
      <c r="P1732" s="10">
        <f>N1732-O1732</f>
        <v>0</v>
      </c>
      <c r="Q1732" s="46">
        <f t="shared" si="269"/>
        <v>0</v>
      </c>
      <c r="R1732" s="10">
        <v>0</v>
      </c>
      <c r="S1732" s="7">
        <f t="shared" si="262"/>
        <v>0</v>
      </c>
      <c r="T1732" s="124">
        <f t="shared" si="263"/>
        <v>345</v>
      </c>
      <c r="U1732" s="124">
        <f t="shared" si="264"/>
        <v>998</v>
      </c>
      <c r="V1732" s="124">
        <f t="shared" si="265"/>
        <v>1723</v>
      </c>
      <c r="W1732" s="124">
        <f t="shared" si="266"/>
        <v>0</v>
      </c>
      <c r="X1732" s="124">
        <f t="shared" si="267"/>
        <v>0</v>
      </c>
      <c r="Y1732" s="264">
        <f t="shared" si="268"/>
        <v>1723</v>
      </c>
      <c r="Z1732" s="10">
        <v>345</v>
      </c>
      <c r="AA1732" s="7">
        <v>998</v>
      </c>
      <c r="AB1732" s="7">
        <v>1723</v>
      </c>
      <c r="AC1732" s="109">
        <v>0</v>
      </c>
      <c r="AD1732" s="109">
        <v>0</v>
      </c>
      <c r="AE1732" s="125"/>
      <c r="AF1732" s="10"/>
      <c r="AI1732" s="109"/>
      <c r="AJ1732" s="109"/>
      <c r="AL1732" s="10"/>
      <c r="AO1732" s="109"/>
      <c r="AP1732" s="109"/>
      <c r="AR1732" s="10"/>
      <c r="AU1732" s="109"/>
      <c r="AV1732" s="109"/>
      <c r="AX1732" s="10"/>
      <c r="BA1732" s="109"/>
      <c r="BB1732" s="109"/>
      <c r="BD1732" s="10"/>
      <c r="BG1732" s="109"/>
      <c r="BH1732" s="109"/>
      <c r="BJ1732" s="10"/>
      <c r="BM1732" s="109"/>
      <c r="BN1732" s="109"/>
      <c r="BP1732" s="10"/>
      <c r="BS1732" s="109"/>
      <c r="BT1732" s="109"/>
      <c r="BV1732" s="10"/>
      <c r="BY1732" s="109"/>
      <c r="BZ1732" s="109"/>
      <c r="CB1732" s="10"/>
      <c r="CE1732" s="109"/>
      <c r="CF1732" s="109"/>
      <c r="CH1732" s="10"/>
      <c r="CK1732" s="109"/>
      <c r="CL1732" s="109"/>
    </row>
    <row r="1733" spans="1:90">
      <c r="A1733" s="7" t="str">
        <f t="shared" si="261"/>
        <v>03450998</v>
      </c>
      <c r="B1733" s="7" t="s">
        <v>2684</v>
      </c>
      <c r="C1733" s="7" t="s">
        <v>2781</v>
      </c>
      <c r="D1733" s="7">
        <v>1724</v>
      </c>
      <c r="E1733" s="7">
        <v>345</v>
      </c>
      <c r="F1733" s="7" t="s">
        <v>2135</v>
      </c>
      <c r="G1733" s="7">
        <v>998</v>
      </c>
      <c r="H1733" s="7" t="s">
        <v>2135</v>
      </c>
      <c r="I1733" s="37">
        <v>0</v>
      </c>
      <c r="J1733" s="122">
        <v>0</v>
      </c>
      <c r="K1733" s="123">
        <f t="shared" si="270"/>
        <v>0</v>
      </c>
      <c r="L1733" s="122">
        <f>IF(K1734&gt;0, K1733/K1734, 0)</f>
        <v>0</v>
      </c>
      <c r="M1733" s="71"/>
      <c r="N1733" s="10">
        <f>ROUND(M1734*L1733,0)</f>
        <v>0</v>
      </c>
      <c r="O1733" s="70">
        <v>0</v>
      </c>
      <c r="P1733" s="10">
        <f>N1733-O1733</f>
        <v>0</v>
      </c>
      <c r="Q1733" s="46">
        <f t="shared" si="269"/>
        <v>0</v>
      </c>
      <c r="R1733" s="10">
        <v>0</v>
      </c>
      <c r="S1733" s="7">
        <f t="shared" si="262"/>
        <v>0</v>
      </c>
      <c r="T1733" s="124">
        <f t="shared" si="263"/>
        <v>345</v>
      </c>
      <c r="U1733" s="124">
        <f t="shared" si="264"/>
        <v>998</v>
      </c>
      <c r="V1733" s="124">
        <f t="shared" si="265"/>
        <v>1724</v>
      </c>
      <c r="W1733" s="124">
        <f t="shared" si="266"/>
        <v>0</v>
      </c>
      <c r="X1733" s="124">
        <f t="shared" si="267"/>
        <v>0</v>
      </c>
      <c r="Y1733" s="264">
        <f t="shared" si="268"/>
        <v>1724</v>
      </c>
      <c r="Z1733" s="10">
        <v>345</v>
      </c>
      <c r="AA1733" s="7">
        <v>998</v>
      </c>
      <c r="AB1733" s="7">
        <v>1724</v>
      </c>
      <c r="AC1733" s="109">
        <v>0</v>
      </c>
      <c r="AD1733" s="109">
        <v>0</v>
      </c>
      <c r="AE1733" s="125"/>
      <c r="AF1733" s="10"/>
      <c r="AI1733" s="109"/>
      <c r="AJ1733" s="109"/>
      <c r="AL1733" s="10"/>
      <c r="AO1733" s="109"/>
      <c r="AP1733" s="109"/>
      <c r="AR1733" s="10"/>
      <c r="AU1733" s="109"/>
      <c r="AV1733" s="109"/>
      <c r="AX1733" s="10"/>
      <c r="BA1733" s="109"/>
      <c r="BB1733" s="109"/>
      <c r="BD1733" s="10"/>
      <c r="BG1733" s="109"/>
      <c r="BH1733" s="109"/>
      <c r="BJ1733" s="10"/>
      <c r="BM1733" s="109"/>
      <c r="BN1733" s="109"/>
      <c r="BP1733" s="10"/>
      <c r="BS1733" s="109"/>
      <c r="BT1733" s="109"/>
      <c r="BV1733" s="10"/>
      <c r="BY1733" s="109"/>
      <c r="BZ1733" s="109"/>
      <c r="CB1733" s="10"/>
      <c r="CE1733" s="109"/>
      <c r="CF1733" s="109"/>
      <c r="CH1733" s="10"/>
      <c r="CK1733" s="109"/>
      <c r="CL1733" s="109"/>
    </row>
    <row r="1734" spans="1:90">
      <c r="A1734" s="7" t="str">
        <f t="shared" si="261"/>
        <v>03450999</v>
      </c>
      <c r="B1734" s="7" t="s">
        <v>2684</v>
      </c>
      <c r="C1734" s="7" t="s">
        <v>2782</v>
      </c>
      <c r="D1734" s="7">
        <v>1725</v>
      </c>
      <c r="E1734" s="11">
        <v>345</v>
      </c>
      <c r="F1734" s="11" t="s">
        <v>2050</v>
      </c>
      <c r="G1734" s="11">
        <v>999</v>
      </c>
      <c r="H1734" s="11" t="s">
        <v>1132</v>
      </c>
      <c r="I1734" s="105">
        <v>848813.84</v>
      </c>
      <c r="J1734" s="126">
        <v>1</v>
      </c>
      <c r="K1734" s="127">
        <f>SUM(K1730:K1733)</f>
        <v>861287.08856163768</v>
      </c>
      <c r="L1734" s="126">
        <f>SUM(L1730:L1733)</f>
        <v>1</v>
      </c>
      <c r="M1734" s="105">
        <f>VLOOKUP(E1734,town351,22)</f>
        <v>715458</v>
      </c>
      <c r="N1734" s="105">
        <f>SUM(N1730:N1733)</f>
        <v>715458</v>
      </c>
      <c r="O1734" s="128">
        <v>716755</v>
      </c>
      <c r="P1734" s="105">
        <f>SUM(P1730:P1733)</f>
        <v>-1297</v>
      </c>
      <c r="Q1734" s="45">
        <f t="shared" si="269"/>
        <v>-0.18095444049919429</v>
      </c>
      <c r="R1734" s="105">
        <v>83</v>
      </c>
      <c r="S1734" s="7">
        <f t="shared" si="262"/>
        <v>0</v>
      </c>
      <c r="T1734" s="124">
        <f t="shared" si="263"/>
        <v>345</v>
      </c>
      <c r="U1734" s="124">
        <f t="shared" si="264"/>
        <v>999</v>
      </c>
      <c r="V1734" s="124">
        <f t="shared" si="265"/>
        <v>1725</v>
      </c>
      <c r="W1734" s="124">
        <f t="shared" si="266"/>
        <v>82.756067955649996</v>
      </c>
      <c r="X1734" s="124">
        <f t="shared" si="267"/>
        <v>861287.08856163768</v>
      </c>
      <c r="Y1734" s="264">
        <f t="shared" si="268"/>
        <v>1725</v>
      </c>
      <c r="Z1734" s="10">
        <v>345</v>
      </c>
      <c r="AA1734" s="7">
        <v>999</v>
      </c>
      <c r="AB1734" s="7">
        <v>1725</v>
      </c>
      <c r="AC1734" s="109">
        <v>82.756067955649996</v>
      </c>
      <c r="AD1734" s="109">
        <v>861287.08856163768</v>
      </c>
      <c r="AE1734" s="125"/>
      <c r="AF1734" s="10"/>
      <c r="AI1734" s="109"/>
      <c r="AJ1734" s="109"/>
      <c r="AL1734" s="10"/>
      <c r="AO1734" s="109"/>
      <c r="AP1734" s="109"/>
      <c r="AR1734" s="10"/>
      <c r="AU1734" s="109"/>
      <c r="AV1734" s="109"/>
      <c r="AX1734" s="10"/>
      <c r="BA1734" s="109"/>
      <c r="BB1734" s="109"/>
      <c r="BD1734" s="10"/>
      <c r="BG1734" s="109"/>
      <c r="BH1734" s="109"/>
      <c r="BJ1734" s="10"/>
      <c r="BM1734" s="109"/>
      <c r="BN1734" s="109"/>
      <c r="BP1734" s="10"/>
      <c r="BS1734" s="109"/>
      <c r="BT1734" s="109"/>
      <c r="BV1734" s="10"/>
      <c r="BY1734" s="109"/>
      <c r="BZ1734" s="109"/>
      <c r="CB1734" s="10"/>
      <c r="CE1734" s="109"/>
      <c r="CF1734" s="109"/>
      <c r="CH1734" s="10"/>
      <c r="CK1734" s="109"/>
      <c r="CL1734" s="109"/>
    </row>
    <row r="1735" spans="1:90">
      <c r="A1735" s="7" t="str">
        <f t="shared" si="261"/>
        <v>03460346</v>
      </c>
      <c r="B1735" s="7" t="s">
        <v>2685</v>
      </c>
      <c r="C1735" s="7" t="s">
        <v>2685</v>
      </c>
      <c r="D1735" s="7">
        <v>1726</v>
      </c>
      <c r="E1735" s="7">
        <v>346</v>
      </c>
      <c r="F1735" s="7" t="s">
        <v>2051</v>
      </c>
      <c r="G1735" s="7">
        <v>346</v>
      </c>
      <c r="H1735" s="7" t="s">
        <v>1612</v>
      </c>
      <c r="I1735" s="37">
        <v>19355380.740320001</v>
      </c>
      <c r="J1735" s="122">
        <v>0.95100464439203702</v>
      </c>
      <c r="K1735" s="123">
        <f>X1735</f>
        <v>20873787.706656512</v>
      </c>
      <c r="L1735" s="122">
        <f>IF(K1739&gt;0, K1735/K1739, 0)</f>
        <v>0.9557606344687023</v>
      </c>
      <c r="M1735" s="71"/>
      <c r="N1735" s="10">
        <f>ROUND(M1739*L1735,0)</f>
        <v>14619405</v>
      </c>
      <c r="O1735" s="70">
        <v>13740113</v>
      </c>
      <c r="P1735" s="10">
        <f>N1735-O1735</f>
        <v>879292</v>
      </c>
      <c r="Q1735" s="46">
        <f t="shared" si="269"/>
        <v>6.3994524644739093</v>
      </c>
      <c r="R1735" s="10">
        <v>1888</v>
      </c>
      <c r="S1735" s="7">
        <f t="shared" si="262"/>
        <v>0</v>
      </c>
      <c r="T1735" s="124">
        <f t="shared" si="263"/>
        <v>346</v>
      </c>
      <c r="U1735" s="124">
        <f t="shared" si="264"/>
        <v>346</v>
      </c>
      <c r="V1735" s="124">
        <f t="shared" si="265"/>
        <v>1726</v>
      </c>
      <c r="W1735" s="124">
        <f t="shared" si="266"/>
        <v>1968</v>
      </c>
      <c r="X1735" s="124">
        <f t="shared" si="267"/>
        <v>20873787.706656512</v>
      </c>
      <c r="Y1735" s="264">
        <f t="shared" si="268"/>
        <v>1726</v>
      </c>
      <c r="Z1735" s="10">
        <v>346</v>
      </c>
      <c r="AA1735" s="7">
        <v>346</v>
      </c>
      <c r="AB1735" s="7">
        <v>1726</v>
      </c>
      <c r="AC1735" s="109">
        <v>1968</v>
      </c>
      <c r="AD1735" s="109">
        <v>20873787.706656512</v>
      </c>
      <c r="AE1735" s="125"/>
      <c r="AF1735" s="10"/>
      <c r="AI1735" s="109"/>
      <c r="AJ1735" s="109"/>
      <c r="AL1735" s="10"/>
      <c r="AO1735" s="109"/>
      <c r="AP1735" s="109"/>
      <c r="AR1735" s="10"/>
      <c r="AU1735" s="109"/>
      <c r="AV1735" s="109"/>
      <c r="AX1735" s="10"/>
      <c r="BA1735" s="109"/>
      <c r="BB1735" s="109"/>
      <c r="BD1735" s="10"/>
      <c r="BG1735" s="109"/>
      <c r="BH1735" s="109"/>
      <c r="BJ1735" s="10"/>
      <c r="BM1735" s="109"/>
      <c r="BN1735" s="109"/>
      <c r="BP1735" s="10"/>
      <c r="BS1735" s="109"/>
      <c r="BT1735" s="109"/>
      <c r="BV1735" s="10"/>
      <c r="BY1735" s="109"/>
      <c r="BZ1735" s="109"/>
      <c r="CB1735" s="10"/>
      <c r="CE1735" s="109"/>
      <c r="CF1735" s="109"/>
      <c r="CH1735" s="10"/>
      <c r="CK1735" s="109"/>
      <c r="CL1735" s="109"/>
    </row>
    <row r="1736" spans="1:90">
      <c r="A1736" s="7" t="str">
        <f t="shared" si="261"/>
        <v>03460853</v>
      </c>
      <c r="B1736" s="7" t="s">
        <v>2685</v>
      </c>
      <c r="C1736" s="7" t="s">
        <v>2768</v>
      </c>
      <c r="D1736" s="7">
        <v>1727</v>
      </c>
      <c r="E1736" s="7">
        <v>346</v>
      </c>
      <c r="F1736" s="7" t="s">
        <v>2051</v>
      </c>
      <c r="G1736" s="7">
        <v>853</v>
      </c>
      <c r="H1736" s="7" t="s">
        <v>1695</v>
      </c>
      <c r="I1736" s="37">
        <v>997181</v>
      </c>
      <c r="J1736" s="122">
        <v>4.8995355607962962E-2</v>
      </c>
      <c r="K1736" s="123">
        <f t="shared" si="270"/>
        <v>966186.60684933886</v>
      </c>
      <c r="L1736" s="122">
        <f>IF(K1739&gt;0, K1736/K1739, 0)</f>
        <v>4.4239365531297745E-2</v>
      </c>
      <c r="M1736" s="71"/>
      <c r="N1736" s="10">
        <f>ROUND(M1739*L1736,0)</f>
        <v>676690</v>
      </c>
      <c r="O1736" s="70">
        <v>707885</v>
      </c>
      <c r="P1736" s="10">
        <f>N1736-O1736</f>
        <v>-31195</v>
      </c>
      <c r="Q1736" s="46">
        <f t="shared" si="269"/>
        <v>-4.4067892383649889</v>
      </c>
      <c r="R1736" s="10">
        <v>60</v>
      </c>
      <c r="S1736" s="7">
        <f t="shared" si="262"/>
        <v>0</v>
      </c>
      <c r="T1736" s="124">
        <f t="shared" si="263"/>
        <v>346</v>
      </c>
      <c r="U1736" s="124">
        <f t="shared" si="264"/>
        <v>853</v>
      </c>
      <c r="V1736" s="124">
        <f t="shared" si="265"/>
        <v>1727</v>
      </c>
      <c r="W1736" s="124">
        <f t="shared" si="266"/>
        <v>57.000000006180002</v>
      </c>
      <c r="X1736" s="124">
        <f t="shared" si="267"/>
        <v>966186.60684933886</v>
      </c>
      <c r="Y1736" s="264">
        <f t="shared" si="268"/>
        <v>1727</v>
      </c>
      <c r="Z1736" s="10">
        <v>346</v>
      </c>
      <c r="AA1736" s="7">
        <v>853</v>
      </c>
      <c r="AB1736" s="7">
        <v>1727</v>
      </c>
      <c r="AC1736" s="109">
        <v>57.000000006180002</v>
      </c>
      <c r="AD1736" s="109">
        <v>966186.60684933886</v>
      </c>
      <c r="AE1736" s="125"/>
      <c r="AF1736" s="10"/>
      <c r="AI1736" s="109"/>
      <c r="AJ1736" s="109"/>
      <c r="AL1736" s="10"/>
      <c r="AO1736" s="109"/>
      <c r="AP1736" s="109"/>
      <c r="AR1736" s="10"/>
      <c r="AU1736" s="109"/>
      <c r="AV1736" s="109"/>
      <c r="AX1736" s="10"/>
      <c r="BA1736" s="109"/>
      <c r="BB1736" s="109"/>
      <c r="BD1736" s="10"/>
      <c r="BG1736" s="109"/>
      <c r="BH1736" s="109"/>
      <c r="BJ1736" s="10"/>
      <c r="BM1736" s="109"/>
      <c r="BN1736" s="109"/>
      <c r="BP1736" s="10"/>
      <c r="BS1736" s="109"/>
      <c r="BT1736" s="109"/>
      <c r="BV1736" s="10"/>
      <c r="BY1736" s="109"/>
      <c r="BZ1736" s="109"/>
      <c r="CB1736" s="10"/>
      <c r="CE1736" s="109"/>
      <c r="CF1736" s="109"/>
      <c r="CH1736" s="10"/>
      <c r="CK1736" s="109"/>
      <c r="CL1736" s="109"/>
    </row>
    <row r="1737" spans="1:90">
      <c r="A1737" s="7" t="str">
        <f t="shared" si="261"/>
        <v>03460998</v>
      </c>
      <c r="B1737" s="7" t="s">
        <v>2685</v>
      </c>
      <c r="C1737" s="7" t="s">
        <v>2781</v>
      </c>
      <c r="D1737" s="7">
        <v>1728</v>
      </c>
      <c r="E1737" s="7">
        <v>346</v>
      </c>
      <c r="F1737" s="7" t="s">
        <v>2135</v>
      </c>
      <c r="G1737" s="7">
        <v>998</v>
      </c>
      <c r="I1737" s="129">
        <v>0</v>
      </c>
      <c r="J1737" s="130">
        <v>0</v>
      </c>
      <c r="K1737" s="123">
        <f t="shared" si="270"/>
        <v>0</v>
      </c>
      <c r="L1737" s="122">
        <f>IF(K1739&gt;0, K1737/K1739, 0)</f>
        <v>0</v>
      </c>
      <c r="M1737" s="71"/>
      <c r="N1737" s="10">
        <f>ROUND(M1739*L1737,0)</f>
        <v>0</v>
      </c>
      <c r="O1737" s="70">
        <v>0</v>
      </c>
      <c r="P1737" s="10">
        <f>N1737-O1737</f>
        <v>0</v>
      </c>
      <c r="Q1737" s="46">
        <f t="shared" si="269"/>
        <v>0</v>
      </c>
      <c r="R1737" s="10">
        <v>0</v>
      </c>
      <c r="S1737" s="7">
        <f t="shared" si="262"/>
        <v>0</v>
      </c>
      <c r="T1737" s="124">
        <f t="shared" si="263"/>
        <v>346</v>
      </c>
      <c r="U1737" s="124">
        <f t="shared" si="264"/>
        <v>998</v>
      </c>
      <c r="V1737" s="124">
        <f t="shared" si="265"/>
        <v>1728</v>
      </c>
      <c r="W1737" s="124">
        <f t="shared" si="266"/>
        <v>0</v>
      </c>
      <c r="X1737" s="124">
        <f t="shared" si="267"/>
        <v>0</v>
      </c>
      <c r="Y1737" s="264">
        <f t="shared" si="268"/>
        <v>1728</v>
      </c>
      <c r="Z1737" s="10">
        <v>346</v>
      </c>
      <c r="AA1737" s="7">
        <v>998</v>
      </c>
      <c r="AB1737" s="7">
        <v>1728</v>
      </c>
      <c r="AC1737" s="109">
        <v>0</v>
      </c>
      <c r="AD1737" s="109">
        <v>0</v>
      </c>
      <c r="AE1737" s="125"/>
      <c r="AF1737" s="10"/>
      <c r="AI1737" s="109"/>
      <c r="AJ1737" s="109"/>
      <c r="AL1737" s="10"/>
      <c r="AO1737" s="109"/>
      <c r="AP1737" s="109"/>
      <c r="AR1737" s="10"/>
      <c r="AU1737" s="109"/>
      <c r="AV1737" s="109"/>
      <c r="AX1737" s="10"/>
      <c r="BA1737" s="109"/>
      <c r="BB1737" s="109"/>
      <c r="BD1737" s="10"/>
      <c r="BG1737" s="109"/>
      <c r="BH1737" s="109"/>
      <c r="BJ1737" s="10"/>
      <c r="BM1737" s="109"/>
      <c r="BN1737" s="109"/>
      <c r="BP1737" s="10"/>
      <c r="BS1737" s="109"/>
      <c r="BT1737" s="109"/>
      <c r="BV1737" s="10"/>
      <c r="BY1737" s="109"/>
      <c r="BZ1737" s="109"/>
      <c r="CB1737" s="10"/>
      <c r="CE1737" s="109"/>
      <c r="CF1737" s="109"/>
      <c r="CH1737" s="10"/>
      <c r="CK1737" s="109"/>
      <c r="CL1737" s="109"/>
    </row>
    <row r="1738" spans="1:90">
      <c r="A1738" s="7" t="str">
        <f t="shared" ref="A1738:A1764" si="271">B1738&amp;C1738</f>
        <v>03460998</v>
      </c>
      <c r="B1738" s="7" t="s">
        <v>2685</v>
      </c>
      <c r="C1738" s="7" t="s">
        <v>2781</v>
      </c>
      <c r="D1738" s="7">
        <v>1729</v>
      </c>
      <c r="E1738" s="7">
        <v>346</v>
      </c>
      <c r="F1738" s="7" t="s">
        <v>2135</v>
      </c>
      <c r="G1738" s="7">
        <v>998</v>
      </c>
      <c r="H1738" s="7" t="s">
        <v>2135</v>
      </c>
      <c r="I1738" s="37">
        <v>0</v>
      </c>
      <c r="J1738" s="122">
        <v>0</v>
      </c>
      <c r="K1738" s="123">
        <f t="shared" si="270"/>
        <v>0</v>
      </c>
      <c r="L1738" s="122">
        <f>IF(K1739&gt;0, K1738/K1739, 0)</f>
        <v>0</v>
      </c>
      <c r="M1738" s="71"/>
      <c r="N1738" s="10">
        <f>ROUND(M1739*L1738,0)</f>
        <v>0</v>
      </c>
      <c r="O1738" s="70">
        <v>0</v>
      </c>
      <c r="P1738" s="10">
        <f>N1738-O1738</f>
        <v>0</v>
      </c>
      <c r="Q1738" s="46">
        <f t="shared" si="269"/>
        <v>0</v>
      </c>
      <c r="R1738" s="10">
        <v>0</v>
      </c>
      <c r="S1738" s="7">
        <f t="shared" ref="S1738:S1764" si="272">ABS(T1738-E1738)+ABS(U1738-G1738)</f>
        <v>0</v>
      </c>
      <c r="T1738" s="124">
        <f t="shared" ref="T1738:T1764" si="273">VLOOKUP($D1738, foundoptions, VLOOKUP($T$6, foundoptcell, 2, FALSE), FALSE)</f>
        <v>346</v>
      </c>
      <c r="U1738" s="124">
        <f t="shared" ref="U1738:U1764" si="274">VLOOKUP($D1738, foundoptions, VLOOKUP($T$6, foundoptcell, 2, FALSE)+1, FALSE)</f>
        <v>998</v>
      </c>
      <c r="V1738" s="124">
        <f t="shared" ref="V1738:V1764" si="275">VLOOKUP($D1738, foundoptions, VLOOKUP($T$6, foundoptcell, 2, FALSE)+2, FALSE)</f>
        <v>1729</v>
      </c>
      <c r="W1738" s="124">
        <f t="shared" ref="W1738:W1764" si="276">VLOOKUP($D1738, foundoptions, VLOOKUP($T$6, foundoptcell, 2, FALSE)+3, FALSE)</f>
        <v>0</v>
      </c>
      <c r="X1738" s="124">
        <f t="shared" ref="X1738:X1764" si="277">VLOOKUP($D1738, foundoptions, VLOOKUP($T$6, foundoptcell, 2, FALSE)+4, FALSE)</f>
        <v>0</v>
      </c>
      <c r="Y1738" s="264">
        <f t="shared" si="268"/>
        <v>1729</v>
      </c>
      <c r="Z1738" s="10">
        <v>346</v>
      </c>
      <c r="AA1738" s="7">
        <v>998</v>
      </c>
      <c r="AB1738" s="7">
        <v>1729</v>
      </c>
      <c r="AC1738" s="109">
        <v>0</v>
      </c>
      <c r="AD1738" s="109">
        <v>0</v>
      </c>
      <c r="AE1738" s="125"/>
      <c r="AF1738" s="10"/>
      <c r="AI1738" s="109"/>
      <c r="AJ1738" s="109"/>
      <c r="AL1738" s="10"/>
      <c r="AO1738" s="109"/>
      <c r="AP1738" s="109"/>
      <c r="AR1738" s="10"/>
      <c r="AU1738" s="109"/>
      <c r="AV1738" s="109"/>
      <c r="AX1738" s="10"/>
      <c r="BA1738" s="109"/>
      <c r="BB1738" s="109"/>
      <c r="BD1738" s="10"/>
      <c r="BG1738" s="109"/>
      <c r="BH1738" s="109"/>
      <c r="BJ1738" s="10"/>
      <c r="BM1738" s="109"/>
      <c r="BN1738" s="109"/>
      <c r="BP1738" s="10"/>
      <c r="BS1738" s="109"/>
      <c r="BT1738" s="109"/>
      <c r="BV1738" s="10"/>
      <c r="BY1738" s="109"/>
      <c r="BZ1738" s="109"/>
      <c r="CB1738" s="10"/>
      <c r="CE1738" s="109"/>
      <c r="CF1738" s="109"/>
      <c r="CH1738" s="10"/>
      <c r="CK1738" s="109"/>
      <c r="CL1738" s="109"/>
    </row>
    <row r="1739" spans="1:90">
      <c r="A1739" s="7" t="str">
        <f t="shared" si="271"/>
        <v>03460999</v>
      </c>
      <c r="B1739" s="7" t="s">
        <v>2685</v>
      </c>
      <c r="C1739" s="7" t="s">
        <v>2782</v>
      </c>
      <c r="D1739" s="7">
        <v>1730</v>
      </c>
      <c r="E1739" s="11">
        <v>346</v>
      </c>
      <c r="F1739" s="11" t="s">
        <v>2051</v>
      </c>
      <c r="G1739" s="11">
        <v>999</v>
      </c>
      <c r="H1739" s="11" t="s">
        <v>1132</v>
      </c>
      <c r="I1739" s="105">
        <v>20352561.740320001</v>
      </c>
      <c r="J1739" s="126">
        <v>1</v>
      </c>
      <c r="K1739" s="127">
        <f>SUM(K1735:K1738)</f>
        <v>21839974.313505851</v>
      </c>
      <c r="L1739" s="126">
        <f>SUM(L1735:L1738)</f>
        <v>1</v>
      </c>
      <c r="M1739" s="105">
        <f>VLOOKUP(E1739,town351,22)</f>
        <v>15296095</v>
      </c>
      <c r="N1739" s="105">
        <f>SUM(N1735:N1738)</f>
        <v>15296095</v>
      </c>
      <c r="O1739" s="128">
        <v>14447998</v>
      </c>
      <c r="P1739" s="105">
        <f>SUM(P1735:P1738)</f>
        <v>848097</v>
      </c>
      <c r="Q1739" s="45">
        <f t="shared" si="269"/>
        <v>5.8699966597448308</v>
      </c>
      <c r="R1739" s="105">
        <v>1948</v>
      </c>
      <c r="S1739" s="7">
        <f t="shared" si="272"/>
        <v>0</v>
      </c>
      <c r="T1739" s="124">
        <f t="shared" si="273"/>
        <v>346</v>
      </c>
      <c r="U1739" s="124">
        <f t="shared" si="274"/>
        <v>999</v>
      </c>
      <c r="V1739" s="124">
        <f t="shared" si="275"/>
        <v>1730</v>
      </c>
      <c r="W1739" s="124">
        <f t="shared" si="276"/>
        <v>2025.00000000618</v>
      </c>
      <c r="X1739" s="124">
        <f t="shared" si="277"/>
        <v>21839974.313505851</v>
      </c>
      <c r="Y1739" s="264">
        <f t="shared" ref="Y1739:Y1764" si="278">D1739</f>
        <v>1730</v>
      </c>
      <c r="Z1739" s="10">
        <v>346</v>
      </c>
      <c r="AA1739" s="7">
        <v>999</v>
      </c>
      <c r="AB1739" s="7">
        <v>1730</v>
      </c>
      <c r="AC1739" s="109">
        <v>2025.00000000618</v>
      </c>
      <c r="AD1739" s="109">
        <v>21839974.313505851</v>
      </c>
      <c r="AE1739" s="125"/>
      <c r="AF1739" s="10"/>
      <c r="AI1739" s="109"/>
      <c r="AJ1739" s="109"/>
      <c r="AL1739" s="10"/>
      <c r="AO1739" s="109"/>
      <c r="AP1739" s="109"/>
      <c r="AR1739" s="10"/>
      <c r="AU1739" s="109"/>
      <c r="AV1739" s="109"/>
      <c r="AX1739" s="10"/>
      <c r="BA1739" s="109"/>
      <c r="BB1739" s="109"/>
      <c r="BD1739" s="10"/>
      <c r="BG1739" s="109"/>
      <c r="BH1739" s="109"/>
      <c r="BJ1739" s="10"/>
      <c r="BM1739" s="109"/>
      <c r="BN1739" s="109"/>
      <c r="BP1739" s="10"/>
      <c r="BS1739" s="109"/>
      <c r="BT1739" s="109"/>
      <c r="BV1739" s="10"/>
      <c r="BY1739" s="109"/>
      <c r="BZ1739" s="109"/>
      <c r="CB1739" s="10"/>
      <c r="CE1739" s="109"/>
      <c r="CF1739" s="109"/>
      <c r="CH1739" s="10"/>
      <c r="CK1739" s="109"/>
      <c r="CL1739" s="109"/>
    </row>
    <row r="1740" spans="1:90">
      <c r="A1740" s="7" t="str">
        <f t="shared" si="271"/>
        <v>03470347</v>
      </c>
      <c r="B1740" s="7" t="s">
        <v>2686</v>
      </c>
      <c r="C1740" s="7" t="s">
        <v>2686</v>
      </c>
      <c r="D1740" s="7">
        <v>1731</v>
      </c>
      <c r="E1740" s="7">
        <v>347</v>
      </c>
      <c r="F1740" s="7" t="s">
        <v>1613</v>
      </c>
      <c r="G1740" s="7">
        <v>347</v>
      </c>
      <c r="H1740" s="7" t="s">
        <v>1613</v>
      </c>
      <c r="I1740" s="37">
        <v>49930543.991250016</v>
      </c>
      <c r="J1740" s="122">
        <v>0.9634416190875853</v>
      </c>
      <c r="K1740" s="123">
        <f>X1740</f>
        <v>50380963.059562519</v>
      </c>
      <c r="L1740" s="122">
        <f>IF(K1744&gt;0, K1740/K1744, 0)</f>
        <v>0.96587824383347642</v>
      </c>
      <c r="M1740" s="71"/>
      <c r="N1740" s="10">
        <f>ROUND(M1744*L1740,0)</f>
        <v>41884963</v>
      </c>
      <c r="O1740" s="70">
        <v>41567504</v>
      </c>
      <c r="P1740" s="10">
        <f>N1740-O1740</f>
        <v>317459</v>
      </c>
      <c r="Q1740" s="46">
        <f t="shared" si="269"/>
        <v>0.76371917832737801</v>
      </c>
      <c r="R1740" s="10">
        <v>4758</v>
      </c>
      <c r="S1740" s="7">
        <f t="shared" si="272"/>
        <v>0</v>
      </c>
      <c r="T1740" s="124">
        <f t="shared" si="273"/>
        <v>347</v>
      </c>
      <c r="U1740" s="124">
        <f t="shared" si="274"/>
        <v>347</v>
      </c>
      <c r="V1740" s="124">
        <f t="shared" si="275"/>
        <v>1731</v>
      </c>
      <c r="W1740" s="124">
        <f t="shared" si="276"/>
        <v>4685</v>
      </c>
      <c r="X1740" s="124">
        <f t="shared" si="277"/>
        <v>50380963.059562519</v>
      </c>
      <c r="Y1740" s="264">
        <f t="shared" si="278"/>
        <v>1731</v>
      </c>
      <c r="Z1740" s="10">
        <v>347</v>
      </c>
      <c r="AA1740" s="7">
        <v>347</v>
      </c>
      <c r="AB1740" s="7">
        <v>1731</v>
      </c>
      <c r="AC1740" s="109">
        <v>4685</v>
      </c>
      <c r="AD1740" s="109">
        <v>50380963.059562519</v>
      </c>
      <c r="AE1740" s="125"/>
      <c r="AF1740" s="10"/>
      <c r="AI1740" s="109"/>
      <c r="AJ1740" s="109"/>
      <c r="AL1740" s="10"/>
      <c r="AO1740" s="109"/>
      <c r="AP1740" s="109"/>
      <c r="AR1740" s="10"/>
      <c r="AU1740" s="109"/>
      <c r="AV1740" s="109"/>
      <c r="AX1740" s="10"/>
      <c r="BA1740" s="109"/>
      <c r="BB1740" s="109"/>
      <c r="BD1740" s="10"/>
      <c r="BG1740" s="109"/>
      <c r="BH1740" s="109"/>
      <c r="BJ1740" s="10"/>
      <c r="BM1740" s="109"/>
      <c r="BN1740" s="109"/>
      <c r="BP1740" s="10"/>
      <c r="BS1740" s="109"/>
      <c r="BT1740" s="109"/>
      <c r="BV1740" s="10"/>
      <c r="BY1740" s="109"/>
      <c r="BZ1740" s="109"/>
      <c r="CB1740" s="10"/>
      <c r="CE1740" s="109"/>
      <c r="CF1740" s="109"/>
      <c r="CH1740" s="10"/>
      <c r="CK1740" s="109"/>
      <c r="CL1740" s="109"/>
    </row>
    <row r="1741" spans="1:90">
      <c r="A1741" s="7" t="str">
        <f t="shared" si="271"/>
        <v>03470853</v>
      </c>
      <c r="B1741" s="7" t="s">
        <v>2686</v>
      </c>
      <c r="C1741" s="7" t="s">
        <v>2768</v>
      </c>
      <c r="D1741" s="7">
        <v>1732</v>
      </c>
      <c r="E1741" s="7">
        <v>347</v>
      </c>
      <c r="F1741" s="7" t="s">
        <v>1613</v>
      </c>
      <c r="G1741" s="7">
        <v>853</v>
      </c>
      <c r="H1741" s="7" t="s">
        <v>1695</v>
      </c>
      <c r="I1741" s="37">
        <v>1894645</v>
      </c>
      <c r="J1741" s="122">
        <v>3.6558380912414722E-2</v>
      </c>
      <c r="K1741" s="123">
        <f t="shared" si="270"/>
        <v>1779817.4334377092</v>
      </c>
      <c r="L1741" s="122">
        <f>IF(K1744&gt;0, K1741/K1744, 0)</f>
        <v>3.4121756166523499E-2</v>
      </c>
      <c r="M1741" s="71"/>
      <c r="N1741" s="10">
        <f>ROUND(M1744*L1741,0)</f>
        <v>1479678</v>
      </c>
      <c r="O1741" s="70">
        <v>1577304</v>
      </c>
      <c r="P1741" s="10">
        <f>N1741-O1741</f>
        <v>-97626</v>
      </c>
      <c r="Q1741" s="46">
        <f t="shared" si="269"/>
        <v>-6.1894219503659409</v>
      </c>
      <c r="R1741" s="10">
        <v>114</v>
      </c>
      <c r="S1741" s="7">
        <f t="shared" si="272"/>
        <v>0</v>
      </c>
      <c r="T1741" s="124">
        <f t="shared" si="273"/>
        <v>347</v>
      </c>
      <c r="U1741" s="124">
        <f t="shared" si="274"/>
        <v>853</v>
      </c>
      <c r="V1741" s="124">
        <f t="shared" si="275"/>
        <v>1732</v>
      </c>
      <c r="W1741" s="124">
        <f t="shared" si="276"/>
        <v>104.99999999769001</v>
      </c>
      <c r="X1741" s="124">
        <f t="shared" si="277"/>
        <v>1779817.4334377092</v>
      </c>
      <c r="Y1741" s="264">
        <f t="shared" si="278"/>
        <v>1732</v>
      </c>
      <c r="Z1741" s="10">
        <v>347</v>
      </c>
      <c r="AA1741" s="7">
        <v>853</v>
      </c>
      <c r="AB1741" s="7">
        <v>1732</v>
      </c>
      <c r="AC1741" s="109">
        <v>104.99999999769001</v>
      </c>
      <c r="AD1741" s="109">
        <v>1779817.4334377092</v>
      </c>
      <c r="AE1741" s="125"/>
      <c r="AF1741" s="10"/>
      <c r="AI1741" s="109"/>
      <c r="AJ1741" s="109"/>
      <c r="AL1741" s="10"/>
      <c r="AO1741" s="109"/>
      <c r="AP1741" s="109"/>
      <c r="AR1741" s="10"/>
      <c r="AU1741" s="109"/>
      <c r="AV1741" s="109"/>
      <c r="AX1741" s="10"/>
      <c r="BA1741" s="109"/>
      <c r="BB1741" s="109"/>
      <c r="BD1741" s="10"/>
      <c r="BG1741" s="109"/>
      <c r="BH1741" s="109"/>
      <c r="BJ1741" s="10"/>
      <c r="BM1741" s="109"/>
      <c r="BN1741" s="109"/>
      <c r="BP1741" s="10"/>
      <c r="BS1741" s="109"/>
      <c r="BT1741" s="109"/>
      <c r="BV1741" s="10"/>
      <c r="BY1741" s="109"/>
      <c r="BZ1741" s="109"/>
      <c r="CB1741" s="10"/>
      <c r="CE1741" s="109"/>
      <c r="CF1741" s="109"/>
      <c r="CH1741" s="10"/>
      <c r="CK1741" s="109"/>
      <c r="CL1741" s="109"/>
    </row>
    <row r="1742" spans="1:90">
      <c r="A1742" s="7" t="str">
        <f t="shared" si="271"/>
        <v>03470998</v>
      </c>
      <c r="B1742" s="7" t="s">
        <v>2686</v>
      </c>
      <c r="C1742" s="7" t="s">
        <v>2781</v>
      </c>
      <c r="D1742" s="7">
        <v>1733</v>
      </c>
      <c r="E1742" s="7">
        <v>347</v>
      </c>
      <c r="F1742" s="7" t="s">
        <v>2135</v>
      </c>
      <c r="G1742" s="7">
        <v>998</v>
      </c>
      <c r="I1742" s="129">
        <v>0</v>
      </c>
      <c r="J1742" s="130">
        <v>0</v>
      </c>
      <c r="K1742" s="123">
        <f t="shared" si="270"/>
        <v>0</v>
      </c>
      <c r="L1742" s="122">
        <f>IF(K1744&gt;0, K1742/K1744, 0)</f>
        <v>0</v>
      </c>
      <c r="M1742" s="71"/>
      <c r="N1742" s="10">
        <f>ROUND(M1744*L1742,0)</f>
        <v>0</v>
      </c>
      <c r="O1742" s="70">
        <v>0</v>
      </c>
      <c r="P1742" s="10">
        <f>N1742-O1742</f>
        <v>0</v>
      </c>
      <c r="Q1742" s="46">
        <f t="shared" si="269"/>
        <v>0</v>
      </c>
      <c r="R1742" s="10">
        <v>0</v>
      </c>
      <c r="S1742" s="7">
        <f t="shared" si="272"/>
        <v>0</v>
      </c>
      <c r="T1742" s="124">
        <f t="shared" si="273"/>
        <v>347</v>
      </c>
      <c r="U1742" s="124">
        <f t="shared" si="274"/>
        <v>998</v>
      </c>
      <c r="V1742" s="124">
        <f t="shared" si="275"/>
        <v>1733</v>
      </c>
      <c r="W1742" s="124">
        <f t="shared" si="276"/>
        <v>0</v>
      </c>
      <c r="X1742" s="124">
        <f t="shared" si="277"/>
        <v>0</v>
      </c>
      <c r="Y1742" s="264">
        <f t="shared" si="278"/>
        <v>1733</v>
      </c>
      <c r="Z1742" s="10">
        <v>347</v>
      </c>
      <c r="AA1742" s="7">
        <v>998</v>
      </c>
      <c r="AB1742" s="7">
        <v>1733</v>
      </c>
      <c r="AC1742" s="109">
        <v>0</v>
      </c>
      <c r="AD1742" s="109">
        <v>0</v>
      </c>
      <c r="AE1742" s="125"/>
      <c r="AF1742" s="10"/>
      <c r="AI1742" s="109"/>
      <c r="AJ1742" s="109"/>
      <c r="AL1742" s="10"/>
      <c r="AO1742" s="109"/>
      <c r="AP1742" s="109"/>
      <c r="AR1742" s="10"/>
      <c r="AU1742" s="109"/>
      <c r="AV1742" s="109"/>
      <c r="AX1742" s="10"/>
      <c r="BA1742" s="109"/>
      <c r="BB1742" s="109"/>
      <c r="BD1742" s="10"/>
      <c r="BG1742" s="109"/>
      <c r="BH1742" s="109"/>
      <c r="BJ1742" s="10"/>
      <c r="BM1742" s="109"/>
      <c r="BN1742" s="109"/>
      <c r="BP1742" s="10"/>
      <c r="BS1742" s="109"/>
      <c r="BT1742" s="109"/>
      <c r="BV1742" s="10"/>
      <c r="BY1742" s="109"/>
      <c r="BZ1742" s="109"/>
      <c r="CB1742" s="10"/>
      <c r="CE1742" s="109"/>
      <c r="CF1742" s="109"/>
      <c r="CH1742" s="10"/>
      <c r="CK1742" s="109"/>
      <c r="CL1742" s="109"/>
    </row>
    <row r="1743" spans="1:90">
      <c r="A1743" s="7" t="str">
        <f t="shared" si="271"/>
        <v>03470998</v>
      </c>
      <c r="B1743" s="7" t="s">
        <v>2686</v>
      </c>
      <c r="C1743" s="7" t="s">
        <v>2781</v>
      </c>
      <c r="D1743" s="7">
        <v>1734</v>
      </c>
      <c r="E1743" s="7">
        <v>347</v>
      </c>
      <c r="F1743" s="7" t="s">
        <v>2135</v>
      </c>
      <c r="G1743" s="7">
        <v>998</v>
      </c>
      <c r="H1743" s="7" t="s">
        <v>2135</v>
      </c>
      <c r="I1743" s="37">
        <v>0</v>
      </c>
      <c r="J1743" s="122">
        <v>0</v>
      </c>
      <c r="K1743" s="123">
        <f t="shared" si="270"/>
        <v>0</v>
      </c>
      <c r="L1743" s="122">
        <f>IF(K1744&gt;0, K1743/K1744, 0)</f>
        <v>0</v>
      </c>
      <c r="M1743" s="71"/>
      <c r="N1743" s="10">
        <f>ROUND(M1744*L1743,0)</f>
        <v>0</v>
      </c>
      <c r="O1743" s="70">
        <v>0</v>
      </c>
      <c r="P1743" s="10">
        <f>N1743-O1743</f>
        <v>0</v>
      </c>
      <c r="Q1743" s="46">
        <f t="shared" si="269"/>
        <v>0</v>
      </c>
      <c r="R1743" s="10">
        <v>0</v>
      </c>
      <c r="S1743" s="7">
        <f t="shared" si="272"/>
        <v>0</v>
      </c>
      <c r="T1743" s="124">
        <f t="shared" si="273"/>
        <v>347</v>
      </c>
      <c r="U1743" s="124">
        <f t="shared" si="274"/>
        <v>998</v>
      </c>
      <c r="V1743" s="124">
        <f t="shared" si="275"/>
        <v>1734</v>
      </c>
      <c r="W1743" s="124">
        <f t="shared" si="276"/>
        <v>0</v>
      </c>
      <c r="X1743" s="124">
        <f t="shared" si="277"/>
        <v>0</v>
      </c>
      <c r="Y1743" s="264">
        <f t="shared" si="278"/>
        <v>1734</v>
      </c>
      <c r="Z1743" s="10">
        <v>347</v>
      </c>
      <c r="AA1743" s="7">
        <v>998</v>
      </c>
      <c r="AB1743" s="7">
        <v>1734</v>
      </c>
      <c r="AC1743" s="109">
        <v>0</v>
      </c>
      <c r="AD1743" s="109">
        <v>0</v>
      </c>
      <c r="AE1743" s="125"/>
      <c r="AF1743" s="10"/>
      <c r="AI1743" s="109"/>
      <c r="AJ1743" s="109"/>
      <c r="AL1743" s="10"/>
      <c r="AO1743" s="109"/>
      <c r="AP1743" s="109"/>
      <c r="AR1743" s="10"/>
      <c r="AU1743" s="109"/>
      <c r="AV1743" s="109"/>
      <c r="AX1743" s="10"/>
      <c r="BA1743" s="109"/>
      <c r="BB1743" s="109"/>
      <c r="BD1743" s="10"/>
      <c r="BG1743" s="109"/>
      <c r="BH1743" s="109"/>
      <c r="BJ1743" s="10"/>
      <c r="BM1743" s="109"/>
      <c r="BN1743" s="109"/>
      <c r="BP1743" s="10"/>
      <c r="BS1743" s="109"/>
      <c r="BT1743" s="109"/>
      <c r="BV1743" s="10"/>
      <c r="BY1743" s="109"/>
      <c r="BZ1743" s="109"/>
      <c r="CB1743" s="10"/>
      <c r="CE1743" s="109"/>
      <c r="CF1743" s="109"/>
      <c r="CH1743" s="10"/>
      <c r="CK1743" s="109"/>
      <c r="CL1743" s="109"/>
    </row>
    <row r="1744" spans="1:90">
      <c r="A1744" s="7" t="str">
        <f t="shared" si="271"/>
        <v>03470999</v>
      </c>
      <c r="B1744" s="7" t="s">
        <v>2686</v>
      </c>
      <c r="C1744" s="7" t="s">
        <v>2782</v>
      </c>
      <c r="D1744" s="7">
        <v>1735</v>
      </c>
      <c r="E1744" s="11">
        <v>347</v>
      </c>
      <c r="F1744" s="11" t="s">
        <v>1613</v>
      </c>
      <c r="G1744" s="11">
        <v>999</v>
      </c>
      <c r="H1744" s="11" t="s">
        <v>1132</v>
      </c>
      <c r="I1744" s="105">
        <v>51825188.991250016</v>
      </c>
      <c r="J1744" s="126">
        <v>1</v>
      </c>
      <c r="K1744" s="127">
        <f>SUM(K1740:K1743)</f>
        <v>52160780.493000232</v>
      </c>
      <c r="L1744" s="126">
        <f>SUM(L1740:L1743)</f>
        <v>0.99999999999999989</v>
      </c>
      <c r="M1744" s="105">
        <f>VLOOKUP(E1744,town351,22)</f>
        <v>43364641</v>
      </c>
      <c r="N1744" s="105">
        <f>SUM(N1740:N1743)</f>
        <v>43364641</v>
      </c>
      <c r="O1744" s="128">
        <v>43144808</v>
      </c>
      <c r="P1744" s="105">
        <f>SUM(P1740:P1743)</f>
        <v>219833</v>
      </c>
      <c r="Q1744" s="45">
        <f t="shared" ref="Q1744:Q1765" si="279">IF(O1744&gt;0,P1744*100/O1744,IF(P1744&gt;0,100,0))</f>
        <v>0.50952364882467438</v>
      </c>
      <c r="R1744" s="105">
        <v>4872</v>
      </c>
      <c r="S1744" s="7">
        <f t="shared" si="272"/>
        <v>0</v>
      </c>
      <c r="T1744" s="124">
        <f t="shared" si="273"/>
        <v>347</v>
      </c>
      <c r="U1744" s="124">
        <f t="shared" si="274"/>
        <v>999</v>
      </c>
      <c r="V1744" s="124">
        <f t="shared" si="275"/>
        <v>1735</v>
      </c>
      <c r="W1744" s="124">
        <f t="shared" si="276"/>
        <v>4789.9999999976899</v>
      </c>
      <c r="X1744" s="124">
        <f t="shared" si="277"/>
        <v>52160780.493000232</v>
      </c>
      <c r="Y1744" s="264">
        <f t="shared" si="278"/>
        <v>1735</v>
      </c>
      <c r="Z1744" s="10">
        <v>347</v>
      </c>
      <c r="AA1744" s="7">
        <v>999</v>
      </c>
      <c r="AB1744" s="7">
        <v>1735</v>
      </c>
      <c r="AC1744" s="109">
        <v>4789.9999999976899</v>
      </c>
      <c r="AD1744" s="109">
        <v>52160780.493000232</v>
      </c>
      <c r="AE1744" s="125"/>
      <c r="AF1744" s="10"/>
      <c r="AI1744" s="109"/>
      <c r="AJ1744" s="109"/>
      <c r="AL1744" s="10"/>
      <c r="AO1744" s="109"/>
      <c r="AP1744" s="109"/>
      <c r="AR1744" s="10"/>
      <c r="AU1744" s="109"/>
      <c r="AV1744" s="109"/>
      <c r="AX1744" s="10"/>
      <c r="BA1744" s="109"/>
      <c r="BB1744" s="109"/>
      <c r="BD1744" s="10"/>
      <c r="BG1744" s="109"/>
      <c r="BH1744" s="109"/>
      <c r="BJ1744" s="10"/>
      <c r="BM1744" s="109"/>
      <c r="BN1744" s="109"/>
      <c r="BP1744" s="10"/>
      <c r="BS1744" s="109"/>
      <c r="BT1744" s="109"/>
      <c r="BV1744" s="10"/>
      <c r="BY1744" s="109"/>
      <c r="BZ1744" s="109"/>
      <c r="CB1744" s="10"/>
      <c r="CE1744" s="109"/>
      <c r="CF1744" s="109"/>
      <c r="CH1744" s="10"/>
      <c r="CK1744" s="109"/>
      <c r="CL1744" s="109"/>
    </row>
    <row r="1745" spans="1:90">
      <c r="A1745" s="7" t="str">
        <f t="shared" si="271"/>
        <v>03480348</v>
      </c>
      <c r="B1745" s="7" t="s">
        <v>2687</v>
      </c>
      <c r="C1745" s="7" t="s">
        <v>2687</v>
      </c>
      <c r="D1745" s="7">
        <v>1736</v>
      </c>
      <c r="E1745" s="7">
        <v>348</v>
      </c>
      <c r="F1745" s="7" t="s">
        <v>2052</v>
      </c>
      <c r="G1745" s="7">
        <v>348</v>
      </c>
      <c r="H1745" s="7" t="s">
        <v>1614</v>
      </c>
      <c r="I1745" s="37">
        <v>332590291.94999999</v>
      </c>
      <c r="J1745" s="122">
        <v>1</v>
      </c>
      <c r="K1745" s="123">
        <f>X1745</f>
        <v>342886580.84977067</v>
      </c>
      <c r="L1745" s="122">
        <f>IF(K1749&gt;0, K1745/K1749, 0)</f>
        <v>1</v>
      </c>
      <c r="M1745" s="71"/>
      <c r="N1745" s="10">
        <f>ROUND(M1749*L1745,0)</f>
        <v>97679398</v>
      </c>
      <c r="O1745" s="70">
        <v>97188059</v>
      </c>
      <c r="P1745" s="10">
        <f>N1745-O1745</f>
        <v>491339</v>
      </c>
      <c r="Q1745" s="46">
        <f t="shared" si="279"/>
        <v>0.50555490567004735</v>
      </c>
      <c r="R1745" s="10">
        <v>27381</v>
      </c>
      <c r="S1745" s="7">
        <f t="shared" si="272"/>
        <v>0</v>
      </c>
      <c r="T1745" s="124">
        <f t="shared" si="273"/>
        <v>348</v>
      </c>
      <c r="U1745" s="124">
        <f t="shared" si="274"/>
        <v>348</v>
      </c>
      <c r="V1745" s="124">
        <f t="shared" si="275"/>
        <v>1736</v>
      </c>
      <c r="W1745" s="124">
        <f t="shared" si="276"/>
        <v>27751</v>
      </c>
      <c r="X1745" s="124">
        <f t="shared" si="277"/>
        <v>342886580.84977067</v>
      </c>
      <c r="Y1745" s="264">
        <f t="shared" si="278"/>
        <v>1736</v>
      </c>
      <c r="Z1745" s="10">
        <v>348</v>
      </c>
      <c r="AA1745" s="7">
        <v>348</v>
      </c>
      <c r="AB1745" s="7">
        <v>1736</v>
      </c>
      <c r="AC1745" s="109">
        <v>27751</v>
      </c>
      <c r="AD1745" s="109">
        <v>342886580.84977067</v>
      </c>
      <c r="AE1745" s="125"/>
      <c r="AF1745" s="10"/>
      <c r="AI1745" s="109"/>
      <c r="AJ1745" s="109"/>
      <c r="AL1745" s="10"/>
      <c r="AO1745" s="109"/>
      <c r="AP1745" s="109"/>
      <c r="AR1745" s="10"/>
      <c r="AU1745" s="109"/>
      <c r="AV1745" s="109"/>
      <c r="AX1745" s="10"/>
      <c r="BA1745" s="109"/>
      <c r="BB1745" s="109"/>
      <c r="BD1745" s="10"/>
      <c r="BG1745" s="109"/>
      <c r="BH1745" s="109"/>
      <c r="BJ1745" s="10"/>
      <c r="BM1745" s="109"/>
      <c r="BN1745" s="109"/>
      <c r="BP1745" s="10"/>
      <c r="BS1745" s="109"/>
      <c r="BT1745" s="109"/>
      <c r="BV1745" s="10"/>
      <c r="BY1745" s="109"/>
      <c r="BZ1745" s="109"/>
      <c r="CB1745" s="10"/>
      <c r="CE1745" s="109"/>
      <c r="CF1745" s="109"/>
      <c r="CH1745" s="10"/>
      <c r="CK1745" s="109"/>
      <c r="CL1745" s="109"/>
    </row>
    <row r="1746" spans="1:90">
      <c r="A1746" s="7" t="str">
        <f t="shared" si="271"/>
        <v>03480998</v>
      </c>
      <c r="B1746" s="7" t="s">
        <v>2687</v>
      </c>
      <c r="C1746" s="7" t="s">
        <v>2781</v>
      </c>
      <c r="D1746" s="7">
        <v>1737</v>
      </c>
      <c r="E1746" s="7">
        <v>348</v>
      </c>
      <c r="F1746" s="7" t="s">
        <v>2135</v>
      </c>
      <c r="G1746" s="7">
        <v>998</v>
      </c>
      <c r="H1746" s="7" t="s">
        <v>2135</v>
      </c>
      <c r="I1746" s="37">
        <v>0</v>
      </c>
      <c r="J1746" s="122">
        <v>0</v>
      </c>
      <c r="K1746" s="123">
        <f t="shared" si="270"/>
        <v>0</v>
      </c>
      <c r="L1746" s="122">
        <f>IF(K1749&gt;0, K1746/K1749, 0)</f>
        <v>0</v>
      </c>
      <c r="M1746" s="71"/>
      <c r="N1746" s="10">
        <f>ROUND(M1749*L1746,0)</f>
        <v>0</v>
      </c>
      <c r="O1746" s="70">
        <v>0</v>
      </c>
      <c r="P1746" s="10">
        <f>N1746-O1746</f>
        <v>0</v>
      </c>
      <c r="Q1746" s="46">
        <f t="shared" si="279"/>
        <v>0</v>
      </c>
      <c r="R1746" s="10">
        <v>0</v>
      </c>
      <c r="S1746" s="7">
        <f t="shared" si="272"/>
        <v>0</v>
      </c>
      <c r="T1746" s="124">
        <f t="shared" si="273"/>
        <v>348</v>
      </c>
      <c r="U1746" s="124">
        <f t="shared" si="274"/>
        <v>998</v>
      </c>
      <c r="V1746" s="124">
        <f t="shared" si="275"/>
        <v>1737</v>
      </c>
      <c r="W1746" s="124">
        <f t="shared" si="276"/>
        <v>0</v>
      </c>
      <c r="X1746" s="124">
        <f t="shared" si="277"/>
        <v>0</v>
      </c>
      <c r="Y1746" s="264">
        <f t="shared" si="278"/>
        <v>1737</v>
      </c>
      <c r="Z1746" s="10">
        <v>348</v>
      </c>
      <c r="AA1746" s="7">
        <v>998</v>
      </c>
      <c r="AB1746" s="7">
        <v>1737</v>
      </c>
      <c r="AC1746" s="109">
        <v>0</v>
      </c>
      <c r="AD1746" s="109">
        <v>0</v>
      </c>
      <c r="AE1746" s="125"/>
      <c r="AF1746" s="10"/>
      <c r="AI1746" s="109"/>
      <c r="AJ1746" s="109"/>
      <c r="AL1746" s="10"/>
      <c r="AO1746" s="109"/>
      <c r="AP1746" s="109"/>
      <c r="AR1746" s="10"/>
      <c r="AU1746" s="109"/>
      <c r="AV1746" s="109"/>
      <c r="AX1746" s="10"/>
      <c r="BA1746" s="109"/>
      <c r="BB1746" s="109"/>
      <c r="BD1746" s="10"/>
      <c r="BG1746" s="109"/>
      <c r="BH1746" s="109"/>
      <c r="BJ1746" s="10"/>
      <c r="BM1746" s="109"/>
      <c r="BN1746" s="109"/>
      <c r="BP1746" s="10"/>
      <c r="BS1746" s="109"/>
      <c r="BT1746" s="109"/>
      <c r="BV1746" s="10"/>
      <c r="BY1746" s="109"/>
      <c r="BZ1746" s="109"/>
      <c r="CB1746" s="10"/>
      <c r="CE1746" s="109"/>
      <c r="CF1746" s="109"/>
      <c r="CH1746" s="10"/>
      <c r="CK1746" s="109"/>
      <c r="CL1746" s="109"/>
    </row>
    <row r="1747" spans="1:90">
      <c r="A1747" s="7" t="str">
        <f t="shared" si="271"/>
        <v>03480998</v>
      </c>
      <c r="B1747" s="7" t="s">
        <v>2687</v>
      </c>
      <c r="C1747" s="7" t="s">
        <v>2781</v>
      </c>
      <c r="D1747" s="7">
        <v>1738</v>
      </c>
      <c r="E1747" s="7">
        <v>348</v>
      </c>
      <c r="F1747" s="7" t="s">
        <v>2135</v>
      </c>
      <c r="G1747" s="7">
        <v>998</v>
      </c>
      <c r="H1747" s="7" t="s">
        <v>2135</v>
      </c>
      <c r="I1747" s="37">
        <v>0</v>
      </c>
      <c r="J1747" s="122">
        <v>0</v>
      </c>
      <c r="K1747" s="123">
        <f t="shared" si="270"/>
        <v>0</v>
      </c>
      <c r="L1747" s="122">
        <f>IF(K1749&gt;0, K1747/K1749, 0)</f>
        <v>0</v>
      </c>
      <c r="M1747" s="71"/>
      <c r="N1747" s="10">
        <f>ROUND(M1749*L1747,0)</f>
        <v>0</v>
      </c>
      <c r="O1747" s="70">
        <v>0</v>
      </c>
      <c r="P1747" s="10">
        <f>N1747-O1747</f>
        <v>0</v>
      </c>
      <c r="Q1747" s="46">
        <f t="shared" si="279"/>
        <v>0</v>
      </c>
      <c r="R1747" s="10">
        <v>0</v>
      </c>
      <c r="S1747" s="7">
        <f t="shared" si="272"/>
        <v>0</v>
      </c>
      <c r="T1747" s="124">
        <f t="shared" si="273"/>
        <v>348</v>
      </c>
      <c r="U1747" s="124">
        <f t="shared" si="274"/>
        <v>998</v>
      </c>
      <c r="V1747" s="124">
        <f t="shared" si="275"/>
        <v>1738</v>
      </c>
      <c r="W1747" s="124">
        <f t="shared" si="276"/>
        <v>0</v>
      </c>
      <c r="X1747" s="124">
        <f t="shared" si="277"/>
        <v>0</v>
      </c>
      <c r="Y1747" s="264">
        <f t="shared" si="278"/>
        <v>1738</v>
      </c>
      <c r="Z1747" s="10">
        <v>348</v>
      </c>
      <c r="AA1747" s="7">
        <v>998</v>
      </c>
      <c r="AB1747" s="7">
        <v>1738</v>
      </c>
      <c r="AC1747" s="109">
        <v>0</v>
      </c>
      <c r="AD1747" s="109">
        <v>0</v>
      </c>
      <c r="AE1747" s="125"/>
      <c r="AF1747" s="10"/>
      <c r="AI1747" s="109"/>
      <c r="AJ1747" s="109"/>
      <c r="AL1747" s="10"/>
      <c r="AO1747" s="109"/>
      <c r="AP1747" s="109"/>
      <c r="AR1747" s="10"/>
      <c r="AU1747" s="109"/>
      <c r="AV1747" s="109"/>
      <c r="AX1747" s="10"/>
      <c r="BA1747" s="109"/>
      <c r="BB1747" s="109"/>
      <c r="BD1747" s="10"/>
      <c r="BG1747" s="109"/>
      <c r="BH1747" s="109"/>
      <c r="BJ1747" s="10"/>
      <c r="BM1747" s="109"/>
      <c r="BN1747" s="109"/>
      <c r="BP1747" s="10"/>
      <c r="BS1747" s="109"/>
      <c r="BT1747" s="109"/>
      <c r="BV1747" s="10"/>
      <c r="BY1747" s="109"/>
      <c r="BZ1747" s="109"/>
      <c r="CB1747" s="10"/>
      <c r="CE1747" s="109"/>
      <c r="CF1747" s="109"/>
      <c r="CH1747" s="10"/>
      <c r="CK1747" s="109"/>
      <c r="CL1747" s="109"/>
    </row>
    <row r="1748" spans="1:90">
      <c r="A1748" s="7" t="str">
        <f t="shared" si="271"/>
        <v>03480998</v>
      </c>
      <c r="B1748" s="7" t="s">
        <v>2687</v>
      </c>
      <c r="C1748" s="7" t="s">
        <v>2781</v>
      </c>
      <c r="D1748" s="7">
        <v>1739</v>
      </c>
      <c r="E1748" s="7">
        <v>348</v>
      </c>
      <c r="F1748" s="7" t="s">
        <v>2135</v>
      </c>
      <c r="G1748" s="7">
        <v>998</v>
      </c>
      <c r="H1748" s="7" t="s">
        <v>2135</v>
      </c>
      <c r="I1748" s="37">
        <v>0</v>
      </c>
      <c r="J1748" s="122">
        <v>0</v>
      </c>
      <c r="K1748" s="123">
        <f t="shared" si="270"/>
        <v>0</v>
      </c>
      <c r="L1748" s="122">
        <f>IF(K1749&gt;0, K1748/K1749, 0)</f>
        <v>0</v>
      </c>
      <c r="M1748" s="71"/>
      <c r="N1748" s="10">
        <f>ROUND(M1749*L1748,0)</f>
        <v>0</v>
      </c>
      <c r="O1748" s="70">
        <v>0</v>
      </c>
      <c r="P1748" s="10">
        <f>N1748-O1748</f>
        <v>0</v>
      </c>
      <c r="Q1748" s="46">
        <f t="shared" si="279"/>
        <v>0</v>
      </c>
      <c r="R1748" s="10">
        <v>0</v>
      </c>
      <c r="S1748" s="7">
        <f t="shared" si="272"/>
        <v>0</v>
      </c>
      <c r="T1748" s="124">
        <f t="shared" si="273"/>
        <v>348</v>
      </c>
      <c r="U1748" s="124">
        <f t="shared" si="274"/>
        <v>998</v>
      </c>
      <c r="V1748" s="124">
        <f t="shared" si="275"/>
        <v>1739</v>
      </c>
      <c r="W1748" s="124">
        <f t="shared" si="276"/>
        <v>0</v>
      </c>
      <c r="X1748" s="124">
        <f t="shared" si="277"/>
        <v>0</v>
      </c>
      <c r="Y1748" s="264">
        <f t="shared" si="278"/>
        <v>1739</v>
      </c>
      <c r="Z1748" s="10">
        <v>348</v>
      </c>
      <c r="AA1748" s="7">
        <v>998</v>
      </c>
      <c r="AB1748" s="7">
        <v>1739</v>
      </c>
      <c r="AC1748" s="109">
        <v>0</v>
      </c>
      <c r="AD1748" s="109">
        <v>0</v>
      </c>
      <c r="AE1748" s="125"/>
      <c r="AF1748" s="10"/>
      <c r="AI1748" s="109"/>
      <c r="AJ1748" s="109"/>
      <c r="AL1748" s="10"/>
      <c r="AO1748" s="109"/>
      <c r="AP1748" s="109"/>
      <c r="AR1748" s="10"/>
      <c r="AU1748" s="109"/>
      <c r="AV1748" s="109"/>
      <c r="AX1748" s="10"/>
      <c r="BA1748" s="109"/>
      <c r="BB1748" s="109"/>
      <c r="BD1748" s="10"/>
      <c r="BG1748" s="109"/>
      <c r="BH1748" s="109"/>
      <c r="BJ1748" s="10"/>
      <c r="BM1748" s="109"/>
      <c r="BN1748" s="109"/>
      <c r="BP1748" s="10"/>
      <c r="BS1748" s="109"/>
      <c r="BT1748" s="109"/>
      <c r="BV1748" s="10"/>
      <c r="BY1748" s="109"/>
      <c r="BZ1748" s="109"/>
      <c r="CB1748" s="10"/>
      <c r="CE1748" s="109"/>
      <c r="CF1748" s="109"/>
      <c r="CH1748" s="10"/>
      <c r="CK1748" s="109"/>
      <c r="CL1748" s="109"/>
    </row>
    <row r="1749" spans="1:90">
      <c r="A1749" s="7" t="str">
        <f t="shared" si="271"/>
        <v>03480999</v>
      </c>
      <c r="B1749" s="7" t="s">
        <v>2687</v>
      </c>
      <c r="C1749" s="7" t="s">
        <v>2782</v>
      </c>
      <c r="D1749" s="7">
        <v>1740</v>
      </c>
      <c r="E1749" s="11">
        <v>348</v>
      </c>
      <c r="F1749" s="11" t="s">
        <v>2052</v>
      </c>
      <c r="G1749" s="11">
        <v>999</v>
      </c>
      <c r="H1749" s="11" t="s">
        <v>1132</v>
      </c>
      <c r="I1749" s="105">
        <v>332590291.94999999</v>
      </c>
      <c r="J1749" s="126">
        <v>1</v>
      </c>
      <c r="K1749" s="127">
        <f>SUM(K1745:K1748)</f>
        <v>342886580.84977067</v>
      </c>
      <c r="L1749" s="126">
        <f>SUM(L1745:L1748)</f>
        <v>1</v>
      </c>
      <c r="M1749" s="105">
        <f>VLOOKUP(E1749,town351,22)</f>
        <v>97679398</v>
      </c>
      <c r="N1749" s="105">
        <f>SUM(N1745:N1748)</f>
        <v>97679398</v>
      </c>
      <c r="O1749" s="128">
        <v>97188059</v>
      </c>
      <c r="P1749" s="105">
        <f>SUM(P1745:P1748)</f>
        <v>491339</v>
      </c>
      <c r="Q1749" s="45">
        <f t="shared" si="279"/>
        <v>0.50555490567004735</v>
      </c>
      <c r="R1749" s="105">
        <v>27381</v>
      </c>
      <c r="S1749" s="7">
        <f t="shared" si="272"/>
        <v>0</v>
      </c>
      <c r="T1749" s="124">
        <f t="shared" si="273"/>
        <v>348</v>
      </c>
      <c r="U1749" s="124">
        <f t="shared" si="274"/>
        <v>999</v>
      </c>
      <c r="V1749" s="124">
        <f t="shared" si="275"/>
        <v>1740</v>
      </c>
      <c r="W1749" s="124">
        <f t="shared" si="276"/>
        <v>27751</v>
      </c>
      <c r="X1749" s="124">
        <f t="shared" si="277"/>
        <v>342886580.84977067</v>
      </c>
      <c r="Y1749" s="264">
        <f t="shared" si="278"/>
        <v>1740</v>
      </c>
      <c r="Z1749" s="10">
        <v>348</v>
      </c>
      <c r="AA1749" s="7">
        <v>999</v>
      </c>
      <c r="AB1749" s="7">
        <v>1740</v>
      </c>
      <c r="AC1749" s="109">
        <v>27751</v>
      </c>
      <c r="AD1749" s="109">
        <v>342886580.84977067</v>
      </c>
      <c r="AE1749" s="125"/>
      <c r="AF1749" s="10"/>
      <c r="AI1749" s="109"/>
      <c r="AJ1749" s="109"/>
      <c r="AL1749" s="10"/>
      <c r="AO1749" s="109"/>
      <c r="AP1749" s="109"/>
      <c r="AR1749" s="10"/>
      <c r="AU1749" s="109"/>
      <c r="AV1749" s="109"/>
      <c r="AX1749" s="10"/>
      <c r="BA1749" s="109"/>
      <c r="BB1749" s="109"/>
      <c r="BD1749" s="10"/>
      <c r="BG1749" s="109"/>
      <c r="BH1749" s="109"/>
      <c r="BJ1749" s="10"/>
      <c r="BM1749" s="109"/>
      <c r="BN1749" s="109"/>
      <c r="BP1749" s="10"/>
      <c r="BS1749" s="109"/>
      <c r="BT1749" s="109"/>
      <c r="BV1749" s="10"/>
      <c r="BY1749" s="109"/>
      <c r="BZ1749" s="109"/>
      <c r="CB1749" s="10"/>
      <c r="CE1749" s="109"/>
      <c r="CF1749" s="109"/>
      <c r="CH1749" s="10"/>
      <c r="CK1749" s="109"/>
      <c r="CL1749" s="109"/>
    </row>
    <row r="1750" spans="1:90">
      <c r="A1750" s="7" t="str">
        <f t="shared" si="271"/>
        <v>03490349</v>
      </c>
      <c r="B1750" s="7" t="s">
        <v>2688</v>
      </c>
      <c r="C1750" s="7" t="s">
        <v>2688</v>
      </c>
      <c r="D1750" s="7">
        <v>1741</v>
      </c>
      <c r="E1750" s="7">
        <v>349</v>
      </c>
      <c r="F1750" s="7" t="s">
        <v>2053</v>
      </c>
      <c r="G1750" s="7">
        <v>349</v>
      </c>
      <c r="H1750" s="7" t="s">
        <v>1615</v>
      </c>
      <c r="I1750" s="37">
        <v>1206120.8500000003</v>
      </c>
      <c r="J1750" s="122">
        <v>1</v>
      </c>
      <c r="K1750" s="123">
        <f>X1750</f>
        <v>1160346.2789760442</v>
      </c>
      <c r="L1750" s="122">
        <f>IF(K1754&gt;0, K1750/K1754, 0)</f>
        <v>1</v>
      </c>
      <c r="M1750" s="71"/>
      <c r="N1750" s="10">
        <f>ROUND(M1754*L1750,0)</f>
        <v>967158</v>
      </c>
      <c r="O1750" s="70">
        <v>969030</v>
      </c>
      <c r="P1750" s="10">
        <f>N1750-O1750</f>
        <v>-1872</v>
      </c>
      <c r="Q1750" s="46">
        <f t="shared" si="279"/>
        <v>-0.19318287359524472</v>
      </c>
      <c r="R1750" s="10">
        <v>122</v>
      </c>
      <c r="S1750" s="7">
        <f t="shared" si="272"/>
        <v>0</v>
      </c>
      <c r="T1750" s="124">
        <f t="shared" si="273"/>
        <v>349</v>
      </c>
      <c r="U1750" s="124">
        <f t="shared" si="274"/>
        <v>349</v>
      </c>
      <c r="V1750" s="124">
        <f t="shared" si="275"/>
        <v>1741</v>
      </c>
      <c r="W1750" s="124">
        <f t="shared" si="276"/>
        <v>109</v>
      </c>
      <c r="X1750" s="124">
        <f t="shared" si="277"/>
        <v>1160346.2789760442</v>
      </c>
      <c r="Y1750" s="264">
        <f t="shared" si="278"/>
        <v>1741</v>
      </c>
      <c r="Z1750" s="10">
        <v>349</v>
      </c>
      <c r="AA1750" s="7">
        <v>349</v>
      </c>
      <c r="AB1750" s="7">
        <v>1741</v>
      </c>
      <c r="AC1750" s="109">
        <v>109</v>
      </c>
      <c r="AD1750" s="109">
        <v>1160346.2789760442</v>
      </c>
      <c r="AE1750" s="125"/>
      <c r="AF1750" s="10"/>
      <c r="AI1750" s="109"/>
      <c r="AJ1750" s="109"/>
      <c r="AL1750" s="10"/>
      <c r="AO1750" s="109"/>
      <c r="AP1750" s="109"/>
      <c r="AR1750" s="10"/>
      <c r="AU1750" s="109"/>
      <c r="AV1750" s="109"/>
      <c r="AX1750" s="10"/>
      <c r="BA1750" s="109"/>
      <c r="BB1750" s="109"/>
      <c r="BD1750" s="10"/>
      <c r="BG1750" s="109"/>
      <c r="BH1750" s="109"/>
      <c r="BJ1750" s="10"/>
      <c r="BM1750" s="109"/>
      <c r="BN1750" s="109"/>
      <c r="BP1750" s="10"/>
      <c r="BS1750" s="109"/>
      <c r="BT1750" s="109"/>
      <c r="BV1750" s="10"/>
      <c r="BY1750" s="109"/>
      <c r="BZ1750" s="109"/>
      <c r="CB1750" s="10"/>
      <c r="CE1750" s="109"/>
      <c r="CF1750" s="109"/>
      <c r="CH1750" s="10"/>
      <c r="CK1750" s="109"/>
      <c r="CL1750" s="109"/>
    </row>
    <row r="1751" spans="1:90">
      <c r="A1751" s="7" t="str">
        <f t="shared" si="271"/>
        <v>03490998</v>
      </c>
      <c r="B1751" s="7" t="s">
        <v>2688</v>
      </c>
      <c r="C1751" s="7" t="s">
        <v>2781</v>
      </c>
      <c r="D1751" s="7">
        <v>1742</v>
      </c>
      <c r="E1751" s="7">
        <v>349</v>
      </c>
      <c r="F1751" s="7" t="s">
        <v>2053</v>
      </c>
      <c r="G1751" s="7">
        <v>998</v>
      </c>
      <c r="H1751" s="7" t="s">
        <v>1642</v>
      </c>
      <c r="I1751" s="37">
        <v>0</v>
      </c>
      <c r="J1751" s="122">
        <v>0</v>
      </c>
      <c r="K1751" s="123">
        <f t="shared" si="270"/>
        <v>0</v>
      </c>
      <c r="L1751" s="122">
        <f>IF(K1754&gt;0, K1751/K1754, 0)</f>
        <v>0</v>
      </c>
      <c r="M1751" s="71"/>
      <c r="N1751" s="10">
        <f>ROUND(M1754*L1751,0)</f>
        <v>0</v>
      </c>
      <c r="O1751" s="70">
        <v>0</v>
      </c>
      <c r="P1751" s="10">
        <f>N1751-O1751</f>
        <v>0</v>
      </c>
      <c r="Q1751" s="46">
        <f t="shared" si="279"/>
        <v>0</v>
      </c>
      <c r="R1751" s="10">
        <v>0</v>
      </c>
      <c r="S1751" s="7">
        <f t="shared" si="272"/>
        <v>0</v>
      </c>
      <c r="T1751" s="124">
        <f t="shared" si="273"/>
        <v>349</v>
      </c>
      <c r="U1751" s="124">
        <f t="shared" si="274"/>
        <v>998</v>
      </c>
      <c r="V1751" s="124">
        <f t="shared" si="275"/>
        <v>1742</v>
      </c>
      <c r="W1751" s="124">
        <f t="shared" si="276"/>
        <v>0</v>
      </c>
      <c r="X1751" s="124">
        <f t="shared" si="277"/>
        <v>0</v>
      </c>
      <c r="Y1751" s="264">
        <f t="shared" si="278"/>
        <v>1742</v>
      </c>
      <c r="Z1751" s="10">
        <v>349</v>
      </c>
      <c r="AA1751" s="7">
        <v>998</v>
      </c>
      <c r="AB1751" s="7">
        <v>1742</v>
      </c>
      <c r="AC1751" s="109">
        <v>0</v>
      </c>
      <c r="AD1751" s="109">
        <v>0</v>
      </c>
      <c r="AE1751" s="125"/>
      <c r="AF1751" s="10"/>
      <c r="AI1751" s="109"/>
      <c r="AJ1751" s="109"/>
      <c r="AL1751" s="10"/>
      <c r="AO1751" s="109"/>
      <c r="AP1751" s="109"/>
      <c r="AR1751" s="10"/>
      <c r="AU1751" s="109"/>
      <c r="AV1751" s="109"/>
      <c r="AX1751" s="10"/>
      <c r="BA1751" s="109"/>
      <c r="BB1751" s="109"/>
      <c r="BD1751" s="10"/>
      <c r="BG1751" s="109"/>
      <c r="BH1751" s="109"/>
      <c r="BJ1751" s="10"/>
      <c r="BM1751" s="109"/>
      <c r="BN1751" s="109"/>
      <c r="BP1751" s="10"/>
      <c r="BS1751" s="109"/>
      <c r="BT1751" s="109"/>
      <c r="BV1751" s="10"/>
      <c r="BY1751" s="109"/>
      <c r="BZ1751" s="109"/>
      <c r="CB1751" s="10"/>
      <c r="CE1751" s="109"/>
      <c r="CF1751" s="109"/>
      <c r="CH1751" s="10"/>
      <c r="CK1751" s="109"/>
      <c r="CL1751" s="109"/>
    </row>
    <row r="1752" spans="1:90">
      <c r="A1752" s="7" t="str">
        <f t="shared" si="271"/>
        <v>03490998</v>
      </c>
      <c r="B1752" s="7" t="s">
        <v>2688</v>
      </c>
      <c r="C1752" s="7" t="s">
        <v>2781</v>
      </c>
      <c r="D1752" s="7">
        <v>1743</v>
      </c>
      <c r="E1752" s="7">
        <v>349</v>
      </c>
      <c r="F1752" s="7" t="s">
        <v>2135</v>
      </c>
      <c r="G1752" s="7">
        <v>998</v>
      </c>
      <c r="H1752" s="7" t="s">
        <v>2135</v>
      </c>
      <c r="I1752" s="37">
        <v>0</v>
      </c>
      <c r="J1752" s="122">
        <v>0</v>
      </c>
      <c r="K1752" s="123">
        <f t="shared" si="270"/>
        <v>0</v>
      </c>
      <c r="L1752" s="122">
        <f>IF(K1754&gt;0, K1752/K1754, 0)</f>
        <v>0</v>
      </c>
      <c r="M1752" s="71"/>
      <c r="N1752" s="10">
        <f>ROUND(M1754*L1752,0)</f>
        <v>0</v>
      </c>
      <c r="O1752" s="70">
        <v>0</v>
      </c>
      <c r="P1752" s="10">
        <f>N1752-O1752</f>
        <v>0</v>
      </c>
      <c r="Q1752" s="46">
        <f t="shared" si="279"/>
        <v>0</v>
      </c>
      <c r="R1752" s="10">
        <v>0</v>
      </c>
      <c r="S1752" s="7">
        <f t="shared" si="272"/>
        <v>0</v>
      </c>
      <c r="T1752" s="124">
        <f t="shared" si="273"/>
        <v>349</v>
      </c>
      <c r="U1752" s="124">
        <f t="shared" si="274"/>
        <v>998</v>
      </c>
      <c r="V1752" s="124">
        <f t="shared" si="275"/>
        <v>1743</v>
      </c>
      <c r="W1752" s="124">
        <f t="shared" si="276"/>
        <v>0</v>
      </c>
      <c r="X1752" s="124">
        <f t="shared" si="277"/>
        <v>0</v>
      </c>
      <c r="Y1752" s="264">
        <f t="shared" si="278"/>
        <v>1743</v>
      </c>
      <c r="Z1752" s="10">
        <v>349</v>
      </c>
      <c r="AA1752" s="7">
        <v>998</v>
      </c>
      <c r="AB1752" s="7">
        <v>1743</v>
      </c>
      <c r="AC1752" s="109">
        <v>0</v>
      </c>
      <c r="AD1752" s="109">
        <v>0</v>
      </c>
      <c r="AE1752" s="125"/>
      <c r="AF1752" s="10"/>
      <c r="AI1752" s="109"/>
      <c r="AJ1752" s="109"/>
      <c r="AL1752" s="10"/>
      <c r="AO1752" s="109"/>
      <c r="AP1752" s="109"/>
      <c r="AR1752" s="10"/>
      <c r="AU1752" s="109"/>
      <c r="AV1752" s="109"/>
      <c r="AX1752" s="10"/>
      <c r="BA1752" s="109"/>
      <c r="BB1752" s="109"/>
      <c r="BD1752" s="10"/>
      <c r="BG1752" s="109"/>
      <c r="BH1752" s="109"/>
      <c r="BJ1752" s="10"/>
      <c r="BM1752" s="109"/>
      <c r="BN1752" s="109"/>
      <c r="BP1752" s="10"/>
      <c r="BS1752" s="109"/>
      <c r="BT1752" s="109"/>
      <c r="BV1752" s="10"/>
      <c r="BY1752" s="109"/>
      <c r="BZ1752" s="109"/>
      <c r="CB1752" s="10"/>
      <c r="CE1752" s="109"/>
      <c r="CF1752" s="109"/>
      <c r="CH1752" s="10"/>
      <c r="CK1752" s="109"/>
      <c r="CL1752" s="109"/>
    </row>
    <row r="1753" spans="1:90">
      <c r="A1753" s="7" t="str">
        <f t="shared" si="271"/>
        <v>03490998</v>
      </c>
      <c r="B1753" s="7" t="s">
        <v>2688</v>
      </c>
      <c r="C1753" s="7" t="s">
        <v>2781</v>
      </c>
      <c r="D1753" s="7">
        <v>1744</v>
      </c>
      <c r="E1753" s="7">
        <v>349</v>
      </c>
      <c r="F1753" s="7" t="s">
        <v>2135</v>
      </c>
      <c r="G1753" s="7">
        <v>998</v>
      </c>
      <c r="H1753" s="7" t="s">
        <v>2135</v>
      </c>
      <c r="I1753" s="37">
        <v>0</v>
      </c>
      <c r="J1753" s="122">
        <v>0</v>
      </c>
      <c r="K1753" s="123">
        <f t="shared" si="270"/>
        <v>0</v>
      </c>
      <c r="L1753" s="122">
        <f>IF(K1754&gt;0, K1753/K1754, 0)</f>
        <v>0</v>
      </c>
      <c r="M1753" s="71"/>
      <c r="N1753" s="10">
        <f>ROUND(M1754*L1753,0)</f>
        <v>0</v>
      </c>
      <c r="O1753" s="70">
        <v>0</v>
      </c>
      <c r="P1753" s="10">
        <f>N1753-O1753</f>
        <v>0</v>
      </c>
      <c r="Q1753" s="46">
        <f t="shared" si="279"/>
        <v>0</v>
      </c>
      <c r="R1753" s="10">
        <v>0</v>
      </c>
      <c r="S1753" s="7">
        <f t="shared" si="272"/>
        <v>0</v>
      </c>
      <c r="T1753" s="124">
        <f t="shared" si="273"/>
        <v>349</v>
      </c>
      <c r="U1753" s="124">
        <f t="shared" si="274"/>
        <v>998</v>
      </c>
      <c r="V1753" s="124">
        <f t="shared" si="275"/>
        <v>1744</v>
      </c>
      <c r="W1753" s="124">
        <f t="shared" si="276"/>
        <v>0</v>
      </c>
      <c r="X1753" s="124">
        <f t="shared" si="277"/>
        <v>0</v>
      </c>
      <c r="Y1753" s="264">
        <f t="shared" si="278"/>
        <v>1744</v>
      </c>
      <c r="Z1753" s="10">
        <v>349</v>
      </c>
      <c r="AA1753" s="7">
        <v>998</v>
      </c>
      <c r="AB1753" s="7">
        <v>1744</v>
      </c>
      <c r="AC1753" s="109">
        <v>0</v>
      </c>
      <c r="AD1753" s="109">
        <v>0</v>
      </c>
      <c r="AE1753" s="125"/>
      <c r="AF1753" s="10"/>
      <c r="AI1753" s="109"/>
      <c r="AJ1753" s="109"/>
      <c r="AL1753" s="10"/>
      <c r="AO1753" s="109"/>
      <c r="AP1753" s="109"/>
      <c r="AR1753" s="10"/>
      <c r="AU1753" s="109"/>
      <c r="AV1753" s="109"/>
      <c r="AX1753" s="10"/>
      <c r="BA1753" s="109"/>
      <c r="BB1753" s="109"/>
      <c r="BD1753" s="10"/>
      <c r="BG1753" s="109"/>
      <c r="BH1753" s="109"/>
      <c r="BJ1753" s="10"/>
      <c r="BM1753" s="109"/>
      <c r="BN1753" s="109"/>
      <c r="BP1753" s="10"/>
      <c r="BS1753" s="109"/>
      <c r="BT1753" s="109"/>
      <c r="BV1753" s="10"/>
      <c r="BY1753" s="109"/>
      <c r="BZ1753" s="109"/>
      <c r="CB1753" s="10"/>
      <c r="CE1753" s="109"/>
      <c r="CF1753" s="109"/>
      <c r="CH1753" s="10"/>
      <c r="CK1753" s="109"/>
      <c r="CL1753" s="109"/>
    </row>
    <row r="1754" spans="1:90">
      <c r="A1754" s="7" t="str">
        <f t="shared" si="271"/>
        <v>03490999</v>
      </c>
      <c r="B1754" s="7" t="s">
        <v>2688</v>
      </c>
      <c r="C1754" s="7" t="s">
        <v>2782</v>
      </c>
      <c r="D1754" s="7">
        <v>1745</v>
      </c>
      <c r="E1754" s="11">
        <v>349</v>
      </c>
      <c r="F1754" s="11" t="s">
        <v>2053</v>
      </c>
      <c r="G1754" s="11">
        <v>999</v>
      </c>
      <c r="H1754" s="11" t="s">
        <v>1132</v>
      </c>
      <c r="I1754" s="105">
        <v>1206120.8500000003</v>
      </c>
      <c r="J1754" s="126">
        <v>1</v>
      </c>
      <c r="K1754" s="127">
        <f>SUM(K1750:K1753)</f>
        <v>1160346.2789760442</v>
      </c>
      <c r="L1754" s="126">
        <f>SUM(L1750:L1753)</f>
        <v>1</v>
      </c>
      <c r="M1754" s="105">
        <f>VLOOKUP(E1754,town351,22)</f>
        <v>967158</v>
      </c>
      <c r="N1754" s="105">
        <f>SUM(N1750:N1753)</f>
        <v>967158</v>
      </c>
      <c r="O1754" s="128">
        <v>969030</v>
      </c>
      <c r="P1754" s="105">
        <f>SUM(P1750:P1753)</f>
        <v>-1872</v>
      </c>
      <c r="Q1754" s="45">
        <f t="shared" si="279"/>
        <v>-0.19318287359524472</v>
      </c>
      <c r="R1754" s="105">
        <v>122</v>
      </c>
      <c r="S1754" s="7">
        <f t="shared" si="272"/>
        <v>0</v>
      </c>
      <c r="T1754" s="124">
        <f t="shared" si="273"/>
        <v>349</v>
      </c>
      <c r="U1754" s="124">
        <f t="shared" si="274"/>
        <v>999</v>
      </c>
      <c r="V1754" s="124">
        <f t="shared" si="275"/>
        <v>1745</v>
      </c>
      <c r="W1754" s="124">
        <f t="shared" si="276"/>
        <v>109</v>
      </c>
      <c r="X1754" s="124">
        <f t="shared" si="277"/>
        <v>1160346.2789760442</v>
      </c>
      <c r="Y1754" s="264">
        <f t="shared" si="278"/>
        <v>1745</v>
      </c>
      <c r="Z1754" s="10">
        <v>349</v>
      </c>
      <c r="AA1754" s="7">
        <v>999</v>
      </c>
      <c r="AB1754" s="7">
        <v>1745</v>
      </c>
      <c r="AC1754" s="109">
        <v>109</v>
      </c>
      <c r="AD1754" s="109">
        <v>1160346.2789760442</v>
      </c>
      <c r="AE1754" s="125"/>
      <c r="AF1754" s="10"/>
      <c r="AI1754" s="109"/>
      <c r="AJ1754" s="109"/>
      <c r="AL1754" s="10"/>
      <c r="AO1754" s="109"/>
      <c r="AP1754" s="109"/>
      <c r="AR1754" s="10"/>
      <c r="AU1754" s="109"/>
      <c r="AV1754" s="109"/>
      <c r="AX1754" s="10"/>
      <c r="BA1754" s="109"/>
      <c r="BB1754" s="109"/>
      <c r="BD1754" s="10"/>
      <c r="BG1754" s="109"/>
      <c r="BH1754" s="109"/>
      <c r="BJ1754" s="10"/>
      <c r="BM1754" s="109"/>
      <c r="BN1754" s="109"/>
      <c r="BP1754" s="10"/>
      <c r="BS1754" s="109"/>
      <c r="BT1754" s="109"/>
      <c r="BV1754" s="10"/>
      <c r="BY1754" s="109"/>
      <c r="BZ1754" s="109"/>
      <c r="CB1754" s="10"/>
      <c r="CE1754" s="109"/>
      <c r="CF1754" s="109"/>
      <c r="CH1754" s="10"/>
      <c r="CK1754" s="109"/>
      <c r="CL1754" s="109"/>
    </row>
    <row r="1755" spans="1:90">
      <c r="A1755" s="7" t="str">
        <f t="shared" si="271"/>
        <v>03500350</v>
      </c>
      <c r="B1755" s="7" t="s">
        <v>2689</v>
      </c>
      <c r="C1755" s="7" t="s">
        <v>2689</v>
      </c>
      <c r="D1755" s="7">
        <v>1746</v>
      </c>
      <c r="E1755" s="7">
        <v>350</v>
      </c>
      <c r="F1755" s="7" t="s">
        <v>2054</v>
      </c>
      <c r="G1755" s="7">
        <v>350</v>
      </c>
      <c r="H1755" s="7" t="s">
        <v>1616</v>
      </c>
      <c r="I1755" s="37">
        <v>8711771.7903999984</v>
      </c>
      <c r="J1755" s="122">
        <v>0.47739354113583982</v>
      </c>
      <c r="K1755" s="123">
        <f>X1755</f>
        <v>8596118.8600556906</v>
      </c>
      <c r="L1755" s="122">
        <f>IF(K1759&gt;0, K1755/K1759, 0)</f>
        <v>0.47473639766724296</v>
      </c>
      <c r="M1755" s="71"/>
      <c r="N1755" s="10">
        <f>ROUND(M1759*L1755,0)</f>
        <v>7106012</v>
      </c>
      <c r="O1755" s="70">
        <v>6915585</v>
      </c>
      <c r="P1755" s="10">
        <f>N1755-O1755</f>
        <v>190427</v>
      </c>
      <c r="Q1755" s="46">
        <f t="shared" si="279"/>
        <v>2.7535920677715624</v>
      </c>
      <c r="R1755" s="10">
        <v>966</v>
      </c>
      <c r="S1755" s="7">
        <f t="shared" si="272"/>
        <v>0</v>
      </c>
      <c r="T1755" s="124">
        <f t="shared" si="273"/>
        <v>350</v>
      </c>
      <c r="U1755" s="124">
        <f t="shared" si="274"/>
        <v>350</v>
      </c>
      <c r="V1755" s="124">
        <f t="shared" si="275"/>
        <v>1746</v>
      </c>
      <c r="W1755" s="124">
        <f t="shared" si="276"/>
        <v>923</v>
      </c>
      <c r="X1755" s="124">
        <f t="shared" si="277"/>
        <v>8596118.8600556906</v>
      </c>
      <c r="Y1755" s="264">
        <f t="shared" si="278"/>
        <v>1746</v>
      </c>
      <c r="Z1755" s="10">
        <v>350</v>
      </c>
      <c r="AA1755" s="7">
        <v>350</v>
      </c>
      <c r="AB1755" s="7">
        <v>1746</v>
      </c>
      <c r="AC1755" s="109">
        <v>923</v>
      </c>
      <c r="AD1755" s="109">
        <v>8596118.8600556906</v>
      </c>
      <c r="AE1755" s="125"/>
      <c r="AF1755" s="10"/>
      <c r="AI1755" s="109"/>
      <c r="AJ1755" s="109"/>
      <c r="AL1755" s="10"/>
      <c r="AO1755" s="109"/>
      <c r="AP1755" s="109"/>
      <c r="AR1755" s="10"/>
      <c r="AU1755" s="109"/>
      <c r="AV1755" s="109"/>
      <c r="AX1755" s="10"/>
      <c r="BA1755" s="109"/>
      <c r="BB1755" s="109"/>
      <c r="BD1755" s="10"/>
      <c r="BG1755" s="109"/>
      <c r="BH1755" s="109"/>
      <c r="BJ1755" s="10"/>
      <c r="BM1755" s="109"/>
      <c r="BN1755" s="109"/>
      <c r="BP1755" s="10"/>
      <c r="BS1755" s="109"/>
      <c r="BT1755" s="109"/>
      <c r="BV1755" s="10"/>
      <c r="BY1755" s="109"/>
      <c r="BZ1755" s="109"/>
      <c r="CB1755" s="10"/>
      <c r="CE1755" s="109"/>
      <c r="CF1755" s="109"/>
      <c r="CH1755" s="10"/>
      <c r="CK1755" s="109"/>
      <c r="CL1755" s="109"/>
    </row>
    <row r="1756" spans="1:90">
      <c r="A1756" s="7" t="str">
        <f t="shared" si="271"/>
        <v>03500690</v>
      </c>
      <c r="B1756" s="7" t="s">
        <v>2689</v>
      </c>
      <c r="C1756" s="7" t="s">
        <v>2722</v>
      </c>
      <c r="D1756" s="7">
        <v>1747</v>
      </c>
      <c r="E1756" s="7">
        <v>350</v>
      </c>
      <c r="F1756" s="7" t="s">
        <v>2054</v>
      </c>
      <c r="G1756" s="7">
        <v>690</v>
      </c>
      <c r="H1756" s="7" t="s">
        <v>1649</v>
      </c>
      <c r="I1756" s="37">
        <v>8484546</v>
      </c>
      <c r="J1756" s="122">
        <v>0.46494186915380031</v>
      </c>
      <c r="K1756" s="123">
        <f t="shared" si="270"/>
        <v>8591061.9404879548</v>
      </c>
      <c r="L1756" s="122">
        <f>IF(K1759&gt;0, K1756/K1759, 0)</f>
        <v>0.47445712002835</v>
      </c>
      <c r="M1756" s="71"/>
      <c r="N1756" s="10">
        <f>ROUND(M1759*L1756,0)</f>
        <v>7101832</v>
      </c>
      <c r="O1756" s="70">
        <v>6735208</v>
      </c>
      <c r="P1756" s="10">
        <f>N1756-O1756</f>
        <v>366624</v>
      </c>
      <c r="Q1756" s="46">
        <f t="shared" si="279"/>
        <v>5.4433953635878805</v>
      </c>
      <c r="R1756" s="10">
        <v>872</v>
      </c>
      <c r="S1756" s="7">
        <f t="shared" si="272"/>
        <v>0</v>
      </c>
      <c r="T1756" s="124">
        <f t="shared" si="273"/>
        <v>350</v>
      </c>
      <c r="U1756" s="124">
        <f t="shared" si="274"/>
        <v>690</v>
      </c>
      <c r="V1756" s="124">
        <f t="shared" si="275"/>
        <v>1747</v>
      </c>
      <c r="W1756" s="124">
        <f t="shared" si="276"/>
        <v>861.99999999488</v>
      </c>
      <c r="X1756" s="124">
        <f t="shared" si="277"/>
        <v>8591061.9404879548</v>
      </c>
      <c r="Y1756" s="264">
        <f t="shared" si="278"/>
        <v>1747</v>
      </c>
      <c r="Z1756" s="10">
        <v>350</v>
      </c>
      <c r="AA1756" s="7">
        <v>690</v>
      </c>
      <c r="AB1756" s="7">
        <v>1747</v>
      </c>
      <c r="AC1756" s="109">
        <v>861.99999999488</v>
      </c>
      <c r="AD1756" s="109">
        <v>8591061.9404879548</v>
      </c>
      <c r="AE1756" s="125"/>
      <c r="AF1756" s="10"/>
      <c r="AI1756" s="109"/>
      <c r="AJ1756" s="109"/>
      <c r="AL1756" s="10"/>
      <c r="AO1756" s="109"/>
      <c r="AP1756" s="109"/>
      <c r="AR1756" s="10"/>
      <c r="AU1756" s="109"/>
      <c r="AV1756" s="109"/>
      <c r="AX1756" s="10"/>
      <c r="BA1756" s="109"/>
      <c r="BB1756" s="109"/>
      <c r="BD1756" s="10"/>
      <c r="BG1756" s="109"/>
      <c r="BH1756" s="109"/>
      <c r="BJ1756" s="10"/>
      <c r="BM1756" s="109"/>
      <c r="BN1756" s="109"/>
      <c r="BP1756" s="10"/>
      <c r="BS1756" s="109"/>
      <c r="BT1756" s="109"/>
      <c r="BV1756" s="10"/>
      <c r="BY1756" s="109"/>
      <c r="BZ1756" s="109"/>
      <c r="CB1756" s="10"/>
      <c r="CE1756" s="109"/>
      <c r="CF1756" s="109"/>
      <c r="CH1756" s="10"/>
      <c r="CK1756" s="109"/>
      <c r="CL1756" s="109"/>
    </row>
    <row r="1757" spans="1:90">
      <c r="A1757" s="7" t="str">
        <f t="shared" si="271"/>
        <v>03500878</v>
      </c>
      <c r="B1757" s="7" t="s">
        <v>2689</v>
      </c>
      <c r="C1757" s="7" t="s">
        <v>2775</v>
      </c>
      <c r="D1757" s="7">
        <v>1748</v>
      </c>
      <c r="E1757" s="7">
        <v>350</v>
      </c>
      <c r="F1757" s="7" t="s">
        <v>2054</v>
      </c>
      <c r="G1757" s="7">
        <v>878</v>
      </c>
      <c r="H1757" s="7" t="s">
        <v>1702</v>
      </c>
      <c r="I1757" s="37">
        <v>874789</v>
      </c>
      <c r="J1757" s="122">
        <v>4.7937277112432869E-2</v>
      </c>
      <c r="K1757" s="123">
        <f t="shared" si="270"/>
        <v>771709.45938094589</v>
      </c>
      <c r="L1757" s="122">
        <f>IF(K1759&gt;0, K1757/K1759, 0)</f>
        <v>4.2619067367092263E-2</v>
      </c>
      <c r="M1757" s="71"/>
      <c r="N1757" s="10">
        <f>ROUND(M1759*L1757,0)</f>
        <v>637936</v>
      </c>
      <c r="O1757" s="70">
        <v>694426</v>
      </c>
      <c r="P1757" s="10">
        <f>N1757-O1757</f>
        <v>-56490</v>
      </c>
      <c r="Q1757" s="46">
        <f t="shared" si="279"/>
        <v>-8.134776059652145</v>
      </c>
      <c r="R1757" s="10">
        <v>55</v>
      </c>
      <c r="S1757" s="7">
        <f t="shared" si="272"/>
        <v>0</v>
      </c>
      <c r="T1757" s="124">
        <f t="shared" si="273"/>
        <v>350</v>
      </c>
      <c r="U1757" s="124">
        <f t="shared" si="274"/>
        <v>878</v>
      </c>
      <c r="V1757" s="124">
        <f t="shared" si="275"/>
        <v>1748</v>
      </c>
      <c r="W1757" s="124">
        <f t="shared" si="276"/>
        <v>46.999999999080003</v>
      </c>
      <c r="X1757" s="124">
        <f t="shared" si="277"/>
        <v>771709.45938094589</v>
      </c>
      <c r="Y1757" s="264">
        <f t="shared" si="278"/>
        <v>1748</v>
      </c>
      <c r="Z1757" s="10">
        <v>350</v>
      </c>
      <c r="AA1757" s="7">
        <v>878</v>
      </c>
      <c r="AB1757" s="7">
        <v>1748</v>
      </c>
      <c r="AC1757" s="109">
        <v>46.999999999080003</v>
      </c>
      <c r="AD1757" s="109">
        <v>771709.45938094589</v>
      </c>
      <c r="AE1757" s="125"/>
      <c r="AF1757" s="10"/>
      <c r="AI1757" s="109"/>
      <c r="AJ1757" s="109"/>
      <c r="AL1757" s="10"/>
      <c r="AO1757" s="109"/>
      <c r="AP1757" s="109"/>
      <c r="AR1757" s="10"/>
      <c r="AU1757" s="109"/>
      <c r="AV1757" s="109"/>
      <c r="AX1757" s="10"/>
      <c r="BA1757" s="109"/>
      <c r="BB1757" s="109"/>
      <c r="BD1757" s="10"/>
      <c r="BG1757" s="109"/>
      <c r="BH1757" s="109"/>
      <c r="BJ1757" s="10"/>
      <c r="BM1757" s="109"/>
      <c r="BN1757" s="109"/>
      <c r="BP1757" s="10"/>
      <c r="BS1757" s="109"/>
      <c r="BT1757" s="109"/>
      <c r="BV1757" s="10"/>
      <c r="BY1757" s="109"/>
      <c r="BZ1757" s="109"/>
      <c r="CB1757" s="10"/>
      <c r="CE1757" s="109"/>
      <c r="CF1757" s="109"/>
      <c r="CH1757" s="10"/>
      <c r="CK1757" s="109"/>
      <c r="CL1757" s="109"/>
    </row>
    <row r="1758" spans="1:90">
      <c r="A1758" s="7" t="str">
        <f t="shared" si="271"/>
        <v>03500915</v>
      </c>
      <c r="B1758" s="7" t="s">
        <v>2689</v>
      </c>
      <c r="C1758" s="7" t="s">
        <v>2779</v>
      </c>
      <c r="D1758" s="7">
        <v>1749</v>
      </c>
      <c r="E1758" s="7">
        <v>350</v>
      </c>
      <c r="F1758" s="7" t="s">
        <v>2054</v>
      </c>
      <c r="G1758" s="7">
        <v>915</v>
      </c>
      <c r="H1758" s="7" t="s">
        <v>1706</v>
      </c>
      <c r="I1758" s="37">
        <v>177510</v>
      </c>
      <c r="J1758" s="122">
        <v>9.7273125979269962E-3</v>
      </c>
      <c r="K1758" s="123">
        <f t="shared" si="270"/>
        <v>148250.67617226343</v>
      </c>
      <c r="L1758" s="122">
        <f>IF(K1759&gt;0, K1758/K1759, 0)</f>
        <v>8.1874149373147853E-3</v>
      </c>
      <c r="M1758" s="71"/>
      <c r="N1758" s="10">
        <f>ROUND(M1759*L1758,0)</f>
        <v>122552</v>
      </c>
      <c r="O1758" s="70">
        <v>140911</v>
      </c>
      <c r="P1758" s="10">
        <f>N1758-O1758</f>
        <v>-18359</v>
      </c>
      <c r="Q1758" s="46">
        <f t="shared" si="279"/>
        <v>-13.028791222828595</v>
      </c>
      <c r="R1758" s="10">
        <v>11</v>
      </c>
      <c r="S1758" s="7">
        <f t="shared" si="272"/>
        <v>0</v>
      </c>
      <c r="T1758" s="124">
        <f t="shared" si="273"/>
        <v>350</v>
      </c>
      <c r="U1758" s="124">
        <f t="shared" si="274"/>
        <v>915</v>
      </c>
      <c r="V1758" s="124">
        <f t="shared" si="275"/>
        <v>1749</v>
      </c>
      <c r="W1758" s="124">
        <f t="shared" si="276"/>
        <v>9.0000000010800001</v>
      </c>
      <c r="X1758" s="124">
        <f t="shared" si="277"/>
        <v>148250.67617226343</v>
      </c>
      <c r="Y1758" s="264">
        <f t="shared" si="278"/>
        <v>1749</v>
      </c>
      <c r="Z1758" s="10">
        <v>350</v>
      </c>
      <c r="AA1758" s="7">
        <v>915</v>
      </c>
      <c r="AB1758" s="7">
        <v>1749</v>
      </c>
      <c r="AC1758" s="109">
        <v>9.0000000010800001</v>
      </c>
      <c r="AD1758" s="109">
        <v>148250.67617226343</v>
      </c>
      <c r="AE1758" s="125"/>
      <c r="AF1758" s="10"/>
      <c r="AI1758" s="109"/>
      <c r="AJ1758" s="109"/>
      <c r="AL1758" s="10"/>
      <c r="AO1758" s="109"/>
      <c r="AP1758" s="109"/>
      <c r="AR1758" s="10"/>
      <c r="AU1758" s="109"/>
      <c r="AV1758" s="109"/>
      <c r="AX1758" s="10"/>
      <c r="BA1758" s="109"/>
      <c r="BB1758" s="109"/>
      <c r="BD1758" s="10"/>
      <c r="BG1758" s="109"/>
      <c r="BH1758" s="109"/>
      <c r="BJ1758" s="10"/>
      <c r="BM1758" s="109"/>
      <c r="BN1758" s="109"/>
      <c r="BP1758" s="10"/>
      <c r="BS1758" s="109"/>
      <c r="BT1758" s="109"/>
      <c r="BV1758" s="10"/>
      <c r="BY1758" s="109"/>
      <c r="BZ1758" s="109"/>
      <c r="CB1758" s="10"/>
      <c r="CE1758" s="109"/>
      <c r="CF1758" s="109"/>
      <c r="CH1758" s="10"/>
      <c r="CK1758" s="109"/>
      <c r="CL1758" s="109"/>
    </row>
    <row r="1759" spans="1:90">
      <c r="A1759" s="7" t="str">
        <f t="shared" si="271"/>
        <v>03500999</v>
      </c>
      <c r="B1759" s="7" t="s">
        <v>2689</v>
      </c>
      <c r="C1759" s="7" t="s">
        <v>2782</v>
      </c>
      <c r="D1759" s="7">
        <v>1750</v>
      </c>
      <c r="E1759" s="11">
        <v>350</v>
      </c>
      <c r="F1759" s="11" t="s">
        <v>2054</v>
      </c>
      <c r="G1759" s="11">
        <v>999</v>
      </c>
      <c r="H1759" s="11" t="s">
        <v>1132</v>
      </c>
      <c r="I1759" s="105">
        <v>18248616.790399998</v>
      </c>
      <c r="J1759" s="126">
        <v>1</v>
      </c>
      <c r="K1759" s="127">
        <f>SUM(K1755:K1758)</f>
        <v>18107140.936096855</v>
      </c>
      <c r="L1759" s="126">
        <f>SUM(L1755:L1758)</f>
        <v>1</v>
      </c>
      <c r="M1759" s="105">
        <f>VLOOKUP(E1759,town351,22)</f>
        <v>14968333</v>
      </c>
      <c r="N1759" s="105">
        <f>SUM(N1755:N1758)</f>
        <v>14968332</v>
      </c>
      <c r="O1759" s="128">
        <v>14486130</v>
      </c>
      <c r="P1759" s="105">
        <f>SUM(P1755:P1758)</f>
        <v>482202</v>
      </c>
      <c r="Q1759" s="45">
        <f t="shared" si="279"/>
        <v>3.3287151226725151</v>
      </c>
      <c r="R1759" s="105">
        <v>1904</v>
      </c>
      <c r="S1759" s="7">
        <f t="shared" si="272"/>
        <v>0</v>
      </c>
      <c r="T1759" s="124">
        <f t="shared" si="273"/>
        <v>350</v>
      </c>
      <c r="U1759" s="124">
        <f t="shared" si="274"/>
        <v>999</v>
      </c>
      <c r="V1759" s="124">
        <f t="shared" si="275"/>
        <v>1750</v>
      </c>
      <c r="W1759" s="124">
        <f t="shared" si="276"/>
        <v>1840.9999999950401</v>
      </c>
      <c r="X1759" s="124">
        <f t="shared" si="277"/>
        <v>18107140.936096855</v>
      </c>
      <c r="Y1759" s="264">
        <f t="shared" si="278"/>
        <v>1750</v>
      </c>
      <c r="Z1759" s="10">
        <v>350</v>
      </c>
      <c r="AA1759" s="7">
        <v>999</v>
      </c>
      <c r="AB1759" s="7">
        <v>1750</v>
      </c>
      <c r="AC1759" s="109">
        <v>1840.9999999950401</v>
      </c>
      <c r="AD1759" s="109">
        <v>18107140.936096855</v>
      </c>
      <c r="AE1759" s="125"/>
      <c r="AF1759" s="10"/>
      <c r="AI1759" s="109"/>
      <c r="AJ1759" s="109"/>
      <c r="AL1759" s="10"/>
      <c r="AO1759" s="109"/>
      <c r="AP1759" s="109"/>
      <c r="AR1759" s="10"/>
      <c r="AU1759" s="109"/>
      <c r="AV1759" s="109"/>
      <c r="AX1759" s="10"/>
      <c r="BA1759" s="109"/>
      <c r="BB1759" s="109"/>
      <c r="BD1759" s="10"/>
      <c r="BG1759" s="109"/>
      <c r="BH1759" s="109"/>
      <c r="BJ1759" s="10"/>
      <c r="BM1759" s="109"/>
      <c r="BN1759" s="109"/>
      <c r="BP1759" s="10"/>
      <c r="BS1759" s="109"/>
      <c r="BT1759" s="109"/>
      <c r="BV1759" s="10"/>
      <c r="BY1759" s="109"/>
      <c r="BZ1759" s="109"/>
      <c r="CB1759" s="10"/>
      <c r="CE1759" s="109"/>
      <c r="CF1759" s="109"/>
      <c r="CH1759" s="10"/>
      <c r="CK1759" s="109"/>
      <c r="CL1759" s="109"/>
    </row>
    <row r="1760" spans="1:90">
      <c r="A1760" s="7" t="str">
        <f t="shared" si="271"/>
        <v>03510351</v>
      </c>
      <c r="B1760" s="7" t="s">
        <v>2690</v>
      </c>
      <c r="C1760" s="7" t="s">
        <v>2690</v>
      </c>
      <c r="D1760" s="7">
        <v>1751</v>
      </c>
      <c r="E1760" s="7">
        <v>351</v>
      </c>
      <c r="F1760" s="7" t="s">
        <v>2055</v>
      </c>
      <c r="G1760" s="7">
        <v>351</v>
      </c>
      <c r="H1760" s="7" t="s">
        <v>1617</v>
      </c>
      <c r="I1760" s="37">
        <v>0</v>
      </c>
      <c r="J1760" s="122">
        <v>0</v>
      </c>
      <c r="K1760" s="123">
        <f>X1760</f>
        <v>0</v>
      </c>
      <c r="L1760" s="122">
        <f>IF(K1764&gt;0, K1760/K1764, 0)</f>
        <v>0</v>
      </c>
      <c r="M1760" s="71"/>
      <c r="N1760" s="10">
        <f>ROUND(M1764*L1760,0)</f>
        <v>0</v>
      </c>
      <c r="O1760" s="70">
        <v>0</v>
      </c>
      <c r="P1760" s="10">
        <f>N1760-O1760</f>
        <v>0</v>
      </c>
      <c r="Q1760" s="46">
        <f t="shared" si="279"/>
        <v>0</v>
      </c>
      <c r="R1760" s="10">
        <v>0</v>
      </c>
      <c r="S1760" s="7">
        <f t="shared" si="272"/>
        <v>0</v>
      </c>
      <c r="T1760" s="124">
        <f t="shared" si="273"/>
        <v>351</v>
      </c>
      <c r="U1760" s="124">
        <f t="shared" si="274"/>
        <v>351</v>
      </c>
      <c r="V1760" s="124">
        <f t="shared" si="275"/>
        <v>1751</v>
      </c>
      <c r="W1760" s="124">
        <f t="shared" si="276"/>
        <v>0</v>
      </c>
      <c r="X1760" s="124">
        <f t="shared" si="277"/>
        <v>0</v>
      </c>
      <c r="Y1760" s="264">
        <f t="shared" si="278"/>
        <v>1751</v>
      </c>
      <c r="Z1760" s="10">
        <v>351</v>
      </c>
      <c r="AA1760" s="7">
        <v>351</v>
      </c>
      <c r="AB1760" s="7">
        <v>1751</v>
      </c>
      <c r="AC1760" s="109">
        <v>0</v>
      </c>
      <c r="AD1760" s="109">
        <v>0</v>
      </c>
      <c r="AE1760" s="125"/>
      <c r="AF1760" s="10"/>
      <c r="AI1760" s="109"/>
      <c r="AJ1760" s="109"/>
      <c r="AL1760" s="10"/>
      <c r="AO1760" s="109"/>
      <c r="AP1760" s="109"/>
      <c r="AR1760" s="10"/>
      <c r="AU1760" s="109"/>
      <c r="AV1760" s="109"/>
      <c r="AX1760" s="10"/>
      <c r="BA1760" s="109"/>
      <c r="BB1760" s="109"/>
      <c r="BD1760" s="10"/>
      <c r="BG1760" s="109"/>
      <c r="BH1760" s="109"/>
      <c r="BJ1760" s="10"/>
      <c r="BM1760" s="109"/>
      <c r="BN1760" s="109"/>
      <c r="BP1760" s="10"/>
      <c r="BS1760" s="109"/>
      <c r="BT1760" s="109"/>
      <c r="BV1760" s="10"/>
      <c r="BY1760" s="109"/>
      <c r="BZ1760" s="109"/>
      <c r="CB1760" s="10"/>
      <c r="CE1760" s="109"/>
      <c r="CF1760" s="109"/>
      <c r="CH1760" s="10"/>
      <c r="CK1760" s="109"/>
      <c r="CL1760" s="109"/>
    </row>
    <row r="1761" spans="1:90">
      <c r="A1761" s="7" t="str">
        <f t="shared" si="271"/>
        <v>03510645</v>
      </c>
      <c r="B1761" s="7" t="s">
        <v>2690</v>
      </c>
      <c r="C1761" s="7" t="s">
        <v>2707</v>
      </c>
      <c r="D1761" s="7">
        <v>1752</v>
      </c>
      <c r="E1761" s="7">
        <v>351</v>
      </c>
      <c r="F1761" s="7" t="s">
        <v>2055</v>
      </c>
      <c r="G1761" s="7">
        <v>645</v>
      </c>
      <c r="H1761" s="7" t="s">
        <v>1634</v>
      </c>
      <c r="I1761" s="37">
        <v>23866442</v>
      </c>
      <c r="J1761" s="122">
        <v>0.91380461897358045</v>
      </c>
      <c r="K1761" s="123">
        <f t="shared" si="270"/>
        <v>24361496.288160823</v>
      </c>
      <c r="L1761" s="122">
        <f>IF(K1764&gt;0, K1761/K1764, 0)</f>
        <v>0.91556489217558179</v>
      </c>
      <c r="M1761" s="71"/>
      <c r="N1761" s="10">
        <f>ROUND(M1764*L1761,0)</f>
        <v>20167116</v>
      </c>
      <c r="O1761" s="70">
        <v>19783939</v>
      </c>
      <c r="P1761" s="10">
        <f>N1761-O1761</f>
        <v>383177</v>
      </c>
      <c r="Q1761" s="46">
        <f t="shared" si="279"/>
        <v>1.936808438400462</v>
      </c>
      <c r="R1761" s="10">
        <v>2253</v>
      </c>
      <c r="S1761" s="7">
        <f t="shared" si="272"/>
        <v>0</v>
      </c>
      <c r="T1761" s="124">
        <f t="shared" si="273"/>
        <v>351</v>
      </c>
      <c r="U1761" s="124">
        <f t="shared" si="274"/>
        <v>645</v>
      </c>
      <c r="V1761" s="124">
        <f t="shared" si="275"/>
        <v>1752</v>
      </c>
      <c r="W1761" s="124">
        <f t="shared" si="276"/>
        <v>2245.4492244544499</v>
      </c>
      <c r="X1761" s="124">
        <f t="shared" si="277"/>
        <v>24361496.288160823</v>
      </c>
      <c r="Y1761" s="264">
        <f t="shared" si="278"/>
        <v>1752</v>
      </c>
      <c r="Z1761" s="10">
        <v>351</v>
      </c>
      <c r="AA1761" s="7">
        <v>645</v>
      </c>
      <c r="AB1761" s="7">
        <v>1752</v>
      </c>
      <c r="AC1761" s="109">
        <v>2245.4492244544499</v>
      </c>
      <c r="AD1761" s="109">
        <v>24361496.288160823</v>
      </c>
      <c r="AE1761" s="125"/>
      <c r="AF1761" s="10"/>
      <c r="AI1761" s="109"/>
      <c r="AJ1761" s="109"/>
      <c r="AL1761" s="10"/>
      <c r="AO1761" s="109"/>
      <c r="AP1761" s="109"/>
      <c r="AR1761" s="10"/>
      <c r="AU1761" s="109"/>
      <c r="AV1761" s="109"/>
      <c r="AX1761" s="10"/>
      <c r="BA1761" s="109"/>
      <c r="BB1761" s="109"/>
      <c r="BD1761" s="10"/>
      <c r="BG1761" s="109"/>
      <c r="BH1761" s="109"/>
      <c r="BJ1761" s="10"/>
      <c r="BM1761" s="109"/>
      <c r="BN1761" s="109"/>
      <c r="BP1761" s="10"/>
      <c r="BS1761" s="109"/>
      <c r="BT1761" s="109"/>
      <c r="BV1761" s="10"/>
      <c r="BY1761" s="109"/>
      <c r="BZ1761" s="109"/>
      <c r="CB1761" s="10"/>
      <c r="CE1761" s="109"/>
      <c r="CF1761" s="109"/>
      <c r="CH1761" s="10"/>
      <c r="CK1761" s="109"/>
      <c r="CL1761" s="109"/>
    </row>
    <row r="1762" spans="1:90">
      <c r="A1762" s="7" t="str">
        <f t="shared" si="271"/>
        <v>03510815</v>
      </c>
      <c r="B1762" s="7" t="s">
        <v>2690</v>
      </c>
      <c r="C1762" s="7" t="s">
        <v>2756</v>
      </c>
      <c r="D1762" s="7">
        <v>1753</v>
      </c>
      <c r="E1762" s="7">
        <v>351</v>
      </c>
      <c r="F1762" s="7" t="s">
        <v>2055</v>
      </c>
      <c r="G1762" s="7">
        <v>815</v>
      </c>
      <c r="H1762" s="7" t="s">
        <v>1683</v>
      </c>
      <c r="I1762" s="37">
        <v>2251222</v>
      </c>
      <c r="J1762" s="122">
        <v>8.6195381026419521E-2</v>
      </c>
      <c r="K1762" s="123">
        <f t="shared" si="270"/>
        <v>2246662.7799229198</v>
      </c>
      <c r="L1762" s="122">
        <f>IF(K1764&gt;0, K1762/K1764, 0)</f>
        <v>8.4435107824418126E-2</v>
      </c>
      <c r="M1762" s="71"/>
      <c r="N1762" s="10">
        <f>ROUND(M1764*L1762,0)</f>
        <v>1859849</v>
      </c>
      <c r="O1762" s="70">
        <v>1866136</v>
      </c>
      <c r="P1762" s="10">
        <f>N1762-O1762</f>
        <v>-6287</v>
      </c>
      <c r="Q1762" s="46">
        <f t="shared" si="279"/>
        <v>-0.33689934710010416</v>
      </c>
      <c r="R1762" s="10">
        <v>141</v>
      </c>
      <c r="S1762" s="7">
        <f t="shared" si="272"/>
        <v>0</v>
      </c>
      <c r="T1762" s="124">
        <f t="shared" si="273"/>
        <v>351</v>
      </c>
      <c r="U1762" s="124">
        <f t="shared" si="274"/>
        <v>815</v>
      </c>
      <c r="V1762" s="124">
        <f t="shared" si="275"/>
        <v>1753</v>
      </c>
      <c r="W1762" s="124">
        <f t="shared" si="276"/>
        <v>136.99999999763</v>
      </c>
      <c r="X1762" s="124">
        <f t="shared" si="277"/>
        <v>2246662.7799229198</v>
      </c>
      <c r="Y1762" s="264">
        <f t="shared" si="278"/>
        <v>1753</v>
      </c>
      <c r="Z1762" s="10">
        <v>351</v>
      </c>
      <c r="AA1762" s="7">
        <v>815</v>
      </c>
      <c r="AB1762" s="7">
        <v>1753</v>
      </c>
      <c r="AC1762" s="109">
        <v>136.99999999763</v>
      </c>
      <c r="AD1762" s="109">
        <v>2246662.7799229198</v>
      </c>
      <c r="AE1762" s="125"/>
      <c r="AF1762" s="10"/>
      <c r="AI1762" s="109"/>
      <c r="AJ1762" s="109"/>
      <c r="AL1762" s="10"/>
      <c r="AO1762" s="109"/>
      <c r="AP1762" s="109"/>
      <c r="AR1762" s="10"/>
      <c r="AU1762" s="109"/>
      <c r="AV1762" s="109"/>
      <c r="AX1762" s="10"/>
      <c r="BA1762" s="109"/>
      <c r="BB1762" s="109"/>
      <c r="BD1762" s="10"/>
      <c r="BG1762" s="109"/>
      <c r="BH1762" s="109"/>
      <c r="BJ1762" s="10"/>
      <c r="BM1762" s="109"/>
      <c r="BN1762" s="109"/>
      <c r="BP1762" s="10"/>
      <c r="BS1762" s="109"/>
      <c r="BT1762" s="109"/>
      <c r="BV1762" s="10"/>
      <c r="BY1762" s="109"/>
      <c r="BZ1762" s="109"/>
      <c r="CB1762" s="10"/>
      <c r="CE1762" s="109"/>
      <c r="CF1762" s="109"/>
      <c r="CH1762" s="10"/>
      <c r="CK1762" s="109"/>
      <c r="CL1762" s="109"/>
    </row>
    <row r="1763" spans="1:90">
      <c r="A1763" s="7" t="str">
        <f t="shared" si="271"/>
        <v>03510998</v>
      </c>
      <c r="B1763" s="7" t="s">
        <v>2690</v>
      </c>
      <c r="C1763" s="7" t="s">
        <v>2781</v>
      </c>
      <c r="D1763" s="7">
        <v>1754</v>
      </c>
      <c r="E1763" s="7">
        <v>351</v>
      </c>
      <c r="F1763" s="7" t="s">
        <v>2135</v>
      </c>
      <c r="G1763" s="7">
        <v>998</v>
      </c>
      <c r="H1763" s="7" t="s">
        <v>2135</v>
      </c>
      <c r="I1763" s="37">
        <v>0</v>
      </c>
      <c r="J1763" s="122">
        <v>0</v>
      </c>
      <c r="K1763" s="123">
        <f t="shared" si="270"/>
        <v>0</v>
      </c>
      <c r="L1763" s="122">
        <f>IF(K1764&gt;0, K1763/K1764, 0)</f>
        <v>0</v>
      </c>
      <c r="M1763" s="71"/>
      <c r="N1763" s="10">
        <f>ROUND(M1764*L1763,0)</f>
        <v>0</v>
      </c>
      <c r="O1763" s="70">
        <v>0</v>
      </c>
      <c r="P1763" s="10">
        <f>N1763-O1763</f>
        <v>0</v>
      </c>
      <c r="Q1763" s="46">
        <f t="shared" si="279"/>
        <v>0</v>
      </c>
      <c r="R1763" s="10">
        <v>0</v>
      </c>
      <c r="S1763" s="7">
        <f t="shared" si="272"/>
        <v>0</v>
      </c>
      <c r="T1763" s="124">
        <f t="shared" si="273"/>
        <v>351</v>
      </c>
      <c r="U1763" s="124">
        <f t="shared" si="274"/>
        <v>998</v>
      </c>
      <c r="V1763" s="124">
        <f t="shared" si="275"/>
        <v>1754</v>
      </c>
      <c r="W1763" s="124">
        <f t="shared" si="276"/>
        <v>0</v>
      </c>
      <c r="X1763" s="124">
        <f t="shared" si="277"/>
        <v>0</v>
      </c>
      <c r="Y1763" s="264">
        <f t="shared" si="278"/>
        <v>1754</v>
      </c>
      <c r="Z1763" s="10">
        <v>351</v>
      </c>
      <c r="AA1763" s="7">
        <v>998</v>
      </c>
      <c r="AB1763" s="7">
        <v>1754</v>
      </c>
      <c r="AC1763" s="109">
        <v>0</v>
      </c>
      <c r="AD1763" s="109">
        <v>0</v>
      </c>
      <c r="AE1763" s="125"/>
      <c r="AF1763" s="10"/>
      <c r="AI1763" s="109"/>
      <c r="AJ1763" s="109"/>
      <c r="AL1763" s="10"/>
      <c r="AO1763" s="109"/>
      <c r="AP1763" s="109"/>
      <c r="AR1763" s="10"/>
      <c r="AU1763" s="109"/>
      <c r="AV1763" s="109"/>
      <c r="AX1763" s="10"/>
      <c r="BA1763" s="109"/>
      <c r="BB1763" s="109"/>
      <c r="BD1763" s="10"/>
      <c r="BG1763" s="109"/>
      <c r="BH1763" s="109"/>
      <c r="BJ1763" s="10"/>
      <c r="BM1763" s="109"/>
      <c r="BN1763" s="109"/>
      <c r="BP1763" s="10"/>
      <c r="BS1763" s="109"/>
      <c r="BT1763" s="109"/>
      <c r="BV1763" s="10"/>
      <c r="BY1763" s="109"/>
      <c r="BZ1763" s="109"/>
      <c r="CB1763" s="10"/>
      <c r="CE1763" s="109"/>
      <c r="CF1763" s="109"/>
      <c r="CH1763" s="10"/>
      <c r="CK1763" s="109"/>
      <c r="CL1763" s="109"/>
    </row>
    <row r="1764" spans="1:90">
      <c r="A1764" s="7" t="str">
        <f t="shared" si="271"/>
        <v>03510999</v>
      </c>
      <c r="B1764" s="7" t="s">
        <v>2690</v>
      </c>
      <c r="C1764" s="7" t="s">
        <v>2782</v>
      </c>
      <c r="D1764" s="7">
        <v>1755</v>
      </c>
      <c r="E1764" s="11">
        <v>351</v>
      </c>
      <c r="F1764" s="11" t="s">
        <v>2055</v>
      </c>
      <c r="G1764" s="11">
        <v>999</v>
      </c>
      <c r="H1764" s="11" t="s">
        <v>1132</v>
      </c>
      <c r="I1764" s="105">
        <v>26117664</v>
      </c>
      <c r="J1764" s="126">
        <v>1</v>
      </c>
      <c r="K1764" s="127">
        <f>SUM(K1760:K1763)</f>
        <v>26608159.068083744</v>
      </c>
      <c r="L1764" s="126">
        <f>SUM(L1760:L1763)</f>
        <v>0.99999999999999989</v>
      </c>
      <c r="M1764" s="105">
        <f>VLOOKUP(E1764,town351,22)</f>
        <v>22026965</v>
      </c>
      <c r="N1764" s="105">
        <f>SUM(N1760:N1763)</f>
        <v>22026965</v>
      </c>
      <c r="O1764" s="128">
        <v>21650075</v>
      </c>
      <c r="P1764" s="105">
        <f>SUM(P1760:P1763)</f>
        <v>376890</v>
      </c>
      <c r="Q1764" s="45">
        <f t="shared" si="279"/>
        <v>1.7408253782030778</v>
      </c>
      <c r="R1764" s="105">
        <v>2394</v>
      </c>
      <c r="S1764" s="7">
        <f t="shared" si="272"/>
        <v>0</v>
      </c>
      <c r="T1764" s="124">
        <f t="shared" si="273"/>
        <v>351</v>
      </c>
      <c r="U1764" s="124">
        <f t="shared" si="274"/>
        <v>999</v>
      </c>
      <c r="V1764" s="124">
        <f t="shared" si="275"/>
        <v>1755</v>
      </c>
      <c r="W1764" s="124">
        <f t="shared" si="276"/>
        <v>2382.4492244520798</v>
      </c>
      <c r="X1764" s="124">
        <f t="shared" si="277"/>
        <v>26608159.068083744</v>
      </c>
      <c r="Y1764" s="264">
        <f t="shared" si="278"/>
        <v>1755</v>
      </c>
      <c r="Z1764" s="10">
        <v>351</v>
      </c>
      <c r="AA1764" s="7">
        <v>999</v>
      </c>
      <c r="AB1764" s="7">
        <v>1755</v>
      </c>
      <c r="AC1764" s="109">
        <v>2382.4492244520798</v>
      </c>
      <c r="AD1764" s="109">
        <v>26608159.068083744</v>
      </c>
      <c r="AE1764" s="125"/>
      <c r="AF1764" s="10"/>
      <c r="AI1764" s="109"/>
      <c r="AJ1764" s="109"/>
      <c r="AL1764" s="10"/>
      <c r="AO1764" s="109"/>
      <c r="AP1764" s="109"/>
      <c r="AR1764" s="10"/>
      <c r="AU1764" s="109"/>
      <c r="AV1764" s="109"/>
      <c r="AX1764" s="10"/>
      <c r="BA1764" s="109"/>
      <c r="BB1764" s="109"/>
      <c r="BD1764" s="10"/>
      <c r="BG1764" s="109"/>
      <c r="BH1764" s="109"/>
      <c r="BJ1764" s="10"/>
      <c r="BM1764" s="109"/>
      <c r="BN1764" s="109"/>
      <c r="BP1764" s="10"/>
      <c r="BS1764" s="109"/>
      <c r="BT1764" s="109"/>
      <c r="BV1764" s="10"/>
      <c r="BY1764" s="109"/>
      <c r="BZ1764" s="109"/>
      <c r="CB1764" s="10"/>
      <c r="CE1764" s="109"/>
      <c r="CF1764" s="109"/>
      <c r="CH1764" s="10"/>
      <c r="CK1764" s="109"/>
      <c r="CL1764" s="109"/>
    </row>
    <row r="1765" spans="1:90">
      <c r="D1765" s="7">
        <v>1756</v>
      </c>
      <c r="E1765" s="14">
        <v>999</v>
      </c>
      <c r="F1765" s="14" t="s">
        <v>868</v>
      </c>
      <c r="G1765" s="14">
        <v>999</v>
      </c>
      <c r="H1765" s="14" t="s">
        <v>1130</v>
      </c>
      <c r="I1765" s="139">
        <v>10128238382.975542</v>
      </c>
      <c r="J1765" s="139"/>
      <c r="K1765" s="139">
        <f>SUM(K10:K1764)/2</f>
        <v>10379173843.167669</v>
      </c>
      <c r="L1765" s="139"/>
      <c r="M1765" s="139">
        <f>SUM(M10:M1764)</f>
        <v>6046916787.0232143</v>
      </c>
      <c r="N1765" s="139">
        <f>SUM(N10:N1764)/2</f>
        <v>6046916786</v>
      </c>
      <c r="O1765" s="139">
        <v>5926185567</v>
      </c>
      <c r="P1765" s="139">
        <f>SUM(P10:P1764)/2</f>
        <v>120731219</v>
      </c>
      <c r="Q1765" s="45">
        <f t="shared" si="279"/>
        <v>2.0372500596723215</v>
      </c>
      <c r="R1765" s="140">
        <v>940103</v>
      </c>
      <c r="S1765" s="140"/>
      <c r="T1765" s="140"/>
      <c r="U1765" s="140"/>
      <c r="V1765" s="140"/>
      <c r="W1765" s="140">
        <f>SUM(W10:W1764)/2</f>
        <v>941303.00000004354</v>
      </c>
      <c r="X1765" s="140">
        <f>SUM(X10:X1764)/2</f>
        <v>10379173843.167669</v>
      </c>
      <c r="AC1765" s="140">
        <f>SUM(AC10:AC1764)/2</f>
        <v>941303.00000004354</v>
      </c>
      <c r="AD1765" s="140">
        <f>SUM(AD10:AD1764)/2</f>
        <v>10379173843.167669</v>
      </c>
      <c r="AI1765" s="140">
        <f>SUM(AI10:AI1764)/2</f>
        <v>0</v>
      </c>
      <c r="AJ1765" s="140">
        <f>SUM(AJ10:AJ1764)/2</f>
        <v>0</v>
      </c>
      <c r="AL1765" s="10"/>
      <c r="AO1765" s="140">
        <f>SUM(AO10:AO1764)/2</f>
        <v>0</v>
      </c>
      <c r="AP1765" s="140">
        <f>SUM(AP10:AP1764)/2</f>
        <v>0</v>
      </c>
      <c r="AU1765" s="140">
        <f>SUM(AU10:AU1764)/2</f>
        <v>0</v>
      </c>
      <c r="AV1765" s="140">
        <f>SUM(AV10:AV1764)/2</f>
        <v>0</v>
      </c>
      <c r="AX1765" s="10"/>
      <c r="BA1765" s="140">
        <f>SUM(BA10:BA1764)/2</f>
        <v>0</v>
      </c>
      <c r="BB1765" s="140">
        <f>SUM(BB10:BB1764)/2</f>
        <v>0</v>
      </c>
      <c r="BG1765" s="140">
        <f>SUM(BG10:BG1764)/2</f>
        <v>0</v>
      </c>
      <c r="BH1765" s="140">
        <f>SUM(BH10:BH1764)/2</f>
        <v>0</v>
      </c>
      <c r="BM1765" s="140">
        <f>SUM(BM10:BM1764)/2</f>
        <v>0</v>
      </c>
      <c r="BN1765" s="140">
        <f>SUM(BN10:BN1764)/2</f>
        <v>0</v>
      </c>
      <c r="BS1765" s="140">
        <f>SUM(BS10:BS1764)/2</f>
        <v>0</v>
      </c>
      <c r="BT1765" s="140">
        <f>SUM(BT10:BT1764)/2</f>
        <v>0</v>
      </c>
      <c r="BY1765" s="140">
        <f>SUM(BY10:BY1764)/2</f>
        <v>0</v>
      </c>
      <c r="BZ1765" s="140">
        <f>SUM(BZ10:BZ1764)/2</f>
        <v>0</v>
      </c>
      <c r="CE1765" s="140">
        <f>SUM(CE10:CE1764)/2</f>
        <v>0</v>
      </c>
      <c r="CF1765" s="140">
        <f>SUM(CF10:CF1764)/2</f>
        <v>0</v>
      </c>
      <c r="CL1765" s="140">
        <f>SUM(CL10:CL1764)/2</f>
        <v>0</v>
      </c>
    </row>
    <row r="1766" spans="1:90">
      <c r="E1766" s="14"/>
      <c r="F1766" s="14"/>
      <c r="G1766" s="14"/>
      <c r="H1766" s="14"/>
      <c r="I1766" s="139"/>
      <c r="J1766" s="139"/>
      <c r="K1766" s="139"/>
      <c r="L1766" s="139"/>
      <c r="M1766" s="139"/>
      <c r="N1766" s="139"/>
      <c r="O1766" s="139"/>
      <c r="P1766" s="139"/>
      <c r="Q1766" s="45"/>
      <c r="R1766" s="140"/>
      <c r="S1766" s="140"/>
      <c r="T1766" s="140"/>
      <c r="U1766" s="140"/>
      <c r="V1766" s="140"/>
      <c r="W1766" s="140"/>
      <c r="X1766" s="140"/>
      <c r="AD1766" s="10">
        <f>AD1765-dist435!AF448</f>
        <v>4.978179931640625E-4</v>
      </c>
      <c r="AE1766" s="49" t="s">
        <v>2218</v>
      </c>
      <c r="AJ1766" s="10">
        <f>AJ1765-AD1765</f>
        <v>-10379173843.167669</v>
      </c>
      <c r="AP1766" s="10">
        <f>AP1765-AJ1765</f>
        <v>0</v>
      </c>
      <c r="AV1766" s="10">
        <f>AV1765-AD1765</f>
        <v>-10379173843.167669</v>
      </c>
      <c r="BB1766" s="10">
        <f>BB1765-AV1765</f>
        <v>0</v>
      </c>
      <c r="BH1766" s="10"/>
      <c r="BN1766" s="10">
        <f>BH1765-BN1765</f>
        <v>0</v>
      </c>
      <c r="CF1766" s="10">
        <f>CF1765-AD1765</f>
        <v>-10379173843.167669</v>
      </c>
    </row>
    <row r="1767" spans="1:90">
      <c r="W1767" s="105"/>
      <c r="X1767" s="141"/>
    </row>
  </sheetData>
  <autoFilter ref="D9:CO1766"/>
  <mergeCells count="23">
    <mergeCell ref="BJ5:BN5"/>
    <mergeCell ref="BJ6:BN6"/>
    <mergeCell ref="BP5:BT5"/>
    <mergeCell ref="BP6:BT6"/>
    <mergeCell ref="BD5:BH5"/>
    <mergeCell ref="BD6:BH6"/>
    <mergeCell ref="T6:X6"/>
    <mergeCell ref="AR5:AV5"/>
    <mergeCell ref="AR6:AV6"/>
    <mergeCell ref="AX5:BB5"/>
    <mergeCell ref="AX6:BB6"/>
    <mergeCell ref="Z6:AD6"/>
    <mergeCell ref="AF5:AJ5"/>
    <mergeCell ref="AF6:AJ6"/>
    <mergeCell ref="AL5:AP5"/>
    <mergeCell ref="AL6:AP6"/>
    <mergeCell ref="Z5:AD5"/>
    <mergeCell ref="CH5:CL5"/>
    <mergeCell ref="CH6:CL6"/>
    <mergeCell ref="BV5:BZ5"/>
    <mergeCell ref="BV6:BZ6"/>
    <mergeCell ref="CB5:CF5"/>
    <mergeCell ref="CB6:CF6"/>
  </mergeCells>
  <phoneticPr fontId="0" type="noConversion"/>
  <pageMargins left="0.75" right="0.75" top="1" bottom="1" header="0.5" footer="0.5"/>
  <pageSetup orientation="portrait" horizontalDpi="4294967293"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pageSetUpPr fitToPage="1"/>
  </sheetPr>
  <dimension ref="A1:BA532"/>
  <sheetViews>
    <sheetView showGridLines="0" zoomScaleNormal="100" workbookViewId="0">
      <pane xSplit="3" ySplit="9" topLeftCell="D10" activePane="bottomRight" state="frozen"/>
      <selection activeCell="E305" sqref="E305"/>
      <selection pane="topRight" activeCell="E305" sqref="E305"/>
      <selection pane="bottomLeft" activeCell="E305" sqref="E305"/>
      <selection pane="bottomRight" activeCell="D10" sqref="D10"/>
    </sheetView>
  </sheetViews>
  <sheetFormatPr defaultColWidth="8.875" defaultRowHeight="12.75"/>
  <cols>
    <col min="1" max="1" width="5.625" style="7" customWidth="1"/>
    <col min="2" max="2" width="24.875" style="7" customWidth="1"/>
    <col min="3" max="3" width="5.625" style="7" customWidth="1"/>
    <col min="4" max="4" width="13.5" style="7" bestFit="1" customWidth="1"/>
    <col min="5" max="5" width="12.625" style="7" customWidth="1"/>
    <col min="6" max="6" width="13.25" style="7" customWidth="1"/>
    <col min="7" max="8" width="12.625" style="7" customWidth="1"/>
    <col min="9" max="9" width="11.875" style="7" customWidth="1"/>
    <col min="10" max="10" width="12.625" style="7" customWidth="1"/>
    <col min="11" max="11" width="12.625" style="7" hidden="1" customWidth="1"/>
    <col min="12" max="12" width="13" style="7" hidden="1" customWidth="1"/>
    <col min="13" max="13" width="12.625" style="7" hidden="1" customWidth="1"/>
    <col min="14" max="16" width="6.75" style="49" hidden="1" customWidth="1"/>
    <col min="17" max="17" width="12.375" style="7" customWidth="1"/>
    <col min="18" max="18" width="13.375" style="7" customWidth="1"/>
    <col min="19" max="23" width="9" style="7" hidden="1" customWidth="1"/>
    <col min="24" max="24" width="10.25" style="7" customWidth="1"/>
    <col min="25" max="25" width="3.75" style="7" hidden="1" customWidth="1"/>
    <col min="26" max="26" width="3.5" style="7" hidden="1" customWidth="1"/>
    <col min="27" max="28" width="11.125" style="49" hidden="1" customWidth="1"/>
    <col min="29" max="29" width="10.5" style="49" hidden="1" customWidth="1"/>
    <col min="30" max="30" width="9.875" style="49" hidden="1" customWidth="1"/>
    <col min="31" max="31" width="10.625" style="49" customWidth="1"/>
    <col min="32" max="32" width="16.125" style="49" customWidth="1"/>
    <col min="33" max="33" width="13.375" style="7" customWidth="1"/>
    <col min="34" max="34" width="11.875" style="7" bestFit="1" customWidth="1"/>
    <col min="35" max="35" width="13.875" style="7" bestFit="1" customWidth="1"/>
    <col min="36" max="36" width="15" style="49" customWidth="1"/>
    <col min="37" max="37" width="11.375" style="7" customWidth="1"/>
    <col min="38" max="38" width="13.875" style="7" customWidth="1"/>
    <col min="39" max="39" width="10" style="7" customWidth="1"/>
    <col min="40" max="40" width="2.375" style="7" customWidth="1"/>
    <col min="41" max="41" width="17" style="7" customWidth="1"/>
    <col min="42" max="42" width="12.25" style="7" customWidth="1"/>
    <col min="43" max="43" width="13.25" style="7" customWidth="1"/>
    <col min="44" max="45" width="12.25" style="7" customWidth="1"/>
    <col min="46" max="46" width="3.25" style="7" customWidth="1"/>
    <col min="47" max="47" width="9.375" style="7" customWidth="1"/>
    <col min="48" max="48" width="4.5" style="49" customWidth="1"/>
    <col min="49" max="49" width="11.5" customWidth="1"/>
    <col min="50" max="50" width="3.375" customWidth="1"/>
    <col min="51" max="51" width="8.5" customWidth="1"/>
    <col min="52" max="52" width="13.5" bestFit="1" customWidth="1"/>
    <col min="53" max="53" width="13.875" customWidth="1"/>
    <col min="54" max="16384" width="8.875" style="7"/>
  </cols>
  <sheetData>
    <row r="1" spans="1:53" s="94" customFormat="1">
      <c r="D1" s="162" t="s">
        <v>1184</v>
      </c>
      <c r="E1" s="162" t="s">
        <v>1184</v>
      </c>
      <c r="H1" s="163"/>
      <c r="N1" s="95"/>
      <c r="O1" s="95"/>
      <c r="P1" s="95"/>
      <c r="Q1" s="162" t="s">
        <v>2201</v>
      </c>
      <c r="R1" s="164"/>
      <c r="X1" s="164"/>
      <c r="Y1" s="164"/>
      <c r="Z1" s="7"/>
      <c r="AA1" s="95"/>
      <c r="AB1" s="95"/>
      <c r="AC1" s="95"/>
      <c r="AD1" s="95"/>
      <c r="AE1" s="95"/>
      <c r="AF1" s="95"/>
      <c r="AH1" s="95"/>
      <c r="AI1" s="95"/>
      <c r="AJ1" s="95"/>
      <c r="AL1" s="164"/>
      <c r="AM1" s="164"/>
      <c r="AN1" s="164"/>
      <c r="AV1" s="95"/>
      <c r="AW1"/>
      <c r="AX1"/>
      <c r="AY1"/>
      <c r="AZ1"/>
      <c r="BA1"/>
    </row>
    <row r="2" spans="1:53" s="97" customFormat="1" ht="42" hidden="1" customHeight="1">
      <c r="C2" s="97" t="s">
        <v>1261</v>
      </c>
      <c r="D2" s="98">
        <v>41</v>
      </c>
      <c r="E2" s="97">
        <v>43</v>
      </c>
      <c r="N2" s="98"/>
      <c r="O2" s="98"/>
      <c r="P2" s="98"/>
      <c r="Q2" s="110"/>
      <c r="R2" s="110"/>
      <c r="X2" s="110"/>
      <c r="Y2" s="110"/>
      <c r="Z2" s="7"/>
      <c r="AA2" s="98"/>
      <c r="AB2" s="98"/>
      <c r="AC2" s="98"/>
      <c r="AD2" s="98"/>
      <c r="AE2" s="98"/>
      <c r="AF2" s="98"/>
      <c r="AG2" s="110"/>
      <c r="AH2" s="165"/>
      <c r="AI2" s="165"/>
      <c r="AJ2" s="98"/>
      <c r="AL2" s="110"/>
      <c r="AM2" s="110"/>
      <c r="AN2" s="110"/>
      <c r="AV2" s="98"/>
      <c r="AW2"/>
      <c r="AX2"/>
      <c r="AY2"/>
      <c r="AZ2"/>
      <c r="BA2"/>
    </row>
    <row r="3" spans="1:53">
      <c r="A3" s="20">
        <v>1</v>
      </c>
      <c r="B3" s="20">
        <v>2</v>
      </c>
      <c r="C3" s="20">
        <v>3</v>
      </c>
      <c r="D3" s="20">
        <v>4</v>
      </c>
      <c r="E3" s="20">
        <v>5</v>
      </c>
      <c r="F3" s="20">
        <v>6</v>
      </c>
      <c r="G3" s="20">
        <v>7</v>
      </c>
      <c r="H3" s="20">
        <v>8</v>
      </c>
      <c r="I3" s="20">
        <v>9</v>
      </c>
      <c r="J3" s="20">
        <v>10</v>
      </c>
      <c r="K3" s="20">
        <v>11</v>
      </c>
      <c r="L3" s="20">
        <v>12</v>
      </c>
      <c r="M3" s="20">
        <v>13</v>
      </c>
      <c r="N3" s="20">
        <v>14</v>
      </c>
      <c r="O3" s="20">
        <v>15</v>
      </c>
      <c r="P3" s="20">
        <v>16</v>
      </c>
      <c r="Q3" s="20">
        <v>17</v>
      </c>
      <c r="R3" s="20">
        <v>18</v>
      </c>
      <c r="S3" s="20">
        <v>19</v>
      </c>
      <c r="T3" s="20">
        <v>20</v>
      </c>
      <c r="U3" s="20">
        <v>21</v>
      </c>
      <c r="V3" s="20">
        <v>22</v>
      </c>
      <c r="W3" s="20">
        <v>23</v>
      </c>
      <c r="X3" s="20">
        <v>24</v>
      </c>
      <c r="Y3" s="20">
        <v>25</v>
      </c>
      <c r="Z3" s="20">
        <v>26</v>
      </c>
      <c r="AA3" s="20">
        <v>27</v>
      </c>
      <c r="AB3" s="20">
        <v>28</v>
      </c>
      <c r="AC3" s="20">
        <v>29</v>
      </c>
      <c r="AD3" s="20">
        <v>30</v>
      </c>
      <c r="AE3" s="20">
        <v>31</v>
      </c>
      <c r="AF3" s="20">
        <v>32</v>
      </c>
      <c r="AG3" s="20">
        <v>33</v>
      </c>
      <c r="AH3" s="20">
        <v>34</v>
      </c>
      <c r="AI3" s="20">
        <v>35</v>
      </c>
      <c r="AJ3" s="20">
        <v>36</v>
      </c>
      <c r="AK3" s="20">
        <v>37</v>
      </c>
      <c r="AL3" s="20">
        <v>38</v>
      </c>
      <c r="AM3" s="20">
        <v>39</v>
      </c>
      <c r="AN3" s="20">
        <v>40</v>
      </c>
      <c r="AO3" s="20">
        <v>41</v>
      </c>
      <c r="AP3" s="20">
        <v>42</v>
      </c>
      <c r="AQ3" s="20">
        <v>43</v>
      </c>
      <c r="AR3" s="20">
        <v>44</v>
      </c>
      <c r="AS3" s="20">
        <v>45</v>
      </c>
      <c r="AT3" s="20">
        <v>46</v>
      </c>
      <c r="AU3" s="20">
        <v>47</v>
      </c>
      <c r="AV3" s="20">
        <v>48</v>
      </c>
      <c r="AW3" s="20">
        <v>49</v>
      </c>
    </row>
    <row r="4" spans="1:53" s="166" customFormat="1">
      <c r="A4" s="224" t="s">
        <v>107</v>
      </c>
      <c r="C4" s="167" t="s">
        <v>956</v>
      </c>
      <c r="D4" s="168"/>
      <c r="E4" s="167" t="s">
        <v>1218</v>
      </c>
      <c r="F4" s="169" t="s">
        <v>1137</v>
      </c>
      <c r="G4" s="169" t="s">
        <v>1147</v>
      </c>
      <c r="H4" s="167" t="s">
        <v>66</v>
      </c>
      <c r="I4" s="167" t="s">
        <v>978</v>
      </c>
      <c r="J4" s="167"/>
      <c r="K4" s="167"/>
      <c r="L4" s="167"/>
      <c r="M4" s="167" t="s">
        <v>998</v>
      </c>
      <c r="N4" s="171"/>
      <c r="O4" s="171"/>
      <c r="P4" s="171"/>
      <c r="Q4" s="167"/>
      <c r="R4" s="167" t="s">
        <v>997</v>
      </c>
      <c r="S4"/>
      <c r="T4"/>
      <c r="U4"/>
      <c r="V4"/>
      <c r="W4"/>
      <c r="X4" s="167"/>
      <c r="Y4" s="167"/>
      <c r="Z4" s="170"/>
      <c r="AA4" s="168"/>
      <c r="AB4" s="168"/>
      <c r="AC4" s="171"/>
      <c r="AD4" s="168"/>
      <c r="AE4" s="168"/>
      <c r="AF4" s="167" t="s">
        <v>999</v>
      </c>
      <c r="AG4" s="167"/>
      <c r="AH4" s="171" t="s">
        <v>552</v>
      </c>
      <c r="AI4" s="171"/>
      <c r="AJ4" s="167" t="s">
        <v>1206</v>
      </c>
      <c r="AL4" s="167"/>
      <c r="AM4" s="167"/>
      <c r="AN4" s="167"/>
      <c r="AS4" s="283"/>
      <c r="AV4" s="279"/>
      <c r="AW4"/>
      <c r="AX4"/>
      <c r="AY4"/>
      <c r="AZ4"/>
      <c r="BA4"/>
    </row>
    <row r="5" spans="1:53" s="166" customFormat="1">
      <c r="A5" s="565" t="s">
        <v>2802</v>
      </c>
      <c r="D5" s="168"/>
      <c r="E5" s="310" t="s">
        <v>2199</v>
      </c>
      <c r="F5" s="606" t="s">
        <v>1215</v>
      </c>
      <c r="G5" s="606"/>
      <c r="H5" s="606"/>
      <c r="I5" s="606"/>
      <c r="L5" s="617" t="s">
        <v>1216</v>
      </c>
      <c r="M5" s="617"/>
      <c r="N5" s="615"/>
      <c r="O5" s="615"/>
      <c r="P5" s="615"/>
      <c r="S5"/>
      <c r="T5"/>
      <c r="U5"/>
      <c r="V5"/>
      <c r="W5"/>
      <c r="Z5" s="170"/>
      <c r="AA5" s="615"/>
      <c r="AB5" s="615"/>
      <c r="AC5" s="615"/>
      <c r="AD5" s="615"/>
      <c r="AE5" s="616" t="s">
        <v>1214</v>
      </c>
      <c r="AF5" s="616"/>
      <c r="AG5" s="167"/>
      <c r="AH5" s="168"/>
      <c r="AI5" s="584"/>
      <c r="AJ5" s="170"/>
      <c r="AO5" s="614" t="s">
        <v>2223</v>
      </c>
      <c r="AP5" s="614"/>
      <c r="AQ5" s="614"/>
      <c r="AR5" s="614"/>
      <c r="AS5" s="614"/>
      <c r="AV5" s="280"/>
      <c r="AW5"/>
      <c r="AX5"/>
      <c r="AY5"/>
      <c r="AZ5"/>
      <c r="BA5"/>
    </row>
    <row r="6" spans="1:53" s="166" customFormat="1">
      <c r="D6" s="168"/>
      <c r="E6" s="189">
        <f>basecut</f>
        <v>0</v>
      </c>
      <c r="L6" s="190">
        <f>downpct</f>
        <v>0</v>
      </c>
      <c r="N6" s="287"/>
      <c r="O6" s="287"/>
      <c r="P6" s="299"/>
      <c r="S6"/>
      <c r="T6"/>
      <c r="U6"/>
      <c r="V6"/>
      <c r="W6"/>
      <c r="X6" s="191"/>
      <c r="Z6" s="170"/>
      <c r="AA6" s="288"/>
      <c r="AB6" s="168"/>
      <c r="AC6" s="289"/>
      <c r="AD6" s="168"/>
      <c r="AE6" s="188">
        <f>mininc</f>
        <v>30</v>
      </c>
      <c r="AF6" s="168"/>
      <c r="AH6" s="168"/>
      <c r="AI6" s="584"/>
      <c r="AJ6" s="168"/>
      <c r="AS6" s="283"/>
      <c r="AV6" s="168"/>
      <c r="AW6"/>
      <c r="AX6"/>
      <c r="AY6"/>
      <c r="AZ6"/>
      <c r="BA6"/>
    </row>
    <row r="7" spans="1:53" s="166" customFormat="1">
      <c r="A7" s="194"/>
      <c r="D7" s="168" t="s">
        <v>512</v>
      </c>
      <c r="E7" s="168" t="s">
        <v>870</v>
      </c>
      <c r="F7" s="168" t="s">
        <v>512</v>
      </c>
      <c r="G7" s="168" t="s">
        <v>544</v>
      </c>
      <c r="I7" s="170"/>
      <c r="J7" s="168" t="s">
        <v>992</v>
      </c>
      <c r="K7" s="166" t="s">
        <v>993</v>
      </c>
      <c r="L7" s="398" t="s">
        <v>2222</v>
      </c>
      <c r="M7" s="166" t="s">
        <v>976</v>
      </c>
      <c r="N7" s="287"/>
      <c r="O7" s="287"/>
      <c r="P7" s="287"/>
      <c r="Q7" s="166" t="s">
        <v>512</v>
      </c>
      <c r="R7" s="166" t="s">
        <v>512</v>
      </c>
      <c r="S7"/>
      <c r="T7"/>
      <c r="U7"/>
      <c r="V7"/>
      <c r="W7"/>
      <c r="X7" s="166" t="s">
        <v>101</v>
      </c>
      <c r="Z7" s="170"/>
      <c r="AA7" s="168"/>
      <c r="AB7" s="168"/>
      <c r="AC7" s="168"/>
      <c r="AD7" s="168"/>
      <c r="AF7" s="168"/>
      <c r="AG7" s="166" t="s">
        <v>980</v>
      </c>
      <c r="AI7" s="583"/>
      <c r="AJ7" s="168"/>
      <c r="AM7" s="166" t="s">
        <v>553</v>
      </c>
      <c r="AS7" s="283"/>
      <c r="AV7" s="168"/>
      <c r="AW7"/>
      <c r="AX7"/>
      <c r="AY7"/>
      <c r="AZ7"/>
      <c r="BA7"/>
    </row>
    <row r="8" spans="1:53" s="166" customFormat="1">
      <c r="A8" s="194"/>
      <c r="D8" s="168" t="s">
        <v>502</v>
      </c>
      <c r="E8" s="168" t="str">
        <f>PYr</f>
        <v>FY17</v>
      </c>
      <c r="F8" s="168" t="s">
        <v>502</v>
      </c>
      <c r="G8" s="168" t="s">
        <v>518</v>
      </c>
      <c r="H8" s="166" t="s">
        <v>512</v>
      </c>
      <c r="I8" s="166" t="s">
        <v>512</v>
      </c>
      <c r="J8" s="168" t="s">
        <v>994</v>
      </c>
      <c r="K8" s="166" t="s">
        <v>995</v>
      </c>
      <c r="L8" s="166" t="s">
        <v>974</v>
      </c>
      <c r="M8" s="166" t="s">
        <v>979</v>
      </c>
      <c r="N8" s="287"/>
      <c r="O8" s="287"/>
      <c r="P8" s="287"/>
      <c r="Q8" s="166" t="s">
        <v>1175</v>
      </c>
      <c r="R8" s="166" t="s">
        <v>1175</v>
      </c>
      <c r="S8"/>
      <c r="T8"/>
      <c r="U8"/>
      <c r="V8"/>
      <c r="W8"/>
      <c r="X8" s="166" t="s">
        <v>100</v>
      </c>
      <c r="Z8" s="170"/>
      <c r="AA8" s="168"/>
      <c r="AB8" s="168"/>
      <c r="AC8" s="168"/>
      <c r="AD8" s="168"/>
      <c r="AE8" s="168" t="s">
        <v>1213</v>
      </c>
      <c r="AF8" s="168" t="s">
        <v>1205</v>
      </c>
      <c r="AG8" s="166" t="s">
        <v>981</v>
      </c>
      <c r="AH8" s="168" t="s">
        <v>551</v>
      </c>
      <c r="AI8" s="584" t="s">
        <v>2825</v>
      </c>
      <c r="AJ8" s="195" t="str">
        <f>CYr</f>
        <v>FY18</v>
      </c>
      <c r="AK8" s="300" t="s">
        <v>1181</v>
      </c>
      <c r="AL8" s="166" t="str">
        <f>CYr</f>
        <v>FY18</v>
      </c>
      <c r="AM8" s="166" t="s">
        <v>881</v>
      </c>
      <c r="AQ8" s="166" t="s">
        <v>1235</v>
      </c>
      <c r="AR8" s="166" t="s">
        <v>1236</v>
      </c>
      <c r="AS8" s="283" t="s">
        <v>683</v>
      </c>
      <c r="AU8" s="166" t="s">
        <v>1252</v>
      </c>
      <c r="AV8" s="168"/>
      <c r="AW8" s="302" t="s">
        <v>1266</v>
      </c>
      <c r="AX8"/>
      <c r="AY8"/>
      <c r="AZ8"/>
      <c r="BA8"/>
    </row>
    <row r="9" spans="1:53" s="170" customFormat="1">
      <c r="A9" s="196" t="s">
        <v>58</v>
      </c>
      <c r="B9" s="194" t="s">
        <v>1133</v>
      </c>
      <c r="C9" s="194" t="s">
        <v>65</v>
      </c>
      <c r="D9" s="168" t="str">
        <f>PYr</f>
        <v>FY17</v>
      </c>
      <c r="E9" s="168" t="s">
        <v>1251</v>
      </c>
      <c r="F9" s="168" t="str">
        <f>CYr</f>
        <v>FY18</v>
      </c>
      <c r="G9" s="168" t="str">
        <f>CYr</f>
        <v>FY18</v>
      </c>
      <c r="H9" s="197" t="s">
        <v>674</v>
      </c>
      <c r="I9" s="166" t="s">
        <v>871</v>
      </c>
      <c r="J9" s="168" t="s">
        <v>681</v>
      </c>
      <c r="K9" s="168" t="s">
        <v>996</v>
      </c>
      <c r="L9" s="197" t="s">
        <v>975</v>
      </c>
      <c r="M9" s="166" t="s">
        <v>977</v>
      </c>
      <c r="N9" s="304" t="s">
        <v>2190</v>
      </c>
      <c r="O9" s="304" t="s">
        <v>2190</v>
      </c>
      <c r="P9" s="304" t="s">
        <v>2190</v>
      </c>
      <c r="Q9" s="166" t="str">
        <f>PYr</f>
        <v>FY17</v>
      </c>
      <c r="R9" s="166" t="str">
        <f>CYr</f>
        <v>FY18</v>
      </c>
      <c r="S9" s="398" t="s">
        <v>2190</v>
      </c>
      <c r="T9" s="398" t="s">
        <v>2190</v>
      </c>
      <c r="U9" s="398" t="s">
        <v>2190</v>
      </c>
      <c r="V9" s="398" t="s">
        <v>2190</v>
      </c>
      <c r="W9" s="398" t="s">
        <v>2190</v>
      </c>
      <c r="X9" s="166" t="s">
        <v>102</v>
      </c>
      <c r="Y9" s="303" t="s">
        <v>2190</v>
      </c>
      <c r="Z9" s="303" t="s">
        <v>2190</v>
      </c>
      <c r="AA9" s="303" t="s">
        <v>2190</v>
      </c>
      <c r="AB9" s="303" t="s">
        <v>2190</v>
      </c>
      <c r="AC9" s="303" t="s">
        <v>2190</v>
      </c>
      <c r="AD9" s="303" t="s">
        <v>2190</v>
      </c>
      <c r="AE9" s="168" t="s">
        <v>1202</v>
      </c>
      <c r="AF9" s="168" t="s">
        <v>1203</v>
      </c>
      <c r="AG9" s="166" t="s">
        <v>982</v>
      </c>
      <c r="AH9" s="168" t="s">
        <v>982</v>
      </c>
      <c r="AI9" s="584" t="s">
        <v>2334</v>
      </c>
      <c r="AJ9" s="195" t="s">
        <v>1138</v>
      </c>
      <c r="AK9" s="300" t="s">
        <v>512</v>
      </c>
      <c r="AL9" s="166" t="s">
        <v>1262</v>
      </c>
      <c r="AM9" s="197" t="s">
        <v>512</v>
      </c>
      <c r="AN9" s="197" t="s">
        <v>2190</v>
      </c>
      <c r="AO9" s="197" t="s">
        <v>1265</v>
      </c>
      <c r="AP9" s="197" t="s">
        <v>1266</v>
      </c>
      <c r="AQ9" s="197" t="s">
        <v>1237</v>
      </c>
      <c r="AR9" s="197" t="s">
        <v>1238</v>
      </c>
      <c r="AS9" s="197" t="s">
        <v>2171</v>
      </c>
      <c r="AT9" s="170" t="s">
        <v>2190</v>
      </c>
      <c r="AU9" s="197" t="s">
        <v>1253</v>
      </c>
      <c r="AV9" s="304" t="s">
        <v>2190</v>
      </c>
      <c r="AW9" s="302" t="s">
        <v>2189</v>
      </c>
      <c r="AX9"/>
      <c r="AY9"/>
      <c r="AZ9"/>
      <c r="BA9"/>
    </row>
    <row r="10" spans="1:53" ht="23.25" customHeight="1">
      <c r="A10" s="102">
        <v>1</v>
      </c>
      <c r="B10" s="7" t="s">
        <v>1707</v>
      </c>
      <c r="C10" s="7">
        <v>1</v>
      </c>
      <c r="D10" s="62">
        <f>VLOOKUP(A10, disthist, D$2, FALSE)</f>
        <v>19481152.105999999</v>
      </c>
      <c r="E10" s="172">
        <f t="shared" ref="E10:E73" si="0">VLOOKUP(A10, disthist, E$2, FALSE)*(1-$E$6)</f>
        <v>7579849</v>
      </c>
      <c r="F10" s="62">
        <f t="shared" ref="F10:F73" si="1">SUMIF(dist1755,A10,found1755)</f>
        <v>19699144.432921756</v>
      </c>
      <c r="G10" s="70">
        <f t="shared" ref="G10:G73" si="2">SUMIF(dist1755,A10,prelcont1755)</f>
        <v>12922903</v>
      </c>
      <c r="H10" s="62">
        <f t="shared" ref="H10:H73" si="3">ROUND(MAX(found-prelcont436,0),0)</f>
        <v>6776241</v>
      </c>
      <c r="I10" s="173">
        <f t="shared" ref="I10:I73" si="4">IF(foundaid&gt;priorc70,foundaid-priorc70,0)</f>
        <v>0</v>
      </c>
      <c r="J10" s="174">
        <f>ROUND(100-'Townwide Contributions'!K10,2)</f>
        <v>34.75</v>
      </c>
      <c r="K10" s="70">
        <f>ROUND(J10/100*F10,0)</f>
        <v>6845453</v>
      </c>
      <c r="L10" s="70">
        <f>ROUND(IF(K10&gt;priorc70,L$6*(K10-priorc70),0),0)</f>
        <v>0</v>
      </c>
      <c r="M10" s="175">
        <f>IF(L10&gt;I10,L10-I10,0)</f>
        <v>0</v>
      </c>
      <c r="N10" s="70"/>
      <c r="O10" s="70"/>
      <c r="P10" s="70"/>
      <c r="Q10" s="62">
        <v>1956</v>
      </c>
      <c r="R10" s="62">
        <f t="shared" ref="R10:R73" si="5">SUMIF(dist1755,A10,enro1755)</f>
        <v>1930</v>
      </c>
      <c r="S10" s="176"/>
      <c r="T10" s="176"/>
      <c r="U10" s="70"/>
      <c r="V10" s="70"/>
      <c r="W10" s="260"/>
      <c r="X10" s="62">
        <f t="shared" ref="X10:X73" si="6">IF(AND(C10=1,I10&gt;0),1,0)</f>
        <v>0</v>
      </c>
      <c r="Y10" s="70"/>
      <c r="AA10" s="290"/>
      <c r="AB10" s="291"/>
      <c r="AC10" s="62"/>
      <c r="AD10" s="62"/>
      <c r="AE10" s="177">
        <f t="shared" ref="AE10:AE73" si="7">IF(nonop=1,enro*$AE$6,0)</f>
        <v>57900</v>
      </c>
      <c r="AF10" s="177">
        <f t="shared" ref="AF10:AF73" si="8">IF((foundinc+downaid)&lt;AE10,AE10-(foundinc+downaid),0)</f>
        <v>57900</v>
      </c>
      <c r="AG10" s="70">
        <f t="shared" ref="AG10:AG73" si="9">priorc70+foundinc+downaid+minaid</f>
        <v>7637749</v>
      </c>
      <c r="AH10" s="70">
        <f t="shared" ref="AH10:AH41" si="10">IF(AND(C10=0,AG10&gt;found),AG10-found,0)</f>
        <v>0</v>
      </c>
      <c r="AI10" s="587">
        <v>0</v>
      </c>
      <c r="AJ10" s="178">
        <f t="shared" ref="AJ10:AJ73" si="11">AG10+AI10-rednonop</f>
        <v>7637749</v>
      </c>
      <c r="AK10" s="301">
        <f t="shared" ref="AK10:AK73" si="12">IF(C10=1, AJ10/F10*100, 0)</f>
        <v>38.771983351904268</v>
      </c>
      <c r="AL10" s="70">
        <f t="shared" ref="AL10:AL73" si="13">prelcont436+chapter70</f>
        <v>20560652</v>
      </c>
      <c r="AM10" s="179">
        <f t="shared" ref="AM10:AM73" si="14">IF(found&gt;0,AL10*100/found,0)</f>
        <v>104.37332479089025</v>
      </c>
      <c r="AN10" s="179"/>
      <c r="AO10" s="31">
        <f t="shared" ref="AO10:AO73" si="15">F10-D10</f>
        <v>217992.32692175731</v>
      </c>
      <c r="AP10" s="31">
        <f t="shared" ref="AP10:AP73" si="16">AJ10-E10</f>
        <v>57900</v>
      </c>
      <c r="AQ10" s="31">
        <f t="shared" ref="AQ10:AQ73" si="17">AJ10-((J10/100)*F10)</f>
        <v>792296.30955968983</v>
      </c>
      <c r="AR10" s="180">
        <f t="shared" ref="AR10:AR73" si="18">IF(C10=1, (AJ10/F10*100)-J10, "")</f>
        <v>4.021983351904268</v>
      </c>
      <c r="AS10" s="31">
        <f>IFERROR(ROUND(F10/R10, 2), 0)</f>
        <v>10206.81</v>
      </c>
      <c r="AU10" s="31">
        <f t="shared" ref="AU10:AU73" si="19">VLOOKUP(A10, disthist, 37, FALSE)*$E$6</f>
        <v>0</v>
      </c>
      <c r="AV10" s="177"/>
      <c r="AW10" s="31">
        <f t="shared" ref="AW10:AW73" si="20">IFERROR(AP10/R10, 0)</f>
        <v>30</v>
      </c>
    </row>
    <row r="11" spans="1:53">
      <c r="A11" s="102">
        <v>2</v>
      </c>
      <c r="B11" s="7" t="s">
        <v>1708</v>
      </c>
      <c r="C11" s="7">
        <v>0</v>
      </c>
      <c r="D11" s="62">
        <f t="shared" ref="D11:D73" si="21">VLOOKUP(A11, disthist, D$2, FALSE)</f>
        <v>0</v>
      </c>
      <c r="E11" s="172">
        <f t="shared" si="0"/>
        <v>0</v>
      </c>
      <c r="F11" s="62">
        <f t="shared" si="1"/>
        <v>0</v>
      </c>
      <c r="G11" s="70">
        <f t="shared" si="2"/>
        <v>0</v>
      </c>
      <c r="H11" s="62">
        <f t="shared" si="3"/>
        <v>0</v>
      </c>
      <c r="I11" s="173">
        <f t="shared" si="4"/>
        <v>0</v>
      </c>
      <c r="J11" s="174">
        <f>ROUND(100-'Townwide Contributions'!K11,2)</f>
        <v>22.12</v>
      </c>
      <c r="K11" s="70">
        <f t="shared" ref="K11:K73" si="22">ROUND(J11/100*F11,0)</f>
        <v>0</v>
      </c>
      <c r="L11" s="70">
        <f t="shared" ref="L11:L73" si="23">ROUND(IF(K11&gt;priorc70,L$6*(K11-priorc70),0),0)</f>
        <v>0</v>
      </c>
      <c r="M11" s="175">
        <f t="shared" ref="M11:M73" si="24">IF(L11&gt;I11,L11-I11,0)</f>
        <v>0</v>
      </c>
      <c r="N11" s="70"/>
      <c r="O11" s="70"/>
      <c r="P11" s="70"/>
      <c r="Q11" s="62">
        <v>0</v>
      </c>
      <c r="R11" s="62">
        <f t="shared" si="5"/>
        <v>0</v>
      </c>
      <c r="S11" s="176"/>
      <c r="T11" s="176"/>
      <c r="U11" s="70"/>
      <c r="V11" s="70"/>
      <c r="W11" s="260"/>
      <c r="X11" s="62">
        <f t="shared" si="6"/>
        <v>0</v>
      </c>
      <c r="Y11" s="70"/>
      <c r="AA11" s="290"/>
      <c r="AB11" s="291"/>
      <c r="AC11" s="62"/>
      <c r="AD11" s="62"/>
      <c r="AE11" s="177">
        <f t="shared" si="7"/>
        <v>0</v>
      </c>
      <c r="AF11" s="177">
        <f t="shared" si="8"/>
        <v>0</v>
      </c>
      <c r="AG11" s="70">
        <f t="shared" si="9"/>
        <v>0</v>
      </c>
      <c r="AH11" s="70">
        <f t="shared" si="10"/>
        <v>0</v>
      </c>
      <c r="AI11" s="587">
        <v>0</v>
      </c>
      <c r="AJ11" s="178">
        <f t="shared" si="11"/>
        <v>0</v>
      </c>
      <c r="AK11" s="301">
        <f t="shared" si="12"/>
        <v>0</v>
      </c>
      <c r="AL11" s="70">
        <f t="shared" si="13"/>
        <v>0</v>
      </c>
      <c r="AM11" s="179">
        <f t="shared" si="14"/>
        <v>0</v>
      </c>
      <c r="AN11" s="179"/>
      <c r="AO11" s="31">
        <f t="shared" si="15"/>
        <v>0</v>
      </c>
      <c r="AP11" s="31">
        <f t="shared" si="16"/>
        <v>0</v>
      </c>
      <c r="AQ11" s="31">
        <f t="shared" si="17"/>
        <v>0</v>
      </c>
      <c r="AR11" s="180" t="str">
        <f t="shared" si="18"/>
        <v/>
      </c>
      <c r="AS11" s="31">
        <f t="shared" ref="AS11:AS74" si="25">IFERROR(ROUND(F11/R11, 2), 0)</f>
        <v>0</v>
      </c>
      <c r="AU11" s="31">
        <f t="shared" si="19"/>
        <v>0</v>
      </c>
      <c r="AV11" s="177"/>
      <c r="AW11" s="31">
        <f t="shared" si="20"/>
        <v>0</v>
      </c>
    </row>
    <row r="12" spans="1:53">
      <c r="A12" s="102">
        <v>3</v>
      </c>
      <c r="B12" s="7" t="s">
        <v>1709</v>
      </c>
      <c r="C12" s="7">
        <v>1</v>
      </c>
      <c r="D12" s="62">
        <f t="shared" si="21"/>
        <v>11862468.339999998</v>
      </c>
      <c r="E12" s="172">
        <f t="shared" si="0"/>
        <v>6250222</v>
      </c>
      <c r="F12" s="62">
        <f t="shared" si="1"/>
        <v>11736546.345857544</v>
      </c>
      <c r="G12" s="70">
        <f t="shared" si="2"/>
        <v>6867294</v>
      </c>
      <c r="H12" s="62">
        <f t="shared" si="3"/>
        <v>4869252</v>
      </c>
      <c r="I12" s="173">
        <f t="shared" si="4"/>
        <v>0</v>
      </c>
      <c r="J12" s="174">
        <f>ROUND(100-'Townwide Contributions'!K12,2)</f>
        <v>41.83</v>
      </c>
      <c r="K12" s="70">
        <f t="shared" si="22"/>
        <v>4909397</v>
      </c>
      <c r="L12" s="70">
        <f t="shared" si="23"/>
        <v>0</v>
      </c>
      <c r="M12" s="175">
        <f t="shared" si="24"/>
        <v>0</v>
      </c>
      <c r="N12" s="70"/>
      <c r="O12" s="70"/>
      <c r="P12" s="70"/>
      <c r="Q12" s="62">
        <v>1254</v>
      </c>
      <c r="R12" s="62">
        <f t="shared" si="5"/>
        <v>1210</v>
      </c>
      <c r="S12" s="176"/>
      <c r="T12" s="176"/>
      <c r="U12" s="70"/>
      <c r="V12" s="70"/>
      <c r="W12" s="260"/>
      <c r="X12" s="62">
        <f t="shared" si="6"/>
        <v>0</v>
      </c>
      <c r="Y12" s="70"/>
      <c r="AA12" s="290"/>
      <c r="AB12" s="291"/>
      <c r="AC12" s="62"/>
      <c r="AD12" s="62"/>
      <c r="AE12" s="177">
        <f t="shared" si="7"/>
        <v>36300</v>
      </c>
      <c r="AF12" s="177">
        <f t="shared" si="8"/>
        <v>36300</v>
      </c>
      <c r="AG12" s="70">
        <f t="shared" si="9"/>
        <v>6286522</v>
      </c>
      <c r="AH12" s="70">
        <f t="shared" si="10"/>
        <v>0</v>
      </c>
      <c r="AI12" s="587">
        <v>0</v>
      </c>
      <c r="AJ12" s="178">
        <f t="shared" si="11"/>
        <v>6286522</v>
      </c>
      <c r="AK12" s="301">
        <f t="shared" si="12"/>
        <v>53.563644829970372</v>
      </c>
      <c r="AL12" s="70">
        <f t="shared" si="13"/>
        <v>13153816</v>
      </c>
      <c r="AM12" s="179">
        <f t="shared" si="14"/>
        <v>112.0756959703285</v>
      </c>
      <c r="AN12" s="179"/>
      <c r="AO12" s="31">
        <f t="shared" si="15"/>
        <v>-125921.99414245412</v>
      </c>
      <c r="AP12" s="31">
        <f t="shared" si="16"/>
        <v>36300</v>
      </c>
      <c r="AQ12" s="31">
        <f t="shared" si="17"/>
        <v>1377124.6635277895</v>
      </c>
      <c r="AR12" s="180">
        <f t="shared" si="18"/>
        <v>11.733644829970373</v>
      </c>
      <c r="AS12" s="31">
        <f t="shared" si="25"/>
        <v>9699.6299999999992</v>
      </c>
      <c r="AU12" s="31">
        <f t="shared" si="19"/>
        <v>0</v>
      </c>
      <c r="AV12" s="177"/>
      <c r="AW12" s="31">
        <f t="shared" si="20"/>
        <v>30</v>
      </c>
    </row>
    <row r="13" spans="1:53">
      <c r="A13" s="102">
        <v>4</v>
      </c>
      <c r="B13" s="7" t="s">
        <v>1710</v>
      </c>
      <c r="C13" s="7">
        <v>0</v>
      </c>
      <c r="D13" s="62">
        <f t="shared" si="21"/>
        <v>0</v>
      </c>
      <c r="E13" s="172">
        <f t="shared" si="0"/>
        <v>0</v>
      </c>
      <c r="F13" s="62">
        <f t="shared" si="1"/>
        <v>0</v>
      </c>
      <c r="G13" s="70">
        <f t="shared" si="2"/>
        <v>0</v>
      </c>
      <c r="H13" s="62">
        <f t="shared" si="3"/>
        <v>0</v>
      </c>
      <c r="I13" s="173">
        <f t="shared" si="4"/>
        <v>0</v>
      </c>
      <c r="J13" s="174">
        <f>ROUND(100-'Townwide Contributions'!K13,2)</f>
        <v>67.260000000000005</v>
      </c>
      <c r="K13" s="70">
        <f t="shared" si="22"/>
        <v>0</v>
      </c>
      <c r="L13" s="70">
        <f t="shared" si="23"/>
        <v>0</v>
      </c>
      <c r="M13" s="175">
        <f t="shared" si="24"/>
        <v>0</v>
      </c>
      <c r="N13" s="70"/>
      <c r="O13" s="70"/>
      <c r="P13" s="70"/>
      <c r="Q13" s="62">
        <v>0</v>
      </c>
      <c r="R13" s="62">
        <f t="shared" si="5"/>
        <v>0</v>
      </c>
      <c r="S13" s="176"/>
      <c r="T13" s="176"/>
      <c r="U13" s="70"/>
      <c r="V13" s="70"/>
      <c r="W13" s="260"/>
      <c r="X13" s="62">
        <f t="shared" si="6"/>
        <v>0</v>
      </c>
      <c r="Y13" s="70"/>
      <c r="AA13" s="290"/>
      <c r="AB13" s="291"/>
      <c r="AC13" s="62"/>
      <c r="AD13" s="62"/>
      <c r="AE13" s="177">
        <f t="shared" si="7"/>
        <v>0</v>
      </c>
      <c r="AF13" s="177">
        <f t="shared" si="8"/>
        <v>0</v>
      </c>
      <c r="AG13" s="70">
        <f t="shared" si="9"/>
        <v>0</v>
      </c>
      <c r="AH13" s="70">
        <f t="shared" si="10"/>
        <v>0</v>
      </c>
      <c r="AI13" s="587">
        <v>0</v>
      </c>
      <c r="AJ13" s="178">
        <f t="shared" si="11"/>
        <v>0</v>
      </c>
      <c r="AK13" s="301">
        <f t="shared" si="12"/>
        <v>0</v>
      </c>
      <c r="AL13" s="70">
        <f t="shared" si="13"/>
        <v>0</v>
      </c>
      <c r="AM13" s="179">
        <f t="shared" si="14"/>
        <v>0</v>
      </c>
      <c r="AN13" s="179"/>
      <c r="AO13" s="31">
        <f t="shared" si="15"/>
        <v>0</v>
      </c>
      <c r="AP13" s="31">
        <f t="shared" si="16"/>
        <v>0</v>
      </c>
      <c r="AQ13" s="31">
        <f t="shared" si="17"/>
        <v>0</v>
      </c>
      <c r="AR13" s="180" t="str">
        <f t="shared" si="18"/>
        <v/>
      </c>
      <c r="AS13" s="31">
        <f t="shared" si="25"/>
        <v>0</v>
      </c>
      <c r="AU13" s="31">
        <f t="shared" si="19"/>
        <v>0</v>
      </c>
      <c r="AV13" s="177"/>
      <c r="AW13" s="31">
        <f t="shared" si="20"/>
        <v>0</v>
      </c>
    </row>
    <row r="14" spans="1:53">
      <c r="A14" s="102">
        <v>5</v>
      </c>
      <c r="B14" s="7" t="s">
        <v>1711</v>
      </c>
      <c r="C14" s="7">
        <v>1</v>
      </c>
      <c r="D14" s="62">
        <f t="shared" si="21"/>
        <v>39809443.760000005</v>
      </c>
      <c r="E14" s="172">
        <f t="shared" si="0"/>
        <v>19138981.812022001</v>
      </c>
      <c r="F14" s="62">
        <f t="shared" si="1"/>
        <v>40549530.336503848</v>
      </c>
      <c r="G14" s="70">
        <f t="shared" si="2"/>
        <v>22135293</v>
      </c>
      <c r="H14" s="62">
        <f t="shared" si="3"/>
        <v>18414237</v>
      </c>
      <c r="I14" s="173">
        <f t="shared" si="4"/>
        <v>0</v>
      </c>
      <c r="J14" s="174">
        <f>ROUND(100-'Townwide Contributions'!K14,2)</f>
        <v>46.07</v>
      </c>
      <c r="K14" s="70">
        <f t="shared" si="22"/>
        <v>18681169</v>
      </c>
      <c r="L14" s="70">
        <f t="shared" si="23"/>
        <v>0</v>
      </c>
      <c r="M14" s="175">
        <f t="shared" si="24"/>
        <v>0</v>
      </c>
      <c r="N14" s="70"/>
      <c r="O14" s="70"/>
      <c r="P14" s="70"/>
      <c r="Q14" s="62">
        <v>3842</v>
      </c>
      <c r="R14" s="62">
        <f t="shared" si="5"/>
        <v>3831</v>
      </c>
      <c r="S14" s="176"/>
      <c r="T14" s="176"/>
      <c r="U14" s="70"/>
      <c r="V14" s="70"/>
      <c r="W14" s="260"/>
      <c r="X14" s="62">
        <f t="shared" si="6"/>
        <v>0</v>
      </c>
      <c r="Y14" s="70"/>
      <c r="AA14" s="290"/>
      <c r="AB14" s="291"/>
      <c r="AC14" s="62"/>
      <c r="AD14" s="62"/>
      <c r="AE14" s="177">
        <f t="shared" si="7"/>
        <v>114930</v>
      </c>
      <c r="AF14" s="177">
        <f t="shared" si="8"/>
        <v>114930</v>
      </c>
      <c r="AG14" s="70">
        <f t="shared" si="9"/>
        <v>19253911.812022001</v>
      </c>
      <c r="AH14" s="70">
        <f t="shared" si="10"/>
        <v>0</v>
      </c>
      <c r="AI14" s="587">
        <v>0</v>
      </c>
      <c r="AJ14" s="178">
        <f t="shared" si="11"/>
        <v>19253911.812022001</v>
      </c>
      <c r="AK14" s="301">
        <f t="shared" si="12"/>
        <v>47.48245331633121</v>
      </c>
      <c r="AL14" s="70">
        <f t="shared" si="13"/>
        <v>41389204.812022001</v>
      </c>
      <c r="AM14" s="179">
        <f t="shared" si="14"/>
        <v>102.07073785701101</v>
      </c>
      <c r="AN14" s="179"/>
      <c r="AO14" s="31">
        <f t="shared" si="15"/>
        <v>740086.57650384307</v>
      </c>
      <c r="AP14" s="31">
        <f t="shared" si="16"/>
        <v>114930</v>
      </c>
      <c r="AQ14" s="31">
        <f t="shared" si="17"/>
        <v>572743.18599467725</v>
      </c>
      <c r="AR14" s="180">
        <f t="shared" si="18"/>
        <v>1.4124533163312094</v>
      </c>
      <c r="AS14" s="31">
        <f t="shared" si="25"/>
        <v>10584.58</v>
      </c>
      <c r="AU14" s="31">
        <f t="shared" si="19"/>
        <v>0</v>
      </c>
      <c r="AV14" s="177"/>
      <c r="AW14" s="31">
        <f t="shared" si="20"/>
        <v>30</v>
      </c>
    </row>
    <row r="15" spans="1:53">
      <c r="A15" s="102">
        <v>6</v>
      </c>
      <c r="B15" s="7" t="s">
        <v>1712</v>
      </c>
      <c r="C15" s="7">
        <v>0</v>
      </c>
      <c r="D15" s="62">
        <f t="shared" si="21"/>
        <v>0</v>
      </c>
      <c r="E15" s="172">
        <f t="shared" si="0"/>
        <v>0</v>
      </c>
      <c r="F15" s="62">
        <f t="shared" si="1"/>
        <v>0</v>
      </c>
      <c r="G15" s="70">
        <f t="shared" si="2"/>
        <v>0</v>
      </c>
      <c r="H15" s="62">
        <f t="shared" si="3"/>
        <v>0</v>
      </c>
      <c r="I15" s="173">
        <f t="shared" si="4"/>
        <v>0</v>
      </c>
      <c r="J15" s="174">
        <f>ROUND(100-'Townwide Contributions'!K15,2)</f>
        <v>17.5</v>
      </c>
      <c r="K15" s="70">
        <f t="shared" si="22"/>
        <v>0</v>
      </c>
      <c r="L15" s="70">
        <f t="shared" si="23"/>
        <v>0</v>
      </c>
      <c r="M15" s="175">
        <f t="shared" si="24"/>
        <v>0</v>
      </c>
      <c r="N15" s="70"/>
      <c r="O15" s="70"/>
      <c r="P15" s="70"/>
      <c r="Q15" s="62">
        <v>0</v>
      </c>
      <c r="R15" s="62">
        <f t="shared" si="5"/>
        <v>0</v>
      </c>
      <c r="S15" s="176"/>
      <c r="T15" s="176"/>
      <c r="U15" s="70"/>
      <c r="V15" s="70"/>
      <c r="W15" s="260"/>
      <c r="X15" s="62">
        <f t="shared" si="6"/>
        <v>0</v>
      </c>
      <c r="Y15" s="70"/>
      <c r="AA15" s="290"/>
      <c r="AB15" s="291"/>
      <c r="AC15" s="62"/>
      <c r="AD15" s="62"/>
      <c r="AE15" s="177">
        <f t="shared" si="7"/>
        <v>0</v>
      </c>
      <c r="AF15" s="177">
        <f t="shared" si="8"/>
        <v>0</v>
      </c>
      <c r="AG15" s="70">
        <f t="shared" si="9"/>
        <v>0</v>
      </c>
      <c r="AH15" s="70">
        <f t="shared" si="10"/>
        <v>0</v>
      </c>
      <c r="AI15" s="587">
        <v>0</v>
      </c>
      <c r="AJ15" s="178">
        <f t="shared" si="11"/>
        <v>0</v>
      </c>
      <c r="AK15" s="301">
        <f t="shared" si="12"/>
        <v>0</v>
      </c>
      <c r="AL15" s="70">
        <f t="shared" si="13"/>
        <v>0</v>
      </c>
      <c r="AM15" s="179">
        <f t="shared" si="14"/>
        <v>0</v>
      </c>
      <c r="AN15" s="179"/>
      <c r="AO15" s="31">
        <f t="shared" si="15"/>
        <v>0</v>
      </c>
      <c r="AP15" s="31">
        <f t="shared" si="16"/>
        <v>0</v>
      </c>
      <c r="AQ15" s="31">
        <f t="shared" si="17"/>
        <v>0</v>
      </c>
      <c r="AR15" s="180" t="str">
        <f t="shared" si="18"/>
        <v/>
      </c>
      <c r="AS15" s="31">
        <f t="shared" si="25"/>
        <v>0</v>
      </c>
      <c r="AU15" s="31">
        <f t="shared" si="19"/>
        <v>0</v>
      </c>
      <c r="AV15" s="177"/>
      <c r="AW15" s="31">
        <f t="shared" si="20"/>
        <v>0</v>
      </c>
    </row>
    <row r="16" spans="1:53">
      <c r="A16" s="102">
        <v>7</v>
      </c>
      <c r="B16" s="7" t="s">
        <v>1713</v>
      </c>
      <c r="C16" s="7">
        <v>1</v>
      </c>
      <c r="D16" s="62">
        <f t="shared" si="21"/>
        <v>22775372.140000001</v>
      </c>
      <c r="E16" s="172">
        <f t="shared" si="0"/>
        <v>8995077</v>
      </c>
      <c r="F16" s="62">
        <f t="shared" si="1"/>
        <v>22137199.0502779</v>
      </c>
      <c r="G16" s="70">
        <f t="shared" si="2"/>
        <v>14640237</v>
      </c>
      <c r="H16" s="62">
        <f t="shared" si="3"/>
        <v>7496962</v>
      </c>
      <c r="I16" s="173">
        <f t="shared" si="4"/>
        <v>0</v>
      </c>
      <c r="J16" s="174">
        <f>ROUND(100-'Townwide Contributions'!K16,2)</f>
        <v>34.17</v>
      </c>
      <c r="K16" s="70">
        <f t="shared" si="22"/>
        <v>7564281</v>
      </c>
      <c r="L16" s="70">
        <f t="shared" si="23"/>
        <v>0</v>
      </c>
      <c r="M16" s="175">
        <f t="shared" si="24"/>
        <v>0</v>
      </c>
      <c r="N16" s="70"/>
      <c r="O16" s="70"/>
      <c r="P16" s="70"/>
      <c r="Q16" s="62">
        <v>2324</v>
      </c>
      <c r="R16" s="62">
        <f t="shared" si="5"/>
        <v>2217</v>
      </c>
      <c r="S16" s="176"/>
      <c r="T16" s="176"/>
      <c r="U16" s="70"/>
      <c r="V16" s="70"/>
      <c r="W16" s="260"/>
      <c r="X16" s="62">
        <f t="shared" si="6"/>
        <v>0</v>
      </c>
      <c r="Y16" s="70"/>
      <c r="AA16" s="290"/>
      <c r="AB16" s="291"/>
      <c r="AC16" s="62"/>
      <c r="AD16" s="62"/>
      <c r="AE16" s="177">
        <f t="shared" si="7"/>
        <v>66510</v>
      </c>
      <c r="AF16" s="177">
        <f t="shared" si="8"/>
        <v>66510</v>
      </c>
      <c r="AG16" s="70">
        <f t="shared" si="9"/>
        <v>9061587</v>
      </c>
      <c r="AH16" s="70">
        <f t="shared" si="10"/>
        <v>0</v>
      </c>
      <c r="AI16" s="587">
        <v>0</v>
      </c>
      <c r="AJ16" s="178">
        <f t="shared" si="11"/>
        <v>9061587</v>
      </c>
      <c r="AK16" s="301">
        <f t="shared" si="12"/>
        <v>40.933755799093497</v>
      </c>
      <c r="AL16" s="70">
        <f t="shared" si="13"/>
        <v>23701824</v>
      </c>
      <c r="AM16" s="179">
        <f t="shared" si="14"/>
        <v>107.06785418592719</v>
      </c>
      <c r="AN16" s="179"/>
      <c r="AO16" s="31">
        <f t="shared" si="15"/>
        <v>-638173.08972210065</v>
      </c>
      <c r="AP16" s="31">
        <f t="shared" si="16"/>
        <v>66510</v>
      </c>
      <c r="AQ16" s="31">
        <f t="shared" si="17"/>
        <v>1497306.0845200419</v>
      </c>
      <c r="AR16" s="180">
        <f t="shared" si="18"/>
        <v>6.7637557990934951</v>
      </c>
      <c r="AS16" s="31">
        <f t="shared" si="25"/>
        <v>9985.2000000000007</v>
      </c>
      <c r="AU16" s="31">
        <f t="shared" si="19"/>
        <v>0</v>
      </c>
      <c r="AV16" s="177"/>
      <c r="AW16" s="31">
        <f t="shared" si="20"/>
        <v>30</v>
      </c>
    </row>
    <row r="17" spans="1:49">
      <c r="A17" s="102">
        <v>8</v>
      </c>
      <c r="B17" s="7" t="s">
        <v>1714</v>
      </c>
      <c r="C17" s="7">
        <v>1</v>
      </c>
      <c r="D17" s="62">
        <f t="shared" si="21"/>
        <v>12153334.120000001</v>
      </c>
      <c r="E17" s="172">
        <f t="shared" si="0"/>
        <v>6020943</v>
      </c>
      <c r="F17" s="62">
        <f t="shared" si="1"/>
        <v>11871248.344619127</v>
      </c>
      <c r="G17" s="70">
        <f t="shared" si="2"/>
        <v>8817279</v>
      </c>
      <c r="H17" s="62">
        <f t="shared" si="3"/>
        <v>3053969</v>
      </c>
      <c r="I17" s="173">
        <f t="shared" si="4"/>
        <v>0</v>
      </c>
      <c r="J17" s="174">
        <f>ROUND(100-'Townwide Contributions'!K17,2)</f>
        <v>26.15</v>
      </c>
      <c r="K17" s="70">
        <f t="shared" si="22"/>
        <v>3104331</v>
      </c>
      <c r="L17" s="70">
        <f t="shared" si="23"/>
        <v>0</v>
      </c>
      <c r="M17" s="175">
        <f t="shared" si="24"/>
        <v>0</v>
      </c>
      <c r="N17" s="70"/>
      <c r="O17" s="70"/>
      <c r="P17" s="70"/>
      <c r="Q17" s="62">
        <v>1199</v>
      </c>
      <c r="R17" s="62">
        <f t="shared" si="5"/>
        <v>1136</v>
      </c>
      <c r="S17" s="176"/>
      <c r="T17" s="176"/>
      <c r="U17" s="70"/>
      <c r="V17" s="70"/>
      <c r="W17" s="260"/>
      <c r="X17" s="62">
        <f t="shared" si="6"/>
        <v>0</v>
      </c>
      <c r="Y17" s="70"/>
      <c r="AA17" s="290"/>
      <c r="AB17" s="291"/>
      <c r="AC17" s="62"/>
      <c r="AD17" s="62"/>
      <c r="AE17" s="177">
        <f t="shared" si="7"/>
        <v>34080</v>
      </c>
      <c r="AF17" s="177">
        <f t="shared" si="8"/>
        <v>34080</v>
      </c>
      <c r="AG17" s="70">
        <f t="shared" si="9"/>
        <v>6055023</v>
      </c>
      <c r="AH17" s="70">
        <f t="shared" si="10"/>
        <v>0</v>
      </c>
      <c r="AI17" s="587">
        <v>0</v>
      </c>
      <c r="AJ17" s="178">
        <f t="shared" si="11"/>
        <v>6055023</v>
      </c>
      <c r="AK17" s="301">
        <f t="shared" si="12"/>
        <v>51.005781567568299</v>
      </c>
      <c r="AL17" s="70">
        <f t="shared" si="13"/>
        <v>14872302</v>
      </c>
      <c r="AM17" s="179">
        <f t="shared" si="14"/>
        <v>125.28001746961311</v>
      </c>
      <c r="AN17" s="179"/>
      <c r="AO17" s="31">
        <f t="shared" si="15"/>
        <v>-282085.77538087405</v>
      </c>
      <c r="AP17" s="31">
        <f t="shared" si="16"/>
        <v>34080</v>
      </c>
      <c r="AQ17" s="31">
        <f t="shared" si="17"/>
        <v>2950691.557882098</v>
      </c>
      <c r="AR17" s="180">
        <f t="shared" si="18"/>
        <v>24.8557815675683</v>
      </c>
      <c r="AS17" s="31">
        <f t="shared" si="25"/>
        <v>10450.040000000001</v>
      </c>
      <c r="AU17" s="31">
        <f t="shared" si="19"/>
        <v>0</v>
      </c>
      <c r="AV17" s="177"/>
      <c r="AW17" s="31">
        <f t="shared" si="20"/>
        <v>30</v>
      </c>
    </row>
    <row r="18" spans="1:49">
      <c r="A18" s="102">
        <v>9</v>
      </c>
      <c r="B18" s="7" t="s">
        <v>1715</v>
      </c>
      <c r="C18" s="7">
        <v>1</v>
      </c>
      <c r="D18" s="62">
        <f t="shared" si="21"/>
        <v>58523208.186840013</v>
      </c>
      <c r="E18" s="172">
        <f t="shared" si="0"/>
        <v>9768234</v>
      </c>
      <c r="F18" s="62">
        <f t="shared" si="1"/>
        <v>59213763.705395557</v>
      </c>
      <c r="G18" s="70">
        <f t="shared" si="2"/>
        <v>49146929</v>
      </c>
      <c r="H18" s="62">
        <f t="shared" si="3"/>
        <v>10066835</v>
      </c>
      <c r="I18" s="173">
        <f t="shared" si="4"/>
        <v>298601</v>
      </c>
      <c r="J18" s="174">
        <f>ROUND(100-'Townwide Contributions'!K18,2)</f>
        <v>17.5</v>
      </c>
      <c r="K18" s="70">
        <f t="shared" si="22"/>
        <v>10362409</v>
      </c>
      <c r="L18" s="70">
        <f t="shared" si="23"/>
        <v>0</v>
      </c>
      <c r="M18" s="175">
        <f t="shared" si="24"/>
        <v>0</v>
      </c>
      <c r="N18" s="70"/>
      <c r="O18" s="70"/>
      <c r="P18" s="70"/>
      <c r="Q18" s="62">
        <v>5980</v>
      </c>
      <c r="R18" s="62">
        <f t="shared" si="5"/>
        <v>5911</v>
      </c>
      <c r="S18" s="176"/>
      <c r="T18" s="176"/>
      <c r="U18" s="70"/>
      <c r="V18" s="70"/>
      <c r="W18" s="260"/>
      <c r="X18" s="62">
        <f t="shared" si="6"/>
        <v>1</v>
      </c>
      <c r="Y18" s="70"/>
      <c r="AA18" s="290"/>
      <c r="AB18" s="291"/>
      <c r="AC18" s="62"/>
      <c r="AD18" s="62"/>
      <c r="AE18" s="177">
        <f t="shared" si="7"/>
        <v>177330</v>
      </c>
      <c r="AF18" s="177">
        <f t="shared" si="8"/>
        <v>0</v>
      </c>
      <c r="AG18" s="70">
        <f t="shared" si="9"/>
        <v>10066835</v>
      </c>
      <c r="AH18" s="70">
        <f t="shared" si="10"/>
        <v>0</v>
      </c>
      <c r="AI18" s="587">
        <v>0</v>
      </c>
      <c r="AJ18" s="178">
        <f t="shared" si="11"/>
        <v>10066835</v>
      </c>
      <c r="AK18" s="301">
        <f t="shared" si="12"/>
        <v>17.000836241528607</v>
      </c>
      <c r="AL18" s="70">
        <f t="shared" si="13"/>
        <v>59213764</v>
      </c>
      <c r="AM18" s="179">
        <f t="shared" si="14"/>
        <v>100.00000049752697</v>
      </c>
      <c r="AN18" s="179"/>
      <c r="AO18" s="31">
        <f t="shared" si="15"/>
        <v>690555.51855554432</v>
      </c>
      <c r="AP18" s="31">
        <f t="shared" si="16"/>
        <v>298601</v>
      </c>
      <c r="AQ18" s="31">
        <f t="shared" si="17"/>
        <v>-295573.64844422229</v>
      </c>
      <c r="AR18" s="180">
        <f t="shared" si="18"/>
        <v>-0.49916375847139349</v>
      </c>
      <c r="AS18" s="31">
        <f t="shared" si="25"/>
        <v>10017.549999999999</v>
      </c>
      <c r="AU18" s="31">
        <f t="shared" si="19"/>
        <v>0</v>
      </c>
      <c r="AV18" s="177"/>
      <c r="AW18" s="31">
        <f t="shared" si="20"/>
        <v>50.516156318727795</v>
      </c>
    </row>
    <row r="19" spans="1:49">
      <c r="A19" s="102">
        <v>10</v>
      </c>
      <c r="B19" s="7" t="s">
        <v>1716</v>
      </c>
      <c r="C19" s="7">
        <v>1</v>
      </c>
      <c r="D19" s="62">
        <f t="shared" si="21"/>
        <v>51156059.770829991</v>
      </c>
      <c r="E19" s="172">
        <f t="shared" si="0"/>
        <v>11012669</v>
      </c>
      <c r="F19" s="62">
        <f t="shared" si="1"/>
        <v>54501493.562073596</v>
      </c>
      <c r="G19" s="70">
        <f t="shared" si="2"/>
        <v>43805119</v>
      </c>
      <c r="H19" s="62">
        <f t="shared" si="3"/>
        <v>10696375</v>
      </c>
      <c r="I19" s="173">
        <f t="shared" si="4"/>
        <v>0</v>
      </c>
      <c r="J19" s="174">
        <f>ROUND(100-'Townwide Contributions'!K19,2)</f>
        <v>17.5</v>
      </c>
      <c r="K19" s="70">
        <f t="shared" si="22"/>
        <v>9537761</v>
      </c>
      <c r="L19" s="70">
        <f t="shared" si="23"/>
        <v>0</v>
      </c>
      <c r="M19" s="175">
        <f t="shared" si="24"/>
        <v>0</v>
      </c>
      <c r="N19" s="70"/>
      <c r="O19" s="70"/>
      <c r="P19" s="70"/>
      <c r="Q19" s="62">
        <v>5402</v>
      </c>
      <c r="R19" s="62">
        <f t="shared" si="5"/>
        <v>5607</v>
      </c>
      <c r="S19" s="176"/>
      <c r="T19" s="176"/>
      <c r="U19" s="70"/>
      <c r="V19" s="70"/>
      <c r="W19" s="260"/>
      <c r="X19" s="62">
        <f t="shared" si="6"/>
        <v>0</v>
      </c>
      <c r="Y19" s="70"/>
      <c r="AA19" s="290"/>
      <c r="AB19" s="291"/>
      <c r="AC19" s="62"/>
      <c r="AD19" s="62"/>
      <c r="AE19" s="177">
        <f t="shared" si="7"/>
        <v>168210</v>
      </c>
      <c r="AF19" s="177">
        <f t="shared" si="8"/>
        <v>168210</v>
      </c>
      <c r="AG19" s="70">
        <f t="shared" si="9"/>
        <v>11180879</v>
      </c>
      <c r="AH19" s="70">
        <f t="shared" si="10"/>
        <v>0</v>
      </c>
      <c r="AI19" s="587">
        <v>0</v>
      </c>
      <c r="AJ19" s="178">
        <f t="shared" si="11"/>
        <v>11180879</v>
      </c>
      <c r="AK19" s="301">
        <f t="shared" si="12"/>
        <v>20.514812107425492</v>
      </c>
      <c r="AL19" s="70">
        <f t="shared" si="13"/>
        <v>54985998</v>
      </c>
      <c r="AM19" s="179">
        <f t="shared" si="14"/>
        <v>100.88897460649328</v>
      </c>
      <c r="AN19" s="179"/>
      <c r="AO19" s="31">
        <f t="shared" si="15"/>
        <v>3345433.7912436053</v>
      </c>
      <c r="AP19" s="31">
        <f t="shared" si="16"/>
        <v>168210</v>
      </c>
      <c r="AQ19" s="31">
        <f t="shared" si="17"/>
        <v>1643117.6266371217</v>
      </c>
      <c r="AR19" s="180">
        <f t="shared" si="18"/>
        <v>3.0148121074254917</v>
      </c>
      <c r="AS19" s="31">
        <f t="shared" si="25"/>
        <v>9720.26</v>
      </c>
      <c r="AU19" s="31">
        <f t="shared" si="19"/>
        <v>0</v>
      </c>
      <c r="AV19" s="177"/>
      <c r="AW19" s="31">
        <f t="shared" si="20"/>
        <v>30</v>
      </c>
    </row>
    <row r="20" spans="1:49">
      <c r="A20" s="102">
        <v>11</v>
      </c>
      <c r="B20" s="7" t="s">
        <v>1717</v>
      </c>
      <c r="C20" s="7">
        <v>0</v>
      </c>
      <c r="D20" s="62">
        <f t="shared" si="21"/>
        <v>0</v>
      </c>
      <c r="E20" s="172">
        <f t="shared" si="0"/>
        <v>0</v>
      </c>
      <c r="F20" s="62">
        <f t="shared" si="1"/>
        <v>0</v>
      </c>
      <c r="G20" s="70">
        <f t="shared" si="2"/>
        <v>0</v>
      </c>
      <c r="H20" s="62">
        <f t="shared" si="3"/>
        <v>0</v>
      </c>
      <c r="I20" s="173">
        <f t="shared" si="4"/>
        <v>0</v>
      </c>
      <c r="J20" s="174">
        <f>ROUND(100-'Townwide Contributions'!K20,2)</f>
        <v>55.62</v>
      </c>
      <c r="K20" s="70">
        <f t="shared" si="22"/>
        <v>0</v>
      </c>
      <c r="L20" s="70">
        <f t="shared" si="23"/>
        <v>0</v>
      </c>
      <c r="M20" s="175">
        <f t="shared" si="24"/>
        <v>0</v>
      </c>
      <c r="N20" s="70"/>
      <c r="O20" s="70"/>
      <c r="P20" s="70"/>
      <c r="Q20" s="62">
        <v>0</v>
      </c>
      <c r="R20" s="62">
        <f t="shared" si="5"/>
        <v>0</v>
      </c>
      <c r="S20" s="176"/>
      <c r="T20" s="176"/>
      <c r="U20" s="70"/>
      <c r="V20" s="70"/>
      <c r="W20" s="260"/>
      <c r="X20" s="62">
        <f t="shared" si="6"/>
        <v>0</v>
      </c>
      <c r="Y20" s="70"/>
      <c r="AA20" s="290"/>
      <c r="AB20" s="291"/>
      <c r="AC20" s="62"/>
      <c r="AD20" s="62"/>
      <c r="AE20" s="177">
        <f t="shared" si="7"/>
        <v>0</v>
      </c>
      <c r="AF20" s="177">
        <f t="shared" si="8"/>
        <v>0</v>
      </c>
      <c r="AG20" s="70">
        <f t="shared" si="9"/>
        <v>0</v>
      </c>
      <c r="AH20" s="70">
        <f t="shared" si="10"/>
        <v>0</v>
      </c>
      <c r="AI20" s="587">
        <v>0</v>
      </c>
      <c r="AJ20" s="178">
        <f t="shared" si="11"/>
        <v>0</v>
      </c>
      <c r="AK20" s="301">
        <f t="shared" si="12"/>
        <v>0</v>
      </c>
      <c r="AL20" s="70">
        <f t="shared" si="13"/>
        <v>0</v>
      </c>
      <c r="AM20" s="179">
        <f t="shared" si="14"/>
        <v>0</v>
      </c>
      <c r="AN20" s="179"/>
      <c r="AO20" s="31">
        <f t="shared" si="15"/>
        <v>0</v>
      </c>
      <c r="AP20" s="31">
        <f t="shared" si="16"/>
        <v>0</v>
      </c>
      <c r="AQ20" s="31">
        <f t="shared" si="17"/>
        <v>0</v>
      </c>
      <c r="AR20" s="180" t="str">
        <f t="shared" si="18"/>
        <v/>
      </c>
      <c r="AS20" s="31">
        <f t="shared" si="25"/>
        <v>0</v>
      </c>
      <c r="AU20" s="31">
        <f t="shared" si="19"/>
        <v>0</v>
      </c>
      <c r="AV20" s="177"/>
      <c r="AW20" s="31">
        <f t="shared" si="20"/>
        <v>0</v>
      </c>
    </row>
    <row r="21" spans="1:49">
      <c r="A21" s="102">
        <v>12</v>
      </c>
      <c r="B21" s="7" t="s">
        <v>1718</v>
      </c>
      <c r="C21" s="7">
        <v>0</v>
      </c>
      <c r="D21" s="62">
        <f t="shared" si="21"/>
        <v>0</v>
      </c>
      <c r="E21" s="172">
        <f t="shared" si="0"/>
        <v>0</v>
      </c>
      <c r="F21" s="62">
        <f t="shared" si="1"/>
        <v>0</v>
      </c>
      <c r="G21" s="70">
        <f t="shared" si="2"/>
        <v>0</v>
      </c>
      <c r="H21" s="62">
        <f t="shared" si="3"/>
        <v>0</v>
      </c>
      <c r="I21" s="173">
        <f t="shared" si="4"/>
        <v>0</v>
      </c>
      <c r="J21" s="174">
        <f>ROUND(100-'Townwide Contributions'!K21,2)</f>
        <v>47.09</v>
      </c>
      <c r="K21" s="70">
        <f t="shared" si="22"/>
        <v>0</v>
      </c>
      <c r="L21" s="70">
        <f t="shared" si="23"/>
        <v>0</v>
      </c>
      <c r="M21" s="175">
        <f t="shared" si="24"/>
        <v>0</v>
      </c>
      <c r="N21" s="70"/>
      <c r="O21" s="70"/>
      <c r="P21" s="70"/>
      <c r="Q21" s="62">
        <v>0</v>
      </c>
      <c r="R21" s="62">
        <f t="shared" si="5"/>
        <v>0</v>
      </c>
      <c r="S21" s="176"/>
      <c r="T21" s="176"/>
      <c r="U21" s="70"/>
      <c r="V21" s="70"/>
      <c r="W21" s="260"/>
      <c r="X21" s="62">
        <f t="shared" si="6"/>
        <v>0</v>
      </c>
      <c r="Y21" s="70"/>
      <c r="AA21" s="290"/>
      <c r="AB21" s="291"/>
      <c r="AC21" s="62"/>
      <c r="AD21" s="62"/>
      <c r="AE21" s="177">
        <f t="shared" si="7"/>
        <v>0</v>
      </c>
      <c r="AF21" s="177">
        <f t="shared" si="8"/>
        <v>0</v>
      </c>
      <c r="AG21" s="70">
        <f t="shared" si="9"/>
        <v>0</v>
      </c>
      <c r="AH21" s="70">
        <f t="shared" si="10"/>
        <v>0</v>
      </c>
      <c r="AI21" s="587">
        <v>0</v>
      </c>
      <c r="AJ21" s="178">
        <f t="shared" si="11"/>
        <v>0</v>
      </c>
      <c r="AK21" s="301">
        <f t="shared" si="12"/>
        <v>0</v>
      </c>
      <c r="AL21" s="70">
        <f t="shared" si="13"/>
        <v>0</v>
      </c>
      <c r="AM21" s="179">
        <f t="shared" si="14"/>
        <v>0</v>
      </c>
      <c r="AN21" s="179"/>
      <c r="AO21" s="31">
        <f t="shared" si="15"/>
        <v>0</v>
      </c>
      <c r="AP21" s="31">
        <f t="shared" si="16"/>
        <v>0</v>
      </c>
      <c r="AQ21" s="31">
        <f t="shared" si="17"/>
        <v>0</v>
      </c>
      <c r="AR21" s="180" t="str">
        <f t="shared" si="18"/>
        <v/>
      </c>
      <c r="AS21" s="31">
        <f t="shared" si="25"/>
        <v>0</v>
      </c>
      <c r="AU21" s="31">
        <f t="shared" si="19"/>
        <v>0</v>
      </c>
      <c r="AV21" s="177"/>
      <c r="AW21" s="31">
        <f t="shared" si="20"/>
        <v>0</v>
      </c>
    </row>
    <row r="22" spans="1:49">
      <c r="A22" s="102">
        <v>13</v>
      </c>
      <c r="B22" s="7" t="s">
        <v>1719</v>
      </c>
      <c r="C22" s="7">
        <v>0</v>
      </c>
      <c r="D22" s="62">
        <f t="shared" si="21"/>
        <v>236011.40000000002</v>
      </c>
      <c r="E22" s="172">
        <f t="shared" si="0"/>
        <v>93413</v>
      </c>
      <c r="F22" s="62">
        <f t="shared" si="1"/>
        <v>226884.18269824251</v>
      </c>
      <c r="G22" s="70">
        <f t="shared" si="2"/>
        <v>176931</v>
      </c>
      <c r="H22" s="62">
        <f t="shared" si="3"/>
        <v>49953</v>
      </c>
      <c r="I22" s="173">
        <f t="shared" si="4"/>
        <v>0</v>
      </c>
      <c r="J22" s="174">
        <f>ROUND(100-'Townwide Contributions'!K22,2)</f>
        <v>22.82</v>
      </c>
      <c r="K22" s="70">
        <f t="shared" si="22"/>
        <v>51775</v>
      </c>
      <c r="L22" s="70">
        <f t="shared" si="23"/>
        <v>0</v>
      </c>
      <c r="M22" s="175">
        <f t="shared" si="24"/>
        <v>0</v>
      </c>
      <c r="N22" s="70"/>
      <c r="O22" s="70"/>
      <c r="P22" s="70"/>
      <c r="Q22" s="62">
        <v>16</v>
      </c>
      <c r="R22" s="62">
        <f t="shared" si="5"/>
        <v>15</v>
      </c>
      <c r="S22" s="176"/>
      <c r="T22" s="176"/>
      <c r="U22" s="70"/>
      <c r="V22" s="70"/>
      <c r="W22" s="260"/>
      <c r="X22" s="62">
        <f t="shared" si="6"/>
        <v>0</v>
      </c>
      <c r="Y22" s="70"/>
      <c r="AA22" s="290"/>
      <c r="AB22" s="291"/>
      <c r="AC22" s="62"/>
      <c r="AD22" s="62"/>
      <c r="AE22" s="177">
        <f t="shared" si="7"/>
        <v>0</v>
      </c>
      <c r="AF22" s="177">
        <f t="shared" si="8"/>
        <v>0</v>
      </c>
      <c r="AG22" s="70">
        <f t="shared" si="9"/>
        <v>93413</v>
      </c>
      <c r="AH22" s="70">
        <f t="shared" si="10"/>
        <v>0</v>
      </c>
      <c r="AI22" s="587">
        <v>0</v>
      </c>
      <c r="AJ22" s="178">
        <f t="shared" si="11"/>
        <v>93413</v>
      </c>
      <c r="AK22" s="301">
        <f t="shared" si="12"/>
        <v>0</v>
      </c>
      <c r="AL22" s="70">
        <f t="shared" si="13"/>
        <v>270344</v>
      </c>
      <c r="AM22" s="179">
        <f t="shared" si="14"/>
        <v>119.15506704121341</v>
      </c>
      <c r="AN22" s="179"/>
      <c r="AO22" s="31">
        <f t="shared" si="15"/>
        <v>-9127.2173017575114</v>
      </c>
      <c r="AP22" s="31">
        <f t="shared" si="16"/>
        <v>0</v>
      </c>
      <c r="AQ22" s="31">
        <f t="shared" si="17"/>
        <v>41638.029508261054</v>
      </c>
      <c r="AR22" s="180" t="str">
        <f t="shared" si="18"/>
        <v/>
      </c>
      <c r="AS22" s="31">
        <f t="shared" si="25"/>
        <v>15125.61</v>
      </c>
      <c r="AU22" s="31">
        <f t="shared" si="19"/>
        <v>0</v>
      </c>
      <c r="AV22" s="177"/>
      <c r="AW22" s="31">
        <f t="shared" si="20"/>
        <v>0</v>
      </c>
    </row>
    <row r="23" spans="1:49">
      <c r="A23" s="102">
        <v>14</v>
      </c>
      <c r="B23" s="7" t="s">
        <v>1720</v>
      </c>
      <c r="C23" s="7">
        <v>1</v>
      </c>
      <c r="D23" s="62">
        <f t="shared" si="21"/>
        <v>24958578.790420003</v>
      </c>
      <c r="E23" s="172">
        <f t="shared" si="0"/>
        <v>5935803</v>
      </c>
      <c r="F23" s="62">
        <f t="shared" si="1"/>
        <v>24948345.559453651</v>
      </c>
      <c r="G23" s="70">
        <f t="shared" si="2"/>
        <v>19465664</v>
      </c>
      <c r="H23" s="62">
        <f t="shared" si="3"/>
        <v>5482682</v>
      </c>
      <c r="I23" s="173">
        <f t="shared" si="4"/>
        <v>0</v>
      </c>
      <c r="J23" s="174">
        <f>ROUND(100-'Townwide Contributions'!K23,2)</f>
        <v>22.29</v>
      </c>
      <c r="K23" s="70">
        <f t="shared" si="22"/>
        <v>5560986</v>
      </c>
      <c r="L23" s="70">
        <f t="shared" si="23"/>
        <v>0</v>
      </c>
      <c r="M23" s="175">
        <f t="shared" si="24"/>
        <v>0</v>
      </c>
      <c r="N23" s="70"/>
      <c r="O23" s="70"/>
      <c r="P23" s="70"/>
      <c r="Q23" s="62">
        <v>2575</v>
      </c>
      <c r="R23" s="62">
        <f t="shared" si="5"/>
        <v>2547</v>
      </c>
      <c r="S23" s="176"/>
      <c r="T23" s="176"/>
      <c r="U23" s="70"/>
      <c r="V23" s="70"/>
      <c r="W23" s="260"/>
      <c r="X23" s="62">
        <f t="shared" si="6"/>
        <v>0</v>
      </c>
      <c r="Y23" s="70"/>
      <c r="AA23" s="290"/>
      <c r="AB23" s="291"/>
      <c r="AC23" s="62"/>
      <c r="AD23" s="62"/>
      <c r="AE23" s="177">
        <f t="shared" si="7"/>
        <v>76410</v>
      </c>
      <c r="AF23" s="177">
        <f t="shared" si="8"/>
        <v>76410</v>
      </c>
      <c r="AG23" s="70">
        <f t="shared" si="9"/>
        <v>6012213</v>
      </c>
      <c r="AH23" s="70">
        <f t="shared" si="10"/>
        <v>0</v>
      </c>
      <c r="AI23" s="587">
        <v>0</v>
      </c>
      <c r="AJ23" s="178">
        <f t="shared" si="11"/>
        <v>6012213</v>
      </c>
      <c r="AK23" s="301">
        <f t="shared" si="12"/>
        <v>24.098644079113289</v>
      </c>
      <c r="AL23" s="70">
        <f t="shared" si="13"/>
        <v>25477877</v>
      </c>
      <c r="AM23" s="179">
        <f t="shared" si="14"/>
        <v>102.12251124742696</v>
      </c>
      <c r="AN23" s="179"/>
      <c r="AO23" s="31">
        <f t="shared" si="15"/>
        <v>-10233.230966351926</v>
      </c>
      <c r="AP23" s="31">
        <f t="shared" si="16"/>
        <v>76410</v>
      </c>
      <c r="AQ23" s="31">
        <f t="shared" si="17"/>
        <v>451226.77479778137</v>
      </c>
      <c r="AR23" s="180">
        <f t="shared" si="18"/>
        <v>1.8086440791132894</v>
      </c>
      <c r="AS23" s="31">
        <f t="shared" si="25"/>
        <v>9795.19</v>
      </c>
      <c r="AU23" s="31">
        <f t="shared" si="19"/>
        <v>0</v>
      </c>
      <c r="AV23" s="177"/>
      <c r="AW23" s="31">
        <f t="shared" si="20"/>
        <v>30</v>
      </c>
    </row>
    <row r="24" spans="1:49">
      <c r="A24" s="102">
        <v>15</v>
      </c>
      <c r="B24" s="7" t="s">
        <v>1721</v>
      </c>
      <c r="C24" s="7">
        <v>0</v>
      </c>
      <c r="D24" s="62">
        <f t="shared" si="21"/>
        <v>26341.840000000004</v>
      </c>
      <c r="E24" s="172">
        <f t="shared" si="0"/>
        <v>22469</v>
      </c>
      <c r="F24" s="62">
        <f t="shared" si="1"/>
        <v>26833.666687179095</v>
      </c>
      <c r="G24" s="70">
        <f t="shared" si="2"/>
        <v>4106</v>
      </c>
      <c r="H24" s="62">
        <f t="shared" si="3"/>
        <v>22728</v>
      </c>
      <c r="I24" s="173">
        <f t="shared" si="4"/>
        <v>259</v>
      </c>
      <c r="J24" s="174">
        <f>ROUND(100-'Townwide Contributions'!K24,2)</f>
        <v>70.27</v>
      </c>
      <c r="K24" s="70">
        <f t="shared" si="22"/>
        <v>18856</v>
      </c>
      <c r="L24" s="70">
        <f t="shared" si="23"/>
        <v>0</v>
      </c>
      <c r="M24" s="175">
        <f t="shared" si="24"/>
        <v>0</v>
      </c>
      <c r="N24" s="70"/>
      <c r="O24" s="70"/>
      <c r="P24" s="70"/>
      <c r="Q24" s="62">
        <v>2</v>
      </c>
      <c r="R24" s="62">
        <f t="shared" si="5"/>
        <v>2</v>
      </c>
      <c r="S24" s="176"/>
      <c r="T24" s="176"/>
      <c r="U24" s="70"/>
      <c r="V24" s="70"/>
      <c r="W24" s="260"/>
      <c r="X24" s="62">
        <f t="shared" si="6"/>
        <v>0</v>
      </c>
      <c r="Y24" s="70"/>
      <c r="AA24" s="290"/>
      <c r="AB24" s="291"/>
      <c r="AC24" s="62"/>
      <c r="AD24" s="62"/>
      <c r="AE24" s="177">
        <f t="shared" si="7"/>
        <v>0</v>
      </c>
      <c r="AF24" s="177">
        <f t="shared" si="8"/>
        <v>0</v>
      </c>
      <c r="AG24" s="70">
        <f t="shared" si="9"/>
        <v>22728</v>
      </c>
      <c r="AH24" s="70">
        <f t="shared" si="10"/>
        <v>0</v>
      </c>
      <c r="AI24" s="587">
        <v>0</v>
      </c>
      <c r="AJ24" s="178">
        <f t="shared" si="11"/>
        <v>22728</v>
      </c>
      <c r="AK24" s="301">
        <f t="shared" si="12"/>
        <v>0</v>
      </c>
      <c r="AL24" s="70">
        <f t="shared" si="13"/>
        <v>26834</v>
      </c>
      <c r="AM24" s="179">
        <f t="shared" si="14"/>
        <v>100.0012421441497</v>
      </c>
      <c r="AN24" s="179"/>
      <c r="AO24" s="31">
        <f t="shared" si="15"/>
        <v>491.8266871790911</v>
      </c>
      <c r="AP24" s="31">
        <f t="shared" si="16"/>
        <v>259</v>
      </c>
      <c r="AQ24" s="31">
        <f t="shared" si="17"/>
        <v>3871.9824189192514</v>
      </c>
      <c r="AR24" s="180" t="str">
        <f t="shared" si="18"/>
        <v/>
      </c>
      <c r="AS24" s="31">
        <f t="shared" si="25"/>
        <v>13416.83</v>
      </c>
      <c r="AU24" s="31">
        <f t="shared" si="19"/>
        <v>0</v>
      </c>
      <c r="AV24" s="177"/>
      <c r="AW24" s="31">
        <f t="shared" si="20"/>
        <v>129.5</v>
      </c>
    </row>
    <row r="25" spans="1:49">
      <c r="A25" s="102">
        <v>16</v>
      </c>
      <c r="B25" s="7" t="s">
        <v>1722</v>
      </c>
      <c r="C25" s="7">
        <v>1</v>
      </c>
      <c r="D25" s="62">
        <f t="shared" si="21"/>
        <v>68466287.280000016</v>
      </c>
      <c r="E25" s="172">
        <f t="shared" si="0"/>
        <v>35659451</v>
      </c>
      <c r="F25" s="62">
        <f t="shared" si="1"/>
        <v>69495854.734565571</v>
      </c>
      <c r="G25" s="70">
        <f t="shared" si="2"/>
        <v>33973326</v>
      </c>
      <c r="H25" s="62">
        <f t="shared" si="3"/>
        <v>35522529</v>
      </c>
      <c r="I25" s="173">
        <f t="shared" si="4"/>
        <v>0</v>
      </c>
      <c r="J25" s="174">
        <f>ROUND(100-'Townwide Contributions'!K25,2)</f>
        <v>51.15</v>
      </c>
      <c r="K25" s="70">
        <f t="shared" si="22"/>
        <v>35547130</v>
      </c>
      <c r="L25" s="70">
        <f t="shared" si="23"/>
        <v>0</v>
      </c>
      <c r="M25" s="175">
        <f t="shared" si="24"/>
        <v>0</v>
      </c>
      <c r="N25" s="70"/>
      <c r="O25" s="70"/>
      <c r="P25" s="70"/>
      <c r="Q25" s="62">
        <v>6257</v>
      </c>
      <c r="R25" s="62">
        <f t="shared" si="5"/>
        <v>6251</v>
      </c>
      <c r="S25" s="176"/>
      <c r="T25" s="176"/>
      <c r="U25" s="70"/>
      <c r="V25" s="70"/>
      <c r="W25" s="260"/>
      <c r="X25" s="62">
        <f t="shared" si="6"/>
        <v>0</v>
      </c>
      <c r="Y25" s="70"/>
      <c r="AA25" s="290"/>
      <c r="AB25" s="291"/>
      <c r="AC25" s="62"/>
      <c r="AD25" s="62"/>
      <c r="AE25" s="177">
        <f t="shared" si="7"/>
        <v>187530</v>
      </c>
      <c r="AF25" s="177">
        <f t="shared" si="8"/>
        <v>187530</v>
      </c>
      <c r="AG25" s="70">
        <f t="shared" si="9"/>
        <v>35846981</v>
      </c>
      <c r="AH25" s="70">
        <f t="shared" si="10"/>
        <v>0</v>
      </c>
      <c r="AI25" s="587">
        <v>0</v>
      </c>
      <c r="AJ25" s="178">
        <f t="shared" si="11"/>
        <v>35846981</v>
      </c>
      <c r="AK25" s="301">
        <f t="shared" si="12"/>
        <v>51.581466458560691</v>
      </c>
      <c r="AL25" s="70">
        <f t="shared" si="13"/>
        <v>69820307</v>
      </c>
      <c r="AM25" s="179">
        <f t="shared" si="14"/>
        <v>100.46686563777602</v>
      </c>
      <c r="AN25" s="179"/>
      <c r="AO25" s="31">
        <f t="shared" si="15"/>
        <v>1029567.4545655549</v>
      </c>
      <c r="AP25" s="31">
        <f t="shared" si="16"/>
        <v>187530</v>
      </c>
      <c r="AQ25" s="31">
        <f t="shared" si="17"/>
        <v>299851.30326971412</v>
      </c>
      <c r="AR25" s="180">
        <f t="shared" si="18"/>
        <v>0.43146645856069199</v>
      </c>
      <c r="AS25" s="31">
        <f t="shared" si="25"/>
        <v>11117.56</v>
      </c>
      <c r="AU25" s="31">
        <f t="shared" si="19"/>
        <v>0</v>
      </c>
      <c r="AV25" s="177"/>
      <c r="AW25" s="31">
        <f t="shared" si="20"/>
        <v>30</v>
      </c>
    </row>
    <row r="26" spans="1:49">
      <c r="A26" s="102">
        <v>17</v>
      </c>
      <c r="B26" s="7" t="s">
        <v>1723</v>
      </c>
      <c r="C26" s="7">
        <v>1</v>
      </c>
      <c r="D26" s="62">
        <f t="shared" si="21"/>
        <v>23122124.420000002</v>
      </c>
      <c r="E26" s="172">
        <f t="shared" si="0"/>
        <v>8983238</v>
      </c>
      <c r="F26" s="62">
        <f t="shared" si="1"/>
        <v>24064548.393377755</v>
      </c>
      <c r="G26" s="70">
        <f t="shared" si="2"/>
        <v>13986014</v>
      </c>
      <c r="H26" s="62">
        <f t="shared" si="3"/>
        <v>10078534</v>
      </c>
      <c r="I26" s="173">
        <f t="shared" si="4"/>
        <v>1095296</v>
      </c>
      <c r="J26" s="174">
        <f>ROUND(100-'Townwide Contributions'!K26,2)</f>
        <v>42.4</v>
      </c>
      <c r="K26" s="70">
        <f t="shared" si="22"/>
        <v>10203369</v>
      </c>
      <c r="L26" s="70">
        <f t="shared" si="23"/>
        <v>0</v>
      </c>
      <c r="M26" s="175">
        <f t="shared" si="24"/>
        <v>0</v>
      </c>
      <c r="N26" s="70"/>
      <c r="O26" s="70"/>
      <c r="P26" s="70"/>
      <c r="Q26" s="62">
        <v>2387</v>
      </c>
      <c r="R26" s="62">
        <f t="shared" si="5"/>
        <v>2431</v>
      </c>
      <c r="S26" s="176"/>
      <c r="T26" s="176"/>
      <c r="U26" s="70"/>
      <c r="V26" s="70"/>
      <c r="W26" s="260"/>
      <c r="X26" s="62">
        <f t="shared" si="6"/>
        <v>1</v>
      </c>
      <c r="Y26" s="70"/>
      <c r="AA26" s="290"/>
      <c r="AB26" s="291"/>
      <c r="AC26" s="62"/>
      <c r="AD26" s="62"/>
      <c r="AE26" s="177">
        <f t="shared" si="7"/>
        <v>72930</v>
      </c>
      <c r="AF26" s="177">
        <f t="shared" si="8"/>
        <v>0</v>
      </c>
      <c r="AG26" s="70">
        <f t="shared" si="9"/>
        <v>10078534</v>
      </c>
      <c r="AH26" s="70">
        <f t="shared" si="10"/>
        <v>0</v>
      </c>
      <c r="AI26" s="587">
        <v>0</v>
      </c>
      <c r="AJ26" s="178">
        <f t="shared" si="11"/>
        <v>10078534</v>
      </c>
      <c r="AK26" s="301">
        <f t="shared" si="12"/>
        <v>41.881251354683549</v>
      </c>
      <c r="AL26" s="70">
        <f t="shared" si="13"/>
        <v>24064548</v>
      </c>
      <c r="AM26" s="179">
        <f t="shared" si="14"/>
        <v>99.999998365322512</v>
      </c>
      <c r="AN26" s="179"/>
      <c r="AO26" s="31">
        <f t="shared" si="15"/>
        <v>942423.97337775305</v>
      </c>
      <c r="AP26" s="31">
        <f t="shared" si="16"/>
        <v>1095296</v>
      </c>
      <c r="AQ26" s="31">
        <f t="shared" si="17"/>
        <v>-124834.51879216731</v>
      </c>
      <c r="AR26" s="180">
        <f t="shared" si="18"/>
        <v>-0.5187486453164496</v>
      </c>
      <c r="AS26" s="31">
        <f t="shared" si="25"/>
        <v>9899.0300000000007</v>
      </c>
      <c r="AU26" s="31">
        <f t="shared" si="19"/>
        <v>0</v>
      </c>
      <c r="AV26" s="177"/>
      <c r="AW26" s="31">
        <f t="shared" si="20"/>
        <v>450.55368161250516</v>
      </c>
    </row>
    <row r="27" spans="1:49">
      <c r="A27" s="102">
        <v>18</v>
      </c>
      <c r="B27" s="7" t="s">
        <v>1724</v>
      </c>
      <c r="C27" s="7">
        <v>1</v>
      </c>
      <c r="D27" s="62">
        <f t="shared" si="21"/>
        <v>5736311.7000000011</v>
      </c>
      <c r="E27" s="172">
        <f t="shared" si="0"/>
        <v>1414471</v>
      </c>
      <c r="F27" s="62">
        <f t="shared" si="1"/>
        <v>5634205.6633891659</v>
      </c>
      <c r="G27" s="70">
        <f t="shared" si="2"/>
        <v>4254900</v>
      </c>
      <c r="H27" s="62">
        <f t="shared" si="3"/>
        <v>1379306</v>
      </c>
      <c r="I27" s="173">
        <f t="shared" si="4"/>
        <v>0</v>
      </c>
      <c r="J27" s="174">
        <f>ROUND(100-'Townwide Contributions'!K27,2)</f>
        <v>25.25</v>
      </c>
      <c r="K27" s="70">
        <f t="shared" si="22"/>
        <v>1422637</v>
      </c>
      <c r="L27" s="70">
        <f t="shared" si="23"/>
        <v>0</v>
      </c>
      <c r="M27" s="175">
        <f t="shared" si="24"/>
        <v>0</v>
      </c>
      <c r="N27" s="70"/>
      <c r="O27" s="70"/>
      <c r="P27" s="70"/>
      <c r="Q27" s="62">
        <v>545</v>
      </c>
      <c r="R27" s="62">
        <f t="shared" si="5"/>
        <v>538</v>
      </c>
      <c r="S27" s="176"/>
      <c r="T27" s="176"/>
      <c r="U27" s="70"/>
      <c r="V27" s="70"/>
      <c r="W27" s="260"/>
      <c r="X27" s="62">
        <f t="shared" si="6"/>
        <v>0</v>
      </c>
      <c r="Y27" s="70"/>
      <c r="AA27" s="290"/>
      <c r="AB27" s="291"/>
      <c r="AC27" s="62"/>
      <c r="AD27" s="62"/>
      <c r="AE27" s="177">
        <f t="shared" si="7"/>
        <v>16140</v>
      </c>
      <c r="AF27" s="177">
        <f t="shared" si="8"/>
        <v>16140</v>
      </c>
      <c r="AG27" s="70">
        <f t="shared" si="9"/>
        <v>1430611</v>
      </c>
      <c r="AH27" s="70">
        <f t="shared" si="10"/>
        <v>0</v>
      </c>
      <c r="AI27" s="587">
        <v>0</v>
      </c>
      <c r="AJ27" s="178">
        <f t="shared" si="11"/>
        <v>1430611</v>
      </c>
      <c r="AK27" s="301">
        <f t="shared" si="12"/>
        <v>25.391529622286434</v>
      </c>
      <c r="AL27" s="70">
        <f t="shared" si="13"/>
        <v>5685511</v>
      </c>
      <c r="AM27" s="179">
        <f t="shared" si="14"/>
        <v>100.91060461183045</v>
      </c>
      <c r="AN27" s="179"/>
      <c r="AO27" s="31">
        <f t="shared" si="15"/>
        <v>-102106.03661083523</v>
      </c>
      <c r="AP27" s="31">
        <f t="shared" si="16"/>
        <v>16140</v>
      </c>
      <c r="AQ27" s="31">
        <f t="shared" si="17"/>
        <v>7974.0699942356441</v>
      </c>
      <c r="AR27" s="180">
        <f t="shared" si="18"/>
        <v>0.14152962228643418</v>
      </c>
      <c r="AS27" s="31">
        <f t="shared" si="25"/>
        <v>10472.5</v>
      </c>
      <c r="AU27" s="31">
        <f t="shared" si="19"/>
        <v>0</v>
      </c>
      <c r="AV27" s="177"/>
      <c r="AW27" s="31">
        <f t="shared" si="20"/>
        <v>30</v>
      </c>
    </row>
    <row r="28" spans="1:49">
      <c r="A28" s="102">
        <v>19</v>
      </c>
      <c r="B28" s="7" t="s">
        <v>1725</v>
      </c>
      <c r="C28" s="7">
        <v>0</v>
      </c>
      <c r="D28" s="62">
        <f t="shared" si="21"/>
        <v>0</v>
      </c>
      <c r="E28" s="172">
        <f t="shared" si="0"/>
        <v>0</v>
      </c>
      <c r="F28" s="62">
        <f t="shared" si="1"/>
        <v>0</v>
      </c>
      <c r="G28" s="70">
        <f t="shared" si="2"/>
        <v>0</v>
      </c>
      <c r="H28" s="62">
        <f t="shared" si="3"/>
        <v>0</v>
      </c>
      <c r="I28" s="173">
        <f t="shared" si="4"/>
        <v>0</v>
      </c>
      <c r="J28" s="174">
        <f>ROUND(100-'Townwide Contributions'!K28,2)</f>
        <v>32.549999999999997</v>
      </c>
      <c r="K28" s="70">
        <f t="shared" si="22"/>
        <v>0</v>
      </c>
      <c r="L28" s="70">
        <f t="shared" si="23"/>
        <v>0</v>
      </c>
      <c r="M28" s="175">
        <f t="shared" si="24"/>
        <v>0</v>
      </c>
      <c r="N28" s="70"/>
      <c r="O28" s="70"/>
      <c r="P28" s="70"/>
      <c r="Q28" s="62">
        <v>0</v>
      </c>
      <c r="R28" s="62">
        <f t="shared" si="5"/>
        <v>0</v>
      </c>
      <c r="S28" s="176"/>
      <c r="T28" s="176"/>
      <c r="U28" s="70"/>
      <c r="V28" s="70"/>
      <c r="W28" s="260"/>
      <c r="X28" s="62">
        <f t="shared" si="6"/>
        <v>0</v>
      </c>
      <c r="Y28" s="70"/>
      <c r="AA28" s="290"/>
      <c r="AB28" s="291"/>
      <c r="AC28" s="62"/>
      <c r="AD28" s="62"/>
      <c r="AE28" s="177">
        <f t="shared" si="7"/>
        <v>0</v>
      </c>
      <c r="AF28" s="177">
        <f t="shared" si="8"/>
        <v>0</v>
      </c>
      <c r="AG28" s="70">
        <f t="shared" si="9"/>
        <v>0</v>
      </c>
      <c r="AH28" s="70">
        <f t="shared" si="10"/>
        <v>0</v>
      </c>
      <c r="AI28" s="587">
        <v>0</v>
      </c>
      <c r="AJ28" s="178">
        <f t="shared" si="11"/>
        <v>0</v>
      </c>
      <c r="AK28" s="301">
        <f t="shared" si="12"/>
        <v>0</v>
      </c>
      <c r="AL28" s="70">
        <f t="shared" si="13"/>
        <v>0</v>
      </c>
      <c r="AM28" s="179">
        <f t="shared" si="14"/>
        <v>0</v>
      </c>
      <c r="AN28" s="179"/>
      <c r="AO28" s="31">
        <f t="shared" si="15"/>
        <v>0</v>
      </c>
      <c r="AP28" s="31">
        <f t="shared" si="16"/>
        <v>0</v>
      </c>
      <c r="AQ28" s="31">
        <f t="shared" si="17"/>
        <v>0</v>
      </c>
      <c r="AR28" s="180" t="str">
        <f t="shared" si="18"/>
        <v/>
      </c>
      <c r="AS28" s="31">
        <f t="shared" si="25"/>
        <v>0</v>
      </c>
      <c r="AU28" s="31">
        <f t="shared" si="19"/>
        <v>0</v>
      </c>
      <c r="AV28" s="177"/>
      <c r="AW28" s="31">
        <f t="shared" si="20"/>
        <v>0</v>
      </c>
    </row>
    <row r="29" spans="1:49">
      <c r="A29" s="102">
        <v>20</v>
      </c>
      <c r="B29" s="7" t="s">
        <v>1726</v>
      </c>
      <c r="C29" s="7">
        <v>1</v>
      </c>
      <c r="D29" s="62">
        <f t="shared" si="21"/>
        <v>57300644.839999989</v>
      </c>
      <c r="E29" s="172">
        <f t="shared" si="0"/>
        <v>9847098</v>
      </c>
      <c r="F29" s="62">
        <f t="shared" si="1"/>
        <v>58000134.653313488</v>
      </c>
      <c r="G29" s="70">
        <f t="shared" si="2"/>
        <v>48045485</v>
      </c>
      <c r="H29" s="62">
        <f t="shared" si="3"/>
        <v>9954650</v>
      </c>
      <c r="I29" s="173">
        <f t="shared" si="4"/>
        <v>107552</v>
      </c>
      <c r="J29" s="174">
        <f>ROUND(100-'Townwide Contributions'!K29,2)</f>
        <v>17.5</v>
      </c>
      <c r="K29" s="70">
        <f t="shared" si="22"/>
        <v>10150024</v>
      </c>
      <c r="L29" s="70">
        <f t="shared" si="23"/>
        <v>0</v>
      </c>
      <c r="M29" s="175">
        <f t="shared" si="24"/>
        <v>0</v>
      </c>
      <c r="N29" s="70"/>
      <c r="O29" s="70"/>
      <c r="P29" s="70"/>
      <c r="Q29" s="62">
        <v>5490</v>
      </c>
      <c r="R29" s="62">
        <f t="shared" si="5"/>
        <v>5475</v>
      </c>
      <c r="S29" s="176"/>
      <c r="T29" s="176"/>
      <c r="U29" s="70"/>
      <c r="V29" s="70"/>
      <c r="W29" s="260"/>
      <c r="X29" s="62">
        <f t="shared" si="6"/>
        <v>1</v>
      </c>
      <c r="Y29" s="70"/>
      <c r="AA29" s="290"/>
      <c r="AB29" s="291"/>
      <c r="AC29" s="62"/>
      <c r="AD29" s="62"/>
      <c r="AE29" s="177">
        <f t="shared" si="7"/>
        <v>164250</v>
      </c>
      <c r="AF29" s="177">
        <f t="shared" si="8"/>
        <v>56698</v>
      </c>
      <c r="AG29" s="70">
        <f t="shared" si="9"/>
        <v>10011348</v>
      </c>
      <c r="AH29" s="70">
        <f t="shared" si="10"/>
        <v>0</v>
      </c>
      <c r="AI29" s="587">
        <v>0</v>
      </c>
      <c r="AJ29" s="178">
        <f t="shared" si="11"/>
        <v>10011348</v>
      </c>
      <c r="AK29" s="301">
        <f t="shared" si="12"/>
        <v>17.260904754516915</v>
      </c>
      <c r="AL29" s="70">
        <f t="shared" si="13"/>
        <v>58056833</v>
      </c>
      <c r="AM29" s="179">
        <f t="shared" si="14"/>
        <v>100.09775554319903</v>
      </c>
      <c r="AN29" s="179"/>
      <c r="AO29" s="31">
        <f t="shared" si="15"/>
        <v>699489.81331349909</v>
      </c>
      <c r="AP29" s="31">
        <f t="shared" si="16"/>
        <v>164250</v>
      </c>
      <c r="AQ29" s="31">
        <f t="shared" si="17"/>
        <v>-138675.56432985887</v>
      </c>
      <c r="AR29" s="180">
        <f t="shared" si="18"/>
        <v>-0.23909524548308525</v>
      </c>
      <c r="AS29" s="31">
        <f t="shared" si="25"/>
        <v>10593.63</v>
      </c>
      <c r="AU29" s="31">
        <f t="shared" si="19"/>
        <v>0</v>
      </c>
      <c r="AV29" s="177"/>
      <c r="AW29" s="31">
        <f t="shared" si="20"/>
        <v>30</v>
      </c>
    </row>
    <row r="30" spans="1:49">
      <c r="A30" s="102">
        <v>21</v>
      </c>
      <c r="B30" s="7" t="s">
        <v>1727</v>
      </c>
      <c r="C30" s="7">
        <v>0</v>
      </c>
      <c r="D30" s="62">
        <f t="shared" si="21"/>
        <v>0</v>
      </c>
      <c r="E30" s="172">
        <f t="shared" si="0"/>
        <v>0</v>
      </c>
      <c r="F30" s="62">
        <f t="shared" si="1"/>
        <v>0</v>
      </c>
      <c r="G30" s="70">
        <f t="shared" si="2"/>
        <v>0</v>
      </c>
      <c r="H30" s="62">
        <f t="shared" si="3"/>
        <v>0</v>
      </c>
      <c r="I30" s="173">
        <f t="shared" si="4"/>
        <v>0</v>
      </c>
      <c r="J30" s="174">
        <f>ROUND(100-'Townwide Contributions'!K30,2)</f>
        <v>58.56</v>
      </c>
      <c r="K30" s="70">
        <f t="shared" si="22"/>
        <v>0</v>
      </c>
      <c r="L30" s="70">
        <f t="shared" si="23"/>
        <v>0</v>
      </c>
      <c r="M30" s="175">
        <f t="shared" si="24"/>
        <v>0</v>
      </c>
      <c r="N30" s="70"/>
      <c r="O30" s="70"/>
      <c r="P30" s="70"/>
      <c r="Q30" s="62">
        <v>0</v>
      </c>
      <c r="R30" s="62">
        <f t="shared" si="5"/>
        <v>0</v>
      </c>
      <c r="S30" s="176"/>
      <c r="T30" s="176"/>
      <c r="U30" s="70"/>
      <c r="V30" s="70"/>
      <c r="W30" s="260"/>
      <c r="X30" s="62">
        <f t="shared" si="6"/>
        <v>0</v>
      </c>
      <c r="Y30" s="70"/>
      <c r="AA30" s="290"/>
      <c r="AB30" s="291"/>
      <c r="AC30" s="62"/>
      <c r="AD30" s="62"/>
      <c r="AE30" s="177">
        <f t="shared" si="7"/>
        <v>0</v>
      </c>
      <c r="AF30" s="177">
        <f t="shared" si="8"/>
        <v>0</v>
      </c>
      <c r="AG30" s="70">
        <f t="shared" si="9"/>
        <v>0</v>
      </c>
      <c r="AH30" s="70">
        <f t="shared" si="10"/>
        <v>0</v>
      </c>
      <c r="AI30" s="587">
        <v>0</v>
      </c>
      <c r="AJ30" s="178">
        <f t="shared" si="11"/>
        <v>0</v>
      </c>
      <c r="AK30" s="301">
        <f t="shared" si="12"/>
        <v>0</v>
      </c>
      <c r="AL30" s="70">
        <f t="shared" si="13"/>
        <v>0</v>
      </c>
      <c r="AM30" s="179">
        <f t="shared" si="14"/>
        <v>0</v>
      </c>
      <c r="AN30" s="179"/>
      <c r="AO30" s="31">
        <f t="shared" si="15"/>
        <v>0</v>
      </c>
      <c r="AP30" s="31">
        <f t="shared" si="16"/>
        <v>0</v>
      </c>
      <c r="AQ30" s="31">
        <f t="shared" si="17"/>
        <v>0</v>
      </c>
      <c r="AR30" s="180" t="str">
        <f t="shared" si="18"/>
        <v/>
      </c>
      <c r="AS30" s="31">
        <f t="shared" si="25"/>
        <v>0</v>
      </c>
      <c r="AU30" s="31">
        <f t="shared" si="19"/>
        <v>0</v>
      </c>
      <c r="AV30" s="177"/>
      <c r="AW30" s="31">
        <f t="shared" si="20"/>
        <v>0</v>
      </c>
    </row>
    <row r="31" spans="1:49">
      <c r="A31" s="102">
        <v>22</v>
      </c>
      <c r="B31" s="7" t="s">
        <v>1728</v>
      </c>
      <c r="C31" s="7">
        <v>0</v>
      </c>
      <c r="D31" s="62">
        <f t="shared" si="21"/>
        <v>170156.80000000002</v>
      </c>
      <c r="E31" s="172">
        <f t="shared" si="0"/>
        <v>76563</v>
      </c>
      <c r="F31" s="62">
        <f t="shared" si="1"/>
        <v>173216.84932388432</v>
      </c>
      <c r="G31" s="70">
        <f t="shared" si="2"/>
        <v>131694</v>
      </c>
      <c r="H31" s="62">
        <f t="shared" si="3"/>
        <v>41523</v>
      </c>
      <c r="I31" s="173">
        <f t="shared" si="4"/>
        <v>0</v>
      </c>
      <c r="J31" s="174">
        <f>ROUND(100-'Townwide Contributions'!K31,2)</f>
        <v>17.5</v>
      </c>
      <c r="K31" s="70">
        <f t="shared" si="22"/>
        <v>30313</v>
      </c>
      <c r="L31" s="70">
        <f t="shared" si="23"/>
        <v>0</v>
      </c>
      <c r="M31" s="175">
        <f t="shared" si="24"/>
        <v>0</v>
      </c>
      <c r="N31" s="70"/>
      <c r="O31" s="70"/>
      <c r="P31" s="70"/>
      <c r="Q31" s="62">
        <v>11</v>
      </c>
      <c r="R31" s="62">
        <f t="shared" si="5"/>
        <v>11</v>
      </c>
      <c r="S31" s="176"/>
      <c r="T31" s="176"/>
      <c r="U31" s="70"/>
      <c r="V31" s="70"/>
      <c r="W31" s="260"/>
      <c r="X31" s="62">
        <f t="shared" si="6"/>
        <v>0</v>
      </c>
      <c r="Y31" s="70"/>
      <c r="AA31" s="290"/>
      <c r="AB31" s="291"/>
      <c r="AC31" s="62"/>
      <c r="AD31" s="62"/>
      <c r="AE31" s="177">
        <f t="shared" si="7"/>
        <v>0</v>
      </c>
      <c r="AF31" s="177">
        <f t="shared" si="8"/>
        <v>0</v>
      </c>
      <c r="AG31" s="70">
        <f t="shared" si="9"/>
        <v>76563</v>
      </c>
      <c r="AH31" s="70">
        <f t="shared" si="10"/>
        <v>0</v>
      </c>
      <c r="AI31" s="587">
        <v>0</v>
      </c>
      <c r="AJ31" s="178">
        <f t="shared" si="11"/>
        <v>76563</v>
      </c>
      <c r="AK31" s="301">
        <f t="shared" si="12"/>
        <v>0</v>
      </c>
      <c r="AL31" s="70">
        <f t="shared" si="13"/>
        <v>208257</v>
      </c>
      <c r="AM31" s="179">
        <f t="shared" si="14"/>
        <v>120.22906594415473</v>
      </c>
      <c r="AN31" s="179"/>
      <c r="AO31" s="31">
        <f t="shared" si="15"/>
        <v>3060.0493238843046</v>
      </c>
      <c r="AP31" s="31">
        <f t="shared" si="16"/>
        <v>0</v>
      </c>
      <c r="AQ31" s="31">
        <f t="shared" si="17"/>
        <v>46250.051368320244</v>
      </c>
      <c r="AR31" s="180" t="str">
        <f t="shared" si="18"/>
        <v/>
      </c>
      <c r="AS31" s="31">
        <f t="shared" si="25"/>
        <v>15746.99</v>
      </c>
      <c r="AU31" s="31">
        <f t="shared" si="19"/>
        <v>0</v>
      </c>
      <c r="AV31" s="177"/>
      <c r="AW31" s="31">
        <f t="shared" si="20"/>
        <v>0</v>
      </c>
    </row>
    <row r="32" spans="1:49">
      <c r="A32" s="102">
        <v>23</v>
      </c>
      <c r="B32" s="7" t="s">
        <v>1729</v>
      </c>
      <c r="C32" s="7">
        <v>1</v>
      </c>
      <c r="D32" s="62">
        <f t="shared" si="21"/>
        <v>25950850.370000001</v>
      </c>
      <c r="E32" s="172">
        <f t="shared" si="0"/>
        <v>4352414.3652098598</v>
      </c>
      <c r="F32" s="62">
        <f t="shared" si="1"/>
        <v>26915524.993783444</v>
      </c>
      <c r="G32" s="70">
        <f t="shared" si="2"/>
        <v>22291183</v>
      </c>
      <c r="H32" s="62">
        <f t="shared" si="3"/>
        <v>4624342</v>
      </c>
      <c r="I32" s="173">
        <f t="shared" si="4"/>
        <v>271927.6347901402</v>
      </c>
      <c r="J32" s="174">
        <f>ROUND(100-'Townwide Contributions'!K32,2)</f>
        <v>17.5</v>
      </c>
      <c r="K32" s="70">
        <f t="shared" si="22"/>
        <v>4710217</v>
      </c>
      <c r="L32" s="70">
        <f t="shared" si="23"/>
        <v>0</v>
      </c>
      <c r="M32" s="175">
        <f t="shared" si="24"/>
        <v>0</v>
      </c>
      <c r="N32" s="70"/>
      <c r="O32" s="70"/>
      <c r="P32" s="70"/>
      <c r="Q32" s="62">
        <v>2596</v>
      </c>
      <c r="R32" s="62">
        <f t="shared" si="5"/>
        <v>2647</v>
      </c>
      <c r="S32" s="176"/>
      <c r="T32" s="176"/>
      <c r="U32" s="70"/>
      <c r="V32" s="70"/>
      <c r="W32" s="260"/>
      <c r="X32" s="62">
        <f t="shared" si="6"/>
        <v>1</v>
      </c>
      <c r="Y32" s="70"/>
      <c r="AA32" s="290"/>
      <c r="AB32" s="291"/>
      <c r="AC32" s="62"/>
      <c r="AD32" s="62"/>
      <c r="AE32" s="177">
        <f t="shared" si="7"/>
        <v>79410</v>
      </c>
      <c r="AF32" s="177">
        <f t="shared" si="8"/>
        <v>0</v>
      </c>
      <c r="AG32" s="70">
        <f t="shared" si="9"/>
        <v>4624342</v>
      </c>
      <c r="AH32" s="70">
        <f t="shared" si="10"/>
        <v>0</v>
      </c>
      <c r="AI32" s="587">
        <v>0</v>
      </c>
      <c r="AJ32" s="178">
        <f t="shared" si="11"/>
        <v>4624342</v>
      </c>
      <c r="AK32" s="301">
        <f t="shared" si="12"/>
        <v>17.180946688084529</v>
      </c>
      <c r="AL32" s="70">
        <f t="shared" si="13"/>
        <v>26915525</v>
      </c>
      <c r="AM32" s="179">
        <f t="shared" si="14"/>
        <v>100.00000002309655</v>
      </c>
      <c r="AN32" s="179"/>
      <c r="AO32" s="31">
        <f t="shared" si="15"/>
        <v>964674.62378344312</v>
      </c>
      <c r="AP32" s="31">
        <f t="shared" si="16"/>
        <v>271927.6347901402</v>
      </c>
      <c r="AQ32" s="31">
        <f t="shared" si="17"/>
        <v>-85874.873912102543</v>
      </c>
      <c r="AR32" s="180">
        <f t="shared" si="18"/>
        <v>-0.31905331191547148</v>
      </c>
      <c r="AS32" s="31">
        <f t="shared" si="25"/>
        <v>10168.31</v>
      </c>
      <c r="AU32" s="31">
        <f t="shared" si="19"/>
        <v>0</v>
      </c>
      <c r="AV32" s="177"/>
      <c r="AW32" s="31">
        <f t="shared" si="20"/>
        <v>102.73050048739714</v>
      </c>
    </row>
    <row r="33" spans="1:49" ht="12.6" customHeight="1">
      <c r="A33" s="102">
        <v>24</v>
      </c>
      <c r="B33" s="7" t="s">
        <v>1730</v>
      </c>
      <c r="C33" s="7">
        <v>1</v>
      </c>
      <c r="D33" s="62">
        <f t="shared" si="21"/>
        <v>23089848.73</v>
      </c>
      <c r="E33" s="172">
        <f t="shared" si="0"/>
        <v>13673306</v>
      </c>
      <c r="F33" s="62">
        <f t="shared" si="1"/>
        <v>23338797.006631523</v>
      </c>
      <c r="G33" s="70">
        <f t="shared" si="2"/>
        <v>11231898</v>
      </c>
      <c r="H33" s="62">
        <f t="shared" si="3"/>
        <v>12106899</v>
      </c>
      <c r="I33" s="173">
        <f t="shared" si="4"/>
        <v>0</v>
      </c>
      <c r="J33" s="174">
        <f>ROUND(100-'Townwide Contributions'!K33,2)</f>
        <v>52.23</v>
      </c>
      <c r="K33" s="70">
        <f t="shared" si="22"/>
        <v>12189854</v>
      </c>
      <c r="L33" s="70">
        <f t="shared" si="23"/>
        <v>0</v>
      </c>
      <c r="M33" s="175">
        <f t="shared" si="24"/>
        <v>0</v>
      </c>
      <c r="N33" s="70"/>
      <c r="O33" s="70"/>
      <c r="P33" s="70"/>
      <c r="Q33" s="62">
        <v>2393</v>
      </c>
      <c r="R33" s="62">
        <f t="shared" si="5"/>
        <v>2374</v>
      </c>
      <c r="S33" s="176"/>
      <c r="T33" s="176"/>
      <c r="U33" s="70"/>
      <c r="V33" s="70"/>
      <c r="W33" s="260"/>
      <c r="X33" s="62">
        <f t="shared" si="6"/>
        <v>0</v>
      </c>
      <c r="Y33" s="70"/>
      <c r="AA33" s="290"/>
      <c r="AB33" s="291"/>
      <c r="AC33" s="62"/>
      <c r="AD33" s="62"/>
      <c r="AE33" s="177">
        <f t="shared" si="7"/>
        <v>71220</v>
      </c>
      <c r="AF33" s="177">
        <f t="shared" si="8"/>
        <v>71220</v>
      </c>
      <c r="AG33" s="70">
        <f t="shared" si="9"/>
        <v>13744526</v>
      </c>
      <c r="AH33" s="70">
        <f t="shared" si="10"/>
        <v>0</v>
      </c>
      <c r="AI33" s="587">
        <v>0</v>
      </c>
      <c r="AJ33" s="178">
        <f t="shared" si="11"/>
        <v>13744526</v>
      </c>
      <c r="AK33" s="301">
        <f t="shared" si="12"/>
        <v>58.891321588231847</v>
      </c>
      <c r="AL33" s="70">
        <f t="shared" si="13"/>
        <v>24976424</v>
      </c>
      <c r="AM33" s="179">
        <f t="shared" si="14"/>
        <v>107.0167583740634</v>
      </c>
      <c r="AN33" s="179"/>
      <c r="AO33" s="31">
        <f t="shared" si="15"/>
        <v>248948.27663152292</v>
      </c>
      <c r="AP33" s="31">
        <f t="shared" si="16"/>
        <v>71220</v>
      </c>
      <c r="AQ33" s="31">
        <f t="shared" si="17"/>
        <v>1554672.3234363552</v>
      </c>
      <c r="AR33" s="180">
        <f t="shared" si="18"/>
        <v>6.6613215882318499</v>
      </c>
      <c r="AS33" s="31">
        <f t="shared" si="25"/>
        <v>9831</v>
      </c>
      <c r="AU33" s="31">
        <f t="shared" si="19"/>
        <v>0</v>
      </c>
      <c r="AV33" s="177"/>
      <c r="AW33" s="31">
        <f t="shared" si="20"/>
        <v>30</v>
      </c>
    </row>
    <row r="34" spans="1:49">
      <c r="A34" s="102">
        <v>25</v>
      </c>
      <c r="B34" s="7" t="s">
        <v>1731</v>
      </c>
      <c r="C34" s="7">
        <v>1</v>
      </c>
      <c r="D34" s="62">
        <f t="shared" si="21"/>
        <v>22360509.420000002</v>
      </c>
      <c r="E34" s="172">
        <f t="shared" si="0"/>
        <v>8433985</v>
      </c>
      <c r="F34" s="62">
        <f t="shared" si="1"/>
        <v>22943454.173670746</v>
      </c>
      <c r="G34" s="70">
        <f t="shared" si="2"/>
        <v>15348243</v>
      </c>
      <c r="H34" s="62">
        <f t="shared" si="3"/>
        <v>7595211</v>
      </c>
      <c r="I34" s="173">
        <f t="shared" si="4"/>
        <v>0</v>
      </c>
      <c r="J34" s="174">
        <f>ROUND(100-'Townwide Contributions'!K34,2)</f>
        <v>33.450000000000003</v>
      </c>
      <c r="K34" s="70">
        <f t="shared" si="22"/>
        <v>7674585</v>
      </c>
      <c r="L34" s="70">
        <f t="shared" si="23"/>
        <v>0</v>
      </c>
      <c r="M34" s="175">
        <f t="shared" si="24"/>
        <v>0</v>
      </c>
      <c r="N34" s="70"/>
      <c r="O34" s="70"/>
      <c r="P34" s="70"/>
      <c r="Q34" s="62">
        <v>2330</v>
      </c>
      <c r="R34" s="62">
        <f t="shared" si="5"/>
        <v>2332</v>
      </c>
      <c r="S34" s="176"/>
      <c r="T34" s="176"/>
      <c r="U34" s="70"/>
      <c r="V34" s="70"/>
      <c r="W34" s="260"/>
      <c r="X34" s="62">
        <f t="shared" si="6"/>
        <v>0</v>
      </c>
      <c r="Y34" s="70"/>
      <c r="AA34" s="290"/>
      <c r="AB34" s="291"/>
      <c r="AC34" s="62"/>
      <c r="AD34" s="62"/>
      <c r="AE34" s="177">
        <f t="shared" si="7"/>
        <v>69960</v>
      </c>
      <c r="AF34" s="177">
        <f t="shared" si="8"/>
        <v>69960</v>
      </c>
      <c r="AG34" s="70">
        <f t="shared" si="9"/>
        <v>8503945</v>
      </c>
      <c r="AH34" s="70">
        <f t="shared" si="10"/>
        <v>0</v>
      </c>
      <c r="AI34" s="587">
        <v>0</v>
      </c>
      <c r="AJ34" s="178">
        <f t="shared" si="11"/>
        <v>8503945</v>
      </c>
      <c r="AK34" s="301">
        <f t="shared" si="12"/>
        <v>37.064798245413648</v>
      </c>
      <c r="AL34" s="70">
        <f t="shared" si="13"/>
        <v>23852188</v>
      </c>
      <c r="AM34" s="179">
        <f t="shared" si="14"/>
        <v>103.96075420662723</v>
      </c>
      <c r="AN34" s="179"/>
      <c r="AO34" s="31">
        <f t="shared" si="15"/>
        <v>582944.7536707446</v>
      </c>
      <c r="AP34" s="31">
        <f t="shared" si="16"/>
        <v>69960</v>
      </c>
      <c r="AQ34" s="31">
        <f t="shared" si="17"/>
        <v>829359.57890713494</v>
      </c>
      <c r="AR34" s="180">
        <f t="shared" si="18"/>
        <v>3.6147982454136454</v>
      </c>
      <c r="AS34" s="31">
        <f t="shared" si="25"/>
        <v>9838.5300000000007</v>
      </c>
      <c r="AU34" s="31">
        <f t="shared" si="19"/>
        <v>0</v>
      </c>
      <c r="AV34" s="177"/>
      <c r="AW34" s="31">
        <f t="shared" si="20"/>
        <v>30</v>
      </c>
    </row>
    <row r="35" spans="1:49">
      <c r="A35" s="102">
        <v>26</v>
      </c>
      <c r="B35" s="7" t="s">
        <v>1732</v>
      </c>
      <c r="C35" s="7">
        <v>1</v>
      </c>
      <c r="D35" s="62">
        <f t="shared" si="21"/>
        <v>40728661.169720002</v>
      </c>
      <c r="E35" s="172">
        <f t="shared" si="0"/>
        <v>7111769</v>
      </c>
      <c r="F35" s="62">
        <f t="shared" si="1"/>
        <v>42643514.599933475</v>
      </c>
      <c r="G35" s="70">
        <f t="shared" si="2"/>
        <v>34843282</v>
      </c>
      <c r="H35" s="62">
        <f t="shared" si="3"/>
        <v>7800233</v>
      </c>
      <c r="I35" s="173">
        <f t="shared" si="4"/>
        <v>688464</v>
      </c>
      <c r="J35" s="174">
        <f>ROUND(100-'Townwide Contributions'!K35,2)</f>
        <v>17.5</v>
      </c>
      <c r="K35" s="70">
        <f t="shared" si="22"/>
        <v>7462615</v>
      </c>
      <c r="L35" s="70">
        <f t="shared" si="23"/>
        <v>0</v>
      </c>
      <c r="M35" s="175">
        <f t="shared" si="24"/>
        <v>0</v>
      </c>
      <c r="N35" s="70"/>
      <c r="O35" s="70"/>
      <c r="P35" s="70"/>
      <c r="Q35" s="62">
        <v>4257</v>
      </c>
      <c r="R35" s="62">
        <f t="shared" si="5"/>
        <v>4355</v>
      </c>
      <c r="S35" s="176"/>
      <c r="T35" s="176"/>
      <c r="U35" s="70"/>
      <c r="V35" s="70"/>
      <c r="W35" s="260"/>
      <c r="X35" s="62">
        <f t="shared" si="6"/>
        <v>1</v>
      </c>
      <c r="Y35" s="70"/>
      <c r="AA35" s="290"/>
      <c r="AB35" s="291"/>
      <c r="AC35" s="62"/>
      <c r="AD35" s="62"/>
      <c r="AE35" s="177">
        <f t="shared" si="7"/>
        <v>130650</v>
      </c>
      <c r="AF35" s="177">
        <f t="shared" si="8"/>
        <v>0</v>
      </c>
      <c r="AG35" s="70">
        <f t="shared" si="9"/>
        <v>7800233</v>
      </c>
      <c r="AH35" s="70">
        <f t="shared" si="10"/>
        <v>0</v>
      </c>
      <c r="AI35" s="587">
        <v>0</v>
      </c>
      <c r="AJ35" s="178">
        <f t="shared" si="11"/>
        <v>7800233</v>
      </c>
      <c r="AK35" s="301">
        <f t="shared" si="12"/>
        <v>18.291721667829343</v>
      </c>
      <c r="AL35" s="70">
        <f t="shared" si="13"/>
        <v>42643515</v>
      </c>
      <c r="AM35" s="179">
        <f t="shared" si="14"/>
        <v>100.00000093816499</v>
      </c>
      <c r="AN35" s="179"/>
      <c r="AO35" s="31">
        <f t="shared" si="15"/>
        <v>1914853.4302134737</v>
      </c>
      <c r="AP35" s="31">
        <f>AJ35-E35</f>
        <v>688464</v>
      </c>
      <c r="AQ35" s="31">
        <f>AJ35-((J35/100)*F35)</f>
        <v>337617.94501164276</v>
      </c>
      <c r="AR35" s="180">
        <f t="shared" si="18"/>
        <v>0.79172166782934283</v>
      </c>
      <c r="AS35" s="31">
        <f t="shared" si="25"/>
        <v>9791.85</v>
      </c>
      <c r="AU35" s="31">
        <f t="shared" si="19"/>
        <v>0</v>
      </c>
      <c r="AV35" s="177"/>
      <c r="AW35" s="31">
        <f t="shared" si="20"/>
        <v>158.08587830080367</v>
      </c>
    </row>
    <row r="36" spans="1:49">
      <c r="A36" s="102">
        <v>27</v>
      </c>
      <c r="B36" s="7" t="s">
        <v>1733</v>
      </c>
      <c r="C36" s="7">
        <v>1</v>
      </c>
      <c r="D36" s="62">
        <f t="shared" si="21"/>
        <v>6930346.8399999989</v>
      </c>
      <c r="E36" s="172">
        <f t="shared" si="0"/>
        <v>3934448</v>
      </c>
      <c r="F36" s="62">
        <f t="shared" si="1"/>
        <v>7359719.0961112287</v>
      </c>
      <c r="G36" s="70">
        <f t="shared" si="2"/>
        <v>3696563</v>
      </c>
      <c r="H36" s="62">
        <f t="shared" si="3"/>
        <v>3663156</v>
      </c>
      <c r="I36" s="173">
        <f t="shared" si="4"/>
        <v>0</v>
      </c>
      <c r="J36" s="174">
        <f>ROUND(100-'Townwide Contributions'!K36,2)</f>
        <v>49.97</v>
      </c>
      <c r="K36" s="70">
        <f t="shared" si="22"/>
        <v>3677652</v>
      </c>
      <c r="L36" s="70">
        <f t="shared" si="23"/>
        <v>0</v>
      </c>
      <c r="M36" s="175">
        <f t="shared" si="24"/>
        <v>0</v>
      </c>
      <c r="N36" s="70"/>
      <c r="O36" s="70"/>
      <c r="P36" s="70"/>
      <c r="Q36" s="62">
        <v>752</v>
      </c>
      <c r="R36" s="62">
        <f t="shared" si="5"/>
        <v>784</v>
      </c>
      <c r="S36" s="176"/>
      <c r="T36" s="176"/>
      <c r="U36" s="70"/>
      <c r="V36" s="70"/>
      <c r="W36" s="260"/>
      <c r="X36" s="62">
        <f t="shared" si="6"/>
        <v>0</v>
      </c>
      <c r="Y36" s="70"/>
      <c r="AA36" s="290"/>
      <c r="AB36" s="291"/>
      <c r="AC36" s="62"/>
      <c r="AD36" s="62"/>
      <c r="AE36" s="177">
        <f t="shared" si="7"/>
        <v>23520</v>
      </c>
      <c r="AF36" s="177">
        <f t="shared" si="8"/>
        <v>23520</v>
      </c>
      <c r="AG36" s="70">
        <f t="shared" si="9"/>
        <v>3957968</v>
      </c>
      <c r="AH36" s="70">
        <f t="shared" si="10"/>
        <v>0</v>
      </c>
      <c r="AI36" s="587">
        <v>0</v>
      </c>
      <c r="AJ36" s="178">
        <f t="shared" si="11"/>
        <v>3957968</v>
      </c>
      <c r="AK36" s="301">
        <f t="shared" si="12"/>
        <v>53.77879166735228</v>
      </c>
      <c r="AL36" s="70">
        <f t="shared" si="13"/>
        <v>7654531</v>
      </c>
      <c r="AM36" s="179">
        <f t="shared" si="14"/>
        <v>104.00574940481826</v>
      </c>
      <c r="AN36" s="179"/>
      <c r="AO36" s="31">
        <f t="shared" si="15"/>
        <v>429372.25611122977</v>
      </c>
      <c r="AP36" s="31">
        <f t="shared" si="16"/>
        <v>23520</v>
      </c>
      <c r="AQ36" s="31">
        <f t="shared" si="17"/>
        <v>280316.36767321918</v>
      </c>
      <c r="AR36" s="180">
        <f t="shared" si="18"/>
        <v>3.8087916673522813</v>
      </c>
      <c r="AS36" s="31">
        <f t="shared" si="25"/>
        <v>9387.4</v>
      </c>
      <c r="AU36" s="31">
        <f t="shared" si="19"/>
        <v>0</v>
      </c>
      <c r="AV36" s="177"/>
      <c r="AW36" s="31">
        <f t="shared" si="20"/>
        <v>30</v>
      </c>
    </row>
    <row r="37" spans="1:49">
      <c r="A37" s="102">
        <v>28</v>
      </c>
      <c r="B37" s="7" t="s">
        <v>1734</v>
      </c>
      <c r="C37" s="7">
        <v>1</v>
      </c>
      <c r="D37" s="62">
        <f t="shared" si="21"/>
        <v>1517885.7034299998</v>
      </c>
      <c r="E37" s="172">
        <f t="shared" si="0"/>
        <v>449505</v>
      </c>
      <c r="F37" s="62">
        <f t="shared" si="1"/>
        <v>1603891.1351568666</v>
      </c>
      <c r="G37" s="70">
        <f t="shared" si="2"/>
        <v>1339179</v>
      </c>
      <c r="H37" s="62">
        <f t="shared" si="3"/>
        <v>264712</v>
      </c>
      <c r="I37" s="173">
        <f t="shared" si="4"/>
        <v>0</v>
      </c>
      <c r="J37" s="174">
        <f>ROUND(100-'Townwide Contributions'!K37,2)</f>
        <v>17.5</v>
      </c>
      <c r="K37" s="70">
        <f t="shared" si="22"/>
        <v>280681</v>
      </c>
      <c r="L37" s="70">
        <f t="shared" si="23"/>
        <v>0</v>
      </c>
      <c r="M37" s="175">
        <f t="shared" si="24"/>
        <v>0</v>
      </c>
      <c r="N37" s="70"/>
      <c r="O37" s="70"/>
      <c r="P37" s="70"/>
      <c r="Q37" s="62">
        <v>155</v>
      </c>
      <c r="R37" s="62">
        <f t="shared" si="5"/>
        <v>160</v>
      </c>
      <c r="S37" s="176"/>
      <c r="T37" s="176"/>
      <c r="U37" s="70"/>
      <c r="V37" s="70"/>
      <c r="W37" s="260"/>
      <c r="X37" s="62">
        <f t="shared" si="6"/>
        <v>0</v>
      </c>
      <c r="Y37" s="70"/>
      <c r="AA37" s="290"/>
      <c r="AB37" s="291"/>
      <c r="AC37" s="62"/>
      <c r="AD37" s="62"/>
      <c r="AE37" s="177">
        <f t="shared" si="7"/>
        <v>4800</v>
      </c>
      <c r="AF37" s="177">
        <f t="shared" si="8"/>
        <v>4800</v>
      </c>
      <c r="AG37" s="70">
        <f t="shared" si="9"/>
        <v>454305</v>
      </c>
      <c r="AH37" s="70">
        <f t="shared" si="10"/>
        <v>0</v>
      </c>
      <c r="AI37" s="587">
        <v>0</v>
      </c>
      <c r="AJ37" s="178">
        <f t="shared" si="11"/>
        <v>454305</v>
      </c>
      <c r="AK37" s="301">
        <f t="shared" si="12"/>
        <v>28.325176817912102</v>
      </c>
      <c r="AL37" s="70">
        <f t="shared" si="13"/>
        <v>1793484</v>
      </c>
      <c r="AM37" s="179">
        <f t="shared" si="14"/>
        <v>111.82080633076075</v>
      </c>
      <c r="AN37" s="179"/>
      <c r="AO37" s="31">
        <f t="shared" si="15"/>
        <v>86005.431726866867</v>
      </c>
      <c r="AP37" s="31">
        <f t="shared" si="16"/>
        <v>4800</v>
      </c>
      <c r="AQ37" s="31">
        <f t="shared" si="17"/>
        <v>173624.05134754837</v>
      </c>
      <c r="AR37" s="180">
        <f t="shared" si="18"/>
        <v>10.825176817912102</v>
      </c>
      <c r="AS37" s="31">
        <f t="shared" si="25"/>
        <v>10024.32</v>
      </c>
      <c r="AU37" s="31">
        <f t="shared" si="19"/>
        <v>0</v>
      </c>
      <c r="AV37" s="177"/>
      <c r="AW37" s="31">
        <f t="shared" si="20"/>
        <v>30</v>
      </c>
    </row>
    <row r="38" spans="1:49">
      <c r="A38" s="102">
        <v>29</v>
      </c>
      <c r="B38" s="7" t="s">
        <v>1735</v>
      </c>
      <c r="C38" s="7">
        <v>0</v>
      </c>
      <c r="D38" s="62">
        <f t="shared" si="21"/>
        <v>0</v>
      </c>
      <c r="E38" s="172">
        <f t="shared" si="0"/>
        <v>0</v>
      </c>
      <c r="F38" s="62">
        <f t="shared" si="1"/>
        <v>0</v>
      </c>
      <c r="G38" s="70">
        <f t="shared" si="2"/>
        <v>0</v>
      </c>
      <c r="H38" s="62">
        <f t="shared" si="3"/>
        <v>0</v>
      </c>
      <c r="I38" s="173">
        <f t="shared" si="4"/>
        <v>0</v>
      </c>
      <c r="J38" s="174">
        <f>ROUND(100-'Townwide Contributions'!K38,2)</f>
        <v>48.28</v>
      </c>
      <c r="K38" s="70">
        <f t="shared" si="22"/>
        <v>0</v>
      </c>
      <c r="L38" s="70">
        <f t="shared" si="23"/>
        <v>0</v>
      </c>
      <c r="M38" s="175">
        <f t="shared" si="24"/>
        <v>0</v>
      </c>
      <c r="N38" s="70"/>
      <c r="O38" s="70"/>
      <c r="P38" s="70"/>
      <c r="Q38" s="62">
        <v>0</v>
      </c>
      <c r="R38" s="62">
        <f t="shared" si="5"/>
        <v>0</v>
      </c>
      <c r="S38" s="176"/>
      <c r="T38" s="176"/>
      <c r="U38" s="70"/>
      <c r="V38" s="70"/>
      <c r="W38" s="260"/>
      <c r="X38" s="62">
        <f t="shared" si="6"/>
        <v>0</v>
      </c>
      <c r="Y38" s="70"/>
      <c r="AA38" s="290"/>
      <c r="AB38" s="291"/>
      <c r="AC38" s="62"/>
      <c r="AD38" s="62"/>
      <c r="AE38" s="177">
        <f t="shared" si="7"/>
        <v>0</v>
      </c>
      <c r="AF38" s="177">
        <f t="shared" si="8"/>
        <v>0</v>
      </c>
      <c r="AG38" s="70">
        <f t="shared" si="9"/>
        <v>0</v>
      </c>
      <c r="AH38" s="70">
        <f t="shared" si="10"/>
        <v>0</v>
      </c>
      <c r="AI38" s="587">
        <v>0</v>
      </c>
      <c r="AJ38" s="178">
        <f t="shared" si="11"/>
        <v>0</v>
      </c>
      <c r="AK38" s="301">
        <f t="shared" si="12"/>
        <v>0</v>
      </c>
      <c r="AL38" s="70">
        <f t="shared" si="13"/>
        <v>0</v>
      </c>
      <c r="AM38" s="179">
        <f t="shared" si="14"/>
        <v>0</v>
      </c>
      <c r="AN38" s="179"/>
      <c r="AO38" s="31">
        <f t="shared" si="15"/>
        <v>0</v>
      </c>
      <c r="AP38" s="31">
        <f t="shared" si="16"/>
        <v>0</v>
      </c>
      <c r="AQ38" s="31">
        <f t="shared" si="17"/>
        <v>0</v>
      </c>
      <c r="AR38" s="180" t="str">
        <f t="shared" si="18"/>
        <v/>
      </c>
      <c r="AS38" s="31">
        <f t="shared" si="25"/>
        <v>0</v>
      </c>
      <c r="AU38" s="31">
        <f t="shared" si="19"/>
        <v>0</v>
      </c>
      <c r="AV38" s="177"/>
      <c r="AW38" s="31">
        <f t="shared" si="20"/>
        <v>0</v>
      </c>
    </row>
    <row r="39" spans="1:49">
      <c r="A39" s="102">
        <v>30</v>
      </c>
      <c r="B39" s="7" t="s">
        <v>1736</v>
      </c>
      <c r="C39" s="7">
        <v>1</v>
      </c>
      <c r="D39" s="62">
        <f t="shared" si="21"/>
        <v>44666515.990000002</v>
      </c>
      <c r="E39" s="172">
        <f t="shared" si="0"/>
        <v>7750842</v>
      </c>
      <c r="F39" s="62">
        <f t="shared" si="1"/>
        <v>45588032.85854122</v>
      </c>
      <c r="G39" s="70">
        <f t="shared" si="2"/>
        <v>37741029</v>
      </c>
      <c r="H39" s="62">
        <f t="shared" si="3"/>
        <v>7847004</v>
      </c>
      <c r="I39" s="173">
        <f t="shared" si="4"/>
        <v>96162</v>
      </c>
      <c r="J39" s="174">
        <f>ROUND(100-'Townwide Contributions'!K39,2)</f>
        <v>17.5</v>
      </c>
      <c r="K39" s="70">
        <f t="shared" si="22"/>
        <v>7977906</v>
      </c>
      <c r="L39" s="70">
        <f t="shared" si="23"/>
        <v>0</v>
      </c>
      <c r="M39" s="175">
        <f t="shared" si="24"/>
        <v>0</v>
      </c>
      <c r="N39" s="70"/>
      <c r="O39" s="70"/>
      <c r="P39" s="70"/>
      <c r="Q39" s="62">
        <v>4449</v>
      </c>
      <c r="R39" s="62">
        <f t="shared" si="5"/>
        <v>4444</v>
      </c>
      <c r="S39" s="176"/>
      <c r="T39" s="176"/>
      <c r="U39" s="70"/>
      <c r="V39" s="70"/>
      <c r="W39" s="260"/>
      <c r="X39" s="62">
        <f t="shared" si="6"/>
        <v>1</v>
      </c>
      <c r="Y39" s="70"/>
      <c r="AA39" s="290"/>
      <c r="AB39" s="291"/>
      <c r="AC39" s="62"/>
      <c r="AD39" s="62"/>
      <c r="AE39" s="177">
        <f t="shared" si="7"/>
        <v>133320</v>
      </c>
      <c r="AF39" s="177">
        <f t="shared" si="8"/>
        <v>37158</v>
      </c>
      <c r="AG39" s="70">
        <f t="shared" si="9"/>
        <v>7884162</v>
      </c>
      <c r="AH39" s="70">
        <f t="shared" si="10"/>
        <v>0</v>
      </c>
      <c r="AI39" s="587">
        <v>0</v>
      </c>
      <c r="AJ39" s="178">
        <f t="shared" si="11"/>
        <v>7884162</v>
      </c>
      <c r="AK39" s="301">
        <f t="shared" si="12"/>
        <v>17.294367634735195</v>
      </c>
      <c r="AL39" s="70">
        <f t="shared" si="13"/>
        <v>45625191</v>
      </c>
      <c r="AM39" s="179">
        <f t="shared" si="14"/>
        <v>100.08150854320492</v>
      </c>
      <c r="AN39" s="179"/>
      <c r="AO39" s="31">
        <f t="shared" si="15"/>
        <v>921516.86854121834</v>
      </c>
      <c r="AP39" s="31">
        <f t="shared" si="16"/>
        <v>133320</v>
      </c>
      <c r="AQ39" s="31">
        <f t="shared" si="17"/>
        <v>-93743.750244713388</v>
      </c>
      <c r="AR39" s="180">
        <f t="shared" si="18"/>
        <v>-0.20563236526480466</v>
      </c>
      <c r="AS39" s="31">
        <f t="shared" si="25"/>
        <v>10258.33</v>
      </c>
      <c r="AU39" s="31">
        <f t="shared" si="19"/>
        <v>0</v>
      </c>
      <c r="AV39" s="177"/>
      <c r="AW39" s="31">
        <f t="shared" si="20"/>
        <v>30</v>
      </c>
    </row>
    <row r="40" spans="1:49">
      <c r="A40" s="102">
        <v>31</v>
      </c>
      <c r="B40" s="7" t="s">
        <v>1737</v>
      </c>
      <c r="C40" s="7">
        <v>1</v>
      </c>
      <c r="D40" s="62">
        <f t="shared" si="21"/>
        <v>49371895.506909996</v>
      </c>
      <c r="E40" s="172">
        <f t="shared" si="0"/>
        <v>18904494.0465394</v>
      </c>
      <c r="F40" s="62">
        <f t="shared" si="1"/>
        <v>49374269.014992416</v>
      </c>
      <c r="G40" s="70">
        <f t="shared" si="2"/>
        <v>35556235</v>
      </c>
      <c r="H40" s="62">
        <f t="shared" si="3"/>
        <v>13818034</v>
      </c>
      <c r="I40" s="173">
        <f t="shared" si="4"/>
        <v>0</v>
      </c>
      <c r="J40" s="174">
        <f>ROUND(100-'Townwide Contributions'!K40,2)</f>
        <v>28.33</v>
      </c>
      <c r="K40" s="70">
        <f t="shared" si="22"/>
        <v>13987730</v>
      </c>
      <c r="L40" s="70">
        <f t="shared" si="23"/>
        <v>0</v>
      </c>
      <c r="M40" s="175">
        <f t="shared" si="24"/>
        <v>0</v>
      </c>
      <c r="N40" s="70"/>
      <c r="O40" s="70"/>
      <c r="P40" s="70"/>
      <c r="Q40" s="62">
        <v>5162</v>
      </c>
      <c r="R40" s="62">
        <f t="shared" si="5"/>
        <v>5034</v>
      </c>
      <c r="S40" s="176"/>
      <c r="T40" s="176"/>
      <c r="U40" s="70"/>
      <c r="V40" s="70"/>
      <c r="W40" s="260"/>
      <c r="X40" s="62">
        <f t="shared" si="6"/>
        <v>0</v>
      </c>
      <c r="Y40" s="70"/>
      <c r="AA40" s="290"/>
      <c r="AB40" s="291"/>
      <c r="AC40" s="62"/>
      <c r="AD40" s="62"/>
      <c r="AE40" s="177">
        <f t="shared" si="7"/>
        <v>151020</v>
      </c>
      <c r="AF40" s="177">
        <f t="shared" si="8"/>
        <v>151020</v>
      </c>
      <c r="AG40" s="70">
        <f t="shared" si="9"/>
        <v>19055514.0465394</v>
      </c>
      <c r="AH40" s="70">
        <f t="shared" si="10"/>
        <v>0</v>
      </c>
      <c r="AI40" s="587">
        <v>0</v>
      </c>
      <c r="AJ40" s="178">
        <f t="shared" si="11"/>
        <v>19055514.0465394</v>
      </c>
      <c r="AK40" s="301">
        <f t="shared" si="12"/>
        <v>38.594017545359961</v>
      </c>
      <c r="AL40" s="70">
        <f t="shared" si="13"/>
        <v>54611749.046539396</v>
      </c>
      <c r="AM40" s="179">
        <f t="shared" si="14"/>
        <v>110.6077115388921</v>
      </c>
      <c r="AN40" s="179"/>
      <c r="AO40" s="31">
        <f t="shared" si="15"/>
        <v>2373.5080824196339</v>
      </c>
      <c r="AP40" s="31">
        <f t="shared" si="16"/>
        <v>151020</v>
      </c>
      <c r="AQ40" s="31">
        <f t="shared" si="17"/>
        <v>5067783.6345920488</v>
      </c>
      <c r="AR40" s="180">
        <f t="shared" si="18"/>
        <v>10.264017545359962</v>
      </c>
      <c r="AS40" s="31">
        <f t="shared" si="25"/>
        <v>9808.16</v>
      </c>
      <c r="AU40" s="31">
        <f t="shared" si="19"/>
        <v>0</v>
      </c>
      <c r="AV40" s="177"/>
      <c r="AW40" s="31">
        <f t="shared" si="20"/>
        <v>30</v>
      </c>
    </row>
    <row r="41" spans="1:49">
      <c r="A41" s="102">
        <v>32</v>
      </c>
      <c r="B41" s="7" t="s">
        <v>1738</v>
      </c>
      <c r="C41" s="7">
        <v>0</v>
      </c>
      <c r="D41" s="62">
        <f t="shared" si="21"/>
        <v>249182.32000000004</v>
      </c>
      <c r="E41" s="172">
        <f t="shared" si="0"/>
        <v>125414</v>
      </c>
      <c r="F41" s="62">
        <f t="shared" si="1"/>
        <v>293968.34941619023</v>
      </c>
      <c r="G41" s="70">
        <f t="shared" si="2"/>
        <v>142085</v>
      </c>
      <c r="H41" s="62">
        <f t="shared" si="3"/>
        <v>151883</v>
      </c>
      <c r="I41" s="173">
        <f t="shared" si="4"/>
        <v>26469</v>
      </c>
      <c r="J41" s="174">
        <f>ROUND(100-'Townwide Contributions'!K41,2)</f>
        <v>52.04</v>
      </c>
      <c r="K41" s="70">
        <f t="shared" si="22"/>
        <v>152981</v>
      </c>
      <c r="L41" s="70">
        <f t="shared" si="23"/>
        <v>0</v>
      </c>
      <c r="M41" s="175">
        <f t="shared" si="24"/>
        <v>0</v>
      </c>
      <c r="N41" s="70"/>
      <c r="O41" s="70"/>
      <c r="P41" s="70"/>
      <c r="Q41" s="62">
        <v>17</v>
      </c>
      <c r="R41" s="62">
        <f t="shared" si="5"/>
        <v>20</v>
      </c>
      <c r="S41" s="176"/>
      <c r="T41" s="176"/>
      <c r="U41" s="70"/>
      <c r="V41" s="70"/>
      <c r="W41" s="260"/>
      <c r="X41" s="62">
        <f t="shared" si="6"/>
        <v>0</v>
      </c>
      <c r="Y41" s="70"/>
      <c r="AA41" s="290"/>
      <c r="AB41" s="291"/>
      <c r="AC41" s="62"/>
      <c r="AD41" s="62"/>
      <c r="AE41" s="177">
        <f t="shared" si="7"/>
        <v>0</v>
      </c>
      <c r="AF41" s="177">
        <f t="shared" si="8"/>
        <v>0</v>
      </c>
      <c r="AG41" s="70">
        <f t="shared" si="9"/>
        <v>151883</v>
      </c>
      <c r="AH41" s="70">
        <f t="shared" si="10"/>
        <v>0</v>
      </c>
      <c r="AI41" s="587">
        <v>0</v>
      </c>
      <c r="AJ41" s="178">
        <f t="shared" si="11"/>
        <v>151883</v>
      </c>
      <c r="AK41" s="301">
        <f t="shared" si="12"/>
        <v>0</v>
      </c>
      <c r="AL41" s="70">
        <f t="shared" si="13"/>
        <v>293968</v>
      </c>
      <c r="AM41" s="179">
        <f t="shared" si="14"/>
        <v>99.999881138159623</v>
      </c>
      <c r="AN41" s="179"/>
      <c r="AO41" s="31">
        <f t="shared" si="15"/>
        <v>44786.029416190198</v>
      </c>
      <c r="AP41" s="31">
        <f t="shared" si="16"/>
        <v>26469</v>
      </c>
      <c r="AQ41" s="31">
        <f t="shared" si="17"/>
        <v>-1098.1290361853899</v>
      </c>
      <c r="AR41" s="180" t="str">
        <f t="shared" si="18"/>
        <v/>
      </c>
      <c r="AS41" s="31">
        <f t="shared" si="25"/>
        <v>14698.42</v>
      </c>
      <c r="AU41" s="31">
        <f t="shared" si="19"/>
        <v>0</v>
      </c>
      <c r="AV41" s="177"/>
      <c r="AW41" s="31">
        <f t="shared" si="20"/>
        <v>1323.45</v>
      </c>
    </row>
    <row r="42" spans="1:49">
      <c r="A42" s="102">
        <v>33</v>
      </c>
      <c r="B42" s="7" t="s">
        <v>1739</v>
      </c>
      <c r="C42" s="7">
        <v>0</v>
      </c>
      <c r="D42" s="62">
        <f t="shared" si="21"/>
        <v>105367.36000000002</v>
      </c>
      <c r="E42" s="172">
        <f t="shared" si="0"/>
        <v>43655</v>
      </c>
      <c r="F42" s="62">
        <f t="shared" si="1"/>
        <v>80501.000061537285</v>
      </c>
      <c r="G42" s="70">
        <f t="shared" si="2"/>
        <v>67637</v>
      </c>
      <c r="H42" s="62">
        <f t="shared" si="3"/>
        <v>12864</v>
      </c>
      <c r="I42" s="173">
        <f t="shared" si="4"/>
        <v>0</v>
      </c>
      <c r="J42" s="174">
        <f>ROUND(100-'Townwide Contributions'!K42,2)</f>
        <v>17.5</v>
      </c>
      <c r="K42" s="70">
        <f t="shared" si="22"/>
        <v>14088</v>
      </c>
      <c r="L42" s="70">
        <f t="shared" si="23"/>
        <v>0</v>
      </c>
      <c r="M42" s="175">
        <f t="shared" si="24"/>
        <v>0</v>
      </c>
      <c r="N42" s="70"/>
      <c r="O42" s="70"/>
      <c r="P42" s="70"/>
      <c r="Q42" s="62">
        <v>8</v>
      </c>
      <c r="R42" s="62">
        <f t="shared" si="5"/>
        <v>6</v>
      </c>
      <c r="S42" s="176"/>
      <c r="T42" s="176"/>
      <c r="U42" s="70"/>
      <c r="V42" s="70"/>
      <c r="W42" s="260"/>
      <c r="X42" s="62">
        <f t="shared" si="6"/>
        <v>0</v>
      </c>
      <c r="Y42" s="70"/>
      <c r="AA42" s="290"/>
      <c r="AB42" s="291"/>
      <c r="AC42" s="62"/>
      <c r="AD42" s="62"/>
      <c r="AE42" s="177">
        <f t="shared" si="7"/>
        <v>0</v>
      </c>
      <c r="AF42" s="177">
        <f t="shared" si="8"/>
        <v>0</v>
      </c>
      <c r="AG42" s="70">
        <f t="shared" si="9"/>
        <v>43655</v>
      </c>
      <c r="AH42" s="70">
        <f t="shared" ref="AH42:AH73" si="26">IF(AND(C42=0,AG42&gt;found),AG42-found,0)</f>
        <v>0</v>
      </c>
      <c r="AI42" s="587">
        <v>0</v>
      </c>
      <c r="AJ42" s="178">
        <f t="shared" si="11"/>
        <v>43655</v>
      </c>
      <c r="AK42" s="301">
        <f t="shared" si="12"/>
        <v>0</v>
      </c>
      <c r="AL42" s="70">
        <f t="shared" si="13"/>
        <v>111292</v>
      </c>
      <c r="AM42" s="179">
        <f t="shared" si="14"/>
        <v>138.24921418979289</v>
      </c>
      <c r="AN42" s="179"/>
      <c r="AO42" s="31">
        <f t="shared" si="15"/>
        <v>-24866.35993846273</v>
      </c>
      <c r="AP42" s="31">
        <f t="shared" si="16"/>
        <v>0</v>
      </c>
      <c r="AQ42" s="31">
        <f t="shared" si="17"/>
        <v>29567.324989230976</v>
      </c>
      <c r="AR42" s="180" t="str">
        <f t="shared" si="18"/>
        <v/>
      </c>
      <c r="AS42" s="31">
        <f t="shared" si="25"/>
        <v>13416.83</v>
      </c>
      <c r="AU42" s="31">
        <f t="shared" si="19"/>
        <v>0</v>
      </c>
      <c r="AV42" s="177"/>
      <c r="AW42" s="31">
        <f t="shared" si="20"/>
        <v>0</v>
      </c>
    </row>
    <row r="43" spans="1:49">
      <c r="A43" s="102">
        <v>34</v>
      </c>
      <c r="B43" s="7" t="s">
        <v>1740</v>
      </c>
      <c r="C43" s="7">
        <v>0</v>
      </c>
      <c r="D43" s="62">
        <f t="shared" si="21"/>
        <v>27251.545720000002</v>
      </c>
      <c r="E43" s="172">
        <f t="shared" si="0"/>
        <v>4568</v>
      </c>
      <c r="F43" s="62">
        <f t="shared" si="1"/>
        <v>13854.834543589546</v>
      </c>
      <c r="G43" s="70">
        <f t="shared" si="2"/>
        <v>11515</v>
      </c>
      <c r="H43" s="62">
        <f t="shared" si="3"/>
        <v>2340</v>
      </c>
      <c r="I43" s="173">
        <f t="shared" si="4"/>
        <v>0</v>
      </c>
      <c r="J43" s="174">
        <f>ROUND(100-'Townwide Contributions'!K43,2)</f>
        <v>17.5</v>
      </c>
      <c r="K43" s="70">
        <f t="shared" si="22"/>
        <v>2425</v>
      </c>
      <c r="L43" s="70">
        <f t="shared" si="23"/>
        <v>0</v>
      </c>
      <c r="M43" s="175">
        <f t="shared" si="24"/>
        <v>0</v>
      </c>
      <c r="N43" s="70"/>
      <c r="O43" s="70"/>
      <c r="P43" s="70"/>
      <c r="Q43" s="62">
        <v>2</v>
      </c>
      <c r="R43" s="62">
        <f t="shared" si="5"/>
        <v>1</v>
      </c>
      <c r="S43" s="176"/>
      <c r="T43" s="176"/>
      <c r="U43" s="70"/>
      <c r="V43" s="70"/>
      <c r="W43" s="260"/>
      <c r="X43" s="62">
        <f t="shared" si="6"/>
        <v>0</v>
      </c>
      <c r="Y43" s="70"/>
      <c r="AA43" s="290"/>
      <c r="AB43" s="291"/>
      <c r="AC43" s="62"/>
      <c r="AD43" s="62"/>
      <c r="AE43" s="177">
        <f t="shared" si="7"/>
        <v>0</v>
      </c>
      <c r="AF43" s="177">
        <f t="shared" si="8"/>
        <v>0</v>
      </c>
      <c r="AG43" s="70">
        <f t="shared" si="9"/>
        <v>4568</v>
      </c>
      <c r="AH43" s="70">
        <f t="shared" si="26"/>
        <v>0</v>
      </c>
      <c r="AI43" s="587">
        <v>0</v>
      </c>
      <c r="AJ43" s="178">
        <f t="shared" si="11"/>
        <v>4568</v>
      </c>
      <c r="AK43" s="301">
        <f t="shared" si="12"/>
        <v>0</v>
      </c>
      <c r="AL43" s="70">
        <f t="shared" si="13"/>
        <v>16083</v>
      </c>
      <c r="AM43" s="179">
        <f t="shared" si="14"/>
        <v>116.08222349678941</v>
      </c>
      <c r="AN43" s="179"/>
      <c r="AO43" s="31">
        <f t="shared" si="15"/>
        <v>-13396.711176410456</v>
      </c>
      <c r="AP43" s="31">
        <f t="shared" si="16"/>
        <v>0</v>
      </c>
      <c r="AQ43" s="31">
        <f t="shared" si="17"/>
        <v>2143.4039548718297</v>
      </c>
      <c r="AR43" s="180" t="str">
        <f t="shared" si="18"/>
        <v/>
      </c>
      <c r="AS43" s="31">
        <f t="shared" si="25"/>
        <v>13854.83</v>
      </c>
      <c r="AU43" s="31">
        <f t="shared" si="19"/>
        <v>0</v>
      </c>
      <c r="AV43" s="177"/>
      <c r="AW43" s="31">
        <f t="shared" si="20"/>
        <v>0</v>
      </c>
    </row>
    <row r="44" spans="1:49">
      <c r="A44" s="102">
        <v>35</v>
      </c>
      <c r="B44" s="7" t="s">
        <v>1741</v>
      </c>
      <c r="C44" s="7">
        <v>1</v>
      </c>
      <c r="D44" s="62">
        <f t="shared" si="21"/>
        <v>802914847.56588995</v>
      </c>
      <c r="E44" s="172">
        <f t="shared" si="0"/>
        <v>216128435</v>
      </c>
      <c r="F44" s="62">
        <f t="shared" si="1"/>
        <v>829896970.52937865</v>
      </c>
      <c r="G44" s="70">
        <f t="shared" si="2"/>
        <v>686260642</v>
      </c>
      <c r="H44" s="62">
        <f t="shared" si="3"/>
        <v>143636329</v>
      </c>
      <c r="I44" s="173">
        <f t="shared" si="4"/>
        <v>0</v>
      </c>
      <c r="J44" s="174">
        <f>ROUND(100-'Townwide Contributions'!K44,2)</f>
        <v>17.5</v>
      </c>
      <c r="K44" s="70">
        <f t="shared" si="22"/>
        <v>145231970</v>
      </c>
      <c r="L44" s="70">
        <f t="shared" si="23"/>
        <v>0</v>
      </c>
      <c r="M44" s="175">
        <f t="shared" si="24"/>
        <v>0</v>
      </c>
      <c r="N44" s="70"/>
      <c r="O44" s="70"/>
      <c r="P44" s="70"/>
      <c r="Q44" s="62">
        <v>64220</v>
      </c>
      <c r="R44" s="62">
        <f t="shared" si="5"/>
        <v>64602</v>
      </c>
      <c r="S44" s="176"/>
      <c r="T44" s="176"/>
      <c r="U44" s="70"/>
      <c r="V44" s="70"/>
      <c r="W44" s="260"/>
      <c r="X44" s="62">
        <f t="shared" si="6"/>
        <v>0</v>
      </c>
      <c r="Y44" s="70"/>
      <c r="AA44" s="290"/>
      <c r="AB44" s="291"/>
      <c r="AC44" s="62"/>
      <c r="AD44" s="62"/>
      <c r="AE44" s="177">
        <f t="shared" si="7"/>
        <v>1938060</v>
      </c>
      <c r="AF44" s="177">
        <f t="shared" si="8"/>
        <v>1938060</v>
      </c>
      <c r="AG44" s="70">
        <f t="shared" si="9"/>
        <v>218066495</v>
      </c>
      <c r="AH44" s="70">
        <f t="shared" si="26"/>
        <v>0</v>
      </c>
      <c r="AI44" s="587">
        <v>0</v>
      </c>
      <c r="AJ44" s="178">
        <f t="shared" si="11"/>
        <v>218066495</v>
      </c>
      <c r="AK44" s="301">
        <f t="shared" si="12"/>
        <v>26.276333417737231</v>
      </c>
      <c r="AL44" s="70">
        <f t="shared" si="13"/>
        <v>904327137</v>
      </c>
      <c r="AM44" s="179">
        <f t="shared" si="14"/>
        <v>108.96860322590929</v>
      </c>
      <c r="AN44" s="179"/>
      <c r="AO44" s="31">
        <f t="shared" si="15"/>
        <v>26982122.963488698</v>
      </c>
      <c r="AP44" s="31">
        <f t="shared" si="16"/>
        <v>1938060</v>
      </c>
      <c r="AQ44" s="31">
        <f t="shared" si="17"/>
        <v>72834525.157358736</v>
      </c>
      <c r="AR44" s="180">
        <f t="shared" si="18"/>
        <v>8.7763334177372307</v>
      </c>
      <c r="AS44" s="31">
        <f t="shared" si="25"/>
        <v>12846.3</v>
      </c>
      <c r="AU44" s="31">
        <f t="shared" si="19"/>
        <v>0</v>
      </c>
      <c r="AV44" s="177"/>
      <c r="AW44" s="31">
        <f t="shared" si="20"/>
        <v>30</v>
      </c>
    </row>
    <row r="45" spans="1:49">
      <c r="A45" s="102">
        <v>36</v>
      </c>
      <c r="B45" s="7" t="s">
        <v>1742</v>
      </c>
      <c r="C45" s="7">
        <v>1</v>
      </c>
      <c r="D45" s="62">
        <f t="shared" si="21"/>
        <v>19315319.800000001</v>
      </c>
      <c r="E45" s="172">
        <f t="shared" si="0"/>
        <v>5034613</v>
      </c>
      <c r="F45" s="62">
        <f t="shared" si="1"/>
        <v>20067959.034898311</v>
      </c>
      <c r="G45" s="70">
        <f t="shared" si="2"/>
        <v>16608266</v>
      </c>
      <c r="H45" s="62">
        <f t="shared" si="3"/>
        <v>3459693</v>
      </c>
      <c r="I45" s="173">
        <f t="shared" si="4"/>
        <v>0</v>
      </c>
      <c r="J45" s="174">
        <f>ROUND(100-'Townwide Contributions'!K45,2)</f>
        <v>17.5</v>
      </c>
      <c r="K45" s="70">
        <f t="shared" si="22"/>
        <v>3511893</v>
      </c>
      <c r="L45" s="70">
        <f t="shared" si="23"/>
        <v>0</v>
      </c>
      <c r="M45" s="175">
        <f t="shared" si="24"/>
        <v>0</v>
      </c>
      <c r="N45" s="70"/>
      <c r="O45" s="70"/>
      <c r="P45" s="70"/>
      <c r="Q45" s="62">
        <v>1950</v>
      </c>
      <c r="R45" s="62">
        <f t="shared" si="5"/>
        <v>1981</v>
      </c>
      <c r="S45" s="176"/>
      <c r="T45" s="176"/>
      <c r="U45" s="70"/>
      <c r="V45" s="70"/>
      <c r="W45" s="260"/>
      <c r="X45" s="62">
        <f t="shared" si="6"/>
        <v>0</v>
      </c>
      <c r="Y45" s="70"/>
      <c r="AA45" s="290"/>
      <c r="AB45" s="291"/>
      <c r="AC45" s="62"/>
      <c r="AD45" s="62"/>
      <c r="AE45" s="177">
        <f t="shared" si="7"/>
        <v>59430</v>
      </c>
      <c r="AF45" s="177">
        <f t="shared" si="8"/>
        <v>59430</v>
      </c>
      <c r="AG45" s="70">
        <f t="shared" si="9"/>
        <v>5094043</v>
      </c>
      <c r="AH45" s="70">
        <f t="shared" si="26"/>
        <v>0</v>
      </c>
      <c r="AI45" s="587">
        <v>0</v>
      </c>
      <c r="AJ45" s="178">
        <f t="shared" si="11"/>
        <v>5094043</v>
      </c>
      <c r="AK45" s="301">
        <f t="shared" si="12"/>
        <v>25.383961523647852</v>
      </c>
      <c r="AL45" s="70">
        <f t="shared" si="13"/>
        <v>21702309</v>
      </c>
      <c r="AM45" s="179">
        <f t="shared" si="14"/>
        <v>108.14407664605825</v>
      </c>
      <c r="AN45" s="179"/>
      <c r="AO45" s="31">
        <f t="shared" si="15"/>
        <v>752639.23489831015</v>
      </c>
      <c r="AP45" s="31">
        <f t="shared" si="16"/>
        <v>59430</v>
      </c>
      <c r="AQ45" s="31">
        <f t="shared" si="17"/>
        <v>1582150.1688927957</v>
      </c>
      <c r="AR45" s="180">
        <f t="shared" si="18"/>
        <v>7.8839615236478515</v>
      </c>
      <c r="AS45" s="31">
        <f t="shared" si="25"/>
        <v>10130.219999999999</v>
      </c>
      <c r="AU45" s="31">
        <f t="shared" si="19"/>
        <v>0</v>
      </c>
      <c r="AV45" s="177"/>
      <c r="AW45" s="31">
        <f t="shared" si="20"/>
        <v>30</v>
      </c>
    </row>
    <row r="46" spans="1:49">
      <c r="A46" s="102">
        <v>37</v>
      </c>
      <c r="B46" s="7" t="s">
        <v>1743</v>
      </c>
      <c r="C46" s="7">
        <v>0</v>
      </c>
      <c r="D46" s="62">
        <f t="shared" si="21"/>
        <v>0</v>
      </c>
      <c r="E46" s="172">
        <f t="shared" si="0"/>
        <v>14864</v>
      </c>
      <c r="F46" s="62">
        <f t="shared" si="1"/>
        <v>88385.021661537277</v>
      </c>
      <c r="G46" s="70">
        <f t="shared" si="2"/>
        <v>73448</v>
      </c>
      <c r="H46" s="62">
        <f t="shared" si="3"/>
        <v>14937</v>
      </c>
      <c r="I46" s="173">
        <f t="shared" si="4"/>
        <v>73</v>
      </c>
      <c r="J46" s="174">
        <f>ROUND(100-'Townwide Contributions'!K46,2)</f>
        <v>17.5</v>
      </c>
      <c r="K46" s="70">
        <f t="shared" si="22"/>
        <v>15467</v>
      </c>
      <c r="L46" s="70">
        <f t="shared" si="23"/>
        <v>0</v>
      </c>
      <c r="M46" s="175">
        <f t="shared" si="24"/>
        <v>0</v>
      </c>
      <c r="N46" s="70"/>
      <c r="O46" s="70"/>
      <c r="P46" s="70"/>
      <c r="Q46" s="62">
        <v>0</v>
      </c>
      <c r="R46" s="62">
        <f t="shared" si="5"/>
        <v>6</v>
      </c>
      <c r="S46" s="176"/>
      <c r="T46" s="176"/>
      <c r="U46" s="70"/>
      <c r="V46" s="70"/>
      <c r="W46" s="260"/>
      <c r="X46" s="62">
        <f t="shared" si="6"/>
        <v>0</v>
      </c>
      <c r="Y46" s="70"/>
      <c r="AA46" s="290"/>
      <c r="AB46" s="291"/>
      <c r="AC46" s="62"/>
      <c r="AD46" s="62"/>
      <c r="AE46" s="177">
        <f t="shared" si="7"/>
        <v>0</v>
      </c>
      <c r="AF46" s="177">
        <f t="shared" si="8"/>
        <v>0</v>
      </c>
      <c r="AG46" s="70">
        <f t="shared" si="9"/>
        <v>14937</v>
      </c>
      <c r="AH46" s="70">
        <f t="shared" si="26"/>
        <v>0</v>
      </c>
      <c r="AI46" s="587">
        <v>0</v>
      </c>
      <c r="AJ46" s="178">
        <f t="shared" si="11"/>
        <v>14937</v>
      </c>
      <c r="AK46" s="301">
        <f t="shared" si="12"/>
        <v>0</v>
      </c>
      <c r="AL46" s="70">
        <f t="shared" si="13"/>
        <v>88385</v>
      </c>
      <c r="AM46" s="179">
        <f t="shared" si="14"/>
        <v>99.99997549184593</v>
      </c>
      <c r="AN46" s="179"/>
      <c r="AO46" s="31">
        <f t="shared" si="15"/>
        <v>88385.021661537277</v>
      </c>
      <c r="AP46" s="31">
        <f t="shared" si="16"/>
        <v>73</v>
      </c>
      <c r="AQ46" s="31">
        <f t="shared" si="17"/>
        <v>-530.37879076902209</v>
      </c>
      <c r="AR46" s="180" t="str">
        <f t="shared" si="18"/>
        <v/>
      </c>
      <c r="AS46" s="31">
        <f t="shared" si="25"/>
        <v>14730.84</v>
      </c>
      <c r="AU46" s="31">
        <f t="shared" si="19"/>
        <v>0</v>
      </c>
      <c r="AV46" s="177"/>
      <c r="AW46" s="31">
        <f t="shared" si="20"/>
        <v>12.166666666666666</v>
      </c>
    </row>
    <row r="47" spans="1:49">
      <c r="A47" s="102">
        <v>38</v>
      </c>
      <c r="B47" s="7" t="s">
        <v>1744</v>
      </c>
      <c r="C47" s="7">
        <v>1</v>
      </c>
      <c r="D47" s="62">
        <f t="shared" si="21"/>
        <v>6361983.2980000013</v>
      </c>
      <c r="E47" s="172">
        <f t="shared" si="0"/>
        <v>1683463</v>
      </c>
      <c r="F47" s="62">
        <f t="shared" si="1"/>
        <v>6728318.9448366938</v>
      </c>
      <c r="G47" s="70">
        <f t="shared" si="2"/>
        <v>5579890</v>
      </c>
      <c r="H47" s="62">
        <f t="shared" si="3"/>
        <v>1148429</v>
      </c>
      <c r="I47" s="173">
        <f t="shared" si="4"/>
        <v>0</v>
      </c>
      <c r="J47" s="174">
        <f>ROUND(100-'Townwide Contributions'!K47,2)</f>
        <v>17.5</v>
      </c>
      <c r="K47" s="70">
        <f t="shared" si="22"/>
        <v>1177456</v>
      </c>
      <c r="L47" s="70">
        <f t="shared" si="23"/>
        <v>0</v>
      </c>
      <c r="M47" s="175">
        <f t="shared" si="24"/>
        <v>0</v>
      </c>
      <c r="N47" s="70"/>
      <c r="O47" s="70"/>
      <c r="P47" s="70"/>
      <c r="Q47" s="62">
        <v>718</v>
      </c>
      <c r="R47" s="62">
        <f t="shared" si="5"/>
        <v>739</v>
      </c>
      <c r="S47" s="176"/>
      <c r="T47" s="176"/>
      <c r="U47" s="70"/>
      <c r="V47" s="70"/>
      <c r="W47" s="260"/>
      <c r="X47" s="62">
        <f t="shared" si="6"/>
        <v>0</v>
      </c>
      <c r="Y47" s="70"/>
      <c r="AA47" s="290"/>
      <c r="AB47" s="291"/>
      <c r="AC47" s="62"/>
      <c r="AD47" s="62"/>
      <c r="AE47" s="177">
        <f t="shared" si="7"/>
        <v>22170</v>
      </c>
      <c r="AF47" s="177">
        <f t="shared" si="8"/>
        <v>22170</v>
      </c>
      <c r="AG47" s="70">
        <f t="shared" si="9"/>
        <v>1705633</v>
      </c>
      <c r="AH47" s="70">
        <f t="shared" si="26"/>
        <v>0</v>
      </c>
      <c r="AI47" s="587">
        <v>0</v>
      </c>
      <c r="AJ47" s="178">
        <f t="shared" si="11"/>
        <v>1705633</v>
      </c>
      <c r="AK47" s="301">
        <f t="shared" si="12"/>
        <v>25.350061642201148</v>
      </c>
      <c r="AL47" s="70">
        <f t="shared" si="13"/>
        <v>7285523</v>
      </c>
      <c r="AM47" s="179">
        <f t="shared" si="14"/>
        <v>108.28147505686995</v>
      </c>
      <c r="AN47" s="179"/>
      <c r="AO47" s="31">
        <f t="shared" si="15"/>
        <v>366335.64683669247</v>
      </c>
      <c r="AP47" s="31">
        <f t="shared" si="16"/>
        <v>22170</v>
      </c>
      <c r="AQ47" s="31">
        <f t="shared" si="17"/>
        <v>528177.18465357856</v>
      </c>
      <c r="AR47" s="180">
        <f t="shared" si="18"/>
        <v>7.8500616422011475</v>
      </c>
      <c r="AS47" s="31">
        <f t="shared" si="25"/>
        <v>9104.6299999999992</v>
      </c>
      <c r="AU47" s="31">
        <f t="shared" si="19"/>
        <v>0</v>
      </c>
      <c r="AV47" s="177"/>
      <c r="AW47" s="31">
        <f t="shared" si="20"/>
        <v>30</v>
      </c>
    </row>
    <row r="48" spans="1:49">
      <c r="A48" s="102">
        <v>39</v>
      </c>
      <c r="B48" s="7" t="s">
        <v>1745</v>
      </c>
      <c r="C48" s="7">
        <v>1</v>
      </c>
      <c r="D48" s="62">
        <f t="shared" si="21"/>
        <v>2586705.9099999997</v>
      </c>
      <c r="E48" s="172">
        <f t="shared" si="0"/>
        <v>465437.88018750004</v>
      </c>
      <c r="F48" s="62">
        <f t="shared" si="1"/>
        <v>2629403.7758567845</v>
      </c>
      <c r="G48" s="70">
        <f t="shared" si="2"/>
        <v>2172204</v>
      </c>
      <c r="H48" s="62">
        <f t="shared" si="3"/>
        <v>457200</v>
      </c>
      <c r="I48" s="173">
        <f t="shared" si="4"/>
        <v>0</v>
      </c>
      <c r="J48" s="174">
        <f>ROUND(100-'Townwide Contributions'!K48,2)</f>
        <v>17.5</v>
      </c>
      <c r="K48" s="70">
        <f t="shared" si="22"/>
        <v>460146</v>
      </c>
      <c r="L48" s="70">
        <f t="shared" si="23"/>
        <v>0</v>
      </c>
      <c r="M48" s="175">
        <f t="shared" si="24"/>
        <v>0</v>
      </c>
      <c r="N48" s="70"/>
      <c r="O48" s="70"/>
      <c r="P48" s="70"/>
      <c r="Q48" s="62">
        <v>275</v>
      </c>
      <c r="R48" s="62">
        <f t="shared" si="5"/>
        <v>275</v>
      </c>
      <c r="S48" s="176"/>
      <c r="T48" s="176"/>
      <c r="U48" s="70"/>
      <c r="V48" s="70"/>
      <c r="W48" s="260"/>
      <c r="X48" s="62">
        <f t="shared" si="6"/>
        <v>0</v>
      </c>
      <c r="Y48" s="70"/>
      <c r="AA48" s="290"/>
      <c r="AB48" s="291"/>
      <c r="AC48" s="62"/>
      <c r="AD48" s="62"/>
      <c r="AE48" s="177">
        <f t="shared" si="7"/>
        <v>8250</v>
      </c>
      <c r="AF48" s="177">
        <f t="shared" si="8"/>
        <v>8250</v>
      </c>
      <c r="AG48" s="70">
        <f t="shared" si="9"/>
        <v>473687.88018750004</v>
      </c>
      <c r="AH48" s="70">
        <f t="shared" si="26"/>
        <v>0</v>
      </c>
      <c r="AI48" s="587">
        <v>0</v>
      </c>
      <c r="AJ48" s="178">
        <f t="shared" si="11"/>
        <v>473687.88018750004</v>
      </c>
      <c r="AK48" s="301">
        <f t="shared" si="12"/>
        <v>18.015030043575184</v>
      </c>
      <c r="AL48" s="70">
        <f t="shared" si="13"/>
        <v>2645891.8801875003</v>
      </c>
      <c r="AM48" s="179">
        <f t="shared" si="14"/>
        <v>100.62706627571275</v>
      </c>
      <c r="AN48" s="179"/>
      <c r="AO48" s="31">
        <f t="shared" si="15"/>
        <v>42697.865856784862</v>
      </c>
      <c r="AP48" s="31">
        <f t="shared" si="16"/>
        <v>8250</v>
      </c>
      <c r="AQ48" s="31">
        <f t="shared" si="17"/>
        <v>13542.219412562787</v>
      </c>
      <c r="AR48" s="180">
        <f t="shared" si="18"/>
        <v>0.51503004357518378</v>
      </c>
      <c r="AS48" s="31">
        <f t="shared" si="25"/>
        <v>9561.4699999999993</v>
      </c>
      <c r="AU48" s="31">
        <f t="shared" si="19"/>
        <v>0</v>
      </c>
      <c r="AV48" s="177"/>
      <c r="AW48" s="31">
        <f t="shared" si="20"/>
        <v>30</v>
      </c>
    </row>
    <row r="49" spans="1:49">
      <c r="A49" s="102">
        <v>40</v>
      </c>
      <c r="B49" s="7" t="s">
        <v>1746</v>
      </c>
      <c r="C49" s="7">
        <v>1</v>
      </c>
      <c r="D49" s="62">
        <f t="shared" si="21"/>
        <v>56110509.381990001</v>
      </c>
      <c r="E49" s="172">
        <f t="shared" si="0"/>
        <v>16598479</v>
      </c>
      <c r="F49" s="62">
        <f t="shared" si="1"/>
        <v>58118969.896002591</v>
      </c>
      <c r="G49" s="70">
        <f t="shared" si="2"/>
        <v>40917885</v>
      </c>
      <c r="H49" s="62">
        <f t="shared" si="3"/>
        <v>17201085</v>
      </c>
      <c r="I49" s="173">
        <f t="shared" si="4"/>
        <v>602606</v>
      </c>
      <c r="J49" s="174">
        <f>ROUND(100-'Townwide Contributions'!K49,2)</f>
        <v>29.64</v>
      </c>
      <c r="K49" s="70">
        <f t="shared" si="22"/>
        <v>17226463</v>
      </c>
      <c r="L49" s="70">
        <f t="shared" si="23"/>
        <v>0</v>
      </c>
      <c r="M49" s="175">
        <f t="shared" si="24"/>
        <v>0</v>
      </c>
      <c r="N49" s="70"/>
      <c r="O49" s="70"/>
      <c r="P49" s="70"/>
      <c r="Q49" s="62">
        <v>5615</v>
      </c>
      <c r="R49" s="62">
        <f t="shared" si="5"/>
        <v>5667</v>
      </c>
      <c r="S49" s="176"/>
      <c r="T49" s="176"/>
      <c r="U49" s="70"/>
      <c r="V49" s="70"/>
      <c r="W49" s="260"/>
      <c r="X49" s="62">
        <f t="shared" si="6"/>
        <v>1</v>
      </c>
      <c r="Y49" s="70"/>
      <c r="AA49" s="290"/>
      <c r="AB49" s="291"/>
      <c r="AC49" s="62"/>
      <c r="AD49" s="62"/>
      <c r="AE49" s="177">
        <f t="shared" si="7"/>
        <v>170010</v>
      </c>
      <c r="AF49" s="177">
        <f t="shared" si="8"/>
        <v>0</v>
      </c>
      <c r="AG49" s="70">
        <f t="shared" si="9"/>
        <v>17201085</v>
      </c>
      <c r="AH49" s="70">
        <f t="shared" si="26"/>
        <v>0</v>
      </c>
      <c r="AI49" s="587">
        <v>0</v>
      </c>
      <c r="AJ49" s="178">
        <f t="shared" si="11"/>
        <v>17201085</v>
      </c>
      <c r="AK49" s="301">
        <f t="shared" si="12"/>
        <v>29.596334950153835</v>
      </c>
      <c r="AL49" s="70">
        <f t="shared" si="13"/>
        <v>58118970</v>
      </c>
      <c r="AM49" s="179">
        <f t="shared" si="14"/>
        <v>100.00000017893883</v>
      </c>
      <c r="AN49" s="179"/>
      <c r="AO49" s="31">
        <f t="shared" si="15"/>
        <v>2008460.5140125901</v>
      </c>
      <c r="AP49" s="31">
        <f t="shared" si="16"/>
        <v>602606</v>
      </c>
      <c r="AQ49" s="31">
        <f t="shared" si="17"/>
        <v>-25377.677175167948</v>
      </c>
      <c r="AR49" s="180">
        <f t="shared" si="18"/>
        <v>-4.366504984616526E-2</v>
      </c>
      <c r="AS49" s="31">
        <f t="shared" si="25"/>
        <v>10255.69</v>
      </c>
      <c r="AU49" s="31">
        <f t="shared" si="19"/>
        <v>0</v>
      </c>
      <c r="AV49" s="177"/>
      <c r="AW49" s="31">
        <f t="shared" si="20"/>
        <v>106.33598023645668</v>
      </c>
    </row>
    <row r="50" spans="1:49">
      <c r="A50" s="102">
        <v>41</v>
      </c>
      <c r="B50" s="7" t="s">
        <v>1747</v>
      </c>
      <c r="C50" s="7">
        <v>1</v>
      </c>
      <c r="D50" s="62">
        <f t="shared" si="21"/>
        <v>4710846.5600000005</v>
      </c>
      <c r="E50" s="172">
        <f t="shared" si="0"/>
        <v>968749</v>
      </c>
      <c r="F50" s="62">
        <f t="shared" si="1"/>
        <v>4863009.8651172351</v>
      </c>
      <c r="G50" s="70">
        <f t="shared" si="2"/>
        <v>4034625</v>
      </c>
      <c r="H50" s="62">
        <f t="shared" si="3"/>
        <v>828385</v>
      </c>
      <c r="I50" s="173">
        <f t="shared" si="4"/>
        <v>0</v>
      </c>
      <c r="J50" s="174">
        <f>ROUND(100-'Townwide Contributions'!K50,2)</f>
        <v>17.5</v>
      </c>
      <c r="K50" s="70">
        <f t="shared" si="22"/>
        <v>851027</v>
      </c>
      <c r="L50" s="70">
        <f t="shared" si="23"/>
        <v>0</v>
      </c>
      <c r="M50" s="175">
        <f t="shared" si="24"/>
        <v>0</v>
      </c>
      <c r="N50" s="70"/>
      <c r="O50" s="70"/>
      <c r="P50" s="70"/>
      <c r="Q50" s="62">
        <v>486</v>
      </c>
      <c r="R50" s="62">
        <f t="shared" si="5"/>
        <v>490</v>
      </c>
      <c r="S50" s="176"/>
      <c r="T50" s="176"/>
      <c r="U50" s="70"/>
      <c r="V50" s="70"/>
      <c r="W50" s="260"/>
      <c r="X50" s="62">
        <f t="shared" si="6"/>
        <v>0</v>
      </c>
      <c r="Y50" s="70"/>
      <c r="AA50" s="290"/>
      <c r="AB50" s="291"/>
      <c r="AC50" s="62"/>
      <c r="AD50" s="62"/>
      <c r="AE50" s="177">
        <f t="shared" si="7"/>
        <v>14700</v>
      </c>
      <c r="AF50" s="177">
        <f t="shared" si="8"/>
        <v>14700</v>
      </c>
      <c r="AG50" s="70">
        <f t="shared" si="9"/>
        <v>983449</v>
      </c>
      <c r="AH50" s="70">
        <f t="shared" si="26"/>
        <v>0</v>
      </c>
      <c r="AI50" s="587">
        <v>0</v>
      </c>
      <c r="AJ50" s="178">
        <f t="shared" si="11"/>
        <v>983449</v>
      </c>
      <c r="AK50" s="301">
        <f t="shared" si="12"/>
        <v>20.223051716476242</v>
      </c>
      <c r="AL50" s="70">
        <f t="shared" si="13"/>
        <v>5018074</v>
      </c>
      <c r="AM50" s="179">
        <f t="shared" si="14"/>
        <v>103.18864528725415</v>
      </c>
      <c r="AN50" s="179"/>
      <c r="AO50" s="31">
        <f t="shared" si="15"/>
        <v>152163.30511723459</v>
      </c>
      <c r="AP50" s="31">
        <f t="shared" si="16"/>
        <v>14700</v>
      </c>
      <c r="AQ50" s="31">
        <f t="shared" si="17"/>
        <v>132422.27360448393</v>
      </c>
      <c r="AR50" s="180">
        <f t="shared" si="18"/>
        <v>2.7230517164762418</v>
      </c>
      <c r="AS50" s="31">
        <f t="shared" si="25"/>
        <v>9924.51</v>
      </c>
      <c r="AU50" s="31">
        <f t="shared" si="19"/>
        <v>0</v>
      </c>
      <c r="AV50" s="177"/>
      <c r="AW50" s="31">
        <f t="shared" si="20"/>
        <v>30</v>
      </c>
    </row>
    <row r="51" spans="1:49">
      <c r="A51" s="102">
        <v>42</v>
      </c>
      <c r="B51" s="7" t="s">
        <v>1748</v>
      </c>
      <c r="C51" s="7">
        <v>0</v>
      </c>
      <c r="D51" s="62">
        <f t="shared" si="21"/>
        <v>196498.64000000004</v>
      </c>
      <c r="E51" s="172">
        <f t="shared" si="0"/>
        <v>76038</v>
      </c>
      <c r="F51" s="62">
        <f t="shared" si="1"/>
        <v>200050.51601106342</v>
      </c>
      <c r="G51" s="70">
        <f t="shared" si="2"/>
        <v>124537</v>
      </c>
      <c r="H51" s="62">
        <f t="shared" si="3"/>
        <v>75514</v>
      </c>
      <c r="I51" s="173">
        <f t="shared" si="4"/>
        <v>0</v>
      </c>
      <c r="J51" s="174">
        <f>ROUND(100-'Townwide Contributions'!K51,2)</f>
        <v>38.1</v>
      </c>
      <c r="K51" s="70">
        <f t="shared" si="22"/>
        <v>76219</v>
      </c>
      <c r="L51" s="70">
        <f t="shared" si="23"/>
        <v>0</v>
      </c>
      <c r="M51" s="175">
        <f t="shared" si="24"/>
        <v>0</v>
      </c>
      <c r="N51" s="70"/>
      <c r="O51" s="70"/>
      <c r="P51" s="70"/>
      <c r="Q51" s="62">
        <v>13</v>
      </c>
      <c r="R51" s="62">
        <f t="shared" si="5"/>
        <v>13</v>
      </c>
      <c r="S51" s="176"/>
      <c r="T51" s="176"/>
      <c r="U51" s="70"/>
      <c r="V51" s="70"/>
      <c r="W51" s="260"/>
      <c r="X51" s="62">
        <f t="shared" si="6"/>
        <v>0</v>
      </c>
      <c r="Y51" s="70"/>
      <c r="AA51" s="290"/>
      <c r="AB51" s="291"/>
      <c r="AC51" s="62"/>
      <c r="AD51" s="62"/>
      <c r="AE51" s="177">
        <f t="shared" si="7"/>
        <v>0</v>
      </c>
      <c r="AF51" s="177">
        <f t="shared" si="8"/>
        <v>0</v>
      </c>
      <c r="AG51" s="70">
        <f t="shared" si="9"/>
        <v>76038</v>
      </c>
      <c r="AH51" s="70">
        <f t="shared" si="26"/>
        <v>0</v>
      </c>
      <c r="AI51" s="587">
        <v>0</v>
      </c>
      <c r="AJ51" s="178">
        <f t="shared" si="11"/>
        <v>76038</v>
      </c>
      <c r="AK51" s="301">
        <f t="shared" si="12"/>
        <v>0</v>
      </c>
      <c r="AL51" s="70">
        <f t="shared" si="13"/>
        <v>200575</v>
      </c>
      <c r="AM51" s="179">
        <f t="shared" si="14"/>
        <v>100.26217577409676</v>
      </c>
      <c r="AN51" s="179"/>
      <c r="AO51" s="31">
        <f t="shared" si="15"/>
        <v>3551.8760110633739</v>
      </c>
      <c r="AP51" s="31">
        <f t="shared" si="16"/>
        <v>0</v>
      </c>
      <c r="AQ51" s="31">
        <f t="shared" si="17"/>
        <v>-181.2466002151632</v>
      </c>
      <c r="AR51" s="180" t="str">
        <f t="shared" si="18"/>
        <v/>
      </c>
      <c r="AS51" s="31">
        <f t="shared" si="25"/>
        <v>15388.5</v>
      </c>
      <c r="AU51" s="31">
        <f t="shared" si="19"/>
        <v>0</v>
      </c>
      <c r="AV51" s="177"/>
      <c r="AW51" s="31">
        <f t="shared" si="20"/>
        <v>0</v>
      </c>
    </row>
    <row r="52" spans="1:49">
      <c r="A52" s="102">
        <v>43</v>
      </c>
      <c r="B52" s="7" t="s">
        <v>1749</v>
      </c>
      <c r="C52" s="7">
        <v>1</v>
      </c>
      <c r="D52" s="62">
        <f t="shared" si="21"/>
        <v>2386674.08</v>
      </c>
      <c r="E52" s="172">
        <f t="shared" si="0"/>
        <v>1223352</v>
      </c>
      <c r="F52" s="62">
        <f t="shared" si="1"/>
        <v>2534076.5705832485</v>
      </c>
      <c r="G52" s="70">
        <f t="shared" si="2"/>
        <v>1459687</v>
      </c>
      <c r="H52" s="62">
        <f t="shared" si="3"/>
        <v>1074390</v>
      </c>
      <c r="I52" s="173">
        <f t="shared" si="4"/>
        <v>0</v>
      </c>
      <c r="J52" s="174">
        <f>ROUND(100-'Townwide Contributions'!K52,2)</f>
        <v>43.07</v>
      </c>
      <c r="K52" s="70">
        <f t="shared" si="22"/>
        <v>1091427</v>
      </c>
      <c r="L52" s="70">
        <f t="shared" si="23"/>
        <v>0</v>
      </c>
      <c r="M52" s="175">
        <f t="shared" si="24"/>
        <v>0</v>
      </c>
      <c r="N52" s="70"/>
      <c r="O52" s="70"/>
      <c r="P52" s="70"/>
      <c r="Q52" s="62">
        <v>256</v>
      </c>
      <c r="R52" s="62">
        <f t="shared" si="5"/>
        <v>268</v>
      </c>
      <c r="S52" s="176"/>
      <c r="T52" s="176"/>
      <c r="U52" s="70"/>
      <c r="V52" s="70"/>
      <c r="W52" s="260"/>
      <c r="X52" s="62">
        <f t="shared" si="6"/>
        <v>0</v>
      </c>
      <c r="Y52" s="70"/>
      <c r="AA52" s="290"/>
      <c r="AB52" s="291"/>
      <c r="AC52" s="62"/>
      <c r="AD52" s="62"/>
      <c r="AE52" s="177">
        <f t="shared" si="7"/>
        <v>8040</v>
      </c>
      <c r="AF52" s="177">
        <f t="shared" si="8"/>
        <v>8040</v>
      </c>
      <c r="AG52" s="70">
        <f t="shared" si="9"/>
        <v>1231392</v>
      </c>
      <c r="AH52" s="70">
        <f t="shared" si="26"/>
        <v>0</v>
      </c>
      <c r="AI52" s="587">
        <v>0</v>
      </c>
      <c r="AJ52" s="178">
        <f t="shared" si="11"/>
        <v>1231392</v>
      </c>
      <c r="AK52" s="301">
        <f t="shared" si="12"/>
        <v>48.593322486564801</v>
      </c>
      <c r="AL52" s="70">
        <f t="shared" si="13"/>
        <v>2691079</v>
      </c>
      <c r="AM52" s="179">
        <f t="shared" si="14"/>
        <v>106.19564662091547</v>
      </c>
      <c r="AN52" s="179"/>
      <c r="AO52" s="31">
        <f t="shared" si="15"/>
        <v>147402.49058324844</v>
      </c>
      <c r="AP52" s="31">
        <f t="shared" si="16"/>
        <v>8040</v>
      </c>
      <c r="AQ52" s="31">
        <f t="shared" si="17"/>
        <v>139965.22104979469</v>
      </c>
      <c r="AR52" s="180">
        <f t="shared" si="18"/>
        <v>5.5233224865648012</v>
      </c>
      <c r="AS52" s="31">
        <f t="shared" si="25"/>
        <v>9455.51</v>
      </c>
      <c r="AU52" s="31">
        <f t="shared" si="19"/>
        <v>0</v>
      </c>
      <c r="AV52" s="177"/>
      <c r="AW52" s="31">
        <f t="shared" si="20"/>
        <v>30</v>
      </c>
    </row>
    <row r="53" spans="1:49">
      <c r="A53" s="102">
        <v>44</v>
      </c>
      <c r="B53" s="7" t="s">
        <v>1750</v>
      </c>
      <c r="C53" s="7">
        <v>1</v>
      </c>
      <c r="D53" s="62">
        <f t="shared" si="21"/>
        <v>202933234.47</v>
      </c>
      <c r="E53" s="172">
        <f t="shared" si="0"/>
        <v>171012998</v>
      </c>
      <c r="F53" s="62">
        <f t="shared" si="1"/>
        <v>210658023.1896143</v>
      </c>
      <c r="G53" s="70">
        <f t="shared" si="2"/>
        <v>42271112</v>
      </c>
      <c r="H53" s="62">
        <f t="shared" si="3"/>
        <v>168386911</v>
      </c>
      <c r="I53" s="173">
        <f t="shared" si="4"/>
        <v>0</v>
      </c>
      <c r="J53" s="174">
        <f>ROUND(100-'Townwide Contributions'!K53,2)</f>
        <v>78.25</v>
      </c>
      <c r="K53" s="70">
        <f t="shared" si="22"/>
        <v>164839903</v>
      </c>
      <c r="L53" s="70">
        <f t="shared" si="23"/>
        <v>0</v>
      </c>
      <c r="M53" s="175">
        <f t="shared" si="24"/>
        <v>0</v>
      </c>
      <c r="N53" s="70"/>
      <c r="O53" s="70"/>
      <c r="P53" s="70"/>
      <c r="Q53" s="62">
        <v>17674</v>
      </c>
      <c r="R53" s="62">
        <f t="shared" si="5"/>
        <v>17888</v>
      </c>
      <c r="S53" s="176"/>
      <c r="T53" s="176"/>
      <c r="U53" s="70"/>
      <c r="V53" s="70"/>
      <c r="W53" s="260"/>
      <c r="X53" s="62">
        <f t="shared" si="6"/>
        <v>0</v>
      </c>
      <c r="Y53" s="70"/>
      <c r="AA53" s="290"/>
      <c r="AB53" s="291"/>
      <c r="AC53" s="62"/>
      <c r="AD53" s="62"/>
      <c r="AE53" s="177">
        <f t="shared" si="7"/>
        <v>536640</v>
      </c>
      <c r="AF53" s="177">
        <f t="shared" si="8"/>
        <v>536640</v>
      </c>
      <c r="AG53" s="70">
        <f t="shared" si="9"/>
        <v>171549638</v>
      </c>
      <c r="AH53" s="70">
        <f t="shared" si="26"/>
        <v>0</v>
      </c>
      <c r="AI53" s="587">
        <v>0</v>
      </c>
      <c r="AJ53" s="178">
        <f t="shared" si="11"/>
        <v>171549638</v>
      </c>
      <c r="AK53" s="301">
        <f t="shared" si="12"/>
        <v>81.435131405171944</v>
      </c>
      <c r="AL53" s="70">
        <f t="shared" si="13"/>
        <v>213820750</v>
      </c>
      <c r="AM53" s="179">
        <f t="shared" si="14"/>
        <v>101.50135597139774</v>
      </c>
      <c r="AN53" s="179"/>
      <c r="AO53" s="31">
        <f t="shared" si="15"/>
        <v>7724788.7196142972</v>
      </c>
      <c r="AP53" s="31">
        <f t="shared" si="16"/>
        <v>536640</v>
      </c>
      <c r="AQ53" s="31">
        <f t="shared" si="17"/>
        <v>6709734.854126811</v>
      </c>
      <c r="AR53" s="180">
        <f t="shared" si="18"/>
        <v>3.1851314051719442</v>
      </c>
      <c r="AS53" s="31">
        <f t="shared" si="25"/>
        <v>11776.5</v>
      </c>
      <c r="AU53" s="31">
        <f t="shared" si="19"/>
        <v>0</v>
      </c>
      <c r="AV53" s="177"/>
      <c r="AW53" s="31">
        <f t="shared" si="20"/>
        <v>30</v>
      </c>
    </row>
    <row r="54" spans="1:49">
      <c r="A54" s="102">
        <v>45</v>
      </c>
      <c r="B54" s="7" t="s">
        <v>1751</v>
      </c>
      <c r="C54" s="7">
        <v>1</v>
      </c>
      <c r="D54" s="62">
        <f t="shared" si="21"/>
        <v>2406993.0500000003</v>
      </c>
      <c r="E54" s="172">
        <f t="shared" si="0"/>
        <v>1419330</v>
      </c>
      <c r="F54" s="62">
        <f t="shared" si="1"/>
        <v>2393041.9473765823</v>
      </c>
      <c r="G54" s="70">
        <f t="shared" si="2"/>
        <v>1030082</v>
      </c>
      <c r="H54" s="62">
        <f t="shared" si="3"/>
        <v>1362960</v>
      </c>
      <c r="I54" s="173">
        <f t="shared" si="4"/>
        <v>0</v>
      </c>
      <c r="J54" s="174">
        <f>ROUND(100-'Townwide Contributions'!K54,2)</f>
        <v>57.29</v>
      </c>
      <c r="K54" s="70">
        <f t="shared" si="22"/>
        <v>1370974</v>
      </c>
      <c r="L54" s="70">
        <f t="shared" si="23"/>
        <v>0</v>
      </c>
      <c r="M54" s="175">
        <f t="shared" si="24"/>
        <v>0</v>
      </c>
      <c r="N54" s="70"/>
      <c r="O54" s="70"/>
      <c r="P54" s="70"/>
      <c r="Q54" s="62">
        <v>243</v>
      </c>
      <c r="R54" s="62">
        <f t="shared" si="5"/>
        <v>234</v>
      </c>
      <c r="S54" s="176"/>
      <c r="T54" s="176"/>
      <c r="U54" s="70"/>
      <c r="V54" s="70"/>
      <c r="W54" s="260"/>
      <c r="X54" s="62">
        <f t="shared" si="6"/>
        <v>0</v>
      </c>
      <c r="Y54" s="70"/>
      <c r="AA54" s="290"/>
      <c r="AB54" s="291"/>
      <c r="AC54" s="62"/>
      <c r="AD54" s="62"/>
      <c r="AE54" s="177">
        <f t="shared" si="7"/>
        <v>7020</v>
      </c>
      <c r="AF54" s="177">
        <f t="shared" si="8"/>
        <v>7020</v>
      </c>
      <c r="AG54" s="70">
        <f t="shared" si="9"/>
        <v>1426350</v>
      </c>
      <c r="AH54" s="70">
        <f t="shared" si="26"/>
        <v>0</v>
      </c>
      <c r="AI54" s="587">
        <v>0</v>
      </c>
      <c r="AJ54" s="178">
        <f t="shared" si="11"/>
        <v>1426350</v>
      </c>
      <c r="AK54" s="301">
        <f t="shared" si="12"/>
        <v>59.604053391695174</v>
      </c>
      <c r="AL54" s="70">
        <f t="shared" si="13"/>
        <v>2456432</v>
      </c>
      <c r="AM54" s="179">
        <f t="shared" si="14"/>
        <v>102.64893194592391</v>
      </c>
      <c r="AN54" s="179"/>
      <c r="AO54" s="31">
        <f t="shared" si="15"/>
        <v>-13951.102623417974</v>
      </c>
      <c r="AP54" s="31">
        <f t="shared" si="16"/>
        <v>7020</v>
      </c>
      <c r="AQ54" s="31">
        <f t="shared" si="17"/>
        <v>55376.268347956007</v>
      </c>
      <c r="AR54" s="180">
        <f t="shared" si="18"/>
        <v>2.3140533916951753</v>
      </c>
      <c r="AS54" s="31">
        <f t="shared" si="25"/>
        <v>10226.67</v>
      </c>
      <c r="AU54" s="31">
        <f t="shared" si="19"/>
        <v>0</v>
      </c>
      <c r="AV54" s="177"/>
      <c r="AW54" s="31">
        <f t="shared" si="20"/>
        <v>30</v>
      </c>
    </row>
    <row r="55" spans="1:49">
      <c r="A55" s="102">
        <v>46</v>
      </c>
      <c r="B55" s="7" t="s">
        <v>1752</v>
      </c>
      <c r="C55" s="7">
        <v>1</v>
      </c>
      <c r="D55" s="62">
        <f t="shared" si="21"/>
        <v>73409265.273400009</v>
      </c>
      <c r="E55" s="172">
        <f t="shared" si="0"/>
        <v>12729627</v>
      </c>
      <c r="F55" s="62">
        <f t="shared" si="1"/>
        <v>75819883.374121532</v>
      </c>
      <c r="G55" s="70">
        <f t="shared" si="2"/>
        <v>62590117</v>
      </c>
      <c r="H55" s="62">
        <f t="shared" si="3"/>
        <v>13229766</v>
      </c>
      <c r="I55" s="173">
        <f t="shared" si="4"/>
        <v>500139</v>
      </c>
      <c r="J55" s="174">
        <f>ROUND(100-'Townwide Contributions'!K55,2)</f>
        <v>17.5</v>
      </c>
      <c r="K55" s="70">
        <f t="shared" si="22"/>
        <v>13268480</v>
      </c>
      <c r="L55" s="70">
        <f t="shared" si="23"/>
        <v>0</v>
      </c>
      <c r="M55" s="175">
        <f t="shared" si="24"/>
        <v>0</v>
      </c>
      <c r="N55" s="70"/>
      <c r="O55" s="70"/>
      <c r="P55" s="70"/>
      <c r="Q55" s="62">
        <v>7502</v>
      </c>
      <c r="R55" s="62">
        <f t="shared" si="5"/>
        <v>7541</v>
      </c>
      <c r="S55" s="176"/>
      <c r="T55" s="176"/>
      <c r="U55" s="70"/>
      <c r="V55" s="70"/>
      <c r="W55" s="260"/>
      <c r="X55" s="62">
        <f t="shared" si="6"/>
        <v>1</v>
      </c>
      <c r="Y55" s="70"/>
      <c r="AA55" s="290"/>
      <c r="AB55" s="291"/>
      <c r="AC55" s="62"/>
      <c r="AD55" s="62"/>
      <c r="AE55" s="177">
        <f t="shared" si="7"/>
        <v>226230</v>
      </c>
      <c r="AF55" s="177">
        <f t="shared" si="8"/>
        <v>0</v>
      </c>
      <c r="AG55" s="70">
        <f t="shared" si="9"/>
        <v>13229766</v>
      </c>
      <c r="AH55" s="70">
        <f t="shared" si="26"/>
        <v>0</v>
      </c>
      <c r="AI55" s="587">
        <v>0</v>
      </c>
      <c r="AJ55" s="178">
        <f t="shared" si="11"/>
        <v>13229766</v>
      </c>
      <c r="AK55" s="301">
        <f t="shared" si="12"/>
        <v>17.44894005536748</v>
      </c>
      <c r="AL55" s="70">
        <f t="shared" si="13"/>
        <v>75819883</v>
      </c>
      <c r="AM55" s="179">
        <f t="shared" si="14"/>
        <v>99.999999506565402</v>
      </c>
      <c r="AN55" s="179"/>
      <c r="AO55" s="31">
        <f t="shared" si="15"/>
        <v>2410618.1007215232</v>
      </c>
      <c r="AP55" s="31">
        <f t="shared" si="16"/>
        <v>500139</v>
      </c>
      <c r="AQ55" s="31">
        <f t="shared" si="17"/>
        <v>-38713.5904712677</v>
      </c>
      <c r="AR55" s="180">
        <f t="shared" si="18"/>
        <v>-5.1059944632520171E-2</v>
      </c>
      <c r="AS55" s="31">
        <f t="shared" si="25"/>
        <v>10054.35</v>
      </c>
      <c r="AU55" s="31">
        <f t="shared" si="19"/>
        <v>0</v>
      </c>
      <c r="AV55" s="177"/>
      <c r="AW55" s="31">
        <f t="shared" si="20"/>
        <v>66.322636255138576</v>
      </c>
    </row>
    <row r="56" spans="1:49">
      <c r="A56" s="102">
        <v>47</v>
      </c>
      <c r="B56" s="7" t="s">
        <v>1753</v>
      </c>
      <c r="C56" s="7">
        <v>0</v>
      </c>
      <c r="D56" s="62">
        <f t="shared" si="21"/>
        <v>0</v>
      </c>
      <c r="E56" s="172">
        <f t="shared" si="0"/>
        <v>0</v>
      </c>
      <c r="F56" s="62">
        <f t="shared" si="1"/>
        <v>13416.833343589547</v>
      </c>
      <c r="G56" s="70">
        <f t="shared" si="2"/>
        <v>8460</v>
      </c>
      <c r="H56" s="62">
        <f t="shared" si="3"/>
        <v>4957</v>
      </c>
      <c r="I56" s="173">
        <f t="shared" si="4"/>
        <v>4957</v>
      </c>
      <c r="J56" s="174">
        <f>ROUND(100-'Townwide Contributions'!K56,2)</f>
        <v>37.56</v>
      </c>
      <c r="K56" s="70">
        <f t="shared" si="22"/>
        <v>5039</v>
      </c>
      <c r="L56" s="70">
        <f t="shared" si="23"/>
        <v>0</v>
      </c>
      <c r="M56" s="175">
        <f t="shared" si="24"/>
        <v>0</v>
      </c>
      <c r="N56" s="70"/>
      <c r="O56" s="70"/>
      <c r="P56" s="70"/>
      <c r="Q56" s="62">
        <v>0</v>
      </c>
      <c r="R56" s="62">
        <f t="shared" si="5"/>
        <v>1</v>
      </c>
      <c r="S56" s="176"/>
      <c r="T56" s="176"/>
      <c r="U56" s="70"/>
      <c r="V56" s="70"/>
      <c r="W56" s="260"/>
      <c r="X56" s="62">
        <f t="shared" si="6"/>
        <v>0</v>
      </c>
      <c r="Y56" s="70"/>
      <c r="AA56" s="290"/>
      <c r="AB56" s="291"/>
      <c r="AC56" s="62"/>
      <c r="AD56" s="62"/>
      <c r="AE56" s="177">
        <f t="shared" si="7"/>
        <v>0</v>
      </c>
      <c r="AF56" s="177">
        <f t="shared" si="8"/>
        <v>0</v>
      </c>
      <c r="AG56" s="70">
        <f t="shared" si="9"/>
        <v>4957</v>
      </c>
      <c r="AH56" s="70">
        <f t="shared" si="26"/>
        <v>0</v>
      </c>
      <c r="AI56" s="587">
        <v>0</v>
      </c>
      <c r="AJ56" s="178">
        <f t="shared" si="11"/>
        <v>4957</v>
      </c>
      <c r="AK56" s="301">
        <f t="shared" si="12"/>
        <v>0</v>
      </c>
      <c r="AL56" s="70">
        <f t="shared" si="13"/>
        <v>13417</v>
      </c>
      <c r="AM56" s="179">
        <f t="shared" si="14"/>
        <v>100.0012421441497</v>
      </c>
      <c r="AN56" s="179"/>
      <c r="AO56" s="31">
        <f t="shared" si="15"/>
        <v>13416.833343589547</v>
      </c>
      <c r="AP56" s="31">
        <f t="shared" si="16"/>
        <v>4957</v>
      </c>
      <c r="AQ56" s="31">
        <f t="shared" si="17"/>
        <v>-82.362603852234315</v>
      </c>
      <c r="AR56" s="180" t="str">
        <f t="shared" si="18"/>
        <v/>
      </c>
      <c r="AS56" s="31">
        <f t="shared" si="25"/>
        <v>13416.83</v>
      </c>
      <c r="AU56" s="31">
        <f t="shared" si="19"/>
        <v>0</v>
      </c>
      <c r="AV56" s="177"/>
      <c r="AW56" s="31">
        <f t="shared" si="20"/>
        <v>4957</v>
      </c>
    </row>
    <row r="57" spans="1:49">
      <c r="A57" s="102">
        <v>48</v>
      </c>
      <c r="B57" s="7" t="s">
        <v>1754</v>
      </c>
      <c r="C57" s="7">
        <v>1</v>
      </c>
      <c r="D57" s="62">
        <f t="shared" si="21"/>
        <v>34371376.749679998</v>
      </c>
      <c r="E57" s="172">
        <f t="shared" si="0"/>
        <v>5961486.2333384063</v>
      </c>
      <c r="F57" s="62">
        <f t="shared" si="1"/>
        <v>35700016.024699226</v>
      </c>
      <c r="G57" s="70">
        <f t="shared" si="2"/>
        <v>29571420</v>
      </c>
      <c r="H57" s="62">
        <f t="shared" si="3"/>
        <v>6128596</v>
      </c>
      <c r="I57" s="173">
        <f t="shared" si="4"/>
        <v>167109.76666159369</v>
      </c>
      <c r="J57" s="174">
        <f>ROUND(100-'Townwide Contributions'!K57,2)</f>
        <v>17.5</v>
      </c>
      <c r="K57" s="70">
        <f t="shared" si="22"/>
        <v>6247503</v>
      </c>
      <c r="L57" s="70">
        <f t="shared" si="23"/>
        <v>0</v>
      </c>
      <c r="M57" s="175">
        <f t="shared" si="24"/>
        <v>0</v>
      </c>
      <c r="N57" s="70"/>
      <c r="O57" s="70"/>
      <c r="P57" s="70"/>
      <c r="Q57" s="62">
        <v>3458</v>
      </c>
      <c r="R57" s="62">
        <f t="shared" si="5"/>
        <v>3495</v>
      </c>
      <c r="S57" s="176"/>
      <c r="T57" s="176"/>
      <c r="U57" s="70"/>
      <c r="V57" s="70"/>
      <c r="W57" s="260"/>
      <c r="X57" s="62">
        <f t="shared" si="6"/>
        <v>1</v>
      </c>
      <c r="Y57" s="70"/>
      <c r="AA57" s="290"/>
      <c r="AB57" s="291"/>
      <c r="AC57" s="62"/>
      <c r="AD57" s="62"/>
      <c r="AE57" s="177">
        <f t="shared" si="7"/>
        <v>104850</v>
      </c>
      <c r="AF57" s="177">
        <f t="shared" si="8"/>
        <v>0</v>
      </c>
      <c r="AG57" s="70">
        <f t="shared" si="9"/>
        <v>6128596</v>
      </c>
      <c r="AH57" s="70">
        <f t="shared" si="26"/>
        <v>0</v>
      </c>
      <c r="AI57" s="587">
        <v>0</v>
      </c>
      <c r="AJ57" s="178">
        <f t="shared" si="11"/>
        <v>6128596</v>
      </c>
      <c r="AK57" s="301">
        <f t="shared" si="12"/>
        <v>17.166927868491435</v>
      </c>
      <c r="AL57" s="70">
        <f t="shared" si="13"/>
        <v>35700016</v>
      </c>
      <c r="AM57" s="179">
        <f t="shared" si="14"/>
        <v>99.999999930814525</v>
      </c>
      <c r="AN57" s="179"/>
      <c r="AO57" s="31">
        <f t="shared" si="15"/>
        <v>1328639.2750192285</v>
      </c>
      <c r="AP57" s="31">
        <f t="shared" si="16"/>
        <v>167109.76666159369</v>
      </c>
      <c r="AQ57" s="31">
        <f t="shared" si="17"/>
        <v>-118906.80432236381</v>
      </c>
      <c r="AR57" s="180">
        <f t="shared" si="18"/>
        <v>-0.33307213150856541</v>
      </c>
      <c r="AS57" s="31">
        <f t="shared" si="25"/>
        <v>10214.6</v>
      </c>
      <c r="AU57" s="31">
        <f t="shared" si="19"/>
        <v>0</v>
      </c>
      <c r="AV57" s="177"/>
      <c r="AW57" s="31">
        <f t="shared" si="20"/>
        <v>47.8139532651198</v>
      </c>
    </row>
    <row r="58" spans="1:49">
      <c r="A58" s="102">
        <v>49</v>
      </c>
      <c r="B58" s="7" t="s">
        <v>1755</v>
      </c>
      <c r="C58" s="7">
        <v>1</v>
      </c>
      <c r="D58" s="62">
        <f t="shared" si="21"/>
        <v>80655732.60428001</v>
      </c>
      <c r="E58" s="172">
        <f t="shared" si="0"/>
        <v>13287462</v>
      </c>
      <c r="F58" s="62">
        <f t="shared" si="1"/>
        <v>84055799.773383468</v>
      </c>
      <c r="G58" s="70">
        <f t="shared" si="2"/>
        <v>69688258</v>
      </c>
      <c r="H58" s="62">
        <f t="shared" si="3"/>
        <v>14367542</v>
      </c>
      <c r="I58" s="173">
        <f t="shared" si="4"/>
        <v>1080080</v>
      </c>
      <c r="J58" s="174">
        <f>ROUND(100-'Townwide Contributions'!K58,2)</f>
        <v>17.5</v>
      </c>
      <c r="K58" s="70">
        <f t="shared" si="22"/>
        <v>14709765</v>
      </c>
      <c r="L58" s="70">
        <f t="shared" si="23"/>
        <v>0</v>
      </c>
      <c r="M58" s="175">
        <f t="shared" si="24"/>
        <v>0</v>
      </c>
      <c r="N58" s="70"/>
      <c r="O58" s="70"/>
      <c r="P58" s="70"/>
      <c r="Q58" s="62">
        <v>7009</v>
      </c>
      <c r="R58" s="62">
        <f t="shared" si="5"/>
        <v>7159</v>
      </c>
      <c r="S58" s="176"/>
      <c r="T58" s="176"/>
      <c r="U58" s="70"/>
      <c r="V58" s="70"/>
      <c r="W58" s="260"/>
      <c r="X58" s="62">
        <f t="shared" si="6"/>
        <v>1</v>
      </c>
      <c r="Y58" s="70"/>
      <c r="AA58" s="290"/>
      <c r="AB58" s="291"/>
      <c r="AC58" s="62"/>
      <c r="AD58" s="62"/>
      <c r="AE58" s="177">
        <f t="shared" si="7"/>
        <v>214770</v>
      </c>
      <c r="AF58" s="177">
        <f t="shared" si="8"/>
        <v>0</v>
      </c>
      <c r="AG58" s="70">
        <f t="shared" si="9"/>
        <v>14367542</v>
      </c>
      <c r="AH58" s="70">
        <f t="shared" si="26"/>
        <v>0</v>
      </c>
      <c r="AI58" s="587">
        <v>107112</v>
      </c>
      <c r="AJ58" s="178">
        <f t="shared" si="11"/>
        <v>14474654</v>
      </c>
      <c r="AK58" s="301">
        <f t="shared" si="12"/>
        <v>17.220291804996236</v>
      </c>
      <c r="AL58" s="70">
        <f t="shared" si="13"/>
        <v>84162912</v>
      </c>
      <c r="AM58" s="179">
        <f t="shared" si="14"/>
        <v>100.12742990597354</v>
      </c>
      <c r="AN58" s="179"/>
      <c r="AO58" s="31">
        <f t="shared" si="15"/>
        <v>3400067.1691034585</v>
      </c>
      <c r="AP58" s="31">
        <f t="shared" si="16"/>
        <v>1187192</v>
      </c>
      <c r="AQ58" s="31">
        <f t="shared" si="17"/>
        <v>-235110.96034210548</v>
      </c>
      <c r="AR58" s="180">
        <f t="shared" si="18"/>
        <v>-0.27970819500376365</v>
      </c>
      <c r="AS58" s="31">
        <f t="shared" si="25"/>
        <v>11741.28</v>
      </c>
      <c r="AU58" s="31">
        <f t="shared" si="19"/>
        <v>0</v>
      </c>
      <c r="AV58" s="177"/>
      <c r="AW58" s="31">
        <f t="shared" si="20"/>
        <v>165.83209945523117</v>
      </c>
    </row>
    <row r="59" spans="1:49">
      <c r="A59" s="102">
        <v>50</v>
      </c>
      <c r="B59" s="7" t="s">
        <v>1756</v>
      </c>
      <c r="C59" s="7">
        <v>1</v>
      </c>
      <c r="D59" s="62">
        <f t="shared" si="21"/>
        <v>31711055.289259996</v>
      </c>
      <c r="E59" s="172">
        <f t="shared" si="0"/>
        <v>5320092</v>
      </c>
      <c r="F59" s="62">
        <f t="shared" si="1"/>
        <v>33816147.853070647</v>
      </c>
      <c r="G59" s="70">
        <f t="shared" si="2"/>
        <v>27788653</v>
      </c>
      <c r="H59" s="62">
        <f t="shared" si="3"/>
        <v>6027495</v>
      </c>
      <c r="I59" s="173">
        <f t="shared" si="4"/>
        <v>707403</v>
      </c>
      <c r="J59" s="174">
        <f>ROUND(100-'Townwide Contributions'!K59,2)</f>
        <v>17.5</v>
      </c>
      <c r="K59" s="70">
        <f t="shared" si="22"/>
        <v>5917826</v>
      </c>
      <c r="L59" s="70">
        <f t="shared" si="23"/>
        <v>0</v>
      </c>
      <c r="M59" s="175">
        <f t="shared" si="24"/>
        <v>0</v>
      </c>
      <c r="N59" s="70"/>
      <c r="O59" s="70"/>
      <c r="P59" s="70"/>
      <c r="Q59" s="62">
        <v>3219</v>
      </c>
      <c r="R59" s="62">
        <f t="shared" si="5"/>
        <v>3340</v>
      </c>
      <c r="S59" s="176"/>
      <c r="T59" s="176"/>
      <c r="U59" s="70"/>
      <c r="V59" s="70"/>
      <c r="W59" s="260"/>
      <c r="X59" s="62">
        <f t="shared" si="6"/>
        <v>1</v>
      </c>
      <c r="Y59" s="70"/>
      <c r="AA59" s="290"/>
      <c r="AB59" s="291"/>
      <c r="AC59" s="62"/>
      <c r="AD59" s="62"/>
      <c r="AE59" s="177">
        <f t="shared" si="7"/>
        <v>100200</v>
      </c>
      <c r="AF59" s="177">
        <f t="shared" si="8"/>
        <v>0</v>
      </c>
      <c r="AG59" s="70">
        <f t="shared" si="9"/>
        <v>6027495</v>
      </c>
      <c r="AH59" s="70">
        <f t="shared" si="26"/>
        <v>0</v>
      </c>
      <c r="AI59" s="587">
        <v>0</v>
      </c>
      <c r="AJ59" s="178">
        <f t="shared" si="11"/>
        <v>6027495</v>
      </c>
      <c r="AK59" s="301">
        <f t="shared" si="12"/>
        <v>17.824309930832875</v>
      </c>
      <c r="AL59" s="70">
        <f t="shared" si="13"/>
        <v>33816148</v>
      </c>
      <c r="AM59" s="179">
        <f t="shared" si="14"/>
        <v>100.00000043449465</v>
      </c>
      <c r="AN59" s="179"/>
      <c r="AO59" s="31">
        <f t="shared" si="15"/>
        <v>2105092.5638106503</v>
      </c>
      <c r="AP59" s="31">
        <f t="shared" si="16"/>
        <v>707403</v>
      </c>
      <c r="AQ59" s="31">
        <f t="shared" si="17"/>
        <v>109669.12571263686</v>
      </c>
      <c r="AR59" s="180">
        <f t="shared" si="18"/>
        <v>0.32430993083287518</v>
      </c>
      <c r="AS59" s="31">
        <f t="shared" si="25"/>
        <v>10124.6</v>
      </c>
      <c r="AU59" s="31">
        <f t="shared" si="19"/>
        <v>0</v>
      </c>
      <c r="AV59" s="177"/>
      <c r="AW59" s="31">
        <f t="shared" si="20"/>
        <v>211.79730538922155</v>
      </c>
    </row>
    <row r="60" spans="1:49">
      <c r="A60" s="102">
        <v>51</v>
      </c>
      <c r="B60" s="7" t="s">
        <v>1757</v>
      </c>
      <c r="C60" s="7">
        <v>1</v>
      </c>
      <c r="D60" s="62">
        <f t="shared" si="21"/>
        <v>5096190.4877600009</v>
      </c>
      <c r="E60" s="172">
        <f t="shared" si="0"/>
        <v>914282.09694868699</v>
      </c>
      <c r="F60" s="62">
        <f t="shared" si="1"/>
        <v>5148187.6529762335</v>
      </c>
      <c r="G60" s="70">
        <f t="shared" si="2"/>
        <v>4284734</v>
      </c>
      <c r="H60" s="62">
        <f t="shared" si="3"/>
        <v>863454</v>
      </c>
      <c r="I60" s="173">
        <f t="shared" si="4"/>
        <v>0</v>
      </c>
      <c r="J60" s="174">
        <f>ROUND(100-'Townwide Contributions'!K60,2)</f>
        <v>17.5</v>
      </c>
      <c r="K60" s="70">
        <f t="shared" si="22"/>
        <v>900933</v>
      </c>
      <c r="L60" s="70">
        <f t="shared" si="23"/>
        <v>0</v>
      </c>
      <c r="M60" s="175">
        <f t="shared" si="24"/>
        <v>0</v>
      </c>
      <c r="N60" s="70"/>
      <c r="O60" s="70"/>
      <c r="P60" s="70"/>
      <c r="Q60" s="62">
        <v>577</v>
      </c>
      <c r="R60" s="62">
        <f t="shared" si="5"/>
        <v>563</v>
      </c>
      <c r="S60" s="176"/>
      <c r="T60" s="176"/>
      <c r="U60" s="70"/>
      <c r="V60" s="70"/>
      <c r="W60" s="260"/>
      <c r="X60" s="62">
        <f t="shared" si="6"/>
        <v>0</v>
      </c>
      <c r="Y60" s="70"/>
      <c r="AA60" s="290"/>
      <c r="AB60" s="291"/>
      <c r="AC60" s="62"/>
      <c r="AD60" s="62"/>
      <c r="AE60" s="177">
        <f t="shared" si="7"/>
        <v>16890</v>
      </c>
      <c r="AF60" s="177">
        <f t="shared" si="8"/>
        <v>16890</v>
      </c>
      <c r="AG60" s="70">
        <f t="shared" si="9"/>
        <v>931172.09694868699</v>
      </c>
      <c r="AH60" s="70">
        <f t="shared" si="26"/>
        <v>0</v>
      </c>
      <c r="AI60" s="587">
        <v>0</v>
      </c>
      <c r="AJ60" s="178">
        <f t="shared" si="11"/>
        <v>931172.09694868699</v>
      </c>
      <c r="AK60" s="301">
        <f t="shared" si="12"/>
        <v>18.087376756951826</v>
      </c>
      <c r="AL60" s="70">
        <f t="shared" si="13"/>
        <v>5215906.096948687</v>
      </c>
      <c r="AM60" s="179">
        <f t="shared" si="14"/>
        <v>101.31538414170478</v>
      </c>
      <c r="AN60" s="179"/>
      <c r="AO60" s="31">
        <f t="shared" si="15"/>
        <v>51997.16521623265</v>
      </c>
      <c r="AP60" s="31">
        <f t="shared" si="16"/>
        <v>16890</v>
      </c>
      <c r="AQ60" s="31">
        <f t="shared" si="17"/>
        <v>30239.257677846123</v>
      </c>
      <c r="AR60" s="180">
        <f t="shared" si="18"/>
        <v>0.58737675695182645</v>
      </c>
      <c r="AS60" s="31">
        <f t="shared" si="25"/>
        <v>9144.2099999999991</v>
      </c>
      <c r="AU60" s="31">
        <f t="shared" si="19"/>
        <v>0</v>
      </c>
      <c r="AV60" s="177"/>
      <c r="AW60" s="31">
        <f t="shared" si="20"/>
        <v>30</v>
      </c>
    </row>
    <row r="61" spans="1:49">
      <c r="A61" s="102">
        <v>52</v>
      </c>
      <c r="B61" s="7" t="s">
        <v>1758</v>
      </c>
      <c r="C61" s="7">
        <v>1</v>
      </c>
      <c r="D61" s="62">
        <f t="shared" si="21"/>
        <v>16376740.850159999</v>
      </c>
      <c r="E61" s="172">
        <f t="shared" si="0"/>
        <v>9863519</v>
      </c>
      <c r="F61" s="62">
        <f t="shared" si="1"/>
        <v>16782096.605596974</v>
      </c>
      <c r="G61" s="70">
        <f t="shared" si="2"/>
        <v>8454008</v>
      </c>
      <c r="H61" s="62">
        <f t="shared" si="3"/>
        <v>8328089</v>
      </c>
      <c r="I61" s="173">
        <f t="shared" si="4"/>
        <v>0</v>
      </c>
      <c r="J61" s="174">
        <f>ROUND(100-'Townwide Contributions'!K61,2)</f>
        <v>49.93</v>
      </c>
      <c r="K61" s="70">
        <f t="shared" si="22"/>
        <v>8379301</v>
      </c>
      <c r="L61" s="70">
        <f t="shared" si="23"/>
        <v>0</v>
      </c>
      <c r="M61" s="175">
        <f t="shared" si="24"/>
        <v>0</v>
      </c>
      <c r="N61" s="70"/>
      <c r="O61" s="70"/>
      <c r="P61" s="70"/>
      <c r="Q61" s="62">
        <v>1651</v>
      </c>
      <c r="R61" s="62">
        <f t="shared" si="5"/>
        <v>1651</v>
      </c>
      <c r="S61" s="176"/>
      <c r="T61" s="176"/>
      <c r="U61" s="70"/>
      <c r="V61" s="70"/>
      <c r="W61" s="260"/>
      <c r="X61" s="62">
        <f t="shared" si="6"/>
        <v>0</v>
      </c>
      <c r="Y61" s="70"/>
      <c r="AA61" s="290"/>
      <c r="AB61" s="291"/>
      <c r="AC61" s="62"/>
      <c r="AD61" s="62"/>
      <c r="AE61" s="177">
        <f t="shared" si="7"/>
        <v>49530</v>
      </c>
      <c r="AF61" s="177">
        <f t="shared" si="8"/>
        <v>49530</v>
      </c>
      <c r="AG61" s="70">
        <f t="shared" si="9"/>
        <v>9913049</v>
      </c>
      <c r="AH61" s="70">
        <f t="shared" si="26"/>
        <v>0</v>
      </c>
      <c r="AI61" s="587">
        <v>0</v>
      </c>
      <c r="AJ61" s="178">
        <f t="shared" si="11"/>
        <v>9913049</v>
      </c>
      <c r="AK61" s="301">
        <f t="shared" si="12"/>
        <v>59.069192800939497</v>
      </c>
      <c r="AL61" s="70">
        <f t="shared" si="13"/>
        <v>18367057</v>
      </c>
      <c r="AM61" s="179">
        <f t="shared" si="14"/>
        <v>109.44435270307304</v>
      </c>
      <c r="AN61" s="179"/>
      <c r="AO61" s="31">
        <f t="shared" si="15"/>
        <v>405355.75543697551</v>
      </c>
      <c r="AP61" s="31">
        <f t="shared" si="16"/>
        <v>49530</v>
      </c>
      <c r="AQ61" s="31">
        <f t="shared" si="17"/>
        <v>1533748.1648254301</v>
      </c>
      <c r="AR61" s="180">
        <f t="shared" si="18"/>
        <v>9.1391928009394974</v>
      </c>
      <c r="AS61" s="31">
        <f t="shared" si="25"/>
        <v>10164.81</v>
      </c>
      <c r="AU61" s="31">
        <f t="shared" si="19"/>
        <v>0</v>
      </c>
      <c r="AV61" s="177"/>
      <c r="AW61" s="31">
        <f t="shared" si="20"/>
        <v>30</v>
      </c>
    </row>
    <row r="62" spans="1:49">
      <c r="A62" s="102">
        <v>53</v>
      </c>
      <c r="B62" s="7" t="s">
        <v>1759</v>
      </c>
      <c r="C62" s="7">
        <v>0</v>
      </c>
      <c r="D62" s="62">
        <f t="shared" si="21"/>
        <v>118538.28</v>
      </c>
      <c r="E62" s="172">
        <f t="shared" si="0"/>
        <v>61250.35</v>
      </c>
      <c r="F62" s="62">
        <f t="shared" si="1"/>
        <v>186633.68266747385</v>
      </c>
      <c r="G62" s="70">
        <f t="shared" si="2"/>
        <v>94583</v>
      </c>
      <c r="H62" s="62">
        <f t="shared" si="3"/>
        <v>92051</v>
      </c>
      <c r="I62" s="173">
        <f t="shared" si="4"/>
        <v>30800.65</v>
      </c>
      <c r="J62" s="174">
        <f>ROUND(100-'Townwide Contributions'!K62,2)</f>
        <v>49.76</v>
      </c>
      <c r="K62" s="70">
        <f t="shared" si="22"/>
        <v>92869</v>
      </c>
      <c r="L62" s="70">
        <f t="shared" si="23"/>
        <v>0</v>
      </c>
      <c r="M62" s="175">
        <f t="shared" si="24"/>
        <v>0</v>
      </c>
      <c r="N62" s="70"/>
      <c r="O62" s="70"/>
      <c r="P62" s="70"/>
      <c r="Q62" s="62">
        <v>9</v>
      </c>
      <c r="R62" s="62">
        <f t="shared" si="5"/>
        <v>12</v>
      </c>
      <c r="S62" s="176"/>
      <c r="T62" s="176"/>
      <c r="U62" s="70"/>
      <c r="V62" s="70"/>
      <c r="W62" s="260"/>
      <c r="X62" s="62">
        <f t="shared" si="6"/>
        <v>0</v>
      </c>
      <c r="Y62" s="70"/>
      <c r="AA62" s="290"/>
      <c r="AB62" s="291"/>
      <c r="AC62" s="62"/>
      <c r="AD62" s="62"/>
      <c r="AE62" s="177">
        <f t="shared" si="7"/>
        <v>0</v>
      </c>
      <c r="AF62" s="177">
        <f t="shared" si="8"/>
        <v>0</v>
      </c>
      <c r="AG62" s="70">
        <f t="shared" si="9"/>
        <v>92051</v>
      </c>
      <c r="AH62" s="70">
        <f t="shared" si="26"/>
        <v>0</v>
      </c>
      <c r="AI62" s="587">
        <v>0</v>
      </c>
      <c r="AJ62" s="178">
        <f t="shared" si="11"/>
        <v>92051</v>
      </c>
      <c r="AK62" s="301">
        <f t="shared" si="12"/>
        <v>0</v>
      </c>
      <c r="AL62" s="70">
        <f t="shared" si="13"/>
        <v>186634</v>
      </c>
      <c r="AM62" s="179">
        <f t="shared" si="14"/>
        <v>100.00017002961181</v>
      </c>
      <c r="AN62" s="179"/>
      <c r="AO62" s="31">
        <f t="shared" si="15"/>
        <v>68095.402667473856</v>
      </c>
      <c r="AP62" s="31">
        <f t="shared" si="16"/>
        <v>30800.65</v>
      </c>
      <c r="AQ62" s="31">
        <f t="shared" si="17"/>
        <v>-817.92049533498357</v>
      </c>
      <c r="AR62" s="180" t="str">
        <f t="shared" si="18"/>
        <v/>
      </c>
      <c r="AS62" s="31">
        <f t="shared" si="25"/>
        <v>15552.81</v>
      </c>
      <c r="AU62" s="31">
        <f t="shared" si="19"/>
        <v>0</v>
      </c>
      <c r="AV62" s="177"/>
      <c r="AW62" s="31">
        <f t="shared" si="20"/>
        <v>2566.7208333333333</v>
      </c>
    </row>
    <row r="63" spans="1:49">
      <c r="A63" s="102">
        <v>54</v>
      </c>
      <c r="B63" s="7" t="s">
        <v>1760</v>
      </c>
      <c r="C63" s="7">
        <v>0</v>
      </c>
      <c r="D63" s="62">
        <f t="shared" si="21"/>
        <v>26341.840000000004</v>
      </c>
      <c r="E63" s="172">
        <f t="shared" si="0"/>
        <v>21633</v>
      </c>
      <c r="F63" s="62">
        <f t="shared" si="1"/>
        <v>40250.500030768642</v>
      </c>
      <c r="G63" s="70">
        <f t="shared" si="2"/>
        <v>20853</v>
      </c>
      <c r="H63" s="62">
        <f t="shared" si="3"/>
        <v>19398</v>
      </c>
      <c r="I63" s="173">
        <f t="shared" si="4"/>
        <v>0</v>
      </c>
      <c r="J63" s="174">
        <f>ROUND(100-'Townwide Contributions'!K63,2)</f>
        <v>48.31</v>
      </c>
      <c r="K63" s="70">
        <f t="shared" si="22"/>
        <v>19445</v>
      </c>
      <c r="L63" s="70">
        <f t="shared" si="23"/>
        <v>0</v>
      </c>
      <c r="M63" s="175">
        <f t="shared" si="24"/>
        <v>0</v>
      </c>
      <c r="N63" s="70"/>
      <c r="O63" s="70"/>
      <c r="P63" s="70"/>
      <c r="Q63" s="62">
        <v>2</v>
      </c>
      <c r="R63" s="62">
        <f t="shared" si="5"/>
        <v>3</v>
      </c>
      <c r="S63" s="176"/>
      <c r="T63" s="176"/>
      <c r="U63" s="70"/>
      <c r="V63" s="70"/>
      <c r="W63" s="260"/>
      <c r="X63" s="62">
        <f t="shared" si="6"/>
        <v>0</v>
      </c>
      <c r="Y63" s="70"/>
      <c r="AA63" s="290"/>
      <c r="AB63" s="291"/>
      <c r="AC63" s="62"/>
      <c r="AD63" s="62"/>
      <c r="AE63" s="177">
        <f t="shared" si="7"/>
        <v>0</v>
      </c>
      <c r="AF63" s="177">
        <f t="shared" si="8"/>
        <v>0</v>
      </c>
      <c r="AG63" s="70">
        <f t="shared" si="9"/>
        <v>21633</v>
      </c>
      <c r="AH63" s="70">
        <f t="shared" si="26"/>
        <v>0</v>
      </c>
      <c r="AI63" s="587">
        <v>0</v>
      </c>
      <c r="AJ63" s="178">
        <f t="shared" si="11"/>
        <v>21633</v>
      </c>
      <c r="AK63" s="301">
        <f t="shared" si="12"/>
        <v>0</v>
      </c>
      <c r="AL63" s="70">
        <f t="shared" si="13"/>
        <v>42486</v>
      </c>
      <c r="AM63" s="179">
        <f t="shared" si="14"/>
        <v>105.55396819299754</v>
      </c>
      <c r="AN63" s="179"/>
      <c r="AO63" s="31">
        <f t="shared" si="15"/>
        <v>13908.660030768639</v>
      </c>
      <c r="AP63" s="31">
        <f t="shared" si="16"/>
        <v>0</v>
      </c>
      <c r="AQ63" s="31">
        <f t="shared" si="17"/>
        <v>2187.9834351356694</v>
      </c>
      <c r="AR63" s="180" t="str">
        <f t="shared" si="18"/>
        <v/>
      </c>
      <c r="AS63" s="31">
        <f t="shared" si="25"/>
        <v>13416.83</v>
      </c>
      <c r="AU63" s="31">
        <f t="shared" si="19"/>
        <v>0</v>
      </c>
      <c r="AV63" s="177"/>
      <c r="AW63" s="31">
        <f t="shared" si="20"/>
        <v>0</v>
      </c>
    </row>
    <row r="64" spans="1:49">
      <c r="A64" s="102">
        <v>55</v>
      </c>
      <c r="B64" s="7" t="s">
        <v>1761</v>
      </c>
      <c r="C64" s="7">
        <v>0</v>
      </c>
      <c r="D64" s="62">
        <f t="shared" si="21"/>
        <v>0</v>
      </c>
      <c r="E64" s="172">
        <f t="shared" si="0"/>
        <v>0</v>
      </c>
      <c r="F64" s="62">
        <f t="shared" si="1"/>
        <v>0</v>
      </c>
      <c r="G64" s="70">
        <f t="shared" si="2"/>
        <v>0</v>
      </c>
      <c r="H64" s="62">
        <f t="shared" si="3"/>
        <v>0</v>
      </c>
      <c r="I64" s="173">
        <f t="shared" si="4"/>
        <v>0</v>
      </c>
      <c r="J64" s="174">
        <f>ROUND(100-'Townwide Contributions'!K64,2)</f>
        <v>17.5</v>
      </c>
      <c r="K64" s="70">
        <f t="shared" si="22"/>
        <v>0</v>
      </c>
      <c r="L64" s="70">
        <f t="shared" si="23"/>
        <v>0</v>
      </c>
      <c r="M64" s="175">
        <f t="shared" si="24"/>
        <v>0</v>
      </c>
      <c r="N64" s="70"/>
      <c r="O64" s="70"/>
      <c r="P64" s="70"/>
      <c r="Q64" s="62">
        <v>0</v>
      </c>
      <c r="R64" s="62">
        <f t="shared" si="5"/>
        <v>0</v>
      </c>
      <c r="S64" s="176"/>
      <c r="T64" s="176"/>
      <c r="U64" s="70"/>
      <c r="V64" s="70"/>
      <c r="W64" s="260"/>
      <c r="X64" s="62">
        <f t="shared" si="6"/>
        <v>0</v>
      </c>
      <c r="Y64" s="70"/>
      <c r="AA64" s="290"/>
      <c r="AB64" s="291"/>
      <c r="AC64" s="62"/>
      <c r="AD64" s="62"/>
      <c r="AE64" s="177">
        <f t="shared" si="7"/>
        <v>0</v>
      </c>
      <c r="AF64" s="177">
        <f t="shared" si="8"/>
        <v>0</v>
      </c>
      <c r="AG64" s="70">
        <f t="shared" si="9"/>
        <v>0</v>
      </c>
      <c r="AH64" s="70">
        <f t="shared" si="26"/>
        <v>0</v>
      </c>
      <c r="AI64" s="587">
        <v>0</v>
      </c>
      <c r="AJ64" s="178">
        <f t="shared" si="11"/>
        <v>0</v>
      </c>
      <c r="AK64" s="301">
        <f t="shared" si="12"/>
        <v>0</v>
      </c>
      <c r="AL64" s="70">
        <f t="shared" si="13"/>
        <v>0</v>
      </c>
      <c r="AM64" s="179">
        <f t="shared" si="14"/>
        <v>0</v>
      </c>
      <c r="AN64" s="179"/>
      <c r="AO64" s="31">
        <f t="shared" si="15"/>
        <v>0</v>
      </c>
      <c r="AP64" s="31">
        <f t="shared" si="16"/>
        <v>0</v>
      </c>
      <c r="AQ64" s="31">
        <f t="shared" si="17"/>
        <v>0</v>
      </c>
      <c r="AR64" s="180" t="str">
        <f t="shared" si="18"/>
        <v/>
      </c>
      <c r="AS64" s="31">
        <f t="shared" si="25"/>
        <v>0</v>
      </c>
      <c r="AU64" s="31">
        <f t="shared" si="19"/>
        <v>0</v>
      </c>
      <c r="AV64" s="177"/>
      <c r="AW64" s="31">
        <f t="shared" si="20"/>
        <v>0</v>
      </c>
    </row>
    <row r="65" spans="1:49">
      <c r="A65" s="102">
        <v>56</v>
      </c>
      <c r="B65" s="7" t="s">
        <v>1762</v>
      </c>
      <c r="C65" s="7">
        <v>1</v>
      </c>
      <c r="D65" s="62">
        <f t="shared" si="21"/>
        <v>46800513.146480002</v>
      </c>
      <c r="E65" s="172">
        <f t="shared" si="0"/>
        <v>10746368</v>
      </c>
      <c r="F65" s="62">
        <f t="shared" si="1"/>
        <v>47405594.168949671</v>
      </c>
      <c r="G65" s="70">
        <f t="shared" si="2"/>
        <v>37968938</v>
      </c>
      <c r="H65" s="62">
        <f t="shared" si="3"/>
        <v>9436656</v>
      </c>
      <c r="I65" s="173">
        <f t="shared" si="4"/>
        <v>0</v>
      </c>
      <c r="J65" s="174">
        <f>ROUND(100-'Townwide Contributions'!K65,2)</f>
        <v>20.66</v>
      </c>
      <c r="K65" s="70">
        <f t="shared" si="22"/>
        <v>9793996</v>
      </c>
      <c r="L65" s="70">
        <f t="shared" si="23"/>
        <v>0</v>
      </c>
      <c r="M65" s="175">
        <f t="shared" si="24"/>
        <v>0</v>
      </c>
      <c r="N65" s="70"/>
      <c r="O65" s="70"/>
      <c r="P65" s="70"/>
      <c r="Q65" s="62">
        <v>4970</v>
      </c>
      <c r="R65" s="62">
        <f t="shared" si="5"/>
        <v>4932</v>
      </c>
      <c r="S65" s="176"/>
      <c r="T65" s="176"/>
      <c r="U65" s="70"/>
      <c r="V65" s="70"/>
      <c r="W65" s="260"/>
      <c r="X65" s="62">
        <f t="shared" si="6"/>
        <v>0</v>
      </c>
      <c r="Y65" s="70"/>
      <c r="AA65" s="290"/>
      <c r="AB65" s="291"/>
      <c r="AC65" s="62"/>
      <c r="AD65" s="62"/>
      <c r="AE65" s="177">
        <f t="shared" si="7"/>
        <v>147960</v>
      </c>
      <c r="AF65" s="177">
        <f t="shared" si="8"/>
        <v>147960</v>
      </c>
      <c r="AG65" s="70">
        <f t="shared" si="9"/>
        <v>10894328</v>
      </c>
      <c r="AH65" s="70">
        <f t="shared" si="26"/>
        <v>0</v>
      </c>
      <c r="AI65" s="587">
        <v>0</v>
      </c>
      <c r="AJ65" s="178">
        <f t="shared" si="11"/>
        <v>10894328</v>
      </c>
      <c r="AK65" s="301">
        <f t="shared" si="12"/>
        <v>22.981102106163892</v>
      </c>
      <c r="AL65" s="70">
        <f t="shared" si="13"/>
        <v>48863266</v>
      </c>
      <c r="AM65" s="179">
        <f t="shared" si="14"/>
        <v>103.07489412716842</v>
      </c>
      <c r="AN65" s="179"/>
      <c r="AO65" s="31">
        <f t="shared" si="15"/>
        <v>605081.02246966958</v>
      </c>
      <c r="AP65" s="31">
        <f t="shared" si="16"/>
        <v>147960</v>
      </c>
      <c r="AQ65" s="31">
        <f t="shared" si="17"/>
        <v>1100332.2446949985</v>
      </c>
      <c r="AR65" s="180">
        <f t="shared" si="18"/>
        <v>2.3211021061638917</v>
      </c>
      <c r="AS65" s="31">
        <f t="shared" si="25"/>
        <v>9611.84</v>
      </c>
      <c r="AU65" s="31">
        <f t="shared" si="19"/>
        <v>0</v>
      </c>
      <c r="AV65" s="177"/>
      <c r="AW65" s="31">
        <f t="shared" si="20"/>
        <v>30</v>
      </c>
    </row>
    <row r="66" spans="1:49">
      <c r="A66" s="102">
        <v>57</v>
      </c>
      <c r="B66" s="7" t="s">
        <v>1763</v>
      </c>
      <c r="C66" s="7">
        <v>1</v>
      </c>
      <c r="D66" s="62">
        <f t="shared" si="21"/>
        <v>83654803.231740028</v>
      </c>
      <c r="E66" s="172">
        <f t="shared" si="0"/>
        <v>71681078</v>
      </c>
      <c r="F66" s="62">
        <f t="shared" si="1"/>
        <v>87574481.054575801</v>
      </c>
      <c r="G66" s="70">
        <f t="shared" si="2"/>
        <v>16070465</v>
      </c>
      <c r="H66" s="62">
        <f t="shared" si="3"/>
        <v>71504016</v>
      </c>
      <c r="I66" s="173">
        <f t="shared" si="4"/>
        <v>0</v>
      </c>
      <c r="J66" s="174">
        <f>ROUND(100-'Townwide Contributions'!K66,2)</f>
        <v>79.260000000000005</v>
      </c>
      <c r="K66" s="70">
        <f t="shared" si="22"/>
        <v>69411534</v>
      </c>
      <c r="L66" s="70">
        <f t="shared" si="23"/>
        <v>0</v>
      </c>
      <c r="M66" s="175">
        <f t="shared" si="24"/>
        <v>0</v>
      </c>
      <c r="N66" s="70"/>
      <c r="O66" s="70"/>
      <c r="P66" s="70"/>
      <c r="Q66" s="62">
        <v>7038</v>
      </c>
      <c r="R66" s="62">
        <f t="shared" si="5"/>
        <v>7143</v>
      </c>
      <c r="S66" s="176"/>
      <c r="T66" s="176"/>
      <c r="U66" s="70"/>
      <c r="V66" s="70"/>
      <c r="W66" s="260"/>
      <c r="X66" s="62">
        <f t="shared" si="6"/>
        <v>0</v>
      </c>
      <c r="Y66" s="70"/>
      <c r="AA66" s="290"/>
      <c r="AB66" s="291"/>
      <c r="AC66" s="62"/>
      <c r="AD66" s="62"/>
      <c r="AE66" s="177">
        <f t="shared" si="7"/>
        <v>214290</v>
      </c>
      <c r="AF66" s="177">
        <f t="shared" si="8"/>
        <v>214290</v>
      </c>
      <c r="AG66" s="70">
        <f t="shared" si="9"/>
        <v>71895368</v>
      </c>
      <c r="AH66" s="70">
        <f t="shared" si="26"/>
        <v>0</v>
      </c>
      <c r="AI66" s="587">
        <v>1214292</v>
      </c>
      <c r="AJ66" s="178">
        <f t="shared" si="11"/>
        <v>73109660</v>
      </c>
      <c r="AK66" s="301">
        <f t="shared" si="12"/>
        <v>83.482835547079716</v>
      </c>
      <c r="AL66" s="70">
        <f t="shared" si="13"/>
        <v>89180125</v>
      </c>
      <c r="AM66" s="179">
        <f t="shared" si="14"/>
        <v>101.83346098782312</v>
      </c>
      <c r="AN66" s="179"/>
      <c r="AO66" s="31">
        <f t="shared" si="15"/>
        <v>3919677.8228357732</v>
      </c>
      <c r="AP66" s="31">
        <f t="shared" si="16"/>
        <v>1428582</v>
      </c>
      <c r="AQ66" s="31">
        <f t="shared" si="17"/>
        <v>3698126.3161432147</v>
      </c>
      <c r="AR66" s="180">
        <f t="shared" si="18"/>
        <v>4.2228355470797112</v>
      </c>
      <c r="AS66" s="31">
        <f t="shared" si="25"/>
        <v>12260.18</v>
      </c>
      <c r="AU66" s="31">
        <f t="shared" si="19"/>
        <v>0</v>
      </c>
      <c r="AV66" s="177"/>
      <c r="AW66" s="31">
        <f t="shared" si="20"/>
        <v>199.99748005039899</v>
      </c>
    </row>
    <row r="67" spans="1:49">
      <c r="A67" s="102">
        <v>58</v>
      </c>
      <c r="B67" s="7" t="s">
        <v>1764</v>
      </c>
      <c r="C67" s="7">
        <v>0</v>
      </c>
      <c r="D67" s="62">
        <f t="shared" si="21"/>
        <v>0</v>
      </c>
      <c r="E67" s="172">
        <f t="shared" si="0"/>
        <v>0</v>
      </c>
      <c r="F67" s="62">
        <f t="shared" si="1"/>
        <v>0</v>
      </c>
      <c r="G67" s="70">
        <f t="shared" si="2"/>
        <v>0</v>
      </c>
      <c r="H67" s="62">
        <f t="shared" si="3"/>
        <v>0</v>
      </c>
      <c r="I67" s="173">
        <f t="shared" si="4"/>
        <v>0</v>
      </c>
      <c r="J67" s="174">
        <f>ROUND(100-'Townwide Contributions'!K67,2)</f>
        <v>52.68</v>
      </c>
      <c r="K67" s="70">
        <f t="shared" si="22"/>
        <v>0</v>
      </c>
      <c r="L67" s="70">
        <f t="shared" si="23"/>
        <v>0</v>
      </c>
      <c r="M67" s="175">
        <f t="shared" si="24"/>
        <v>0</v>
      </c>
      <c r="N67" s="70"/>
      <c r="O67" s="70"/>
      <c r="P67" s="70"/>
      <c r="Q67" s="62">
        <v>0</v>
      </c>
      <c r="R67" s="62">
        <f t="shared" si="5"/>
        <v>0</v>
      </c>
      <c r="S67" s="176"/>
      <c r="T67" s="176"/>
      <c r="U67" s="70"/>
      <c r="V67" s="70"/>
      <c r="W67" s="260"/>
      <c r="X67" s="62">
        <f t="shared" si="6"/>
        <v>0</v>
      </c>
      <c r="Y67" s="70"/>
      <c r="AA67" s="290"/>
      <c r="AB67" s="291"/>
      <c r="AC67" s="62"/>
      <c r="AD67" s="62"/>
      <c r="AE67" s="177">
        <f t="shared" si="7"/>
        <v>0</v>
      </c>
      <c r="AF67" s="177">
        <f t="shared" si="8"/>
        <v>0</v>
      </c>
      <c r="AG67" s="70">
        <f t="shared" si="9"/>
        <v>0</v>
      </c>
      <c r="AH67" s="70">
        <f t="shared" si="26"/>
        <v>0</v>
      </c>
      <c r="AI67" s="587">
        <v>0</v>
      </c>
      <c r="AJ67" s="178">
        <f t="shared" si="11"/>
        <v>0</v>
      </c>
      <c r="AK67" s="301">
        <f t="shared" si="12"/>
        <v>0</v>
      </c>
      <c r="AL67" s="70">
        <f t="shared" si="13"/>
        <v>0</v>
      </c>
      <c r="AM67" s="179">
        <f t="shared" si="14"/>
        <v>0</v>
      </c>
      <c r="AN67" s="179"/>
      <c r="AO67" s="31">
        <f t="shared" si="15"/>
        <v>0</v>
      </c>
      <c r="AP67" s="31">
        <f t="shared" si="16"/>
        <v>0</v>
      </c>
      <c r="AQ67" s="31">
        <f t="shared" si="17"/>
        <v>0</v>
      </c>
      <c r="AR67" s="180" t="str">
        <f t="shared" si="18"/>
        <v/>
      </c>
      <c r="AS67" s="31">
        <f t="shared" si="25"/>
        <v>0</v>
      </c>
      <c r="AU67" s="31">
        <f t="shared" si="19"/>
        <v>0</v>
      </c>
      <c r="AV67" s="177"/>
      <c r="AW67" s="31">
        <f t="shared" si="20"/>
        <v>0</v>
      </c>
    </row>
    <row r="68" spans="1:49">
      <c r="A68" s="102">
        <v>59</v>
      </c>
      <c r="B68" s="7" t="s">
        <v>1765</v>
      </c>
      <c r="C68" s="7">
        <v>0</v>
      </c>
      <c r="D68" s="62">
        <f t="shared" si="21"/>
        <v>131709.20000000001</v>
      </c>
      <c r="E68" s="172">
        <f t="shared" si="0"/>
        <v>126262</v>
      </c>
      <c r="F68" s="62">
        <f t="shared" si="1"/>
        <v>93917.833405126818</v>
      </c>
      <c r="G68" s="70">
        <f t="shared" si="2"/>
        <v>48725</v>
      </c>
      <c r="H68" s="62">
        <f t="shared" si="3"/>
        <v>45193</v>
      </c>
      <c r="I68" s="173">
        <f t="shared" si="4"/>
        <v>0</v>
      </c>
      <c r="J68" s="174">
        <f>ROUND(100-'Townwide Contributions'!K68,2)</f>
        <v>48.84</v>
      </c>
      <c r="K68" s="70">
        <f t="shared" si="22"/>
        <v>45869</v>
      </c>
      <c r="L68" s="70">
        <f t="shared" si="23"/>
        <v>0</v>
      </c>
      <c r="M68" s="175">
        <f t="shared" si="24"/>
        <v>0</v>
      </c>
      <c r="N68" s="70"/>
      <c r="O68" s="70"/>
      <c r="P68" s="70"/>
      <c r="Q68" s="62">
        <v>10</v>
      </c>
      <c r="R68" s="62">
        <f t="shared" si="5"/>
        <v>7</v>
      </c>
      <c r="S68" s="176"/>
      <c r="T68" s="176"/>
      <c r="U68" s="70"/>
      <c r="V68" s="70"/>
      <c r="W68" s="260"/>
      <c r="X68" s="62">
        <f t="shared" si="6"/>
        <v>0</v>
      </c>
      <c r="Y68" s="70"/>
      <c r="AA68" s="290"/>
      <c r="AB68" s="291"/>
      <c r="AC68" s="62"/>
      <c r="AD68" s="62"/>
      <c r="AE68" s="177">
        <f t="shared" si="7"/>
        <v>0</v>
      </c>
      <c r="AF68" s="177">
        <f t="shared" si="8"/>
        <v>0</v>
      </c>
      <c r="AG68" s="70">
        <f t="shared" si="9"/>
        <v>126262</v>
      </c>
      <c r="AH68" s="70">
        <f t="shared" si="26"/>
        <v>32344.166594873182</v>
      </c>
      <c r="AI68" s="587">
        <v>0</v>
      </c>
      <c r="AJ68" s="178">
        <f t="shared" si="11"/>
        <v>93917.833405126818</v>
      </c>
      <c r="AK68" s="301">
        <f t="shared" si="12"/>
        <v>0</v>
      </c>
      <c r="AL68" s="70">
        <f t="shared" si="13"/>
        <v>142642.83340512682</v>
      </c>
      <c r="AM68" s="179">
        <f t="shared" si="14"/>
        <v>151.88045574882287</v>
      </c>
      <c r="AN68" s="179"/>
      <c r="AO68" s="31">
        <f t="shared" si="15"/>
        <v>-37791.366594873194</v>
      </c>
      <c r="AP68" s="31">
        <f t="shared" si="16"/>
        <v>-32344.166594873182</v>
      </c>
      <c r="AQ68" s="31">
        <f t="shared" si="17"/>
        <v>48048.363570062873</v>
      </c>
      <c r="AR68" s="180" t="str">
        <f t="shared" si="18"/>
        <v/>
      </c>
      <c r="AS68" s="31">
        <f t="shared" si="25"/>
        <v>13416.83</v>
      </c>
      <c r="AU68" s="31">
        <f t="shared" si="19"/>
        <v>0</v>
      </c>
      <c r="AV68" s="177"/>
      <c r="AW68" s="31">
        <f t="shared" si="20"/>
        <v>-4620.5952278390259</v>
      </c>
    </row>
    <row r="69" spans="1:49">
      <c r="A69" s="102">
        <v>60</v>
      </c>
      <c r="B69" s="7" t="s">
        <v>1766</v>
      </c>
      <c r="C69" s="7">
        <v>0</v>
      </c>
      <c r="D69" s="62">
        <f t="shared" si="21"/>
        <v>262353.24</v>
      </c>
      <c r="E69" s="172">
        <f t="shared" si="0"/>
        <v>133114</v>
      </c>
      <c r="F69" s="62">
        <f t="shared" si="1"/>
        <v>267134.68272901117</v>
      </c>
      <c r="G69" s="70">
        <f t="shared" si="2"/>
        <v>162099</v>
      </c>
      <c r="H69" s="62">
        <f t="shared" si="3"/>
        <v>105036</v>
      </c>
      <c r="I69" s="173">
        <f t="shared" si="4"/>
        <v>0</v>
      </c>
      <c r="J69" s="174">
        <f>ROUND(100-'Townwide Contributions'!K69,2)</f>
        <v>39.83</v>
      </c>
      <c r="K69" s="70">
        <f t="shared" si="22"/>
        <v>106400</v>
      </c>
      <c r="L69" s="70">
        <f t="shared" si="23"/>
        <v>0</v>
      </c>
      <c r="M69" s="175">
        <f t="shared" si="24"/>
        <v>0</v>
      </c>
      <c r="N69" s="70"/>
      <c r="O69" s="70"/>
      <c r="P69" s="70"/>
      <c r="Q69" s="62">
        <v>18</v>
      </c>
      <c r="R69" s="62">
        <f t="shared" si="5"/>
        <v>18</v>
      </c>
      <c r="S69" s="176"/>
      <c r="T69" s="176"/>
      <c r="U69" s="70"/>
      <c r="V69" s="70"/>
      <c r="W69" s="260"/>
      <c r="X69" s="62">
        <f t="shared" si="6"/>
        <v>0</v>
      </c>
      <c r="Y69" s="70"/>
      <c r="AA69" s="290"/>
      <c r="AB69" s="291"/>
      <c r="AC69" s="62"/>
      <c r="AD69" s="62"/>
      <c r="AE69" s="177">
        <f t="shared" si="7"/>
        <v>0</v>
      </c>
      <c r="AF69" s="177">
        <f t="shared" si="8"/>
        <v>0</v>
      </c>
      <c r="AG69" s="70">
        <f t="shared" si="9"/>
        <v>133114</v>
      </c>
      <c r="AH69" s="70">
        <f t="shared" si="26"/>
        <v>0</v>
      </c>
      <c r="AI69" s="587">
        <v>0</v>
      </c>
      <c r="AJ69" s="178">
        <f t="shared" si="11"/>
        <v>133114</v>
      </c>
      <c r="AK69" s="301">
        <f t="shared" si="12"/>
        <v>0</v>
      </c>
      <c r="AL69" s="70">
        <f t="shared" si="13"/>
        <v>295213</v>
      </c>
      <c r="AM69" s="179">
        <f t="shared" si="14"/>
        <v>110.51092167596683</v>
      </c>
      <c r="AN69" s="179"/>
      <c r="AO69" s="31">
        <f t="shared" si="15"/>
        <v>4781.442729011178</v>
      </c>
      <c r="AP69" s="31">
        <f t="shared" si="16"/>
        <v>0</v>
      </c>
      <c r="AQ69" s="31">
        <f t="shared" si="17"/>
        <v>26714.255869034852</v>
      </c>
      <c r="AR69" s="180" t="str">
        <f t="shared" si="18"/>
        <v/>
      </c>
      <c r="AS69" s="31">
        <f t="shared" si="25"/>
        <v>14840.82</v>
      </c>
      <c r="AU69" s="31">
        <f t="shared" si="19"/>
        <v>0</v>
      </c>
      <c r="AV69" s="177"/>
      <c r="AW69" s="31">
        <f t="shared" si="20"/>
        <v>0</v>
      </c>
    </row>
    <row r="70" spans="1:49">
      <c r="A70" s="102">
        <v>61</v>
      </c>
      <c r="B70" s="7" t="s">
        <v>1767</v>
      </c>
      <c r="C70" s="7">
        <v>1</v>
      </c>
      <c r="D70" s="62">
        <f t="shared" si="21"/>
        <v>89575524.349999979</v>
      </c>
      <c r="E70" s="172">
        <f t="shared" si="0"/>
        <v>59936745</v>
      </c>
      <c r="F70" s="62">
        <f t="shared" si="1"/>
        <v>91782958.022283211</v>
      </c>
      <c r="G70" s="70">
        <f t="shared" si="2"/>
        <v>29420367</v>
      </c>
      <c r="H70" s="62">
        <f t="shared" si="3"/>
        <v>62362591</v>
      </c>
      <c r="I70" s="173">
        <f t="shared" si="4"/>
        <v>2425846</v>
      </c>
      <c r="J70" s="174">
        <f>ROUND(100-'Townwide Contributions'!K70,2)</f>
        <v>68.290000000000006</v>
      </c>
      <c r="K70" s="70">
        <f t="shared" si="22"/>
        <v>62678582</v>
      </c>
      <c r="L70" s="70">
        <f t="shared" si="23"/>
        <v>0</v>
      </c>
      <c r="M70" s="175">
        <f t="shared" si="24"/>
        <v>0</v>
      </c>
      <c r="N70" s="70"/>
      <c r="O70" s="70"/>
      <c r="P70" s="70"/>
      <c r="Q70" s="62">
        <v>7724</v>
      </c>
      <c r="R70" s="62">
        <f t="shared" si="5"/>
        <v>7758</v>
      </c>
      <c r="S70" s="176"/>
      <c r="T70" s="176"/>
      <c r="U70" s="70"/>
      <c r="V70" s="70"/>
      <c r="W70" s="260"/>
      <c r="X70" s="62">
        <f t="shared" si="6"/>
        <v>1</v>
      </c>
      <c r="Y70" s="70"/>
      <c r="AA70" s="290"/>
      <c r="AB70" s="291"/>
      <c r="AC70" s="62"/>
      <c r="AD70" s="62"/>
      <c r="AE70" s="177">
        <f t="shared" si="7"/>
        <v>232740</v>
      </c>
      <c r="AF70" s="177">
        <f t="shared" si="8"/>
        <v>0</v>
      </c>
      <c r="AG70" s="70">
        <f t="shared" si="9"/>
        <v>62362591</v>
      </c>
      <c r="AH70" s="70">
        <f t="shared" si="26"/>
        <v>0</v>
      </c>
      <c r="AI70" s="587">
        <v>0</v>
      </c>
      <c r="AJ70" s="178">
        <f t="shared" si="11"/>
        <v>62362591</v>
      </c>
      <c r="AK70" s="301">
        <f t="shared" si="12"/>
        <v>67.945719274878357</v>
      </c>
      <c r="AL70" s="70">
        <f t="shared" si="13"/>
        <v>91782958</v>
      </c>
      <c r="AM70" s="179">
        <f t="shared" si="14"/>
        <v>99.999999975721849</v>
      </c>
      <c r="AN70" s="179"/>
      <c r="AO70" s="31">
        <f t="shared" si="15"/>
        <v>2207433.6722832322</v>
      </c>
      <c r="AP70" s="31">
        <f t="shared" si="16"/>
        <v>2425846</v>
      </c>
      <c r="AQ70" s="31">
        <f t="shared" si="17"/>
        <v>-315991.03341720998</v>
      </c>
      <c r="AR70" s="180">
        <f t="shared" si="18"/>
        <v>-0.34428072512164931</v>
      </c>
      <c r="AS70" s="31">
        <f t="shared" si="25"/>
        <v>11830.75</v>
      </c>
      <c r="AU70" s="31">
        <f t="shared" si="19"/>
        <v>0</v>
      </c>
      <c r="AV70" s="177"/>
      <c r="AW70" s="31">
        <f t="shared" si="20"/>
        <v>312.68961072441351</v>
      </c>
    </row>
    <row r="71" spans="1:49">
      <c r="A71" s="102">
        <v>62</v>
      </c>
      <c r="B71" s="7" t="s">
        <v>1768</v>
      </c>
      <c r="C71" s="7">
        <v>0</v>
      </c>
      <c r="D71" s="62">
        <f t="shared" si="21"/>
        <v>0</v>
      </c>
      <c r="E71" s="172">
        <f t="shared" si="0"/>
        <v>0</v>
      </c>
      <c r="F71" s="62">
        <f t="shared" si="1"/>
        <v>0</v>
      </c>
      <c r="G71" s="70">
        <f t="shared" si="2"/>
        <v>0</v>
      </c>
      <c r="H71" s="62">
        <f t="shared" si="3"/>
        <v>0</v>
      </c>
      <c r="I71" s="173">
        <f t="shared" si="4"/>
        <v>0</v>
      </c>
      <c r="J71" s="174">
        <f>ROUND(100-'Townwide Contributions'!K71,2)</f>
        <v>17.5</v>
      </c>
      <c r="K71" s="70">
        <f t="shared" si="22"/>
        <v>0</v>
      </c>
      <c r="L71" s="70">
        <f t="shared" si="23"/>
        <v>0</v>
      </c>
      <c r="M71" s="175">
        <f t="shared" si="24"/>
        <v>0</v>
      </c>
      <c r="N71" s="70"/>
      <c r="O71" s="70"/>
      <c r="P71" s="70"/>
      <c r="Q71" s="62">
        <v>0</v>
      </c>
      <c r="R71" s="62">
        <f t="shared" si="5"/>
        <v>0</v>
      </c>
      <c r="S71" s="176"/>
      <c r="T71" s="176"/>
      <c r="U71" s="70"/>
      <c r="V71" s="70"/>
      <c r="W71" s="260"/>
      <c r="X71" s="62">
        <f t="shared" si="6"/>
        <v>0</v>
      </c>
      <c r="Y71" s="70"/>
      <c r="AA71" s="290"/>
      <c r="AB71" s="291"/>
      <c r="AC71" s="62"/>
      <c r="AD71" s="62"/>
      <c r="AE71" s="177">
        <f t="shared" si="7"/>
        <v>0</v>
      </c>
      <c r="AF71" s="177">
        <f t="shared" si="8"/>
        <v>0</v>
      </c>
      <c r="AG71" s="70">
        <f t="shared" si="9"/>
        <v>0</v>
      </c>
      <c r="AH71" s="70">
        <f t="shared" si="26"/>
        <v>0</v>
      </c>
      <c r="AI71" s="587">
        <v>0</v>
      </c>
      <c r="AJ71" s="178">
        <f t="shared" si="11"/>
        <v>0</v>
      </c>
      <c r="AK71" s="301">
        <f t="shared" si="12"/>
        <v>0</v>
      </c>
      <c r="AL71" s="70">
        <f t="shared" si="13"/>
        <v>0</v>
      </c>
      <c r="AM71" s="179">
        <f t="shared" si="14"/>
        <v>0</v>
      </c>
      <c r="AN71" s="179"/>
      <c r="AO71" s="31">
        <f t="shared" si="15"/>
        <v>0</v>
      </c>
      <c r="AP71" s="31">
        <f t="shared" si="16"/>
        <v>0</v>
      </c>
      <c r="AQ71" s="31">
        <f t="shared" si="17"/>
        <v>0</v>
      </c>
      <c r="AR71" s="180" t="str">
        <f t="shared" si="18"/>
        <v/>
      </c>
      <c r="AS71" s="31">
        <f t="shared" si="25"/>
        <v>0</v>
      </c>
      <c r="AU71" s="31">
        <f t="shared" si="19"/>
        <v>0</v>
      </c>
      <c r="AV71" s="177"/>
      <c r="AW71" s="31">
        <f t="shared" si="20"/>
        <v>0</v>
      </c>
    </row>
    <row r="72" spans="1:49">
      <c r="A72" s="102">
        <v>63</v>
      </c>
      <c r="B72" s="7" t="s">
        <v>1769</v>
      </c>
      <c r="C72" s="7">
        <v>1</v>
      </c>
      <c r="D72" s="62">
        <f t="shared" si="21"/>
        <v>1783981.5799999998</v>
      </c>
      <c r="E72" s="172">
        <f t="shared" si="0"/>
        <v>1783225</v>
      </c>
      <c r="F72" s="62">
        <f t="shared" si="1"/>
        <v>1862062.3235625066</v>
      </c>
      <c r="G72" s="70">
        <f t="shared" si="2"/>
        <v>641854</v>
      </c>
      <c r="H72" s="62">
        <f t="shared" si="3"/>
        <v>1220208</v>
      </c>
      <c r="I72" s="173">
        <f t="shared" si="4"/>
        <v>0</v>
      </c>
      <c r="J72" s="174">
        <f>ROUND(100-'Townwide Contributions'!K72,2)</f>
        <v>65.37</v>
      </c>
      <c r="K72" s="70">
        <f t="shared" si="22"/>
        <v>1217230</v>
      </c>
      <c r="L72" s="70">
        <f t="shared" si="23"/>
        <v>0</v>
      </c>
      <c r="M72" s="175">
        <f t="shared" si="24"/>
        <v>0</v>
      </c>
      <c r="N72" s="70"/>
      <c r="O72" s="70"/>
      <c r="P72" s="70"/>
      <c r="Q72" s="62">
        <v>175</v>
      </c>
      <c r="R72" s="62">
        <f t="shared" si="5"/>
        <v>180</v>
      </c>
      <c r="S72" s="176"/>
      <c r="T72" s="176"/>
      <c r="U72" s="70"/>
      <c r="V72" s="70"/>
      <c r="W72" s="260"/>
      <c r="X72" s="62">
        <f t="shared" si="6"/>
        <v>0</v>
      </c>
      <c r="Y72" s="70"/>
      <c r="AA72" s="290"/>
      <c r="AB72" s="291"/>
      <c r="AC72" s="62"/>
      <c r="AD72" s="62"/>
      <c r="AE72" s="177">
        <f t="shared" si="7"/>
        <v>5400</v>
      </c>
      <c r="AF72" s="177">
        <f t="shared" si="8"/>
        <v>5400</v>
      </c>
      <c r="AG72" s="70">
        <f t="shared" si="9"/>
        <v>1788625</v>
      </c>
      <c r="AH72" s="70">
        <f t="shared" si="26"/>
        <v>0</v>
      </c>
      <c r="AI72" s="587">
        <v>0</v>
      </c>
      <c r="AJ72" s="178">
        <f t="shared" si="11"/>
        <v>1788625</v>
      </c>
      <c r="AK72" s="301">
        <f t="shared" si="12"/>
        <v>96.056129666916519</v>
      </c>
      <c r="AL72" s="70">
        <f t="shared" si="13"/>
        <v>2430479</v>
      </c>
      <c r="AM72" s="179">
        <f t="shared" si="14"/>
        <v>130.5261896578196</v>
      </c>
      <c r="AN72" s="179"/>
      <c r="AO72" s="31">
        <f t="shared" si="15"/>
        <v>78080.743562506745</v>
      </c>
      <c r="AP72" s="31">
        <f t="shared" si="16"/>
        <v>5400</v>
      </c>
      <c r="AQ72" s="31">
        <f t="shared" si="17"/>
        <v>571394.85908718943</v>
      </c>
      <c r="AR72" s="180">
        <f t="shared" si="18"/>
        <v>30.686129666916514</v>
      </c>
      <c r="AS72" s="31">
        <f t="shared" si="25"/>
        <v>10344.790000000001</v>
      </c>
      <c r="AU72" s="31">
        <f t="shared" si="19"/>
        <v>0</v>
      </c>
      <c r="AV72" s="177"/>
      <c r="AW72" s="31">
        <f t="shared" si="20"/>
        <v>30</v>
      </c>
    </row>
    <row r="73" spans="1:49">
      <c r="A73" s="102">
        <v>64</v>
      </c>
      <c r="B73" s="7" t="s">
        <v>1770</v>
      </c>
      <c r="C73" s="7">
        <v>1</v>
      </c>
      <c r="D73" s="62">
        <f t="shared" si="21"/>
        <v>21580495.630000003</v>
      </c>
      <c r="E73" s="172">
        <f t="shared" si="0"/>
        <v>12016981</v>
      </c>
      <c r="F73" s="62">
        <f t="shared" si="1"/>
        <v>21918110.246938307</v>
      </c>
      <c r="G73" s="70">
        <f t="shared" si="2"/>
        <v>9770470</v>
      </c>
      <c r="H73" s="62">
        <f t="shared" si="3"/>
        <v>12147640</v>
      </c>
      <c r="I73" s="173">
        <f t="shared" si="4"/>
        <v>130659</v>
      </c>
      <c r="J73" s="174">
        <f>ROUND(100-'Townwide Contributions'!K73,2)</f>
        <v>55.64</v>
      </c>
      <c r="K73" s="70">
        <f t="shared" si="22"/>
        <v>12195237</v>
      </c>
      <c r="L73" s="70">
        <f t="shared" si="23"/>
        <v>0</v>
      </c>
      <c r="M73" s="175">
        <f t="shared" si="24"/>
        <v>0</v>
      </c>
      <c r="N73" s="70"/>
      <c r="O73" s="70"/>
      <c r="P73" s="70"/>
      <c r="Q73" s="62">
        <v>2029</v>
      </c>
      <c r="R73" s="62">
        <f t="shared" si="5"/>
        <v>2026</v>
      </c>
      <c r="S73" s="176"/>
      <c r="T73" s="176"/>
      <c r="U73" s="70"/>
      <c r="V73" s="70"/>
      <c r="W73" s="260"/>
      <c r="X73" s="62">
        <f t="shared" si="6"/>
        <v>1</v>
      </c>
      <c r="Y73" s="70"/>
      <c r="AA73" s="290"/>
      <c r="AB73" s="291"/>
      <c r="AC73" s="62"/>
      <c r="AD73" s="62"/>
      <c r="AE73" s="177">
        <f t="shared" si="7"/>
        <v>60780</v>
      </c>
      <c r="AF73" s="177">
        <f t="shared" si="8"/>
        <v>0</v>
      </c>
      <c r="AG73" s="70">
        <f t="shared" si="9"/>
        <v>12147640</v>
      </c>
      <c r="AH73" s="70">
        <f t="shared" si="26"/>
        <v>0</v>
      </c>
      <c r="AI73" s="587">
        <v>62011</v>
      </c>
      <c r="AJ73" s="178">
        <f t="shared" si="11"/>
        <v>12209651</v>
      </c>
      <c r="AK73" s="301">
        <f t="shared" si="12"/>
        <v>55.705765061134962</v>
      </c>
      <c r="AL73" s="70">
        <f t="shared" si="13"/>
        <v>21980121</v>
      </c>
      <c r="AM73" s="179">
        <f t="shared" si="14"/>
        <v>100.28292016219946</v>
      </c>
      <c r="AN73" s="179"/>
      <c r="AO73" s="31">
        <f t="shared" si="15"/>
        <v>337614.61693830416</v>
      </c>
      <c r="AP73" s="31">
        <f t="shared" si="16"/>
        <v>192670</v>
      </c>
      <c r="AQ73" s="31">
        <f t="shared" si="17"/>
        <v>14414.458603525534</v>
      </c>
      <c r="AR73" s="180">
        <f t="shared" si="18"/>
        <v>6.5765061134960945E-2</v>
      </c>
      <c r="AS73" s="31">
        <f t="shared" si="25"/>
        <v>10818.42</v>
      </c>
      <c r="AU73" s="31">
        <f t="shared" si="19"/>
        <v>0</v>
      </c>
      <c r="AV73" s="177"/>
      <c r="AW73" s="31">
        <f t="shared" si="20"/>
        <v>95.098716683119449</v>
      </c>
    </row>
    <row r="74" spans="1:49">
      <c r="A74" s="102">
        <v>65</v>
      </c>
      <c r="B74" s="7" t="s">
        <v>1771</v>
      </c>
      <c r="C74" s="7">
        <v>1</v>
      </c>
      <c r="D74" s="62">
        <f t="shared" ref="D74:D137" si="27">VLOOKUP(A74, disthist, D$2, FALSE)</f>
        <v>14622821.151839999</v>
      </c>
      <c r="E74" s="172">
        <f t="shared" ref="E74:E137" si="28">VLOOKUP(A74, disthist, E$2, FALSE)*(1-$E$6)</f>
        <v>2499864</v>
      </c>
      <c r="F74" s="62">
        <f t="shared" ref="F74:F137" si="29">SUMIF(dist1755,A74,found1755)</f>
        <v>14375663.798876762</v>
      </c>
      <c r="G74" s="70">
        <f t="shared" ref="G74:G137" si="30">SUMIF(dist1755,A74,prelcont1755)</f>
        <v>11992671</v>
      </c>
      <c r="H74" s="62">
        <f t="shared" ref="H74:H137" si="31">ROUND(MAX(found-prelcont436,0),0)</f>
        <v>2382993</v>
      </c>
      <c r="I74" s="173">
        <f t="shared" ref="I74:I137" si="32">IF(foundaid&gt;priorc70,foundaid-priorc70,0)</f>
        <v>0</v>
      </c>
      <c r="J74" s="174">
        <f>ROUND(100-'Townwide Contributions'!K74,2)</f>
        <v>17.5</v>
      </c>
      <c r="K74" s="70">
        <f t="shared" ref="K74:K137" si="33">ROUND(J74/100*F74,0)</f>
        <v>2515741</v>
      </c>
      <c r="L74" s="70">
        <f t="shared" ref="L74:L137" si="34">ROUND(IF(K74&gt;priorc70,L$6*(K74-priorc70),0),0)</f>
        <v>0</v>
      </c>
      <c r="M74" s="175">
        <f t="shared" ref="M74:M137" si="35">IF(L74&gt;I74,L74-I74,0)</f>
        <v>0</v>
      </c>
      <c r="N74" s="70"/>
      <c r="O74" s="70"/>
      <c r="P74" s="70"/>
      <c r="Q74" s="62">
        <v>1586</v>
      </c>
      <c r="R74" s="62">
        <f t="shared" ref="R74:R137" si="36">SUMIF(dist1755,A74,enro1755)</f>
        <v>1525</v>
      </c>
      <c r="S74" s="176"/>
      <c r="T74" s="176"/>
      <c r="U74" s="70"/>
      <c r="V74" s="70"/>
      <c r="W74" s="260"/>
      <c r="X74" s="62">
        <f t="shared" ref="X74:X137" si="37">IF(AND(C74=1,I74&gt;0),1,0)</f>
        <v>0</v>
      </c>
      <c r="Y74" s="70"/>
      <c r="AA74" s="290"/>
      <c r="AB74" s="291"/>
      <c r="AC74" s="62"/>
      <c r="AD74" s="62"/>
      <c r="AE74" s="177">
        <f t="shared" ref="AE74:AE137" si="38">IF(nonop=1,enro*$AE$6,0)</f>
        <v>45750</v>
      </c>
      <c r="AF74" s="177">
        <f t="shared" ref="AF74:AF137" si="39">IF((foundinc+downaid)&lt;AE74,AE74-(foundinc+downaid),0)</f>
        <v>45750</v>
      </c>
      <c r="AG74" s="70">
        <f t="shared" ref="AG74:AG137" si="40">priorc70+foundinc+downaid+minaid</f>
        <v>2545614</v>
      </c>
      <c r="AH74" s="70">
        <f t="shared" ref="AH74:AH137" si="41">IF(AND(C74=0,AG74&gt;found),AG74-found,0)</f>
        <v>0</v>
      </c>
      <c r="AI74" s="587">
        <v>0</v>
      </c>
      <c r="AJ74" s="178">
        <f t="shared" ref="AJ74:AJ137" si="42">AG74+AI74-rednonop</f>
        <v>2545614</v>
      </c>
      <c r="AK74" s="301">
        <f t="shared" ref="AK74:AK137" si="43">IF(C74=1, AJ74/F74*100, 0)</f>
        <v>17.707801431742588</v>
      </c>
      <c r="AL74" s="70">
        <f t="shared" ref="AL74:AL137" si="44">prelcont436+chapter70</f>
        <v>14538285</v>
      </c>
      <c r="AM74" s="179">
        <f t="shared" ref="AM74:AM137" si="45">IF(found&gt;0,AL74*100/found,0)</f>
        <v>101.13122568389464</v>
      </c>
      <c r="AN74" s="179"/>
      <c r="AO74" s="31">
        <f t="shared" ref="AO74:AO137" si="46">F74-D74</f>
        <v>-247157.35296323709</v>
      </c>
      <c r="AP74" s="31">
        <f t="shared" ref="AP74:AP137" si="47">AJ74-E74</f>
        <v>45750</v>
      </c>
      <c r="AQ74" s="31">
        <f t="shared" ref="AQ74:AQ137" si="48">AJ74-((J74/100)*F74)</f>
        <v>29872.835196566768</v>
      </c>
      <c r="AR74" s="180">
        <f t="shared" ref="AR74:AR137" si="49">IF(C74=1, (AJ74/F74*100)-J74, "")</f>
        <v>0.20780143174258825</v>
      </c>
      <c r="AS74" s="31">
        <f t="shared" si="25"/>
        <v>9426.66</v>
      </c>
      <c r="AU74" s="31">
        <f t="shared" ref="AU74:AU137" si="50">VLOOKUP(A74, disthist, 37, FALSE)*$E$6</f>
        <v>0</v>
      </c>
      <c r="AV74" s="177"/>
      <c r="AW74" s="31">
        <f t="shared" ref="AW74:AW137" si="51">IFERROR(AP74/R74, 0)</f>
        <v>30</v>
      </c>
    </row>
    <row r="75" spans="1:49">
      <c r="A75" s="102">
        <v>66</v>
      </c>
      <c r="B75" s="7" t="s">
        <v>1772</v>
      </c>
      <c r="C75" s="7">
        <v>0</v>
      </c>
      <c r="D75" s="62">
        <f t="shared" si="27"/>
        <v>13170.920000000002</v>
      </c>
      <c r="E75" s="172">
        <f t="shared" si="28"/>
        <v>5395</v>
      </c>
      <c r="F75" s="62">
        <f t="shared" si="29"/>
        <v>13416.833343589547</v>
      </c>
      <c r="G75" s="70">
        <f t="shared" si="30"/>
        <v>7440</v>
      </c>
      <c r="H75" s="62">
        <f t="shared" si="31"/>
        <v>5977</v>
      </c>
      <c r="I75" s="173">
        <f t="shared" si="32"/>
        <v>582</v>
      </c>
      <c r="J75" s="174">
        <f>ROUND(100-'Townwide Contributions'!K75,2)</f>
        <v>45.4</v>
      </c>
      <c r="K75" s="70">
        <f t="shared" si="33"/>
        <v>6091</v>
      </c>
      <c r="L75" s="70">
        <f t="shared" si="34"/>
        <v>0</v>
      </c>
      <c r="M75" s="175">
        <f t="shared" si="35"/>
        <v>0</v>
      </c>
      <c r="N75" s="70"/>
      <c r="O75" s="70"/>
      <c r="P75" s="70"/>
      <c r="Q75" s="62">
        <v>1</v>
      </c>
      <c r="R75" s="62">
        <f t="shared" si="36"/>
        <v>1</v>
      </c>
      <c r="S75" s="176"/>
      <c r="T75" s="176"/>
      <c r="U75" s="70"/>
      <c r="V75" s="70"/>
      <c r="W75" s="260"/>
      <c r="X75" s="62">
        <f t="shared" si="37"/>
        <v>0</v>
      </c>
      <c r="Y75" s="70"/>
      <c r="AA75" s="290"/>
      <c r="AB75" s="291"/>
      <c r="AC75" s="62"/>
      <c r="AD75" s="62"/>
      <c r="AE75" s="177">
        <f t="shared" si="38"/>
        <v>0</v>
      </c>
      <c r="AF75" s="177">
        <f t="shared" si="39"/>
        <v>0</v>
      </c>
      <c r="AG75" s="70">
        <f t="shared" si="40"/>
        <v>5977</v>
      </c>
      <c r="AH75" s="70">
        <f t="shared" si="41"/>
        <v>0</v>
      </c>
      <c r="AI75" s="587">
        <v>0</v>
      </c>
      <c r="AJ75" s="178">
        <f t="shared" si="42"/>
        <v>5977</v>
      </c>
      <c r="AK75" s="301">
        <f t="shared" si="43"/>
        <v>0</v>
      </c>
      <c r="AL75" s="70">
        <f t="shared" si="44"/>
        <v>13417</v>
      </c>
      <c r="AM75" s="179">
        <f t="shared" si="45"/>
        <v>100.0012421441497</v>
      </c>
      <c r="AN75" s="179"/>
      <c r="AO75" s="31">
        <f t="shared" si="46"/>
        <v>245.91334358954555</v>
      </c>
      <c r="AP75" s="31">
        <f t="shared" si="47"/>
        <v>582</v>
      </c>
      <c r="AQ75" s="31">
        <f t="shared" si="48"/>
        <v>-114.24233798965361</v>
      </c>
      <c r="AR75" s="180" t="str">
        <f t="shared" si="49"/>
        <v/>
      </c>
      <c r="AS75" s="31">
        <f t="shared" ref="AS75:AS138" si="52">IFERROR(ROUND(F75/R75, 2), 0)</f>
        <v>13416.83</v>
      </c>
      <c r="AU75" s="31">
        <f t="shared" si="50"/>
        <v>0</v>
      </c>
      <c r="AV75" s="177"/>
      <c r="AW75" s="31">
        <f t="shared" si="51"/>
        <v>582</v>
      </c>
    </row>
    <row r="76" spans="1:49">
      <c r="A76" s="102">
        <v>67</v>
      </c>
      <c r="B76" s="7" t="s">
        <v>1773</v>
      </c>
      <c r="C76" s="7">
        <v>1</v>
      </c>
      <c r="D76" s="62">
        <f t="shared" si="27"/>
        <v>18255708.435599998</v>
      </c>
      <c r="E76" s="172">
        <f t="shared" si="28"/>
        <v>3030314</v>
      </c>
      <c r="F76" s="62">
        <f t="shared" si="29"/>
        <v>18805576.707899675</v>
      </c>
      <c r="G76" s="70">
        <f t="shared" si="30"/>
        <v>15575689</v>
      </c>
      <c r="H76" s="62">
        <f t="shared" si="31"/>
        <v>3229888</v>
      </c>
      <c r="I76" s="173">
        <f t="shared" si="32"/>
        <v>199574</v>
      </c>
      <c r="J76" s="174">
        <f>ROUND(100-'Townwide Contributions'!K76,2)</f>
        <v>17.5</v>
      </c>
      <c r="K76" s="70">
        <f t="shared" si="33"/>
        <v>3290976</v>
      </c>
      <c r="L76" s="70">
        <f t="shared" si="34"/>
        <v>0</v>
      </c>
      <c r="M76" s="175">
        <f t="shared" si="35"/>
        <v>0</v>
      </c>
      <c r="N76" s="70"/>
      <c r="O76" s="70"/>
      <c r="P76" s="70"/>
      <c r="Q76" s="62">
        <v>2011</v>
      </c>
      <c r="R76" s="62">
        <f t="shared" si="36"/>
        <v>2029</v>
      </c>
      <c r="S76" s="176"/>
      <c r="T76" s="176"/>
      <c r="U76" s="70"/>
      <c r="V76" s="70"/>
      <c r="W76" s="260"/>
      <c r="X76" s="62">
        <f t="shared" si="37"/>
        <v>1</v>
      </c>
      <c r="Y76" s="70"/>
      <c r="AA76" s="290"/>
      <c r="AB76" s="291"/>
      <c r="AC76" s="62"/>
      <c r="AD76" s="62"/>
      <c r="AE76" s="177">
        <f t="shared" si="38"/>
        <v>60870</v>
      </c>
      <c r="AF76" s="177">
        <f t="shared" si="39"/>
        <v>0</v>
      </c>
      <c r="AG76" s="70">
        <f t="shared" si="40"/>
        <v>3229888</v>
      </c>
      <c r="AH76" s="70">
        <f t="shared" si="41"/>
        <v>0</v>
      </c>
      <c r="AI76" s="587">
        <v>0</v>
      </c>
      <c r="AJ76" s="178">
        <f t="shared" si="42"/>
        <v>3229888</v>
      </c>
      <c r="AK76" s="301">
        <f t="shared" si="43"/>
        <v>17.175160592885291</v>
      </c>
      <c r="AL76" s="70">
        <f t="shared" si="44"/>
        <v>18805577</v>
      </c>
      <c r="AM76" s="179">
        <f t="shared" si="45"/>
        <v>100.00000155326438</v>
      </c>
      <c r="AN76" s="179"/>
      <c r="AO76" s="31">
        <f t="shared" si="46"/>
        <v>549868.27229967713</v>
      </c>
      <c r="AP76" s="31">
        <f t="shared" si="47"/>
        <v>199574</v>
      </c>
      <c r="AQ76" s="31">
        <f t="shared" si="48"/>
        <v>-61087.923882442992</v>
      </c>
      <c r="AR76" s="180">
        <f t="shared" si="49"/>
        <v>-0.32483940711470893</v>
      </c>
      <c r="AS76" s="31">
        <f t="shared" si="52"/>
        <v>9268.4</v>
      </c>
      <c r="AU76" s="31">
        <f t="shared" si="50"/>
        <v>0</v>
      </c>
      <c r="AV76" s="177"/>
      <c r="AW76" s="31">
        <f t="shared" si="51"/>
        <v>98.360768851651059</v>
      </c>
    </row>
    <row r="77" spans="1:49">
      <c r="A77" s="102">
        <v>68</v>
      </c>
      <c r="B77" s="7" t="s">
        <v>1774</v>
      </c>
      <c r="C77" s="7">
        <v>1</v>
      </c>
      <c r="D77" s="62">
        <f t="shared" si="27"/>
        <v>1259226.5200000005</v>
      </c>
      <c r="E77" s="172">
        <f t="shared" si="28"/>
        <v>617374</v>
      </c>
      <c r="F77" s="62">
        <f t="shared" si="29"/>
        <v>1137791.5559876624</v>
      </c>
      <c r="G77" s="70">
        <f t="shared" si="30"/>
        <v>909237</v>
      </c>
      <c r="H77" s="62">
        <f t="shared" si="31"/>
        <v>228555</v>
      </c>
      <c r="I77" s="173">
        <f t="shared" si="32"/>
        <v>0</v>
      </c>
      <c r="J77" s="174">
        <f>ROUND(100-'Townwide Contributions'!K77,2)</f>
        <v>21.49</v>
      </c>
      <c r="K77" s="70">
        <f t="shared" si="33"/>
        <v>244511</v>
      </c>
      <c r="L77" s="70">
        <f t="shared" si="34"/>
        <v>0</v>
      </c>
      <c r="M77" s="175">
        <f t="shared" si="35"/>
        <v>0</v>
      </c>
      <c r="N77" s="70"/>
      <c r="O77" s="70"/>
      <c r="P77" s="70"/>
      <c r="Q77" s="62">
        <v>134</v>
      </c>
      <c r="R77" s="62">
        <f t="shared" si="36"/>
        <v>117</v>
      </c>
      <c r="S77" s="176"/>
      <c r="T77" s="176"/>
      <c r="U77" s="70"/>
      <c r="V77" s="70"/>
      <c r="W77" s="260"/>
      <c r="X77" s="62">
        <f t="shared" si="37"/>
        <v>0</v>
      </c>
      <c r="Y77" s="70"/>
      <c r="AA77" s="290"/>
      <c r="AB77" s="291"/>
      <c r="AC77" s="62"/>
      <c r="AD77" s="62"/>
      <c r="AE77" s="177">
        <f t="shared" si="38"/>
        <v>3510</v>
      </c>
      <c r="AF77" s="177">
        <f t="shared" si="39"/>
        <v>3510</v>
      </c>
      <c r="AG77" s="70">
        <f t="shared" si="40"/>
        <v>620884</v>
      </c>
      <c r="AH77" s="70">
        <f t="shared" si="41"/>
        <v>0</v>
      </c>
      <c r="AI77" s="587">
        <v>0</v>
      </c>
      <c r="AJ77" s="178">
        <f t="shared" si="42"/>
        <v>620884</v>
      </c>
      <c r="AK77" s="301">
        <f t="shared" si="43"/>
        <v>54.569221992603055</v>
      </c>
      <c r="AL77" s="70">
        <f t="shared" si="44"/>
        <v>1530121</v>
      </c>
      <c r="AM77" s="179">
        <f t="shared" si="45"/>
        <v>134.48166247566982</v>
      </c>
      <c r="AN77" s="179"/>
      <c r="AO77" s="31">
        <f t="shared" si="46"/>
        <v>-121434.96401233808</v>
      </c>
      <c r="AP77" s="31">
        <f t="shared" si="47"/>
        <v>3510</v>
      </c>
      <c r="AQ77" s="31">
        <f t="shared" si="48"/>
        <v>376372.59461825137</v>
      </c>
      <c r="AR77" s="180">
        <f t="shared" si="49"/>
        <v>33.079221992603053</v>
      </c>
      <c r="AS77" s="31">
        <f t="shared" si="52"/>
        <v>9724.7099999999991</v>
      </c>
      <c r="AU77" s="31">
        <f t="shared" si="50"/>
        <v>0</v>
      </c>
      <c r="AV77" s="177"/>
      <c r="AW77" s="31">
        <f t="shared" si="51"/>
        <v>30</v>
      </c>
    </row>
    <row r="78" spans="1:49">
      <c r="A78" s="102">
        <v>69</v>
      </c>
      <c r="B78" s="7" t="s">
        <v>1775</v>
      </c>
      <c r="C78" s="7">
        <v>0</v>
      </c>
      <c r="D78" s="62">
        <f t="shared" si="27"/>
        <v>118538.28</v>
      </c>
      <c r="E78" s="172">
        <f t="shared" si="28"/>
        <v>73684</v>
      </c>
      <c r="F78" s="62">
        <f t="shared" si="29"/>
        <v>120751.50009230593</v>
      </c>
      <c r="G78" s="70">
        <f t="shared" si="30"/>
        <v>96880</v>
      </c>
      <c r="H78" s="62">
        <f t="shared" si="31"/>
        <v>23872</v>
      </c>
      <c r="I78" s="173">
        <f t="shared" si="32"/>
        <v>0</v>
      </c>
      <c r="J78" s="174">
        <f>ROUND(100-'Townwide Contributions'!K78,2)</f>
        <v>17.5</v>
      </c>
      <c r="K78" s="70">
        <f t="shared" si="33"/>
        <v>21132</v>
      </c>
      <c r="L78" s="70">
        <f t="shared" si="34"/>
        <v>0</v>
      </c>
      <c r="M78" s="175">
        <f t="shared" si="35"/>
        <v>0</v>
      </c>
      <c r="N78" s="70"/>
      <c r="O78" s="70"/>
      <c r="P78" s="70"/>
      <c r="Q78" s="62">
        <v>9</v>
      </c>
      <c r="R78" s="62">
        <f t="shared" si="36"/>
        <v>9</v>
      </c>
      <c r="S78" s="176"/>
      <c r="T78" s="176"/>
      <c r="U78" s="70"/>
      <c r="V78" s="70"/>
      <c r="W78" s="260"/>
      <c r="X78" s="62">
        <f t="shared" si="37"/>
        <v>0</v>
      </c>
      <c r="Y78" s="70"/>
      <c r="AA78" s="290"/>
      <c r="AB78" s="291"/>
      <c r="AC78" s="62"/>
      <c r="AD78" s="62"/>
      <c r="AE78" s="177">
        <f t="shared" si="38"/>
        <v>0</v>
      </c>
      <c r="AF78" s="177">
        <f t="shared" si="39"/>
        <v>0</v>
      </c>
      <c r="AG78" s="70">
        <f t="shared" si="40"/>
        <v>73684</v>
      </c>
      <c r="AH78" s="70">
        <f t="shared" si="41"/>
        <v>0</v>
      </c>
      <c r="AI78" s="587">
        <v>0</v>
      </c>
      <c r="AJ78" s="178">
        <f t="shared" si="42"/>
        <v>73684</v>
      </c>
      <c r="AK78" s="301">
        <f t="shared" si="43"/>
        <v>0</v>
      </c>
      <c r="AL78" s="70">
        <f t="shared" si="44"/>
        <v>170564</v>
      </c>
      <c r="AM78" s="179">
        <f t="shared" si="45"/>
        <v>141.25207543559787</v>
      </c>
      <c r="AN78" s="179"/>
      <c r="AO78" s="31">
        <f t="shared" si="46"/>
        <v>2213.2200923059281</v>
      </c>
      <c r="AP78" s="31">
        <f t="shared" si="47"/>
        <v>0</v>
      </c>
      <c r="AQ78" s="31">
        <f t="shared" si="48"/>
        <v>52552.48748384646</v>
      </c>
      <c r="AR78" s="180" t="str">
        <f t="shared" si="49"/>
        <v/>
      </c>
      <c r="AS78" s="31">
        <f t="shared" si="52"/>
        <v>13416.83</v>
      </c>
      <c r="AU78" s="31">
        <f t="shared" si="50"/>
        <v>0</v>
      </c>
      <c r="AV78" s="177"/>
      <c r="AW78" s="31">
        <f t="shared" si="51"/>
        <v>0</v>
      </c>
    </row>
    <row r="79" spans="1:49">
      <c r="A79" s="102">
        <v>70</v>
      </c>
      <c r="B79" s="7" t="s">
        <v>1776</v>
      </c>
      <c r="C79" s="7">
        <v>0</v>
      </c>
      <c r="D79" s="62">
        <f t="shared" si="27"/>
        <v>236011.40000000002</v>
      </c>
      <c r="E79" s="172">
        <f t="shared" si="28"/>
        <v>236011.40000000002</v>
      </c>
      <c r="F79" s="62">
        <f t="shared" si="29"/>
        <v>240301.01604183207</v>
      </c>
      <c r="G79" s="70">
        <f t="shared" si="30"/>
        <v>128163</v>
      </c>
      <c r="H79" s="62">
        <f t="shared" si="31"/>
        <v>112138</v>
      </c>
      <c r="I79" s="173">
        <f t="shared" si="32"/>
        <v>0</v>
      </c>
      <c r="J79" s="174">
        <f>ROUND(100-'Townwide Contributions'!K79,2)</f>
        <v>47.03</v>
      </c>
      <c r="K79" s="70">
        <f t="shared" si="33"/>
        <v>113014</v>
      </c>
      <c r="L79" s="70">
        <f t="shared" si="34"/>
        <v>0</v>
      </c>
      <c r="M79" s="175">
        <f t="shared" si="35"/>
        <v>0</v>
      </c>
      <c r="N79" s="70"/>
      <c r="O79" s="70"/>
      <c r="P79" s="70"/>
      <c r="Q79" s="62">
        <v>16</v>
      </c>
      <c r="R79" s="62">
        <f t="shared" si="36"/>
        <v>16</v>
      </c>
      <c r="S79" s="176"/>
      <c r="T79" s="176"/>
      <c r="U79" s="70"/>
      <c r="V79" s="70"/>
      <c r="W79" s="260"/>
      <c r="X79" s="62">
        <f t="shared" si="37"/>
        <v>0</v>
      </c>
      <c r="Y79" s="70"/>
      <c r="AA79" s="290"/>
      <c r="AB79" s="291"/>
      <c r="AC79" s="62"/>
      <c r="AD79" s="62"/>
      <c r="AE79" s="177">
        <f t="shared" si="38"/>
        <v>0</v>
      </c>
      <c r="AF79" s="177">
        <f t="shared" si="39"/>
        <v>0</v>
      </c>
      <c r="AG79" s="70">
        <f t="shared" si="40"/>
        <v>236011.40000000002</v>
      </c>
      <c r="AH79" s="70">
        <f t="shared" si="41"/>
        <v>0</v>
      </c>
      <c r="AI79" s="587">
        <v>0</v>
      </c>
      <c r="AJ79" s="178">
        <f t="shared" si="42"/>
        <v>236011.40000000002</v>
      </c>
      <c r="AK79" s="301">
        <f t="shared" si="43"/>
        <v>0</v>
      </c>
      <c r="AL79" s="70">
        <f t="shared" si="44"/>
        <v>364174.4</v>
      </c>
      <c r="AM79" s="179">
        <f t="shared" si="45"/>
        <v>151.54925517943036</v>
      </c>
      <c r="AN79" s="179"/>
      <c r="AO79" s="31">
        <f t="shared" si="46"/>
        <v>4289.6160418320505</v>
      </c>
      <c r="AP79" s="31">
        <f t="shared" si="47"/>
        <v>0</v>
      </c>
      <c r="AQ79" s="31">
        <f t="shared" si="48"/>
        <v>122997.8321555264</v>
      </c>
      <c r="AR79" s="180" t="str">
        <f t="shared" si="49"/>
        <v/>
      </c>
      <c r="AS79" s="31">
        <f t="shared" si="52"/>
        <v>15018.81</v>
      </c>
      <c r="AU79" s="31">
        <f t="shared" si="50"/>
        <v>0</v>
      </c>
      <c r="AV79" s="177"/>
      <c r="AW79" s="31">
        <f t="shared" si="51"/>
        <v>0</v>
      </c>
    </row>
    <row r="80" spans="1:49">
      <c r="A80" s="102">
        <v>71</v>
      </c>
      <c r="B80" s="7" t="s">
        <v>1777</v>
      </c>
      <c r="C80" s="7">
        <v>1</v>
      </c>
      <c r="D80" s="62">
        <f t="shared" si="27"/>
        <v>35588532.009999998</v>
      </c>
      <c r="E80" s="172">
        <f t="shared" si="28"/>
        <v>6629052.4445563704</v>
      </c>
      <c r="F80" s="62">
        <f t="shared" si="29"/>
        <v>33833411.73052796</v>
      </c>
      <c r="G80" s="70">
        <f t="shared" si="30"/>
        <v>28261906</v>
      </c>
      <c r="H80" s="62">
        <f t="shared" si="31"/>
        <v>5571506</v>
      </c>
      <c r="I80" s="173">
        <f t="shared" si="32"/>
        <v>0</v>
      </c>
      <c r="J80" s="174">
        <f>ROUND(100-'Townwide Contributions'!K80,2)</f>
        <v>17.5</v>
      </c>
      <c r="K80" s="70">
        <f t="shared" si="33"/>
        <v>5920847</v>
      </c>
      <c r="L80" s="70">
        <f t="shared" si="34"/>
        <v>0</v>
      </c>
      <c r="M80" s="175">
        <f t="shared" si="35"/>
        <v>0</v>
      </c>
      <c r="N80" s="70"/>
      <c r="O80" s="70"/>
      <c r="P80" s="70"/>
      <c r="Q80" s="62">
        <v>3689</v>
      </c>
      <c r="R80" s="62">
        <f t="shared" si="36"/>
        <v>3460</v>
      </c>
      <c r="S80" s="176"/>
      <c r="T80" s="176"/>
      <c r="U80" s="70"/>
      <c r="V80" s="70"/>
      <c r="W80" s="260"/>
      <c r="X80" s="62">
        <f t="shared" si="37"/>
        <v>0</v>
      </c>
      <c r="Y80" s="70"/>
      <c r="AA80" s="290"/>
      <c r="AB80" s="291"/>
      <c r="AC80" s="62"/>
      <c r="AD80" s="62"/>
      <c r="AE80" s="177">
        <f t="shared" si="38"/>
        <v>103800</v>
      </c>
      <c r="AF80" s="177">
        <f t="shared" si="39"/>
        <v>103800</v>
      </c>
      <c r="AG80" s="70">
        <f t="shared" si="40"/>
        <v>6732852.4445563704</v>
      </c>
      <c r="AH80" s="70">
        <f t="shared" si="41"/>
        <v>0</v>
      </c>
      <c r="AI80" s="587">
        <v>0</v>
      </c>
      <c r="AJ80" s="178">
        <f t="shared" si="42"/>
        <v>6732852.4445563704</v>
      </c>
      <c r="AK80" s="301">
        <f t="shared" si="43"/>
        <v>19.900010374896077</v>
      </c>
      <c r="AL80" s="70">
        <f t="shared" si="44"/>
        <v>34994758.44455637</v>
      </c>
      <c r="AM80" s="179">
        <f t="shared" si="45"/>
        <v>103.43254391037522</v>
      </c>
      <c r="AN80" s="179"/>
      <c r="AO80" s="31">
        <f t="shared" si="46"/>
        <v>-1755120.2794720381</v>
      </c>
      <c r="AP80" s="31">
        <f t="shared" si="47"/>
        <v>103800</v>
      </c>
      <c r="AQ80" s="31">
        <f t="shared" si="48"/>
        <v>812005.39171397779</v>
      </c>
      <c r="AR80" s="180">
        <f t="shared" si="49"/>
        <v>2.4000103748960768</v>
      </c>
      <c r="AS80" s="31">
        <f t="shared" si="52"/>
        <v>9778.44</v>
      </c>
      <c r="AU80" s="31">
        <f t="shared" si="50"/>
        <v>0</v>
      </c>
      <c r="AV80" s="177"/>
      <c r="AW80" s="31">
        <f t="shared" si="51"/>
        <v>30</v>
      </c>
    </row>
    <row r="81" spans="1:49">
      <c r="A81" s="102">
        <v>72</v>
      </c>
      <c r="B81" s="7" t="s">
        <v>1778</v>
      </c>
      <c r="C81" s="7">
        <v>1</v>
      </c>
      <c r="D81" s="62">
        <f t="shared" si="27"/>
        <v>36117171.75</v>
      </c>
      <c r="E81" s="172">
        <f t="shared" si="28"/>
        <v>9622951</v>
      </c>
      <c r="F81" s="62">
        <f t="shared" si="29"/>
        <v>36194408.009417139</v>
      </c>
      <c r="G81" s="70">
        <f t="shared" si="30"/>
        <v>30013628</v>
      </c>
      <c r="H81" s="62">
        <f t="shared" si="31"/>
        <v>6180780</v>
      </c>
      <c r="I81" s="173">
        <f t="shared" si="32"/>
        <v>0</v>
      </c>
      <c r="J81" s="174">
        <f>ROUND(100-'Townwide Contributions'!K81,2)</f>
        <v>17.5</v>
      </c>
      <c r="K81" s="70">
        <f t="shared" si="33"/>
        <v>6334021</v>
      </c>
      <c r="L81" s="70">
        <f t="shared" si="34"/>
        <v>0</v>
      </c>
      <c r="M81" s="175">
        <f t="shared" si="35"/>
        <v>0</v>
      </c>
      <c r="N81" s="70"/>
      <c r="O81" s="70"/>
      <c r="P81" s="70"/>
      <c r="Q81" s="62">
        <v>3707</v>
      </c>
      <c r="R81" s="62">
        <f t="shared" si="36"/>
        <v>3646</v>
      </c>
      <c r="S81" s="176"/>
      <c r="T81" s="176"/>
      <c r="U81" s="70"/>
      <c r="V81" s="70"/>
      <c r="W81" s="260"/>
      <c r="X81" s="62">
        <f t="shared" si="37"/>
        <v>0</v>
      </c>
      <c r="Y81" s="70"/>
      <c r="AA81" s="290"/>
      <c r="AB81" s="291"/>
      <c r="AC81" s="62"/>
      <c r="AD81" s="62"/>
      <c r="AE81" s="177">
        <f t="shared" si="38"/>
        <v>109380</v>
      </c>
      <c r="AF81" s="177">
        <f t="shared" si="39"/>
        <v>109380</v>
      </c>
      <c r="AG81" s="70">
        <f t="shared" si="40"/>
        <v>9732331</v>
      </c>
      <c r="AH81" s="70">
        <f t="shared" si="41"/>
        <v>0</v>
      </c>
      <c r="AI81" s="587">
        <v>0</v>
      </c>
      <c r="AJ81" s="178">
        <f t="shared" si="42"/>
        <v>9732331</v>
      </c>
      <c r="AK81" s="301">
        <f t="shared" si="43"/>
        <v>26.889045947285062</v>
      </c>
      <c r="AL81" s="70">
        <f t="shared" si="44"/>
        <v>39745959</v>
      </c>
      <c r="AM81" s="179">
        <f t="shared" si="45"/>
        <v>109.81243011257101</v>
      </c>
      <c r="AN81" s="179"/>
      <c r="AO81" s="31">
        <f t="shared" si="46"/>
        <v>77236.259417138994</v>
      </c>
      <c r="AP81" s="31">
        <f t="shared" si="47"/>
        <v>109380</v>
      </c>
      <c r="AQ81" s="31">
        <f t="shared" si="48"/>
        <v>3398309.598352001</v>
      </c>
      <c r="AR81" s="180">
        <f t="shared" si="49"/>
        <v>9.3890459472850623</v>
      </c>
      <c r="AS81" s="31">
        <f t="shared" si="52"/>
        <v>9927.16</v>
      </c>
      <c r="AU81" s="31">
        <f t="shared" si="50"/>
        <v>0</v>
      </c>
      <c r="AV81" s="177"/>
      <c r="AW81" s="31">
        <f t="shared" si="51"/>
        <v>30</v>
      </c>
    </row>
    <row r="82" spans="1:49">
      <c r="A82" s="102">
        <v>73</v>
      </c>
      <c r="B82" s="7" t="s">
        <v>1779</v>
      </c>
      <c r="C82" s="7">
        <v>1</v>
      </c>
      <c r="D82" s="62">
        <f t="shared" si="27"/>
        <v>26660498.619539998</v>
      </c>
      <c r="E82" s="172">
        <f t="shared" si="28"/>
        <v>4525097.8425356252</v>
      </c>
      <c r="F82" s="62">
        <f t="shared" si="29"/>
        <v>27026023.747824714</v>
      </c>
      <c r="G82" s="70">
        <f t="shared" si="30"/>
        <v>22421830</v>
      </c>
      <c r="H82" s="62">
        <f t="shared" si="31"/>
        <v>4604194</v>
      </c>
      <c r="I82" s="173">
        <f t="shared" si="32"/>
        <v>79096.157464374788</v>
      </c>
      <c r="J82" s="174">
        <f>ROUND(100-'Townwide Contributions'!K82,2)</f>
        <v>17.5</v>
      </c>
      <c r="K82" s="70">
        <f t="shared" si="33"/>
        <v>4729554</v>
      </c>
      <c r="L82" s="70">
        <f t="shared" si="34"/>
        <v>0</v>
      </c>
      <c r="M82" s="175">
        <f t="shared" si="35"/>
        <v>0</v>
      </c>
      <c r="N82" s="70"/>
      <c r="O82" s="70"/>
      <c r="P82" s="70"/>
      <c r="Q82" s="62">
        <v>2651</v>
      </c>
      <c r="R82" s="62">
        <f t="shared" si="36"/>
        <v>2612</v>
      </c>
      <c r="S82" s="176"/>
      <c r="T82" s="176"/>
      <c r="U82" s="70"/>
      <c r="V82" s="70"/>
      <c r="W82" s="260"/>
      <c r="X82" s="62">
        <f t="shared" si="37"/>
        <v>1</v>
      </c>
      <c r="Y82" s="70"/>
      <c r="AA82" s="290"/>
      <c r="AB82" s="291"/>
      <c r="AC82" s="62"/>
      <c r="AD82" s="62"/>
      <c r="AE82" s="177">
        <f t="shared" si="38"/>
        <v>78360</v>
      </c>
      <c r="AF82" s="177">
        <f t="shared" si="39"/>
        <v>0</v>
      </c>
      <c r="AG82" s="70">
        <f t="shared" si="40"/>
        <v>4604194</v>
      </c>
      <c r="AH82" s="70">
        <f t="shared" si="41"/>
        <v>0</v>
      </c>
      <c r="AI82" s="587">
        <v>0</v>
      </c>
      <c r="AJ82" s="178">
        <f t="shared" si="42"/>
        <v>4604194</v>
      </c>
      <c r="AK82" s="301">
        <f t="shared" si="43"/>
        <v>17.036150204561945</v>
      </c>
      <c r="AL82" s="70">
        <f t="shared" si="44"/>
        <v>27026024</v>
      </c>
      <c r="AM82" s="179">
        <f t="shared" si="45"/>
        <v>100.0000009330832</v>
      </c>
      <c r="AN82" s="179"/>
      <c r="AO82" s="31">
        <f t="shared" si="46"/>
        <v>365525.12828471512</v>
      </c>
      <c r="AP82" s="31">
        <f t="shared" si="47"/>
        <v>79096.157464374788</v>
      </c>
      <c r="AQ82" s="31">
        <f t="shared" si="48"/>
        <v>-125360.15586932469</v>
      </c>
      <c r="AR82" s="180">
        <f t="shared" si="49"/>
        <v>-0.46384979543805471</v>
      </c>
      <c r="AS82" s="31">
        <f t="shared" si="52"/>
        <v>10346.870000000001</v>
      </c>
      <c r="AU82" s="31">
        <f t="shared" si="50"/>
        <v>0</v>
      </c>
      <c r="AV82" s="177"/>
      <c r="AW82" s="31">
        <f t="shared" si="51"/>
        <v>30.28183670152174</v>
      </c>
    </row>
    <row r="83" spans="1:49">
      <c r="A83" s="102">
        <v>74</v>
      </c>
      <c r="B83" s="7" t="s">
        <v>1780</v>
      </c>
      <c r="C83" s="7">
        <v>1</v>
      </c>
      <c r="D83" s="62">
        <f t="shared" si="27"/>
        <v>2985824.2499999995</v>
      </c>
      <c r="E83" s="172">
        <f t="shared" si="28"/>
        <v>1085623</v>
      </c>
      <c r="F83" s="62">
        <f t="shared" si="29"/>
        <v>3148595.0953759653</v>
      </c>
      <c r="G83" s="70">
        <f t="shared" si="30"/>
        <v>2614687</v>
      </c>
      <c r="H83" s="62">
        <f t="shared" si="31"/>
        <v>533908</v>
      </c>
      <c r="I83" s="173">
        <f t="shared" si="32"/>
        <v>0</v>
      </c>
      <c r="J83" s="174">
        <f>ROUND(100-'Townwide Contributions'!K83,2)</f>
        <v>17.5</v>
      </c>
      <c r="K83" s="70">
        <f t="shared" si="33"/>
        <v>551004</v>
      </c>
      <c r="L83" s="70">
        <f t="shared" si="34"/>
        <v>0</v>
      </c>
      <c r="M83" s="175">
        <f t="shared" si="35"/>
        <v>0</v>
      </c>
      <c r="N83" s="70"/>
      <c r="O83" s="70"/>
      <c r="P83" s="70"/>
      <c r="Q83" s="62">
        <v>321</v>
      </c>
      <c r="R83" s="62">
        <f t="shared" si="36"/>
        <v>329</v>
      </c>
      <c r="S83" s="176"/>
      <c r="T83" s="176"/>
      <c r="U83" s="70"/>
      <c r="V83" s="70"/>
      <c r="W83" s="260"/>
      <c r="X83" s="62">
        <f t="shared" si="37"/>
        <v>0</v>
      </c>
      <c r="Y83" s="70"/>
      <c r="AA83" s="290"/>
      <c r="AB83" s="291"/>
      <c r="AC83" s="62"/>
      <c r="AD83" s="62"/>
      <c r="AE83" s="177">
        <f t="shared" si="38"/>
        <v>9870</v>
      </c>
      <c r="AF83" s="177">
        <f t="shared" si="39"/>
        <v>9870</v>
      </c>
      <c r="AG83" s="70">
        <f t="shared" si="40"/>
        <v>1095493</v>
      </c>
      <c r="AH83" s="70">
        <f t="shared" si="41"/>
        <v>0</v>
      </c>
      <c r="AI83" s="587">
        <v>0</v>
      </c>
      <c r="AJ83" s="178">
        <f t="shared" si="42"/>
        <v>1095493</v>
      </c>
      <c r="AK83" s="301">
        <f t="shared" si="43"/>
        <v>34.793073317329487</v>
      </c>
      <c r="AL83" s="70">
        <f t="shared" si="44"/>
        <v>3710180</v>
      </c>
      <c r="AM83" s="179">
        <f t="shared" si="45"/>
        <v>117.83604711348181</v>
      </c>
      <c r="AN83" s="179"/>
      <c r="AO83" s="31">
        <f t="shared" si="46"/>
        <v>162770.84537596582</v>
      </c>
      <c r="AP83" s="31">
        <f t="shared" si="47"/>
        <v>9870</v>
      </c>
      <c r="AQ83" s="31">
        <f t="shared" si="48"/>
        <v>544488.85830920609</v>
      </c>
      <c r="AR83" s="180">
        <f t="shared" si="49"/>
        <v>17.293073317329487</v>
      </c>
      <c r="AS83" s="31">
        <f t="shared" si="52"/>
        <v>9570.2000000000007</v>
      </c>
      <c r="AU83" s="31">
        <f t="shared" si="50"/>
        <v>0</v>
      </c>
      <c r="AV83" s="177"/>
      <c r="AW83" s="31">
        <f t="shared" si="51"/>
        <v>30</v>
      </c>
    </row>
    <row r="84" spans="1:49">
      <c r="A84" s="102">
        <v>75</v>
      </c>
      <c r="B84" s="7" t="s">
        <v>1781</v>
      </c>
      <c r="C84" s="7">
        <v>0</v>
      </c>
      <c r="D84" s="62">
        <f t="shared" si="27"/>
        <v>0</v>
      </c>
      <c r="E84" s="172">
        <f t="shared" si="28"/>
        <v>0</v>
      </c>
      <c r="F84" s="62">
        <f t="shared" si="29"/>
        <v>0</v>
      </c>
      <c r="G84" s="70">
        <f t="shared" si="30"/>
        <v>0</v>
      </c>
      <c r="H84" s="62">
        <f t="shared" si="31"/>
        <v>0</v>
      </c>
      <c r="I84" s="173">
        <f t="shared" si="32"/>
        <v>0</v>
      </c>
      <c r="J84" s="174">
        <f>ROUND(100-'Townwide Contributions'!K84,2)</f>
        <v>17.5</v>
      </c>
      <c r="K84" s="70">
        <f t="shared" si="33"/>
        <v>0</v>
      </c>
      <c r="L84" s="70">
        <f t="shared" si="34"/>
        <v>0</v>
      </c>
      <c r="M84" s="175">
        <f t="shared" si="35"/>
        <v>0</v>
      </c>
      <c r="N84" s="70"/>
      <c r="O84" s="70"/>
      <c r="P84" s="70"/>
      <c r="Q84" s="62">
        <v>0</v>
      </c>
      <c r="R84" s="62">
        <f t="shared" si="36"/>
        <v>0</v>
      </c>
      <c r="S84" s="176"/>
      <c r="T84" s="176"/>
      <c r="U84" s="70"/>
      <c r="V84" s="70"/>
      <c r="W84" s="260"/>
      <c r="X84" s="62">
        <f t="shared" si="37"/>
        <v>0</v>
      </c>
      <c r="Y84" s="70"/>
      <c r="AA84" s="290"/>
      <c r="AB84" s="291"/>
      <c r="AC84" s="62"/>
      <c r="AD84" s="62"/>
      <c r="AE84" s="177">
        <f t="shared" si="38"/>
        <v>0</v>
      </c>
      <c r="AF84" s="177">
        <f t="shared" si="39"/>
        <v>0</v>
      </c>
      <c r="AG84" s="70">
        <f t="shared" si="40"/>
        <v>0</v>
      </c>
      <c r="AH84" s="70">
        <f t="shared" si="41"/>
        <v>0</v>
      </c>
      <c r="AI84" s="587">
        <v>0</v>
      </c>
      <c r="AJ84" s="178">
        <f t="shared" si="42"/>
        <v>0</v>
      </c>
      <c r="AK84" s="301">
        <f t="shared" si="43"/>
        <v>0</v>
      </c>
      <c r="AL84" s="70">
        <f t="shared" si="44"/>
        <v>0</v>
      </c>
      <c r="AM84" s="179">
        <f t="shared" si="45"/>
        <v>0</v>
      </c>
      <c r="AN84" s="179"/>
      <c r="AO84" s="31">
        <f t="shared" si="46"/>
        <v>0</v>
      </c>
      <c r="AP84" s="31">
        <f t="shared" si="47"/>
        <v>0</v>
      </c>
      <c r="AQ84" s="31">
        <f t="shared" si="48"/>
        <v>0</v>
      </c>
      <c r="AR84" s="180" t="str">
        <f t="shared" si="49"/>
        <v/>
      </c>
      <c r="AS84" s="31">
        <f t="shared" si="52"/>
        <v>0</v>
      </c>
      <c r="AU84" s="31">
        <f t="shared" si="50"/>
        <v>0</v>
      </c>
      <c r="AV84" s="177"/>
      <c r="AW84" s="31">
        <f t="shared" si="51"/>
        <v>0</v>
      </c>
    </row>
    <row r="85" spans="1:49">
      <c r="A85" s="102">
        <v>76</v>
      </c>
      <c r="B85" s="7" t="s">
        <v>1782</v>
      </c>
      <c r="C85" s="7">
        <v>0</v>
      </c>
      <c r="D85" s="62">
        <f t="shared" si="27"/>
        <v>0</v>
      </c>
      <c r="E85" s="172">
        <f t="shared" si="28"/>
        <v>0</v>
      </c>
      <c r="F85" s="62">
        <f t="shared" si="29"/>
        <v>0</v>
      </c>
      <c r="G85" s="70">
        <f t="shared" si="30"/>
        <v>0</v>
      </c>
      <c r="H85" s="62">
        <f t="shared" si="31"/>
        <v>0</v>
      </c>
      <c r="I85" s="173">
        <f t="shared" si="32"/>
        <v>0</v>
      </c>
      <c r="J85" s="174">
        <f>ROUND(100-'Townwide Contributions'!K85,2)</f>
        <v>51.85</v>
      </c>
      <c r="K85" s="70">
        <f t="shared" si="33"/>
        <v>0</v>
      </c>
      <c r="L85" s="70">
        <f t="shared" si="34"/>
        <v>0</v>
      </c>
      <c r="M85" s="175">
        <f t="shared" si="35"/>
        <v>0</v>
      </c>
      <c r="N85" s="70"/>
      <c r="O85" s="70"/>
      <c r="P85" s="70"/>
      <c r="Q85" s="62">
        <v>0</v>
      </c>
      <c r="R85" s="62">
        <f t="shared" si="36"/>
        <v>0</v>
      </c>
      <c r="S85" s="176"/>
      <c r="T85" s="176"/>
      <c r="U85" s="70"/>
      <c r="V85" s="70"/>
      <c r="W85" s="260"/>
      <c r="X85" s="62">
        <f t="shared" si="37"/>
        <v>0</v>
      </c>
      <c r="Y85" s="70"/>
      <c r="AA85" s="290"/>
      <c r="AB85" s="291"/>
      <c r="AC85" s="62"/>
      <c r="AD85" s="62"/>
      <c r="AE85" s="177">
        <f t="shared" si="38"/>
        <v>0</v>
      </c>
      <c r="AF85" s="177">
        <f t="shared" si="39"/>
        <v>0</v>
      </c>
      <c r="AG85" s="70">
        <f t="shared" si="40"/>
        <v>0</v>
      </c>
      <c r="AH85" s="70">
        <f t="shared" si="41"/>
        <v>0</v>
      </c>
      <c r="AI85" s="587">
        <v>0</v>
      </c>
      <c r="AJ85" s="178">
        <f t="shared" si="42"/>
        <v>0</v>
      </c>
      <c r="AK85" s="301">
        <f t="shared" si="43"/>
        <v>0</v>
      </c>
      <c r="AL85" s="70">
        <f t="shared" si="44"/>
        <v>0</v>
      </c>
      <c r="AM85" s="179">
        <f t="shared" si="45"/>
        <v>0</v>
      </c>
      <c r="AN85" s="179"/>
      <c r="AO85" s="31">
        <f t="shared" si="46"/>
        <v>0</v>
      </c>
      <c r="AP85" s="31">
        <f t="shared" si="47"/>
        <v>0</v>
      </c>
      <c r="AQ85" s="31">
        <f t="shared" si="48"/>
        <v>0</v>
      </c>
      <c r="AR85" s="180" t="str">
        <f t="shared" si="49"/>
        <v/>
      </c>
      <c r="AS85" s="31">
        <f t="shared" si="52"/>
        <v>0</v>
      </c>
      <c r="AU85" s="31">
        <f t="shared" si="50"/>
        <v>0</v>
      </c>
      <c r="AV85" s="177"/>
      <c r="AW85" s="31">
        <f t="shared" si="51"/>
        <v>0</v>
      </c>
    </row>
    <row r="86" spans="1:49">
      <c r="A86" s="102">
        <v>77</v>
      </c>
      <c r="B86" s="7" t="s">
        <v>1783</v>
      </c>
      <c r="C86" s="7">
        <v>1</v>
      </c>
      <c r="D86" s="62">
        <f t="shared" si="27"/>
        <v>13394369.66</v>
      </c>
      <c r="E86" s="172">
        <f t="shared" si="28"/>
        <v>8644415</v>
      </c>
      <c r="F86" s="62">
        <f t="shared" si="29"/>
        <v>12935870.449951056</v>
      </c>
      <c r="G86" s="70">
        <f t="shared" si="30"/>
        <v>6783425</v>
      </c>
      <c r="H86" s="62">
        <f t="shared" si="31"/>
        <v>6152445</v>
      </c>
      <c r="I86" s="173">
        <f t="shared" si="32"/>
        <v>0</v>
      </c>
      <c r="J86" s="174">
        <f>ROUND(100-'Townwide Contributions'!K86,2)</f>
        <v>47.58</v>
      </c>
      <c r="K86" s="70">
        <f t="shared" si="33"/>
        <v>6154887</v>
      </c>
      <c r="L86" s="70">
        <f t="shared" si="34"/>
        <v>0</v>
      </c>
      <c r="M86" s="175">
        <f t="shared" si="35"/>
        <v>0</v>
      </c>
      <c r="N86" s="70"/>
      <c r="O86" s="70"/>
      <c r="P86" s="70"/>
      <c r="Q86" s="62">
        <v>1405</v>
      </c>
      <c r="R86" s="62">
        <f t="shared" si="36"/>
        <v>1328</v>
      </c>
      <c r="S86" s="176"/>
      <c r="T86" s="176"/>
      <c r="U86" s="70"/>
      <c r="V86" s="70"/>
      <c r="W86" s="260"/>
      <c r="X86" s="62">
        <f t="shared" si="37"/>
        <v>0</v>
      </c>
      <c r="Y86" s="70"/>
      <c r="AA86" s="290"/>
      <c r="AB86" s="291"/>
      <c r="AC86" s="62"/>
      <c r="AD86" s="62"/>
      <c r="AE86" s="177">
        <f t="shared" si="38"/>
        <v>39840</v>
      </c>
      <c r="AF86" s="177">
        <f t="shared" si="39"/>
        <v>39840</v>
      </c>
      <c r="AG86" s="70">
        <f t="shared" si="40"/>
        <v>8684255</v>
      </c>
      <c r="AH86" s="70">
        <f t="shared" si="41"/>
        <v>0</v>
      </c>
      <c r="AI86" s="587">
        <v>0</v>
      </c>
      <c r="AJ86" s="178">
        <f t="shared" si="42"/>
        <v>8684255</v>
      </c>
      <c r="AK86" s="301">
        <f t="shared" si="43"/>
        <v>67.133132119708705</v>
      </c>
      <c r="AL86" s="70">
        <f t="shared" si="44"/>
        <v>15467680</v>
      </c>
      <c r="AM86" s="179">
        <f t="shared" si="45"/>
        <v>119.57200761900428</v>
      </c>
      <c r="AN86" s="179"/>
      <c r="AO86" s="31">
        <f t="shared" si="46"/>
        <v>-458499.21004894376</v>
      </c>
      <c r="AP86" s="31">
        <f t="shared" si="47"/>
        <v>39840</v>
      </c>
      <c r="AQ86" s="31">
        <f t="shared" si="48"/>
        <v>2529367.8399132872</v>
      </c>
      <c r="AR86" s="180">
        <f t="shared" si="49"/>
        <v>19.553132119708707</v>
      </c>
      <c r="AS86" s="31">
        <f t="shared" si="52"/>
        <v>9740.8700000000008</v>
      </c>
      <c r="AU86" s="31">
        <f t="shared" si="50"/>
        <v>0</v>
      </c>
      <c r="AV86" s="177"/>
      <c r="AW86" s="31">
        <f t="shared" si="51"/>
        <v>30</v>
      </c>
    </row>
    <row r="87" spans="1:49">
      <c r="A87" s="102">
        <v>78</v>
      </c>
      <c r="B87" s="7" t="s">
        <v>1784</v>
      </c>
      <c r="C87" s="7">
        <v>1</v>
      </c>
      <c r="D87" s="62">
        <f t="shared" si="27"/>
        <v>4235362.0299200006</v>
      </c>
      <c r="E87" s="172">
        <f t="shared" si="28"/>
        <v>728362</v>
      </c>
      <c r="F87" s="62">
        <f t="shared" si="29"/>
        <v>4468986.3633566014</v>
      </c>
      <c r="G87" s="70">
        <f t="shared" si="30"/>
        <v>3701130</v>
      </c>
      <c r="H87" s="62">
        <f t="shared" si="31"/>
        <v>767856</v>
      </c>
      <c r="I87" s="173">
        <f t="shared" si="32"/>
        <v>39494</v>
      </c>
      <c r="J87" s="174">
        <f>ROUND(100-'Townwide Contributions'!K87,2)</f>
        <v>17.5</v>
      </c>
      <c r="K87" s="70">
        <f t="shared" si="33"/>
        <v>782073</v>
      </c>
      <c r="L87" s="70">
        <f t="shared" si="34"/>
        <v>0</v>
      </c>
      <c r="M87" s="175">
        <f t="shared" si="35"/>
        <v>0</v>
      </c>
      <c r="N87" s="70"/>
      <c r="O87" s="70"/>
      <c r="P87" s="70"/>
      <c r="Q87" s="62">
        <v>469</v>
      </c>
      <c r="R87" s="62">
        <f t="shared" si="36"/>
        <v>485</v>
      </c>
      <c r="S87" s="176"/>
      <c r="T87" s="176"/>
      <c r="U87" s="70"/>
      <c r="V87" s="70"/>
      <c r="W87" s="260"/>
      <c r="X87" s="62">
        <f t="shared" si="37"/>
        <v>1</v>
      </c>
      <c r="Y87" s="70"/>
      <c r="AA87" s="290"/>
      <c r="AB87" s="291"/>
      <c r="AC87" s="62"/>
      <c r="AD87" s="62"/>
      <c r="AE87" s="177">
        <f t="shared" si="38"/>
        <v>14550</v>
      </c>
      <c r="AF87" s="177">
        <f t="shared" si="39"/>
        <v>0</v>
      </c>
      <c r="AG87" s="70">
        <f t="shared" si="40"/>
        <v>767856</v>
      </c>
      <c r="AH87" s="70">
        <f t="shared" si="41"/>
        <v>0</v>
      </c>
      <c r="AI87" s="587">
        <v>0</v>
      </c>
      <c r="AJ87" s="178">
        <f t="shared" si="42"/>
        <v>767856</v>
      </c>
      <c r="AK87" s="301">
        <f t="shared" si="43"/>
        <v>17.181882815665446</v>
      </c>
      <c r="AL87" s="70">
        <f t="shared" si="44"/>
        <v>4468986</v>
      </c>
      <c r="AM87" s="179">
        <f t="shared" si="45"/>
        <v>99.999991869373233</v>
      </c>
      <c r="AN87" s="179"/>
      <c r="AO87" s="31">
        <f t="shared" si="46"/>
        <v>233624.33343660086</v>
      </c>
      <c r="AP87" s="31">
        <f t="shared" si="47"/>
        <v>39494</v>
      </c>
      <c r="AQ87" s="31">
        <f t="shared" si="48"/>
        <v>-14216.613587405183</v>
      </c>
      <c r="AR87" s="180">
        <f t="shared" si="49"/>
        <v>-0.31811718433455383</v>
      </c>
      <c r="AS87" s="31">
        <f t="shared" si="52"/>
        <v>9214.4</v>
      </c>
      <c r="AU87" s="31">
        <f t="shared" si="50"/>
        <v>0</v>
      </c>
      <c r="AV87" s="177"/>
      <c r="AW87" s="31">
        <f t="shared" si="51"/>
        <v>81.430927835051548</v>
      </c>
    </row>
    <row r="88" spans="1:49">
      <c r="A88" s="102">
        <v>79</v>
      </c>
      <c r="B88" s="7" t="s">
        <v>1785</v>
      </c>
      <c r="C88" s="7">
        <v>1</v>
      </c>
      <c r="D88" s="62">
        <f t="shared" si="27"/>
        <v>37207996.850000001</v>
      </c>
      <c r="E88" s="172">
        <f t="shared" si="28"/>
        <v>19068977</v>
      </c>
      <c r="F88" s="62">
        <f t="shared" si="29"/>
        <v>37300000.771409988</v>
      </c>
      <c r="G88" s="70">
        <f t="shared" si="30"/>
        <v>20889283</v>
      </c>
      <c r="H88" s="62">
        <f t="shared" si="31"/>
        <v>16410718</v>
      </c>
      <c r="I88" s="173">
        <f t="shared" si="32"/>
        <v>0</v>
      </c>
      <c r="J88" s="174">
        <f>ROUND(100-'Townwide Contributions'!K88,2)</f>
        <v>44.16</v>
      </c>
      <c r="K88" s="70">
        <f t="shared" si="33"/>
        <v>16471680</v>
      </c>
      <c r="L88" s="70">
        <f t="shared" si="34"/>
        <v>0</v>
      </c>
      <c r="M88" s="175">
        <f t="shared" si="35"/>
        <v>0</v>
      </c>
      <c r="N88" s="70"/>
      <c r="O88" s="70"/>
      <c r="P88" s="70"/>
      <c r="Q88" s="62">
        <v>3827</v>
      </c>
      <c r="R88" s="62">
        <f t="shared" si="36"/>
        <v>3769</v>
      </c>
      <c r="S88" s="176"/>
      <c r="T88" s="176"/>
      <c r="U88" s="70"/>
      <c r="V88" s="70"/>
      <c r="W88" s="260"/>
      <c r="X88" s="62">
        <f t="shared" si="37"/>
        <v>0</v>
      </c>
      <c r="Y88" s="70"/>
      <c r="AA88" s="290"/>
      <c r="AB88" s="291"/>
      <c r="AC88" s="62"/>
      <c r="AD88" s="62"/>
      <c r="AE88" s="177">
        <f t="shared" si="38"/>
        <v>113070</v>
      </c>
      <c r="AF88" s="177">
        <f t="shared" si="39"/>
        <v>113070</v>
      </c>
      <c r="AG88" s="70">
        <f t="shared" si="40"/>
        <v>19182047</v>
      </c>
      <c r="AH88" s="70">
        <f t="shared" si="41"/>
        <v>0</v>
      </c>
      <c r="AI88" s="587">
        <v>0</v>
      </c>
      <c r="AJ88" s="178">
        <f t="shared" si="42"/>
        <v>19182047</v>
      </c>
      <c r="AK88" s="301">
        <f t="shared" si="43"/>
        <v>51.426398400245645</v>
      </c>
      <c r="AL88" s="70">
        <f t="shared" si="44"/>
        <v>40071330</v>
      </c>
      <c r="AM88" s="179">
        <f t="shared" si="45"/>
        <v>107.42983692030967</v>
      </c>
      <c r="AN88" s="179"/>
      <c r="AO88" s="31">
        <f t="shared" si="46"/>
        <v>92003.921409986913</v>
      </c>
      <c r="AP88" s="31">
        <f t="shared" si="47"/>
        <v>113070</v>
      </c>
      <c r="AQ88" s="31">
        <f t="shared" si="48"/>
        <v>2710366.6593453493</v>
      </c>
      <c r="AR88" s="180">
        <f t="shared" si="49"/>
        <v>7.2663984002456488</v>
      </c>
      <c r="AS88" s="31">
        <f t="shared" si="52"/>
        <v>9896.52</v>
      </c>
      <c r="AU88" s="31">
        <f t="shared" si="50"/>
        <v>0</v>
      </c>
      <c r="AV88" s="177"/>
      <c r="AW88" s="31">
        <f t="shared" si="51"/>
        <v>30</v>
      </c>
    </row>
    <row r="89" spans="1:49">
      <c r="A89" s="102">
        <v>80</v>
      </c>
      <c r="B89" s="7" t="s">
        <v>1786</v>
      </c>
      <c r="C89" s="7">
        <v>0</v>
      </c>
      <c r="D89" s="62">
        <f t="shared" si="27"/>
        <v>26341.840000000004</v>
      </c>
      <c r="E89" s="172">
        <f t="shared" si="28"/>
        <v>18150</v>
      </c>
      <c r="F89" s="62">
        <f t="shared" si="29"/>
        <v>26833.666687179095</v>
      </c>
      <c r="G89" s="70">
        <f t="shared" si="30"/>
        <v>8759</v>
      </c>
      <c r="H89" s="62">
        <f t="shared" si="31"/>
        <v>18075</v>
      </c>
      <c r="I89" s="173">
        <f t="shared" si="32"/>
        <v>0</v>
      </c>
      <c r="J89" s="174">
        <f>ROUND(100-'Townwide Contributions'!K89,2)</f>
        <v>61.31</v>
      </c>
      <c r="K89" s="70">
        <f t="shared" si="33"/>
        <v>16452</v>
      </c>
      <c r="L89" s="70">
        <f t="shared" si="34"/>
        <v>0</v>
      </c>
      <c r="M89" s="175">
        <f t="shared" si="35"/>
        <v>0</v>
      </c>
      <c r="N89" s="70"/>
      <c r="O89" s="70"/>
      <c r="P89" s="70"/>
      <c r="Q89" s="62">
        <v>2</v>
      </c>
      <c r="R89" s="62">
        <f t="shared" si="36"/>
        <v>2</v>
      </c>
      <c r="S89" s="176"/>
      <c r="T89" s="176"/>
      <c r="U89" s="70"/>
      <c r="V89" s="70"/>
      <c r="W89" s="260"/>
      <c r="X89" s="62">
        <f t="shared" si="37"/>
        <v>0</v>
      </c>
      <c r="Y89" s="70"/>
      <c r="AA89" s="290"/>
      <c r="AB89" s="291"/>
      <c r="AC89" s="62"/>
      <c r="AD89" s="62"/>
      <c r="AE89" s="177">
        <f t="shared" si="38"/>
        <v>0</v>
      </c>
      <c r="AF89" s="177">
        <f t="shared" si="39"/>
        <v>0</v>
      </c>
      <c r="AG89" s="70">
        <f t="shared" si="40"/>
        <v>18150</v>
      </c>
      <c r="AH89" s="70">
        <f t="shared" si="41"/>
        <v>0</v>
      </c>
      <c r="AI89" s="587">
        <v>0</v>
      </c>
      <c r="AJ89" s="178">
        <f t="shared" si="42"/>
        <v>18150</v>
      </c>
      <c r="AK89" s="301">
        <f t="shared" si="43"/>
        <v>0</v>
      </c>
      <c r="AL89" s="70">
        <f t="shared" si="44"/>
        <v>26909</v>
      </c>
      <c r="AM89" s="179">
        <f t="shared" si="45"/>
        <v>100.28074177748097</v>
      </c>
      <c r="AN89" s="179"/>
      <c r="AO89" s="31">
        <f t="shared" si="46"/>
        <v>491.8266871790911</v>
      </c>
      <c r="AP89" s="31">
        <f t="shared" si="47"/>
        <v>0</v>
      </c>
      <c r="AQ89" s="31">
        <f t="shared" si="48"/>
        <v>1698.278954090496</v>
      </c>
      <c r="AR89" s="180" t="str">
        <f t="shared" si="49"/>
        <v/>
      </c>
      <c r="AS89" s="31">
        <f t="shared" si="52"/>
        <v>13416.83</v>
      </c>
      <c r="AU89" s="31">
        <f t="shared" si="50"/>
        <v>0</v>
      </c>
      <c r="AV89" s="177"/>
      <c r="AW89" s="31">
        <f t="shared" si="51"/>
        <v>0</v>
      </c>
    </row>
    <row r="90" spans="1:49">
      <c r="A90" s="102">
        <v>81</v>
      </c>
      <c r="B90" s="7" t="s">
        <v>1787</v>
      </c>
      <c r="C90" s="7">
        <v>0</v>
      </c>
      <c r="D90" s="62">
        <f t="shared" si="27"/>
        <v>13170.920000000002</v>
      </c>
      <c r="E90" s="172">
        <f t="shared" si="28"/>
        <v>2961</v>
      </c>
      <c r="F90" s="62">
        <f t="shared" si="29"/>
        <v>13416.833343589547</v>
      </c>
      <c r="G90" s="70">
        <f t="shared" si="30"/>
        <v>11048</v>
      </c>
      <c r="H90" s="62">
        <f t="shared" si="31"/>
        <v>2369</v>
      </c>
      <c r="I90" s="173">
        <f t="shared" si="32"/>
        <v>0</v>
      </c>
      <c r="J90" s="174">
        <f>ROUND(100-'Townwide Contributions'!K90,2)</f>
        <v>17.93</v>
      </c>
      <c r="K90" s="70">
        <f t="shared" si="33"/>
        <v>2406</v>
      </c>
      <c r="L90" s="70">
        <f t="shared" si="34"/>
        <v>0</v>
      </c>
      <c r="M90" s="175">
        <f t="shared" si="35"/>
        <v>0</v>
      </c>
      <c r="N90" s="70"/>
      <c r="O90" s="70"/>
      <c r="P90" s="70"/>
      <c r="Q90" s="62">
        <v>1</v>
      </c>
      <c r="R90" s="62">
        <f t="shared" si="36"/>
        <v>1</v>
      </c>
      <c r="S90" s="176"/>
      <c r="T90" s="176"/>
      <c r="U90" s="70"/>
      <c r="V90" s="70"/>
      <c r="W90" s="260"/>
      <c r="X90" s="62">
        <f t="shared" si="37"/>
        <v>0</v>
      </c>
      <c r="Y90" s="70"/>
      <c r="AA90" s="290"/>
      <c r="AB90" s="291"/>
      <c r="AC90" s="62"/>
      <c r="AD90" s="62"/>
      <c r="AE90" s="177">
        <f t="shared" si="38"/>
        <v>0</v>
      </c>
      <c r="AF90" s="177">
        <f t="shared" si="39"/>
        <v>0</v>
      </c>
      <c r="AG90" s="70">
        <f t="shared" si="40"/>
        <v>2961</v>
      </c>
      <c r="AH90" s="70">
        <f t="shared" si="41"/>
        <v>0</v>
      </c>
      <c r="AI90" s="587">
        <v>0</v>
      </c>
      <c r="AJ90" s="178">
        <f t="shared" si="42"/>
        <v>2961</v>
      </c>
      <c r="AK90" s="301">
        <f t="shared" si="43"/>
        <v>0</v>
      </c>
      <c r="AL90" s="70">
        <f t="shared" si="44"/>
        <v>14009</v>
      </c>
      <c r="AM90" s="179">
        <f t="shared" si="45"/>
        <v>104.41360968900598</v>
      </c>
      <c r="AN90" s="179"/>
      <c r="AO90" s="31">
        <f t="shared" si="46"/>
        <v>245.91334358954555</v>
      </c>
      <c r="AP90" s="31">
        <f t="shared" si="47"/>
        <v>0</v>
      </c>
      <c r="AQ90" s="31">
        <f t="shared" si="48"/>
        <v>555.36178149439411</v>
      </c>
      <c r="AR90" s="180" t="str">
        <f t="shared" si="49"/>
        <v/>
      </c>
      <c r="AS90" s="31">
        <f t="shared" si="52"/>
        <v>13416.83</v>
      </c>
      <c r="AU90" s="31">
        <f t="shared" si="50"/>
        <v>0</v>
      </c>
      <c r="AV90" s="177"/>
      <c r="AW90" s="31">
        <f t="shared" si="51"/>
        <v>0</v>
      </c>
    </row>
    <row r="91" spans="1:49">
      <c r="A91" s="102">
        <v>82</v>
      </c>
      <c r="B91" s="7" t="s">
        <v>1788</v>
      </c>
      <c r="C91" s="7">
        <v>1</v>
      </c>
      <c r="D91" s="62">
        <f t="shared" si="27"/>
        <v>29421665.884350002</v>
      </c>
      <c r="E91" s="172">
        <f t="shared" si="28"/>
        <v>5031584.23820375</v>
      </c>
      <c r="F91" s="62">
        <f t="shared" si="29"/>
        <v>29298212.848171137</v>
      </c>
      <c r="G91" s="70">
        <f t="shared" si="30"/>
        <v>24357911</v>
      </c>
      <c r="H91" s="62">
        <f t="shared" si="31"/>
        <v>4940302</v>
      </c>
      <c r="I91" s="173">
        <f t="shared" si="32"/>
        <v>0</v>
      </c>
      <c r="J91" s="174">
        <f>ROUND(100-'Townwide Contributions'!K91,2)</f>
        <v>17.5</v>
      </c>
      <c r="K91" s="70">
        <f t="shared" si="33"/>
        <v>5127187</v>
      </c>
      <c r="L91" s="70">
        <f t="shared" si="34"/>
        <v>0</v>
      </c>
      <c r="M91" s="175">
        <f t="shared" si="35"/>
        <v>0</v>
      </c>
      <c r="N91" s="70"/>
      <c r="O91" s="70"/>
      <c r="P91" s="70"/>
      <c r="Q91" s="62">
        <v>3111</v>
      </c>
      <c r="R91" s="62">
        <f t="shared" si="36"/>
        <v>3028</v>
      </c>
      <c r="S91" s="176"/>
      <c r="T91" s="176"/>
      <c r="U91" s="70"/>
      <c r="V91" s="70"/>
      <c r="W91" s="260"/>
      <c r="X91" s="62">
        <f t="shared" si="37"/>
        <v>0</v>
      </c>
      <c r="Y91" s="70"/>
      <c r="AA91" s="290"/>
      <c r="AB91" s="291"/>
      <c r="AC91" s="62"/>
      <c r="AD91" s="62"/>
      <c r="AE91" s="177">
        <f t="shared" si="38"/>
        <v>90840</v>
      </c>
      <c r="AF91" s="177">
        <f t="shared" si="39"/>
        <v>90840</v>
      </c>
      <c r="AG91" s="70">
        <f t="shared" si="40"/>
        <v>5122424.23820375</v>
      </c>
      <c r="AH91" s="70">
        <f t="shared" si="41"/>
        <v>0</v>
      </c>
      <c r="AI91" s="587">
        <v>0</v>
      </c>
      <c r="AJ91" s="178">
        <f t="shared" si="42"/>
        <v>5122424.23820375</v>
      </c>
      <c r="AK91" s="301">
        <f t="shared" si="43"/>
        <v>17.483743000807312</v>
      </c>
      <c r="AL91" s="70">
        <f t="shared" si="44"/>
        <v>29480335.238203749</v>
      </c>
      <c r="AM91" s="179">
        <f t="shared" si="45"/>
        <v>100.62161603841301</v>
      </c>
      <c r="AN91" s="179"/>
      <c r="AO91" s="31">
        <f t="shared" si="46"/>
        <v>-123453.03617886454</v>
      </c>
      <c r="AP91" s="31">
        <f t="shared" si="47"/>
        <v>90840</v>
      </c>
      <c r="AQ91" s="31">
        <f t="shared" si="48"/>
        <v>-4763.0102261984721</v>
      </c>
      <c r="AR91" s="180">
        <f t="shared" si="49"/>
        <v>-1.6256999192687971E-2</v>
      </c>
      <c r="AS91" s="31">
        <f t="shared" si="52"/>
        <v>9675.76</v>
      </c>
      <c r="AU91" s="31">
        <f t="shared" si="50"/>
        <v>0</v>
      </c>
      <c r="AV91" s="177"/>
      <c r="AW91" s="31">
        <f t="shared" si="51"/>
        <v>30</v>
      </c>
    </row>
    <row r="92" spans="1:49">
      <c r="A92" s="102">
        <v>83</v>
      </c>
      <c r="B92" s="7" t="s">
        <v>1789</v>
      </c>
      <c r="C92" s="7">
        <v>1</v>
      </c>
      <c r="D92" s="62">
        <f t="shared" si="27"/>
        <v>20397715.370000001</v>
      </c>
      <c r="E92" s="172">
        <f t="shared" si="28"/>
        <v>10479107</v>
      </c>
      <c r="F92" s="62">
        <f t="shared" si="29"/>
        <v>21105299.528073356</v>
      </c>
      <c r="G92" s="70">
        <f t="shared" si="30"/>
        <v>11373002</v>
      </c>
      <c r="H92" s="62">
        <f t="shared" si="31"/>
        <v>9732298</v>
      </c>
      <c r="I92" s="173">
        <f t="shared" si="32"/>
        <v>0</v>
      </c>
      <c r="J92" s="174">
        <f>ROUND(100-'Townwide Contributions'!K92,2)</f>
        <v>46.38</v>
      </c>
      <c r="K92" s="70">
        <f t="shared" si="33"/>
        <v>9788638</v>
      </c>
      <c r="L92" s="70">
        <f t="shared" si="34"/>
        <v>0</v>
      </c>
      <c r="M92" s="175">
        <f t="shared" si="35"/>
        <v>0</v>
      </c>
      <c r="N92" s="70"/>
      <c r="O92" s="70"/>
      <c r="P92" s="70"/>
      <c r="Q92" s="62">
        <v>2145</v>
      </c>
      <c r="R92" s="62">
        <f t="shared" si="36"/>
        <v>2153</v>
      </c>
      <c r="S92" s="176"/>
      <c r="T92" s="176"/>
      <c r="U92" s="70"/>
      <c r="V92" s="70"/>
      <c r="W92" s="260"/>
      <c r="X92" s="62">
        <f t="shared" si="37"/>
        <v>0</v>
      </c>
      <c r="Y92" s="70"/>
      <c r="AA92" s="290"/>
      <c r="AB92" s="291"/>
      <c r="AC92" s="62"/>
      <c r="AD92" s="62"/>
      <c r="AE92" s="177">
        <f t="shared" si="38"/>
        <v>64590</v>
      </c>
      <c r="AF92" s="177">
        <f t="shared" si="39"/>
        <v>64590</v>
      </c>
      <c r="AG92" s="70">
        <f t="shared" si="40"/>
        <v>10543697</v>
      </c>
      <c r="AH92" s="70">
        <f t="shared" si="41"/>
        <v>0</v>
      </c>
      <c r="AI92" s="587">
        <v>0</v>
      </c>
      <c r="AJ92" s="178">
        <f t="shared" si="42"/>
        <v>10543697</v>
      </c>
      <c r="AK92" s="301">
        <f t="shared" si="43"/>
        <v>49.957580492876829</v>
      </c>
      <c r="AL92" s="70">
        <f t="shared" si="44"/>
        <v>21916699</v>
      </c>
      <c r="AM92" s="179">
        <f t="shared" si="45"/>
        <v>103.84452952609062</v>
      </c>
      <c r="AN92" s="179"/>
      <c r="AO92" s="31">
        <f t="shared" si="46"/>
        <v>707584.15807335451</v>
      </c>
      <c r="AP92" s="31">
        <f t="shared" si="47"/>
        <v>64590</v>
      </c>
      <c r="AQ92" s="31">
        <f t="shared" si="48"/>
        <v>755059.07887957618</v>
      </c>
      <c r="AR92" s="180">
        <f t="shared" si="49"/>
        <v>3.5775804928768267</v>
      </c>
      <c r="AS92" s="31">
        <f t="shared" si="52"/>
        <v>9802.74</v>
      </c>
      <c r="AU92" s="31">
        <f t="shared" si="50"/>
        <v>0</v>
      </c>
      <c r="AV92" s="177"/>
      <c r="AW92" s="31">
        <f t="shared" si="51"/>
        <v>30</v>
      </c>
    </row>
    <row r="93" spans="1:49">
      <c r="A93" s="102">
        <v>84</v>
      </c>
      <c r="B93" s="7" t="s">
        <v>1790</v>
      </c>
      <c r="C93" s="7">
        <v>0</v>
      </c>
      <c r="D93" s="62">
        <f t="shared" si="27"/>
        <v>275524.15999999997</v>
      </c>
      <c r="E93" s="172">
        <f t="shared" si="28"/>
        <v>186016</v>
      </c>
      <c r="F93" s="62">
        <f t="shared" si="29"/>
        <v>253717.84938542161</v>
      </c>
      <c r="G93" s="70">
        <f t="shared" si="30"/>
        <v>113257</v>
      </c>
      <c r="H93" s="62">
        <f t="shared" si="31"/>
        <v>140461</v>
      </c>
      <c r="I93" s="173">
        <f t="shared" si="32"/>
        <v>0</v>
      </c>
      <c r="J93" s="174">
        <f>ROUND(100-'Townwide Contributions'!K93,2)</f>
        <v>52.52</v>
      </c>
      <c r="K93" s="70">
        <f t="shared" si="33"/>
        <v>133253</v>
      </c>
      <c r="L93" s="70">
        <f t="shared" si="34"/>
        <v>0</v>
      </c>
      <c r="M93" s="175">
        <f t="shared" si="35"/>
        <v>0</v>
      </c>
      <c r="N93" s="70"/>
      <c r="O93" s="70"/>
      <c r="P93" s="70"/>
      <c r="Q93" s="62">
        <v>19</v>
      </c>
      <c r="R93" s="62">
        <f t="shared" si="36"/>
        <v>17</v>
      </c>
      <c r="S93" s="176"/>
      <c r="T93" s="176"/>
      <c r="U93" s="70"/>
      <c r="V93" s="70"/>
      <c r="W93" s="260"/>
      <c r="X93" s="62">
        <f t="shared" si="37"/>
        <v>0</v>
      </c>
      <c r="Y93" s="70"/>
      <c r="AA93" s="290"/>
      <c r="AB93" s="291"/>
      <c r="AC93" s="62"/>
      <c r="AD93" s="62"/>
      <c r="AE93" s="177">
        <f t="shared" si="38"/>
        <v>0</v>
      </c>
      <c r="AF93" s="177">
        <f t="shared" si="39"/>
        <v>0</v>
      </c>
      <c r="AG93" s="70">
        <f t="shared" si="40"/>
        <v>186016</v>
      </c>
      <c r="AH93" s="70">
        <f t="shared" si="41"/>
        <v>0</v>
      </c>
      <c r="AI93" s="587">
        <v>0</v>
      </c>
      <c r="AJ93" s="178">
        <f t="shared" si="42"/>
        <v>186016</v>
      </c>
      <c r="AK93" s="301">
        <f t="shared" si="43"/>
        <v>0</v>
      </c>
      <c r="AL93" s="70">
        <f t="shared" si="44"/>
        <v>299273</v>
      </c>
      <c r="AM93" s="179">
        <f t="shared" si="45"/>
        <v>117.95504365377769</v>
      </c>
      <c r="AN93" s="179"/>
      <c r="AO93" s="31">
        <f t="shared" si="46"/>
        <v>-21806.310614578368</v>
      </c>
      <c r="AP93" s="31">
        <f t="shared" si="47"/>
        <v>0</v>
      </c>
      <c r="AQ93" s="31">
        <f t="shared" si="48"/>
        <v>52763.385502776568</v>
      </c>
      <c r="AR93" s="180" t="str">
        <f t="shared" si="49"/>
        <v/>
      </c>
      <c r="AS93" s="31">
        <f t="shared" si="52"/>
        <v>14924.58</v>
      </c>
      <c r="AU93" s="31">
        <f t="shared" si="50"/>
        <v>0</v>
      </c>
      <c r="AV93" s="177"/>
      <c r="AW93" s="31">
        <f t="shared" si="51"/>
        <v>0</v>
      </c>
    </row>
    <row r="94" spans="1:49">
      <c r="A94" s="102">
        <v>85</v>
      </c>
      <c r="B94" s="7" t="s">
        <v>1791</v>
      </c>
      <c r="C94" s="7">
        <v>1</v>
      </c>
      <c r="D94" s="62">
        <f t="shared" si="27"/>
        <v>1797116.2700000003</v>
      </c>
      <c r="E94" s="172">
        <f t="shared" si="28"/>
        <v>349191</v>
      </c>
      <c r="F94" s="62">
        <f t="shared" si="29"/>
        <v>1861930.3816340552</v>
      </c>
      <c r="G94" s="70">
        <f t="shared" si="30"/>
        <v>1558793</v>
      </c>
      <c r="H94" s="62">
        <f t="shared" si="31"/>
        <v>303137</v>
      </c>
      <c r="I94" s="173">
        <f t="shared" si="32"/>
        <v>0</v>
      </c>
      <c r="J94" s="174">
        <f>ROUND(100-'Townwide Contributions'!K94,2)</f>
        <v>17.5</v>
      </c>
      <c r="K94" s="70">
        <f t="shared" si="33"/>
        <v>325838</v>
      </c>
      <c r="L94" s="70">
        <f t="shared" si="34"/>
        <v>0</v>
      </c>
      <c r="M94" s="175">
        <f t="shared" si="35"/>
        <v>0</v>
      </c>
      <c r="N94" s="70"/>
      <c r="O94" s="70"/>
      <c r="P94" s="70"/>
      <c r="Q94" s="62">
        <v>177</v>
      </c>
      <c r="R94" s="62">
        <f t="shared" si="36"/>
        <v>183</v>
      </c>
      <c r="S94" s="176"/>
      <c r="T94" s="176"/>
      <c r="U94" s="70"/>
      <c r="V94" s="70"/>
      <c r="W94" s="260"/>
      <c r="X94" s="62">
        <f t="shared" si="37"/>
        <v>0</v>
      </c>
      <c r="Y94" s="70"/>
      <c r="AA94" s="290"/>
      <c r="AB94" s="291"/>
      <c r="AC94" s="62"/>
      <c r="AD94" s="62"/>
      <c r="AE94" s="177">
        <f t="shared" si="38"/>
        <v>5490</v>
      </c>
      <c r="AF94" s="177">
        <f t="shared" si="39"/>
        <v>5490</v>
      </c>
      <c r="AG94" s="70">
        <f t="shared" si="40"/>
        <v>354681</v>
      </c>
      <c r="AH94" s="70">
        <f t="shared" si="41"/>
        <v>0</v>
      </c>
      <c r="AI94" s="587">
        <v>0</v>
      </c>
      <c r="AJ94" s="178">
        <f t="shared" si="42"/>
        <v>354681</v>
      </c>
      <c r="AK94" s="301">
        <f t="shared" si="43"/>
        <v>19.049101056545798</v>
      </c>
      <c r="AL94" s="70">
        <f t="shared" si="44"/>
        <v>1913474</v>
      </c>
      <c r="AM94" s="179">
        <f t="shared" si="45"/>
        <v>102.76828923757662</v>
      </c>
      <c r="AN94" s="179"/>
      <c r="AO94" s="31">
        <f t="shared" si="46"/>
        <v>64814.11163405492</v>
      </c>
      <c r="AP94" s="31">
        <f t="shared" si="47"/>
        <v>5490</v>
      </c>
      <c r="AQ94" s="31">
        <f t="shared" si="48"/>
        <v>28843.183214040357</v>
      </c>
      <c r="AR94" s="180">
        <f t="shared" si="49"/>
        <v>1.5491010565457977</v>
      </c>
      <c r="AS94" s="31">
        <f t="shared" si="52"/>
        <v>10174.48</v>
      </c>
      <c r="AU94" s="31">
        <f t="shared" si="50"/>
        <v>0</v>
      </c>
      <c r="AV94" s="177"/>
      <c r="AW94" s="31">
        <f t="shared" si="51"/>
        <v>30</v>
      </c>
    </row>
    <row r="95" spans="1:49">
      <c r="A95" s="102">
        <v>86</v>
      </c>
      <c r="B95" s="7" t="s">
        <v>1792</v>
      </c>
      <c r="C95" s="7">
        <v>1</v>
      </c>
      <c r="D95" s="62">
        <f t="shared" si="27"/>
        <v>18091522.210000005</v>
      </c>
      <c r="E95" s="172">
        <f t="shared" si="28"/>
        <v>7873092</v>
      </c>
      <c r="F95" s="62">
        <f t="shared" si="29"/>
        <v>18534768.099589158</v>
      </c>
      <c r="G95" s="70">
        <f t="shared" si="30"/>
        <v>11761853</v>
      </c>
      <c r="H95" s="62">
        <f t="shared" si="31"/>
        <v>6772915</v>
      </c>
      <c r="I95" s="173">
        <f t="shared" si="32"/>
        <v>0</v>
      </c>
      <c r="J95" s="174">
        <f>ROUND(100-'Townwide Contributions'!K95,2)</f>
        <v>37.08</v>
      </c>
      <c r="K95" s="70">
        <f t="shared" si="33"/>
        <v>6872692</v>
      </c>
      <c r="L95" s="70">
        <f t="shared" si="34"/>
        <v>0</v>
      </c>
      <c r="M95" s="175">
        <f t="shared" si="35"/>
        <v>0</v>
      </c>
      <c r="N95" s="70"/>
      <c r="O95" s="70"/>
      <c r="P95" s="70"/>
      <c r="Q95" s="62">
        <v>1765</v>
      </c>
      <c r="R95" s="62">
        <f t="shared" si="36"/>
        <v>1771</v>
      </c>
      <c r="S95" s="176"/>
      <c r="T95" s="176"/>
      <c r="U95" s="70"/>
      <c r="V95" s="70"/>
      <c r="W95" s="260"/>
      <c r="X95" s="62">
        <f t="shared" si="37"/>
        <v>0</v>
      </c>
      <c r="Y95" s="70"/>
      <c r="AA95" s="290"/>
      <c r="AB95" s="291"/>
      <c r="AC95" s="62"/>
      <c r="AD95" s="62"/>
      <c r="AE95" s="177">
        <f t="shared" si="38"/>
        <v>53130</v>
      </c>
      <c r="AF95" s="177">
        <f t="shared" si="39"/>
        <v>53130</v>
      </c>
      <c r="AG95" s="70">
        <f t="shared" si="40"/>
        <v>7926222</v>
      </c>
      <c r="AH95" s="70">
        <f t="shared" si="41"/>
        <v>0</v>
      </c>
      <c r="AI95" s="587">
        <v>0</v>
      </c>
      <c r="AJ95" s="178">
        <f t="shared" si="42"/>
        <v>7926222</v>
      </c>
      <c r="AK95" s="301">
        <f t="shared" si="43"/>
        <v>42.764074292225388</v>
      </c>
      <c r="AL95" s="70">
        <f t="shared" si="44"/>
        <v>19688075</v>
      </c>
      <c r="AM95" s="179">
        <f t="shared" si="45"/>
        <v>106.22239724939642</v>
      </c>
      <c r="AN95" s="179"/>
      <c r="AO95" s="31">
        <f t="shared" si="46"/>
        <v>443245.88958915323</v>
      </c>
      <c r="AP95" s="31">
        <f t="shared" si="47"/>
        <v>53130</v>
      </c>
      <c r="AQ95" s="31">
        <f t="shared" si="48"/>
        <v>1053529.9886723412</v>
      </c>
      <c r="AR95" s="180">
        <f t="shared" si="49"/>
        <v>5.6840742922253895</v>
      </c>
      <c r="AS95" s="31">
        <f t="shared" si="52"/>
        <v>10465.709999999999</v>
      </c>
      <c r="AU95" s="31">
        <f t="shared" si="50"/>
        <v>0</v>
      </c>
      <c r="AV95" s="177"/>
      <c r="AW95" s="31">
        <f t="shared" si="51"/>
        <v>30</v>
      </c>
    </row>
    <row r="96" spans="1:49">
      <c r="A96" s="102">
        <v>87</v>
      </c>
      <c r="B96" s="7" t="s">
        <v>1793</v>
      </c>
      <c r="C96" s="7">
        <v>1</v>
      </c>
      <c r="D96" s="62">
        <f t="shared" si="27"/>
        <v>26003641.129999999</v>
      </c>
      <c r="E96" s="172">
        <f t="shared" si="28"/>
        <v>10115944.219904</v>
      </c>
      <c r="F96" s="62">
        <f t="shared" si="29"/>
        <v>26517601.927612852</v>
      </c>
      <c r="G96" s="70">
        <f t="shared" si="30"/>
        <v>15918988</v>
      </c>
      <c r="H96" s="62">
        <f t="shared" si="31"/>
        <v>10598614</v>
      </c>
      <c r="I96" s="173">
        <f t="shared" si="32"/>
        <v>482669.78009600006</v>
      </c>
      <c r="J96" s="174">
        <f>ROUND(100-'Townwide Contributions'!K96,2)</f>
        <v>40.36</v>
      </c>
      <c r="K96" s="70">
        <f t="shared" si="33"/>
        <v>10702504</v>
      </c>
      <c r="L96" s="70">
        <f t="shared" si="34"/>
        <v>0</v>
      </c>
      <c r="M96" s="175">
        <f t="shared" si="35"/>
        <v>0</v>
      </c>
      <c r="N96" s="70"/>
      <c r="O96" s="70"/>
      <c r="P96" s="70"/>
      <c r="Q96" s="62">
        <v>2694</v>
      </c>
      <c r="R96" s="62">
        <f t="shared" si="36"/>
        <v>2678</v>
      </c>
      <c r="S96" s="176"/>
      <c r="T96" s="176"/>
      <c r="U96" s="70"/>
      <c r="V96" s="70"/>
      <c r="W96" s="260"/>
      <c r="X96" s="62">
        <f t="shared" si="37"/>
        <v>1</v>
      </c>
      <c r="Y96" s="70"/>
      <c r="AA96" s="290"/>
      <c r="AB96" s="291"/>
      <c r="AC96" s="62"/>
      <c r="AD96" s="62"/>
      <c r="AE96" s="177">
        <f t="shared" si="38"/>
        <v>80340</v>
      </c>
      <c r="AF96" s="177">
        <f t="shared" si="39"/>
        <v>0</v>
      </c>
      <c r="AG96" s="70">
        <f t="shared" si="40"/>
        <v>10598614</v>
      </c>
      <c r="AH96" s="70">
        <f t="shared" si="41"/>
        <v>0</v>
      </c>
      <c r="AI96" s="587">
        <v>0</v>
      </c>
      <c r="AJ96" s="178">
        <f t="shared" si="42"/>
        <v>10598614</v>
      </c>
      <c r="AK96" s="301">
        <f t="shared" si="43"/>
        <v>39.968221971699613</v>
      </c>
      <c r="AL96" s="70">
        <f t="shared" si="44"/>
        <v>26517602</v>
      </c>
      <c r="AM96" s="179">
        <f t="shared" si="45"/>
        <v>100.00000027297773</v>
      </c>
      <c r="AN96" s="179"/>
      <c r="AO96" s="31">
        <f t="shared" si="46"/>
        <v>513960.79761285335</v>
      </c>
      <c r="AP96" s="31">
        <f t="shared" si="47"/>
        <v>482669.78009600006</v>
      </c>
      <c r="AQ96" s="31">
        <f t="shared" si="48"/>
        <v>-103890.13798454776</v>
      </c>
      <c r="AR96" s="180">
        <f t="shared" si="49"/>
        <v>-0.39177802830038644</v>
      </c>
      <c r="AS96" s="31">
        <f t="shared" si="52"/>
        <v>9902.02</v>
      </c>
      <c r="AU96" s="31">
        <f t="shared" si="50"/>
        <v>0</v>
      </c>
      <c r="AV96" s="177"/>
      <c r="AW96" s="31">
        <f t="shared" si="51"/>
        <v>180.23516807169531</v>
      </c>
    </row>
    <row r="97" spans="1:49">
      <c r="A97" s="102">
        <v>88</v>
      </c>
      <c r="B97" s="7" t="s">
        <v>1794</v>
      </c>
      <c r="C97" s="7">
        <v>1</v>
      </c>
      <c r="D97" s="62">
        <f t="shared" si="27"/>
        <v>34160203.240000002</v>
      </c>
      <c r="E97" s="172">
        <f t="shared" si="28"/>
        <v>9823611</v>
      </c>
      <c r="F97" s="62">
        <f t="shared" si="29"/>
        <v>34946347.827118024</v>
      </c>
      <c r="G97" s="70">
        <f t="shared" si="30"/>
        <v>26650276</v>
      </c>
      <c r="H97" s="62">
        <f t="shared" si="31"/>
        <v>8296072</v>
      </c>
      <c r="I97" s="173">
        <f t="shared" si="32"/>
        <v>0</v>
      </c>
      <c r="J97" s="174">
        <f>ROUND(100-'Townwide Contributions'!K97,2)</f>
        <v>23.85</v>
      </c>
      <c r="K97" s="70">
        <f t="shared" si="33"/>
        <v>8334704</v>
      </c>
      <c r="L97" s="70">
        <f t="shared" si="34"/>
        <v>0</v>
      </c>
      <c r="M97" s="175">
        <f t="shared" si="35"/>
        <v>0</v>
      </c>
      <c r="N97" s="70"/>
      <c r="O97" s="70"/>
      <c r="P97" s="70"/>
      <c r="Q97" s="62">
        <v>3629</v>
      </c>
      <c r="R97" s="62">
        <f t="shared" si="36"/>
        <v>3648</v>
      </c>
      <c r="S97" s="176"/>
      <c r="T97" s="176"/>
      <c r="U97" s="70"/>
      <c r="V97" s="70"/>
      <c r="W97" s="260"/>
      <c r="X97" s="62">
        <f t="shared" si="37"/>
        <v>0</v>
      </c>
      <c r="Y97" s="70"/>
      <c r="AA97" s="290"/>
      <c r="AB97" s="291"/>
      <c r="AC97" s="62"/>
      <c r="AD97" s="62"/>
      <c r="AE97" s="177">
        <f t="shared" si="38"/>
        <v>109440</v>
      </c>
      <c r="AF97" s="177">
        <f t="shared" si="39"/>
        <v>109440</v>
      </c>
      <c r="AG97" s="70">
        <f t="shared" si="40"/>
        <v>9933051</v>
      </c>
      <c r="AH97" s="70">
        <f t="shared" si="41"/>
        <v>0</v>
      </c>
      <c r="AI97" s="587">
        <v>0</v>
      </c>
      <c r="AJ97" s="178">
        <f t="shared" si="42"/>
        <v>9933051</v>
      </c>
      <c r="AK97" s="301">
        <f t="shared" si="43"/>
        <v>28.423716976490599</v>
      </c>
      <c r="AL97" s="70">
        <f t="shared" si="44"/>
        <v>36583327</v>
      </c>
      <c r="AM97" s="179">
        <f t="shared" si="45"/>
        <v>104.68426394935523</v>
      </c>
      <c r="AN97" s="179"/>
      <c r="AO97" s="31">
        <f t="shared" si="46"/>
        <v>786144.58711802214</v>
      </c>
      <c r="AP97" s="31">
        <f t="shared" si="47"/>
        <v>109440</v>
      </c>
      <c r="AQ97" s="31">
        <f t="shared" si="48"/>
        <v>1598347.0432323506</v>
      </c>
      <c r="AR97" s="180">
        <f t="shared" si="49"/>
        <v>4.5737169764905978</v>
      </c>
      <c r="AS97" s="31">
        <f t="shared" si="52"/>
        <v>9579.59</v>
      </c>
      <c r="AU97" s="31">
        <f t="shared" si="50"/>
        <v>0</v>
      </c>
      <c r="AV97" s="177"/>
      <c r="AW97" s="31">
        <f t="shared" si="51"/>
        <v>30</v>
      </c>
    </row>
    <row r="98" spans="1:49">
      <c r="A98" s="102">
        <v>89</v>
      </c>
      <c r="B98" s="7" t="s">
        <v>1795</v>
      </c>
      <c r="C98" s="7">
        <v>1</v>
      </c>
      <c r="D98" s="62">
        <f t="shared" si="27"/>
        <v>4012060.0799999996</v>
      </c>
      <c r="E98" s="172">
        <f t="shared" si="28"/>
        <v>684494</v>
      </c>
      <c r="F98" s="62">
        <f t="shared" si="29"/>
        <v>4120509.4730720278</v>
      </c>
      <c r="G98" s="70">
        <f t="shared" si="30"/>
        <v>3417460</v>
      </c>
      <c r="H98" s="62">
        <f t="shared" si="31"/>
        <v>703049</v>
      </c>
      <c r="I98" s="173">
        <f t="shared" si="32"/>
        <v>18555</v>
      </c>
      <c r="J98" s="174">
        <f>ROUND(100-'Townwide Contributions'!K98,2)</f>
        <v>17.5</v>
      </c>
      <c r="K98" s="70">
        <f t="shared" si="33"/>
        <v>721089</v>
      </c>
      <c r="L98" s="70">
        <f t="shared" si="34"/>
        <v>0</v>
      </c>
      <c r="M98" s="175">
        <f t="shared" si="35"/>
        <v>0</v>
      </c>
      <c r="N98" s="70"/>
      <c r="O98" s="70"/>
      <c r="P98" s="70"/>
      <c r="Q98" s="62">
        <v>408</v>
      </c>
      <c r="R98" s="62">
        <f t="shared" si="36"/>
        <v>410</v>
      </c>
      <c r="S98" s="176"/>
      <c r="T98" s="176"/>
      <c r="U98" s="70"/>
      <c r="V98" s="70"/>
      <c r="W98" s="260"/>
      <c r="X98" s="62">
        <f t="shared" si="37"/>
        <v>1</v>
      </c>
      <c r="Y98" s="70"/>
      <c r="AA98" s="290"/>
      <c r="AB98" s="291"/>
      <c r="AC98" s="62"/>
      <c r="AD98" s="62"/>
      <c r="AE98" s="177">
        <f t="shared" si="38"/>
        <v>12300</v>
      </c>
      <c r="AF98" s="177">
        <f t="shared" si="39"/>
        <v>0</v>
      </c>
      <c r="AG98" s="70">
        <f t="shared" si="40"/>
        <v>703049</v>
      </c>
      <c r="AH98" s="70">
        <f t="shared" si="41"/>
        <v>0</v>
      </c>
      <c r="AI98" s="587">
        <v>0</v>
      </c>
      <c r="AJ98" s="178">
        <f t="shared" si="42"/>
        <v>703049</v>
      </c>
      <c r="AK98" s="301">
        <f t="shared" si="43"/>
        <v>17.062186231933229</v>
      </c>
      <c r="AL98" s="70">
        <f t="shared" si="44"/>
        <v>4120509</v>
      </c>
      <c r="AM98" s="179">
        <f t="shared" si="45"/>
        <v>99.999988519088944</v>
      </c>
      <c r="AN98" s="179"/>
      <c r="AO98" s="31">
        <f t="shared" si="46"/>
        <v>108449.39307202818</v>
      </c>
      <c r="AP98" s="31">
        <f t="shared" si="47"/>
        <v>18555</v>
      </c>
      <c r="AQ98" s="31">
        <f t="shared" si="48"/>
        <v>-18040.15778760484</v>
      </c>
      <c r="AR98" s="180">
        <f t="shared" si="49"/>
        <v>-0.4378137680667713</v>
      </c>
      <c r="AS98" s="31">
        <f t="shared" si="52"/>
        <v>10050.02</v>
      </c>
      <c r="AU98" s="31">
        <f t="shared" si="50"/>
        <v>0</v>
      </c>
      <c r="AV98" s="177"/>
      <c r="AW98" s="31">
        <f t="shared" si="51"/>
        <v>45.256097560975611</v>
      </c>
    </row>
    <row r="99" spans="1:49">
      <c r="A99" s="102">
        <v>90</v>
      </c>
      <c r="B99" s="7" t="s">
        <v>1796</v>
      </c>
      <c r="C99" s="7">
        <v>0</v>
      </c>
      <c r="D99" s="62">
        <f t="shared" si="27"/>
        <v>0</v>
      </c>
      <c r="E99" s="172">
        <f t="shared" si="28"/>
        <v>0</v>
      </c>
      <c r="F99" s="62">
        <f t="shared" si="29"/>
        <v>0</v>
      </c>
      <c r="G99" s="70">
        <f t="shared" si="30"/>
        <v>0</v>
      </c>
      <c r="H99" s="62">
        <f t="shared" si="31"/>
        <v>0</v>
      </c>
      <c r="I99" s="173">
        <f t="shared" si="32"/>
        <v>0</v>
      </c>
      <c r="J99" s="174">
        <f>ROUND(100-'Townwide Contributions'!K99,2)</f>
        <v>17.5</v>
      </c>
      <c r="K99" s="70">
        <f t="shared" si="33"/>
        <v>0</v>
      </c>
      <c r="L99" s="70">
        <f t="shared" si="34"/>
        <v>0</v>
      </c>
      <c r="M99" s="175">
        <f t="shared" si="35"/>
        <v>0</v>
      </c>
      <c r="N99" s="70"/>
      <c r="O99" s="70"/>
      <c r="P99" s="70"/>
      <c r="Q99" s="62">
        <v>0</v>
      </c>
      <c r="R99" s="62">
        <f t="shared" si="36"/>
        <v>0</v>
      </c>
      <c r="S99" s="176"/>
      <c r="T99" s="176"/>
      <c r="U99" s="70"/>
      <c r="V99" s="70"/>
      <c r="W99" s="260"/>
      <c r="X99" s="62">
        <f t="shared" si="37"/>
        <v>0</v>
      </c>
      <c r="Y99" s="70"/>
      <c r="AA99" s="290"/>
      <c r="AB99" s="291"/>
      <c r="AC99" s="62"/>
      <c r="AD99" s="62"/>
      <c r="AE99" s="177">
        <f t="shared" si="38"/>
        <v>0</v>
      </c>
      <c r="AF99" s="177">
        <f t="shared" si="39"/>
        <v>0</v>
      </c>
      <c r="AG99" s="70">
        <f t="shared" si="40"/>
        <v>0</v>
      </c>
      <c r="AH99" s="70">
        <f t="shared" si="41"/>
        <v>0</v>
      </c>
      <c r="AI99" s="587">
        <v>0</v>
      </c>
      <c r="AJ99" s="178">
        <f t="shared" si="42"/>
        <v>0</v>
      </c>
      <c r="AK99" s="301">
        <f t="shared" si="43"/>
        <v>0</v>
      </c>
      <c r="AL99" s="70">
        <f t="shared" si="44"/>
        <v>0</v>
      </c>
      <c r="AM99" s="179">
        <f t="shared" si="45"/>
        <v>0</v>
      </c>
      <c r="AN99" s="179"/>
      <c r="AO99" s="31">
        <f t="shared" si="46"/>
        <v>0</v>
      </c>
      <c r="AP99" s="31">
        <f t="shared" si="47"/>
        <v>0</v>
      </c>
      <c r="AQ99" s="31">
        <f t="shared" si="48"/>
        <v>0</v>
      </c>
      <c r="AR99" s="180" t="str">
        <f t="shared" si="49"/>
        <v/>
      </c>
      <c r="AS99" s="31">
        <f t="shared" si="52"/>
        <v>0</v>
      </c>
      <c r="AU99" s="31">
        <f t="shared" si="50"/>
        <v>0</v>
      </c>
      <c r="AV99" s="177"/>
      <c r="AW99" s="31">
        <f t="shared" si="51"/>
        <v>0</v>
      </c>
    </row>
    <row r="100" spans="1:49">
      <c r="A100" s="102">
        <v>91</v>
      </c>
      <c r="B100" s="7" t="s">
        <v>1797</v>
      </c>
      <c r="C100" s="7">
        <v>1</v>
      </c>
      <c r="D100" s="62">
        <f t="shared" si="27"/>
        <v>2249261.63</v>
      </c>
      <c r="E100" s="172">
        <f t="shared" si="28"/>
        <v>451195</v>
      </c>
      <c r="F100" s="62">
        <f t="shared" si="29"/>
        <v>2174084.4728259463</v>
      </c>
      <c r="G100" s="70">
        <f t="shared" si="30"/>
        <v>1812979</v>
      </c>
      <c r="H100" s="62">
        <f t="shared" si="31"/>
        <v>361105</v>
      </c>
      <c r="I100" s="173">
        <f t="shared" si="32"/>
        <v>0</v>
      </c>
      <c r="J100" s="174">
        <f>ROUND(100-'Townwide Contributions'!K100,2)</f>
        <v>17.5</v>
      </c>
      <c r="K100" s="70">
        <f t="shared" si="33"/>
        <v>380465</v>
      </c>
      <c r="L100" s="70">
        <f t="shared" si="34"/>
        <v>0</v>
      </c>
      <c r="M100" s="175">
        <f t="shared" si="35"/>
        <v>0</v>
      </c>
      <c r="N100" s="70"/>
      <c r="O100" s="70"/>
      <c r="P100" s="70"/>
      <c r="Q100" s="62">
        <v>235</v>
      </c>
      <c r="R100" s="62">
        <f t="shared" si="36"/>
        <v>226</v>
      </c>
      <c r="S100" s="176"/>
      <c r="T100" s="176"/>
      <c r="U100" s="70"/>
      <c r="V100" s="70"/>
      <c r="W100" s="260"/>
      <c r="X100" s="62">
        <f t="shared" si="37"/>
        <v>0</v>
      </c>
      <c r="Y100" s="70"/>
      <c r="AA100" s="290"/>
      <c r="AB100" s="291"/>
      <c r="AC100" s="62"/>
      <c r="AD100" s="62"/>
      <c r="AE100" s="177">
        <f t="shared" si="38"/>
        <v>6780</v>
      </c>
      <c r="AF100" s="177">
        <f t="shared" si="39"/>
        <v>6780</v>
      </c>
      <c r="AG100" s="70">
        <f t="shared" si="40"/>
        <v>457975</v>
      </c>
      <c r="AH100" s="70">
        <f t="shared" si="41"/>
        <v>0</v>
      </c>
      <c r="AI100" s="587">
        <v>0</v>
      </c>
      <c r="AJ100" s="178">
        <f t="shared" si="42"/>
        <v>457975</v>
      </c>
      <c r="AK100" s="301">
        <f t="shared" si="43"/>
        <v>21.065188851871479</v>
      </c>
      <c r="AL100" s="70">
        <f t="shared" si="44"/>
        <v>2270954</v>
      </c>
      <c r="AM100" s="179">
        <f t="shared" si="45"/>
        <v>104.45564688883222</v>
      </c>
      <c r="AN100" s="179"/>
      <c r="AO100" s="31">
        <f t="shared" si="46"/>
        <v>-75177.157174053602</v>
      </c>
      <c r="AP100" s="31">
        <f t="shared" si="47"/>
        <v>6780</v>
      </c>
      <c r="AQ100" s="31">
        <f t="shared" si="48"/>
        <v>77510.2172554594</v>
      </c>
      <c r="AR100" s="180">
        <f t="shared" si="49"/>
        <v>3.5651888518714792</v>
      </c>
      <c r="AS100" s="31">
        <f t="shared" si="52"/>
        <v>9619.84</v>
      </c>
      <c r="AU100" s="31">
        <f t="shared" si="50"/>
        <v>0</v>
      </c>
      <c r="AV100" s="177"/>
      <c r="AW100" s="31">
        <f t="shared" si="51"/>
        <v>30</v>
      </c>
    </row>
    <row r="101" spans="1:49">
      <c r="A101" s="102">
        <v>92</v>
      </c>
      <c r="B101" s="7" t="s">
        <v>1798</v>
      </c>
      <c r="C101" s="7">
        <v>0</v>
      </c>
      <c r="D101" s="62">
        <f t="shared" si="27"/>
        <v>0</v>
      </c>
      <c r="E101" s="172">
        <f t="shared" si="28"/>
        <v>0</v>
      </c>
      <c r="F101" s="62">
        <f t="shared" si="29"/>
        <v>0</v>
      </c>
      <c r="G101" s="70">
        <f t="shared" si="30"/>
        <v>0</v>
      </c>
      <c r="H101" s="62">
        <f t="shared" si="31"/>
        <v>0</v>
      </c>
      <c r="I101" s="173">
        <f t="shared" si="32"/>
        <v>0</v>
      </c>
      <c r="J101" s="174">
        <f>ROUND(100-'Townwide Contributions'!K101,2)</f>
        <v>17.5</v>
      </c>
      <c r="K101" s="70">
        <f t="shared" si="33"/>
        <v>0</v>
      </c>
      <c r="L101" s="70">
        <f t="shared" si="34"/>
        <v>0</v>
      </c>
      <c r="M101" s="175">
        <f t="shared" si="35"/>
        <v>0</v>
      </c>
      <c r="N101" s="70"/>
      <c r="O101" s="70"/>
      <c r="P101" s="70"/>
      <c r="Q101" s="62">
        <v>0</v>
      </c>
      <c r="R101" s="62">
        <f t="shared" si="36"/>
        <v>0</v>
      </c>
      <c r="S101" s="176"/>
      <c r="T101" s="176"/>
      <c r="U101" s="70"/>
      <c r="V101" s="70"/>
      <c r="W101" s="260"/>
      <c r="X101" s="62">
        <f t="shared" si="37"/>
        <v>0</v>
      </c>
      <c r="Y101" s="70"/>
      <c r="AA101" s="290"/>
      <c r="AB101" s="291"/>
      <c r="AC101" s="62"/>
      <c r="AD101" s="62"/>
      <c r="AE101" s="177">
        <f t="shared" si="38"/>
        <v>0</v>
      </c>
      <c r="AF101" s="177">
        <f t="shared" si="39"/>
        <v>0</v>
      </c>
      <c r="AG101" s="70">
        <f t="shared" si="40"/>
        <v>0</v>
      </c>
      <c r="AH101" s="70">
        <f t="shared" si="41"/>
        <v>0</v>
      </c>
      <c r="AI101" s="587">
        <v>0</v>
      </c>
      <c r="AJ101" s="178">
        <f t="shared" si="42"/>
        <v>0</v>
      </c>
      <c r="AK101" s="301">
        <f t="shared" si="43"/>
        <v>0</v>
      </c>
      <c r="AL101" s="70">
        <f t="shared" si="44"/>
        <v>0</v>
      </c>
      <c r="AM101" s="179">
        <f t="shared" si="45"/>
        <v>0</v>
      </c>
      <c r="AN101" s="179"/>
      <c r="AO101" s="31">
        <f t="shared" si="46"/>
        <v>0</v>
      </c>
      <c r="AP101" s="31">
        <f t="shared" si="47"/>
        <v>0</v>
      </c>
      <c r="AQ101" s="31">
        <f t="shared" si="48"/>
        <v>0</v>
      </c>
      <c r="AR101" s="180" t="str">
        <f t="shared" si="49"/>
        <v/>
      </c>
      <c r="AS101" s="31">
        <f t="shared" si="52"/>
        <v>0</v>
      </c>
      <c r="AU101" s="31">
        <f t="shared" si="50"/>
        <v>0</v>
      </c>
      <c r="AV101" s="177"/>
      <c r="AW101" s="31">
        <f t="shared" si="51"/>
        <v>0</v>
      </c>
    </row>
    <row r="102" spans="1:49">
      <c r="A102" s="102">
        <v>93</v>
      </c>
      <c r="B102" s="7" t="s">
        <v>1799</v>
      </c>
      <c r="C102" s="7">
        <v>1</v>
      </c>
      <c r="D102" s="62">
        <f t="shared" si="27"/>
        <v>87583038.240480021</v>
      </c>
      <c r="E102" s="172">
        <f t="shared" si="28"/>
        <v>64492532</v>
      </c>
      <c r="F102" s="62">
        <f t="shared" si="29"/>
        <v>90558887.124926507</v>
      </c>
      <c r="G102" s="70">
        <f t="shared" si="30"/>
        <v>27455803</v>
      </c>
      <c r="H102" s="62">
        <f t="shared" si="31"/>
        <v>63103084</v>
      </c>
      <c r="I102" s="173">
        <f t="shared" si="32"/>
        <v>0</v>
      </c>
      <c r="J102" s="174">
        <f>ROUND(100-'Townwide Contributions'!K102,2)</f>
        <v>68.790000000000006</v>
      </c>
      <c r="K102" s="70">
        <f t="shared" si="33"/>
        <v>62295458</v>
      </c>
      <c r="L102" s="70">
        <f t="shared" si="34"/>
        <v>0</v>
      </c>
      <c r="M102" s="175">
        <f t="shared" si="35"/>
        <v>0</v>
      </c>
      <c r="N102" s="70"/>
      <c r="O102" s="70"/>
      <c r="P102" s="70"/>
      <c r="Q102" s="62">
        <v>7549</v>
      </c>
      <c r="R102" s="62">
        <f t="shared" si="36"/>
        <v>7635</v>
      </c>
      <c r="S102" s="176"/>
      <c r="T102" s="176"/>
      <c r="U102" s="70"/>
      <c r="V102" s="70"/>
      <c r="W102" s="260"/>
      <c r="X102" s="62">
        <f t="shared" si="37"/>
        <v>0</v>
      </c>
      <c r="Y102" s="70"/>
      <c r="AA102" s="290"/>
      <c r="AB102" s="291"/>
      <c r="AC102" s="62"/>
      <c r="AD102" s="62"/>
      <c r="AE102" s="177">
        <f t="shared" si="38"/>
        <v>229050</v>
      </c>
      <c r="AF102" s="177">
        <f t="shared" si="39"/>
        <v>229050</v>
      </c>
      <c r="AG102" s="70">
        <f t="shared" si="40"/>
        <v>64721582</v>
      </c>
      <c r="AH102" s="70">
        <f t="shared" si="41"/>
        <v>0</v>
      </c>
      <c r="AI102" s="587">
        <v>929397</v>
      </c>
      <c r="AJ102" s="178">
        <f t="shared" si="42"/>
        <v>65650979</v>
      </c>
      <c r="AK102" s="301">
        <f t="shared" si="43"/>
        <v>72.495346491431704</v>
      </c>
      <c r="AL102" s="70">
        <f t="shared" si="44"/>
        <v>93106782</v>
      </c>
      <c r="AM102" s="179">
        <f t="shared" si="45"/>
        <v>102.81352273196407</v>
      </c>
      <c r="AN102" s="179"/>
      <c r="AO102" s="31">
        <f t="shared" si="46"/>
        <v>2975848.8844464868</v>
      </c>
      <c r="AP102" s="31">
        <f t="shared" si="47"/>
        <v>1158447</v>
      </c>
      <c r="AQ102" s="31">
        <f t="shared" si="48"/>
        <v>3355520.5467630476</v>
      </c>
      <c r="AR102" s="180">
        <f t="shared" si="49"/>
        <v>3.7053464914316976</v>
      </c>
      <c r="AS102" s="31">
        <f t="shared" si="52"/>
        <v>11861.02</v>
      </c>
      <c r="AU102" s="31">
        <f t="shared" si="50"/>
        <v>0</v>
      </c>
      <c r="AV102" s="177"/>
      <c r="AW102" s="31">
        <f t="shared" si="51"/>
        <v>151.72848722986248</v>
      </c>
    </row>
    <row r="103" spans="1:49">
      <c r="A103" s="102">
        <v>94</v>
      </c>
      <c r="B103" s="7" t="s">
        <v>1800</v>
      </c>
      <c r="C103" s="7">
        <v>1</v>
      </c>
      <c r="D103" s="62">
        <f t="shared" si="27"/>
        <v>18309668.060000002</v>
      </c>
      <c r="E103" s="172">
        <f t="shared" si="28"/>
        <v>7526930</v>
      </c>
      <c r="F103" s="62">
        <f t="shared" si="29"/>
        <v>18758475.280269191</v>
      </c>
      <c r="G103" s="70">
        <f t="shared" si="30"/>
        <v>11557489</v>
      </c>
      <c r="H103" s="62">
        <f t="shared" si="31"/>
        <v>7200986</v>
      </c>
      <c r="I103" s="173">
        <f t="shared" si="32"/>
        <v>0</v>
      </c>
      <c r="J103" s="174">
        <f>ROUND(100-'Townwide Contributions'!K103,2)</f>
        <v>38.729999999999997</v>
      </c>
      <c r="K103" s="70">
        <f t="shared" si="33"/>
        <v>7265157</v>
      </c>
      <c r="L103" s="70">
        <f t="shared" si="34"/>
        <v>0</v>
      </c>
      <c r="M103" s="175">
        <f t="shared" si="35"/>
        <v>0</v>
      </c>
      <c r="N103" s="70"/>
      <c r="O103" s="70"/>
      <c r="P103" s="70"/>
      <c r="Q103" s="62">
        <v>1794</v>
      </c>
      <c r="R103" s="62">
        <f t="shared" si="36"/>
        <v>1801</v>
      </c>
      <c r="S103" s="176"/>
      <c r="T103" s="176"/>
      <c r="U103" s="70"/>
      <c r="V103" s="70"/>
      <c r="W103" s="260"/>
      <c r="X103" s="62">
        <f t="shared" si="37"/>
        <v>0</v>
      </c>
      <c r="Y103" s="70"/>
      <c r="AA103" s="290"/>
      <c r="AB103" s="291"/>
      <c r="AC103" s="62"/>
      <c r="AD103" s="62"/>
      <c r="AE103" s="177">
        <f t="shared" si="38"/>
        <v>54030</v>
      </c>
      <c r="AF103" s="177">
        <f t="shared" si="39"/>
        <v>54030</v>
      </c>
      <c r="AG103" s="70">
        <f t="shared" si="40"/>
        <v>7580960</v>
      </c>
      <c r="AH103" s="70">
        <f t="shared" si="41"/>
        <v>0</v>
      </c>
      <c r="AI103" s="587">
        <v>0</v>
      </c>
      <c r="AJ103" s="178">
        <f t="shared" si="42"/>
        <v>7580960</v>
      </c>
      <c r="AK103" s="301">
        <f t="shared" si="43"/>
        <v>40.413519151921236</v>
      </c>
      <c r="AL103" s="70">
        <f t="shared" si="44"/>
        <v>19138449</v>
      </c>
      <c r="AM103" s="179">
        <f t="shared" si="45"/>
        <v>102.02561089882651</v>
      </c>
      <c r="AN103" s="179"/>
      <c r="AO103" s="31">
        <f t="shared" si="46"/>
        <v>448807.22026918828</v>
      </c>
      <c r="AP103" s="31">
        <f t="shared" si="47"/>
        <v>54030</v>
      </c>
      <c r="AQ103" s="31">
        <f t="shared" si="48"/>
        <v>315802.5239517428</v>
      </c>
      <c r="AR103" s="180">
        <f t="shared" si="49"/>
        <v>1.6835191519212387</v>
      </c>
      <c r="AS103" s="31">
        <f t="shared" si="52"/>
        <v>10415.59</v>
      </c>
      <c r="AU103" s="31">
        <f t="shared" si="50"/>
        <v>0</v>
      </c>
      <c r="AV103" s="177"/>
      <c r="AW103" s="31">
        <f t="shared" si="51"/>
        <v>30</v>
      </c>
    </row>
    <row r="104" spans="1:49">
      <c r="A104" s="102">
        <v>95</v>
      </c>
      <c r="B104" s="7" t="s">
        <v>1801</v>
      </c>
      <c r="C104" s="7">
        <v>1</v>
      </c>
      <c r="D104" s="62">
        <f t="shared" si="27"/>
        <v>133322500.97999999</v>
      </c>
      <c r="E104" s="172">
        <f t="shared" si="28"/>
        <v>107141308</v>
      </c>
      <c r="F104" s="62">
        <f t="shared" si="29"/>
        <v>140367627.0677751</v>
      </c>
      <c r="G104" s="70">
        <f t="shared" si="30"/>
        <v>27932437</v>
      </c>
      <c r="H104" s="62">
        <f t="shared" si="31"/>
        <v>112435190</v>
      </c>
      <c r="I104" s="173">
        <f t="shared" si="32"/>
        <v>5293882</v>
      </c>
      <c r="J104" s="174">
        <f>ROUND(100-'Townwide Contributions'!K104,2)</f>
        <v>75.08</v>
      </c>
      <c r="K104" s="70">
        <f t="shared" si="33"/>
        <v>105388014</v>
      </c>
      <c r="L104" s="70">
        <f t="shared" si="34"/>
        <v>0</v>
      </c>
      <c r="M104" s="175">
        <f t="shared" si="35"/>
        <v>0</v>
      </c>
      <c r="N104" s="70"/>
      <c r="O104" s="70"/>
      <c r="P104" s="70"/>
      <c r="Q104" s="62">
        <v>11443</v>
      </c>
      <c r="R104" s="62">
        <f t="shared" si="36"/>
        <v>11662</v>
      </c>
      <c r="S104" s="176"/>
      <c r="T104" s="176"/>
      <c r="U104" s="70"/>
      <c r="V104" s="70"/>
      <c r="W104" s="260"/>
      <c r="X104" s="62">
        <f t="shared" si="37"/>
        <v>1</v>
      </c>
      <c r="Y104" s="70"/>
      <c r="AA104" s="290"/>
      <c r="AB104" s="291"/>
      <c r="AC104" s="62"/>
      <c r="AD104" s="62"/>
      <c r="AE104" s="177">
        <f t="shared" si="38"/>
        <v>349860</v>
      </c>
      <c r="AF104" s="177">
        <f t="shared" si="39"/>
        <v>0</v>
      </c>
      <c r="AG104" s="70">
        <f t="shared" si="40"/>
        <v>112435190</v>
      </c>
      <c r="AH104" s="70">
        <f t="shared" si="41"/>
        <v>0</v>
      </c>
      <c r="AI104" s="587">
        <v>0</v>
      </c>
      <c r="AJ104" s="178">
        <f t="shared" si="42"/>
        <v>112435190</v>
      </c>
      <c r="AK104" s="301">
        <f t="shared" si="43"/>
        <v>80.100513450805721</v>
      </c>
      <c r="AL104" s="70">
        <f t="shared" si="44"/>
        <v>140367627</v>
      </c>
      <c r="AM104" s="179">
        <f t="shared" si="45"/>
        <v>99.999999951716006</v>
      </c>
      <c r="AN104" s="179"/>
      <c r="AO104" s="31">
        <f t="shared" si="46"/>
        <v>7045126.0877751112</v>
      </c>
      <c r="AP104" s="31">
        <f t="shared" si="47"/>
        <v>5293882</v>
      </c>
      <c r="AQ104" s="31">
        <f t="shared" si="48"/>
        <v>7047175.5975144506</v>
      </c>
      <c r="AR104" s="180">
        <f t="shared" si="49"/>
        <v>5.0205134508057228</v>
      </c>
      <c r="AS104" s="31">
        <f t="shared" si="52"/>
        <v>12036.33</v>
      </c>
      <c r="AU104" s="31">
        <f t="shared" si="50"/>
        <v>0</v>
      </c>
      <c r="AV104" s="177"/>
      <c r="AW104" s="31">
        <f t="shared" si="51"/>
        <v>453.94289144229123</v>
      </c>
    </row>
    <row r="105" spans="1:49">
      <c r="A105" s="102">
        <v>96</v>
      </c>
      <c r="B105" s="7" t="s">
        <v>1802</v>
      </c>
      <c r="C105" s="7">
        <v>1</v>
      </c>
      <c r="D105" s="62">
        <f t="shared" si="27"/>
        <v>35716152.020000003</v>
      </c>
      <c r="E105" s="172">
        <f t="shared" si="28"/>
        <v>5918282</v>
      </c>
      <c r="F105" s="62">
        <f t="shared" si="29"/>
        <v>35776347.341015682</v>
      </c>
      <c r="G105" s="70">
        <f t="shared" si="30"/>
        <v>29665659</v>
      </c>
      <c r="H105" s="62">
        <f t="shared" si="31"/>
        <v>6110688</v>
      </c>
      <c r="I105" s="173">
        <f t="shared" si="32"/>
        <v>192406</v>
      </c>
      <c r="J105" s="174">
        <f>ROUND(100-'Townwide Contributions'!K105,2)</f>
        <v>17.5</v>
      </c>
      <c r="K105" s="70">
        <f t="shared" si="33"/>
        <v>6260861</v>
      </c>
      <c r="L105" s="70">
        <f t="shared" si="34"/>
        <v>0</v>
      </c>
      <c r="M105" s="175">
        <f t="shared" si="35"/>
        <v>0</v>
      </c>
      <c r="N105" s="70"/>
      <c r="O105" s="70"/>
      <c r="P105" s="70"/>
      <c r="Q105" s="62">
        <v>3499</v>
      </c>
      <c r="R105" s="62">
        <f t="shared" si="36"/>
        <v>3442</v>
      </c>
      <c r="S105" s="176"/>
      <c r="T105" s="176"/>
      <c r="U105" s="70"/>
      <c r="V105" s="70"/>
      <c r="W105" s="260"/>
      <c r="X105" s="62">
        <f t="shared" si="37"/>
        <v>1</v>
      </c>
      <c r="Y105" s="70"/>
      <c r="AA105" s="290"/>
      <c r="AB105" s="291"/>
      <c r="AC105" s="62"/>
      <c r="AD105" s="62"/>
      <c r="AE105" s="177">
        <f t="shared" si="38"/>
        <v>103260</v>
      </c>
      <c r="AF105" s="177">
        <f t="shared" si="39"/>
        <v>0</v>
      </c>
      <c r="AG105" s="70">
        <f t="shared" si="40"/>
        <v>6110688</v>
      </c>
      <c r="AH105" s="70">
        <f t="shared" si="41"/>
        <v>0</v>
      </c>
      <c r="AI105" s="587">
        <v>0</v>
      </c>
      <c r="AJ105" s="178">
        <f t="shared" si="42"/>
        <v>6110688</v>
      </c>
      <c r="AK105" s="301">
        <f t="shared" si="43"/>
        <v>17.080245620811102</v>
      </c>
      <c r="AL105" s="70">
        <f t="shared" si="44"/>
        <v>35776347</v>
      </c>
      <c r="AM105" s="179">
        <f t="shared" si="45"/>
        <v>99.999999046812476</v>
      </c>
      <c r="AN105" s="179"/>
      <c r="AO105" s="31">
        <f t="shared" si="46"/>
        <v>60195.321015678346</v>
      </c>
      <c r="AP105" s="31">
        <f t="shared" si="47"/>
        <v>192406</v>
      </c>
      <c r="AQ105" s="31">
        <f t="shared" si="48"/>
        <v>-150172.78467774391</v>
      </c>
      <c r="AR105" s="180">
        <f t="shared" si="49"/>
        <v>-0.41975437918889824</v>
      </c>
      <c r="AS105" s="31">
        <f t="shared" si="52"/>
        <v>10394.06</v>
      </c>
      <c r="AU105" s="31">
        <f t="shared" si="50"/>
        <v>0</v>
      </c>
      <c r="AV105" s="177"/>
      <c r="AW105" s="31">
        <f t="shared" si="51"/>
        <v>55.899477048227773</v>
      </c>
    </row>
    <row r="106" spans="1:49">
      <c r="A106" s="102">
        <v>97</v>
      </c>
      <c r="B106" s="7" t="s">
        <v>1803</v>
      </c>
      <c r="C106" s="7">
        <v>1</v>
      </c>
      <c r="D106" s="62">
        <f t="shared" si="27"/>
        <v>64368039</v>
      </c>
      <c r="E106" s="172">
        <f t="shared" si="28"/>
        <v>47404728</v>
      </c>
      <c r="F106" s="62">
        <f t="shared" si="29"/>
        <v>66887262.052477211</v>
      </c>
      <c r="G106" s="70">
        <f t="shared" si="30"/>
        <v>17058113</v>
      </c>
      <c r="H106" s="62">
        <f t="shared" si="31"/>
        <v>49829149</v>
      </c>
      <c r="I106" s="173">
        <f t="shared" si="32"/>
        <v>2424421</v>
      </c>
      <c r="J106" s="174">
        <f>ROUND(100-'Townwide Contributions'!K106,2)</f>
        <v>74.67</v>
      </c>
      <c r="K106" s="70">
        <f t="shared" si="33"/>
        <v>49944719</v>
      </c>
      <c r="L106" s="70">
        <f t="shared" si="34"/>
        <v>0</v>
      </c>
      <c r="M106" s="175">
        <f t="shared" si="35"/>
        <v>0</v>
      </c>
      <c r="N106" s="70"/>
      <c r="O106" s="70"/>
      <c r="P106" s="70"/>
      <c r="Q106" s="62">
        <v>5646</v>
      </c>
      <c r="R106" s="62">
        <f t="shared" si="36"/>
        <v>5757</v>
      </c>
      <c r="S106" s="176"/>
      <c r="T106" s="176"/>
      <c r="U106" s="70"/>
      <c r="V106" s="70"/>
      <c r="W106" s="260"/>
      <c r="X106" s="62">
        <f t="shared" si="37"/>
        <v>1</v>
      </c>
      <c r="Y106" s="70"/>
      <c r="AA106" s="290"/>
      <c r="AB106" s="291"/>
      <c r="AC106" s="62"/>
      <c r="AD106" s="62"/>
      <c r="AE106" s="177">
        <f t="shared" si="38"/>
        <v>172710</v>
      </c>
      <c r="AF106" s="177">
        <f t="shared" si="39"/>
        <v>0</v>
      </c>
      <c r="AG106" s="70">
        <f t="shared" si="40"/>
        <v>49829149</v>
      </c>
      <c r="AH106" s="70">
        <f t="shared" si="41"/>
        <v>0</v>
      </c>
      <c r="AI106" s="587">
        <v>0</v>
      </c>
      <c r="AJ106" s="178">
        <f t="shared" si="42"/>
        <v>49829149</v>
      </c>
      <c r="AK106" s="301">
        <f t="shared" si="43"/>
        <v>74.497217363906955</v>
      </c>
      <c r="AL106" s="70">
        <f t="shared" si="44"/>
        <v>66887262</v>
      </c>
      <c r="AM106" s="179">
        <f t="shared" si="45"/>
        <v>99.99999992154379</v>
      </c>
      <c r="AN106" s="179"/>
      <c r="AO106" s="31">
        <f t="shared" si="46"/>
        <v>2519223.0524772108</v>
      </c>
      <c r="AP106" s="31">
        <f t="shared" si="47"/>
        <v>2424421</v>
      </c>
      <c r="AQ106" s="31">
        <f t="shared" si="48"/>
        <v>-115569.57458473742</v>
      </c>
      <c r="AR106" s="180">
        <f t="shared" si="49"/>
        <v>-0.17278263609304645</v>
      </c>
      <c r="AS106" s="31">
        <f t="shared" si="52"/>
        <v>11618.42</v>
      </c>
      <c r="AU106" s="31">
        <f t="shared" si="50"/>
        <v>0</v>
      </c>
      <c r="AV106" s="177"/>
      <c r="AW106" s="31">
        <f t="shared" si="51"/>
        <v>421.12575994441551</v>
      </c>
    </row>
    <row r="107" spans="1:49">
      <c r="A107" s="102">
        <v>98</v>
      </c>
      <c r="B107" s="7" t="s">
        <v>1804</v>
      </c>
      <c r="C107" s="7">
        <v>1</v>
      </c>
      <c r="D107" s="62">
        <f t="shared" si="27"/>
        <v>894111.96999999986</v>
      </c>
      <c r="E107" s="172">
        <f t="shared" si="28"/>
        <v>544087</v>
      </c>
      <c r="F107" s="62">
        <f t="shared" si="29"/>
        <v>837564.72544684017</v>
      </c>
      <c r="G107" s="70">
        <f t="shared" si="30"/>
        <v>470893</v>
      </c>
      <c r="H107" s="62">
        <f t="shared" si="31"/>
        <v>366672</v>
      </c>
      <c r="I107" s="173">
        <f t="shared" si="32"/>
        <v>0</v>
      </c>
      <c r="J107" s="174">
        <f>ROUND(100-'Townwide Contributions'!K107,2)</f>
        <v>44.37</v>
      </c>
      <c r="K107" s="70">
        <f t="shared" si="33"/>
        <v>371627</v>
      </c>
      <c r="L107" s="70">
        <f t="shared" si="34"/>
        <v>0</v>
      </c>
      <c r="M107" s="175">
        <f t="shared" si="35"/>
        <v>0</v>
      </c>
      <c r="N107" s="70"/>
      <c r="O107" s="70"/>
      <c r="P107" s="70"/>
      <c r="Q107" s="62">
        <v>89</v>
      </c>
      <c r="R107" s="62">
        <f t="shared" si="36"/>
        <v>85</v>
      </c>
      <c r="S107" s="176"/>
      <c r="T107" s="176"/>
      <c r="U107" s="70"/>
      <c r="V107" s="70"/>
      <c r="W107" s="260"/>
      <c r="X107" s="62">
        <f t="shared" si="37"/>
        <v>0</v>
      </c>
      <c r="Y107" s="70"/>
      <c r="AA107" s="290"/>
      <c r="AB107" s="291"/>
      <c r="AC107" s="62"/>
      <c r="AD107" s="62"/>
      <c r="AE107" s="177">
        <f t="shared" si="38"/>
        <v>2550</v>
      </c>
      <c r="AF107" s="177">
        <f t="shared" si="39"/>
        <v>2550</v>
      </c>
      <c r="AG107" s="70">
        <f t="shared" si="40"/>
        <v>546637</v>
      </c>
      <c r="AH107" s="70">
        <f t="shared" si="41"/>
        <v>0</v>
      </c>
      <c r="AI107" s="587">
        <v>0</v>
      </c>
      <c r="AJ107" s="178">
        <f t="shared" si="42"/>
        <v>546637</v>
      </c>
      <c r="AK107" s="301">
        <f t="shared" si="43"/>
        <v>65.265045600907996</v>
      </c>
      <c r="AL107" s="70">
        <f t="shared" si="44"/>
        <v>1017530</v>
      </c>
      <c r="AM107" s="179">
        <f t="shared" si="45"/>
        <v>121.48673040846467</v>
      </c>
      <c r="AN107" s="179"/>
      <c r="AO107" s="31">
        <f t="shared" si="46"/>
        <v>-56547.24455315969</v>
      </c>
      <c r="AP107" s="31">
        <f t="shared" si="47"/>
        <v>2550</v>
      </c>
      <c r="AQ107" s="31">
        <f t="shared" si="48"/>
        <v>175009.53131923702</v>
      </c>
      <c r="AR107" s="180">
        <f t="shared" si="49"/>
        <v>20.895045600907999</v>
      </c>
      <c r="AS107" s="31">
        <f t="shared" si="52"/>
        <v>9853.7000000000007</v>
      </c>
      <c r="AU107" s="31">
        <f t="shared" si="50"/>
        <v>0</v>
      </c>
      <c r="AV107" s="177"/>
      <c r="AW107" s="31">
        <f t="shared" si="51"/>
        <v>30</v>
      </c>
    </row>
    <row r="108" spans="1:49">
      <c r="A108" s="102">
        <v>99</v>
      </c>
      <c r="B108" s="7" t="s">
        <v>1805</v>
      </c>
      <c r="C108" s="7">
        <v>1</v>
      </c>
      <c r="D108" s="62">
        <f t="shared" si="27"/>
        <v>26222277.008499999</v>
      </c>
      <c r="E108" s="172">
        <f t="shared" si="28"/>
        <v>8810280</v>
      </c>
      <c r="F108" s="62">
        <f t="shared" si="29"/>
        <v>26331117.517189495</v>
      </c>
      <c r="G108" s="70">
        <f t="shared" si="30"/>
        <v>21807366</v>
      </c>
      <c r="H108" s="62">
        <f t="shared" si="31"/>
        <v>4523752</v>
      </c>
      <c r="I108" s="173">
        <f t="shared" si="32"/>
        <v>0</v>
      </c>
      <c r="J108" s="174">
        <f>ROUND(100-'Townwide Contributions'!K108,2)</f>
        <v>17.5</v>
      </c>
      <c r="K108" s="70">
        <f t="shared" si="33"/>
        <v>4607946</v>
      </c>
      <c r="L108" s="70">
        <f t="shared" si="34"/>
        <v>0</v>
      </c>
      <c r="M108" s="175">
        <f t="shared" si="35"/>
        <v>0</v>
      </c>
      <c r="N108" s="70"/>
      <c r="O108" s="70"/>
      <c r="P108" s="70"/>
      <c r="Q108" s="62">
        <v>2648</v>
      </c>
      <c r="R108" s="62">
        <f t="shared" si="36"/>
        <v>2597</v>
      </c>
      <c r="S108" s="176"/>
      <c r="T108" s="176"/>
      <c r="U108" s="70"/>
      <c r="V108" s="70"/>
      <c r="W108" s="260"/>
      <c r="X108" s="62">
        <f t="shared" si="37"/>
        <v>0</v>
      </c>
      <c r="Y108" s="70"/>
      <c r="AA108" s="290"/>
      <c r="AB108" s="291"/>
      <c r="AC108" s="62"/>
      <c r="AD108" s="62"/>
      <c r="AE108" s="177">
        <f t="shared" si="38"/>
        <v>77910</v>
      </c>
      <c r="AF108" s="177">
        <f t="shared" si="39"/>
        <v>77910</v>
      </c>
      <c r="AG108" s="70">
        <f t="shared" si="40"/>
        <v>8888190</v>
      </c>
      <c r="AH108" s="70">
        <f t="shared" si="41"/>
        <v>0</v>
      </c>
      <c r="AI108" s="587">
        <v>0</v>
      </c>
      <c r="AJ108" s="178">
        <f t="shared" si="42"/>
        <v>8888190</v>
      </c>
      <c r="AK108" s="301">
        <f t="shared" si="43"/>
        <v>33.755460603590436</v>
      </c>
      <c r="AL108" s="70">
        <f t="shared" si="44"/>
        <v>30695556</v>
      </c>
      <c r="AM108" s="179">
        <f t="shared" si="45"/>
        <v>116.575211743145</v>
      </c>
      <c r="AN108" s="179"/>
      <c r="AO108" s="31">
        <f t="shared" si="46"/>
        <v>108840.50868949667</v>
      </c>
      <c r="AP108" s="31">
        <f t="shared" si="47"/>
        <v>77910</v>
      </c>
      <c r="AQ108" s="31">
        <f t="shared" si="48"/>
        <v>4280244.4344918383</v>
      </c>
      <c r="AR108" s="180">
        <f t="shared" si="49"/>
        <v>16.255460603590436</v>
      </c>
      <c r="AS108" s="31">
        <f t="shared" si="52"/>
        <v>10139.049999999999</v>
      </c>
      <c r="AU108" s="31">
        <f t="shared" si="50"/>
        <v>0</v>
      </c>
      <c r="AV108" s="177"/>
      <c r="AW108" s="31">
        <f t="shared" si="51"/>
        <v>30</v>
      </c>
    </row>
    <row r="109" spans="1:49">
      <c r="A109" s="102">
        <v>100</v>
      </c>
      <c r="B109" s="7" t="s">
        <v>1806</v>
      </c>
      <c r="C109" s="7">
        <v>1</v>
      </c>
      <c r="D109" s="62">
        <f t="shared" si="27"/>
        <v>97409677.469920009</v>
      </c>
      <c r="E109" s="172">
        <f t="shared" si="28"/>
        <v>42091391</v>
      </c>
      <c r="F109" s="62">
        <f t="shared" si="29"/>
        <v>100719920.94220732</v>
      </c>
      <c r="G109" s="70">
        <f t="shared" si="30"/>
        <v>59331897</v>
      </c>
      <c r="H109" s="62">
        <f t="shared" si="31"/>
        <v>41388024</v>
      </c>
      <c r="I109" s="173">
        <f t="shared" si="32"/>
        <v>0</v>
      </c>
      <c r="J109" s="174">
        <f>ROUND(100-'Townwide Contributions'!K109,2)</f>
        <v>38.64</v>
      </c>
      <c r="K109" s="70">
        <f t="shared" si="33"/>
        <v>38918177</v>
      </c>
      <c r="L109" s="70">
        <f t="shared" si="34"/>
        <v>0</v>
      </c>
      <c r="M109" s="175">
        <f t="shared" si="35"/>
        <v>0</v>
      </c>
      <c r="N109" s="70"/>
      <c r="O109" s="70"/>
      <c r="P109" s="70"/>
      <c r="Q109" s="62">
        <v>8901</v>
      </c>
      <c r="R109" s="62">
        <f t="shared" si="36"/>
        <v>9061</v>
      </c>
      <c r="S109" s="176"/>
      <c r="T109" s="176"/>
      <c r="U109" s="70"/>
      <c r="V109" s="70"/>
      <c r="W109" s="260"/>
      <c r="X109" s="62">
        <f t="shared" si="37"/>
        <v>0</v>
      </c>
      <c r="Y109" s="70"/>
      <c r="AA109" s="290"/>
      <c r="AB109" s="291"/>
      <c r="AC109" s="62"/>
      <c r="AD109" s="62"/>
      <c r="AE109" s="177">
        <f t="shared" si="38"/>
        <v>271830</v>
      </c>
      <c r="AF109" s="177">
        <f t="shared" si="39"/>
        <v>271830</v>
      </c>
      <c r="AG109" s="70">
        <f t="shared" si="40"/>
        <v>42363221</v>
      </c>
      <c r="AH109" s="70">
        <f t="shared" si="41"/>
        <v>0</v>
      </c>
      <c r="AI109" s="587">
        <v>0</v>
      </c>
      <c r="AJ109" s="178">
        <f t="shared" si="42"/>
        <v>42363221</v>
      </c>
      <c r="AK109" s="301">
        <f t="shared" si="43"/>
        <v>42.060419233557425</v>
      </c>
      <c r="AL109" s="70">
        <f t="shared" si="44"/>
        <v>101695118</v>
      </c>
      <c r="AM109" s="179">
        <f t="shared" si="45"/>
        <v>100.96822659179035</v>
      </c>
      <c r="AN109" s="179"/>
      <c r="AO109" s="31">
        <f t="shared" si="46"/>
        <v>3310243.4722873122</v>
      </c>
      <c r="AP109" s="31">
        <f t="shared" si="47"/>
        <v>271830</v>
      </c>
      <c r="AQ109" s="31">
        <f t="shared" si="48"/>
        <v>3445043.54793109</v>
      </c>
      <c r="AR109" s="180">
        <f t="shared" si="49"/>
        <v>3.4204192335574248</v>
      </c>
      <c r="AS109" s="31">
        <f t="shared" si="52"/>
        <v>11115.76</v>
      </c>
      <c r="AU109" s="31">
        <f t="shared" si="50"/>
        <v>0</v>
      </c>
      <c r="AV109" s="177"/>
      <c r="AW109" s="31">
        <f t="shared" si="51"/>
        <v>30</v>
      </c>
    </row>
    <row r="110" spans="1:49">
      <c r="A110" s="102">
        <v>101</v>
      </c>
      <c r="B110" s="7" t="s">
        <v>1807</v>
      </c>
      <c r="C110" s="7">
        <v>1</v>
      </c>
      <c r="D110" s="62">
        <f t="shared" si="27"/>
        <v>56727033.490920007</v>
      </c>
      <c r="E110" s="172">
        <f t="shared" si="28"/>
        <v>27903911</v>
      </c>
      <c r="F110" s="62">
        <f t="shared" si="29"/>
        <v>57148940.326983534</v>
      </c>
      <c r="G110" s="70">
        <f t="shared" si="30"/>
        <v>36769474</v>
      </c>
      <c r="H110" s="62">
        <f t="shared" si="31"/>
        <v>20379466</v>
      </c>
      <c r="I110" s="173">
        <f t="shared" si="32"/>
        <v>0</v>
      </c>
      <c r="J110" s="174">
        <f>ROUND(100-'Townwide Contributions'!K110,2)</f>
        <v>34.64</v>
      </c>
      <c r="K110" s="70">
        <f t="shared" si="33"/>
        <v>19796393</v>
      </c>
      <c r="L110" s="70">
        <f t="shared" si="34"/>
        <v>0</v>
      </c>
      <c r="M110" s="175">
        <f t="shared" si="35"/>
        <v>0</v>
      </c>
      <c r="N110" s="70"/>
      <c r="O110" s="70"/>
      <c r="P110" s="70"/>
      <c r="Q110" s="62">
        <v>5963</v>
      </c>
      <c r="R110" s="62">
        <f t="shared" si="36"/>
        <v>5818</v>
      </c>
      <c r="S110" s="176"/>
      <c r="T110" s="176"/>
      <c r="U110" s="70"/>
      <c r="V110" s="70"/>
      <c r="W110" s="260"/>
      <c r="X110" s="62">
        <f t="shared" si="37"/>
        <v>0</v>
      </c>
      <c r="Y110" s="70"/>
      <c r="AA110" s="290"/>
      <c r="AB110" s="291"/>
      <c r="AC110" s="62"/>
      <c r="AD110" s="62"/>
      <c r="AE110" s="177">
        <f t="shared" si="38"/>
        <v>174540</v>
      </c>
      <c r="AF110" s="177">
        <f t="shared" si="39"/>
        <v>174540</v>
      </c>
      <c r="AG110" s="70">
        <f t="shared" si="40"/>
        <v>28078451</v>
      </c>
      <c r="AH110" s="70">
        <f t="shared" si="41"/>
        <v>0</v>
      </c>
      <c r="AI110" s="587">
        <v>0</v>
      </c>
      <c r="AJ110" s="178">
        <f t="shared" si="42"/>
        <v>28078451</v>
      </c>
      <c r="AK110" s="301">
        <f t="shared" si="43"/>
        <v>49.132058861190174</v>
      </c>
      <c r="AL110" s="70">
        <f t="shared" si="44"/>
        <v>64847925</v>
      </c>
      <c r="AM110" s="179">
        <f t="shared" si="45"/>
        <v>113.47178902874828</v>
      </c>
      <c r="AN110" s="179"/>
      <c r="AO110" s="31">
        <f t="shared" si="46"/>
        <v>421906.83606352657</v>
      </c>
      <c r="AP110" s="31">
        <f t="shared" si="47"/>
        <v>174540</v>
      </c>
      <c r="AQ110" s="31">
        <f t="shared" si="48"/>
        <v>8282058.0707329065</v>
      </c>
      <c r="AR110" s="180">
        <f t="shared" si="49"/>
        <v>14.492058861190174</v>
      </c>
      <c r="AS110" s="31">
        <f t="shared" si="52"/>
        <v>9822.7800000000007</v>
      </c>
      <c r="AU110" s="31">
        <f t="shared" si="50"/>
        <v>0</v>
      </c>
      <c r="AV110" s="177"/>
      <c r="AW110" s="31">
        <f t="shared" si="51"/>
        <v>30</v>
      </c>
    </row>
    <row r="111" spans="1:49">
      <c r="A111" s="102">
        <v>102</v>
      </c>
      <c r="B111" s="7" t="s">
        <v>1808</v>
      </c>
      <c r="C111" s="7">
        <v>0</v>
      </c>
      <c r="D111" s="62">
        <f t="shared" si="27"/>
        <v>1326002.28</v>
      </c>
      <c r="E111" s="172">
        <f t="shared" si="28"/>
        <v>452684</v>
      </c>
      <c r="F111" s="62">
        <f t="shared" si="29"/>
        <v>1336875.3977878354</v>
      </c>
      <c r="G111" s="70">
        <f t="shared" si="30"/>
        <v>897676</v>
      </c>
      <c r="H111" s="62">
        <f t="shared" si="31"/>
        <v>439199</v>
      </c>
      <c r="I111" s="173">
        <f t="shared" si="32"/>
        <v>0</v>
      </c>
      <c r="J111" s="174">
        <f>ROUND(100-'Townwide Contributions'!K111,2)</f>
        <v>33.340000000000003</v>
      </c>
      <c r="K111" s="70">
        <f t="shared" si="33"/>
        <v>445714</v>
      </c>
      <c r="L111" s="70">
        <f t="shared" si="34"/>
        <v>0</v>
      </c>
      <c r="M111" s="175">
        <f t="shared" si="35"/>
        <v>0</v>
      </c>
      <c r="N111" s="70"/>
      <c r="O111" s="70"/>
      <c r="P111" s="70"/>
      <c r="Q111" s="62">
        <v>93</v>
      </c>
      <c r="R111" s="62">
        <f t="shared" si="36"/>
        <v>92</v>
      </c>
      <c r="S111" s="176"/>
      <c r="T111" s="176"/>
      <c r="U111" s="70"/>
      <c r="V111" s="70"/>
      <c r="W111" s="260"/>
      <c r="X111" s="62">
        <f t="shared" si="37"/>
        <v>0</v>
      </c>
      <c r="Y111" s="70"/>
      <c r="AA111" s="290"/>
      <c r="AB111" s="291"/>
      <c r="AC111" s="62"/>
      <c r="AD111" s="62"/>
      <c r="AE111" s="177">
        <f t="shared" si="38"/>
        <v>0</v>
      </c>
      <c r="AF111" s="177">
        <f t="shared" si="39"/>
        <v>0</v>
      </c>
      <c r="AG111" s="70">
        <f t="shared" si="40"/>
        <v>452684</v>
      </c>
      <c r="AH111" s="70">
        <f t="shared" si="41"/>
        <v>0</v>
      </c>
      <c r="AI111" s="587">
        <v>0</v>
      </c>
      <c r="AJ111" s="178">
        <f t="shared" si="42"/>
        <v>452684</v>
      </c>
      <c r="AK111" s="301">
        <f t="shared" si="43"/>
        <v>0</v>
      </c>
      <c r="AL111" s="70">
        <f t="shared" si="44"/>
        <v>1350360</v>
      </c>
      <c r="AM111" s="179">
        <f t="shared" si="45"/>
        <v>101.00866559699415</v>
      </c>
      <c r="AN111" s="179"/>
      <c r="AO111" s="31">
        <f t="shared" si="46"/>
        <v>10873.117787835421</v>
      </c>
      <c r="AP111" s="31">
        <f t="shared" si="47"/>
        <v>0</v>
      </c>
      <c r="AQ111" s="31">
        <f t="shared" si="48"/>
        <v>6969.7423775356147</v>
      </c>
      <c r="AR111" s="180" t="str">
        <f t="shared" si="49"/>
        <v/>
      </c>
      <c r="AS111" s="31">
        <f t="shared" si="52"/>
        <v>14531.25</v>
      </c>
      <c r="AU111" s="31">
        <f t="shared" si="50"/>
        <v>0</v>
      </c>
      <c r="AV111" s="177"/>
      <c r="AW111" s="31">
        <f t="shared" si="51"/>
        <v>0</v>
      </c>
    </row>
    <row r="112" spans="1:49">
      <c r="A112" s="102">
        <v>103</v>
      </c>
      <c r="B112" s="7" t="s">
        <v>1809</v>
      </c>
      <c r="C112" s="7">
        <v>1</v>
      </c>
      <c r="D112" s="62">
        <f t="shared" si="27"/>
        <v>27651776.550000001</v>
      </c>
      <c r="E112" s="172">
        <f t="shared" si="28"/>
        <v>19225095</v>
      </c>
      <c r="F112" s="62">
        <f t="shared" si="29"/>
        <v>28300931.482949637</v>
      </c>
      <c r="G112" s="70">
        <f t="shared" si="30"/>
        <v>8779067</v>
      </c>
      <c r="H112" s="62">
        <f t="shared" si="31"/>
        <v>19521864</v>
      </c>
      <c r="I112" s="173">
        <f t="shared" si="32"/>
        <v>296769</v>
      </c>
      <c r="J112" s="174">
        <f>ROUND(100-'Townwide Contributions'!K112,2)</f>
        <v>67.87</v>
      </c>
      <c r="K112" s="70">
        <f t="shared" si="33"/>
        <v>19207842</v>
      </c>
      <c r="L112" s="70">
        <f t="shared" si="34"/>
        <v>0</v>
      </c>
      <c r="M112" s="175">
        <f t="shared" si="35"/>
        <v>0</v>
      </c>
      <c r="N112" s="70"/>
      <c r="O112" s="70"/>
      <c r="P112" s="70"/>
      <c r="Q112" s="62">
        <v>2533</v>
      </c>
      <c r="R112" s="62">
        <f t="shared" si="36"/>
        <v>2531</v>
      </c>
      <c r="S112" s="176"/>
      <c r="T112" s="176"/>
      <c r="U112" s="70"/>
      <c r="V112" s="70"/>
      <c r="W112" s="260"/>
      <c r="X112" s="62">
        <f t="shared" si="37"/>
        <v>1</v>
      </c>
      <c r="Y112" s="70"/>
      <c r="AA112" s="290"/>
      <c r="AB112" s="291"/>
      <c r="AC112" s="62"/>
      <c r="AD112" s="62"/>
      <c r="AE112" s="177">
        <f t="shared" si="38"/>
        <v>75930</v>
      </c>
      <c r="AF112" s="177">
        <f t="shared" si="39"/>
        <v>0</v>
      </c>
      <c r="AG112" s="70">
        <f t="shared" si="40"/>
        <v>19521864</v>
      </c>
      <c r="AH112" s="70">
        <f t="shared" si="41"/>
        <v>0</v>
      </c>
      <c r="AI112" s="587">
        <v>0</v>
      </c>
      <c r="AJ112" s="178">
        <f t="shared" si="42"/>
        <v>19521864</v>
      </c>
      <c r="AK112" s="301">
        <f t="shared" si="43"/>
        <v>68.979581155345599</v>
      </c>
      <c r="AL112" s="70">
        <f t="shared" si="44"/>
        <v>28300931</v>
      </c>
      <c r="AM112" s="179">
        <f t="shared" si="45"/>
        <v>99.999998293520349</v>
      </c>
      <c r="AN112" s="179"/>
      <c r="AO112" s="31">
        <f t="shared" si="46"/>
        <v>649154.93294963613</v>
      </c>
      <c r="AP112" s="31">
        <f t="shared" si="47"/>
        <v>296769</v>
      </c>
      <c r="AQ112" s="31">
        <f t="shared" si="48"/>
        <v>314021.80252207816</v>
      </c>
      <c r="AR112" s="180">
        <f t="shared" si="49"/>
        <v>1.1095811553455945</v>
      </c>
      <c r="AS112" s="31">
        <f t="shared" si="52"/>
        <v>11181.72</v>
      </c>
      <c r="AU112" s="31">
        <f t="shared" si="50"/>
        <v>0</v>
      </c>
      <c r="AV112" s="177"/>
      <c r="AW112" s="31">
        <f t="shared" si="51"/>
        <v>117.2536546819439</v>
      </c>
    </row>
    <row r="113" spans="1:49">
      <c r="A113" s="102">
        <v>104</v>
      </c>
      <c r="B113" s="7" t="s">
        <v>1370</v>
      </c>
      <c r="C113" s="7">
        <v>0</v>
      </c>
      <c r="D113" s="62">
        <f t="shared" si="27"/>
        <v>0</v>
      </c>
      <c r="E113" s="172">
        <f t="shared" si="28"/>
        <v>0</v>
      </c>
      <c r="F113" s="62">
        <f t="shared" si="29"/>
        <v>0</v>
      </c>
      <c r="G113" s="70">
        <f t="shared" si="30"/>
        <v>0</v>
      </c>
      <c r="H113" s="62">
        <f t="shared" si="31"/>
        <v>0</v>
      </c>
      <c r="I113" s="173">
        <f t="shared" si="32"/>
        <v>0</v>
      </c>
      <c r="J113" s="174">
        <f>ROUND(100-'Townwide Contributions'!K113,2)</f>
        <v>17.5</v>
      </c>
      <c r="K113" s="70">
        <f t="shared" si="33"/>
        <v>0</v>
      </c>
      <c r="L113" s="70">
        <f t="shared" si="34"/>
        <v>0</v>
      </c>
      <c r="M113" s="175">
        <f t="shared" si="35"/>
        <v>0</v>
      </c>
      <c r="N113" s="70"/>
      <c r="O113" s="70"/>
      <c r="P113" s="70"/>
      <c r="Q113" s="62">
        <v>0</v>
      </c>
      <c r="R113" s="62">
        <f t="shared" si="36"/>
        <v>0</v>
      </c>
      <c r="S113" s="176"/>
      <c r="T113" s="176"/>
      <c r="U113" s="70"/>
      <c r="V113" s="70"/>
      <c r="W113" s="260"/>
      <c r="X113" s="62">
        <f t="shared" si="37"/>
        <v>0</v>
      </c>
      <c r="Y113" s="70"/>
      <c r="AA113" s="290"/>
      <c r="AB113" s="291"/>
      <c r="AC113" s="62"/>
      <c r="AD113" s="62"/>
      <c r="AE113" s="177">
        <f t="shared" si="38"/>
        <v>0</v>
      </c>
      <c r="AF113" s="177">
        <f t="shared" si="39"/>
        <v>0</v>
      </c>
      <c r="AG113" s="70">
        <f t="shared" si="40"/>
        <v>0</v>
      </c>
      <c r="AH113" s="70">
        <f t="shared" si="41"/>
        <v>0</v>
      </c>
      <c r="AI113" s="587">
        <v>0</v>
      </c>
      <c r="AJ113" s="178">
        <f t="shared" si="42"/>
        <v>0</v>
      </c>
      <c r="AK113" s="301">
        <f t="shared" si="43"/>
        <v>0</v>
      </c>
      <c r="AL113" s="70">
        <f t="shared" si="44"/>
        <v>0</v>
      </c>
      <c r="AM113" s="179">
        <f t="shared" si="45"/>
        <v>0</v>
      </c>
      <c r="AN113" s="179"/>
      <c r="AO113" s="31">
        <f t="shared" si="46"/>
        <v>0</v>
      </c>
      <c r="AP113" s="31">
        <f t="shared" si="47"/>
        <v>0</v>
      </c>
      <c r="AQ113" s="31">
        <f t="shared" si="48"/>
        <v>0</v>
      </c>
      <c r="AR113" s="180" t="str">
        <f t="shared" si="49"/>
        <v/>
      </c>
      <c r="AS113" s="31">
        <f t="shared" si="52"/>
        <v>0</v>
      </c>
      <c r="AU113" s="31">
        <f t="shared" si="50"/>
        <v>0</v>
      </c>
      <c r="AV113" s="177"/>
      <c r="AW113" s="31">
        <f t="shared" si="51"/>
        <v>0</v>
      </c>
    </row>
    <row r="114" spans="1:49">
      <c r="A114" s="102">
        <v>105</v>
      </c>
      <c r="B114" s="7" t="s">
        <v>1810</v>
      </c>
      <c r="C114" s="7">
        <v>1</v>
      </c>
      <c r="D114" s="62">
        <f t="shared" si="27"/>
        <v>12709129.820000002</v>
      </c>
      <c r="E114" s="172">
        <f t="shared" si="28"/>
        <v>5407948</v>
      </c>
      <c r="F114" s="62">
        <f t="shared" si="29"/>
        <v>12771696.514767833</v>
      </c>
      <c r="G114" s="70">
        <f t="shared" si="30"/>
        <v>9356963</v>
      </c>
      <c r="H114" s="62">
        <f t="shared" si="31"/>
        <v>3414734</v>
      </c>
      <c r="I114" s="173">
        <f t="shared" si="32"/>
        <v>0</v>
      </c>
      <c r="J114" s="174">
        <f>ROUND(100-'Townwide Contributions'!K114,2)</f>
        <v>27.17</v>
      </c>
      <c r="K114" s="70">
        <f t="shared" si="33"/>
        <v>3470070</v>
      </c>
      <c r="L114" s="70">
        <f t="shared" si="34"/>
        <v>0</v>
      </c>
      <c r="M114" s="175">
        <f t="shared" si="35"/>
        <v>0</v>
      </c>
      <c r="N114" s="70"/>
      <c r="O114" s="70"/>
      <c r="P114" s="70"/>
      <c r="Q114" s="62">
        <v>1376</v>
      </c>
      <c r="R114" s="62">
        <f t="shared" si="36"/>
        <v>1347</v>
      </c>
      <c r="S114" s="176"/>
      <c r="T114" s="176"/>
      <c r="U114" s="70"/>
      <c r="V114" s="70"/>
      <c r="W114" s="260"/>
      <c r="X114" s="62">
        <f t="shared" si="37"/>
        <v>0</v>
      </c>
      <c r="Y114" s="70"/>
      <c r="AA114" s="290"/>
      <c r="AB114" s="291"/>
      <c r="AC114" s="62"/>
      <c r="AD114" s="62"/>
      <c r="AE114" s="177">
        <f t="shared" si="38"/>
        <v>40410</v>
      </c>
      <c r="AF114" s="177">
        <f t="shared" si="39"/>
        <v>40410</v>
      </c>
      <c r="AG114" s="70">
        <f t="shared" si="40"/>
        <v>5448358</v>
      </c>
      <c r="AH114" s="70">
        <f t="shared" si="41"/>
        <v>0</v>
      </c>
      <c r="AI114" s="587">
        <v>0</v>
      </c>
      <c r="AJ114" s="178">
        <f t="shared" si="42"/>
        <v>5448358</v>
      </c>
      <c r="AK114" s="301">
        <f t="shared" si="43"/>
        <v>42.659626257953256</v>
      </c>
      <c r="AL114" s="70">
        <f t="shared" si="44"/>
        <v>14805321</v>
      </c>
      <c r="AM114" s="179">
        <f t="shared" si="45"/>
        <v>115.92290016350373</v>
      </c>
      <c r="AN114" s="179"/>
      <c r="AO114" s="31">
        <f t="shared" si="46"/>
        <v>62566.694767830893</v>
      </c>
      <c r="AP114" s="31">
        <f t="shared" si="47"/>
        <v>40410</v>
      </c>
      <c r="AQ114" s="31">
        <f t="shared" si="48"/>
        <v>1978288.05693758</v>
      </c>
      <c r="AR114" s="180">
        <f t="shared" si="49"/>
        <v>15.489626257953255</v>
      </c>
      <c r="AS114" s="31">
        <f t="shared" si="52"/>
        <v>9481.59</v>
      </c>
      <c r="AU114" s="31">
        <f t="shared" si="50"/>
        <v>0</v>
      </c>
      <c r="AV114" s="177"/>
      <c r="AW114" s="31">
        <f t="shared" si="51"/>
        <v>30</v>
      </c>
    </row>
    <row r="115" spans="1:49">
      <c r="A115" s="102">
        <v>106</v>
      </c>
      <c r="B115" s="7" t="s">
        <v>1811</v>
      </c>
      <c r="C115" s="7">
        <v>0</v>
      </c>
      <c r="D115" s="62">
        <f t="shared" si="27"/>
        <v>0</v>
      </c>
      <c r="E115" s="172">
        <f t="shared" si="28"/>
        <v>0</v>
      </c>
      <c r="F115" s="62">
        <f t="shared" si="29"/>
        <v>0</v>
      </c>
      <c r="G115" s="70">
        <f t="shared" si="30"/>
        <v>0</v>
      </c>
      <c r="H115" s="62">
        <f t="shared" si="31"/>
        <v>0</v>
      </c>
      <c r="I115" s="173">
        <f t="shared" si="32"/>
        <v>0</v>
      </c>
      <c r="J115" s="174">
        <f>ROUND(100-'Townwide Contributions'!K115,2)</f>
        <v>39.75</v>
      </c>
      <c r="K115" s="70">
        <f t="shared" si="33"/>
        <v>0</v>
      </c>
      <c r="L115" s="70">
        <f t="shared" si="34"/>
        <v>0</v>
      </c>
      <c r="M115" s="175">
        <f t="shared" si="35"/>
        <v>0</v>
      </c>
      <c r="N115" s="70"/>
      <c r="O115" s="70"/>
      <c r="P115" s="70"/>
      <c r="Q115" s="62">
        <v>0</v>
      </c>
      <c r="R115" s="62">
        <f t="shared" si="36"/>
        <v>0</v>
      </c>
      <c r="S115" s="176"/>
      <c r="T115" s="176"/>
      <c r="U115" s="70"/>
      <c r="V115" s="70"/>
      <c r="W115" s="260"/>
      <c r="X115" s="62">
        <f t="shared" si="37"/>
        <v>0</v>
      </c>
      <c r="Y115" s="70"/>
      <c r="AA115" s="290"/>
      <c r="AB115" s="291"/>
      <c r="AC115" s="62"/>
      <c r="AD115" s="62"/>
      <c r="AE115" s="177">
        <f t="shared" si="38"/>
        <v>0</v>
      </c>
      <c r="AF115" s="177">
        <f t="shared" si="39"/>
        <v>0</v>
      </c>
      <c r="AG115" s="70">
        <f t="shared" si="40"/>
        <v>0</v>
      </c>
      <c r="AH115" s="70">
        <f t="shared" si="41"/>
        <v>0</v>
      </c>
      <c r="AI115" s="587">
        <v>0</v>
      </c>
      <c r="AJ115" s="178">
        <f t="shared" si="42"/>
        <v>0</v>
      </c>
      <c r="AK115" s="301">
        <f t="shared" si="43"/>
        <v>0</v>
      </c>
      <c r="AL115" s="70">
        <f t="shared" si="44"/>
        <v>0</v>
      </c>
      <c r="AM115" s="179">
        <f t="shared" si="45"/>
        <v>0</v>
      </c>
      <c r="AN115" s="179"/>
      <c r="AO115" s="31">
        <f t="shared" si="46"/>
        <v>0</v>
      </c>
      <c r="AP115" s="31">
        <f t="shared" si="47"/>
        <v>0</v>
      </c>
      <c r="AQ115" s="31">
        <f t="shared" si="48"/>
        <v>0</v>
      </c>
      <c r="AR115" s="180" t="str">
        <f t="shared" si="49"/>
        <v/>
      </c>
      <c r="AS115" s="31">
        <f t="shared" si="52"/>
        <v>0</v>
      </c>
      <c r="AU115" s="31">
        <f t="shared" si="50"/>
        <v>0</v>
      </c>
      <c r="AV115" s="177"/>
      <c r="AW115" s="31">
        <f t="shared" si="51"/>
        <v>0</v>
      </c>
    </row>
    <row r="116" spans="1:49">
      <c r="A116" s="102">
        <v>107</v>
      </c>
      <c r="B116" s="7" t="s">
        <v>1812</v>
      </c>
      <c r="C116" s="7">
        <v>1</v>
      </c>
      <c r="D116" s="62">
        <f t="shared" si="27"/>
        <v>34761401.33839</v>
      </c>
      <c r="E116" s="172">
        <f t="shared" si="28"/>
        <v>6413737.4910011301</v>
      </c>
      <c r="F116" s="62">
        <f t="shared" si="29"/>
        <v>35423863.383190274</v>
      </c>
      <c r="G116" s="70">
        <f t="shared" si="30"/>
        <v>29347381</v>
      </c>
      <c r="H116" s="62">
        <f t="shared" si="31"/>
        <v>6076482</v>
      </c>
      <c r="I116" s="173">
        <f t="shared" si="32"/>
        <v>0</v>
      </c>
      <c r="J116" s="174">
        <f>ROUND(100-'Townwide Contributions'!K116,2)</f>
        <v>17.5</v>
      </c>
      <c r="K116" s="70">
        <f t="shared" si="33"/>
        <v>6199176</v>
      </c>
      <c r="L116" s="70">
        <f t="shared" si="34"/>
        <v>0</v>
      </c>
      <c r="M116" s="175">
        <f t="shared" si="35"/>
        <v>0</v>
      </c>
      <c r="N116" s="70"/>
      <c r="O116" s="70"/>
      <c r="P116" s="70"/>
      <c r="Q116" s="62">
        <v>3179</v>
      </c>
      <c r="R116" s="62">
        <f t="shared" si="36"/>
        <v>3189</v>
      </c>
      <c r="S116" s="176"/>
      <c r="T116" s="176"/>
      <c r="U116" s="70"/>
      <c r="V116" s="70"/>
      <c r="W116" s="260"/>
      <c r="X116" s="62">
        <f t="shared" si="37"/>
        <v>0</v>
      </c>
      <c r="Y116" s="70"/>
      <c r="AA116" s="290"/>
      <c r="AB116" s="291"/>
      <c r="AC116" s="62"/>
      <c r="AD116" s="62"/>
      <c r="AE116" s="177">
        <f t="shared" si="38"/>
        <v>95670</v>
      </c>
      <c r="AF116" s="177">
        <f t="shared" si="39"/>
        <v>95670</v>
      </c>
      <c r="AG116" s="70">
        <f t="shared" si="40"/>
        <v>6509407.4910011301</v>
      </c>
      <c r="AH116" s="70">
        <f t="shared" si="41"/>
        <v>0</v>
      </c>
      <c r="AI116" s="587">
        <v>0</v>
      </c>
      <c r="AJ116" s="178">
        <f t="shared" si="42"/>
        <v>6509407.4910011301</v>
      </c>
      <c r="AK116" s="301">
        <f t="shared" si="43"/>
        <v>18.37576952176833</v>
      </c>
      <c r="AL116" s="70">
        <f t="shared" si="44"/>
        <v>35856788.491001129</v>
      </c>
      <c r="AM116" s="179">
        <f t="shared" si="45"/>
        <v>101.22212843677659</v>
      </c>
      <c r="AN116" s="179"/>
      <c r="AO116" s="31">
        <f t="shared" si="46"/>
        <v>662462.04480027407</v>
      </c>
      <c r="AP116" s="31">
        <f t="shared" si="47"/>
        <v>95670</v>
      </c>
      <c r="AQ116" s="31">
        <f t="shared" si="48"/>
        <v>310231.39894283284</v>
      </c>
      <c r="AR116" s="180">
        <f t="shared" si="49"/>
        <v>0.87576952176832989</v>
      </c>
      <c r="AS116" s="31">
        <f t="shared" si="52"/>
        <v>11108.14</v>
      </c>
      <c r="AU116" s="31">
        <f t="shared" si="50"/>
        <v>0</v>
      </c>
      <c r="AV116" s="177"/>
      <c r="AW116" s="31">
        <f t="shared" si="51"/>
        <v>30</v>
      </c>
    </row>
    <row r="117" spans="1:49">
      <c r="A117" s="102">
        <v>108</v>
      </c>
      <c r="B117" s="7" t="s">
        <v>1813</v>
      </c>
      <c r="C117" s="7">
        <v>0</v>
      </c>
      <c r="D117" s="62">
        <f t="shared" si="27"/>
        <v>105367.36000000002</v>
      </c>
      <c r="E117" s="172">
        <f t="shared" si="28"/>
        <v>96111</v>
      </c>
      <c r="F117" s="62">
        <f t="shared" si="29"/>
        <v>107334.66674871638</v>
      </c>
      <c r="G117" s="70">
        <f t="shared" si="30"/>
        <v>72157</v>
      </c>
      <c r="H117" s="62">
        <f t="shared" si="31"/>
        <v>35178</v>
      </c>
      <c r="I117" s="173">
        <f t="shared" si="32"/>
        <v>0</v>
      </c>
      <c r="J117" s="174">
        <f>ROUND(100-'Townwide Contributions'!K117,2)</f>
        <v>33.479999999999997</v>
      </c>
      <c r="K117" s="70">
        <f t="shared" si="33"/>
        <v>35936</v>
      </c>
      <c r="L117" s="70">
        <f t="shared" si="34"/>
        <v>0</v>
      </c>
      <c r="M117" s="175">
        <f t="shared" si="35"/>
        <v>0</v>
      </c>
      <c r="N117" s="70"/>
      <c r="O117" s="70"/>
      <c r="P117" s="70"/>
      <c r="Q117" s="62">
        <v>8</v>
      </c>
      <c r="R117" s="62">
        <f t="shared" si="36"/>
        <v>8</v>
      </c>
      <c r="S117" s="176"/>
      <c r="T117" s="176"/>
      <c r="U117" s="70"/>
      <c r="V117" s="70"/>
      <c r="W117" s="260"/>
      <c r="X117" s="62">
        <f t="shared" si="37"/>
        <v>0</v>
      </c>
      <c r="Y117" s="70"/>
      <c r="AA117" s="290"/>
      <c r="AB117" s="291"/>
      <c r="AC117" s="62"/>
      <c r="AD117" s="62"/>
      <c r="AE117" s="177">
        <f t="shared" si="38"/>
        <v>0</v>
      </c>
      <c r="AF117" s="177">
        <f t="shared" si="39"/>
        <v>0</v>
      </c>
      <c r="AG117" s="70">
        <f t="shared" si="40"/>
        <v>96111</v>
      </c>
      <c r="AH117" s="70">
        <f t="shared" si="41"/>
        <v>0</v>
      </c>
      <c r="AI117" s="587">
        <v>0</v>
      </c>
      <c r="AJ117" s="178">
        <f t="shared" si="42"/>
        <v>96111</v>
      </c>
      <c r="AK117" s="301">
        <f t="shared" si="43"/>
        <v>0</v>
      </c>
      <c r="AL117" s="70">
        <f t="shared" si="44"/>
        <v>168268</v>
      </c>
      <c r="AM117" s="179">
        <f t="shared" si="45"/>
        <v>156.76948100461897</v>
      </c>
      <c r="AN117" s="179"/>
      <c r="AO117" s="31">
        <f t="shared" si="46"/>
        <v>1967.3067487163644</v>
      </c>
      <c r="AP117" s="31">
        <f t="shared" si="47"/>
        <v>0</v>
      </c>
      <c r="AQ117" s="31">
        <f t="shared" si="48"/>
        <v>60175.353572529755</v>
      </c>
      <c r="AR117" s="180" t="str">
        <f t="shared" si="49"/>
        <v/>
      </c>
      <c r="AS117" s="31">
        <f t="shared" si="52"/>
        <v>13416.83</v>
      </c>
      <c r="AU117" s="31">
        <f t="shared" si="50"/>
        <v>0</v>
      </c>
      <c r="AV117" s="177"/>
      <c r="AW117" s="31">
        <f t="shared" si="51"/>
        <v>0</v>
      </c>
    </row>
    <row r="118" spans="1:49">
      <c r="A118" s="102">
        <v>109</v>
      </c>
      <c r="B118" s="7" t="s">
        <v>1814</v>
      </c>
      <c r="C118" s="7">
        <v>0</v>
      </c>
      <c r="D118" s="62">
        <f t="shared" si="27"/>
        <v>21496.61</v>
      </c>
      <c r="E118" s="172">
        <f t="shared" si="28"/>
        <v>16414</v>
      </c>
      <c r="F118" s="62">
        <f t="shared" si="29"/>
        <v>21755.78608038156</v>
      </c>
      <c r="G118" s="70">
        <f t="shared" si="30"/>
        <v>18105</v>
      </c>
      <c r="H118" s="62">
        <f t="shared" si="31"/>
        <v>3651</v>
      </c>
      <c r="I118" s="173">
        <f t="shared" si="32"/>
        <v>0</v>
      </c>
      <c r="J118" s="174">
        <f>ROUND(100-'Townwide Contributions'!K118,2)</f>
        <v>17.5</v>
      </c>
      <c r="K118" s="70">
        <f t="shared" si="33"/>
        <v>3807</v>
      </c>
      <c r="L118" s="70">
        <f t="shared" si="34"/>
        <v>0</v>
      </c>
      <c r="M118" s="175">
        <f t="shared" si="35"/>
        <v>0</v>
      </c>
      <c r="N118" s="70"/>
      <c r="O118" s="70"/>
      <c r="P118" s="70"/>
      <c r="Q118" s="62">
        <v>3</v>
      </c>
      <c r="R118" s="62">
        <f t="shared" si="36"/>
        <v>3</v>
      </c>
      <c r="S118" s="176"/>
      <c r="T118" s="176"/>
      <c r="U118" s="70"/>
      <c r="V118" s="70"/>
      <c r="W118" s="260"/>
      <c r="X118" s="62">
        <f t="shared" si="37"/>
        <v>0</v>
      </c>
      <c r="Y118" s="70"/>
      <c r="AA118" s="290"/>
      <c r="AB118" s="291"/>
      <c r="AC118" s="62"/>
      <c r="AD118" s="62"/>
      <c r="AE118" s="177">
        <f t="shared" si="38"/>
        <v>0</v>
      </c>
      <c r="AF118" s="177">
        <f t="shared" si="39"/>
        <v>0</v>
      </c>
      <c r="AG118" s="70">
        <f t="shared" si="40"/>
        <v>16414</v>
      </c>
      <c r="AH118" s="70">
        <f t="shared" si="41"/>
        <v>0</v>
      </c>
      <c r="AI118" s="587">
        <v>0</v>
      </c>
      <c r="AJ118" s="178">
        <f t="shared" si="42"/>
        <v>16414</v>
      </c>
      <c r="AK118" s="301">
        <f t="shared" si="43"/>
        <v>0</v>
      </c>
      <c r="AL118" s="70">
        <f t="shared" si="44"/>
        <v>34519</v>
      </c>
      <c r="AM118" s="179">
        <f t="shared" si="45"/>
        <v>158.66583663059529</v>
      </c>
      <c r="AN118" s="179"/>
      <c r="AO118" s="31">
        <f t="shared" si="46"/>
        <v>259.17608038155959</v>
      </c>
      <c r="AP118" s="31">
        <f t="shared" si="47"/>
        <v>0</v>
      </c>
      <c r="AQ118" s="31">
        <f t="shared" si="48"/>
        <v>12606.737435933228</v>
      </c>
      <c r="AR118" s="180" t="str">
        <f t="shared" si="49"/>
        <v/>
      </c>
      <c r="AS118" s="31">
        <f t="shared" si="52"/>
        <v>7251.93</v>
      </c>
      <c r="AU118" s="31">
        <f t="shared" si="50"/>
        <v>0</v>
      </c>
      <c r="AV118" s="177"/>
      <c r="AW118" s="31">
        <f t="shared" si="51"/>
        <v>0</v>
      </c>
    </row>
    <row r="119" spans="1:49">
      <c r="A119" s="102">
        <v>110</v>
      </c>
      <c r="B119" s="7" t="s">
        <v>1815</v>
      </c>
      <c r="C119" s="7">
        <v>1</v>
      </c>
      <c r="D119" s="62">
        <f t="shared" si="27"/>
        <v>29937376.269999996</v>
      </c>
      <c r="E119" s="172">
        <f t="shared" si="28"/>
        <v>10827425</v>
      </c>
      <c r="F119" s="62">
        <f t="shared" si="29"/>
        <v>30005660.380291101</v>
      </c>
      <c r="G119" s="70">
        <f t="shared" si="30"/>
        <v>19822623</v>
      </c>
      <c r="H119" s="62">
        <f t="shared" si="31"/>
        <v>10183037</v>
      </c>
      <c r="I119" s="173">
        <f t="shared" si="32"/>
        <v>0</v>
      </c>
      <c r="J119" s="174">
        <f>ROUND(100-'Townwide Contributions'!K119,2)</f>
        <v>34.26</v>
      </c>
      <c r="K119" s="70">
        <f t="shared" si="33"/>
        <v>10279939</v>
      </c>
      <c r="L119" s="70">
        <f t="shared" si="34"/>
        <v>0</v>
      </c>
      <c r="M119" s="175">
        <f t="shared" si="35"/>
        <v>0</v>
      </c>
      <c r="N119" s="70"/>
      <c r="O119" s="70"/>
      <c r="P119" s="70"/>
      <c r="Q119" s="62">
        <v>3217</v>
      </c>
      <c r="R119" s="62">
        <f t="shared" si="36"/>
        <v>3151</v>
      </c>
      <c r="S119" s="176"/>
      <c r="T119" s="176"/>
      <c r="U119" s="70"/>
      <c r="V119" s="70"/>
      <c r="W119" s="260"/>
      <c r="X119" s="62">
        <f t="shared" si="37"/>
        <v>0</v>
      </c>
      <c r="Y119" s="70"/>
      <c r="AA119" s="290"/>
      <c r="AB119" s="291"/>
      <c r="AC119" s="62"/>
      <c r="AD119" s="62"/>
      <c r="AE119" s="177">
        <f t="shared" si="38"/>
        <v>94530</v>
      </c>
      <c r="AF119" s="177">
        <f t="shared" si="39"/>
        <v>94530</v>
      </c>
      <c r="AG119" s="70">
        <f t="shared" si="40"/>
        <v>10921955</v>
      </c>
      <c r="AH119" s="70">
        <f t="shared" si="41"/>
        <v>0</v>
      </c>
      <c r="AI119" s="587">
        <v>0</v>
      </c>
      <c r="AJ119" s="178">
        <f t="shared" si="42"/>
        <v>10921955</v>
      </c>
      <c r="AK119" s="301">
        <f t="shared" si="43"/>
        <v>36.399648804843402</v>
      </c>
      <c r="AL119" s="70">
        <f t="shared" si="44"/>
        <v>30744578</v>
      </c>
      <c r="AM119" s="179">
        <f t="shared" si="45"/>
        <v>102.46259409172761</v>
      </c>
      <c r="AN119" s="179"/>
      <c r="AO119" s="31">
        <f t="shared" si="46"/>
        <v>68284.110291104764</v>
      </c>
      <c r="AP119" s="31">
        <f t="shared" si="47"/>
        <v>94530</v>
      </c>
      <c r="AQ119" s="31">
        <f t="shared" si="48"/>
        <v>642015.75371227041</v>
      </c>
      <c r="AR119" s="180">
        <f t="shared" si="49"/>
        <v>2.1396488048434037</v>
      </c>
      <c r="AS119" s="31">
        <f t="shared" si="52"/>
        <v>9522.58</v>
      </c>
      <c r="AU119" s="31">
        <f t="shared" si="50"/>
        <v>0</v>
      </c>
      <c r="AV119" s="177"/>
      <c r="AW119" s="31">
        <f t="shared" si="51"/>
        <v>30</v>
      </c>
    </row>
    <row r="120" spans="1:49">
      <c r="A120" s="102">
        <v>111</v>
      </c>
      <c r="B120" s="7" t="s">
        <v>1816</v>
      </c>
      <c r="C120" s="7">
        <v>1</v>
      </c>
      <c r="D120" s="62">
        <f t="shared" si="27"/>
        <v>7719354.0099999998</v>
      </c>
      <c r="E120" s="172">
        <f t="shared" si="28"/>
        <v>4600550</v>
      </c>
      <c r="F120" s="62">
        <f t="shared" si="29"/>
        <v>7516650.875846277</v>
      </c>
      <c r="G120" s="70">
        <f t="shared" si="30"/>
        <v>4649745</v>
      </c>
      <c r="H120" s="62">
        <f t="shared" si="31"/>
        <v>2866906</v>
      </c>
      <c r="I120" s="173">
        <f t="shared" si="32"/>
        <v>0</v>
      </c>
      <c r="J120" s="174">
        <f>ROUND(100-'Townwide Contributions'!K120,2)</f>
        <v>38.64</v>
      </c>
      <c r="K120" s="70">
        <f t="shared" si="33"/>
        <v>2904434</v>
      </c>
      <c r="L120" s="70">
        <f t="shared" si="34"/>
        <v>0</v>
      </c>
      <c r="M120" s="175">
        <f t="shared" si="35"/>
        <v>0</v>
      </c>
      <c r="N120" s="70"/>
      <c r="O120" s="70"/>
      <c r="P120" s="70"/>
      <c r="Q120" s="62">
        <v>777</v>
      </c>
      <c r="R120" s="62">
        <f t="shared" si="36"/>
        <v>742</v>
      </c>
      <c r="S120" s="176"/>
      <c r="T120" s="176"/>
      <c r="U120" s="70"/>
      <c r="V120" s="70"/>
      <c r="W120" s="260"/>
      <c r="X120" s="62">
        <f t="shared" si="37"/>
        <v>0</v>
      </c>
      <c r="Y120" s="70"/>
      <c r="AA120" s="290"/>
      <c r="AB120" s="291"/>
      <c r="AC120" s="62"/>
      <c r="AD120" s="62"/>
      <c r="AE120" s="177">
        <f t="shared" si="38"/>
        <v>22260</v>
      </c>
      <c r="AF120" s="177">
        <f t="shared" si="39"/>
        <v>22260</v>
      </c>
      <c r="AG120" s="70">
        <f t="shared" si="40"/>
        <v>4622810</v>
      </c>
      <c r="AH120" s="70">
        <f t="shared" si="41"/>
        <v>0</v>
      </c>
      <c r="AI120" s="587">
        <v>0</v>
      </c>
      <c r="AJ120" s="178">
        <f t="shared" si="42"/>
        <v>4622810</v>
      </c>
      <c r="AK120" s="301">
        <f t="shared" si="43"/>
        <v>61.500927425733764</v>
      </c>
      <c r="AL120" s="70">
        <f t="shared" si="44"/>
        <v>9272555</v>
      </c>
      <c r="AM120" s="179">
        <f t="shared" si="45"/>
        <v>123.36019263307917</v>
      </c>
      <c r="AN120" s="179"/>
      <c r="AO120" s="31">
        <f t="shared" si="46"/>
        <v>-202703.13415372279</v>
      </c>
      <c r="AP120" s="31">
        <f t="shared" si="47"/>
        <v>22260</v>
      </c>
      <c r="AQ120" s="31">
        <f t="shared" si="48"/>
        <v>1718376.1015729983</v>
      </c>
      <c r="AR120" s="180">
        <f t="shared" si="49"/>
        <v>22.860927425733763</v>
      </c>
      <c r="AS120" s="31">
        <f t="shared" si="52"/>
        <v>10130.26</v>
      </c>
      <c r="AU120" s="31">
        <f t="shared" si="50"/>
        <v>0</v>
      </c>
      <c r="AV120" s="177"/>
      <c r="AW120" s="31">
        <f t="shared" si="51"/>
        <v>30</v>
      </c>
    </row>
    <row r="121" spans="1:49">
      <c r="A121" s="102">
        <v>112</v>
      </c>
      <c r="B121" s="7" t="s">
        <v>1817</v>
      </c>
      <c r="C121" s="7">
        <v>0</v>
      </c>
      <c r="D121" s="62">
        <f t="shared" si="27"/>
        <v>0</v>
      </c>
      <c r="E121" s="172">
        <f t="shared" si="28"/>
        <v>0</v>
      </c>
      <c r="F121" s="62">
        <f t="shared" si="29"/>
        <v>0</v>
      </c>
      <c r="G121" s="70">
        <f t="shared" si="30"/>
        <v>0</v>
      </c>
      <c r="H121" s="62">
        <f t="shared" si="31"/>
        <v>0</v>
      </c>
      <c r="I121" s="173">
        <f t="shared" si="32"/>
        <v>0</v>
      </c>
      <c r="J121" s="174">
        <f>ROUND(100-'Townwide Contributions'!K121,2)</f>
        <v>25.87</v>
      </c>
      <c r="K121" s="70">
        <f t="shared" si="33"/>
        <v>0</v>
      </c>
      <c r="L121" s="70">
        <f t="shared" si="34"/>
        <v>0</v>
      </c>
      <c r="M121" s="175">
        <f t="shared" si="35"/>
        <v>0</v>
      </c>
      <c r="N121" s="70"/>
      <c r="O121" s="70"/>
      <c r="P121" s="70"/>
      <c r="Q121" s="62">
        <v>0</v>
      </c>
      <c r="R121" s="62">
        <f t="shared" si="36"/>
        <v>0</v>
      </c>
      <c r="S121" s="176"/>
      <c r="T121" s="176"/>
      <c r="U121" s="70"/>
      <c r="V121" s="70"/>
      <c r="W121" s="260"/>
      <c r="X121" s="62">
        <f t="shared" si="37"/>
        <v>0</v>
      </c>
      <c r="Y121" s="70"/>
      <c r="AA121" s="290"/>
      <c r="AB121" s="291"/>
      <c r="AC121" s="62"/>
      <c r="AD121" s="62"/>
      <c r="AE121" s="177">
        <f t="shared" si="38"/>
        <v>0</v>
      </c>
      <c r="AF121" s="177">
        <f t="shared" si="39"/>
        <v>0</v>
      </c>
      <c r="AG121" s="70">
        <f t="shared" si="40"/>
        <v>0</v>
      </c>
      <c r="AH121" s="70">
        <f t="shared" si="41"/>
        <v>0</v>
      </c>
      <c r="AI121" s="587">
        <v>0</v>
      </c>
      <c r="AJ121" s="178">
        <f t="shared" si="42"/>
        <v>0</v>
      </c>
      <c r="AK121" s="301">
        <f t="shared" si="43"/>
        <v>0</v>
      </c>
      <c r="AL121" s="70">
        <f t="shared" si="44"/>
        <v>0</v>
      </c>
      <c r="AM121" s="179">
        <f t="shared" si="45"/>
        <v>0</v>
      </c>
      <c r="AN121" s="179"/>
      <c r="AO121" s="31">
        <f t="shared" si="46"/>
        <v>0</v>
      </c>
      <c r="AP121" s="31">
        <f t="shared" si="47"/>
        <v>0</v>
      </c>
      <c r="AQ121" s="31">
        <f t="shared" si="48"/>
        <v>0</v>
      </c>
      <c r="AR121" s="180" t="str">
        <f t="shared" si="49"/>
        <v/>
      </c>
      <c r="AS121" s="31">
        <f t="shared" si="52"/>
        <v>0</v>
      </c>
      <c r="AU121" s="31">
        <f t="shared" si="50"/>
        <v>0</v>
      </c>
      <c r="AV121" s="177"/>
      <c r="AW121" s="31">
        <f t="shared" si="51"/>
        <v>0</v>
      </c>
    </row>
    <row r="122" spans="1:49">
      <c r="A122" s="102">
        <v>113</v>
      </c>
      <c r="B122" s="7" t="s">
        <v>1818</v>
      </c>
      <c r="C122" s="7">
        <v>0</v>
      </c>
      <c r="D122" s="62">
        <f t="shared" si="27"/>
        <v>0</v>
      </c>
      <c r="E122" s="172">
        <f t="shared" si="28"/>
        <v>0</v>
      </c>
      <c r="F122" s="62">
        <f t="shared" si="29"/>
        <v>0</v>
      </c>
      <c r="G122" s="70">
        <f t="shared" si="30"/>
        <v>0</v>
      </c>
      <c r="H122" s="62">
        <f t="shared" si="31"/>
        <v>0</v>
      </c>
      <c r="I122" s="173">
        <f t="shared" si="32"/>
        <v>0</v>
      </c>
      <c r="J122" s="174">
        <f>ROUND(100-'Townwide Contributions'!K122,2)</f>
        <v>17.5</v>
      </c>
      <c r="K122" s="70">
        <f t="shared" si="33"/>
        <v>0</v>
      </c>
      <c r="L122" s="70">
        <f t="shared" si="34"/>
        <v>0</v>
      </c>
      <c r="M122" s="175">
        <f t="shared" si="35"/>
        <v>0</v>
      </c>
      <c r="N122" s="70"/>
      <c r="O122" s="70"/>
      <c r="P122" s="70"/>
      <c r="Q122" s="62">
        <v>0</v>
      </c>
      <c r="R122" s="62">
        <f t="shared" si="36"/>
        <v>0</v>
      </c>
      <c r="S122" s="176"/>
      <c r="T122" s="176"/>
      <c r="U122" s="70"/>
      <c r="V122" s="70"/>
      <c r="W122" s="260"/>
      <c r="X122" s="62">
        <f t="shared" si="37"/>
        <v>0</v>
      </c>
      <c r="Y122" s="70"/>
      <c r="AA122" s="290"/>
      <c r="AB122" s="291"/>
      <c r="AC122" s="62"/>
      <c r="AD122" s="62"/>
      <c r="AE122" s="177">
        <f t="shared" si="38"/>
        <v>0</v>
      </c>
      <c r="AF122" s="177">
        <f t="shared" si="39"/>
        <v>0</v>
      </c>
      <c r="AG122" s="70">
        <f t="shared" si="40"/>
        <v>0</v>
      </c>
      <c r="AH122" s="70">
        <f t="shared" si="41"/>
        <v>0</v>
      </c>
      <c r="AI122" s="587">
        <v>0</v>
      </c>
      <c r="AJ122" s="178">
        <f t="shared" si="42"/>
        <v>0</v>
      </c>
      <c r="AK122" s="301">
        <f t="shared" si="43"/>
        <v>0</v>
      </c>
      <c r="AL122" s="70">
        <f t="shared" si="44"/>
        <v>0</v>
      </c>
      <c r="AM122" s="179">
        <f t="shared" si="45"/>
        <v>0</v>
      </c>
      <c r="AN122" s="179"/>
      <c r="AO122" s="31">
        <f t="shared" si="46"/>
        <v>0</v>
      </c>
      <c r="AP122" s="31">
        <f t="shared" si="47"/>
        <v>0</v>
      </c>
      <c r="AQ122" s="31">
        <f t="shared" si="48"/>
        <v>0</v>
      </c>
      <c r="AR122" s="180" t="str">
        <f t="shared" si="49"/>
        <v/>
      </c>
      <c r="AS122" s="31">
        <f t="shared" si="52"/>
        <v>0</v>
      </c>
      <c r="AU122" s="31">
        <f t="shared" si="50"/>
        <v>0</v>
      </c>
      <c r="AV122" s="177"/>
      <c r="AW122" s="31">
        <f t="shared" si="51"/>
        <v>0</v>
      </c>
    </row>
    <row r="123" spans="1:49">
      <c r="A123" s="102">
        <v>114</v>
      </c>
      <c r="B123" s="7" t="s">
        <v>1819</v>
      </c>
      <c r="C123" s="7">
        <v>1</v>
      </c>
      <c r="D123" s="62">
        <f t="shared" si="27"/>
        <v>20360058.930000003</v>
      </c>
      <c r="E123" s="172">
        <f t="shared" si="28"/>
        <v>12140007.357180249</v>
      </c>
      <c r="F123" s="62">
        <f t="shared" si="29"/>
        <v>20807903.147397026</v>
      </c>
      <c r="G123" s="70">
        <f t="shared" si="30"/>
        <v>9604767</v>
      </c>
      <c r="H123" s="62">
        <f t="shared" si="31"/>
        <v>11203136</v>
      </c>
      <c r="I123" s="173">
        <f t="shared" si="32"/>
        <v>0</v>
      </c>
      <c r="J123" s="174">
        <f>ROUND(100-'Townwide Contributions'!K123,2)</f>
        <v>54.16</v>
      </c>
      <c r="K123" s="70">
        <f t="shared" si="33"/>
        <v>11269560</v>
      </c>
      <c r="L123" s="70">
        <f t="shared" si="34"/>
        <v>0</v>
      </c>
      <c r="M123" s="175">
        <f t="shared" si="35"/>
        <v>0</v>
      </c>
      <c r="N123" s="70"/>
      <c r="O123" s="70"/>
      <c r="P123" s="70"/>
      <c r="Q123" s="62">
        <v>1909</v>
      </c>
      <c r="R123" s="62">
        <f t="shared" si="36"/>
        <v>1913</v>
      </c>
      <c r="S123" s="176"/>
      <c r="T123" s="176"/>
      <c r="U123" s="70"/>
      <c r="V123" s="70"/>
      <c r="W123" s="260"/>
      <c r="X123" s="62">
        <f t="shared" si="37"/>
        <v>0</v>
      </c>
      <c r="Y123" s="70"/>
      <c r="AA123" s="290"/>
      <c r="AB123" s="291"/>
      <c r="AC123" s="62"/>
      <c r="AD123" s="62"/>
      <c r="AE123" s="177">
        <f t="shared" si="38"/>
        <v>57390</v>
      </c>
      <c r="AF123" s="177">
        <f t="shared" si="39"/>
        <v>57390</v>
      </c>
      <c r="AG123" s="70">
        <f t="shared" si="40"/>
        <v>12197397.357180249</v>
      </c>
      <c r="AH123" s="70">
        <f t="shared" si="41"/>
        <v>0</v>
      </c>
      <c r="AI123" s="587">
        <v>0</v>
      </c>
      <c r="AJ123" s="178">
        <f t="shared" si="42"/>
        <v>12197397.357180249</v>
      </c>
      <c r="AK123" s="301">
        <f t="shared" si="43"/>
        <v>58.619060607777229</v>
      </c>
      <c r="AL123" s="70">
        <f t="shared" si="44"/>
        <v>21802164.357180249</v>
      </c>
      <c r="AM123" s="179">
        <f t="shared" si="45"/>
        <v>104.77828641713761</v>
      </c>
      <c r="AN123" s="179"/>
      <c r="AO123" s="31">
        <f t="shared" si="46"/>
        <v>447844.21739702299</v>
      </c>
      <c r="AP123" s="31">
        <f t="shared" si="47"/>
        <v>57390</v>
      </c>
      <c r="AQ123" s="31">
        <f t="shared" si="48"/>
        <v>927837.01255002059</v>
      </c>
      <c r="AR123" s="180">
        <f t="shared" si="49"/>
        <v>4.4590606077772321</v>
      </c>
      <c r="AS123" s="31">
        <f t="shared" si="52"/>
        <v>10877.11</v>
      </c>
      <c r="AU123" s="31">
        <f t="shared" si="50"/>
        <v>0</v>
      </c>
      <c r="AV123" s="177"/>
      <c r="AW123" s="31">
        <f t="shared" si="51"/>
        <v>30</v>
      </c>
    </row>
    <row r="124" spans="1:49">
      <c r="A124" s="102">
        <v>115</v>
      </c>
      <c r="B124" s="7" t="s">
        <v>1820</v>
      </c>
      <c r="C124" s="7">
        <v>0</v>
      </c>
      <c r="D124" s="62">
        <f t="shared" si="27"/>
        <v>0</v>
      </c>
      <c r="E124" s="172">
        <f t="shared" si="28"/>
        <v>0</v>
      </c>
      <c r="F124" s="62">
        <f t="shared" si="29"/>
        <v>0</v>
      </c>
      <c r="G124" s="70">
        <f t="shared" si="30"/>
        <v>0</v>
      </c>
      <c r="H124" s="62">
        <f t="shared" si="31"/>
        <v>0</v>
      </c>
      <c r="I124" s="173">
        <f t="shared" si="32"/>
        <v>0</v>
      </c>
      <c r="J124" s="174">
        <f>ROUND(100-'Townwide Contributions'!K124,2)</f>
        <v>17.5</v>
      </c>
      <c r="K124" s="70">
        <f t="shared" si="33"/>
        <v>0</v>
      </c>
      <c r="L124" s="70">
        <f t="shared" si="34"/>
        <v>0</v>
      </c>
      <c r="M124" s="175">
        <f t="shared" si="35"/>
        <v>0</v>
      </c>
      <c r="N124" s="70"/>
      <c r="O124" s="70"/>
      <c r="P124" s="70"/>
      <c r="Q124" s="62">
        <v>0</v>
      </c>
      <c r="R124" s="62">
        <f t="shared" si="36"/>
        <v>0</v>
      </c>
      <c r="S124" s="176"/>
      <c r="T124" s="176"/>
      <c r="U124" s="70"/>
      <c r="V124" s="70"/>
      <c r="W124" s="260"/>
      <c r="X124" s="62">
        <f t="shared" si="37"/>
        <v>0</v>
      </c>
      <c r="Y124" s="70"/>
      <c r="AA124" s="290"/>
      <c r="AB124" s="291"/>
      <c r="AC124" s="62"/>
      <c r="AD124" s="62"/>
      <c r="AE124" s="177">
        <f t="shared" si="38"/>
        <v>0</v>
      </c>
      <c r="AF124" s="177">
        <f t="shared" si="39"/>
        <v>0</v>
      </c>
      <c r="AG124" s="70">
        <f t="shared" si="40"/>
        <v>0</v>
      </c>
      <c r="AH124" s="70">
        <f t="shared" si="41"/>
        <v>0</v>
      </c>
      <c r="AI124" s="587">
        <v>0</v>
      </c>
      <c r="AJ124" s="178">
        <f t="shared" si="42"/>
        <v>0</v>
      </c>
      <c r="AK124" s="301">
        <f t="shared" si="43"/>
        <v>0</v>
      </c>
      <c r="AL124" s="70">
        <f t="shared" si="44"/>
        <v>0</v>
      </c>
      <c r="AM124" s="179">
        <f t="shared" si="45"/>
        <v>0</v>
      </c>
      <c r="AN124" s="179"/>
      <c r="AO124" s="31">
        <f t="shared" si="46"/>
        <v>0</v>
      </c>
      <c r="AP124" s="31">
        <f t="shared" si="47"/>
        <v>0</v>
      </c>
      <c r="AQ124" s="31">
        <f t="shared" si="48"/>
        <v>0</v>
      </c>
      <c r="AR124" s="180" t="str">
        <f t="shared" si="49"/>
        <v/>
      </c>
      <c r="AS124" s="31">
        <f t="shared" si="52"/>
        <v>0</v>
      </c>
      <c r="AU124" s="31">
        <f t="shared" si="50"/>
        <v>0</v>
      </c>
      <c r="AV124" s="177"/>
      <c r="AW124" s="31">
        <f t="shared" si="51"/>
        <v>0</v>
      </c>
    </row>
    <row r="125" spans="1:49">
      <c r="A125" s="102">
        <v>116</v>
      </c>
      <c r="B125" s="7" t="s">
        <v>1821</v>
      </c>
      <c r="C125" s="7">
        <v>0</v>
      </c>
      <c r="D125" s="62">
        <f t="shared" si="27"/>
        <v>118538.28</v>
      </c>
      <c r="E125" s="172">
        <f t="shared" si="28"/>
        <v>42110</v>
      </c>
      <c r="F125" s="62">
        <f t="shared" si="29"/>
        <v>134168.3334358955</v>
      </c>
      <c r="G125" s="70">
        <f t="shared" si="30"/>
        <v>90748</v>
      </c>
      <c r="H125" s="62">
        <f t="shared" si="31"/>
        <v>43420</v>
      </c>
      <c r="I125" s="173">
        <f t="shared" si="32"/>
        <v>1310</v>
      </c>
      <c r="J125" s="174">
        <f>ROUND(100-'Townwide Contributions'!K125,2)</f>
        <v>32.58</v>
      </c>
      <c r="K125" s="70">
        <f t="shared" si="33"/>
        <v>43712</v>
      </c>
      <c r="L125" s="70">
        <f t="shared" si="34"/>
        <v>0</v>
      </c>
      <c r="M125" s="175">
        <f t="shared" si="35"/>
        <v>0</v>
      </c>
      <c r="N125" s="70"/>
      <c r="O125" s="70"/>
      <c r="P125" s="70"/>
      <c r="Q125" s="62">
        <v>9</v>
      </c>
      <c r="R125" s="62">
        <f t="shared" si="36"/>
        <v>10</v>
      </c>
      <c r="S125" s="176"/>
      <c r="T125" s="176"/>
      <c r="U125" s="70"/>
      <c r="V125" s="70"/>
      <c r="W125" s="260"/>
      <c r="X125" s="62">
        <f t="shared" si="37"/>
        <v>0</v>
      </c>
      <c r="Y125" s="70"/>
      <c r="AA125" s="290"/>
      <c r="AB125" s="291"/>
      <c r="AC125" s="62"/>
      <c r="AD125" s="62"/>
      <c r="AE125" s="177">
        <f t="shared" si="38"/>
        <v>0</v>
      </c>
      <c r="AF125" s="177">
        <f t="shared" si="39"/>
        <v>0</v>
      </c>
      <c r="AG125" s="70">
        <f t="shared" si="40"/>
        <v>43420</v>
      </c>
      <c r="AH125" s="70">
        <f t="shared" si="41"/>
        <v>0</v>
      </c>
      <c r="AI125" s="587">
        <v>0</v>
      </c>
      <c r="AJ125" s="178">
        <f t="shared" si="42"/>
        <v>43420</v>
      </c>
      <c r="AK125" s="301">
        <f t="shared" si="43"/>
        <v>0</v>
      </c>
      <c r="AL125" s="70">
        <f t="shared" si="44"/>
        <v>134168</v>
      </c>
      <c r="AM125" s="179">
        <f t="shared" si="45"/>
        <v>99.999751479438586</v>
      </c>
      <c r="AN125" s="179"/>
      <c r="AO125" s="31">
        <f t="shared" si="46"/>
        <v>15630.053435895505</v>
      </c>
      <c r="AP125" s="31">
        <f t="shared" si="47"/>
        <v>1310</v>
      </c>
      <c r="AQ125" s="31">
        <f t="shared" si="48"/>
        <v>-292.04303341475315</v>
      </c>
      <c r="AR125" s="180" t="str">
        <f t="shared" si="49"/>
        <v/>
      </c>
      <c r="AS125" s="31">
        <f t="shared" si="52"/>
        <v>13416.83</v>
      </c>
      <c r="AU125" s="31">
        <f t="shared" si="50"/>
        <v>0</v>
      </c>
      <c r="AV125" s="177"/>
      <c r="AW125" s="31">
        <f t="shared" si="51"/>
        <v>131</v>
      </c>
    </row>
    <row r="126" spans="1:49">
      <c r="A126" s="102">
        <v>117</v>
      </c>
      <c r="B126" s="7" t="s">
        <v>1822</v>
      </c>
      <c r="C126" s="7">
        <v>1</v>
      </c>
      <c r="D126" s="62">
        <f t="shared" si="27"/>
        <v>5790379.5499999998</v>
      </c>
      <c r="E126" s="172">
        <f t="shared" si="28"/>
        <v>985813.99517187499</v>
      </c>
      <c r="F126" s="62">
        <f t="shared" si="29"/>
        <v>5654945.3746561082</v>
      </c>
      <c r="G126" s="70">
        <f t="shared" si="30"/>
        <v>4724445</v>
      </c>
      <c r="H126" s="62">
        <f t="shared" si="31"/>
        <v>930500</v>
      </c>
      <c r="I126" s="173">
        <f t="shared" si="32"/>
        <v>0</v>
      </c>
      <c r="J126" s="174">
        <f>ROUND(100-'Townwide Contributions'!K126,2)</f>
        <v>17.5</v>
      </c>
      <c r="K126" s="70">
        <f t="shared" si="33"/>
        <v>989615</v>
      </c>
      <c r="L126" s="70">
        <f t="shared" si="34"/>
        <v>0</v>
      </c>
      <c r="M126" s="175">
        <f t="shared" si="35"/>
        <v>0</v>
      </c>
      <c r="N126" s="70"/>
      <c r="O126" s="70"/>
      <c r="P126" s="70"/>
      <c r="Q126" s="62">
        <v>587</v>
      </c>
      <c r="R126" s="62">
        <f t="shared" si="36"/>
        <v>565</v>
      </c>
      <c r="S126" s="176"/>
      <c r="T126" s="176"/>
      <c r="U126" s="70"/>
      <c r="V126" s="70"/>
      <c r="W126" s="260"/>
      <c r="X126" s="62">
        <f t="shared" si="37"/>
        <v>0</v>
      </c>
      <c r="Y126" s="70"/>
      <c r="AA126" s="290"/>
      <c r="AB126" s="291"/>
      <c r="AC126" s="62"/>
      <c r="AD126" s="62"/>
      <c r="AE126" s="177">
        <f t="shared" si="38"/>
        <v>16950</v>
      </c>
      <c r="AF126" s="177">
        <f t="shared" si="39"/>
        <v>16950</v>
      </c>
      <c r="AG126" s="70">
        <f t="shared" si="40"/>
        <v>1002763.995171875</v>
      </c>
      <c r="AH126" s="70">
        <f t="shared" si="41"/>
        <v>0</v>
      </c>
      <c r="AI126" s="587">
        <v>0</v>
      </c>
      <c r="AJ126" s="178">
        <f t="shared" si="42"/>
        <v>1002763.995171875</v>
      </c>
      <c r="AK126" s="301">
        <f t="shared" si="43"/>
        <v>17.732514263815602</v>
      </c>
      <c r="AL126" s="70">
        <f t="shared" si="44"/>
        <v>5727208.9951718748</v>
      </c>
      <c r="AM126" s="179">
        <f t="shared" si="45"/>
        <v>101.27788361740207</v>
      </c>
      <c r="AN126" s="179"/>
      <c r="AO126" s="31">
        <f t="shared" si="46"/>
        <v>-135434.17534389161</v>
      </c>
      <c r="AP126" s="31">
        <f t="shared" si="47"/>
        <v>16950</v>
      </c>
      <c r="AQ126" s="31">
        <f t="shared" si="48"/>
        <v>13148.554607056081</v>
      </c>
      <c r="AR126" s="180">
        <f t="shared" si="49"/>
        <v>0.23251426381560236</v>
      </c>
      <c r="AS126" s="31">
        <f t="shared" si="52"/>
        <v>10008.75</v>
      </c>
      <c r="AU126" s="31">
        <f t="shared" si="50"/>
        <v>0</v>
      </c>
      <c r="AV126" s="177"/>
      <c r="AW126" s="31">
        <f t="shared" si="51"/>
        <v>30</v>
      </c>
    </row>
    <row r="127" spans="1:49">
      <c r="A127" s="102">
        <v>118</v>
      </c>
      <c r="B127" s="7" t="s">
        <v>1823</v>
      </c>
      <c r="C127" s="7">
        <v>1</v>
      </c>
      <c r="D127" s="62">
        <f t="shared" si="27"/>
        <v>5481688.6299299989</v>
      </c>
      <c r="E127" s="172">
        <f t="shared" si="28"/>
        <v>2746462</v>
      </c>
      <c r="F127" s="62">
        <f t="shared" si="29"/>
        <v>6142874.2903718846</v>
      </c>
      <c r="G127" s="70">
        <f t="shared" si="30"/>
        <v>3223996</v>
      </c>
      <c r="H127" s="62">
        <f t="shared" si="31"/>
        <v>2918878</v>
      </c>
      <c r="I127" s="173">
        <f t="shared" si="32"/>
        <v>172416</v>
      </c>
      <c r="J127" s="174">
        <f>ROUND(100-'Townwide Contributions'!K127,2)</f>
        <v>47.69</v>
      </c>
      <c r="K127" s="70">
        <f t="shared" si="33"/>
        <v>2929537</v>
      </c>
      <c r="L127" s="70">
        <f t="shared" si="34"/>
        <v>0</v>
      </c>
      <c r="M127" s="175">
        <f t="shared" si="35"/>
        <v>0</v>
      </c>
      <c r="N127" s="70"/>
      <c r="O127" s="70"/>
      <c r="P127" s="70"/>
      <c r="Q127" s="62">
        <v>579</v>
      </c>
      <c r="R127" s="62">
        <f t="shared" si="36"/>
        <v>633</v>
      </c>
      <c r="S127" s="176"/>
      <c r="T127" s="176"/>
      <c r="U127" s="70"/>
      <c r="V127" s="70"/>
      <c r="W127" s="260"/>
      <c r="X127" s="62">
        <f t="shared" si="37"/>
        <v>1</v>
      </c>
      <c r="Y127" s="70"/>
      <c r="AA127" s="290"/>
      <c r="AB127" s="291"/>
      <c r="AC127" s="62"/>
      <c r="AD127" s="62"/>
      <c r="AE127" s="177">
        <f t="shared" si="38"/>
        <v>18990</v>
      </c>
      <c r="AF127" s="177">
        <f t="shared" si="39"/>
        <v>0</v>
      </c>
      <c r="AG127" s="70">
        <f t="shared" si="40"/>
        <v>2918878</v>
      </c>
      <c r="AH127" s="70">
        <f t="shared" si="41"/>
        <v>0</v>
      </c>
      <c r="AI127" s="587">
        <v>4770</v>
      </c>
      <c r="AJ127" s="178">
        <f t="shared" si="42"/>
        <v>2923648</v>
      </c>
      <c r="AK127" s="301">
        <f t="shared" si="43"/>
        <v>47.594136910508141</v>
      </c>
      <c r="AL127" s="70">
        <f t="shared" si="44"/>
        <v>6147644</v>
      </c>
      <c r="AM127" s="179">
        <f t="shared" si="45"/>
        <v>100.07764621906054</v>
      </c>
      <c r="AN127" s="179"/>
      <c r="AO127" s="31">
        <f t="shared" si="46"/>
        <v>661185.6604418857</v>
      </c>
      <c r="AP127" s="31">
        <f t="shared" si="47"/>
        <v>177186</v>
      </c>
      <c r="AQ127" s="31">
        <f t="shared" si="48"/>
        <v>-5888.7490783515386</v>
      </c>
      <c r="AR127" s="180">
        <f t="shared" si="49"/>
        <v>-9.5863089491857068E-2</v>
      </c>
      <c r="AS127" s="31">
        <f t="shared" si="52"/>
        <v>9704.3799999999992</v>
      </c>
      <c r="AU127" s="31">
        <f t="shared" si="50"/>
        <v>0</v>
      </c>
      <c r="AV127" s="177"/>
      <c r="AW127" s="31">
        <f t="shared" si="51"/>
        <v>279.91469194312793</v>
      </c>
    </row>
    <row r="128" spans="1:49">
      <c r="A128" s="102">
        <v>119</v>
      </c>
      <c r="B128" s="7" t="s">
        <v>1824</v>
      </c>
      <c r="C128" s="7">
        <v>0</v>
      </c>
      <c r="D128" s="62">
        <f t="shared" si="27"/>
        <v>0</v>
      </c>
      <c r="E128" s="172">
        <f t="shared" si="28"/>
        <v>0</v>
      </c>
      <c r="F128" s="62">
        <f t="shared" si="29"/>
        <v>0</v>
      </c>
      <c r="G128" s="70">
        <f t="shared" si="30"/>
        <v>0</v>
      </c>
      <c r="H128" s="62">
        <f t="shared" si="31"/>
        <v>0</v>
      </c>
      <c r="I128" s="173">
        <f t="shared" si="32"/>
        <v>0</v>
      </c>
      <c r="J128" s="174">
        <f>ROUND(100-'Townwide Contributions'!K128,2)</f>
        <v>17.5</v>
      </c>
      <c r="K128" s="70">
        <f t="shared" si="33"/>
        <v>0</v>
      </c>
      <c r="L128" s="70">
        <f t="shared" si="34"/>
        <v>0</v>
      </c>
      <c r="M128" s="175">
        <f t="shared" si="35"/>
        <v>0</v>
      </c>
      <c r="N128" s="70"/>
      <c r="O128" s="70"/>
      <c r="P128" s="70"/>
      <c r="Q128" s="62">
        <v>0</v>
      </c>
      <c r="R128" s="62">
        <f t="shared" si="36"/>
        <v>0</v>
      </c>
      <c r="S128" s="176"/>
      <c r="T128" s="176"/>
      <c r="U128" s="70"/>
      <c r="V128" s="70"/>
      <c r="W128" s="260"/>
      <c r="X128" s="62">
        <f t="shared" si="37"/>
        <v>0</v>
      </c>
      <c r="Y128" s="70"/>
      <c r="AA128" s="290"/>
      <c r="AB128" s="291"/>
      <c r="AC128" s="62"/>
      <c r="AD128" s="62"/>
      <c r="AE128" s="177">
        <f t="shared" si="38"/>
        <v>0</v>
      </c>
      <c r="AF128" s="177">
        <f t="shared" si="39"/>
        <v>0</v>
      </c>
      <c r="AG128" s="70">
        <f t="shared" si="40"/>
        <v>0</v>
      </c>
      <c r="AH128" s="70">
        <f t="shared" si="41"/>
        <v>0</v>
      </c>
      <c r="AI128" s="587">
        <v>0</v>
      </c>
      <c r="AJ128" s="178">
        <f t="shared" si="42"/>
        <v>0</v>
      </c>
      <c r="AK128" s="301">
        <f t="shared" si="43"/>
        <v>0</v>
      </c>
      <c r="AL128" s="70">
        <f t="shared" si="44"/>
        <v>0</v>
      </c>
      <c r="AM128" s="179">
        <f t="shared" si="45"/>
        <v>0</v>
      </c>
      <c r="AN128" s="179"/>
      <c r="AO128" s="31">
        <f t="shared" si="46"/>
        <v>0</v>
      </c>
      <c r="AP128" s="31">
        <f t="shared" si="47"/>
        <v>0</v>
      </c>
      <c r="AQ128" s="31">
        <f t="shared" si="48"/>
        <v>0</v>
      </c>
      <c r="AR128" s="180" t="str">
        <f t="shared" si="49"/>
        <v/>
      </c>
      <c r="AS128" s="31">
        <f t="shared" si="52"/>
        <v>0</v>
      </c>
      <c r="AU128" s="31">
        <f t="shared" si="50"/>
        <v>0</v>
      </c>
      <c r="AV128" s="177"/>
      <c r="AW128" s="31">
        <f t="shared" si="51"/>
        <v>0</v>
      </c>
    </row>
    <row r="129" spans="1:49">
      <c r="A129" s="102">
        <v>120</v>
      </c>
      <c r="B129" s="7" t="s">
        <v>1825</v>
      </c>
      <c r="C129" s="7">
        <v>0</v>
      </c>
      <c r="D129" s="62">
        <f t="shared" si="27"/>
        <v>0</v>
      </c>
      <c r="E129" s="172">
        <f t="shared" si="28"/>
        <v>0</v>
      </c>
      <c r="F129" s="62">
        <f t="shared" si="29"/>
        <v>0</v>
      </c>
      <c r="G129" s="70">
        <f t="shared" si="30"/>
        <v>0</v>
      </c>
      <c r="H129" s="62">
        <f t="shared" si="31"/>
        <v>0</v>
      </c>
      <c r="I129" s="173">
        <f t="shared" si="32"/>
        <v>0</v>
      </c>
      <c r="J129" s="174">
        <f>ROUND(100-'Townwide Contributions'!K129,2)</f>
        <v>24.58</v>
      </c>
      <c r="K129" s="70">
        <f t="shared" si="33"/>
        <v>0</v>
      </c>
      <c r="L129" s="70">
        <f t="shared" si="34"/>
        <v>0</v>
      </c>
      <c r="M129" s="175">
        <f t="shared" si="35"/>
        <v>0</v>
      </c>
      <c r="N129" s="70"/>
      <c r="O129" s="70"/>
      <c r="P129" s="70"/>
      <c r="Q129" s="62">
        <v>0</v>
      </c>
      <c r="R129" s="62">
        <f t="shared" si="36"/>
        <v>0</v>
      </c>
      <c r="S129" s="176"/>
      <c r="T129" s="176"/>
      <c r="U129" s="70"/>
      <c r="V129" s="70"/>
      <c r="W129" s="260"/>
      <c r="X129" s="62">
        <f t="shared" si="37"/>
        <v>0</v>
      </c>
      <c r="Y129" s="70"/>
      <c r="AA129" s="290"/>
      <c r="AB129" s="291"/>
      <c r="AC129" s="62"/>
      <c r="AD129" s="62"/>
      <c r="AE129" s="177">
        <f t="shared" si="38"/>
        <v>0</v>
      </c>
      <c r="AF129" s="177">
        <f t="shared" si="39"/>
        <v>0</v>
      </c>
      <c r="AG129" s="70">
        <f t="shared" si="40"/>
        <v>0</v>
      </c>
      <c r="AH129" s="70">
        <f t="shared" si="41"/>
        <v>0</v>
      </c>
      <c r="AI129" s="587">
        <v>0</v>
      </c>
      <c r="AJ129" s="178">
        <f t="shared" si="42"/>
        <v>0</v>
      </c>
      <c r="AK129" s="301">
        <f t="shared" si="43"/>
        <v>0</v>
      </c>
      <c r="AL129" s="70">
        <f t="shared" si="44"/>
        <v>0</v>
      </c>
      <c r="AM129" s="179">
        <f t="shared" si="45"/>
        <v>0</v>
      </c>
      <c r="AN129" s="179"/>
      <c r="AO129" s="31">
        <f t="shared" si="46"/>
        <v>0</v>
      </c>
      <c r="AP129" s="31">
        <f t="shared" si="47"/>
        <v>0</v>
      </c>
      <c r="AQ129" s="31">
        <f t="shared" si="48"/>
        <v>0</v>
      </c>
      <c r="AR129" s="180" t="str">
        <f t="shared" si="49"/>
        <v/>
      </c>
      <c r="AS129" s="31">
        <f t="shared" si="52"/>
        <v>0</v>
      </c>
      <c r="AU129" s="31">
        <f t="shared" si="50"/>
        <v>0</v>
      </c>
      <c r="AV129" s="177"/>
      <c r="AW129" s="31">
        <f t="shared" si="51"/>
        <v>0</v>
      </c>
    </row>
    <row r="130" spans="1:49">
      <c r="A130" s="102">
        <v>121</v>
      </c>
      <c r="B130" s="7" t="s">
        <v>1826</v>
      </c>
      <c r="C130" s="7">
        <v>1</v>
      </c>
      <c r="D130" s="62">
        <f t="shared" si="27"/>
        <v>719680.2</v>
      </c>
      <c r="E130" s="172">
        <f t="shared" si="28"/>
        <v>205060</v>
      </c>
      <c r="F130" s="62">
        <f t="shared" si="29"/>
        <v>672606.53356161958</v>
      </c>
      <c r="G130" s="70">
        <f t="shared" si="30"/>
        <v>562854</v>
      </c>
      <c r="H130" s="62">
        <f t="shared" si="31"/>
        <v>109753</v>
      </c>
      <c r="I130" s="173">
        <f t="shared" si="32"/>
        <v>0</v>
      </c>
      <c r="J130" s="174">
        <f>ROUND(100-'Townwide Contributions'!K130,2)</f>
        <v>17.5</v>
      </c>
      <c r="K130" s="70">
        <f t="shared" si="33"/>
        <v>117706</v>
      </c>
      <c r="L130" s="70">
        <f t="shared" si="34"/>
        <v>0</v>
      </c>
      <c r="M130" s="175">
        <f t="shared" si="35"/>
        <v>0</v>
      </c>
      <c r="N130" s="70"/>
      <c r="O130" s="70"/>
      <c r="P130" s="70"/>
      <c r="Q130" s="62">
        <v>74</v>
      </c>
      <c r="R130" s="62">
        <f t="shared" si="36"/>
        <v>70</v>
      </c>
      <c r="S130" s="176"/>
      <c r="T130" s="176"/>
      <c r="U130" s="70"/>
      <c r="V130" s="70"/>
      <c r="W130" s="260"/>
      <c r="X130" s="62">
        <f t="shared" si="37"/>
        <v>0</v>
      </c>
      <c r="Y130" s="70"/>
      <c r="AA130" s="290"/>
      <c r="AB130" s="291"/>
      <c r="AC130" s="62"/>
      <c r="AD130" s="62"/>
      <c r="AE130" s="177">
        <f t="shared" si="38"/>
        <v>2100</v>
      </c>
      <c r="AF130" s="177">
        <f t="shared" si="39"/>
        <v>2100</v>
      </c>
      <c r="AG130" s="70">
        <f t="shared" si="40"/>
        <v>207160</v>
      </c>
      <c r="AH130" s="70">
        <f t="shared" si="41"/>
        <v>0</v>
      </c>
      <c r="AI130" s="587">
        <v>0</v>
      </c>
      <c r="AJ130" s="178">
        <f t="shared" si="42"/>
        <v>207160</v>
      </c>
      <c r="AK130" s="301">
        <f t="shared" si="43"/>
        <v>30.79958187486465</v>
      </c>
      <c r="AL130" s="70">
        <f t="shared" si="44"/>
        <v>770014</v>
      </c>
      <c r="AM130" s="179">
        <f t="shared" si="45"/>
        <v>114.48208745796499</v>
      </c>
      <c r="AN130" s="179"/>
      <c r="AO130" s="31">
        <f t="shared" si="46"/>
        <v>-47073.666438380373</v>
      </c>
      <c r="AP130" s="31">
        <f t="shared" si="47"/>
        <v>2100</v>
      </c>
      <c r="AQ130" s="31">
        <f t="shared" si="48"/>
        <v>89453.856626716588</v>
      </c>
      <c r="AR130" s="180">
        <f t="shared" si="49"/>
        <v>13.29958187486465</v>
      </c>
      <c r="AS130" s="31">
        <f t="shared" si="52"/>
        <v>9608.66</v>
      </c>
      <c r="AU130" s="31">
        <f t="shared" si="50"/>
        <v>0</v>
      </c>
      <c r="AV130" s="177"/>
      <c r="AW130" s="31">
        <f t="shared" si="51"/>
        <v>30</v>
      </c>
    </row>
    <row r="131" spans="1:49">
      <c r="A131" s="102">
        <v>122</v>
      </c>
      <c r="B131" s="7" t="s">
        <v>1827</v>
      </c>
      <c r="C131" s="7">
        <v>1</v>
      </c>
      <c r="D131" s="62">
        <f t="shared" si="27"/>
        <v>23962139.080309998</v>
      </c>
      <c r="E131" s="172">
        <f t="shared" si="28"/>
        <v>6795548.713344737</v>
      </c>
      <c r="F131" s="62">
        <f t="shared" si="29"/>
        <v>24249684.484178498</v>
      </c>
      <c r="G131" s="70">
        <f t="shared" si="30"/>
        <v>19005451</v>
      </c>
      <c r="H131" s="62">
        <f t="shared" si="31"/>
        <v>5244233</v>
      </c>
      <c r="I131" s="173">
        <f t="shared" si="32"/>
        <v>0</v>
      </c>
      <c r="J131" s="174">
        <f>ROUND(100-'Townwide Contributions'!K131,2)</f>
        <v>20.62</v>
      </c>
      <c r="K131" s="70">
        <f t="shared" si="33"/>
        <v>5000285</v>
      </c>
      <c r="L131" s="70">
        <f t="shared" si="34"/>
        <v>0</v>
      </c>
      <c r="M131" s="175">
        <f t="shared" si="35"/>
        <v>0</v>
      </c>
      <c r="N131" s="70"/>
      <c r="O131" s="70"/>
      <c r="P131" s="70"/>
      <c r="Q131" s="62">
        <v>2557</v>
      </c>
      <c r="R131" s="62">
        <f t="shared" si="36"/>
        <v>2530</v>
      </c>
      <c r="S131" s="176"/>
      <c r="T131" s="176"/>
      <c r="U131" s="70"/>
      <c r="V131" s="70"/>
      <c r="W131" s="260"/>
      <c r="X131" s="62">
        <f t="shared" si="37"/>
        <v>0</v>
      </c>
      <c r="Y131" s="70"/>
      <c r="AA131" s="290"/>
      <c r="AB131" s="291"/>
      <c r="AC131" s="62"/>
      <c r="AD131" s="62"/>
      <c r="AE131" s="177">
        <f t="shared" si="38"/>
        <v>75900</v>
      </c>
      <c r="AF131" s="177">
        <f t="shared" si="39"/>
        <v>75900</v>
      </c>
      <c r="AG131" s="70">
        <f t="shared" si="40"/>
        <v>6871448.713344737</v>
      </c>
      <c r="AH131" s="70">
        <f t="shared" si="41"/>
        <v>0</v>
      </c>
      <c r="AI131" s="587">
        <v>0</v>
      </c>
      <c r="AJ131" s="178">
        <f t="shared" si="42"/>
        <v>6871448.713344737</v>
      </c>
      <c r="AK131" s="301">
        <f t="shared" si="43"/>
        <v>28.336239664594213</v>
      </c>
      <c r="AL131" s="70">
        <f t="shared" si="44"/>
        <v>25876899.713344738</v>
      </c>
      <c r="AM131" s="179">
        <f t="shared" si="45"/>
        <v>106.71025320031649</v>
      </c>
      <c r="AN131" s="179"/>
      <c r="AO131" s="31">
        <f t="shared" si="46"/>
        <v>287545.40386850014</v>
      </c>
      <c r="AP131" s="31">
        <f t="shared" si="47"/>
        <v>75900</v>
      </c>
      <c r="AQ131" s="31">
        <f t="shared" si="48"/>
        <v>1871163.7727071298</v>
      </c>
      <c r="AR131" s="180">
        <f t="shared" si="49"/>
        <v>7.7162396645942124</v>
      </c>
      <c r="AS131" s="31">
        <f t="shared" si="52"/>
        <v>9584.86</v>
      </c>
      <c r="AU131" s="31">
        <f t="shared" si="50"/>
        <v>0</v>
      </c>
      <c r="AV131" s="177"/>
      <c r="AW131" s="31">
        <f t="shared" si="51"/>
        <v>30</v>
      </c>
    </row>
    <row r="132" spans="1:49">
      <c r="A132" s="102">
        <v>123</v>
      </c>
      <c r="B132" s="7" t="s">
        <v>1828</v>
      </c>
      <c r="C132" s="7">
        <v>0</v>
      </c>
      <c r="D132" s="62">
        <f t="shared" si="27"/>
        <v>105367.36000000002</v>
      </c>
      <c r="E132" s="172">
        <f t="shared" si="28"/>
        <v>58345</v>
      </c>
      <c r="F132" s="62">
        <f t="shared" si="29"/>
        <v>120751.50009230593</v>
      </c>
      <c r="G132" s="70">
        <f t="shared" si="30"/>
        <v>61304</v>
      </c>
      <c r="H132" s="62">
        <f t="shared" si="31"/>
        <v>59448</v>
      </c>
      <c r="I132" s="173">
        <f t="shared" si="32"/>
        <v>1103</v>
      </c>
      <c r="J132" s="174">
        <f>ROUND(100-'Townwide Contributions'!K132,2)</f>
        <v>45.09</v>
      </c>
      <c r="K132" s="70">
        <f t="shared" si="33"/>
        <v>54447</v>
      </c>
      <c r="L132" s="70">
        <f t="shared" si="34"/>
        <v>0</v>
      </c>
      <c r="M132" s="175">
        <f t="shared" si="35"/>
        <v>0</v>
      </c>
      <c r="N132" s="70"/>
      <c r="O132" s="70"/>
      <c r="P132" s="70"/>
      <c r="Q132" s="62">
        <v>8</v>
      </c>
      <c r="R132" s="62">
        <f t="shared" si="36"/>
        <v>9</v>
      </c>
      <c r="S132" s="176"/>
      <c r="T132" s="176"/>
      <c r="U132" s="70"/>
      <c r="V132" s="70"/>
      <c r="W132" s="260"/>
      <c r="X132" s="62">
        <f t="shared" si="37"/>
        <v>0</v>
      </c>
      <c r="Y132" s="70"/>
      <c r="AA132" s="290"/>
      <c r="AB132" s="291"/>
      <c r="AC132" s="62"/>
      <c r="AD132" s="62"/>
      <c r="AE132" s="177">
        <f t="shared" si="38"/>
        <v>0</v>
      </c>
      <c r="AF132" s="177">
        <f t="shared" si="39"/>
        <v>0</v>
      </c>
      <c r="AG132" s="70">
        <f t="shared" si="40"/>
        <v>59448</v>
      </c>
      <c r="AH132" s="70">
        <f t="shared" si="41"/>
        <v>0</v>
      </c>
      <c r="AI132" s="587">
        <v>0</v>
      </c>
      <c r="AJ132" s="178">
        <f t="shared" si="42"/>
        <v>59448</v>
      </c>
      <c r="AK132" s="301">
        <f t="shared" si="43"/>
        <v>0</v>
      </c>
      <c r="AL132" s="70">
        <f t="shared" si="44"/>
        <v>120752</v>
      </c>
      <c r="AM132" s="179">
        <f t="shared" si="45"/>
        <v>100.00041399708797</v>
      </c>
      <c r="AN132" s="179"/>
      <c r="AO132" s="31">
        <f t="shared" si="46"/>
        <v>15384.140092305912</v>
      </c>
      <c r="AP132" s="31">
        <f t="shared" si="47"/>
        <v>1103</v>
      </c>
      <c r="AQ132" s="31">
        <f t="shared" si="48"/>
        <v>5001.1486083792552</v>
      </c>
      <c r="AR132" s="180" t="str">
        <f t="shared" si="49"/>
        <v/>
      </c>
      <c r="AS132" s="31">
        <f t="shared" si="52"/>
        <v>13416.83</v>
      </c>
      <c r="AU132" s="31">
        <f t="shared" si="50"/>
        <v>0</v>
      </c>
      <c r="AV132" s="177"/>
      <c r="AW132" s="31">
        <f t="shared" si="51"/>
        <v>122.55555555555556</v>
      </c>
    </row>
    <row r="133" spans="1:49">
      <c r="A133" s="102">
        <v>124</v>
      </c>
      <c r="B133" s="7" t="s">
        <v>1829</v>
      </c>
      <c r="C133" s="7">
        <v>0</v>
      </c>
      <c r="D133" s="62">
        <f t="shared" si="27"/>
        <v>13170.920000000002</v>
      </c>
      <c r="E133" s="172">
        <f t="shared" si="28"/>
        <v>8393</v>
      </c>
      <c r="F133" s="62">
        <f t="shared" si="29"/>
        <v>0</v>
      </c>
      <c r="G133" s="70">
        <f t="shared" si="30"/>
        <v>0</v>
      </c>
      <c r="H133" s="62">
        <f t="shared" si="31"/>
        <v>0</v>
      </c>
      <c r="I133" s="173">
        <f t="shared" si="32"/>
        <v>0</v>
      </c>
      <c r="J133" s="174">
        <f>ROUND(100-'Townwide Contributions'!K133,2)</f>
        <v>64.010000000000005</v>
      </c>
      <c r="K133" s="70">
        <f t="shared" si="33"/>
        <v>0</v>
      </c>
      <c r="L133" s="70">
        <f t="shared" si="34"/>
        <v>0</v>
      </c>
      <c r="M133" s="175">
        <f t="shared" si="35"/>
        <v>0</v>
      </c>
      <c r="N133" s="70"/>
      <c r="O133" s="70"/>
      <c r="P133" s="70"/>
      <c r="Q133" s="62">
        <v>1</v>
      </c>
      <c r="R133" s="62">
        <f t="shared" si="36"/>
        <v>0</v>
      </c>
      <c r="S133" s="176"/>
      <c r="T133" s="176"/>
      <c r="U133" s="70"/>
      <c r="V133" s="70"/>
      <c r="W133" s="260"/>
      <c r="X133" s="62">
        <f t="shared" si="37"/>
        <v>0</v>
      </c>
      <c r="Y133" s="70"/>
      <c r="AA133" s="290"/>
      <c r="AB133" s="291"/>
      <c r="AC133" s="62"/>
      <c r="AD133" s="62"/>
      <c r="AE133" s="177">
        <f t="shared" si="38"/>
        <v>0</v>
      </c>
      <c r="AF133" s="177">
        <f t="shared" si="39"/>
        <v>0</v>
      </c>
      <c r="AG133" s="70">
        <f t="shared" si="40"/>
        <v>8393</v>
      </c>
      <c r="AH133" s="70">
        <f t="shared" si="41"/>
        <v>8393</v>
      </c>
      <c r="AI133" s="587">
        <v>0</v>
      </c>
      <c r="AJ133" s="178">
        <f t="shared" si="42"/>
        <v>0</v>
      </c>
      <c r="AK133" s="301">
        <f t="shared" si="43"/>
        <v>0</v>
      </c>
      <c r="AL133" s="70">
        <f t="shared" si="44"/>
        <v>0</v>
      </c>
      <c r="AM133" s="179">
        <f t="shared" si="45"/>
        <v>0</v>
      </c>
      <c r="AN133" s="179"/>
      <c r="AO133" s="31">
        <f t="shared" si="46"/>
        <v>-13170.920000000002</v>
      </c>
      <c r="AP133" s="31">
        <f t="shared" si="47"/>
        <v>-8393</v>
      </c>
      <c r="AQ133" s="31">
        <f t="shared" si="48"/>
        <v>0</v>
      </c>
      <c r="AR133" s="180" t="str">
        <f t="shared" si="49"/>
        <v/>
      </c>
      <c r="AS133" s="31">
        <f t="shared" si="52"/>
        <v>0</v>
      </c>
      <c r="AU133" s="31">
        <f t="shared" si="50"/>
        <v>0</v>
      </c>
      <c r="AV133" s="177"/>
      <c r="AW133" s="31">
        <f t="shared" si="51"/>
        <v>0</v>
      </c>
    </row>
    <row r="134" spans="1:49">
      <c r="A134" s="102">
        <v>125</v>
      </c>
      <c r="B134" s="7" t="s">
        <v>1830</v>
      </c>
      <c r="C134" s="7">
        <v>1</v>
      </c>
      <c r="D134" s="62">
        <f t="shared" si="27"/>
        <v>9175786.1101999991</v>
      </c>
      <c r="E134" s="172">
        <f t="shared" si="28"/>
        <v>1896961</v>
      </c>
      <c r="F134" s="62">
        <f t="shared" si="29"/>
        <v>9274857.1529690847</v>
      </c>
      <c r="G134" s="70">
        <f t="shared" si="30"/>
        <v>7706220</v>
      </c>
      <c r="H134" s="62">
        <f t="shared" si="31"/>
        <v>1568637</v>
      </c>
      <c r="I134" s="173">
        <f t="shared" si="32"/>
        <v>0</v>
      </c>
      <c r="J134" s="174">
        <f>ROUND(100-'Townwide Contributions'!K134,2)</f>
        <v>17.5</v>
      </c>
      <c r="K134" s="70">
        <f t="shared" si="33"/>
        <v>1623100</v>
      </c>
      <c r="L134" s="70">
        <f t="shared" si="34"/>
        <v>0</v>
      </c>
      <c r="M134" s="175">
        <f t="shared" si="35"/>
        <v>0</v>
      </c>
      <c r="N134" s="70"/>
      <c r="O134" s="70"/>
      <c r="P134" s="70"/>
      <c r="Q134" s="62">
        <v>996</v>
      </c>
      <c r="R134" s="62">
        <f t="shared" si="36"/>
        <v>980</v>
      </c>
      <c r="S134" s="176"/>
      <c r="T134" s="176"/>
      <c r="U134" s="70"/>
      <c r="V134" s="70"/>
      <c r="W134" s="260"/>
      <c r="X134" s="62">
        <f t="shared" si="37"/>
        <v>0</v>
      </c>
      <c r="Y134" s="70"/>
      <c r="AA134" s="290"/>
      <c r="AB134" s="291"/>
      <c r="AC134" s="62"/>
      <c r="AD134" s="62"/>
      <c r="AE134" s="177">
        <f t="shared" si="38"/>
        <v>29400</v>
      </c>
      <c r="AF134" s="177">
        <f t="shared" si="39"/>
        <v>29400</v>
      </c>
      <c r="AG134" s="70">
        <f t="shared" si="40"/>
        <v>1926361</v>
      </c>
      <c r="AH134" s="70">
        <f t="shared" si="41"/>
        <v>0</v>
      </c>
      <c r="AI134" s="587">
        <v>0</v>
      </c>
      <c r="AJ134" s="178">
        <f t="shared" si="42"/>
        <v>1926361</v>
      </c>
      <c r="AK134" s="301">
        <f t="shared" si="43"/>
        <v>20.769710716065635</v>
      </c>
      <c r="AL134" s="70">
        <f t="shared" si="44"/>
        <v>9632581</v>
      </c>
      <c r="AM134" s="179">
        <f t="shared" si="45"/>
        <v>103.8569202860057</v>
      </c>
      <c r="AN134" s="179"/>
      <c r="AO134" s="31">
        <f t="shared" si="46"/>
        <v>99071.042769085616</v>
      </c>
      <c r="AP134" s="31">
        <f t="shared" si="47"/>
        <v>29400</v>
      </c>
      <c r="AQ134" s="31">
        <f t="shared" si="48"/>
        <v>303260.99823041027</v>
      </c>
      <c r="AR134" s="180">
        <f t="shared" si="49"/>
        <v>3.2697107160656351</v>
      </c>
      <c r="AS134" s="31">
        <f t="shared" si="52"/>
        <v>9464.14</v>
      </c>
      <c r="AU134" s="31">
        <f t="shared" si="50"/>
        <v>0</v>
      </c>
      <c r="AV134" s="177"/>
      <c r="AW134" s="31">
        <f t="shared" si="51"/>
        <v>30</v>
      </c>
    </row>
    <row r="135" spans="1:49">
      <c r="A135" s="102">
        <v>126</v>
      </c>
      <c r="B135" s="7" t="s">
        <v>1831</v>
      </c>
      <c r="C135" s="7">
        <v>0</v>
      </c>
      <c r="D135" s="62">
        <f t="shared" si="27"/>
        <v>0</v>
      </c>
      <c r="E135" s="172">
        <f t="shared" si="28"/>
        <v>0</v>
      </c>
      <c r="F135" s="62">
        <f t="shared" si="29"/>
        <v>0</v>
      </c>
      <c r="G135" s="70">
        <f t="shared" si="30"/>
        <v>0</v>
      </c>
      <c r="H135" s="62">
        <f t="shared" si="31"/>
        <v>0</v>
      </c>
      <c r="I135" s="173">
        <f t="shared" si="32"/>
        <v>0</v>
      </c>
      <c r="J135" s="174">
        <f>ROUND(100-'Townwide Contributions'!K135,2)</f>
        <v>17.5</v>
      </c>
      <c r="K135" s="70">
        <f t="shared" si="33"/>
        <v>0</v>
      </c>
      <c r="L135" s="70">
        <f t="shared" si="34"/>
        <v>0</v>
      </c>
      <c r="M135" s="175">
        <f t="shared" si="35"/>
        <v>0</v>
      </c>
      <c r="N135" s="70"/>
      <c r="O135" s="70"/>
      <c r="P135" s="70"/>
      <c r="Q135" s="62">
        <v>0</v>
      </c>
      <c r="R135" s="62">
        <f t="shared" si="36"/>
        <v>0</v>
      </c>
      <c r="S135" s="176"/>
      <c r="T135" s="176"/>
      <c r="U135" s="70"/>
      <c r="V135" s="70"/>
      <c r="W135" s="260"/>
      <c r="X135" s="62">
        <f t="shared" si="37"/>
        <v>0</v>
      </c>
      <c r="Y135" s="70"/>
      <c r="AA135" s="290"/>
      <c r="AB135" s="291"/>
      <c r="AC135" s="62"/>
      <c r="AD135" s="62"/>
      <c r="AE135" s="177">
        <f t="shared" si="38"/>
        <v>0</v>
      </c>
      <c r="AF135" s="177">
        <f t="shared" si="39"/>
        <v>0</v>
      </c>
      <c r="AG135" s="70">
        <f t="shared" si="40"/>
        <v>0</v>
      </c>
      <c r="AH135" s="70">
        <f t="shared" si="41"/>
        <v>0</v>
      </c>
      <c r="AI135" s="587">
        <v>0</v>
      </c>
      <c r="AJ135" s="178">
        <f t="shared" si="42"/>
        <v>0</v>
      </c>
      <c r="AK135" s="301">
        <f t="shared" si="43"/>
        <v>0</v>
      </c>
      <c r="AL135" s="70">
        <f t="shared" si="44"/>
        <v>0</v>
      </c>
      <c r="AM135" s="179">
        <f t="shared" si="45"/>
        <v>0</v>
      </c>
      <c r="AN135" s="179"/>
      <c r="AO135" s="31">
        <f t="shared" si="46"/>
        <v>0</v>
      </c>
      <c r="AP135" s="31">
        <f t="shared" si="47"/>
        <v>0</v>
      </c>
      <c r="AQ135" s="31">
        <f t="shared" si="48"/>
        <v>0</v>
      </c>
      <c r="AR135" s="180" t="str">
        <f t="shared" si="49"/>
        <v/>
      </c>
      <c r="AS135" s="31">
        <f t="shared" si="52"/>
        <v>0</v>
      </c>
      <c r="AU135" s="31">
        <f t="shared" si="50"/>
        <v>0</v>
      </c>
      <c r="AV135" s="177"/>
      <c r="AW135" s="31">
        <f t="shared" si="51"/>
        <v>0</v>
      </c>
    </row>
    <row r="136" spans="1:49">
      <c r="A136" s="102">
        <v>127</v>
      </c>
      <c r="B136" s="7" t="s">
        <v>1832</v>
      </c>
      <c r="C136" s="7">
        <v>1</v>
      </c>
      <c r="D136" s="62">
        <f t="shared" si="27"/>
        <v>3350319.81</v>
      </c>
      <c r="E136" s="172">
        <f t="shared" si="28"/>
        <v>814996</v>
      </c>
      <c r="F136" s="62">
        <f t="shared" si="29"/>
        <v>3456804.2799801859</v>
      </c>
      <c r="G136" s="70">
        <f t="shared" si="30"/>
        <v>2864170</v>
      </c>
      <c r="H136" s="62">
        <f t="shared" si="31"/>
        <v>592634</v>
      </c>
      <c r="I136" s="173">
        <f t="shared" si="32"/>
        <v>0</v>
      </c>
      <c r="J136" s="174">
        <f>ROUND(100-'Townwide Contributions'!K136,2)</f>
        <v>17.5</v>
      </c>
      <c r="K136" s="70">
        <f t="shared" si="33"/>
        <v>604941</v>
      </c>
      <c r="L136" s="70">
        <f t="shared" si="34"/>
        <v>0</v>
      </c>
      <c r="M136" s="175">
        <f t="shared" si="35"/>
        <v>0</v>
      </c>
      <c r="N136" s="70"/>
      <c r="O136" s="70"/>
      <c r="P136" s="70"/>
      <c r="Q136" s="62">
        <v>350</v>
      </c>
      <c r="R136" s="62">
        <f t="shared" si="36"/>
        <v>354</v>
      </c>
      <c r="S136" s="176"/>
      <c r="T136" s="176"/>
      <c r="U136" s="70"/>
      <c r="V136" s="70"/>
      <c r="W136" s="260"/>
      <c r="X136" s="62">
        <f t="shared" si="37"/>
        <v>0</v>
      </c>
      <c r="Y136" s="70"/>
      <c r="AA136" s="290"/>
      <c r="AB136" s="291"/>
      <c r="AC136" s="62"/>
      <c r="AD136" s="62"/>
      <c r="AE136" s="177">
        <f t="shared" si="38"/>
        <v>10620</v>
      </c>
      <c r="AF136" s="177">
        <f t="shared" si="39"/>
        <v>10620</v>
      </c>
      <c r="AG136" s="70">
        <f t="shared" si="40"/>
        <v>825616</v>
      </c>
      <c r="AH136" s="70">
        <f t="shared" si="41"/>
        <v>0</v>
      </c>
      <c r="AI136" s="587">
        <v>0</v>
      </c>
      <c r="AJ136" s="178">
        <f t="shared" si="42"/>
        <v>825616</v>
      </c>
      <c r="AK136" s="301">
        <f t="shared" si="43"/>
        <v>23.883793617749525</v>
      </c>
      <c r="AL136" s="70">
        <f t="shared" si="44"/>
        <v>3689786</v>
      </c>
      <c r="AM136" s="179">
        <f t="shared" si="45"/>
        <v>106.73980072777361</v>
      </c>
      <c r="AN136" s="179"/>
      <c r="AO136" s="31">
        <f t="shared" si="46"/>
        <v>106484.46998018585</v>
      </c>
      <c r="AP136" s="31">
        <f t="shared" si="47"/>
        <v>10620</v>
      </c>
      <c r="AQ136" s="31">
        <f t="shared" si="48"/>
        <v>220675.25100346748</v>
      </c>
      <c r="AR136" s="180">
        <f t="shared" si="49"/>
        <v>6.3837936177495251</v>
      </c>
      <c r="AS136" s="31">
        <f t="shared" si="52"/>
        <v>9764.98</v>
      </c>
      <c r="AU136" s="31">
        <f t="shared" si="50"/>
        <v>0</v>
      </c>
      <c r="AV136" s="177"/>
      <c r="AW136" s="31">
        <f t="shared" si="51"/>
        <v>30</v>
      </c>
    </row>
    <row r="137" spans="1:49">
      <c r="A137" s="102">
        <v>128</v>
      </c>
      <c r="B137" s="7" t="s">
        <v>1833</v>
      </c>
      <c r="C137" s="7">
        <v>1</v>
      </c>
      <c r="D137" s="62">
        <f t="shared" si="27"/>
        <v>87808524.019999996</v>
      </c>
      <c r="E137" s="172">
        <f t="shared" si="28"/>
        <v>49625635</v>
      </c>
      <c r="F137" s="62">
        <f t="shared" si="29"/>
        <v>91533733.132029355</v>
      </c>
      <c r="G137" s="70">
        <f t="shared" si="30"/>
        <v>39059148</v>
      </c>
      <c r="H137" s="62">
        <f t="shared" si="31"/>
        <v>52474585</v>
      </c>
      <c r="I137" s="173">
        <f t="shared" si="32"/>
        <v>2848950</v>
      </c>
      <c r="J137" s="174">
        <f>ROUND(100-'Townwide Contributions'!K137,2)</f>
        <v>57.49</v>
      </c>
      <c r="K137" s="70">
        <f t="shared" si="33"/>
        <v>52622743</v>
      </c>
      <c r="L137" s="70">
        <f t="shared" si="34"/>
        <v>0</v>
      </c>
      <c r="M137" s="175">
        <f t="shared" si="35"/>
        <v>0</v>
      </c>
      <c r="N137" s="70"/>
      <c r="O137" s="70"/>
      <c r="P137" s="70"/>
      <c r="Q137" s="62">
        <v>8200</v>
      </c>
      <c r="R137" s="62">
        <f t="shared" si="36"/>
        <v>8304</v>
      </c>
      <c r="S137" s="176"/>
      <c r="T137" s="176"/>
      <c r="U137" s="70"/>
      <c r="V137" s="70"/>
      <c r="W137" s="260"/>
      <c r="X137" s="62">
        <f t="shared" si="37"/>
        <v>1</v>
      </c>
      <c r="Y137" s="70"/>
      <c r="AA137" s="290"/>
      <c r="AB137" s="291"/>
      <c r="AC137" s="62"/>
      <c r="AD137" s="62"/>
      <c r="AE137" s="177">
        <f t="shared" si="38"/>
        <v>249120</v>
      </c>
      <c r="AF137" s="177">
        <f t="shared" si="39"/>
        <v>0</v>
      </c>
      <c r="AG137" s="70">
        <f t="shared" si="40"/>
        <v>52474585</v>
      </c>
      <c r="AH137" s="70">
        <f t="shared" si="41"/>
        <v>0</v>
      </c>
      <c r="AI137" s="587">
        <v>0</v>
      </c>
      <c r="AJ137" s="178">
        <f t="shared" si="42"/>
        <v>52474585</v>
      </c>
      <c r="AK137" s="301">
        <f t="shared" si="43"/>
        <v>57.328138167717938</v>
      </c>
      <c r="AL137" s="70">
        <f t="shared" si="44"/>
        <v>91533733</v>
      </c>
      <c r="AM137" s="179">
        <f t="shared" si="45"/>
        <v>99.999999855758801</v>
      </c>
      <c r="AN137" s="179"/>
      <c r="AO137" s="31">
        <f t="shared" si="46"/>
        <v>3725209.1120293587</v>
      </c>
      <c r="AP137" s="31">
        <f t="shared" si="47"/>
        <v>2848950</v>
      </c>
      <c r="AQ137" s="31">
        <f t="shared" si="48"/>
        <v>-148158.17760366946</v>
      </c>
      <c r="AR137" s="180">
        <f t="shared" si="49"/>
        <v>-0.16186183228206374</v>
      </c>
      <c r="AS137" s="31">
        <f t="shared" si="52"/>
        <v>11022.85</v>
      </c>
      <c r="AU137" s="31">
        <f t="shared" si="50"/>
        <v>0</v>
      </c>
      <c r="AV137" s="177"/>
      <c r="AW137" s="31">
        <f t="shared" si="51"/>
        <v>343.08164739884393</v>
      </c>
    </row>
    <row r="138" spans="1:49">
      <c r="A138" s="102">
        <v>129</v>
      </c>
      <c r="B138" s="7" t="s">
        <v>1834</v>
      </c>
      <c r="C138" s="7">
        <v>0</v>
      </c>
      <c r="D138" s="62">
        <f t="shared" ref="D138:D201" si="53">VLOOKUP(A138, disthist, D$2, FALSE)</f>
        <v>39512.76</v>
      </c>
      <c r="E138" s="172">
        <f t="shared" ref="E138:E201" si="54">VLOOKUP(A138, disthist, E$2, FALSE)*(1-$E$6)</f>
        <v>35202</v>
      </c>
      <c r="F138" s="62">
        <f t="shared" ref="F138:F201" si="55">SUMIF(dist1755,A138,found1755)</f>
        <v>26833.666687179095</v>
      </c>
      <c r="G138" s="70">
        <f t="shared" ref="G138:G201" si="56">SUMIF(dist1755,A138,prelcont1755)</f>
        <v>20424</v>
      </c>
      <c r="H138" s="62">
        <f t="shared" ref="H138:H201" si="57">ROUND(MAX(found-prelcont436,0),0)</f>
        <v>6410</v>
      </c>
      <c r="I138" s="173">
        <f t="shared" ref="I138:I201" si="58">IF(foundaid&gt;priorc70,foundaid-priorc70,0)</f>
        <v>0</v>
      </c>
      <c r="J138" s="174">
        <f>ROUND(100-'Townwide Contributions'!K138,2)</f>
        <v>23.43</v>
      </c>
      <c r="K138" s="70">
        <f t="shared" ref="K138:K201" si="59">ROUND(J138/100*F138,0)</f>
        <v>6287</v>
      </c>
      <c r="L138" s="70">
        <f t="shared" ref="L138:L201" si="60">ROUND(IF(K138&gt;priorc70,L$6*(K138-priorc70),0),0)</f>
        <v>0</v>
      </c>
      <c r="M138" s="175">
        <f t="shared" ref="M138:M201" si="61">IF(L138&gt;I138,L138-I138,0)</f>
        <v>0</v>
      </c>
      <c r="N138" s="70"/>
      <c r="O138" s="70"/>
      <c r="P138" s="70"/>
      <c r="Q138" s="62">
        <v>3</v>
      </c>
      <c r="R138" s="62">
        <f t="shared" ref="R138:R201" si="62">SUMIF(dist1755,A138,enro1755)</f>
        <v>2</v>
      </c>
      <c r="S138" s="176"/>
      <c r="T138" s="176"/>
      <c r="U138" s="70"/>
      <c r="V138" s="70"/>
      <c r="W138" s="260"/>
      <c r="X138" s="62">
        <f t="shared" ref="X138:X201" si="63">IF(AND(C138=1,I138&gt;0),1,0)</f>
        <v>0</v>
      </c>
      <c r="Y138" s="70"/>
      <c r="AA138" s="290"/>
      <c r="AB138" s="291"/>
      <c r="AC138" s="62"/>
      <c r="AD138" s="62"/>
      <c r="AE138" s="177">
        <f t="shared" ref="AE138:AE201" si="64">IF(nonop=1,enro*$AE$6,0)</f>
        <v>0</v>
      </c>
      <c r="AF138" s="177">
        <f t="shared" ref="AF138:AF201" si="65">IF((foundinc+downaid)&lt;AE138,AE138-(foundinc+downaid),0)</f>
        <v>0</v>
      </c>
      <c r="AG138" s="70">
        <f t="shared" ref="AG138:AG201" si="66">priorc70+foundinc+downaid+minaid</f>
        <v>35202</v>
      </c>
      <c r="AH138" s="70">
        <f t="shared" ref="AH138:AH201" si="67">IF(AND(C138=0,AG138&gt;found),AG138-found,0)</f>
        <v>8368.3333128209051</v>
      </c>
      <c r="AI138" s="587">
        <v>0</v>
      </c>
      <c r="AJ138" s="178">
        <f t="shared" ref="AJ138:AJ201" si="68">AG138+AI138-rednonop</f>
        <v>26833.666687179095</v>
      </c>
      <c r="AK138" s="301">
        <f t="shared" ref="AK138:AK201" si="69">IF(C138=1, AJ138/F138*100, 0)</f>
        <v>0</v>
      </c>
      <c r="AL138" s="70">
        <f t="shared" ref="AL138:AL201" si="70">prelcont436+chapter70</f>
        <v>47257.666687179095</v>
      </c>
      <c r="AM138" s="179">
        <f t="shared" ref="AM138:AM201" si="71">IF(found&gt;0,AL138*100/found,0)</f>
        <v>176.11334014877073</v>
      </c>
      <c r="AN138" s="179"/>
      <c r="AO138" s="31">
        <f t="shared" ref="AO138:AO201" si="72">F138-D138</f>
        <v>-12679.093312820907</v>
      </c>
      <c r="AP138" s="31">
        <f t="shared" ref="AP138:AP201" si="73">AJ138-E138</f>
        <v>-8368.3333128209051</v>
      </c>
      <c r="AQ138" s="31">
        <f t="shared" ref="AQ138:AQ201" si="74">AJ138-((J138/100)*F138)</f>
        <v>20546.538582373032</v>
      </c>
      <c r="AR138" s="180" t="str">
        <f t="shared" ref="AR138:AR201" si="75">IF(C138=1, (AJ138/F138*100)-J138, "")</f>
        <v/>
      </c>
      <c r="AS138" s="31">
        <f t="shared" si="52"/>
        <v>13416.83</v>
      </c>
      <c r="AU138" s="31">
        <f t="shared" ref="AU138:AU201" si="76">VLOOKUP(A138, disthist, 37, FALSE)*$E$6</f>
        <v>0</v>
      </c>
      <c r="AV138" s="177"/>
      <c r="AW138" s="31">
        <f t="shared" ref="AW138:AW201" si="77">IFERROR(AP138/R138, 0)</f>
        <v>-4184.1666564104526</v>
      </c>
    </row>
    <row r="139" spans="1:49">
      <c r="A139" s="102">
        <v>130</v>
      </c>
      <c r="B139" s="7" t="s">
        <v>1835</v>
      </c>
      <c r="C139" s="7">
        <v>0</v>
      </c>
      <c r="D139" s="62">
        <f t="shared" si="53"/>
        <v>0</v>
      </c>
      <c r="E139" s="172">
        <f t="shared" si="54"/>
        <v>0</v>
      </c>
      <c r="F139" s="62">
        <f t="shared" si="55"/>
        <v>0</v>
      </c>
      <c r="G139" s="70">
        <f t="shared" si="56"/>
        <v>0</v>
      </c>
      <c r="H139" s="62">
        <f t="shared" si="57"/>
        <v>0</v>
      </c>
      <c r="I139" s="173">
        <f t="shared" si="58"/>
        <v>0</v>
      </c>
      <c r="J139" s="174">
        <f>ROUND(100-'Townwide Contributions'!K139,2)</f>
        <v>57.65</v>
      </c>
      <c r="K139" s="70">
        <f t="shared" si="59"/>
        <v>0</v>
      </c>
      <c r="L139" s="70">
        <f t="shared" si="60"/>
        <v>0</v>
      </c>
      <c r="M139" s="175">
        <f t="shared" si="61"/>
        <v>0</v>
      </c>
      <c r="N139" s="70"/>
      <c r="O139" s="70"/>
      <c r="P139" s="70"/>
      <c r="Q139" s="62">
        <v>0</v>
      </c>
      <c r="R139" s="62">
        <f t="shared" si="62"/>
        <v>0</v>
      </c>
      <c r="S139" s="176"/>
      <c r="T139" s="176"/>
      <c r="U139" s="70"/>
      <c r="V139" s="70"/>
      <c r="W139" s="260"/>
      <c r="X139" s="62">
        <f t="shared" si="63"/>
        <v>0</v>
      </c>
      <c r="Y139" s="70"/>
      <c r="AA139" s="290"/>
      <c r="AB139" s="291"/>
      <c r="AC139" s="62"/>
      <c r="AD139" s="62"/>
      <c r="AE139" s="177">
        <f t="shared" si="64"/>
        <v>0</v>
      </c>
      <c r="AF139" s="177">
        <f t="shared" si="65"/>
        <v>0</v>
      </c>
      <c r="AG139" s="70">
        <f t="shared" si="66"/>
        <v>0</v>
      </c>
      <c r="AH139" s="70">
        <f t="shared" si="67"/>
        <v>0</v>
      </c>
      <c r="AI139" s="587">
        <v>0</v>
      </c>
      <c r="AJ139" s="178">
        <f t="shared" si="68"/>
        <v>0</v>
      </c>
      <c r="AK139" s="301">
        <f t="shared" si="69"/>
        <v>0</v>
      </c>
      <c r="AL139" s="70">
        <f t="shared" si="70"/>
        <v>0</v>
      </c>
      <c r="AM139" s="179">
        <f t="shared" si="71"/>
        <v>0</v>
      </c>
      <c r="AN139" s="179"/>
      <c r="AO139" s="31">
        <f t="shared" si="72"/>
        <v>0</v>
      </c>
      <c r="AP139" s="31">
        <f t="shared" si="73"/>
        <v>0</v>
      </c>
      <c r="AQ139" s="31">
        <f t="shared" si="74"/>
        <v>0</v>
      </c>
      <c r="AR139" s="180" t="str">
        <f t="shared" si="75"/>
        <v/>
      </c>
      <c r="AS139" s="31">
        <f t="shared" ref="AS139:AS202" si="78">IFERROR(ROUND(F139/R139, 2), 0)</f>
        <v>0</v>
      </c>
      <c r="AU139" s="31">
        <f t="shared" si="76"/>
        <v>0</v>
      </c>
      <c r="AV139" s="177"/>
      <c r="AW139" s="31">
        <f t="shared" si="77"/>
        <v>0</v>
      </c>
    </row>
    <row r="140" spans="1:49">
      <c r="A140" s="102">
        <v>131</v>
      </c>
      <c r="B140" s="7" t="s">
        <v>1836</v>
      </c>
      <c r="C140" s="7">
        <v>1</v>
      </c>
      <c r="D140" s="62">
        <f t="shared" si="53"/>
        <v>40329887.992679983</v>
      </c>
      <c r="E140" s="172">
        <f t="shared" si="54"/>
        <v>6950213</v>
      </c>
      <c r="F140" s="62">
        <f t="shared" si="55"/>
        <v>41440808.001251943</v>
      </c>
      <c r="G140" s="70">
        <f t="shared" si="56"/>
        <v>34293632</v>
      </c>
      <c r="H140" s="62">
        <f t="shared" si="57"/>
        <v>7147176</v>
      </c>
      <c r="I140" s="173">
        <f t="shared" si="58"/>
        <v>196963</v>
      </c>
      <c r="J140" s="174">
        <f>ROUND(100-'Townwide Contributions'!K140,2)</f>
        <v>17.5</v>
      </c>
      <c r="K140" s="70">
        <f t="shared" si="59"/>
        <v>7252141</v>
      </c>
      <c r="L140" s="70">
        <f t="shared" si="60"/>
        <v>0</v>
      </c>
      <c r="M140" s="175">
        <f t="shared" si="61"/>
        <v>0</v>
      </c>
      <c r="N140" s="70"/>
      <c r="O140" s="70"/>
      <c r="P140" s="70"/>
      <c r="Q140" s="62">
        <v>4332</v>
      </c>
      <c r="R140" s="62">
        <f t="shared" si="62"/>
        <v>4328</v>
      </c>
      <c r="S140" s="176"/>
      <c r="T140" s="176"/>
      <c r="U140" s="70"/>
      <c r="V140" s="70"/>
      <c r="W140" s="260"/>
      <c r="X140" s="62">
        <f t="shared" si="63"/>
        <v>1</v>
      </c>
      <c r="Y140" s="70"/>
      <c r="AA140" s="290"/>
      <c r="AB140" s="291"/>
      <c r="AC140" s="62"/>
      <c r="AD140" s="62"/>
      <c r="AE140" s="177">
        <f t="shared" si="64"/>
        <v>129840</v>
      </c>
      <c r="AF140" s="177">
        <f t="shared" si="65"/>
        <v>0</v>
      </c>
      <c r="AG140" s="70">
        <f t="shared" si="66"/>
        <v>7147176</v>
      </c>
      <c r="AH140" s="70">
        <f t="shared" si="67"/>
        <v>0</v>
      </c>
      <c r="AI140" s="587">
        <v>0</v>
      </c>
      <c r="AJ140" s="178">
        <f t="shared" si="68"/>
        <v>7147176</v>
      </c>
      <c r="AK140" s="301">
        <f t="shared" si="69"/>
        <v>17.246710053974045</v>
      </c>
      <c r="AL140" s="70">
        <f t="shared" si="70"/>
        <v>41440808</v>
      </c>
      <c r="AM140" s="179">
        <f t="shared" si="71"/>
        <v>99.999999996978957</v>
      </c>
      <c r="AN140" s="179"/>
      <c r="AO140" s="31">
        <f t="shared" si="72"/>
        <v>1110920.00857196</v>
      </c>
      <c r="AP140" s="31">
        <f t="shared" si="73"/>
        <v>196963</v>
      </c>
      <c r="AQ140" s="31">
        <f t="shared" si="74"/>
        <v>-104965.40021908935</v>
      </c>
      <c r="AR140" s="180">
        <f t="shared" si="75"/>
        <v>-0.253289946025955</v>
      </c>
      <c r="AS140" s="31">
        <f t="shared" si="78"/>
        <v>9575.0499999999993</v>
      </c>
      <c r="AU140" s="31">
        <f t="shared" si="76"/>
        <v>0</v>
      </c>
      <c r="AV140" s="177"/>
      <c r="AW140" s="31">
        <f t="shared" si="77"/>
        <v>45.509011090573011</v>
      </c>
    </row>
    <row r="141" spans="1:49">
      <c r="A141" s="102">
        <v>132</v>
      </c>
      <c r="B141" s="7" t="s">
        <v>1837</v>
      </c>
      <c r="C141" s="7">
        <v>0</v>
      </c>
      <c r="D141" s="62">
        <f t="shared" si="53"/>
        <v>222840.48</v>
      </c>
      <c r="E141" s="172">
        <f t="shared" si="54"/>
        <v>104683</v>
      </c>
      <c r="F141" s="62">
        <f t="shared" si="55"/>
        <v>226884.18269824251</v>
      </c>
      <c r="G141" s="70">
        <f t="shared" si="56"/>
        <v>188237</v>
      </c>
      <c r="H141" s="62">
        <f t="shared" si="57"/>
        <v>38647</v>
      </c>
      <c r="I141" s="173">
        <f t="shared" si="58"/>
        <v>0</v>
      </c>
      <c r="J141" s="174">
        <f>ROUND(100-'Townwide Contributions'!K141,2)</f>
        <v>17.61</v>
      </c>
      <c r="K141" s="70">
        <f t="shared" si="59"/>
        <v>39954</v>
      </c>
      <c r="L141" s="70">
        <f t="shared" si="60"/>
        <v>0</v>
      </c>
      <c r="M141" s="175">
        <f t="shared" si="61"/>
        <v>0</v>
      </c>
      <c r="N141" s="70"/>
      <c r="O141" s="70"/>
      <c r="P141" s="70"/>
      <c r="Q141" s="62">
        <v>15</v>
      </c>
      <c r="R141" s="62">
        <f t="shared" si="62"/>
        <v>15</v>
      </c>
      <c r="S141" s="176"/>
      <c r="T141" s="176"/>
      <c r="U141" s="70"/>
      <c r="V141" s="70"/>
      <c r="W141" s="260"/>
      <c r="X141" s="62">
        <f t="shared" si="63"/>
        <v>0</v>
      </c>
      <c r="Y141" s="70"/>
      <c r="AA141" s="290"/>
      <c r="AB141" s="291"/>
      <c r="AC141" s="62"/>
      <c r="AD141" s="62"/>
      <c r="AE141" s="177">
        <f t="shared" si="64"/>
        <v>0</v>
      </c>
      <c r="AF141" s="177">
        <f t="shared" si="65"/>
        <v>0</v>
      </c>
      <c r="AG141" s="70">
        <f t="shared" si="66"/>
        <v>104683</v>
      </c>
      <c r="AH141" s="70">
        <f t="shared" si="67"/>
        <v>0</v>
      </c>
      <c r="AI141" s="587">
        <v>0</v>
      </c>
      <c r="AJ141" s="178">
        <f t="shared" si="68"/>
        <v>104683</v>
      </c>
      <c r="AK141" s="301">
        <f t="shared" si="69"/>
        <v>0</v>
      </c>
      <c r="AL141" s="70">
        <f t="shared" si="70"/>
        <v>292920</v>
      </c>
      <c r="AM141" s="179">
        <f t="shared" si="71"/>
        <v>129.10551829414462</v>
      </c>
      <c r="AN141" s="179"/>
      <c r="AO141" s="31">
        <f t="shared" si="72"/>
        <v>4043.7026982425014</v>
      </c>
      <c r="AP141" s="31">
        <f t="shared" si="73"/>
        <v>0</v>
      </c>
      <c r="AQ141" s="31">
        <f t="shared" si="74"/>
        <v>64728.695426839491</v>
      </c>
      <c r="AR141" s="180" t="str">
        <f t="shared" si="75"/>
        <v/>
      </c>
      <c r="AS141" s="31">
        <f t="shared" si="78"/>
        <v>15125.61</v>
      </c>
      <c r="AU141" s="31">
        <f t="shared" si="76"/>
        <v>0</v>
      </c>
      <c r="AV141" s="177"/>
      <c r="AW141" s="31">
        <f t="shared" si="77"/>
        <v>0</v>
      </c>
    </row>
    <row r="142" spans="1:49">
      <c r="A142" s="102">
        <v>133</v>
      </c>
      <c r="B142" s="7" t="s">
        <v>1838</v>
      </c>
      <c r="C142" s="7">
        <v>1</v>
      </c>
      <c r="D142" s="62">
        <f t="shared" si="53"/>
        <v>12499752.025560001</v>
      </c>
      <c r="E142" s="172">
        <f t="shared" si="54"/>
        <v>5617684</v>
      </c>
      <c r="F142" s="62">
        <f t="shared" si="55"/>
        <v>12628237.26938205</v>
      </c>
      <c r="G142" s="70">
        <f t="shared" si="56"/>
        <v>7152474</v>
      </c>
      <c r="H142" s="62">
        <f t="shared" si="57"/>
        <v>5475763</v>
      </c>
      <c r="I142" s="173">
        <f t="shared" si="58"/>
        <v>0</v>
      </c>
      <c r="J142" s="174">
        <f>ROUND(100-'Townwide Contributions'!K142,2)</f>
        <v>43.63</v>
      </c>
      <c r="K142" s="70">
        <f t="shared" si="59"/>
        <v>5509700</v>
      </c>
      <c r="L142" s="70">
        <f t="shared" si="60"/>
        <v>0</v>
      </c>
      <c r="M142" s="175">
        <f t="shared" si="61"/>
        <v>0</v>
      </c>
      <c r="N142" s="70"/>
      <c r="O142" s="70"/>
      <c r="P142" s="70"/>
      <c r="Q142" s="62">
        <v>1171</v>
      </c>
      <c r="R142" s="62">
        <f t="shared" si="62"/>
        <v>1165</v>
      </c>
      <c r="S142" s="176"/>
      <c r="T142" s="176"/>
      <c r="U142" s="70"/>
      <c r="V142" s="70"/>
      <c r="W142" s="260"/>
      <c r="X142" s="62">
        <f t="shared" si="63"/>
        <v>0</v>
      </c>
      <c r="Y142" s="70"/>
      <c r="AA142" s="290"/>
      <c r="AB142" s="291"/>
      <c r="AC142" s="62"/>
      <c r="AD142" s="62"/>
      <c r="AE142" s="177">
        <f t="shared" si="64"/>
        <v>34950</v>
      </c>
      <c r="AF142" s="177">
        <f t="shared" si="65"/>
        <v>34950</v>
      </c>
      <c r="AG142" s="70">
        <f t="shared" si="66"/>
        <v>5652634</v>
      </c>
      <c r="AH142" s="70">
        <f t="shared" si="67"/>
        <v>0</v>
      </c>
      <c r="AI142" s="587">
        <v>0</v>
      </c>
      <c r="AJ142" s="178">
        <f t="shared" si="68"/>
        <v>5652634</v>
      </c>
      <c r="AK142" s="301">
        <f t="shared" si="69"/>
        <v>44.761860894910207</v>
      </c>
      <c r="AL142" s="70">
        <f t="shared" si="70"/>
        <v>12805108</v>
      </c>
      <c r="AM142" s="179">
        <f t="shared" si="71"/>
        <v>101.40059714467658</v>
      </c>
      <c r="AN142" s="179"/>
      <c r="AO142" s="31">
        <f t="shared" si="72"/>
        <v>128485.24382204935</v>
      </c>
      <c r="AP142" s="31">
        <f t="shared" si="73"/>
        <v>34950</v>
      </c>
      <c r="AQ142" s="31">
        <f t="shared" si="74"/>
        <v>142934.07936861087</v>
      </c>
      <c r="AR142" s="180">
        <f t="shared" si="75"/>
        <v>1.1318608949102043</v>
      </c>
      <c r="AS142" s="31">
        <f t="shared" si="78"/>
        <v>10839.69</v>
      </c>
      <c r="AU142" s="31">
        <f t="shared" si="76"/>
        <v>0</v>
      </c>
      <c r="AV142" s="177"/>
      <c r="AW142" s="31">
        <f t="shared" si="77"/>
        <v>30</v>
      </c>
    </row>
    <row r="143" spans="1:49">
      <c r="A143" s="102">
        <v>134</v>
      </c>
      <c r="B143" s="7" t="s">
        <v>1839</v>
      </c>
      <c r="C143" s="7">
        <v>0</v>
      </c>
      <c r="D143" s="62">
        <f t="shared" si="53"/>
        <v>13170.920000000002</v>
      </c>
      <c r="E143" s="172">
        <f t="shared" si="54"/>
        <v>5318</v>
      </c>
      <c r="F143" s="62">
        <f t="shared" si="55"/>
        <v>13416.833343589547</v>
      </c>
      <c r="G143" s="70">
        <f t="shared" si="56"/>
        <v>7918</v>
      </c>
      <c r="H143" s="62">
        <f t="shared" si="57"/>
        <v>5499</v>
      </c>
      <c r="I143" s="173">
        <f t="shared" si="58"/>
        <v>181</v>
      </c>
      <c r="J143" s="174">
        <f>ROUND(100-'Townwide Contributions'!K143,2)</f>
        <v>41.25</v>
      </c>
      <c r="K143" s="70">
        <f t="shared" si="59"/>
        <v>5534</v>
      </c>
      <c r="L143" s="70">
        <f t="shared" si="60"/>
        <v>0</v>
      </c>
      <c r="M143" s="175">
        <f t="shared" si="61"/>
        <v>0</v>
      </c>
      <c r="N143" s="70"/>
      <c r="O143" s="70"/>
      <c r="P143" s="70"/>
      <c r="Q143" s="62">
        <v>1</v>
      </c>
      <c r="R143" s="62">
        <f t="shared" si="62"/>
        <v>1</v>
      </c>
      <c r="S143" s="176"/>
      <c r="T143" s="176"/>
      <c r="U143" s="70"/>
      <c r="V143" s="70"/>
      <c r="W143" s="260"/>
      <c r="X143" s="62">
        <f t="shared" si="63"/>
        <v>0</v>
      </c>
      <c r="Y143" s="70"/>
      <c r="AA143" s="290"/>
      <c r="AB143" s="291"/>
      <c r="AC143" s="62"/>
      <c r="AD143" s="62"/>
      <c r="AE143" s="177">
        <f t="shared" si="64"/>
        <v>0</v>
      </c>
      <c r="AF143" s="177">
        <f t="shared" si="65"/>
        <v>0</v>
      </c>
      <c r="AG143" s="70">
        <f t="shared" si="66"/>
        <v>5499</v>
      </c>
      <c r="AH143" s="70">
        <f t="shared" si="67"/>
        <v>0</v>
      </c>
      <c r="AI143" s="587">
        <v>0</v>
      </c>
      <c r="AJ143" s="178">
        <f t="shared" si="68"/>
        <v>5499</v>
      </c>
      <c r="AK143" s="301">
        <f t="shared" si="69"/>
        <v>0</v>
      </c>
      <c r="AL143" s="70">
        <f t="shared" si="70"/>
        <v>13417</v>
      </c>
      <c r="AM143" s="179">
        <f t="shared" si="71"/>
        <v>100.0012421441497</v>
      </c>
      <c r="AN143" s="179"/>
      <c r="AO143" s="31">
        <f t="shared" si="72"/>
        <v>245.91334358954555</v>
      </c>
      <c r="AP143" s="31">
        <f t="shared" si="73"/>
        <v>181</v>
      </c>
      <c r="AQ143" s="31">
        <f t="shared" si="74"/>
        <v>-35.443754230687773</v>
      </c>
      <c r="AR143" s="180" t="str">
        <f t="shared" si="75"/>
        <v/>
      </c>
      <c r="AS143" s="31">
        <f t="shared" si="78"/>
        <v>13416.83</v>
      </c>
      <c r="AU143" s="31">
        <f t="shared" si="76"/>
        <v>0</v>
      </c>
      <c r="AV143" s="177"/>
      <c r="AW143" s="31">
        <f t="shared" si="77"/>
        <v>181</v>
      </c>
    </row>
    <row r="144" spans="1:49">
      <c r="A144" s="102">
        <v>135</v>
      </c>
      <c r="B144" s="7" t="s">
        <v>1840</v>
      </c>
      <c r="C144" s="7">
        <v>1</v>
      </c>
      <c r="D144" s="62">
        <f t="shared" si="53"/>
        <v>1464807.0700000003</v>
      </c>
      <c r="E144" s="172">
        <f t="shared" si="54"/>
        <v>919098</v>
      </c>
      <c r="F144" s="62">
        <f t="shared" si="55"/>
        <v>1612152.0989724461</v>
      </c>
      <c r="G144" s="70">
        <f t="shared" si="56"/>
        <v>930261</v>
      </c>
      <c r="H144" s="62">
        <f t="shared" si="57"/>
        <v>681891</v>
      </c>
      <c r="I144" s="173">
        <f t="shared" si="58"/>
        <v>0</v>
      </c>
      <c r="J144" s="174">
        <f>ROUND(100-'Townwide Contributions'!K144,2)</f>
        <v>42.76</v>
      </c>
      <c r="K144" s="70">
        <f t="shared" si="59"/>
        <v>689356</v>
      </c>
      <c r="L144" s="70">
        <f t="shared" si="60"/>
        <v>0</v>
      </c>
      <c r="M144" s="175">
        <f t="shared" si="61"/>
        <v>0</v>
      </c>
      <c r="N144" s="70"/>
      <c r="O144" s="70"/>
      <c r="P144" s="70"/>
      <c r="Q144" s="62">
        <v>145</v>
      </c>
      <c r="R144" s="62">
        <f t="shared" si="62"/>
        <v>152</v>
      </c>
      <c r="S144" s="176"/>
      <c r="T144" s="176"/>
      <c r="U144" s="70"/>
      <c r="V144" s="70"/>
      <c r="W144" s="260"/>
      <c r="X144" s="62">
        <f t="shared" si="63"/>
        <v>0</v>
      </c>
      <c r="Y144" s="70"/>
      <c r="AA144" s="290"/>
      <c r="AB144" s="291"/>
      <c r="AC144" s="62"/>
      <c r="AD144" s="62"/>
      <c r="AE144" s="177">
        <f t="shared" si="64"/>
        <v>4560</v>
      </c>
      <c r="AF144" s="177">
        <f t="shared" si="65"/>
        <v>4560</v>
      </c>
      <c r="AG144" s="70">
        <f t="shared" si="66"/>
        <v>923658</v>
      </c>
      <c r="AH144" s="70">
        <f t="shared" si="67"/>
        <v>0</v>
      </c>
      <c r="AI144" s="587">
        <v>0</v>
      </c>
      <c r="AJ144" s="178">
        <f t="shared" si="68"/>
        <v>923658</v>
      </c>
      <c r="AK144" s="301">
        <f t="shared" si="69"/>
        <v>57.293477494382905</v>
      </c>
      <c r="AL144" s="70">
        <f t="shared" si="70"/>
        <v>1853919</v>
      </c>
      <c r="AM144" s="179">
        <f t="shared" si="71"/>
        <v>114.99653172809509</v>
      </c>
      <c r="AN144" s="179"/>
      <c r="AO144" s="31">
        <f t="shared" si="72"/>
        <v>147345.02897244575</v>
      </c>
      <c r="AP144" s="31">
        <f t="shared" si="73"/>
        <v>4560</v>
      </c>
      <c r="AQ144" s="31">
        <f t="shared" si="74"/>
        <v>234301.7624793821</v>
      </c>
      <c r="AR144" s="180">
        <f t="shared" si="75"/>
        <v>14.533477494382907</v>
      </c>
      <c r="AS144" s="31">
        <f t="shared" si="78"/>
        <v>10606.26</v>
      </c>
      <c r="AU144" s="31">
        <f t="shared" si="76"/>
        <v>0</v>
      </c>
      <c r="AV144" s="177"/>
      <c r="AW144" s="31">
        <f t="shared" si="77"/>
        <v>30</v>
      </c>
    </row>
    <row r="145" spans="1:49">
      <c r="A145" s="102">
        <v>136</v>
      </c>
      <c r="B145" s="7" t="s">
        <v>1841</v>
      </c>
      <c r="C145" s="7">
        <v>1</v>
      </c>
      <c r="D145" s="62">
        <f t="shared" si="53"/>
        <v>24902897.913260002</v>
      </c>
      <c r="E145" s="172">
        <f t="shared" si="54"/>
        <v>7363119.6612902638</v>
      </c>
      <c r="F145" s="62">
        <f t="shared" si="55"/>
        <v>25340457.438654266</v>
      </c>
      <c r="G145" s="70">
        <f t="shared" si="56"/>
        <v>18649605</v>
      </c>
      <c r="H145" s="62">
        <f t="shared" si="57"/>
        <v>6690852</v>
      </c>
      <c r="I145" s="173">
        <f t="shared" si="58"/>
        <v>0</v>
      </c>
      <c r="J145" s="174">
        <f>ROUND(100-'Townwide Contributions'!K145,2)</f>
        <v>26.42</v>
      </c>
      <c r="K145" s="70">
        <f t="shared" si="59"/>
        <v>6694949</v>
      </c>
      <c r="L145" s="70">
        <f t="shared" si="60"/>
        <v>0</v>
      </c>
      <c r="M145" s="175">
        <f t="shared" si="61"/>
        <v>0</v>
      </c>
      <c r="N145" s="70"/>
      <c r="O145" s="70"/>
      <c r="P145" s="70"/>
      <c r="Q145" s="62">
        <v>2614</v>
      </c>
      <c r="R145" s="62">
        <f t="shared" si="62"/>
        <v>2612</v>
      </c>
      <c r="S145" s="176"/>
      <c r="T145" s="176"/>
      <c r="U145" s="70"/>
      <c r="V145" s="70"/>
      <c r="W145" s="260"/>
      <c r="X145" s="62">
        <f t="shared" si="63"/>
        <v>0</v>
      </c>
      <c r="Y145" s="70"/>
      <c r="AA145" s="290"/>
      <c r="AB145" s="291"/>
      <c r="AC145" s="62"/>
      <c r="AD145" s="62"/>
      <c r="AE145" s="177">
        <f t="shared" si="64"/>
        <v>78360</v>
      </c>
      <c r="AF145" s="177">
        <f t="shared" si="65"/>
        <v>78360</v>
      </c>
      <c r="AG145" s="70">
        <f t="shared" si="66"/>
        <v>7441479.6612902638</v>
      </c>
      <c r="AH145" s="70">
        <f t="shared" si="67"/>
        <v>0</v>
      </c>
      <c r="AI145" s="587">
        <v>0</v>
      </c>
      <c r="AJ145" s="178">
        <f t="shared" si="68"/>
        <v>7441479.6612902638</v>
      </c>
      <c r="AK145" s="301">
        <f t="shared" si="69"/>
        <v>29.366003669448563</v>
      </c>
      <c r="AL145" s="70">
        <f t="shared" si="70"/>
        <v>26091084.661290266</v>
      </c>
      <c r="AM145" s="179">
        <f t="shared" si="71"/>
        <v>102.96216918914413</v>
      </c>
      <c r="AN145" s="179"/>
      <c r="AO145" s="31">
        <f t="shared" si="72"/>
        <v>437559.52539426461</v>
      </c>
      <c r="AP145" s="31">
        <f t="shared" si="73"/>
        <v>78360</v>
      </c>
      <c r="AQ145" s="31">
        <f t="shared" si="74"/>
        <v>746530.8059978066</v>
      </c>
      <c r="AR145" s="180">
        <f t="shared" si="75"/>
        <v>2.9460036694485616</v>
      </c>
      <c r="AS145" s="31">
        <f t="shared" si="78"/>
        <v>9701.5499999999993</v>
      </c>
      <c r="AU145" s="31">
        <f t="shared" si="76"/>
        <v>0</v>
      </c>
      <c r="AV145" s="177"/>
      <c r="AW145" s="31">
        <f t="shared" si="77"/>
        <v>30</v>
      </c>
    </row>
    <row r="146" spans="1:49">
      <c r="A146" s="102">
        <v>137</v>
      </c>
      <c r="B146" s="7" t="s">
        <v>1842</v>
      </c>
      <c r="C146" s="7">
        <v>1</v>
      </c>
      <c r="D146" s="62">
        <f t="shared" si="53"/>
        <v>80344375.670000002</v>
      </c>
      <c r="E146" s="172">
        <f t="shared" si="54"/>
        <v>70897779</v>
      </c>
      <c r="F146" s="62">
        <f t="shared" si="55"/>
        <v>81981180.868534818</v>
      </c>
      <c r="G146" s="70">
        <f t="shared" si="56"/>
        <v>10580654</v>
      </c>
      <c r="H146" s="62">
        <f t="shared" si="57"/>
        <v>71400527</v>
      </c>
      <c r="I146" s="173">
        <f t="shared" si="58"/>
        <v>502748</v>
      </c>
      <c r="J146" s="174">
        <f>ROUND(100-'Townwide Contributions'!K146,2)</f>
        <v>79.900000000000006</v>
      </c>
      <c r="K146" s="70">
        <f t="shared" si="59"/>
        <v>65502964</v>
      </c>
      <c r="L146" s="70">
        <f t="shared" si="60"/>
        <v>0</v>
      </c>
      <c r="M146" s="175">
        <f t="shared" si="61"/>
        <v>0</v>
      </c>
      <c r="N146" s="70"/>
      <c r="O146" s="70"/>
      <c r="P146" s="70"/>
      <c r="Q146" s="62">
        <v>6479</v>
      </c>
      <c r="R146" s="62">
        <f t="shared" si="62"/>
        <v>6463</v>
      </c>
      <c r="S146" s="176"/>
      <c r="T146" s="176"/>
      <c r="U146" s="70"/>
      <c r="V146" s="70"/>
      <c r="W146" s="260"/>
      <c r="X146" s="62">
        <f t="shared" si="63"/>
        <v>1</v>
      </c>
      <c r="Y146" s="70"/>
      <c r="AA146" s="290"/>
      <c r="AB146" s="291"/>
      <c r="AC146" s="62"/>
      <c r="AD146" s="62"/>
      <c r="AE146" s="177">
        <f t="shared" si="64"/>
        <v>193890</v>
      </c>
      <c r="AF146" s="177">
        <f t="shared" si="65"/>
        <v>0</v>
      </c>
      <c r="AG146" s="70">
        <f t="shared" si="66"/>
        <v>71400527</v>
      </c>
      <c r="AH146" s="70">
        <f t="shared" si="67"/>
        <v>0</v>
      </c>
      <c r="AI146" s="587">
        <v>0</v>
      </c>
      <c r="AJ146" s="178">
        <f t="shared" si="68"/>
        <v>71400527</v>
      </c>
      <c r="AK146" s="301">
        <f t="shared" si="69"/>
        <v>87.093801581728897</v>
      </c>
      <c r="AL146" s="70">
        <f t="shared" si="70"/>
        <v>81981181</v>
      </c>
      <c r="AM146" s="179">
        <f t="shared" si="71"/>
        <v>100.0000001603602</v>
      </c>
      <c r="AN146" s="179"/>
      <c r="AO146" s="31">
        <f t="shared" si="72"/>
        <v>1636805.1985348165</v>
      </c>
      <c r="AP146" s="31">
        <f t="shared" si="73"/>
        <v>502748</v>
      </c>
      <c r="AQ146" s="31">
        <f t="shared" si="74"/>
        <v>5897563.4860406741</v>
      </c>
      <c r="AR146" s="180">
        <f t="shared" si="75"/>
        <v>7.1938015817288914</v>
      </c>
      <c r="AS146" s="31">
        <f t="shared" si="78"/>
        <v>12684.69</v>
      </c>
      <c r="AU146" s="31">
        <f t="shared" si="76"/>
        <v>0</v>
      </c>
      <c r="AV146" s="177"/>
      <c r="AW146" s="31">
        <f t="shared" si="77"/>
        <v>77.788643045025523</v>
      </c>
    </row>
    <row r="147" spans="1:49">
      <c r="A147" s="102">
        <v>138</v>
      </c>
      <c r="B147" s="7" t="s">
        <v>1843</v>
      </c>
      <c r="C147" s="7">
        <v>1</v>
      </c>
      <c r="D147" s="62">
        <f t="shared" si="53"/>
        <v>10041924.281359999</v>
      </c>
      <c r="E147" s="172">
        <f t="shared" si="54"/>
        <v>5999100</v>
      </c>
      <c r="F147" s="62">
        <f t="shared" si="55"/>
        <v>9875547.1322113276</v>
      </c>
      <c r="G147" s="70">
        <f t="shared" si="56"/>
        <v>5451538</v>
      </c>
      <c r="H147" s="62">
        <f t="shared" si="57"/>
        <v>4424009</v>
      </c>
      <c r="I147" s="173">
        <f t="shared" si="58"/>
        <v>0</v>
      </c>
      <c r="J147" s="174">
        <f>ROUND(100-'Townwide Contributions'!K147,2)</f>
        <v>44.99</v>
      </c>
      <c r="K147" s="70">
        <f t="shared" si="59"/>
        <v>4443009</v>
      </c>
      <c r="L147" s="70">
        <f t="shared" si="60"/>
        <v>0</v>
      </c>
      <c r="M147" s="175">
        <f t="shared" si="61"/>
        <v>0</v>
      </c>
      <c r="N147" s="70"/>
      <c r="O147" s="70"/>
      <c r="P147" s="70"/>
      <c r="Q147" s="62">
        <v>1041</v>
      </c>
      <c r="R147" s="62">
        <f t="shared" si="62"/>
        <v>1019</v>
      </c>
      <c r="S147" s="176"/>
      <c r="T147" s="176"/>
      <c r="U147" s="70"/>
      <c r="V147" s="70"/>
      <c r="W147" s="260"/>
      <c r="X147" s="62">
        <f t="shared" si="63"/>
        <v>0</v>
      </c>
      <c r="Y147" s="70"/>
      <c r="AA147" s="290"/>
      <c r="AB147" s="291"/>
      <c r="AC147" s="62"/>
      <c r="AD147" s="62"/>
      <c r="AE147" s="177">
        <f t="shared" si="64"/>
        <v>30570</v>
      </c>
      <c r="AF147" s="177">
        <f t="shared" si="65"/>
        <v>30570</v>
      </c>
      <c r="AG147" s="70">
        <f t="shared" si="66"/>
        <v>6029670</v>
      </c>
      <c r="AH147" s="70">
        <f t="shared" si="67"/>
        <v>0</v>
      </c>
      <c r="AI147" s="587">
        <v>0</v>
      </c>
      <c r="AJ147" s="178">
        <f t="shared" si="68"/>
        <v>6029670</v>
      </c>
      <c r="AK147" s="301">
        <f t="shared" si="69"/>
        <v>61.056566479571238</v>
      </c>
      <c r="AL147" s="70">
        <f t="shared" si="70"/>
        <v>11481208</v>
      </c>
      <c r="AM147" s="179">
        <f t="shared" si="71"/>
        <v>116.258956048637</v>
      </c>
      <c r="AN147" s="179"/>
      <c r="AO147" s="31">
        <f t="shared" si="72"/>
        <v>-166377.14914867096</v>
      </c>
      <c r="AP147" s="31">
        <f t="shared" si="73"/>
        <v>30570</v>
      </c>
      <c r="AQ147" s="31">
        <f t="shared" si="74"/>
        <v>1586661.3452181239</v>
      </c>
      <c r="AR147" s="180">
        <f t="shared" si="75"/>
        <v>16.066566479571236</v>
      </c>
      <c r="AS147" s="31">
        <f t="shared" si="78"/>
        <v>9691.41</v>
      </c>
      <c r="AU147" s="31">
        <f t="shared" si="76"/>
        <v>0</v>
      </c>
      <c r="AV147" s="177"/>
      <c r="AW147" s="31">
        <f t="shared" si="77"/>
        <v>30</v>
      </c>
    </row>
    <row r="148" spans="1:49">
      <c r="A148" s="102">
        <v>139</v>
      </c>
      <c r="B148" s="7" t="s">
        <v>1844</v>
      </c>
      <c r="C148" s="7">
        <v>1</v>
      </c>
      <c r="D148" s="62">
        <f t="shared" si="53"/>
        <v>33817637.171700001</v>
      </c>
      <c r="E148" s="172">
        <f t="shared" si="54"/>
        <v>6152833.4027372804</v>
      </c>
      <c r="F148" s="62">
        <f t="shared" si="55"/>
        <v>34051687.916279338</v>
      </c>
      <c r="G148" s="70">
        <f t="shared" si="56"/>
        <v>28376314</v>
      </c>
      <c r="H148" s="62">
        <f t="shared" si="57"/>
        <v>5675374</v>
      </c>
      <c r="I148" s="173">
        <f t="shared" si="58"/>
        <v>0</v>
      </c>
      <c r="J148" s="174">
        <f>ROUND(100-'Townwide Contributions'!K148,2)</f>
        <v>17.5</v>
      </c>
      <c r="K148" s="70">
        <f t="shared" si="59"/>
        <v>5959045</v>
      </c>
      <c r="L148" s="70">
        <f t="shared" si="60"/>
        <v>0</v>
      </c>
      <c r="M148" s="175">
        <f t="shared" si="61"/>
        <v>0</v>
      </c>
      <c r="N148" s="70"/>
      <c r="O148" s="70"/>
      <c r="P148" s="70"/>
      <c r="Q148" s="62">
        <v>3486</v>
      </c>
      <c r="R148" s="62">
        <f t="shared" si="62"/>
        <v>3471</v>
      </c>
      <c r="S148" s="176"/>
      <c r="T148" s="176"/>
      <c r="U148" s="70"/>
      <c r="V148" s="70"/>
      <c r="W148" s="260"/>
      <c r="X148" s="62">
        <f t="shared" si="63"/>
        <v>0</v>
      </c>
      <c r="Y148" s="70"/>
      <c r="AA148" s="290"/>
      <c r="AB148" s="291"/>
      <c r="AC148" s="62"/>
      <c r="AD148" s="62"/>
      <c r="AE148" s="177">
        <f t="shared" si="64"/>
        <v>104130</v>
      </c>
      <c r="AF148" s="177">
        <f t="shared" si="65"/>
        <v>104130</v>
      </c>
      <c r="AG148" s="70">
        <f t="shared" si="66"/>
        <v>6256963.4027372804</v>
      </c>
      <c r="AH148" s="70">
        <f t="shared" si="67"/>
        <v>0</v>
      </c>
      <c r="AI148" s="587">
        <v>0</v>
      </c>
      <c r="AJ148" s="178">
        <f t="shared" si="68"/>
        <v>6256963.4027372804</v>
      </c>
      <c r="AK148" s="301">
        <f t="shared" si="69"/>
        <v>18.374899412096305</v>
      </c>
      <c r="AL148" s="70">
        <f t="shared" si="70"/>
        <v>34633277.402737282</v>
      </c>
      <c r="AM148" s="179">
        <f t="shared" si="71"/>
        <v>101.70796081500529</v>
      </c>
      <c r="AN148" s="179"/>
      <c r="AO148" s="31">
        <f t="shared" si="72"/>
        <v>234050.74457933754</v>
      </c>
      <c r="AP148" s="31">
        <f t="shared" si="73"/>
        <v>104130</v>
      </c>
      <c r="AQ148" s="31">
        <f t="shared" si="74"/>
        <v>297918.0173883969</v>
      </c>
      <c r="AR148" s="180">
        <f t="shared" si="75"/>
        <v>0.87489941209630473</v>
      </c>
      <c r="AS148" s="31">
        <f t="shared" si="78"/>
        <v>9810.34</v>
      </c>
      <c r="AU148" s="31">
        <f t="shared" si="76"/>
        <v>0</v>
      </c>
      <c r="AV148" s="177"/>
      <c r="AW148" s="31">
        <f t="shared" si="77"/>
        <v>30</v>
      </c>
    </row>
    <row r="149" spans="1:49">
      <c r="A149" s="102">
        <v>140</v>
      </c>
      <c r="B149" s="7" t="s">
        <v>1845</v>
      </c>
      <c r="C149" s="7">
        <v>0</v>
      </c>
      <c r="D149" s="62">
        <f t="shared" si="53"/>
        <v>0</v>
      </c>
      <c r="E149" s="172">
        <f t="shared" si="54"/>
        <v>0</v>
      </c>
      <c r="F149" s="62">
        <f t="shared" si="55"/>
        <v>0</v>
      </c>
      <c r="G149" s="70">
        <f t="shared" si="56"/>
        <v>0</v>
      </c>
      <c r="H149" s="62">
        <f t="shared" si="57"/>
        <v>0</v>
      </c>
      <c r="I149" s="173">
        <f t="shared" si="58"/>
        <v>0</v>
      </c>
      <c r="J149" s="174">
        <f>ROUND(100-'Townwide Contributions'!K149,2)</f>
        <v>47.65</v>
      </c>
      <c r="K149" s="70">
        <f t="shared" si="59"/>
        <v>0</v>
      </c>
      <c r="L149" s="70">
        <f t="shared" si="60"/>
        <v>0</v>
      </c>
      <c r="M149" s="175">
        <f t="shared" si="61"/>
        <v>0</v>
      </c>
      <c r="N149" s="70"/>
      <c r="O149" s="70"/>
      <c r="P149" s="70"/>
      <c r="Q149" s="62">
        <v>0</v>
      </c>
      <c r="R149" s="62">
        <f t="shared" si="62"/>
        <v>0</v>
      </c>
      <c r="S149" s="176"/>
      <c r="T149" s="176"/>
      <c r="U149" s="70"/>
      <c r="V149" s="70"/>
      <c r="W149" s="260"/>
      <c r="X149" s="62">
        <f t="shared" si="63"/>
        <v>0</v>
      </c>
      <c r="Y149" s="70"/>
      <c r="AA149" s="290"/>
      <c r="AB149" s="291"/>
      <c r="AC149" s="62"/>
      <c r="AD149" s="62"/>
      <c r="AE149" s="177">
        <f t="shared" si="64"/>
        <v>0</v>
      </c>
      <c r="AF149" s="177">
        <f t="shared" si="65"/>
        <v>0</v>
      </c>
      <c r="AG149" s="70">
        <f t="shared" si="66"/>
        <v>0</v>
      </c>
      <c r="AH149" s="70">
        <f t="shared" si="67"/>
        <v>0</v>
      </c>
      <c r="AI149" s="587">
        <v>0</v>
      </c>
      <c r="AJ149" s="178">
        <f t="shared" si="68"/>
        <v>0</v>
      </c>
      <c r="AK149" s="301">
        <f t="shared" si="69"/>
        <v>0</v>
      </c>
      <c r="AL149" s="70">
        <f t="shared" si="70"/>
        <v>0</v>
      </c>
      <c r="AM149" s="179">
        <f t="shared" si="71"/>
        <v>0</v>
      </c>
      <c r="AN149" s="179"/>
      <c r="AO149" s="31">
        <f t="shared" si="72"/>
        <v>0</v>
      </c>
      <c r="AP149" s="31">
        <f t="shared" si="73"/>
        <v>0</v>
      </c>
      <c r="AQ149" s="31">
        <f t="shared" si="74"/>
        <v>0</v>
      </c>
      <c r="AR149" s="180" t="str">
        <f t="shared" si="75"/>
        <v/>
      </c>
      <c r="AS149" s="31">
        <f t="shared" si="78"/>
        <v>0</v>
      </c>
      <c r="AU149" s="31">
        <f t="shared" si="76"/>
        <v>0</v>
      </c>
      <c r="AV149" s="177"/>
      <c r="AW149" s="31">
        <f t="shared" si="77"/>
        <v>0</v>
      </c>
    </row>
    <row r="150" spans="1:49">
      <c r="A150" s="102">
        <v>141</v>
      </c>
      <c r="B150" s="7" t="s">
        <v>1846</v>
      </c>
      <c r="C150" s="7">
        <v>1</v>
      </c>
      <c r="D150" s="62">
        <f t="shared" si="53"/>
        <v>27512651.906879999</v>
      </c>
      <c r="E150" s="172">
        <f t="shared" si="54"/>
        <v>11490541</v>
      </c>
      <c r="F150" s="62">
        <f t="shared" si="55"/>
        <v>28097682.163007021</v>
      </c>
      <c r="G150" s="70">
        <f t="shared" si="56"/>
        <v>16800420</v>
      </c>
      <c r="H150" s="62">
        <f t="shared" si="57"/>
        <v>11297262</v>
      </c>
      <c r="I150" s="173">
        <f t="shared" si="58"/>
        <v>0</v>
      </c>
      <c r="J150" s="174">
        <f>ROUND(100-'Townwide Contributions'!K150,2)</f>
        <v>40.380000000000003</v>
      </c>
      <c r="K150" s="70">
        <f t="shared" si="59"/>
        <v>11345844</v>
      </c>
      <c r="L150" s="70">
        <f t="shared" si="60"/>
        <v>0</v>
      </c>
      <c r="M150" s="175">
        <f t="shared" si="61"/>
        <v>0</v>
      </c>
      <c r="N150" s="70"/>
      <c r="O150" s="70"/>
      <c r="P150" s="70"/>
      <c r="Q150" s="62">
        <v>2688</v>
      </c>
      <c r="R150" s="62">
        <f t="shared" si="62"/>
        <v>2712</v>
      </c>
      <c r="S150" s="176"/>
      <c r="T150" s="176"/>
      <c r="U150" s="70"/>
      <c r="V150" s="70"/>
      <c r="W150" s="260"/>
      <c r="X150" s="62">
        <f t="shared" si="63"/>
        <v>0</v>
      </c>
      <c r="Y150" s="70"/>
      <c r="AA150" s="290"/>
      <c r="AB150" s="291"/>
      <c r="AC150" s="62"/>
      <c r="AD150" s="62"/>
      <c r="AE150" s="177">
        <f t="shared" si="64"/>
        <v>81360</v>
      </c>
      <c r="AF150" s="177">
        <f t="shared" si="65"/>
        <v>81360</v>
      </c>
      <c r="AG150" s="70">
        <f t="shared" si="66"/>
        <v>11571901</v>
      </c>
      <c r="AH150" s="70">
        <f t="shared" si="67"/>
        <v>0</v>
      </c>
      <c r="AI150" s="587">
        <v>0</v>
      </c>
      <c r="AJ150" s="178">
        <f t="shared" si="68"/>
        <v>11571901</v>
      </c>
      <c r="AK150" s="301">
        <f t="shared" si="69"/>
        <v>41.184539467940127</v>
      </c>
      <c r="AL150" s="70">
        <f t="shared" si="70"/>
        <v>28372321</v>
      </c>
      <c r="AM150" s="179">
        <f t="shared" si="71"/>
        <v>100.97744303391175</v>
      </c>
      <c r="AN150" s="179"/>
      <c r="AO150" s="31">
        <f t="shared" si="72"/>
        <v>585030.25612702221</v>
      </c>
      <c r="AP150" s="31">
        <f t="shared" si="73"/>
        <v>81360</v>
      </c>
      <c r="AQ150" s="31">
        <f t="shared" si="74"/>
        <v>226056.94257776439</v>
      </c>
      <c r="AR150" s="180">
        <f t="shared" si="75"/>
        <v>0.8045394679401241</v>
      </c>
      <c r="AS150" s="31">
        <f t="shared" si="78"/>
        <v>10360.5</v>
      </c>
      <c r="AU150" s="31">
        <f t="shared" si="76"/>
        <v>0</v>
      </c>
      <c r="AV150" s="177"/>
      <c r="AW150" s="31">
        <f t="shared" si="77"/>
        <v>30</v>
      </c>
    </row>
    <row r="151" spans="1:49">
      <c r="A151" s="102">
        <v>142</v>
      </c>
      <c r="B151" s="7" t="s">
        <v>1847</v>
      </c>
      <c r="C151" s="7">
        <v>1</v>
      </c>
      <c r="D151" s="62">
        <f t="shared" si="53"/>
        <v>10359200.878399998</v>
      </c>
      <c r="E151" s="172">
        <f t="shared" si="54"/>
        <v>3789356</v>
      </c>
      <c r="F151" s="62">
        <f t="shared" si="55"/>
        <v>10207764.981851343</v>
      </c>
      <c r="G151" s="70">
        <f t="shared" si="56"/>
        <v>8510548</v>
      </c>
      <c r="H151" s="62">
        <f t="shared" si="57"/>
        <v>1697217</v>
      </c>
      <c r="I151" s="173">
        <f t="shared" si="58"/>
        <v>0</v>
      </c>
      <c r="J151" s="174">
        <f>ROUND(100-'Townwide Contributions'!K151,2)</f>
        <v>17.5</v>
      </c>
      <c r="K151" s="70">
        <f t="shared" si="59"/>
        <v>1786359</v>
      </c>
      <c r="L151" s="70">
        <f t="shared" si="60"/>
        <v>0</v>
      </c>
      <c r="M151" s="175">
        <f t="shared" si="61"/>
        <v>0</v>
      </c>
      <c r="N151" s="70"/>
      <c r="O151" s="70"/>
      <c r="P151" s="70"/>
      <c r="Q151" s="62">
        <v>1002</v>
      </c>
      <c r="R151" s="62">
        <f t="shared" si="62"/>
        <v>971</v>
      </c>
      <c r="S151" s="176"/>
      <c r="T151" s="176"/>
      <c r="U151" s="70"/>
      <c r="V151" s="70"/>
      <c r="W151" s="260"/>
      <c r="X151" s="62">
        <f t="shared" si="63"/>
        <v>0</v>
      </c>
      <c r="Y151" s="70"/>
      <c r="AA151" s="290"/>
      <c r="AB151" s="291"/>
      <c r="AC151" s="62"/>
      <c r="AD151" s="62"/>
      <c r="AE151" s="177">
        <f t="shared" si="64"/>
        <v>29130</v>
      </c>
      <c r="AF151" s="177">
        <f t="shared" si="65"/>
        <v>29130</v>
      </c>
      <c r="AG151" s="70">
        <f t="shared" si="66"/>
        <v>3818486</v>
      </c>
      <c r="AH151" s="70">
        <f t="shared" si="67"/>
        <v>0</v>
      </c>
      <c r="AI151" s="587">
        <v>0</v>
      </c>
      <c r="AJ151" s="178">
        <f t="shared" si="68"/>
        <v>3818486</v>
      </c>
      <c r="AK151" s="301">
        <f t="shared" si="69"/>
        <v>37.407659823565567</v>
      </c>
      <c r="AL151" s="70">
        <f t="shared" si="70"/>
        <v>12329034</v>
      </c>
      <c r="AM151" s="179">
        <f t="shared" si="71"/>
        <v>120.78093512066664</v>
      </c>
      <c r="AN151" s="179"/>
      <c r="AO151" s="31">
        <f t="shared" si="72"/>
        <v>-151435.89654865488</v>
      </c>
      <c r="AP151" s="31">
        <f t="shared" si="73"/>
        <v>29130</v>
      </c>
      <c r="AQ151" s="31">
        <f t="shared" si="74"/>
        <v>2032127.1281760151</v>
      </c>
      <c r="AR151" s="180">
        <f t="shared" si="75"/>
        <v>19.907659823565567</v>
      </c>
      <c r="AS151" s="31">
        <f t="shared" si="78"/>
        <v>10512.63</v>
      </c>
      <c r="AU151" s="31">
        <f t="shared" si="76"/>
        <v>0</v>
      </c>
      <c r="AV151" s="177"/>
      <c r="AW151" s="31">
        <f t="shared" si="77"/>
        <v>30</v>
      </c>
    </row>
    <row r="152" spans="1:49">
      <c r="A152" s="102">
        <v>143</v>
      </c>
      <c r="B152" s="7" t="s">
        <v>1848</v>
      </c>
      <c r="C152" s="7">
        <v>0</v>
      </c>
      <c r="D152" s="62">
        <f t="shared" si="53"/>
        <v>328207.83999999997</v>
      </c>
      <c r="E152" s="172">
        <f t="shared" si="54"/>
        <v>257686</v>
      </c>
      <c r="F152" s="62">
        <f t="shared" si="55"/>
        <v>361052.51613413799</v>
      </c>
      <c r="G152" s="70">
        <f t="shared" si="56"/>
        <v>191170</v>
      </c>
      <c r="H152" s="62">
        <f t="shared" si="57"/>
        <v>169883</v>
      </c>
      <c r="I152" s="173">
        <f t="shared" si="58"/>
        <v>0</v>
      </c>
      <c r="J152" s="174">
        <f>ROUND(100-'Townwide Contributions'!K152,2)</f>
        <v>47.74</v>
      </c>
      <c r="K152" s="70">
        <f t="shared" si="59"/>
        <v>172366</v>
      </c>
      <c r="L152" s="70">
        <f t="shared" si="60"/>
        <v>0</v>
      </c>
      <c r="M152" s="175">
        <f t="shared" si="61"/>
        <v>0</v>
      </c>
      <c r="N152" s="70"/>
      <c r="O152" s="70"/>
      <c r="P152" s="70"/>
      <c r="Q152" s="62">
        <v>23</v>
      </c>
      <c r="R152" s="62">
        <f t="shared" si="62"/>
        <v>25</v>
      </c>
      <c r="S152" s="176"/>
      <c r="T152" s="176"/>
      <c r="U152" s="70"/>
      <c r="V152" s="70"/>
      <c r="W152" s="260"/>
      <c r="X152" s="62">
        <f t="shared" si="63"/>
        <v>0</v>
      </c>
      <c r="Y152" s="70"/>
      <c r="AA152" s="290"/>
      <c r="AB152" s="291"/>
      <c r="AC152" s="62"/>
      <c r="AD152" s="62"/>
      <c r="AE152" s="177">
        <f t="shared" si="64"/>
        <v>0</v>
      </c>
      <c r="AF152" s="177">
        <f t="shared" si="65"/>
        <v>0</v>
      </c>
      <c r="AG152" s="70">
        <f t="shared" si="66"/>
        <v>257686</v>
      </c>
      <c r="AH152" s="70">
        <f t="shared" si="67"/>
        <v>0</v>
      </c>
      <c r="AI152" s="587">
        <v>0</v>
      </c>
      <c r="AJ152" s="178">
        <f t="shared" si="68"/>
        <v>257686</v>
      </c>
      <c r="AK152" s="301">
        <f t="shared" si="69"/>
        <v>0</v>
      </c>
      <c r="AL152" s="70">
        <f t="shared" si="70"/>
        <v>448856</v>
      </c>
      <c r="AM152" s="179">
        <f t="shared" si="71"/>
        <v>124.31875695147941</v>
      </c>
      <c r="AN152" s="179"/>
      <c r="AO152" s="31">
        <f t="shared" si="72"/>
        <v>32844.676134138019</v>
      </c>
      <c r="AP152" s="31">
        <f t="shared" si="73"/>
        <v>0</v>
      </c>
      <c r="AQ152" s="31">
        <f t="shared" si="74"/>
        <v>85319.528797562496</v>
      </c>
      <c r="AR152" s="180" t="str">
        <f t="shared" si="75"/>
        <v/>
      </c>
      <c r="AS152" s="31">
        <f t="shared" si="78"/>
        <v>14442.1</v>
      </c>
      <c r="AU152" s="31">
        <f t="shared" si="76"/>
        <v>0</v>
      </c>
      <c r="AV152" s="177"/>
      <c r="AW152" s="31">
        <f t="shared" si="77"/>
        <v>0</v>
      </c>
    </row>
    <row r="153" spans="1:49">
      <c r="A153" s="102">
        <v>144</v>
      </c>
      <c r="B153" s="7" t="s">
        <v>1849</v>
      </c>
      <c r="C153" s="7">
        <v>1</v>
      </c>
      <c r="D153" s="62">
        <f t="shared" si="53"/>
        <v>17848954.323200006</v>
      </c>
      <c r="E153" s="172">
        <f t="shared" si="54"/>
        <v>3178709.52940783</v>
      </c>
      <c r="F153" s="62">
        <f t="shared" si="55"/>
        <v>17585142.68474175</v>
      </c>
      <c r="G153" s="70">
        <f t="shared" si="56"/>
        <v>14661641</v>
      </c>
      <c r="H153" s="62">
        <f t="shared" si="57"/>
        <v>2923502</v>
      </c>
      <c r="I153" s="173">
        <f t="shared" si="58"/>
        <v>0</v>
      </c>
      <c r="J153" s="174">
        <f>ROUND(100-'Townwide Contributions'!K153,2)</f>
        <v>17.5</v>
      </c>
      <c r="K153" s="70">
        <f t="shared" si="59"/>
        <v>3077400</v>
      </c>
      <c r="L153" s="70">
        <f t="shared" si="60"/>
        <v>0</v>
      </c>
      <c r="M153" s="175">
        <f t="shared" si="61"/>
        <v>0</v>
      </c>
      <c r="N153" s="70"/>
      <c r="O153" s="70"/>
      <c r="P153" s="70"/>
      <c r="Q153" s="62">
        <v>1802</v>
      </c>
      <c r="R153" s="62">
        <f t="shared" si="62"/>
        <v>1744</v>
      </c>
      <c r="S153" s="176"/>
      <c r="T153" s="176"/>
      <c r="U153" s="70"/>
      <c r="V153" s="70"/>
      <c r="W153" s="260"/>
      <c r="X153" s="62">
        <f t="shared" si="63"/>
        <v>0</v>
      </c>
      <c r="Y153" s="70"/>
      <c r="AA153" s="290"/>
      <c r="AB153" s="291"/>
      <c r="AC153" s="62"/>
      <c r="AD153" s="62"/>
      <c r="AE153" s="177">
        <f t="shared" si="64"/>
        <v>52320</v>
      </c>
      <c r="AF153" s="177">
        <f t="shared" si="65"/>
        <v>52320</v>
      </c>
      <c r="AG153" s="70">
        <f t="shared" si="66"/>
        <v>3231029.52940783</v>
      </c>
      <c r="AH153" s="70">
        <f t="shared" si="67"/>
        <v>0</v>
      </c>
      <c r="AI153" s="587">
        <v>0</v>
      </c>
      <c r="AJ153" s="178">
        <f t="shared" si="68"/>
        <v>3231029.52940783</v>
      </c>
      <c r="AK153" s="301">
        <f t="shared" si="69"/>
        <v>18.373632715595335</v>
      </c>
      <c r="AL153" s="70">
        <f t="shared" si="70"/>
        <v>17892670.529407829</v>
      </c>
      <c r="AM153" s="179">
        <f t="shared" si="71"/>
        <v>101.74879357068234</v>
      </c>
      <c r="AN153" s="179"/>
      <c r="AO153" s="31">
        <f t="shared" si="72"/>
        <v>-263811.63845825568</v>
      </c>
      <c r="AP153" s="31">
        <f t="shared" si="73"/>
        <v>52320</v>
      </c>
      <c r="AQ153" s="31">
        <f t="shared" si="74"/>
        <v>153629.55957802385</v>
      </c>
      <c r="AR153" s="180">
        <f t="shared" si="75"/>
        <v>0.87363271559533473</v>
      </c>
      <c r="AS153" s="31">
        <f t="shared" si="78"/>
        <v>10083.219999999999</v>
      </c>
      <c r="AU153" s="31">
        <f t="shared" si="76"/>
        <v>0</v>
      </c>
      <c r="AV153" s="177"/>
      <c r="AW153" s="31">
        <f t="shared" si="77"/>
        <v>30</v>
      </c>
    </row>
    <row r="154" spans="1:49">
      <c r="A154" s="102">
        <v>145</v>
      </c>
      <c r="B154" s="7" t="s">
        <v>1850</v>
      </c>
      <c r="C154" s="7">
        <v>1</v>
      </c>
      <c r="D154" s="62">
        <f t="shared" si="53"/>
        <v>10429935.11328</v>
      </c>
      <c r="E154" s="172">
        <f t="shared" si="54"/>
        <v>4276884.5356259402</v>
      </c>
      <c r="F154" s="62">
        <f t="shared" si="55"/>
        <v>10083448.835693419</v>
      </c>
      <c r="G154" s="70">
        <f t="shared" si="56"/>
        <v>6275524</v>
      </c>
      <c r="H154" s="62">
        <f t="shared" si="57"/>
        <v>3807925</v>
      </c>
      <c r="I154" s="173">
        <f t="shared" si="58"/>
        <v>0</v>
      </c>
      <c r="J154" s="174">
        <f>ROUND(100-'Townwide Contributions'!K154,2)</f>
        <v>38.11</v>
      </c>
      <c r="K154" s="70">
        <f t="shared" si="59"/>
        <v>3842802</v>
      </c>
      <c r="L154" s="70">
        <f t="shared" si="60"/>
        <v>0</v>
      </c>
      <c r="M154" s="175">
        <f t="shared" si="61"/>
        <v>0</v>
      </c>
      <c r="N154" s="70"/>
      <c r="O154" s="70"/>
      <c r="P154" s="70"/>
      <c r="Q154" s="62">
        <v>1104</v>
      </c>
      <c r="R154" s="62">
        <f t="shared" si="62"/>
        <v>1046</v>
      </c>
      <c r="S154" s="176"/>
      <c r="T154" s="176"/>
      <c r="U154" s="70"/>
      <c r="V154" s="70"/>
      <c r="W154" s="260"/>
      <c r="X154" s="62">
        <f t="shared" si="63"/>
        <v>0</v>
      </c>
      <c r="Y154" s="70"/>
      <c r="AA154" s="290"/>
      <c r="AB154" s="291"/>
      <c r="AC154" s="62"/>
      <c r="AD154" s="62"/>
      <c r="AE154" s="177">
        <f t="shared" si="64"/>
        <v>31380</v>
      </c>
      <c r="AF154" s="177">
        <f t="shared" si="65"/>
        <v>31380</v>
      </c>
      <c r="AG154" s="70">
        <f t="shared" si="66"/>
        <v>4308264.5356259402</v>
      </c>
      <c r="AH154" s="70">
        <f t="shared" si="67"/>
        <v>0</v>
      </c>
      <c r="AI154" s="587">
        <v>0</v>
      </c>
      <c r="AJ154" s="178">
        <f t="shared" si="68"/>
        <v>4308264.5356259402</v>
      </c>
      <c r="AK154" s="301">
        <f t="shared" si="69"/>
        <v>42.726101017893143</v>
      </c>
      <c r="AL154" s="70">
        <f t="shared" si="70"/>
        <v>10583788.53562594</v>
      </c>
      <c r="AM154" s="179">
        <f t="shared" si="71"/>
        <v>104.96198977240225</v>
      </c>
      <c r="AN154" s="179"/>
      <c r="AO154" s="31">
        <f t="shared" si="72"/>
        <v>-346486.27758658119</v>
      </c>
      <c r="AP154" s="31">
        <f t="shared" si="73"/>
        <v>31380</v>
      </c>
      <c r="AQ154" s="31">
        <f t="shared" si="74"/>
        <v>465462.18434317829</v>
      </c>
      <c r="AR154" s="180">
        <f t="shared" si="75"/>
        <v>4.6161010178931434</v>
      </c>
      <c r="AS154" s="31">
        <f t="shared" si="78"/>
        <v>9640.01</v>
      </c>
      <c r="AU154" s="31">
        <f t="shared" si="76"/>
        <v>0</v>
      </c>
      <c r="AV154" s="177"/>
      <c r="AW154" s="31">
        <f t="shared" si="77"/>
        <v>30</v>
      </c>
    </row>
    <row r="155" spans="1:49">
      <c r="A155" s="102">
        <v>146</v>
      </c>
      <c r="B155" s="7" t="s">
        <v>1851</v>
      </c>
      <c r="C155" s="7">
        <v>0</v>
      </c>
      <c r="D155" s="62">
        <f t="shared" si="53"/>
        <v>105367.36000000002</v>
      </c>
      <c r="E155" s="172">
        <f t="shared" si="54"/>
        <v>73946</v>
      </c>
      <c r="F155" s="62">
        <f t="shared" si="55"/>
        <v>107334.66674871638</v>
      </c>
      <c r="G155" s="70">
        <f t="shared" si="56"/>
        <v>71015</v>
      </c>
      <c r="H155" s="62">
        <f t="shared" si="57"/>
        <v>36320</v>
      </c>
      <c r="I155" s="173">
        <f t="shared" si="58"/>
        <v>0</v>
      </c>
      <c r="J155" s="174">
        <f>ROUND(100-'Townwide Contributions'!K155,2)</f>
        <v>34.33</v>
      </c>
      <c r="K155" s="70">
        <f t="shared" si="59"/>
        <v>36848</v>
      </c>
      <c r="L155" s="70">
        <f t="shared" si="60"/>
        <v>0</v>
      </c>
      <c r="M155" s="175">
        <f t="shared" si="61"/>
        <v>0</v>
      </c>
      <c r="N155" s="70"/>
      <c r="O155" s="70"/>
      <c r="P155" s="70"/>
      <c r="Q155" s="62">
        <v>8</v>
      </c>
      <c r="R155" s="62">
        <f t="shared" si="62"/>
        <v>8</v>
      </c>
      <c r="S155" s="176"/>
      <c r="T155" s="176"/>
      <c r="U155" s="70"/>
      <c r="V155" s="70"/>
      <c r="W155" s="260"/>
      <c r="X155" s="62">
        <f t="shared" si="63"/>
        <v>0</v>
      </c>
      <c r="Y155" s="70"/>
      <c r="AA155" s="290"/>
      <c r="AB155" s="291"/>
      <c r="AC155" s="62"/>
      <c r="AD155" s="62"/>
      <c r="AE155" s="177">
        <f t="shared" si="64"/>
        <v>0</v>
      </c>
      <c r="AF155" s="177">
        <f t="shared" si="65"/>
        <v>0</v>
      </c>
      <c r="AG155" s="70">
        <f t="shared" si="66"/>
        <v>73946</v>
      </c>
      <c r="AH155" s="70">
        <f t="shared" si="67"/>
        <v>0</v>
      </c>
      <c r="AI155" s="587">
        <v>0</v>
      </c>
      <c r="AJ155" s="178">
        <f t="shared" si="68"/>
        <v>73946</v>
      </c>
      <c r="AK155" s="301">
        <f t="shared" si="69"/>
        <v>0</v>
      </c>
      <c r="AL155" s="70">
        <f t="shared" si="70"/>
        <v>144961</v>
      </c>
      <c r="AM155" s="179">
        <f t="shared" si="71"/>
        <v>135.0551544911128</v>
      </c>
      <c r="AN155" s="179"/>
      <c r="AO155" s="31">
        <f t="shared" si="72"/>
        <v>1967.3067487163644</v>
      </c>
      <c r="AP155" s="31">
        <f t="shared" si="73"/>
        <v>0</v>
      </c>
      <c r="AQ155" s="31">
        <f t="shared" si="74"/>
        <v>37098.008905165669</v>
      </c>
      <c r="AR155" s="180" t="str">
        <f t="shared" si="75"/>
        <v/>
      </c>
      <c r="AS155" s="31">
        <f t="shared" si="78"/>
        <v>13416.83</v>
      </c>
      <c r="AU155" s="31">
        <f t="shared" si="76"/>
        <v>0</v>
      </c>
      <c r="AV155" s="177"/>
      <c r="AW155" s="31">
        <f t="shared" si="77"/>
        <v>0</v>
      </c>
    </row>
    <row r="156" spans="1:49">
      <c r="A156" s="102">
        <v>147</v>
      </c>
      <c r="B156" s="7" t="s">
        <v>1852</v>
      </c>
      <c r="C156" s="7">
        <v>0</v>
      </c>
      <c r="D156" s="62">
        <f t="shared" si="53"/>
        <v>26341.840000000004</v>
      </c>
      <c r="E156" s="172">
        <f t="shared" si="54"/>
        <v>8468</v>
      </c>
      <c r="F156" s="62">
        <f t="shared" si="55"/>
        <v>13416.833343589547</v>
      </c>
      <c r="G156" s="70">
        <f t="shared" si="56"/>
        <v>9288</v>
      </c>
      <c r="H156" s="62">
        <f t="shared" si="57"/>
        <v>4129</v>
      </c>
      <c r="I156" s="173">
        <f t="shared" si="58"/>
        <v>0</v>
      </c>
      <c r="J156" s="174">
        <f>ROUND(100-'Townwide Contributions'!K156,2)</f>
        <v>31.23</v>
      </c>
      <c r="K156" s="70">
        <f t="shared" si="59"/>
        <v>4190</v>
      </c>
      <c r="L156" s="70">
        <f t="shared" si="60"/>
        <v>0</v>
      </c>
      <c r="M156" s="175">
        <f t="shared" si="61"/>
        <v>0</v>
      </c>
      <c r="N156" s="70"/>
      <c r="O156" s="70"/>
      <c r="P156" s="70"/>
      <c r="Q156" s="62">
        <v>2</v>
      </c>
      <c r="R156" s="62">
        <f t="shared" si="62"/>
        <v>1</v>
      </c>
      <c r="S156" s="176"/>
      <c r="T156" s="176"/>
      <c r="U156" s="70"/>
      <c r="V156" s="70"/>
      <c r="W156" s="260"/>
      <c r="X156" s="62">
        <f t="shared" si="63"/>
        <v>0</v>
      </c>
      <c r="Y156" s="70"/>
      <c r="AA156" s="290"/>
      <c r="AB156" s="291"/>
      <c r="AC156" s="62"/>
      <c r="AD156" s="62"/>
      <c r="AE156" s="177">
        <f t="shared" si="64"/>
        <v>0</v>
      </c>
      <c r="AF156" s="177">
        <f t="shared" si="65"/>
        <v>0</v>
      </c>
      <c r="AG156" s="70">
        <f t="shared" si="66"/>
        <v>8468</v>
      </c>
      <c r="AH156" s="70">
        <f t="shared" si="67"/>
        <v>0</v>
      </c>
      <c r="AI156" s="587">
        <v>0</v>
      </c>
      <c r="AJ156" s="178">
        <f t="shared" si="68"/>
        <v>8468</v>
      </c>
      <c r="AK156" s="301">
        <f t="shared" si="69"/>
        <v>0</v>
      </c>
      <c r="AL156" s="70">
        <f t="shared" si="70"/>
        <v>17756</v>
      </c>
      <c r="AM156" s="179">
        <f t="shared" si="71"/>
        <v>132.34121305146621</v>
      </c>
      <c r="AN156" s="179"/>
      <c r="AO156" s="31">
        <f t="shared" si="72"/>
        <v>-12925.006656410456</v>
      </c>
      <c r="AP156" s="31">
        <f t="shared" si="73"/>
        <v>0</v>
      </c>
      <c r="AQ156" s="31">
        <f t="shared" si="74"/>
        <v>4277.9229467969844</v>
      </c>
      <c r="AR156" s="180" t="str">
        <f t="shared" si="75"/>
        <v/>
      </c>
      <c r="AS156" s="31">
        <f t="shared" si="78"/>
        <v>13416.83</v>
      </c>
      <c r="AU156" s="31">
        <f t="shared" si="76"/>
        <v>0</v>
      </c>
      <c r="AV156" s="177"/>
      <c r="AW156" s="31">
        <f t="shared" si="77"/>
        <v>0</v>
      </c>
    </row>
    <row r="157" spans="1:49">
      <c r="A157" s="102">
        <v>148</v>
      </c>
      <c r="B157" s="7" t="s">
        <v>1853</v>
      </c>
      <c r="C157" s="7">
        <v>1</v>
      </c>
      <c r="D157" s="62">
        <f t="shared" si="53"/>
        <v>1846691.1099999999</v>
      </c>
      <c r="E157" s="172">
        <f t="shared" si="54"/>
        <v>762663</v>
      </c>
      <c r="F157" s="62">
        <f t="shared" si="55"/>
        <v>1897447.2242952588</v>
      </c>
      <c r="G157" s="70">
        <f t="shared" si="56"/>
        <v>1143811</v>
      </c>
      <c r="H157" s="62">
        <f t="shared" si="57"/>
        <v>753636</v>
      </c>
      <c r="I157" s="173">
        <f t="shared" si="58"/>
        <v>0</v>
      </c>
      <c r="J157" s="174">
        <f>ROUND(100-'Townwide Contributions'!K157,2)</f>
        <v>40.520000000000003</v>
      </c>
      <c r="K157" s="70">
        <f t="shared" si="59"/>
        <v>768846</v>
      </c>
      <c r="L157" s="70">
        <f t="shared" si="60"/>
        <v>0</v>
      </c>
      <c r="M157" s="175">
        <f t="shared" si="61"/>
        <v>0</v>
      </c>
      <c r="N157" s="70"/>
      <c r="O157" s="70"/>
      <c r="P157" s="70"/>
      <c r="Q157" s="62">
        <v>188</v>
      </c>
      <c r="R157" s="62">
        <f t="shared" si="62"/>
        <v>196</v>
      </c>
      <c r="S157" s="176"/>
      <c r="T157" s="176"/>
      <c r="U157" s="70"/>
      <c r="V157" s="70"/>
      <c r="W157" s="260"/>
      <c r="X157" s="62">
        <f t="shared" si="63"/>
        <v>0</v>
      </c>
      <c r="Y157" s="70"/>
      <c r="AA157" s="290"/>
      <c r="AB157" s="291"/>
      <c r="AC157" s="62"/>
      <c r="AD157" s="62"/>
      <c r="AE157" s="177">
        <f t="shared" si="64"/>
        <v>5880</v>
      </c>
      <c r="AF157" s="177">
        <f t="shared" si="65"/>
        <v>5880</v>
      </c>
      <c r="AG157" s="70">
        <f t="shared" si="66"/>
        <v>768543</v>
      </c>
      <c r="AH157" s="70">
        <f t="shared" si="67"/>
        <v>0</v>
      </c>
      <c r="AI157" s="587">
        <v>0</v>
      </c>
      <c r="AJ157" s="178">
        <f t="shared" si="68"/>
        <v>768543</v>
      </c>
      <c r="AK157" s="301">
        <f t="shared" si="69"/>
        <v>40.504051451836759</v>
      </c>
      <c r="AL157" s="70">
        <f t="shared" si="70"/>
        <v>1912354</v>
      </c>
      <c r="AM157" s="179">
        <f t="shared" si="71"/>
        <v>100.78562267840033</v>
      </c>
      <c r="AN157" s="179"/>
      <c r="AO157" s="31">
        <f t="shared" si="72"/>
        <v>50756.114295258885</v>
      </c>
      <c r="AP157" s="31">
        <f t="shared" si="73"/>
        <v>5880</v>
      </c>
      <c r="AQ157" s="31">
        <f t="shared" si="74"/>
        <v>-302.61528443882708</v>
      </c>
      <c r="AR157" s="180">
        <f t="shared" si="75"/>
        <v>-1.5948548163244425E-2</v>
      </c>
      <c r="AS157" s="31">
        <f t="shared" si="78"/>
        <v>9680.85</v>
      </c>
      <c r="AU157" s="31">
        <f t="shared" si="76"/>
        <v>0</v>
      </c>
      <c r="AV157" s="177"/>
      <c r="AW157" s="31">
        <f t="shared" si="77"/>
        <v>30</v>
      </c>
    </row>
    <row r="158" spans="1:49">
      <c r="A158" s="102">
        <v>149</v>
      </c>
      <c r="B158" s="7" t="s">
        <v>1854</v>
      </c>
      <c r="C158" s="7">
        <v>1</v>
      </c>
      <c r="D158" s="62">
        <f t="shared" si="53"/>
        <v>185788081.69999999</v>
      </c>
      <c r="E158" s="172">
        <f t="shared" si="54"/>
        <v>178458236</v>
      </c>
      <c r="F158" s="62">
        <f t="shared" si="55"/>
        <v>189722671.68810713</v>
      </c>
      <c r="G158" s="70">
        <f t="shared" si="56"/>
        <v>9390191</v>
      </c>
      <c r="H158" s="62">
        <f t="shared" si="57"/>
        <v>180332481</v>
      </c>
      <c r="I158" s="173">
        <f t="shared" si="58"/>
        <v>1874245</v>
      </c>
      <c r="J158" s="174">
        <f>ROUND(100-'Townwide Contributions'!K158,2)</f>
        <v>86.54</v>
      </c>
      <c r="K158" s="70">
        <f t="shared" si="59"/>
        <v>164186000</v>
      </c>
      <c r="L158" s="70">
        <f t="shared" si="60"/>
        <v>0</v>
      </c>
      <c r="M158" s="175">
        <f t="shared" si="61"/>
        <v>0</v>
      </c>
      <c r="N158" s="70"/>
      <c r="O158" s="70"/>
      <c r="P158" s="70"/>
      <c r="Q158" s="62">
        <v>15088</v>
      </c>
      <c r="R158" s="62">
        <f t="shared" si="62"/>
        <v>15312</v>
      </c>
      <c r="S158" s="176"/>
      <c r="T158" s="176"/>
      <c r="U158" s="70"/>
      <c r="V158" s="70"/>
      <c r="W158" s="260"/>
      <c r="X158" s="62">
        <f t="shared" si="63"/>
        <v>1</v>
      </c>
      <c r="Y158" s="70"/>
      <c r="AA158" s="290"/>
      <c r="AB158" s="291"/>
      <c r="AC158" s="62"/>
      <c r="AD158" s="62"/>
      <c r="AE158" s="177">
        <f t="shared" si="64"/>
        <v>459360</v>
      </c>
      <c r="AF158" s="177">
        <f t="shared" si="65"/>
        <v>0</v>
      </c>
      <c r="AG158" s="70">
        <f t="shared" si="66"/>
        <v>180332481</v>
      </c>
      <c r="AH158" s="70">
        <f t="shared" si="67"/>
        <v>0</v>
      </c>
      <c r="AI158" s="587">
        <v>269999</v>
      </c>
      <c r="AJ158" s="178">
        <f t="shared" si="68"/>
        <v>180602480</v>
      </c>
      <c r="AK158" s="301">
        <f t="shared" si="69"/>
        <v>95.192882533775304</v>
      </c>
      <c r="AL158" s="70">
        <f t="shared" si="70"/>
        <v>189992671</v>
      </c>
      <c r="AM158" s="179">
        <f t="shared" si="71"/>
        <v>100.14231262373151</v>
      </c>
      <c r="AN158" s="179"/>
      <c r="AO158" s="31">
        <f t="shared" si="72"/>
        <v>3934589.9881071448</v>
      </c>
      <c r="AP158" s="31">
        <f t="shared" si="73"/>
        <v>2144244</v>
      </c>
      <c r="AQ158" s="31">
        <f t="shared" si="74"/>
        <v>16416479.92111209</v>
      </c>
      <c r="AR158" s="180">
        <f t="shared" si="75"/>
        <v>8.6528825337752977</v>
      </c>
      <c r="AS158" s="31">
        <f t="shared" si="78"/>
        <v>12390.46</v>
      </c>
      <c r="AU158" s="31">
        <f t="shared" si="76"/>
        <v>0</v>
      </c>
      <c r="AV158" s="177"/>
      <c r="AW158" s="31">
        <f t="shared" si="77"/>
        <v>140.03683385579939</v>
      </c>
    </row>
    <row r="159" spans="1:49">
      <c r="A159" s="102">
        <v>150</v>
      </c>
      <c r="B159" s="7" t="s">
        <v>1855</v>
      </c>
      <c r="C159" s="7">
        <v>1</v>
      </c>
      <c r="D159" s="62">
        <f t="shared" si="53"/>
        <v>6504171.9400000004</v>
      </c>
      <c r="E159" s="172">
        <f t="shared" si="54"/>
        <v>2029359</v>
      </c>
      <c r="F159" s="62">
        <f t="shared" si="55"/>
        <v>6757761.9564577993</v>
      </c>
      <c r="G159" s="70">
        <f t="shared" si="56"/>
        <v>5587191</v>
      </c>
      <c r="H159" s="62">
        <f t="shared" si="57"/>
        <v>1170571</v>
      </c>
      <c r="I159" s="173">
        <f t="shared" si="58"/>
        <v>0</v>
      </c>
      <c r="J159" s="174">
        <f>ROUND(100-'Townwide Contributions'!K159,2)</f>
        <v>17.5</v>
      </c>
      <c r="K159" s="70">
        <f t="shared" si="59"/>
        <v>1182608</v>
      </c>
      <c r="L159" s="70">
        <f t="shared" si="60"/>
        <v>0</v>
      </c>
      <c r="M159" s="175">
        <f t="shared" si="61"/>
        <v>0</v>
      </c>
      <c r="N159" s="70"/>
      <c r="O159" s="70"/>
      <c r="P159" s="70"/>
      <c r="Q159" s="62">
        <v>612</v>
      </c>
      <c r="R159" s="62">
        <f t="shared" si="62"/>
        <v>621</v>
      </c>
      <c r="S159" s="176"/>
      <c r="T159" s="176"/>
      <c r="U159" s="70"/>
      <c r="V159" s="70"/>
      <c r="W159" s="260"/>
      <c r="X159" s="62">
        <f t="shared" si="63"/>
        <v>0</v>
      </c>
      <c r="Y159" s="70"/>
      <c r="AA159" s="290"/>
      <c r="AB159" s="291"/>
      <c r="AC159" s="62"/>
      <c r="AD159" s="62"/>
      <c r="AE159" s="177">
        <f t="shared" si="64"/>
        <v>18630</v>
      </c>
      <c r="AF159" s="177">
        <f t="shared" si="65"/>
        <v>18630</v>
      </c>
      <c r="AG159" s="70">
        <f t="shared" si="66"/>
        <v>2047989</v>
      </c>
      <c r="AH159" s="70">
        <f t="shared" si="67"/>
        <v>0</v>
      </c>
      <c r="AI159" s="587">
        <v>0</v>
      </c>
      <c r="AJ159" s="178">
        <f t="shared" si="68"/>
        <v>2047989</v>
      </c>
      <c r="AK159" s="301">
        <f t="shared" si="69"/>
        <v>30.305728630214873</v>
      </c>
      <c r="AL159" s="70">
        <f t="shared" si="70"/>
        <v>7635180</v>
      </c>
      <c r="AM159" s="179">
        <f t="shared" si="71"/>
        <v>112.98385544201848</v>
      </c>
      <c r="AN159" s="179"/>
      <c r="AO159" s="31">
        <f t="shared" si="72"/>
        <v>253590.01645779889</v>
      </c>
      <c r="AP159" s="31">
        <f t="shared" si="73"/>
        <v>18630</v>
      </c>
      <c r="AQ159" s="31">
        <f t="shared" si="74"/>
        <v>865380.65761988517</v>
      </c>
      <c r="AR159" s="180">
        <f t="shared" si="75"/>
        <v>12.805728630214873</v>
      </c>
      <c r="AS159" s="31">
        <f t="shared" si="78"/>
        <v>10882.06</v>
      </c>
      <c r="AU159" s="31">
        <f t="shared" si="76"/>
        <v>0</v>
      </c>
      <c r="AV159" s="177"/>
      <c r="AW159" s="31">
        <f t="shared" si="77"/>
        <v>30</v>
      </c>
    </row>
    <row r="160" spans="1:49">
      <c r="A160" s="102">
        <v>151</v>
      </c>
      <c r="B160" s="7" t="s">
        <v>1856</v>
      </c>
      <c r="C160" s="7">
        <v>1</v>
      </c>
      <c r="D160" s="62">
        <f t="shared" si="53"/>
        <v>15935660.719999999</v>
      </c>
      <c r="E160" s="172">
        <f t="shared" si="54"/>
        <v>9661287</v>
      </c>
      <c r="F160" s="62">
        <f t="shared" si="55"/>
        <v>16281458.222080152</v>
      </c>
      <c r="G160" s="70">
        <f t="shared" si="56"/>
        <v>7799077</v>
      </c>
      <c r="H160" s="62">
        <f t="shared" si="57"/>
        <v>8482381</v>
      </c>
      <c r="I160" s="173">
        <f t="shared" si="58"/>
        <v>0</v>
      </c>
      <c r="J160" s="174">
        <f>ROUND(100-'Townwide Contributions'!K160,2)</f>
        <v>52.55</v>
      </c>
      <c r="K160" s="70">
        <f t="shared" si="59"/>
        <v>8555906</v>
      </c>
      <c r="L160" s="70">
        <f t="shared" si="60"/>
        <v>0</v>
      </c>
      <c r="M160" s="175">
        <f t="shared" si="61"/>
        <v>0</v>
      </c>
      <c r="N160" s="70"/>
      <c r="O160" s="70"/>
      <c r="P160" s="70"/>
      <c r="Q160" s="62">
        <v>1585</v>
      </c>
      <c r="R160" s="62">
        <f t="shared" si="62"/>
        <v>1572</v>
      </c>
      <c r="S160" s="176"/>
      <c r="T160" s="176"/>
      <c r="U160" s="70"/>
      <c r="V160" s="70"/>
      <c r="W160" s="260"/>
      <c r="X160" s="62">
        <f t="shared" si="63"/>
        <v>0</v>
      </c>
      <c r="Y160" s="70"/>
      <c r="AA160" s="290"/>
      <c r="AB160" s="291"/>
      <c r="AC160" s="62"/>
      <c r="AD160" s="62"/>
      <c r="AE160" s="177">
        <f t="shared" si="64"/>
        <v>47160</v>
      </c>
      <c r="AF160" s="177">
        <f t="shared" si="65"/>
        <v>47160</v>
      </c>
      <c r="AG160" s="70">
        <f t="shared" si="66"/>
        <v>9708447</v>
      </c>
      <c r="AH160" s="70">
        <f t="shared" si="67"/>
        <v>0</v>
      </c>
      <c r="AI160" s="587">
        <v>0</v>
      </c>
      <c r="AJ160" s="178">
        <f t="shared" si="68"/>
        <v>9708447</v>
      </c>
      <c r="AK160" s="301">
        <f t="shared" si="69"/>
        <v>59.628854292878131</v>
      </c>
      <c r="AL160" s="70">
        <f t="shared" si="70"/>
        <v>17507524</v>
      </c>
      <c r="AM160" s="179">
        <f t="shared" si="71"/>
        <v>107.53044205989556</v>
      </c>
      <c r="AN160" s="179"/>
      <c r="AO160" s="31">
        <f t="shared" si="72"/>
        <v>345797.50208015367</v>
      </c>
      <c r="AP160" s="31">
        <f t="shared" si="73"/>
        <v>47160</v>
      </c>
      <c r="AQ160" s="31">
        <f t="shared" si="74"/>
        <v>1152540.7042968813</v>
      </c>
      <c r="AR160" s="180">
        <f t="shared" si="75"/>
        <v>7.0788542928781339</v>
      </c>
      <c r="AS160" s="31">
        <f t="shared" si="78"/>
        <v>10357.16</v>
      </c>
      <c r="AU160" s="31">
        <f t="shared" si="76"/>
        <v>0</v>
      </c>
      <c r="AV160" s="177"/>
      <c r="AW160" s="31">
        <f t="shared" si="77"/>
        <v>30</v>
      </c>
    </row>
    <row r="161" spans="1:49">
      <c r="A161" s="102">
        <v>152</v>
      </c>
      <c r="B161" s="7" t="s">
        <v>1857</v>
      </c>
      <c r="C161" s="7">
        <v>1</v>
      </c>
      <c r="D161" s="62">
        <f t="shared" si="53"/>
        <v>5241794.76</v>
      </c>
      <c r="E161" s="172">
        <f t="shared" si="54"/>
        <v>1226895</v>
      </c>
      <c r="F161" s="62">
        <f t="shared" si="55"/>
        <v>5339115.7336442946</v>
      </c>
      <c r="G161" s="70">
        <f t="shared" si="56"/>
        <v>4429745</v>
      </c>
      <c r="H161" s="62">
        <f t="shared" si="57"/>
        <v>909371</v>
      </c>
      <c r="I161" s="173">
        <f t="shared" si="58"/>
        <v>0</v>
      </c>
      <c r="J161" s="174">
        <f>ROUND(100-'Townwide Contributions'!K161,2)</f>
        <v>17.5</v>
      </c>
      <c r="K161" s="70">
        <f t="shared" si="59"/>
        <v>934345</v>
      </c>
      <c r="L161" s="70">
        <f t="shared" si="60"/>
        <v>0</v>
      </c>
      <c r="M161" s="175">
        <f t="shared" si="61"/>
        <v>0</v>
      </c>
      <c r="N161" s="70"/>
      <c r="O161" s="70"/>
      <c r="P161" s="70"/>
      <c r="Q161" s="62">
        <v>523</v>
      </c>
      <c r="R161" s="62">
        <f t="shared" si="62"/>
        <v>521</v>
      </c>
      <c r="S161" s="176"/>
      <c r="T161" s="176"/>
      <c r="U161" s="70"/>
      <c r="V161" s="70"/>
      <c r="W161" s="260"/>
      <c r="X161" s="62">
        <f t="shared" si="63"/>
        <v>0</v>
      </c>
      <c r="Y161" s="70"/>
      <c r="AA161" s="290"/>
      <c r="AB161" s="291"/>
      <c r="AC161" s="62"/>
      <c r="AD161" s="62"/>
      <c r="AE161" s="177">
        <f t="shared" si="64"/>
        <v>15630</v>
      </c>
      <c r="AF161" s="177">
        <f t="shared" si="65"/>
        <v>15630</v>
      </c>
      <c r="AG161" s="70">
        <f t="shared" si="66"/>
        <v>1242525</v>
      </c>
      <c r="AH161" s="70">
        <f t="shared" si="67"/>
        <v>0</v>
      </c>
      <c r="AI161" s="587">
        <v>0</v>
      </c>
      <c r="AJ161" s="178">
        <f t="shared" si="68"/>
        <v>1242525</v>
      </c>
      <c r="AK161" s="301">
        <f t="shared" si="69"/>
        <v>23.272112124677538</v>
      </c>
      <c r="AL161" s="70">
        <f t="shared" si="70"/>
        <v>5672270</v>
      </c>
      <c r="AM161" s="179">
        <f t="shared" si="71"/>
        <v>106.2398772189249</v>
      </c>
      <c r="AN161" s="179"/>
      <c r="AO161" s="31">
        <f t="shared" si="72"/>
        <v>97320.973644294776</v>
      </c>
      <c r="AP161" s="31">
        <f t="shared" si="73"/>
        <v>15630</v>
      </c>
      <c r="AQ161" s="31">
        <f t="shared" si="74"/>
        <v>308179.74661224848</v>
      </c>
      <c r="AR161" s="180">
        <f t="shared" si="75"/>
        <v>5.7721121246775375</v>
      </c>
      <c r="AS161" s="31">
        <f t="shared" si="78"/>
        <v>10247.82</v>
      </c>
      <c r="AU161" s="31">
        <f t="shared" si="76"/>
        <v>0</v>
      </c>
      <c r="AV161" s="177"/>
      <c r="AW161" s="31">
        <f t="shared" si="77"/>
        <v>30</v>
      </c>
    </row>
    <row r="162" spans="1:49">
      <c r="A162" s="102">
        <v>153</v>
      </c>
      <c r="B162" s="7" t="s">
        <v>1858</v>
      </c>
      <c r="C162" s="7">
        <v>1</v>
      </c>
      <c r="D162" s="62">
        <f t="shared" si="53"/>
        <v>69488787.129999995</v>
      </c>
      <c r="E162" s="172">
        <f t="shared" si="54"/>
        <v>43889797</v>
      </c>
      <c r="F162" s="62">
        <f t="shared" si="55"/>
        <v>69633698.04886961</v>
      </c>
      <c r="G162" s="70">
        <f t="shared" si="56"/>
        <v>27880085</v>
      </c>
      <c r="H162" s="62">
        <f t="shared" si="57"/>
        <v>41753613</v>
      </c>
      <c r="I162" s="173">
        <f t="shared" si="58"/>
        <v>0</v>
      </c>
      <c r="J162" s="174">
        <f>ROUND(100-'Townwide Contributions'!K162,2)</f>
        <v>60.13</v>
      </c>
      <c r="K162" s="70">
        <f t="shared" si="59"/>
        <v>41870743</v>
      </c>
      <c r="L162" s="70">
        <f t="shared" si="60"/>
        <v>0</v>
      </c>
      <c r="M162" s="175">
        <f t="shared" si="61"/>
        <v>0</v>
      </c>
      <c r="N162" s="70"/>
      <c r="O162" s="70"/>
      <c r="P162" s="70"/>
      <c r="Q162" s="62">
        <v>6222</v>
      </c>
      <c r="R162" s="62">
        <f t="shared" si="62"/>
        <v>6123</v>
      </c>
      <c r="S162" s="176"/>
      <c r="T162" s="176"/>
      <c r="U162" s="70"/>
      <c r="V162" s="70"/>
      <c r="W162" s="260"/>
      <c r="X162" s="62">
        <f t="shared" si="63"/>
        <v>0</v>
      </c>
      <c r="Y162" s="70"/>
      <c r="AA162" s="290"/>
      <c r="AB162" s="291"/>
      <c r="AC162" s="62"/>
      <c r="AD162" s="62"/>
      <c r="AE162" s="177">
        <f t="shared" si="64"/>
        <v>183690</v>
      </c>
      <c r="AF162" s="177">
        <f t="shared" si="65"/>
        <v>183690</v>
      </c>
      <c r="AG162" s="70">
        <f t="shared" si="66"/>
        <v>44073487</v>
      </c>
      <c r="AH162" s="70">
        <f t="shared" si="67"/>
        <v>0</v>
      </c>
      <c r="AI162" s="587">
        <v>0</v>
      </c>
      <c r="AJ162" s="178">
        <f t="shared" si="68"/>
        <v>44073487</v>
      </c>
      <c r="AK162" s="301">
        <f t="shared" si="69"/>
        <v>63.293331009174317</v>
      </c>
      <c r="AL162" s="70">
        <f t="shared" si="70"/>
        <v>71953572</v>
      </c>
      <c r="AM162" s="179">
        <f t="shared" si="71"/>
        <v>103.33153920606411</v>
      </c>
      <c r="AN162" s="179"/>
      <c r="AO162" s="31">
        <f t="shared" si="72"/>
        <v>144910.9188696146</v>
      </c>
      <c r="AP162" s="31">
        <f t="shared" si="73"/>
        <v>183690</v>
      </c>
      <c r="AQ162" s="31">
        <f t="shared" si="74"/>
        <v>2202744.3632147014</v>
      </c>
      <c r="AR162" s="180">
        <f t="shared" si="75"/>
        <v>3.1633310091743141</v>
      </c>
      <c r="AS162" s="31">
        <f t="shared" si="78"/>
        <v>11372.48</v>
      </c>
      <c r="AU162" s="31">
        <f t="shared" si="76"/>
        <v>0</v>
      </c>
      <c r="AV162" s="177"/>
      <c r="AW162" s="31">
        <f t="shared" si="77"/>
        <v>30</v>
      </c>
    </row>
    <row r="163" spans="1:49">
      <c r="A163" s="102">
        <v>154</v>
      </c>
      <c r="B163" s="7" t="s">
        <v>1859</v>
      </c>
      <c r="C163" s="7">
        <v>1</v>
      </c>
      <c r="D163" s="62">
        <f t="shared" si="53"/>
        <v>997887.19000000006</v>
      </c>
      <c r="E163" s="172">
        <f t="shared" si="54"/>
        <v>285371</v>
      </c>
      <c r="F163" s="62">
        <f t="shared" si="55"/>
        <v>1195068.007035923</v>
      </c>
      <c r="G163" s="70">
        <f t="shared" si="56"/>
        <v>990119</v>
      </c>
      <c r="H163" s="62">
        <f t="shared" si="57"/>
        <v>204949</v>
      </c>
      <c r="I163" s="173">
        <f t="shared" si="58"/>
        <v>0</v>
      </c>
      <c r="J163" s="174">
        <f>ROUND(100-'Townwide Contributions'!K163,2)</f>
        <v>17.5</v>
      </c>
      <c r="K163" s="70">
        <f t="shared" si="59"/>
        <v>209137</v>
      </c>
      <c r="L163" s="70">
        <f t="shared" si="60"/>
        <v>0</v>
      </c>
      <c r="M163" s="175">
        <f t="shared" si="61"/>
        <v>0</v>
      </c>
      <c r="N163" s="70"/>
      <c r="O163" s="70"/>
      <c r="P163" s="70"/>
      <c r="Q163" s="62">
        <v>101</v>
      </c>
      <c r="R163" s="62">
        <f t="shared" si="62"/>
        <v>123</v>
      </c>
      <c r="S163" s="176"/>
      <c r="T163" s="176"/>
      <c r="U163" s="70"/>
      <c r="V163" s="70"/>
      <c r="W163" s="260"/>
      <c r="X163" s="62">
        <f t="shared" si="63"/>
        <v>0</v>
      </c>
      <c r="Y163" s="70"/>
      <c r="AA163" s="290"/>
      <c r="AB163" s="291"/>
      <c r="AC163" s="62"/>
      <c r="AD163" s="62"/>
      <c r="AE163" s="177">
        <f t="shared" si="64"/>
        <v>3690</v>
      </c>
      <c r="AF163" s="177">
        <f t="shared" si="65"/>
        <v>3690</v>
      </c>
      <c r="AG163" s="70">
        <f t="shared" si="66"/>
        <v>289061</v>
      </c>
      <c r="AH163" s="70">
        <f t="shared" si="67"/>
        <v>0</v>
      </c>
      <c r="AI163" s="587">
        <v>0</v>
      </c>
      <c r="AJ163" s="178">
        <f t="shared" si="68"/>
        <v>289061</v>
      </c>
      <c r="AK163" s="301">
        <f t="shared" si="69"/>
        <v>24.187828499981844</v>
      </c>
      <c r="AL163" s="70">
        <f t="shared" si="70"/>
        <v>1279180</v>
      </c>
      <c r="AM163" s="179">
        <f t="shared" si="71"/>
        <v>107.03825995415077</v>
      </c>
      <c r="AN163" s="179"/>
      <c r="AO163" s="31">
        <f t="shared" si="72"/>
        <v>197180.8170359229</v>
      </c>
      <c r="AP163" s="31">
        <f t="shared" si="73"/>
        <v>3690</v>
      </c>
      <c r="AQ163" s="31">
        <f t="shared" si="74"/>
        <v>79924.098768713506</v>
      </c>
      <c r="AR163" s="180">
        <f t="shared" si="75"/>
        <v>6.687828499981844</v>
      </c>
      <c r="AS163" s="31">
        <f t="shared" si="78"/>
        <v>9716</v>
      </c>
      <c r="AU163" s="31">
        <f t="shared" si="76"/>
        <v>0</v>
      </c>
      <c r="AV163" s="177"/>
      <c r="AW163" s="31">
        <f t="shared" si="77"/>
        <v>30</v>
      </c>
    </row>
    <row r="164" spans="1:49">
      <c r="A164" s="102">
        <v>155</v>
      </c>
      <c r="B164" s="7" t="s">
        <v>1860</v>
      </c>
      <c r="C164" s="7">
        <v>1</v>
      </c>
      <c r="D164" s="62">
        <f t="shared" si="53"/>
        <v>69116723.419239998</v>
      </c>
      <c r="E164" s="172">
        <f t="shared" si="54"/>
        <v>11631074</v>
      </c>
      <c r="F164" s="62">
        <f t="shared" si="55"/>
        <v>74054892.120399058</v>
      </c>
      <c r="G164" s="70">
        <f t="shared" si="56"/>
        <v>60055998</v>
      </c>
      <c r="H164" s="62">
        <f t="shared" si="57"/>
        <v>13998894</v>
      </c>
      <c r="I164" s="173">
        <f t="shared" si="58"/>
        <v>2367820</v>
      </c>
      <c r="J164" s="174">
        <f>ROUND(100-'Townwide Contributions'!K164,2)</f>
        <v>17.5</v>
      </c>
      <c r="K164" s="70">
        <f t="shared" si="59"/>
        <v>12959606</v>
      </c>
      <c r="L164" s="70">
        <f t="shared" si="60"/>
        <v>0</v>
      </c>
      <c r="M164" s="175">
        <f t="shared" si="61"/>
        <v>0</v>
      </c>
      <c r="N164" s="70"/>
      <c r="O164" s="70"/>
      <c r="P164" s="70"/>
      <c r="Q164" s="62">
        <v>6978</v>
      </c>
      <c r="R164" s="62">
        <f t="shared" si="62"/>
        <v>7126</v>
      </c>
      <c r="S164" s="176"/>
      <c r="T164" s="176"/>
      <c r="U164" s="70"/>
      <c r="V164" s="70"/>
      <c r="W164" s="260"/>
      <c r="X164" s="62">
        <f t="shared" si="63"/>
        <v>1</v>
      </c>
      <c r="Y164" s="70"/>
      <c r="AA164" s="290"/>
      <c r="AB164" s="291"/>
      <c r="AC164" s="62"/>
      <c r="AD164" s="62"/>
      <c r="AE164" s="177">
        <f t="shared" si="64"/>
        <v>213780</v>
      </c>
      <c r="AF164" s="177">
        <f t="shared" si="65"/>
        <v>0</v>
      </c>
      <c r="AG164" s="70">
        <f t="shared" si="66"/>
        <v>13998894</v>
      </c>
      <c r="AH164" s="70">
        <f t="shared" si="67"/>
        <v>0</v>
      </c>
      <c r="AI164" s="587">
        <v>0</v>
      </c>
      <c r="AJ164" s="178">
        <f t="shared" si="68"/>
        <v>13998894</v>
      </c>
      <c r="AK164" s="301">
        <f t="shared" si="69"/>
        <v>18.903402056464387</v>
      </c>
      <c r="AL164" s="70">
        <f t="shared" si="70"/>
        <v>74054892</v>
      </c>
      <c r="AM164" s="179">
        <f t="shared" si="71"/>
        <v>99.999999837419168</v>
      </c>
      <c r="AN164" s="179"/>
      <c r="AO164" s="31">
        <f t="shared" si="72"/>
        <v>4938168.70115906</v>
      </c>
      <c r="AP164" s="31">
        <f t="shared" si="73"/>
        <v>2367820</v>
      </c>
      <c r="AQ164" s="31">
        <f t="shared" si="74"/>
        <v>1039287.8789301664</v>
      </c>
      <c r="AR164" s="180">
        <f t="shared" si="75"/>
        <v>1.4034020564643868</v>
      </c>
      <c r="AS164" s="31">
        <f t="shared" si="78"/>
        <v>10392.209999999999</v>
      </c>
      <c r="AU164" s="31">
        <f t="shared" si="76"/>
        <v>0</v>
      </c>
      <c r="AV164" s="177"/>
      <c r="AW164" s="31">
        <f t="shared" si="77"/>
        <v>332.27897838899804</v>
      </c>
    </row>
    <row r="165" spans="1:49">
      <c r="A165" s="102">
        <v>156</v>
      </c>
      <c r="B165" s="7" t="s">
        <v>1861</v>
      </c>
      <c r="C165" s="7">
        <v>0</v>
      </c>
      <c r="D165" s="62">
        <f t="shared" si="53"/>
        <v>0</v>
      </c>
      <c r="E165" s="172">
        <f t="shared" si="54"/>
        <v>0</v>
      </c>
      <c r="F165" s="62">
        <f t="shared" si="55"/>
        <v>0</v>
      </c>
      <c r="G165" s="70">
        <f t="shared" si="56"/>
        <v>0</v>
      </c>
      <c r="H165" s="62">
        <f t="shared" si="57"/>
        <v>0</v>
      </c>
      <c r="I165" s="173">
        <f t="shared" si="58"/>
        <v>0</v>
      </c>
      <c r="J165" s="174">
        <f>ROUND(100-'Townwide Contributions'!K165,2)</f>
        <v>17.5</v>
      </c>
      <c r="K165" s="70">
        <f t="shared" si="59"/>
        <v>0</v>
      </c>
      <c r="L165" s="70">
        <f t="shared" si="60"/>
        <v>0</v>
      </c>
      <c r="M165" s="175">
        <f t="shared" si="61"/>
        <v>0</v>
      </c>
      <c r="N165" s="70"/>
      <c r="O165" s="70"/>
      <c r="P165" s="70"/>
      <c r="Q165" s="62">
        <v>0</v>
      </c>
      <c r="R165" s="62">
        <f t="shared" si="62"/>
        <v>0</v>
      </c>
      <c r="S165" s="176"/>
      <c r="T165" s="176"/>
      <c r="U165" s="70"/>
      <c r="V165" s="70"/>
      <c r="W165" s="260"/>
      <c r="X165" s="62">
        <f t="shared" si="63"/>
        <v>0</v>
      </c>
      <c r="Y165" s="70"/>
      <c r="AA165" s="290"/>
      <c r="AB165" s="291"/>
      <c r="AC165" s="62"/>
      <c r="AD165" s="62"/>
      <c r="AE165" s="177">
        <f t="shared" si="64"/>
        <v>0</v>
      </c>
      <c r="AF165" s="177">
        <f t="shared" si="65"/>
        <v>0</v>
      </c>
      <c r="AG165" s="70">
        <f t="shared" si="66"/>
        <v>0</v>
      </c>
      <c r="AH165" s="70">
        <f t="shared" si="67"/>
        <v>0</v>
      </c>
      <c r="AI165" s="587">
        <v>0</v>
      </c>
      <c r="AJ165" s="178">
        <f t="shared" si="68"/>
        <v>0</v>
      </c>
      <c r="AK165" s="301">
        <f t="shared" si="69"/>
        <v>0</v>
      </c>
      <c r="AL165" s="70">
        <f t="shared" si="70"/>
        <v>0</v>
      </c>
      <c r="AM165" s="179">
        <f t="shared" si="71"/>
        <v>0</v>
      </c>
      <c r="AN165" s="179"/>
      <c r="AO165" s="31">
        <f t="shared" si="72"/>
        <v>0</v>
      </c>
      <c r="AP165" s="31">
        <f t="shared" si="73"/>
        <v>0</v>
      </c>
      <c r="AQ165" s="31">
        <f t="shared" si="74"/>
        <v>0</v>
      </c>
      <c r="AR165" s="180" t="str">
        <f t="shared" si="75"/>
        <v/>
      </c>
      <c r="AS165" s="31">
        <f t="shared" si="78"/>
        <v>0</v>
      </c>
      <c r="AU165" s="31">
        <f t="shared" si="76"/>
        <v>0</v>
      </c>
      <c r="AV165" s="177"/>
      <c r="AW165" s="31">
        <f t="shared" si="77"/>
        <v>0</v>
      </c>
    </row>
    <row r="166" spans="1:49">
      <c r="A166" s="102">
        <v>157</v>
      </c>
      <c r="B166" s="7" t="s">
        <v>1862</v>
      </c>
      <c r="C166" s="7">
        <v>1</v>
      </c>
      <c r="D166" s="62">
        <f t="shared" si="53"/>
        <v>6043300.8275599992</v>
      </c>
      <c r="E166" s="172">
        <f t="shared" si="54"/>
        <v>1032491</v>
      </c>
      <c r="F166" s="62">
        <f t="shared" si="55"/>
        <v>6203608.5789318336</v>
      </c>
      <c r="G166" s="70">
        <f t="shared" si="56"/>
        <v>5157876</v>
      </c>
      <c r="H166" s="62">
        <f t="shared" si="57"/>
        <v>1045733</v>
      </c>
      <c r="I166" s="173">
        <f t="shared" si="58"/>
        <v>13242</v>
      </c>
      <c r="J166" s="174">
        <f>ROUND(100-'Townwide Contributions'!K166,2)</f>
        <v>17.5</v>
      </c>
      <c r="K166" s="70">
        <f t="shared" si="59"/>
        <v>1085632</v>
      </c>
      <c r="L166" s="70">
        <f t="shared" si="60"/>
        <v>0</v>
      </c>
      <c r="M166" s="175">
        <f t="shared" si="61"/>
        <v>0</v>
      </c>
      <c r="N166" s="70"/>
      <c r="O166" s="70"/>
      <c r="P166" s="70"/>
      <c r="Q166" s="62">
        <v>664</v>
      </c>
      <c r="R166" s="62">
        <f t="shared" si="62"/>
        <v>653</v>
      </c>
      <c r="S166" s="176"/>
      <c r="T166" s="176"/>
      <c r="U166" s="70"/>
      <c r="V166" s="70"/>
      <c r="W166" s="260"/>
      <c r="X166" s="62">
        <f t="shared" si="63"/>
        <v>1</v>
      </c>
      <c r="Y166" s="70"/>
      <c r="AA166" s="290"/>
      <c r="AB166" s="291"/>
      <c r="AC166" s="62"/>
      <c r="AD166" s="62"/>
      <c r="AE166" s="177">
        <f t="shared" si="64"/>
        <v>19590</v>
      </c>
      <c r="AF166" s="177">
        <f t="shared" si="65"/>
        <v>6348</v>
      </c>
      <c r="AG166" s="70">
        <f t="shared" si="66"/>
        <v>1052081</v>
      </c>
      <c r="AH166" s="70">
        <f t="shared" si="67"/>
        <v>0</v>
      </c>
      <c r="AI166" s="587">
        <v>0</v>
      </c>
      <c r="AJ166" s="178">
        <f t="shared" si="68"/>
        <v>1052081</v>
      </c>
      <c r="AK166" s="301">
        <f t="shared" si="69"/>
        <v>16.959177656259421</v>
      </c>
      <c r="AL166" s="70">
        <f t="shared" si="70"/>
        <v>6209957</v>
      </c>
      <c r="AM166" s="179">
        <f t="shared" si="71"/>
        <v>100.10233432666475</v>
      </c>
      <c r="AN166" s="179"/>
      <c r="AO166" s="31">
        <f t="shared" si="72"/>
        <v>160307.75137183443</v>
      </c>
      <c r="AP166" s="31">
        <f t="shared" si="73"/>
        <v>19590</v>
      </c>
      <c r="AQ166" s="31">
        <f t="shared" si="74"/>
        <v>-33550.501313070767</v>
      </c>
      <c r="AR166" s="180">
        <f t="shared" si="75"/>
        <v>-0.54082234374057947</v>
      </c>
      <c r="AS166" s="31">
        <f t="shared" si="78"/>
        <v>9500.17</v>
      </c>
      <c r="AU166" s="31">
        <f t="shared" si="76"/>
        <v>0</v>
      </c>
      <c r="AV166" s="177"/>
      <c r="AW166" s="31">
        <f t="shared" si="77"/>
        <v>30</v>
      </c>
    </row>
    <row r="167" spans="1:49">
      <c r="A167" s="102">
        <v>158</v>
      </c>
      <c r="B167" s="7" t="s">
        <v>1863</v>
      </c>
      <c r="C167" s="7">
        <v>1</v>
      </c>
      <c r="D167" s="62">
        <f t="shared" si="53"/>
        <v>14722352.576169997</v>
      </c>
      <c r="E167" s="172">
        <f t="shared" si="54"/>
        <v>3895817.508446292</v>
      </c>
      <c r="F167" s="62">
        <f t="shared" si="55"/>
        <v>15312226.682937402</v>
      </c>
      <c r="G167" s="70">
        <f t="shared" si="56"/>
        <v>12240112</v>
      </c>
      <c r="H167" s="62">
        <f t="shared" si="57"/>
        <v>3072115</v>
      </c>
      <c r="I167" s="173">
        <f t="shared" si="58"/>
        <v>0</v>
      </c>
      <c r="J167" s="174">
        <f>ROUND(100-'Townwide Contributions'!K167,2)</f>
        <v>18.55</v>
      </c>
      <c r="K167" s="70">
        <f t="shared" si="59"/>
        <v>2840418</v>
      </c>
      <c r="L167" s="70">
        <f t="shared" si="60"/>
        <v>0</v>
      </c>
      <c r="M167" s="175">
        <f t="shared" si="61"/>
        <v>0</v>
      </c>
      <c r="N167" s="70"/>
      <c r="O167" s="70"/>
      <c r="P167" s="70"/>
      <c r="Q167" s="62">
        <v>1571</v>
      </c>
      <c r="R167" s="62">
        <f t="shared" si="62"/>
        <v>1589</v>
      </c>
      <c r="S167" s="176"/>
      <c r="T167" s="176"/>
      <c r="U167" s="70"/>
      <c r="V167" s="70"/>
      <c r="W167" s="260"/>
      <c r="X167" s="62">
        <f t="shared" si="63"/>
        <v>0</v>
      </c>
      <c r="Y167" s="70"/>
      <c r="AA167" s="290"/>
      <c r="AB167" s="291"/>
      <c r="AC167" s="62"/>
      <c r="AD167" s="62"/>
      <c r="AE167" s="177">
        <f t="shared" si="64"/>
        <v>47670</v>
      </c>
      <c r="AF167" s="177">
        <f t="shared" si="65"/>
        <v>47670</v>
      </c>
      <c r="AG167" s="70">
        <f t="shared" si="66"/>
        <v>3943487.508446292</v>
      </c>
      <c r="AH167" s="70">
        <f t="shared" si="67"/>
        <v>0</v>
      </c>
      <c r="AI167" s="587">
        <v>0</v>
      </c>
      <c r="AJ167" s="178">
        <f t="shared" si="68"/>
        <v>3943487.508446292</v>
      </c>
      <c r="AK167" s="301">
        <f t="shared" si="69"/>
        <v>25.753847497833661</v>
      </c>
      <c r="AL167" s="70">
        <f t="shared" si="70"/>
        <v>16183599.508446291</v>
      </c>
      <c r="AM167" s="179">
        <f t="shared" si="71"/>
        <v>105.69069961901667</v>
      </c>
      <c r="AN167" s="179"/>
      <c r="AO167" s="31">
        <f t="shared" si="72"/>
        <v>589874.10676740482</v>
      </c>
      <c r="AP167" s="31">
        <f t="shared" si="73"/>
        <v>47670</v>
      </c>
      <c r="AQ167" s="31">
        <f t="shared" si="74"/>
        <v>1103069.4587614038</v>
      </c>
      <c r="AR167" s="180">
        <f t="shared" si="75"/>
        <v>7.2038474978336602</v>
      </c>
      <c r="AS167" s="31">
        <f t="shared" si="78"/>
        <v>9636.39</v>
      </c>
      <c r="AU167" s="31">
        <f t="shared" si="76"/>
        <v>0</v>
      </c>
      <c r="AV167" s="177"/>
      <c r="AW167" s="31">
        <f t="shared" si="77"/>
        <v>30</v>
      </c>
    </row>
    <row r="168" spans="1:49">
      <c r="A168" s="102">
        <v>159</v>
      </c>
      <c r="B168" s="7" t="s">
        <v>1864</v>
      </c>
      <c r="C168" s="7">
        <v>1</v>
      </c>
      <c r="D168" s="62">
        <f t="shared" si="53"/>
        <v>25829656.509999998</v>
      </c>
      <c r="E168" s="172">
        <f t="shared" si="54"/>
        <v>4587691</v>
      </c>
      <c r="F168" s="62">
        <f t="shared" si="55"/>
        <v>26663231.188728545</v>
      </c>
      <c r="G168" s="70">
        <f t="shared" si="56"/>
        <v>22022317</v>
      </c>
      <c r="H168" s="62">
        <f t="shared" si="57"/>
        <v>4640914</v>
      </c>
      <c r="I168" s="173">
        <f t="shared" si="58"/>
        <v>53223</v>
      </c>
      <c r="J168" s="174">
        <f>ROUND(100-'Townwide Contributions'!K168,2)</f>
        <v>17.5</v>
      </c>
      <c r="K168" s="70">
        <f t="shared" si="59"/>
        <v>4666065</v>
      </c>
      <c r="L168" s="70">
        <f t="shared" si="60"/>
        <v>0</v>
      </c>
      <c r="M168" s="175">
        <f t="shared" si="61"/>
        <v>0</v>
      </c>
      <c r="N168" s="70"/>
      <c r="O168" s="70"/>
      <c r="P168" s="70"/>
      <c r="Q168" s="62">
        <v>2791</v>
      </c>
      <c r="R168" s="62">
        <f t="shared" si="62"/>
        <v>2824</v>
      </c>
      <c r="S168" s="176"/>
      <c r="T168" s="176"/>
      <c r="U168" s="70"/>
      <c r="V168" s="70"/>
      <c r="W168" s="260"/>
      <c r="X168" s="62">
        <f t="shared" si="63"/>
        <v>1</v>
      </c>
      <c r="Y168" s="70"/>
      <c r="AA168" s="290"/>
      <c r="AB168" s="291"/>
      <c r="AC168" s="62"/>
      <c r="AD168" s="62"/>
      <c r="AE168" s="177">
        <f t="shared" si="64"/>
        <v>84720</v>
      </c>
      <c r="AF168" s="177">
        <f t="shared" si="65"/>
        <v>31497</v>
      </c>
      <c r="AG168" s="70">
        <f t="shared" si="66"/>
        <v>4672411</v>
      </c>
      <c r="AH168" s="70">
        <f t="shared" si="67"/>
        <v>0</v>
      </c>
      <c r="AI168" s="587">
        <v>0</v>
      </c>
      <c r="AJ168" s="178">
        <f t="shared" si="68"/>
        <v>4672411</v>
      </c>
      <c r="AK168" s="301">
        <f t="shared" si="69"/>
        <v>17.523798848412593</v>
      </c>
      <c r="AL168" s="70">
        <f t="shared" si="70"/>
        <v>26694728</v>
      </c>
      <c r="AM168" s="179">
        <f t="shared" si="71"/>
        <v>100.11812826078172</v>
      </c>
      <c r="AN168" s="179"/>
      <c r="AO168" s="31">
        <f t="shared" si="72"/>
        <v>833574.67872854695</v>
      </c>
      <c r="AP168" s="31">
        <f t="shared" si="73"/>
        <v>84720</v>
      </c>
      <c r="AQ168" s="31">
        <f t="shared" si="74"/>
        <v>6345.5419725049287</v>
      </c>
      <c r="AR168" s="180">
        <f t="shared" si="75"/>
        <v>2.3798848412592832E-2</v>
      </c>
      <c r="AS168" s="31">
        <f t="shared" si="78"/>
        <v>9441.65</v>
      </c>
      <c r="AU168" s="31">
        <f t="shared" si="76"/>
        <v>0</v>
      </c>
      <c r="AV168" s="177"/>
      <c r="AW168" s="31">
        <f t="shared" si="77"/>
        <v>30</v>
      </c>
    </row>
    <row r="169" spans="1:49">
      <c r="A169" s="102">
        <v>160</v>
      </c>
      <c r="B169" s="7" t="s">
        <v>1865</v>
      </c>
      <c r="C169" s="7">
        <v>1</v>
      </c>
      <c r="D169" s="62">
        <f t="shared" si="53"/>
        <v>183238361.64999998</v>
      </c>
      <c r="E169" s="172">
        <f t="shared" si="54"/>
        <v>138588381</v>
      </c>
      <c r="F169" s="62">
        <f t="shared" si="55"/>
        <v>189897176.96033403</v>
      </c>
      <c r="G169" s="70">
        <f t="shared" si="56"/>
        <v>45829544</v>
      </c>
      <c r="H169" s="62">
        <f t="shared" si="57"/>
        <v>144067633</v>
      </c>
      <c r="I169" s="173">
        <f t="shared" si="58"/>
        <v>5479252</v>
      </c>
      <c r="J169" s="174">
        <f>ROUND(100-'Townwide Contributions'!K169,2)</f>
        <v>74.040000000000006</v>
      </c>
      <c r="K169" s="70">
        <f t="shared" si="59"/>
        <v>140599870</v>
      </c>
      <c r="L169" s="70">
        <f t="shared" si="60"/>
        <v>0</v>
      </c>
      <c r="M169" s="175">
        <f t="shared" si="61"/>
        <v>0</v>
      </c>
      <c r="N169" s="70"/>
      <c r="O169" s="70"/>
      <c r="P169" s="70"/>
      <c r="Q169" s="62">
        <v>15616</v>
      </c>
      <c r="R169" s="62">
        <f t="shared" si="62"/>
        <v>16025</v>
      </c>
      <c r="S169" s="176"/>
      <c r="T169" s="176"/>
      <c r="U169" s="70"/>
      <c r="V169" s="70"/>
      <c r="W169" s="260"/>
      <c r="X169" s="62">
        <f t="shared" si="63"/>
        <v>1</v>
      </c>
      <c r="Y169" s="70"/>
      <c r="AA169" s="290"/>
      <c r="AB169" s="291"/>
      <c r="AC169" s="62"/>
      <c r="AD169" s="62"/>
      <c r="AE169" s="177">
        <f t="shared" si="64"/>
        <v>480750</v>
      </c>
      <c r="AF169" s="177">
        <f t="shared" si="65"/>
        <v>0</v>
      </c>
      <c r="AG169" s="70">
        <f t="shared" si="66"/>
        <v>144067633</v>
      </c>
      <c r="AH169" s="70">
        <f t="shared" si="67"/>
        <v>0</v>
      </c>
      <c r="AI169" s="587">
        <v>0</v>
      </c>
      <c r="AJ169" s="178">
        <f t="shared" si="68"/>
        <v>144067633</v>
      </c>
      <c r="AK169" s="301">
        <f t="shared" si="69"/>
        <v>75.866126767167813</v>
      </c>
      <c r="AL169" s="70">
        <f t="shared" si="70"/>
        <v>189897177</v>
      </c>
      <c r="AM169" s="179">
        <f t="shared" si="71"/>
        <v>100.00000002088812</v>
      </c>
      <c r="AN169" s="179"/>
      <c r="AO169" s="31">
        <f t="shared" si="72"/>
        <v>6658815.3103340566</v>
      </c>
      <c r="AP169" s="31">
        <f t="shared" si="73"/>
        <v>5479252</v>
      </c>
      <c r="AQ169" s="31">
        <f t="shared" si="74"/>
        <v>3467763.1785686612</v>
      </c>
      <c r="AR169" s="180">
        <f t="shared" si="75"/>
        <v>1.826126767167807</v>
      </c>
      <c r="AS169" s="31">
        <f t="shared" si="78"/>
        <v>11850.06</v>
      </c>
      <c r="AU169" s="31">
        <f t="shared" si="76"/>
        <v>0</v>
      </c>
      <c r="AV169" s="177"/>
      <c r="AW169" s="31">
        <f t="shared" si="77"/>
        <v>341.91900156006238</v>
      </c>
    </row>
    <row r="170" spans="1:49">
      <c r="A170" s="102">
        <v>161</v>
      </c>
      <c r="B170" s="7" t="s">
        <v>1866</v>
      </c>
      <c r="C170" s="7">
        <v>1</v>
      </c>
      <c r="D170" s="62">
        <f t="shared" si="53"/>
        <v>27123791.77</v>
      </c>
      <c r="E170" s="172">
        <f t="shared" si="54"/>
        <v>13564533</v>
      </c>
      <c r="F170" s="62">
        <f t="shared" si="55"/>
        <v>27107617.460779078</v>
      </c>
      <c r="G170" s="70">
        <f t="shared" si="56"/>
        <v>15438923</v>
      </c>
      <c r="H170" s="62">
        <f t="shared" si="57"/>
        <v>11668694</v>
      </c>
      <c r="I170" s="173">
        <f t="shared" si="58"/>
        <v>0</v>
      </c>
      <c r="J170" s="174">
        <f>ROUND(100-'Townwide Contributions'!K170,2)</f>
        <v>43.5</v>
      </c>
      <c r="K170" s="70">
        <f t="shared" si="59"/>
        <v>11791814</v>
      </c>
      <c r="L170" s="70">
        <f t="shared" si="60"/>
        <v>0</v>
      </c>
      <c r="M170" s="175">
        <f t="shared" si="61"/>
        <v>0</v>
      </c>
      <c r="N170" s="70"/>
      <c r="O170" s="70"/>
      <c r="P170" s="70"/>
      <c r="Q170" s="62">
        <v>2651</v>
      </c>
      <c r="R170" s="62">
        <f t="shared" si="62"/>
        <v>2602</v>
      </c>
      <c r="S170" s="176"/>
      <c r="T170" s="176"/>
      <c r="U170" s="70"/>
      <c r="V170" s="70"/>
      <c r="W170" s="260"/>
      <c r="X170" s="62">
        <f t="shared" si="63"/>
        <v>0</v>
      </c>
      <c r="Y170" s="70"/>
      <c r="AA170" s="290"/>
      <c r="AB170" s="291"/>
      <c r="AC170" s="62"/>
      <c r="AD170" s="62"/>
      <c r="AE170" s="177">
        <f t="shared" si="64"/>
        <v>78060</v>
      </c>
      <c r="AF170" s="177">
        <f t="shared" si="65"/>
        <v>78060</v>
      </c>
      <c r="AG170" s="70">
        <f t="shared" si="66"/>
        <v>13642593</v>
      </c>
      <c r="AH170" s="70">
        <f t="shared" si="67"/>
        <v>0</v>
      </c>
      <c r="AI170" s="587">
        <v>0</v>
      </c>
      <c r="AJ170" s="178">
        <f t="shared" si="68"/>
        <v>13642593</v>
      </c>
      <c r="AK170" s="301">
        <f t="shared" si="69"/>
        <v>50.327525167930823</v>
      </c>
      <c r="AL170" s="70">
        <f t="shared" si="70"/>
        <v>29081516</v>
      </c>
      <c r="AM170" s="179">
        <f t="shared" si="71"/>
        <v>107.2817116519992</v>
      </c>
      <c r="AN170" s="179"/>
      <c r="AO170" s="31">
        <f t="shared" si="72"/>
        <v>-16174.309220921248</v>
      </c>
      <c r="AP170" s="31">
        <f t="shared" si="73"/>
        <v>78060</v>
      </c>
      <c r="AQ170" s="31">
        <f t="shared" si="74"/>
        <v>1850779.4045611005</v>
      </c>
      <c r="AR170" s="180">
        <f t="shared" si="75"/>
        <v>6.8275251679308226</v>
      </c>
      <c r="AS170" s="31">
        <f t="shared" si="78"/>
        <v>10417.99</v>
      </c>
      <c r="AU170" s="31">
        <f t="shared" si="76"/>
        <v>0</v>
      </c>
      <c r="AV170" s="177"/>
      <c r="AW170" s="31">
        <f t="shared" si="77"/>
        <v>30</v>
      </c>
    </row>
    <row r="171" spans="1:49">
      <c r="A171" s="102">
        <v>162</v>
      </c>
      <c r="B171" s="7" t="s">
        <v>1867</v>
      </c>
      <c r="C171" s="7">
        <v>1</v>
      </c>
      <c r="D171" s="62">
        <f t="shared" si="53"/>
        <v>15538424.619999999</v>
      </c>
      <c r="E171" s="172">
        <f t="shared" si="54"/>
        <v>6351257</v>
      </c>
      <c r="F171" s="62">
        <f t="shared" si="55"/>
        <v>16554528.397230644</v>
      </c>
      <c r="G171" s="70">
        <f t="shared" si="56"/>
        <v>9282023</v>
      </c>
      <c r="H171" s="62">
        <f t="shared" si="57"/>
        <v>7272505</v>
      </c>
      <c r="I171" s="173">
        <f t="shared" si="58"/>
        <v>921248</v>
      </c>
      <c r="J171" s="174">
        <f>ROUND(100-'Townwide Contributions'!K171,2)</f>
        <v>44.27</v>
      </c>
      <c r="K171" s="70">
        <f t="shared" si="59"/>
        <v>7328690</v>
      </c>
      <c r="L171" s="70">
        <f t="shared" si="60"/>
        <v>0</v>
      </c>
      <c r="M171" s="175">
        <f t="shared" si="61"/>
        <v>0</v>
      </c>
      <c r="N171" s="70"/>
      <c r="O171" s="70"/>
      <c r="P171" s="70"/>
      <c r="Q171" s="62">
        <v>1632</v>
      </c>
      <c r="R171" s="62">
        <f t="shared" si="62"/>
        <v>1705</v>
      </c>
      <c r="S171" s="176"/>
      <c r="T171" s="176"/>
      <c r="U171" s="70"/>
      <c r="V171" s="70"/>
      <c r="W171" s="260"/>
      <c r="X171" s="62">
        <f t="shared" si="63"/>
        <v>1</v>
      </c>
      <c r="Y171" s="70"/>
      <c r="AA171" s="290"/>
      <c r="AB171" s="291"/>
      <c r="AC171" s="62"/>
      <c r="AD171" s="62"/>
      <c r="AE171" s="177">
        <f t="shared" si="64"/>
        <v>51150</v>
      </c>
      <c r="AF171" s="177">
        <f t="shared" si="65"/>
        <v>0</v>
      </c>
      <c r="AG171" s="70">
        <f t="shared" si="66"/>
        <v>7272505</v>
      </c>
      <c r="AH171" s="70">
        <f t="shared" si="67"/>
        <v>0</v>
      </c>
      <c r="AI171" s="587">
        <v>0</v>
      </c>
      <c r="AJ171" s="178">
        <f t="shared" si="68"/>
        <v>7272505</v>
      </c>
      <c r="AK171" s="301">
        <f t="shared" si="69"/>
        <v>43.930608142341256</v>
      </c>
      <c r="AL171" s="70">
        <f t="shared" si="70"/>
        <v>16554528</v>
      </c>
      <c r="AM171" s="179">
        <f t="shared" si="71"/>
        <v>99.999997600471403</v>
      </c>
      <c r="AN171" s="179"/>
      <c r="AO171" s="31">
        <f t="shared" si="72"/>
        <v>1016103.7772306446</v>
      </c>
      <c r="AP171" s="31">
        <f t="shared" si="73"/>
        <v>921248</v>
      </c>
      <c r="AQ171" s="31">
        <f t="shared" si="74"/>
        <v>-56184.72145400662</v>
      </c>
      <c r="AR171" s="180">
        <f t="shared" si="75"/>
        <v>-0.33939185765874669</v>
      </c>
      <c r="AS171" s="31">
        <f t="shared" si="78"/>
        <v>9709.4</v>
      </c>
      <c r="AU171" s="31">
        <f t="shared" si="76"/>
        <v>0</v>
      </c>
      <c r="AV171" s="177"/>
      <c r="AW171" s="31">
        <f t="shared" si="77"/>
        <v>540.32140762463348</v>
      </c>
    </row>
    <row r="172" spans="1:49">
      <c r="A172" s="102">
        <v>163</v>
      </c>
      <c r="B172" s="7" t="s">
        <v>1868</v>
      </c>
      <c r="C172" s="7">
        <v>1</v>
      </c>
      <c r="D172" s="62">
        <f t="shared" si="53"/>
        <v>192172422.52999997</v>
      </c>
      <c r="E172" s="172">
        <f t="shared" si="54"/>
        <v>151448721</v>
      </c>
      <c r="F172" s="62">
        <f t="shared" si="55"/>
        <v>201554686.66682765</v>
      </c>
      <c r="G172" s="70">
        <f t="shared" si="56"/>
        <v>48112261</v>
      </c>
      <c r="H172" s="62">
        <f t="shared" si="57"/>
        <v>153442426</v>
      </c>
      <c r="I172" s="173">
        <f t="shared" si="58"/>
        <v>1993705</v>
      </c>
      <c r="J172" s="174">
        <f>ROUND(100-'Townwide Contributions'!K172,2)</f>
        <v>75.58</v>
      </c>
      <c r="K172" s="70">
        <f t="shared" si="59"/>
        <v>152335032</v>
      </c>
      <c r="L172" s="70">
        <f t="shared" si="60"/>
        <v>0</v>
      </c>
      <c r="M172" s="175">
        <f t="shared" si="61"/>
        <v>0</v>
      </c>
      <c r="N172" s="70"/>
      <c r="O172" s="70"/>
      <c r="P172" s="70"/>
      <c r="Q172" s="62">
        <v>16463</v>
      </c>
      <c r="R172" s="62">
        <f t="shared" si="62"/>
        <v>16852</v>
      </c>
      <c r="S172" s="176"/>
      <c r="T172" s="176"/>
      <c r="U172" s="70"/>
      <c r="V172" s="70"/>
      <c r="W172" s="260"/>
      <c r="X172" s="62">
        <f t="shared" si="63"/>
        <v>1</v>
      </c>
      <c r="Y172" s="70"/>
      <c r="AA172" s="290"/>
      <c r="AB172" s="291"/>
      <c r="AC172" s="62"/>
      <c r="AD172" s="62"/>
      <c r="AE172" s="177">
        <f t="shared" si="64"/>
        <v>505560</v>
      </c>
      <c r="AF172" s="177">
        <f t="shared" si="65"/>
        <v>0</v>
      </c>
      <c r="AG172" s="70">
        <f t="shared" si="66"/>
        <v>153442426</v>
      </c>
      <c r="AH172" s="70">
        <f t="shared" si="67"/>
        <v>0</v>
      </c>
      <c r="AI172" s="587">
        <v>3586376</v>
      </c>
      <c r="AJ172" s="178">
        <f t="shared" si="68"/>
        <v>157028802</v>
      </c>
      <c r="AK172" s="301">
        <f t="shared" si="69"/>
        <v>77.908782274842622</v>
      </c>
      <c r="AL172" s="70">
        <f t="shared" si="70"/>
        <v>205141063</v>
      </c>
      <c r="AM172" s="179">
        <f t="shared" si="71"/>
        <v>101.77935645778392</v>
      </c>
      <c r="AN172" s="179"/>
      <c r="AO172" s="31">
        <f t="shared" si="72"/>
        <v>9382264.1368276775</v>
      </c>
      <c r="AP172" s="31">
        <f t="shared" si="73"/>
        <v>5580081</v>
      </c>
      <c r="AQ172" s="31">
        <f t="shared" si="74"/>
        <v>4693769.8172116578</v>
      </c>
      <c r="AR172" s="180">
        <f t="shared" si="75"/>
        <v>2.3287822748426237</v>
      </c>
      <c r="AS172" s="31">
        <f t="shared" si="78"/>
        <v>11960.28</v>
      </c>
      <c r="AU172" s="31">
        <f t="shared" si="76"/>
        <v>0</v>
      </c>
      <c r="AV172" s="177"/>
      <c r="AW172" s="31">
        <f t="shared" si="77"/>
        <v>331.12277474483739</v>
      </c>
    </row>
    <row r="173" spans="1:49">
      <c r="A173" s="102">
        <v>164</v>
      </c>
      <c r="B173" s="7" t="s">
        <v>1869</v>
      </c>
      <c r="C173" s="7">
        <v>1</v>
      </c>
      <c r="D173" s="62">
        <f t="shared" si="53"/>
        <v>20021615.672320001</v>
      </c>
      <c r="E173" s="172">
        <f t="shared" si="54"/>
        <v>4206331</v>
      </c>
      <c r="F173" s="62">
        <f t="shared" si="55"/>
        <v>21073446.154188275</v>
      </c>
      <c r="G173" s="70">
        <f t="shared" si="56"/>
        <v>17422551</v>
      </c>
      <c r="H173" s="62">
        <f t="shared" si="57"/>
        <v>3650895</v>
      </c>
      <c r="I173" s="173">
        <f t="shared" si="58"/>
        <v>0</v>
      </c>
      <c r="J173" s="174">
        <f>ROUND(100-'Townwide Contributions'!K173,2)</f>
        <v>17.5</v>
      </c>
      <c r="K173" s="70">
        <f t="shared" si="59"/>
        <v>3687853</v>
      </c>
      <c r="L173" s="70">
        <f t="shared" si="60"/>
        <v>0</v>
      </c>
      <c r="M173" s="175">
        <f t="shared" si="61"/>
        <v>0</v>
      </c>
      <c r="N173" s="70"/>
      <c r="O173" s="70"/>
      <c r="P173" s="70"/>
      <c r="Q173" s="62">
        <v>2126</v>
      </c>
      <c r="R173" s="62">
        <f t="shared" si="62"/>
        <v>2191</v>
      </c>
      <c r="S173" s="176"/>
      <c r="T173" s="176"/>
      <c r="U173" s="70"/>
      <c r="V173" s="70"/>
      <c r="W173" s="260"/>
      <c r="X173" s="62">
        <f t="shared" si="63"/>
        <v>0</v>
      </c>
      <c r="Y173" s="70"/>
      <c r="AA173" s="290"/>
      <c r="AB173" s="291"/>
      <c r="AC173" s="62"/>
      <c r="AD173" s="62"/>
      <c r="AE173" s="177">
        <f t="shared" si="64"/>
        <v>65730</v>
      </c>
      <c r="AF173" s="177">
        <f t="shared" si="65"/>
        <v>65730</v>
      </c>
      <c r="AG173" s="70">
        <f t="shared" si="66"/>
        <v>4272061</v>
      </c>
      <c r="AH173" s="70">
        <f t="shared" si="67"/>
        <v>0</v>
      </c>
      <c r="AI173" s="587">
        <v>0</v>
      </c>
      <c r="AJ173" s="178">
        <f t="shared" si="68"/>
        <v>4272061</v>
      </c>
      <c r="AK173" s="301">
        <f t="shared" si="69"/>
        <v>20.272246735263767</v>
      </c>
      <c r="AL173" s="70">
        <f t="shared" si="70"/>
        <v>21694612</v>
      </c>
      <c r="AM173" s="179">
        <f t="shared" si="71"/>
        <v>102.94762347490219</v>
      </c>
      <c r="AN173" s="179"/>
      <c r="AO173" s="31">
        <f t="shared" si="72"/>
        <v>1051830.4818682745</v>
      </c>
      <c r="AP173" s="31">
        <f t="shared" si="73"/>
        <v>65730</v>
      </c>
      <c r="AQ173" s="31">
        <f t="shared" si="74"/>
        <v>584207.923017052</v>
      </c>
      <c r="AR173" s="180">
        <f t="shared" si="75"/>
        <v>2.7722467352637672</v>
      </c>
      <c r="AS173" s="31">
        <f t="shared" si="78"/>
        <v>9618.19</v>
      </c>
      <c r="AU173" s="31">
        <f t="shared" si="76"/>
        <v>0</v>
      </c>
      <c r="AV173" s="177"/>
      <c r="AW173" s="31">
        <f t="shared" si="77"/>
        <v>30</v>
      </c>
    </row>
    <row r="174" spans="1:49">
      <c r="A174" s="102">
        <v>165</v>
      </c>
      <c r="B174" s="7" t="s">
        <v>1870</v>
      </c>
      <c r="C174" s="7">
        <v>1</v>
      </c>
      <c r="D174" s="62">
        <f t="shared" si="53"/>
        <v>84148786.035580009</v>
      </c>
      <c r="E174" s="172">
        <f t="shared" si="54"/>
        <v>48846419</v>
      </c>
      <c r="F174" s="62">
        <f t="shared" si="55"/>
        <v>87320752.243724763</v>
      </c>
      <c r="G174" s="70">
        <f t="shared" si="56"/>
        <v>38872647</v>
      </c>
      <c r="H174" s="62">
        <f t="shared" si="57"/>
        <v>48448105</v>
      </c>
      <c r="I174" s="173">
        <f t="shared" si="58"/>
        <v>0</v>
      </c>
      <c r="J174" s="174">
        <f>ROUND(100-'Townwide Contributions'!K174,2)</f>
        <v>51.77</v>
      </c>
      <c r="K174" s="70">
        <f t="shared" si="59"/>
        <v>45205953</v>
      </c>
      <c r="L174" s="70">
        <f t="shared" si="60"/>
        <v>0</v>
      </c>
      <c r="M174" s="175">
        <f t="shared" si="61"/>
        <v>0</v>
      </c>
      <c r="N174" s="70"/>
      <c r="O174" s="70"/>
      <c r="P174" s="70"/>
      <c r="Q174" s="62">
        <v>7412</v>
      </c>
      <c r="R174" s="62">
        <f t="shared" si="62"/>
        <v>7529</v>
      </c>
      <c r="S174" s="176"/>
      <c r="T174" s="176"/>
      <c r="U174" s="70"/>
      <c r="V174" s="70"/>
      <c r="W174" s="260"/>
      <c r="X174" s="62">
        <f t="shared" si="63"/>
        <v>0</v>
      </c>
      <c r="Y174" s="70"/>
      <c r="AA174" s="290"/>
      <c r="AB174" s="291"/>
      <c r="AC174" s="62"/>
      <c r="AD174" s="62"/>
      <c r="AE174" s="177">
        <f t="shared" si="64"/>
        <v>225870</v>
      </c>
      <c r="AF174" s="177">
        <f t="shared" si="65"/>
        <v>225870</v>
      </c>
      <c r="AG174" s="70">
        <f t="shared" si="66"/>
        <v>49072289</v>
      </c>
      <c r="AH174" s="70">
        <f t="shared" si="67"/>
        <v>0</v>
      </c>
      <c r="AI174" s="587">
        <v>0</v>
      </c>
      <c r="AJ174" s="178">
        <f t="shared" si="68"/>
        <v>49072289</v>
      </c>
      <c r="AK174" s="301">
        <f t="shared" si="69"/>
        <v>56.197739642727981</v>
      </c>
      <c r="AL174" s="70">
        <f t="shared" si="70"/>
        <v>87944936</v>
      </c>
      <c r="AM174" s="179">
        <f t="shared" si="71"/>
        <v>100.71481720007753</v>
      </c>
      <c r="AN174" s="179"/>
      <c r="AO174" s="31">
        <f t="shared" si="72"/>
        <v>3171966.2081447542</v>
      </c>
      <c r="AP174" s="31">
        <f t="shared" si="73"/>
        <v>225870</v>
      </c>
      <c r="AQ174" s="31">
        <f t="shared" si="74"/>
        <v>3866335.5634236857</v>
      </c>
      <c r="AR174" s="180">
        <f t="shared" si="75"/>
        <v>4.4277396427279783</v>
      </c>
      <c r="AS174" s="31">
        <f t="shared" si="78"/>
        <v>11597.92</v>
      </c>
      <c r="AU174" s="31">
        <f t="shared" si="76"/>
        <v>0</v>
      </c>
      <c r="AV174" s="177"/>
      <c r="AW174" s="31">
        <f t="shared" si="77"/>
        <v>30</v>
      </c>
    </row>
    <row r="175" spans="1:49">
      <c r="A175" s="102">
        <v>166</v>
      </c>
      <c r="B175" s="7" t="s">
        <v>1871</v>
      </c>
      <c r="C175" s="7">
        <v>0</v>
      </c>
      <c r="D175" s="62">
        <f t="shared" si="53"/>
        <v>0</v>
      </c>
      <c r="E175" s="172">
        <f t="shared" si="54"/>
        <v>0</v>
      </c>
      <c r="F175" s="62">
        <f t="shared" si="55"/>
        <v>0</v>
      </c>
      <c r="G175" s="70">
        <f t="shared" si="56"/>
        <v>0</v>
      </c>
      <c r="H175" s="62">
        <f t="shared" si="57"/>
        <v>0</v>
      </c>
      <c r="I175" s="173">
        <f t="shared" si="58"/>
        <v>0</v>
      </c>
      <c r="J175" s="174">
        <f>ROUND(100-'Townwide Contributions'!K175,2)</f>
        <v>17.5</v>
      </c>
      <c r="K175" s="70">
        <f t="shared" si="59"/>
        <v>0</v>
      </c>
      <c r="L175" s="70">
        <f t="shared" si="60"/>
        <v>0</v>
      </c>
      <c r="M175" s="175">
        <f t="shared" si="61"/>
        <v>0</v>
      </c>
      <c r="N175" s="70"/>
      <c r="O175" s="70"/>
      <c r="P175" s="70"/>
      <c r="Q175" s="62">
        <v>0</v>
      </c>
      <c r="R175" s="62">
        <f t="shared" si="62"/>
        <v>0</v>
      </c>
      <c r="S175" s="176"/>
      <c r="T175" s="176"/>
      <c r="U175" s="70"/>
      <c r="V175" s="70"/>
      <c r="W175" s="260"/>
      <c r="X175" s="62">
        <f t="shared" si="63"/>
        <v>0</v>
      </c>
      <c r="Y175" s="70"/>
      <c r="AA175" s="290"/>
      <c r="AB175" s="291"/>
      <c r="AC175" s="62"/>
      <c r="AD175" s="62"/>
      <c r="AE175" s="177">
        <f t="shared" si="64"/>
        <v>0</v>
      </c>
      <c r="AF175" s="177">
        <f t="shared" si="65"/>
        <v>0</v>
      </c>
      <c r="AG175" s="70">
        <f t="shared" si="66"/>
        <v>0</v>
      </c>
      <c r="AH175" s="70">
        <f t="shared" si="67"/>
        <v>0</v>
      </c>
      <c r="AI175" s="587">
        <v>0</v>
      </c>
      <c r="AJ175" s="178">
        <f t="shared" si="68"/>
        <v>0</v>
      </c>
      <c r="AK175" s="301">
        <f t="shared" si="69"/>
        <v>0</v>
      </c>
      <c r="AL175" s="70">
        <f t="shared" si="70"/>
        <v>0</v>
      </c>
      <c r="AM175" s="179">
        <f t="shared" si="71"/>
        <v>0</v>
      </c>
      <c r="AN175" s="179"/>
      <c r="AO175" s="31">
        <f t="shared" si="72"/>
        <v>0</v>
      </c>
      <c r="AP175" s="31">
        <f t="shared" si="73"/>
        <v>0</v>
      </c>
      <c r="AQ175" s="31">
        <f t="shared" si="74"/>
        <v>0</v>
      </c>
      <c r="AR175" s="180" t="str">
        <f t="shared" si="75"/>
        <v/>
      </c>
      <c r="AS175" s="31">
        <f t="shared" si="78"/>
        <v>0</v>
      </c>
      <c r="AU175" s="31">
        <f t="shared" si="76"/>
        <v>0</v>
      </c>
      <c r="AV175" s="177"/>
      <c r="AW175" s="31">
        <f t="shared" si="77"/>
        <v>0</v>
      </c>
    </row>
    <row r="176" spans="1:49">
      <c r="A176" s="102">
        <v>167</v>
      </c>
      <c r="B176" s="7" t="s">
        <v>1872</v>
      </c>
      <c r="C176" s="7">
        <v>1</v>
      </c>
      <c r="D176" s="62">
        <f t="shared" si="53"/>
        <v>40048769.469539993</v>
      </c>
      <c r="E176" s="172">
        <f t="shared" si="54"/>
        <v>18610109</v>
      </c>
      <c r="F176" s="62">
        <f t="shared" si="55"/>
        <v>40453621.247440323</v>
      </c>
      <c r="G176" s="70">
        <f t="shared" si="56"/>
        <v>27314680</v>
      </c>
      <c r="H176" s="62">
        <f t="shared" si="57"/>
        <v>13138941</v>
      </c>
      <c r="I176" s="173">
        <f t="shared" si="58"/>
        <v>0</v>
      </c>
      <c r="J176" s="174">
        <f>ROUND(100-'Townwide Contributions'!K176,2)</f>
        <v>32.69</v>
      </c>
      <c r="K176" s="70">
        <f t="shared" si="59"/>
        <v>13224289</v>
      </c>
      <c r="L176" s="70">
        <f t="shared" si="60"/>
        <v>0</v>
      </c>
      <c r="M176" s="175">
        <f t="shared" si="61"/>
        <v>0</v>
      </c>
      <c r="N176" s="70"/>
      <c r="O176" s="70"/>
      <c r="P176" s="70"/>
      <c r="Q176" s="62">
        <v>4034</v>
      </c>
      <c r="R176" s="62">
        <f t="shared" si="62"/>
        <v>3932</v>
      </c>
      <c r="S176" s="176"/>
      <c r="T176" s="176"/>
      <c r="U176" s="70"/>
      <c r="V176" s="70"/>
      <c r="W176" s="260"/>
      <c r="X176" s="62">
        <f t="shared" si="63"/>
        <v>0</v>
      </c>
      <c r="Y176" s="70"/>
      <c r="AA176" s="290"/>
      <c r="AB176" s="291"/>
      <c r="AC176" s="62"/>
      <c r="AD176" s="62"/>
      <c r="AE176" s="177">
        <f t="shared" si="64"/>
        <v>117960</v>
      </c>
      <c r="AF176" s="177">
        <f t="shared" si="65"/>
        <v>117960</v>
      </c>
      <c r="AG176" s="70">
        <f t="shared" si="66"/>
        <v>18728069</v>
      </c>
      <c r="AH176" s="70">
        <f t="shared" si="67"/>
        <v>0</v>
      </c>
      <c r="AI176" s="587">
        <v>0</v>
      </c>
      <c r="AJ176" s="178">
        <f t="shared" si="68"/>
        <v>18728069</v>
      </c>
      <c r="AK176" s="301">
        <f t="shared" si="69"/>
        <v>46.295160785352451</v>
      </c>
      <c r="AL176" s="70">
        <f t="shared" si="70"/>
        <v>46042749</v>
      </c>
      <c r="AM176" s="179">
        <f t="shared" si="71"/>
        <v>113.81613704833242</v>
      </c>
      <c r="AN176" s="179"/>
      <c r="AO176" s="31">
        <f t="shared" si="72"/>
        <v>404851.77790033072</v>
      </c>
      <c r="AP176" s="31">
        <f t="shared" si="73"/>
        <v>117960</v>
      </c>
      <c r="AQ176" s="31">
        <f t="shared" si="74"/>
        <v>5503780.2142117601</v>
      </c>
      <c r="AR176" s="180">
        <f t="shared" si="75"/>
        <v>13.605160785352453</v>
      </c>
      <c r="AS176" s="31">
        <f t="shared" si="78"/>
        <v>10288.31</v>
      </c>
      <c r="AU176" s="31">
        <f t="shared" si="76"/>
        <v>0</v>
      </c>
      <c r="AV176" s="177"/>
      <c r="AW176" s="31">
        <f t="shared" si="77"/>
        <v>30</v>
      </c>
    </row>
    <row r="177" spans="1:49">
      <c r="A177" s="102">
        <v>168</v>
      </c>
      <c r="B177" s="7" t="s">
        <v>1873</v>
      </c>
      <c r="C177" s="7">
        <v>1</v>
      </c>
      <c r="D177" s="62">
        <f t="shared" si="53"/>
        <v>30713624.370000001</v>
      </c>
      <c r="E177" s="172">
        <f t="shared" si="54"/>
        <v>5644629</v>
      </c>
      <c r="F177" s="62">
        <f t="shared" si="55"/>
        <v>30825074.044045713</v>
      </c>
      <c r="G177" s="70">
        <f t="shared" si="56"/>
        <v>25552661</v>
      </c>
      <c r="H177" s="62">
        <f t="shared" si="57"/>
        <v>5272413</v>
      </c>
      <c r="I177" s="173">
        <f t="shared" si="58"/>
        <v>0</v>
      </c>
      <c r="J177" s="174">
        <f>ROUND(100-'Townwide Contributions'!K177,2)</f>
        <v>17.5</v>
      </c>
      <c r="K177" s="70">
        <f t="shared" si="59"/>
        <v>5394388</v>
      </c>
      <c r="L177" s="70">
        <f t="shared" si="60"/>
        <v>0</v>
      </c>
      <c r="M177" s="175">
        <f t="shared" si="61"/>
        <v>0</v>
      </c>
      <c r="N177" s="70"/>
      <c r="O177" s="70"/>
      <c r="P177" s="70"/>
      <c r="Q177" s="62">
        <v>3283</v>
      </c>
      <c r="R177" s="62">
        <f t="shared" si="62"/>
        <v>3233</v>
      </c>
      <c r="S177" s="176"/>
      <c r="T177" s="176"/>
      <c r="U177" s="70"/>
      <c r="V177" s="70"/>
      <c r="W177" s="260"/>
      <c r="X177" s="62">
        <f t="shared" si="63"/>
        <v>0</v>
      </c>
      <c r="Y177" s="70"/>
      <c r="AA177" s="290"/>
      <c r="AB177" s="291"/>
      <c r="AC177" s="62"/>
      <c r="AD177" s="62"/>
      <c r="AE177" s="177">
        <f t="shared" si="64"/>
        <v>96990</v>
      </c>
      <c r="AF177" s="177">
        <f t="shared" si="65"/>
        <v>96990</v>
      </c>
      <c r="AG177" s="70">
        <f t="shared" si="66"/>
        <v>5741619</v>
      </c>
      <c r="AH177" s="70">
        <f t="shared" si="67"/>
        <v>0</v>
      </c>
      <c r="AI177" s="587">
        <v>0</v>
      </c>
      <c r="AJ177" s="178">
        <f t="shared" si="68"/>
        <v>5741619</v>
      </c>
      <c r="AK177" s="301">
        <f t="shared" si="69"/>
        <v>18.626456474348917</v>
      </c>
      <c r="AL177" s="70">
        <f t="shared" si="70"/>
        <v>31294280</v>
      </c>
      <c r="AM177" s="179">
        <f t="shared" si="71"/>
        <v>101.52215678471313</v>
      </c>
      <c r="AN177" s="179"/>
      <c r="AO177" s="31">
        <f t="shared" si="72"/>
        <v>111449.67404571176</v>
      </c>
      <c r="AP177" s="31">
        <f t="shared" si="73"/>
        <v>96990</v>
      </c>
      <c r="AQ177" s="31">
        <f t="shared" si="74"/>
        <v>347231.04229200073</v>
      </c>
      <c r="AR177" s="180">
        <f t="shared" si="75"/>
        <v>1.1264564743489167</v>
      </c>
      <c r="AS177" s="31">
        <f t="shared" si="78"/>
        <v>9534.51</v>
      </c>
      <c r="AU177" s="31">
        <f t="shared" si="76"/>
        <v>0</v>
      </c>
      <c r="AV177" s="177"/>
      <c r="AW177" s="31">
        <f t="shared" si="77"/>
        <v>30</v>
      </c>
    </row>
    <row r="178" spans="1:49">
      <c r="A178" s="102">
        <v>169</v>
      </c>
      <c r="B178" s="7" t="s">
        <v>1874</v>
      </c>
      <c r="C178" s="7">
        <v>1</v>
      </c>
      <c r="D178" s="62">
        <f t="shared" si="53"/>
        <v>4098862.3900000006</v>
      </c>
      <c r="E178" s="172">
        <f t="shared" si="54"/>
        <v>694733</v>
      </c>
      <c r="F178" s="62">
        <f t="shared" si="55"/>
        <v>4343663.5149533721</v>
      </c>
      <c r="G178" s="70">
        <f t="shared" si="56"/>
        <v>3510380</v>
      </c>
      <c r="H178" s="62">
        <f t="shared" si="57"/>
        <v>833284</v>
      </c>
      <c r="I178" s="173">
        <f t="shared" si="58"/>
        <v>138551</v>
      </c>
      <c r="J178" s="174">
        <f>ROUND(100-'Townwide Contributions'!K178,2)</f>
        <v>17.5</v>
      </c>
      <c r="K178" s="70">
        <f t="shared" si="59"/>
        <v>760141</v>
      </c>
      <c r="L178" s="70">
        <f t="shared" si="60"/>
        <v>0</v>
      </c>
      <c r="M178" s="175">
        <f t="shared" si="61"/>
        <v>0</v>
      </c>
      <c r="N178" s="70"/>
      <c r="O178" s="70"/>
      <c r="P178" s="70"/>
      <c r="Q178" s="62">
        <v>445</v>
      </c>
      <c r="R178" s="62">
        <f t="shared" si="62"/>
        <v>455</v>
      </c>
      <c r="S178" s="176"/>
      <c r="T178" s="176"/>
      <c r="U178" s="70"/>
      <c r="V178" s="70"/>
      <c r="W178" s="260"/>
      <c r="X178" s="62">
        <f t="shared" si="63"/>
        <v>1</v>
      </c>
      <c r="Y178" s="70"/>
      <c r="AA178" s="290"/>
      <c r="AB178" s="291"/>
      <c r="AC178" s="62"/>
      <c r="AD178" s="62"/>
      <c r="AE178" s="177">
        <f t="shared" si="64"/>
        <v>13650</v>
      </c>
      <c r="AF178" s="177">
        <f t="shared" si="65"/>
        <v>0</v>
      </c>
      <c r="AG178" s="70">
        <f t="shared" si="66"/>
        <v>833284</v>
      </c>
      <c r="AH178" s="70">
        <f t="shared" si="67"/>
        <v>0</v>
      </c>
      <c r="AI178" s="587">
        <v>0</v>
      </c>
      <c r="AJ178" s="178">
        <f t="shared" si="68"/>
        <v>833284</v>
      </c>
      <c r="AK178" s="301">
        <f t="shared" si="69"/>
        <v>19.183898502528116</v>
      </c>
      <c r="AL178" s="70">
        <f t="shared" si="70"/>
        <v>4343664</v>
      </c>
      <c r="AM178" s="179">
        <f t="shared" si="71"/>
        <v>100.00001116676341</v>
      </c>
      <c r="AN178" s="179"/>
      <c r="AO178" s="31">
        <f t="shared" si="72"/>
        <v>244801.12495337147</v>
      </c>
      <c r="AP178" s="31">
        <f t="shared" si="73"/>
        <v>138551</v>
      </c>
      <c r="AQ178" s="31">
        <f t="shared" si="74"/>
        <v>73142.884883159888</v>
      </c>
      <c r="AR178" s="180">
        <f t="shared" si="75"/>
        <v>1.6838985025281161</v>
      </c>
      <c r="AS178" s="31">
        <f t="shared" si="78"/>
        <v>9546.51</v>
      </c>
      <c r="AU178" s="31">
        <f t="shared" si="76"/>
        <v>0</v>
      </c>
      <c r="AV178" s="177"/>
      <c r="AW178" s="31">
        <f t="shared" si="77"/>
        <v>304.50769230769231</v>
      </c>
    </row>
    <row r="179" spans="1:49">
      <c r="A179" s="102">
        <v>170</v>
      </c>
      <c r="B179" s="7" t="s">
        <v>1875</v>
      </c>
      <c r="C179" s="7">
        <v>1</v>
      </c>
      <c r="D179" s="62">
        <f t="shared" si="53"/>
        <v>54854523.918049991</v>
      </c>
      <c r="E179" s="172">
        <f t="shared" si="54"/>
        <v>24140701</v>
      </c>
      <c r="F179" s="62">
        <f t="shared" si="55"/>
        <v>56761909.559497736</v>
      </c>
      <c r="G179" s="70">
        <f t="shared" si="56"/>
        <v>32073087</v>
      </c>
      <c r="H179" s="62">
        <f t="shared" si="57"/>
        <v>24688823</v>
      </c>
      <c r="I179" s="173">
        <f t="shared" si="58"/>
        <v>548122</v>
      </c>
      <c r="J179" s="174">
        <f>ROUND(100-'Townwide Contributions'!K179,2)</f>
        <v>41.32</v>
      </c>
      <c r="K179" s="70">
        <f t="shared" si="59"/>
        <v>23454021</v>
      </c>
      <c r="L179" s="70">
        <f t="shared" si="60"/>
        <v>0</v>
      </c>
      <c r="M179" s="175">
        <f t="shared" si="61"/>
        <v>0</v>
      </c>
      <c r="N179" s="70"/>
      <c r="O179" s="70"/>
      <c r="P179" s="70"/>
      <c r="Q179" s="62">
        <v>5023</v>
      </c>
      <c r="R179" s="62">
        <f t="shared" si="62"/>
        <v>5081</v>
      </c>
      <c r="S179" s="176"/>
      <c r="T179" s="176"/>
      <c r="U179" s="70"/>
      <c r="V179" s="70"/>
      <c r="W179" s="260"/>
      <c r="X179" s="62">
        <f t="shared" si="63"/>
        <v>1</v>
      </c>
      <c r="Y179" s="70"/>
      <c r="AA179" s="290"/>
      <c r="AB179" s="291"/>
      <c r="AC179" s="62"/>
      <c r="AD179" s="62"/>
      <c r="AE179" s="177">
        <f t="shared" si="64"/>
        <v>152430</v>
      </c>
      <c r="AF179" s="177">
        <f t="shared" si="65"/>
        <v>0</v>
      </c>
      <c r="AG179" s="70">
        <f t="shared" si="66"/>
        <v>24688823</v>
      </c>
      <c r="AH179" s="70">
        <f t="shared" si="67"/>
        <v>0</v>
      </c>
      <c r="AI179" s="587">
        <v>283229</v>
      </c>
      <c r="AJ179" s="178">
        <f t="shared" si="68"/>
        <v>24972052</v>
      </c>
      <c r="AK179" s="301">
        <f t="shared" si="69"/>
        <v>43.994383194286897</v>
      </c>
      <c r="AL179" s="70">
        <f t="shared" si="70"/>
        <v>57045139</v>
      </c>
      <c r="AM179" s="179">
        <f t="shared" si="71"/>
        <v>100.49897799897902</v>
      </c>
      <c r="AN179" s="179"/>
      <c r="AO179" s="31">
        <f t="shared" si="72"/>
        <v>1907385.6414477453</v>
      </c>
      <c r="AP179" s="31">
        <f t="shared" si="73"/>
        <v>831351</v>
      </c>
      <c r="AQ179" s="31">
        <f t="shared" si="74"/>
        <v>1518030.9700155333</v>
      </c>
      <c r="AR179" s="180">
        <f t="shared" si="75"/>
        <v>2.6743831942868965</v>
      </c>
      <c r="AS179" s="31">
        <f t="shared" si="78"/>
        <v>11171.41</v>
      </c>
      <c r="AU179" s="31">
        <f t="shared" si="76"/>
        <v>0</v>
      </c>
      <c r="AV179" s="177"/>
      <c r="AW179" s="31">
        <f t="shared" si="77"/>
        <v>163.61956307813423</v>
      </c>
    </row>
    <row r="180" spans="1:49">
      <c r="A180" s="102">
        <v>171</v>
      </c>
      <c r="B180" s="7" t="s">
        <v>1876</v>
      </c>
      <c r="C180" s="7">
        <v>1</v>
      </c>
      <c r="D180" s="62">
        <f t="shared" si="53"/>
        <v>40243211.142080009</v>
      </c>
      <c r="E180" s="172">
        <f t="shared" si="54"/>
        <v>14297323</v>
      </c>
      <c r="F180" s="62">
        <f t="shared" si="55"/>
        <v>41036767.216783047</v>
      </c>
      <c r="G180" s="70">
        <f t="shared" si="56"/>
        <v>33760457</v>
      </c>
      <c r="H180" s="62">
        <f t="shared" si="57"/>
        <v>7276310</v>
      </c>
      <c r="I180" s="173">
        <f t="shared" si="58"/>
        <v>0</v>
      </c>
      <c r="J180" s="174">
        <f>ROUND(100-'Townwide Contributions'!K180,2)</f>
        <v>17.55</v>
      </c>
      <c r="K180" s="70">
        <f t="shared" si="59"/>
        <v>7201953</v>
      </c>
      <c r="L180" s="70">
        <f t="shared" si="60"/>
        <v>0</v>
      </c>
      <c r="M180" s="175">
        <f t="shared" si="61"/>
        <v>0</v>
      </c>
      <c r="N180" s="70"/>
      <c r="O180" s="70"/>
      <c r="P180" s="70"/>
      <c r="Q180" s="62">
        <v>4166</v>
      </c>
      <c r="R180" s="62">
        <f t="shared" si="62"/>
        <v>4128</v>
      </c>
      <c r="S180" s="176"/>
      <c r="T180" s="176"/>
      <c r="U180" s="70"/>
      <c r="V180" s="70"/>
      <c r="W180" s="260"/>
      <c r="X180" s="62">
        <f t="shared" si="63"/>
        <v>0</v>
      </c>
      <c r="Y180" s="70"/>
      <c r="AA180" s="290"/>
      <c r="AB180" s="291"/>
      <c r="AC180" s="62"/>
      <c r="AD180" s="62"/>
      <c r="AE180" s="177">
        <f t="shared" si="64"/>
        <v>123840</v>
      </c>
      <c r="AF180" s="177">
        <f t="shared" si="65"/>
        <v>123840</v>
      </c>
      <c r="AG180" s="70">
        <f t="shared" si="66"/>
        <v>14421163</v>
      </c>
      <c r="AH180" s="70">
        <f t="shared" si="67"/>
        <v>0</v>
      </c>
      <c r="AI180" s="587">
        <v>0</v>
      </c>
      <c r="AJ180" s="178">
        <f t="shared" si="68"/>
        <v>14421163</v>
      </c>
      <c r="AK180" s="301">
        <f t="shared" si="69"/>
        <v>35.142054255438751</v>
      </c>
      <c r="AL180" s="70">
        <f t="shared" si="70"/>
        <v>48181620</v>
      </c>
      <c r="AM180" s="179">
        <f t="shared" si="71"/>
        <v>117.41085681889406</v>
      </c>
      <c r="AN180" s="179"/>
      <c r="AO180" s="31">
        <f t="shared" si="72"/>
        <v>793556.07470303774</v>
      </c>
      <c r="AP180" s="31">
        <f t="shared" si="73"/>
        <v>123840</v>
      </c>
      <c r="AQ180" s="31">
        <f t="shared" si="74"/>
        <v>7219210.3534545749</v>
      </c>
      <c r="AR180" s="180">
        <f t="shared" si="75"/>
        <v>17.59205425543875</v>
      </c>
      <c r="AS180" s="31">
        <f t="shared" si="78"/>
        <v>9941.08</v>
      </c>
      <c r="AU180" s="31">
        <f t="shared" si="76"/>
        <v>0</v>
      </c>
      <c r="AV180" s="177"/>
      <c r="AW180" s="31">
        <f t="shared" si="77"/>
        <v>30</v>
      </c>
    </row>
    <row r="181" spans="1:49">
      <c r="A181" s="102">
        <v>172</v>
      </c>
      <c r="B181" s="7" t="s">
        <v>1877</v>
      </c>
      <c r="C181" s="7">
        <v>1</v>
      </c>
      <c r="D181" s="62">
        <f t="shared" si="53"/>
        <v>16891753.790000003</v>
      </c>
      <c r="E181" s="172">
        <f t="shared" si="54"/>
        <v>4493526</v>
      </c>
      <c r="F181" s="62">
        <f t="shared" si="55"/>
        <v>16431104.565356754</v>
      </c>
      <c r="G181" s="70">
        <f t="shared" si="56"/>
        <v>13722805</v>
      </c>
      <c r="H181" s="62">
        <f t="shared" si="57"/>
        <v>2708300</v>
      </c>
      <c r="I181" s="173">
        <f t="shared" si="58"/>
        <v>0</v>
      </c>
      <c r="J181" s="174">
        <f>ROUND(100-'Townwide Contributions'!K181,2)</f>
        <v>17.5</v>
      </c>
      <c r="K181" s="70">
        <f t="shared" si="59"/>
        <v>2875443</v>
      </c>
      <c r="L181" s="70">
        <f t="shared" si="60"/>
        <v>0</v>
      </c>
      <c r="M181" s="175">
        <f t="shared" si="61"/>
        <v>0</v>
      </c>
      <c r="N181" s="70"/>
      <c r="O181" s="70"/>
      <c r="P181" s="70"/>
      <c r="Q181" s="62">
        <v>1663</v>
      </c>
      <c r="R181" s="62">
        <f t="shared" si="62"/>
        <v>1590</v>
      </c>
      <c r="S181" s="176"/>
      <c r="T181" s="176"/>
      <c r="U181" s="70"/>
      <c r="V181" s="70"/>
      <c r="W181" s="260"/>
      <c r="X181" s="62">
        <f t="shared" si="63"/>
        <v>0</v>
      </c>
      <c r="Y181" s="70"/>
      <c r="AA181" s="290"/>
      <c r="AB181" s="291"/>
      <c r="AC181" s="62"/>
      <c r="AD181" s="62"/>
      <c r="AE181" s="177">
        <f t="shared" si="64"/>
        <v>47700</v>
      </c>
      <c r="AF181" s="177">
        <f t="shared" si="65"/>
        <v>47700</v>
      </c>
      <c r="AG181" s="70">
        <f t="shared" si="66"/>
        <v>4541226</v>
      </c>
      <c r="AH181" s="70">
        <f t="shared" si="67"/>
        <v>0</v>
      </c>
      <c r="AI181" s="587">
        <v>0</v>
      </c>
      <c r="AJ181" s="178">
        <f t="shared" si="68"/>
        <v>4541226</v>
      </c>
      <c r="AK181" s="301">
        <f t="shared" si="69"/>
        <v>27.637983690851158</v>
      </c>
      <c r="AL181" s="70">
        <f t="shared" si="70"/>
        <v>18264031</v>
      </c>
      <c r="AM181" s="179">
        <f t="shared" si="71"/>
        <v>111.15522348088379</v>
      </c>
      <c r="AN181" s="179"/>
      <c r="AO181" s="31">
        <f t="shared" si="72"/>
        <v>-460649.22464324906</v>
      </c>
      <c r="AP181" s="31">
        <f t="shared" si="73"/>
        <v>47700</v>
      </c>
      <c r="AQ181" s="31">
        <f t="shared" si="74"/>
        <v>1665782.7010625685</v>
      </c>
      <c r="AR181" s="180">
        <f t="shared" si="75"/>
        <v>10.137983690851158</v>
      </c>
      <c r="AS181" s="31">
        <f t="shared" si="78"/>
        <v>10334.030000000001</v>
      </c>
      <c r="AU181" s="31">
        <f t="shared" si="76"/>
        <v>0</v>
      </c>
      <c r="AV181" s="177"/>
      <c r="AW181" s="31">
        <f t="shared" si="77"/>
        <v>30</v>
      </c>
    </row>
    <row r="182" spans="1:49">
      <c r="A182" s="102">
        <v>173</v>
      </c>
      <c r="B182" s="7" t="s">
        <v>1878</v>
      </c>
      <c r="C182" s="7">
        <v>1</v>
      </c>
      <c r="D182" s="62">
        <f t="shared" si="53"/>
        <v>4517988.9499999983</v>
      </c>
      <c r="E182" s="172">
        <f t="shared" si="54"/>
        <v>799465</v>
      </c>
      <c r="F182" s="62">
        <f t="shared" si="55"/>
        <v>4222689.9150018794</v>
      </c>
      <c r="G182" s="70">
        <f t="shared" si="56"/>
        <v>3517981</v>
      </c>
      <c r="H182" s="62">
        <f t="shared" si="57"/>
        <v>704709</v>
      </c>
      <c r="I182" s="173">
        <f t="shared" si="58"/>
        <v>0</v>
      </c>
      <c r="J182" s="174">
        <f>ROUND(100-'Townwide Contributions'!K182,2)</f>
        <v>17.5</v>
      </c>
      <c r="K182" s="70">
        <f t="shared" si="59"/>
        <v>738971</v>
      </c>
      <c r="L182" s="70">
        <f t="shared" si="60"/>
        <v>0</v>
      </c>
      <c r="M182" s="175">
        <f t="shared" si="61"/>
        <v>0</v>
      </c>
      <c r="N182" s="70"/>
      <c r="O182" s="70"/>
      <c r="P182" s="70"/>
      <c r="Q182" s="62">
        <v>490</v>
      </c>
      <c r="R182" s="62">
        <f t="shared" si="62"/>
        <v>451</v>
      </c>
      <c r="S182" s="176"/>
      <c r="T182" s="176"/>
      <c r="U182" s="70"/>
      <c r="V182" s="70"/>
      <c r="W182" s="260"/>
      <c r="X182" s="62">
        <f t="shared" si="63"/>
        <v>0</v>
      </c>
      <c r="Y182" s="70"/>
      <c r="AA182" s="290"/>
      <c r="AB182" s="291"/>
      <c r="AC182" s="62"/>
      <c r="AD182" s="62"/>
      <c r="AE182" s="177">
        <f t="shared" si="64"/>
        <v>13530</v>
      </c>
      <c r="AF182" s="177">
        <f t="shared" si="65"/>
        <v>13530</v>
      </c>
      <c r="AG182" s="70">
        <f t="shared" si="66"/>
        <v>812995</v>
      </c>
      <c r="AH182" s="70">
        <f t="shared" si="67"/>
        <v>0</v>
      </c>
      <c r="AI182" s="587">
        <v>0</v>
      </c>
      <c r="AJ182" s="178">
        <f t="shared" si="68"/>
        <v>812995</v>
      </c>
      <c r="AK182" s="301">
        <f t="shared" si="69"/>
        <v>19.25301209335041</v>
      </c>
      <c r="AL182" s="70">
        <f t="shared" si="70"/>
        <v>4330976</v>
      </c>
      <c r="AM182" s="179">
        <f t="shared" si="71"/>
        <v>102.5643863787728</v>
      </c>
      <c r="AN182" s="179"/>
      <c r="AO182" s="31">
        <f t="shared" si="72"/>
        <v>-295299.03499811888</v>
      </c>
      <c r="AP182" s="31">
        <f t="shared" si="73"/>
        <v>13530</v>
      </c>
      <c r="AQ182" s="31">
        <f t="shared" si="74"/>
        <v>74024.26487467112</v>
      </c>
      <c r="AR182" s="180">
        <f t="shared" si="75"/>
        <v>1.7530120933504101</v>
      </c>
      <c r="AS182" s="31">
        <f t="shared" si="78"/>
        <v>9362.9500000000007</v>
      </c>
      <c r="AU182" s="31">
        <f t="shared" si="76"/>
        <v>0</v>
      </c>
      <c r="AV182" s="177"/>
      <c r="AW182" s="31">
        <f t="shared" si="77"/>
        <v>30</v>
      </c>
    </row>
    <row r="183" spans="1:49">
      <c r="A183" s="102">
        <v>174</v>
      </c>
      <c r="B183" s="7" t="s">
        <v>1879</v>
      </c>
      <c r="C183" s="7">
        <v>1</v>
      </c>
      <c r="D183" s="62">
        <f t="shared" si="53"/>
        <v>14059518.789270002</v>
      </c>
      <c r="E183" s="172">
        <f t="shared" si="54"/>
        <v>4733058</v>
      </c>
      <c r="F183" s="62">
        <f t="shared" si="55"/>
        <v>14745073.193424072</v>
      </c>
      <c r="G183" s="70">
        <f t="shared" si="56"/>
        <v>9744969</v>
      </c>
      <c r="H183" s="62">
        <f t="shared" si="57"/>
        <v>5000104</v>
      </c>
      <c r="I183" s="173">
        <f t="shared" si="58"/>
        <v>267046</v>
      </c>
      <c r="J183" s="174">
        <f>ROUND(100-'Townwide Contributions'!K183,2)</f>
        <v>33.659999999999997</v>
      </c>
      <c r="K183" s="70">
        <f t="shared" si="59"/>
        <v>4963192</v>
      </c>
      <c r="L183" s="70">
        <f t="shared" si="60"/>
        <v>0</v>
      </c>
      <c r="M183" s="175">
        <f t="shared" si="61"/>
        <v>0</v>
      </c>
      <c r="N183" s="70"/>
      <c r="O183" s="70"/>
      <c r="P183" s="70"/>
      <c r="Q183" s="62">
        <v>1405</v>
      </c>
      <c r="R183" s="62">
        <f t="shared" si="62"/>
        <v>1429</v>
      </c>
      <c r="S183" s="176"/>
      <c r="T183" s="176"/>
      <c r="U183" s="70"/>
      <c r="V183" s="70"/>
      <c r="W183" s="260"/>
      <c r="X183" s="62">
        <f t="shared" si="63"/>
        <v>1</v>
      </c>
      <c r="Y183" s="70"/>
      <c r="AA183" s="290"/>
      <c r="AB183" s="291"/>
      <c r="AC183" s="62"/>
      <c r="AD183" s="62"/>
      <c r="AE183" s="177">
        <f t="shared" si="64"/>
        <v>42870</v>
      </c>
      <c r="AF183" s="177">
        <f t="shared" si="65"/>
        <v>0</v>
      </c>
      <c r="AG183" s="70">
        <f t="shared" si="66"/>
        <v>5000104</v>
      </c>
      <c r="AH183" s="70">
        <f t="shared" si="67"/>
        <v>0</v>
      </c>
      <c r="AI183" s="587">
        <v>0</v>
      </c>
      <c r="AJ183" s="178">
        <f t="shared" si="68"/>
        <v>5000104</v>
      </c>
      <c r="AK183" s="301">
        <f t="shared" si="69"/>
        <v>33.910336926844955</v>
      </c>
      <c r="AL183" s="70">
        <f t="shared" si="70"/>
        <v>14745073</v>
      </c>
      <c r="AM183" s="179">
        <f t="shared" si="71"/>
        <v>99.999998688212187</v>
      </c>
      <c r="AN183" s="179"/>
      <c r="AO183" s="31">
        <f t="shared" si="72"/>
        <v>685554.40415406972</v>
      </c>
      <c r="AP183" s="31">
        <f t="shared" si="73"/>
        <v>267046</v>
      </c>
      <c r="AQ183" s="31">
        <f t="shared" si="74"/>
        <v>36912.363093458116</v>
      </c>
      <c r="AR183" s="180">
        <f t="shared" si="75"/>
        <v>0.2503369268449589</v>
      </c>
      <c r="AS183" s="31">
        <f t="shared" si="78"/>
        <v>10318.459999999999</v>
      </c>
      <c r="AU183" s="31">
        <f t="shared" si="76"/>
        <v>0</v>
      </c>
      <c r="AV183" s="177"/>
      <c r="AW183" s="31">
        <f t="shared" si="77"/>
        <v>186.87613715885234</v>
      </c>
    </row>
    <row r="184" spans="1:49">
      <c r="A184" s="102">
        <v>175</v>
      </c>
      <c r="B184" s="7" t="s">
        <v>1880</v>
      </c>
      <c r="C184" s="7">
        <v>1</v>
      </c>
      <c r="D184" s="62">
        <f t="shared" si="53"/>
        <v>23253777.20984</v>
      </c>
      <c r="E184" s="172">
        <f t="shared" si="54"/>
        <v>6063084</v>
      </c>
      <c r="F184" s="62">
        <f t="shared" si="55"/>
        <v>23865982.219953917</v>
      </c>
      <c r="G184" s="70">
        <f t="shared" si="56"/>
        <v>19763909</v>
      </c>
      <c r="H184" s="62">
        <f t="shared" si="57"/>
        <v>4102073</v>
      </c>
      <c r="I184" s="173">
        <f t="shared" si="58"/>
        <v>0</v>
      </c>
      <c r="J184" s="174">
        <f>ROUND(100-'Townwide Contributions'!K184,2)</f>
        <v>17.5</v>
      </c>
      <c r="K184" s="70">
        <f t="shared" si="59"/>
        <v>4176547</v>
      </c>
      <c r="L184" s="70">
        <f t="shared" si="60"/>
        <v>0</v>
      </c>
      <c r="M184" s="175">
        <f t="shared" si="61"/>
        <v>0</v>
      </c>
      <c r="N184" s="70"/>
      <c r="O184" s="70"/>
      <c r="P184" s="70"/>
      <c r="Q184" s="62">
        <v>2495</v>
      </c>
      <c r="R184" s="62">
        <f t="shared" si="62"/>
        <v>2490</v>
      </c>
      <c r="S184" s="176"/>
      <c r="T184" s="176"/>
      <c r="U184" s="70"/>
      <c r="V184" s="70"/>
      <c r="W184" s="260"/>
      <c r="X184" s="62">
        <f t="shared" si="63"/>
        <v>0</v>
      </c>
      <c r="Y184" s="70"/>
      <c r="AA184" s="290"/>
      <c r="AB184" s="291"/>
      <c r="AC184" s="62"/>
      <c r="AD184" s="62"/>
      <c r="AE184" s="177">
        <f t="shared" si="64"/>
        <v>74700</v>
      </c>
      <c r="AF184" s="177">
        <f t="shared" si="65"/>
        <v>74700</v>
      </c>
      <c r="AG184" s="70">
        <f t="shared" si="66"/>
        <v>6137784</v>
      </c>
      <c r="AH184" s="70">
        <f t="shared" si="67"/>
        <v>0</v>
      </c>
      <c r="AI184" s="587">
        <v>0</v>
      </c>
      <c r="AJ184" s="178">
        <f t="shared" si="68"/>
        <v>6137784</v>
      </c>
      <c r="AK184" s="301">
        <f t="shared" si="69"/>
        <v>25.717709597840514</v>
      </c>
      <c r="AL184" s="70">
        <f t="shared" si="70"/>
        <v>25901693</v>
      </c>
      <c r="AM184" s="179">
        <f t="shared" si="71"/>
        <v>108.52975905740875</v>
      </c>
      <c r="AN184" s="179"/>
      <c r="AO184" s="31">
        <f t="shared" si="72"/>
        <v>612205.01011391729</v>
      </c>
      <c r="AP184" s="31">
        <f t="shared" si="73"/>
        <v>74700</v>
      </c>
      <c r="AQ184" s="31">
        <f t="shared" si="74"/>
        <v>1961237.1115080649</v>
      </c>
      <c r="AR184" s="180">
        <f t="shared" si="75"/>
        <v>8.2177095978405141</v>
      </c>
      <c r="AS184" s="31">
        <f t="shared" si="78"/>
        <v>9584.73</v>
      </c>
      <c r="AU184" s="31">
        <f t="shared" si="76"/>
        <v>0</v>
      </c>
      <c r="AV184" s="177"/>
      <c r="AW184" s="31">
        <f t="shared" si="77"/>
        <v>30</v>
      </c>
    </row>
    <row r="185" spans="1:49">
      <c r="A185" s="102">
        <v>176</v>
      </c>
      <c r="B185" s="7" t="s">
        <v>1881</v>
      </c>
      <c r="C185" s="7">
        <v>1</v>
      </c>
      <c r="D185" s="62">
        <f t="shared" si="53"/>
        <v>53575422.423319995</v>
      </c>
      <c r="E185" s="172">
        <f t="shared" si="54"/>
        <v>11719376</v>
      </c>
      <c r="F185" s="62">
        <f t="shared" si="55"/>
        <v>54710623.722724512</v>
      </c>
      <c r="G185" s="70">
        <f t="shared" si="56"/>
        <v>45337673</v>
      </c>
      <c r="H185" s="62">
        <f t="shared" si="57"/>
        <v>9372951</v>
      </c>
      <c r="I185" s="173">
        <f t="shared" si="58"/>
        <v>0</v>
      </c>
      <c r="J185" s="174">
        <f>ROUND(100-'Townwide Contributions'!K185,2)</f>
        <v>17.5</v>
      </c>
      <c r="K185" s="70">
        <f t="shared" si="59"/>
        <v>9574359</v>
      </c>
      <c r="L185" s="70">
        <f t="shared" si="60"/>
        <v>0</v>
      </c>
      <c r="M185" s="175">
        <f t="shared" si="61"/>
        <v>0</v>
      </c>
      <c r="N185" s="70"/>
      <c r="O185" s="70"/>
      <c r="P185" s="70"/>
      <c r="Q185" s="62">
        <v>4817</v>
      </c>
      <c r="R185" s="62">
        <f t="shared" si="62"/>
        <v>4847</v>
      </c>
      <c r="S185" s="176"/>
      <c r="T185" s="176"/>
      <c r="U185" s="70"/>
      <c r="V185" s="70"/>
      <c r="W185" s="260"/>
      <c r="X185" s="62">
        <f t="shared" si="63"/>
        <v>0</v>
      </c>
      <c r="Y185" s="70"/>
      <c r="AA185" s="290"/>
      <c r="AB185" s="291"/>
      <c r="AC185" s="62"/>
      <c r="AD185" s="62"/>
      <c r="AE185" s="177">
        <f t="shared" si="64"/>
        <v>145410</v>
      </c>
      <c r="AF185" s="177">
        <f t="shared" si="65"/>
        <v>145410</v>
      </c>
      <c r="AG185" s="70">
        <f t="shared" si="66"/>
        <v>11864786</v>
      </c>
      <c r="AH185" s="70">
        <f t="shared" si="67"/>
        <v>0</v>
      </c>
      <c r="AI185" s="587">
        <v>0</v>
      </c>
      <c r="AJ185" s="178">
        <f t="shared" si="68"/>
        <v>11864786</v>
      </c>
      <c r="AK185" s="301">
        <f t="shared" si="69"/>
        <v>21.686438926617214</v>
      </c>
      <c r="AL185" s="70">
        <f t="shared" si="70"/>
        <v>57202459</v>
      </c>
      <c r="AM185" s="179">
        <f t="shared" si="71"/>
        <v>104.55457296539737</v>
      </c>
      <c r="AN185" s="179"/>
      <c r="AO185" s="31">
        <f t="shared" si="72"/>
        <v>1135201.2994045168</v>
      </c>
      <c r="AP185" s="31">
        <f t="shared" si="73"/>
        <v>145410</v>
      </c>
      <c r="AQ185" s="31">
        <f t="shared" si="74"/>
        <v>2290426.8485232107</v>
      </c>
      <c r="AR185" s="180">
        <f t="shared" si="75"/>
        <v>4.186438926617214</v>
      </c>
      <c r="AS185" s="31">
        <f t="shared" si="78"/>
        <v>11287.52</v>
      </c>
      <c r="AU185" s="31">
        <f t="shared" si="76"/>
        <v>0</v>
      </c>
      <c r="AV185" s="177"/>
      <c r="AW185" s="31">
        <f t="shared" si="77"/>
        <v>30</v>
      </c>
    </row>
    <row r="186" spans="1:49">
      <c r="A186" s="102">
        <v>177</v>
      </c>
      <c r="B186" s="7" t="s">
        <v>1882</v>
      </c>
      <c r="C186" s="7">
        <v>1</v>
      </c>
      <c r="D186" s="62">
        <f t="shared" si="53"/>
        <v>21801549.408149999</v>
      </c>
      <c r="E186" s="172">
        <f t="shared" si="54"/>
        <v>10301469</v>
      </c>
      <c r="F186" s="62">
        <f t="shared" si="55"/>
        <v>22011641.938089047</v>
      </c>
      <c r="G186" s="70">
        <f t="shared" si="56"/>
        <v>14975709</v>
      </c>
      <c r="H186" s="62">
        <f t="shared" si="57"/>
        <v>7035933</v>
      </c>
      <c r="I186" s="173">
        <f t="shared" si="58"/>
        <v>0</v>
      </c>
      <c r="J186" s="174">
        <f>ROUND(100-'Townwide Contributions'!K186,2)</f>
        <v>32.17</v>
      </c>
      <c r="K186" s="70">
        <f t="shared" si="59"/>
        <v>7081145</v>
      </c>
      <c r="L186" s="70">
        <f t="shared" si="60"/>
        <v>0</v>
      </c>
      <c r="M186" s="175">
        <f t="shared" si="61"/>
        <v>0</v>
      </c>
      <c r="N186" s="70"/>
      <c r="O186" s="70"/>
      <c r="P186" s="70"/>
      <c r="Q186" s="62">
        <v>2290</v>
      </c>
      <c r="R186" s="62">
        <f t="shared" si="62"/>
        <v>2248</v>
      </c>
      <c r="S186" s="176"/>
      <c r="T186" s="176"/>
      <c r="U186" s="70"/>
      <c r="V186" s="70"/>
      <c r="W186" s="260"/>
      <c r="X186" s="62">
        <f t="shared" si="63"/>
        <v>0</v>
      </c>
      <c r="Y186" s="70"/>
      <c r="AA186" s="290"/>
      <c r="AB186" s="291"/>
      <c r="AC186" s="62"/>
      <c r="AD186" s="62"/>
      <c r="AE186" s="177">
        <f t="shared" si="64"/>
        <v>67440</v>
      </c>
      <c r="AF186" s="177">
        <f t="shared" si="65"/>
        <v>67440</v>
      </c>
      <c r="AG186" s="70">
        <f t="shared" si="66"/>
        <v>10368909</v>
      </c>
      <c r="AH186" s="70">
        <f t="shared" si="67"/>
        <v>0</v>
      </c>
      <c r="AI186" s="587">
        <v>0</v>
      </c>
      <c r="AJ186" s="178">
        <f t="shared" si="68"/>
        <v>10368909</v>
      </c>
      <c r="AK186" s="301">
        <f t="shared" si="69"/>
        <v>47.106476786984217</v>
      </c>
      <c r="AL186" s="70">
        <f t="shared" si="70"/>
        <v>25344618</v>
      </c>
      <c r="AM186" s="179">
        <f t="shared" si="71"/>
        <v>115.14187842635927</v>
      </c>
      <c r="AN186" s="179"/>
      <c r="AO186" s="31">
        <f t="shared" si="72"/>
        <v>210092.52993904799</v>
      </c>
      <c r="AP186" s="31">
        <f t="shared" si="73"/>
        <v>67440</v>
      </c>
      <c r="AQ186" s="31">
        <f t="shared" si="74"/>
        <v>3287763.7885167524</v>
      </c>
      <c r="AR186" s="180">
        <f t="shared" si="75"/>
        <v>14.936476786984215</v>
      </c>
      <c r="AS186" s="31">
        <f t="shared" si="78"/>
        <v>9791.66</v>
      </c>
      <c r="AU186" s="31">
        <f t="shared" si="76"/>
        <v>0</v>
      </c>
      <c r="AV186" s="177"/>
      <c r="AW186" s="31">
        <f t="shared" si="77"/>
        <v>30</v>
      </c>
    </row>
    <row r="187" spans="1:49">
      <c r="A187" s="102">
        <v>178</v>
      </c>
      <c r="B187" s="7" t="s">
        <v>1883</v>
      </c>
      <c r="C187" s="7">
        <v>1</v>
      </c>
      <c r="D187" s="62">
        <f t="shared" si="53"/>
        <v>36017412.116479993</v>
      </c>
      <c r="E187" s="172">
        <f t="shared" si="54"/>
        <v>8166076</v>
      </c>
      <c r="F187" s="62">
        <f t="shared" si="55"/>
        <v>37544107.266331017</v>
      </c>
      <c r="G187" s="70">
        <f t="shared" si="56"/>
        <v>31014280</v>
      </c>
      <c r="H187" s="62">
        <f t="shared" si="57"/>
        <v>6529827</v>
      </c>
      <c r="I187" s="173">
        <f t="shared" si="58"/>
        <v>0</v>
      </c>
      <c r="J187" s="174">
        <f>ROUND(100-'Townwide Contributions'!K187,2)</f>
        <v>17.5</v>
      </c>
      <c r="K187" s="70">
        <f t="shared" si="59"/>
        <v>6570219</v>
      </c>
      <c r="L187" s="70">
        <f t="shared" si="60"/>
        <v>0</v>
      </c>
      <c r="M187" s="175">
        <f t="shared" si="61"/>
        <v>0</v>
      </c>
      <c r="N187" s="70"/>
      <c r="O187" s="70"/>
      <c r="P187" s="70"/>
      <c r="Q187" s="62">
        <v>3736</v>
      </c>
      <c r="R187" s="62">
        <f t="shared" si="62"/>
        <v>3799</v>
      </c>
      <c r="S187" s="176"/>
      <c r="T187" s="176"/>
      <c r="U187" s="70"/>
      <c r="V187" s="70"/>
      <c r="W187" s="260"/>
      <c r="X187" s="62">
        <f t="shared" si="63"/>
        <v>0</v>
      </c>
      <c r="Y187" s="70"/>
      <c r="AA187" s="290"/>
      <c r="AB187" s="291"/>
      <c r="AC187" s="62"/>
      <c r="AD187" s="62"/>
      <c r="AE187" s="177">
        <f t="shared" si="64"/>
        <v>113970</v>
      </c>
      <c r="AF187" s="177">
        <f t="shared" si="65"/>
        <v>113970</v>
      </c>
      <c r="AG187" s="70">
        <f t="shared" si="66"/>
        <v>8280046</v>
      </c>
      <c r="AH187" s="70">
        <f t="shared" si="67"/>
        <v>0</v>
      </c>
      <c r="AI187" s="587">
        <v>0</v>
      </c>
      <c r="AJ187" s="178">
        <f t="shared" si="68"/>
        <v>8280046</v>
      </c>
      <c r="AK187" s="301">
        <f t="shared" si="69"/>
        <v>22.054182674428429</v>
      </c>
      <c r="AL187" s="70">
        <f t="shared" si="70"/>
        <v>39294326</v>
      </c>
      <c r="AM187" s="179">
        <f t="shared" si="71"/>
        <v>104.66176681537065</v>
      </c>
      <c r="AN187" s="179"/>
      <c r="AO187" s="31">
        <f t="shared" si="72"/>
        <v>1526695.1498510242</v>
      </c>
      <c r="AP187" s="31">
        <f t="shared" si="73"/>
        <v>113970</v>
      </c>
      <c r="AQ187" s="31">
        <f t="shared" si="74"/>
        <v>1709827.228392072</v>
      </c>
      <c r="AR187" s="180">
        <f t="shared" si="75"/>
        <v>4.5541826744284286</v>
      </c>
      <c r="AS187" s="31">
        <f t="shared" si="78"/>
        <v>9882.6299999999992</v>
      </c>
      <c r="AU187" s="31">
        <f t="shared" si="76"/>
        <v>0</v>
      </c>
      <c r="AV187" s="177"/>
      <c r="AW187" s="31">
        <f t="shared" si="77"/>
        <v>30</v>
      </c>
    </row>
    <row r="188" spans="1:49">
      <c r="A188" s="102">
        <v>179</v>
      </c>
      <c r="B188" s="7" t="s">
        <v>1884</v>
      </c>
      <c r="C188" s="7">
        <v>0</v>
      </c>
      <c r="D188" s="62">
        <f t="shared" si="53"/>
        <v>53506.747079999994</v>
      </c>
      <c r="E188" s="172">
        <f t="shared" si="54"/>
        <v>17749</v>
      </c>
      <c r="F188" s="62">
        <f t="shared" si="55"/>
        <v>94454.384875126823</v>
      </c>
      <c r="G188" s="70">
        <f t="shared" si="56"/>
        <v>67071</v>
      </c>
      <c r="H188" s="62">
        <f t="shared" si="57"/>
        <v>27383</v>
      </c>
      <c r="I188" s="173">
        <f t="shared" si="58"/>
        <v>9634</v>
      </c>
      <c r="J188" s="174">
        <f>ROUND(100-'Townwide Contributions'!K188,2)</f>
        <v>26.61</v>
      </c>
      <c r="K188" s="70">
        <f t="shared" si="59"/>
        <v>25134</v>
      </c>
      <c r="L188" s="70">
        <f t="shared" si="60"/>
        <v>0</v>
      </c>
      <c r="M188" s="175">
        <f t="shared" si="61"/>
        <v>0</v>
      </c>
      <c r="N188" s="70"/>
      <c r="O188" s="70"/>
      <c r="P188" s="70"/>
      <c r="Q188" s="62">
        <v>4</v>
      </c>
      <c r="R188" s="62">
        <f t="shared" si="62"/>
        <v>7</v>
      </c>
      <c r="S188" s="176"/>
      <c r="T188" s="176"/>
      <c r="U188" s="70"/>
      <c r="V188" s="70"/>
      <c r="W188" s="260"/>
      <c r="X188" s="62">
        <f t="shared" si="63"/>
        <v>0</v>
      </c>
      <c r="Y188" s="70"/>
      <c r="AA188" s="290"/>
      <c r="AB188" s="291"/>
      <c r="AC188" s="62"/>
      <c r="AD188" s="62"/>
      <c r="AE188" s="177">
        <f t="shared" si="64"/>
        <v>0</v>
      </c>
      <c r="AF188" s="177">
        <f t="shared" si="65"/>
        <v>0</v>
      </c>
      <c r="AG188" s="70">
        <f t="shared" si="66"/>
        <v>27383</v>
      </c>
      <c r="AH188" s="70">
        <f t="shared" si="67"/>
        <v>0</v>
      </c>
      <c r="AI188" s="587">
        <v>0</v>
      </c>
      <c r="AJ188" s="178">
        <f t="shared" si="68"/>
        <v>27383</v>
      </c>
      <c r="AK188" s="301">
        <f t="shared" si="69"/>
        <v>0</v>
      </c>
      <c r="AL188" s="70">
        <f t="shared" si="70"/>
        <v>94454</v>
      </c>
      <c r="AM188" s="179">
        <f t="shared" si="71"/>
        <v>99.999592528046918</v>
      </c>
      <c r="AN188" s="179"/>
      <c r="AO188" s="31">
        <f t="shared" si="72"/>
        <v>40947.63779512683</v>
      </c>
      <c r="AP188" s="31">
        <f t="shared" si="73"/>
        <v>9634</v>
      </c>
      <c r="AQ188" s="31">
        <f t="shared" si="74"/>
        <v>2248.6881847287514</v>
      </c>
      <c r="AR188" s="180" t="str">
        <f t="shared" si="75"/>
        <v/>
      </c>
      <c r="AS188" s="31">
        <f t="shared" si="78"/>
        <v>13493.48</v>
      </c>
      <c r="AU188" s="31">
        <f t="shared" si="76"/>
        <v>0</v>
      </c>
      <c r="AV188" s="177"/>
      <c r="AW188" s="31">
        <f t="shared" si="77"/>
        <v>1376.2857142857142</v>
      </c>
    </row>
    <row r="189" spans="1:49">
      <c r="A189" s="102">
        <v>180</v>
      </c>
      <c r="B189" s="7" t="s">
        <v>1885</v>
      </c>
      <c r="C189" s="7">
        <v>0</v>
      </c>
      <c r="D189" s="62">
        <f t="shared" si="53"/>
        <v>52683.680000000008</v>
      </c>
      <c r="E189" s="172">
        <f t="shared" si="54"/>
        <v>39014.69999999999</v>
      </c>
      <c r="F189" s="62">
        <f t="shared" si="55"/>
        <v>80501.000061537285</v>
      </c>
      <c r="G189" s="70">
        <f t="shared" si="56"/>
        <v>51057</v>
      </c>
      <c r="H189" s="62">
        <f t="shared" si="57"/>
        <v>29444</v>
      </c>
      <c r="I189" s="173">
        <f t="shared" si="58"/>
        <v>0</v>
      </c>
      <c r="J189" s="174">
        <f>ROUND(100-'Townwide Contributions'!K189,2)</f>
        <v>36.99</v>
      </c>
      <c r="K189" s="70">
        <f t="shared" si="59"/>
        <v>29777</v>
      </c>
      <c r="L189" s="70">
        <f t="shared" si="60"/>
        <v>0</v>
      </c>
      <c r="M189" s="175">
        <f t="shared" si="61"/>
        <v>0</v>
      </c>
      <c r="N189" s="70"/>
      <c r="O189" s="70"/>
      <c r="P189" s="70"/>
      <c r="Q189" s="62">
        <v>4</v>
      </c>
      <c r="R189" s="62">
        <f t="shared" si="62"/>
        <v>6</v>
      </c>
      <c r="S189" s="176"/>
      <c r="T189" s="176"/>
      <c r="U189" s="70"/>
      <c r="V189" s="70"/>
      <c r="W189" s="260"/>
      <c r="X189" s="62">
        <f t="shared" si="63"/>
        <v>0</v>
      </c>
      <c r="Y189" s="70"/>
      <c r="AA189" s="290"/>
      <c r="AB189" s="291"/>
      <c r="AC189" s="62"/>
      <c r="AD189" s="62"/>
      <c r="AE189" s="177">
        <f t="shared" si="64"/>
        <v>0</v>
      </c>
      <c r="AF189" s="177">
        <f t="shared" si="65"/>
        <v>0</v>
      </c>
      <c r="AG189" s="70">
        <f t="shared" si="66"/>
        <v>39014.69999999999</v>
      </c>
      <c r="AH189" s="70">
        <f t="shared" si="67"/>
        <v>0</v>
      </c>
      <c r="AI189" s="587">
        <v>0</v>
      </c>
      <c r="AJ189" s="178">
        <f t="shared" si="68"/>
        <v>39014.69999999999</v>
      </c>
      <c r="AK189" s="301">
        <f t="shared" si="69"/>
        <v>0</v>
      </c>
      <c r="AL189" s="70">
        <f t="shared" si="70"/>
        <v>90071.699999999983</v>
      </c>
      <c r="AM189" s="179">
        <f t="shared" si="71"/>
        <v>111.88892054899515</v>
      </c>
      <c r="AN189" s="179"/>
      <c r="AO189" s="31">
        <f t="shared" si="72"/>
        <v>27817.320061537277</v>
      </c>
      <c r="AP189" s="31">
        <f t="shared" si="73"/>
        <v>0</v>
      </c>
      <c r="AQ189" s="31">
        <f t="shared" si="74"/>
        <v>9237.380077237347</v>
      </c>
      <c r="AR189" s="180" t="str">
        <f t="shared" si="75"/>
        <v/>
      </c>
      <c r="AS189" s="31">
        <f t="shared" si="78"/>
        <v>13416.83</v>
      </c>
      <c r="AU189" s="31">
        <f t="shared" si="76"/>
        <v>0</v>
      </c>
      <c r="AV189" s="177"/>
      <c r="AW189" s="31">
        <f t="shared" si="77"/>
        <v>0</v>
      </c>
    </row>
    <row r="190" spans="1:49">
      <c r="A190" s="102">
        <v>181</v>
      </c>
      <c r="B190" s="7" t="s">
        <v>1886</v>
      </c>
      <c r="C190" s="7">
        <v>1</v>
      </c>
      <c r="D190" s="62">
        <f t="shared" si="53"/>
        <v>76096298.539999992</v>
      </c>
      <c r="E190" s="172">
        <f t="shared" si="54"/>
        <v>42147523</v>
      </c>
      <c r="F190" s="62">
        <f t="shared" si="55"/>
        <v>76802334.286958128</v>
      </c>
      <c r="G190" s="70">
        <f t="shared" si="56"/>
        <v>35661626</v>
      </c>
      <c r="H190" s="62">
        <f t="shared" si="57"/>
        <v>41140708</v>
      </c>
      <c r="I190" s="173">
        <f t="shared" si="58"/>
        <v>0</v>
      </c>
      <c r="J190" s="174">
        <f>ROUND(100-'Townwide Contributions'!K190,2)</f>
        <v>53.64</v>
      </c>
      <c r="K190" s="70">
        <f t="shared" si="59"/>
        <v>41196772</v>
      </c>
      <c r="L190" s="70">
        <f t="shared" si="60"/>
        <v>0</v>
      </c>
      <c r="M190" s="175">
        <f t="shared" si="61"/>
        <v>0</v>
      </c>
      <c r="N190" s="70"/>
      <c r="O190" s="70"/>
      <c r="P190" s="70"/>
      <c r="Q190" s="62">
        <v>7155</v>
      </c>
      <c r="R190" s="62">
        <f t="shared" si="62"/>
        <v>7088</v>
      </c>
      <c r="S190" s="176"/>
      <c r="T190" s="176"/>
      <c r="U190" s="70"/>
      <c r="V190" s="70"/>
      <c r="W190" s="260"/>
      <c r="X190" s="62">
        <f t="shared" si="63"/>
        <v>0</v>
      </c>
      <c r="Y190" s="70"/>
      <c r="AA190" s="290"/>
      <c r="AB190" s="291"/>
      <c r="AC190" s="62"/>
      <c r="AD190" s="62"/>
      <c r="AE190" s="177">
        <f t="shared" si="64"/>
        <v>212640</v>
      </c>
      <c r="AF190" s="177">
        <f t="shared" si="65"/>
        <v>212640</v>
      </c>
      <c r="AG190" s="70">
        <f t="shared" si="66"/>
        <v>42360163</v>
      </c>
      <c r="AH190" s="70">
        <f t="shared" si="67"/>
        <v>0</v>
      </c>
      <c r="AI190" s="587">
        <v>0</v>
      </c>
      <c r="AJ190" s="178">
        <f t="shared" si="68"/>
        <v>42360163</v>
      </c>
      <c r="AK190" s="301">
        <f t="shared" si="69"/>
        <v>55.154785845087552</v>
      </c>
      <c r="AL190" s="70">
        <f t="shared" si="70"/>
        <v>78021789</v>
      </c>
      <c r="AM190" s="179">
        <f t="shared" si="71"/>
        <v>101.58778339794412</v>
      </c>
      <c r="AN190" s="179"/>
      <c r="AO190" s="31">
        <f t="shared" si="72"/>
        <v>706035.74695813656</v>
      </c>
      <c r="AP190" s="31">
        <f t="shared" si="73"/>
        <v>212640</v>
      </c>
      <c r="AQ190" s="31">
        <f t="shared" si="74"/>
        <v>1163390.888475664</v>
      </c>
      <c r="AR190" s="180">
        <f t="shared" si="75"/>
        <v>1.5147858450875518</v>
      </c>
      <c r="AS190" s="31">
        <f t="shared" si="78"/>
        <v>10835.54</v>
      </c>
      <c r="AU190" s="31">
        <f t="shared" si="76"/>
        <v>0</v>
      </c>
      <c r="AV190" s="177"/>
      <c r="AW190" s="31">
        <f t="shared" si="77"/>
        <v>30</v>
      </c>
    </row>
    <row r="191" spans="1:49">
      <c r="A191" s="102">
        <v>182</v>
      </c>
      <c r="B191" s="7" t="s">
        <v>1887</v>
      </c>
      <c r="C191" s="7">
        <v>1</v>
      </c>
      <c r="D191" s="62">
        <f t="shared" si="53"/>
        <v>31055481.599999998</v>
      </c>
      <c r="E191" s="172">
        <f t="shared" si="54"/>
        <v>17709989</v>
      </c>
      <c r="F191" s="62">
        <f t="shared" si="55"/>
        <v>29289460.260108851</v>
      </c>
      <c r="G191" s="70">
        <f t="shared" si="56"/>
        <v>15577573</v>
      </c>
      <c r="H191" s="62">
        <f t="shared" si="57"/>
        <v>13711887</v>
      </c>
      <c r="I191" s="173">
        <f t="shared" si="58"/>
        <v>0</v>
      </c>
      <c r="J191" s="174">
        <f>ROUND(100-'Townwide Contributions'!K191,2)</f>
        <v>47.2</v>
      </c>
      <c r="K191" s="70">
        <f t="shared" si="59"/>
        <v>13824625</v>
      </c>
      <c r="L191" s="70">
        <f t="shared" si="60"/>
        <v>0</v>
      </c>
      <c r="M191" s="175">
        <f t="shared" si="61"/>
        <v>0</v>
      </c>
      <c r="N191" s="70"/>
      <c r="O191" s="70"/>
      <c r="P191" s="70"/>
      <c r="Q191" s="62">
        <v>3096</v>
      </c>
      <c r="R191" s="62">
        <f t="shared" si="62"/>
        <v>2870</v>
      </c>
      <c r="S191" s="176"/>
      <c r="T191" s="176"/>
      <c r="U191" s="70"/>
      <c r="V191" s="70"/>
      <c r="W191" s="260"/>
      <c r="X191" s="62">
        <f t="shared" si="63"/>
        <v>0</v>
      </c>
      <c r="Y191" s="70"/>
      <c r="AA191" s="290"/>
      <c r="AB191" s="291"/>
      <c r="AC191" s="62"/>
      <c r="AD191" s="62"/>
      <c r="AE191" s="177">
        <f t="shared" si="64"/>
        <v>86100</v>
      </c>
      <c r="AF191" s="177">
        <f t="shared" si="65"/>
        <v>86100</v>
      </c>
      <c r="AG191" s="70">
        <f t="shared" si="66"/>
        <v>17796089</v>
      </c>
      <c r="AH191" s="70">
        <f t="shared" si="67"/>
        <v>0</v>
      </c>
      <c r="AI191" s="587">
        <v>0</v>
      </c>
      <c r="AJ191" s="178">
        <f t="shared" si="68"/>
        <v>17796089</v>
      </c>
      <c r="AK191" s="301">
        <f t="shared" si="69"/>
        <v>60.75936136056972</v>
      </c>
      <c r="AL191" s="70">
        <f t="shared" si="70"/>
        <v>33373662</v>
      </c>
      <c r="AM191" s="179">
        <f t="shared" si="71"/>
        <v>113.94427109144677</v>
      </c>
      <c r="AN191" s="179"/>
      <c r="AO191" s="31">
        <f t="shared" si="72"/>
        <v>-1766021.3398911469</v>
      </c>
      <c r="AP191" s="31">
        <f t="shared" si="73"/>
        <v>86100</v>
      </c>
      <c r="AQ191" s="31">
        <f t="shared" si="74"/>
        <v>3971463.7572286222</v>
      </c>
      <c r="AR191" s="180">
        <f t="shared" si="75"/>
        <v>13.559361360569717</v>
      </c>
      <c r="AS191" s="31">
        <f t="shared" si="78"/>
        <v>10205.39</v>
      </c>
      <c r="AU191" s="31">
        <f t="shared" si="76"/>
        <v>0</v>
      </c>
      <c r="AV191" s="177"/>
      <c r="AW191" s="31">
        <f t="shared" si="77"/>
        <v>30</v>
      </c>
    </row>
    <row r="192" spans="1:49">
      <c r="A192" s="102">
        <v>183</v>
      </c>
      <c r="B192" s="7" t="s">
        <v>1888</v>
      </c>
      <c r="C192" s="7">
        <v>0</v>
      </c>
      <c r="D192" s="62">
        <f t="shared" si="53"/>
        <v>26341.840000000004</v>
      </c>
      <c r="E192" s="172">
        <f t="shared" si="54"/>
        <v>13199.960000000001</v>
      </c>
      <c r="F192" s="62">
        <f t="shared" si="55"/>
        <v>53667.33337435819</v>
      </c>
      <c r="G192" s="70">
        <f t="shared" si="56"/>
        <v>44587</v>
      </c>
      <c r="H192" s="62">
        <f t="shared" si="57"/>
        <v>9080</v>
      </c>
      <c r="I192" s="173">
        <f t="shared" si="58"/>
        <v>0</v>
      </c>
      <c r="J192" s="174">
        <f>ROUND(100-'Townwide Contributions'!K192,2)</f>
        <v>17.5</v>
      </c>
      <c r="K192" s="70">
        <f t="shared" si="59"/>
        <v>9392</v>
      </c>
      <c r="L192" s="70">
        <f t="shared" si="60"/>
        <v>0</v>
      </c>
      <c r="M192" s="175">
        <f t="shared" si="61"/>
        <v>0</v>
      </c>
      <c r="N192" s="70"/>
      <c r="O192" s="70"/>
      <c r="P192" s="70"/>
      <c r="Q192" s="62">
        <v>2</v>
      </c>
      <c r="R192" s="62">
        <f t="shared" si="62"/>
        <v>4</v>
      </c>
      <c r="S192" s="176"/>
      <c r="T192" s="176"/>
      <c r="U192" s="70"/>
      <c r="V192" s="70"/>
      <c r="W192" s="260"/>
      <c r="X192" s="62">
        <f t="shared" si="63"/>
        <v>0</v>
      </c>
      <c r="Y192" s="70"/>
      <c r="AA192" s="290"/>
      <c r="AB192" s="291"/>
      <c r="AC192" s="62"/>
      <c r="AD192" s="62"/>
      <c r="AE192" s="177">
        <f t="shared" si="64"/>
        <v>0</v>
      </c>
      <c r="AF192" s="177">
        <f t="shared" si="65"/>
        <v>0</v>
      </c>
      <c r="AG192" s="70">
        <f t="shared" si="66"/>
        <v>13199.960000000001</v>
      </c>
      <c r="AH192" s="70">
        <f t="shared" si="67"/>
        <v>0</v>
      </c>
      <c r="AI192" s="587">
        <v>0</v>
      </c>
      <c r="AJ192" s="178">
        <f t="shared" si="68"/>
        <v>13199.960000000001</v>
      </c>
      <c r="AK192" s="301">
        <f t="shared" si="69"/>
        <v>0</v>
      </c>
      <c r="AL192" s="70">
        <f t="shared" si="70"/>
        <v>57786.96</v>
      </c>
      <c r="AM192" s="179">
        <f t="shared" si="71"/>
        <v>107.67622754219074</v>
      </c>
      <c r="AN192" s="179"/>
      <c r="AO192" s="31">
        <f t="shared" si="72"/>
        <v>27325.493374358186</v>
      </c>
      <c r="AP192" s="31">
        <f t="shared" si="73"/>
        <v>0</v>
      </c>
      <c r="AQ192" s="31">
        <f t="shared" si="74"/>
        <v>3808.1766594873188</v>
      </c>
      <c r="AR192" s="180" t="str">
        <f t="shared" si="75"/>
        <v/>
      </c>
      <c r="AS192" s="31">
        <f t="shared" si="78"/>
        <v>13416.83</v>
      </c>
      <c r="AU192" s="31">
        <f t="shared" si="76"/>
        <v>0</v>
      </c>
      <c r="AV192" s="177"/>
      <c r="AW192" s="31">
        <f t="shared" si="77"/>
        <v>0</v>
      </c>
    </row>
    <row r="193" spans="1:49">
      <c r="A193" s="102">
        <v>184</v>
      </c>
      <c r="B193" s="7" t="s">
        <v>1889</v>
      </c>
      <c r="C193" s="7">
        <v>1</v>
      </c>
      <c r="D193" s="62">
        <f t="shared" si="53"/>
        <v>6306838.4600999998</v>
      </c>
      <c r="E193" s="172">
        <f t="shared" si="54"/>
        <v>1606481</v>
      </c>
      <c r="F193" s="62">
        <f t="shared" si="55"/>
        <v>6172360.6719304342</v>
      </c>
      <c r="G193" s="70">
        <f t="shared" si="56"/>
        <v>5171627</v>
      </c>
      <c r="H193" s="62">
        <f t="shared" si="57"/>
        <v>1000734</v>
      </c>
      <c r="I193" s="173">
        <f t="shared" si="58"/>
        <v>0</v>
      </c>
      <c r="J193" s="174">
        <f>ROUND(100-'Townwide Contributions'!K193,2)</f>
        <v>17.5</v>
      </c>
      <c r="K193" s="70">
        <f t="shared" si="59"/>
        <v>1080163</v>
      </c>
      <c r="L193" s="70">
        <f t="shared" si="60"/>
        <v>0</v>
      </c>
      <c r="M193" s="175">
        <f t="shared" si="61"/>
        <v>0</v>
      </c>
      <c r="N193" s="70"/>
      <c r="O193" s="70"/>
      <c r="P193" s="70"/>
      <c r="Q193" s="62">
        <v>686</v>
      </c>
      <c r="R193" s="62">
        <f t="shared" si="62"/>
        <v>666</v>
      </c>
      <c r="S193" s="176"/>
      <c r="T193" s="176"/>
      <c r="U193" s="70"/>
      <c r="V193" s="70"/>
      <c r="W193" s="260"/>
      <c r="X193" s="62">
        <f t="shared" si="63"/>
        <v>0</v>
      </c>
      <c r="Y193" s="70"/>
      <c r="AA193" s="290"/>
      <c r="AB193" s="291"/>
      <c r="AC193" s="62"/>
      <c r="AD193" s="62"/>
      <c r="AE193" s="177">
        <f t="shared" si="64"/>
        <v>19980</v>
      </c>
      <c r="AF193" s="177">
        <f t="shared" si="65"/>
        <v>19980</v>
      </c>
      <c r="AG193" s="70">
        <f t="shared" si="66"/>
        <v>1626461</v>
      </c>
      <c r="AH193" s="70">
        <f t="shared" si="67"/>
        <v>0</v>
      </c>
      <c r="AI193" s="587">
        <v>0</v>
      </c>
      <c r="AJ193" s="178">
        <f t="shared" si="68"/>
        <v>1626461</v>
      </c>
      <c r="AK193" s="301">
        <f t="shared" si="69"/>
        <v>26.350712254980991</v>
      </c>
      <c r="AL193" s="70">
        <f t="shared" si="70"/>
        <v>6798088</v>
      </c>
      <c r="AM193" s="179">
        <f t="shared" si="71"/>
        <v>110.13756909759239</v>
      </c>
      <c r="AN193" s="179"/>
      <c r="AO193" s="31">
        <f t="shared" si="72"/>
        <v>-134477.78816956561</v>
      </c>
      <c r="AP193" s="31">
        <f t="shared" si="73"/>
        <v>19980</v>
      </c>
      <c r="AQ193" s="31">
        <f t="shared" si="74"/>
        <v>546297.88241217402</v>
      </c>
      <c r="AR193" s="180">
        <f t="shared" si="75"/>
        <v>8.8507122549809907</v>
      </c>
      <c r="AS193" s="31">
        <f t="shared" si="78"/>
        <v>9267.81</v>
      </c>
      <c r="AU193" s="31">
        <f t="shared" si="76"/>
        <v>0</v>
      </c>
      <c r="AV193" s="177"/>
      <c r="AW193" s="31">
        <f t="shared" si="77"/>
        <v>30</v>
      </c>
    </row>
    <row r="194" spans="1:49">
      <c r="A194" s="102">
        <v>185</v>
      </c>
      <c r="B194" s="7" t="s">
        <v>1890</v>
      </c>
      <c r="C194" s="7">
        <v>1</v>
      </c>
      <c r="D194" s="62">
        <f t="shared" si="53"/>
        <v>45013216.029600002</v>
      </c>
      <c r="E194" s="172">
        <f t="shared" si="54"/>
        <v>22246573</v>
      </c>
      <c r="F194" s="62">
        <f t="shared" si="55"/>
        <v>46388900.526972406</v>
      </c>
      <c r="G194" s="70">
        <f t="shared" si="56"/>
        <v>23243232</v>
      </c>
      <c r="H194" s="62">
        <f t="shared" si="57"/>
        <v>23145669</v>
      </c>
      <c r="I194" s="173">
        <f t="shared" si="58"/>
        <v>899096</v>
      </c>
      <c r="J194" s="174">
        <f>ROUND(100-'Townwide Contributions'!K194,2)</f>
        <v>50.11</v>
      </c>
      <c r="K194" s="70">
        <f t="shared" si="59"/>
        <v>23245478</v>
      </c>
      <c r="L194" s="70">
        <f t="shared" si="60"/>
        <v>0</v>
      </c>
      <c r="M194" s="175">
        <f t="shared" si="61"/>
        <v>0</v>
      </c>
      <c r="N194" s="70"/>
      <c r="O194" s="70"/>
      <c r="P194" s="70"/>
      <c r="Q194" s="62">
        <v>4187</v>
      </c>
      <c r="R194" s="62">
        <f t="shared" si="62"/>
        <v>4244</v>
      </c>
      <c r="S194" s="176"/>
      <c r="T194" s="176"/>
      <c r="U194" s="70"/>
      <c r="V194" s="70"/>
      <c r="W194" s="260"/>
      <c r="X194" s="62">
        <f t="shared" si="63"/>
        <v>1</v>
      </c>
      <c r="Y194" s="70"/>
      <c r="AA194" s="290"/>
      <c r="AB194" s="291"/>
      <c r="AC194" s="62"/>
      <c r="AD194" s="62"/>
      <c r="AE194" s="177">
        <f t="shared" si="64"/>
        <v>127320</v>
      </c>
      <c r="AF194" s="177">
        <f t="shared" si="65"/>
        <v>0</v>
      </c>
      <c r="AG194" s="70">
        <f t="shared" si="66"/>
        <v>23145669</v>
      </c>
      <c r="AH194" s="70">
        <f t="shared" si="67"/>
        <v>0</v>
      </c>
      <c r="AI194" s="587">
        <v>0</v>
      </c>
      <c r="AJ194" s="178">
        <f t="shared" si="68"/>
        <v>23145669</v>
      </c>
      <c r="AK194" s="301">
        <f t="shared" si="69"/>
        <v>49.89484281168113</v>
      </c>
      <c r="AL194" s="70">
        <f t="shared" si="70"/>
        <v>46388901</v>
      </c>
      <c r="AM194" s="179">
        <f t="shared" si="71"/>
        <v>100.00000101969995</v>
      </c>
      <c r="AN194" s="179"/>
      <c r="AO194" s="31">
        <f t="shared" si="72"/>
        <v>1375684.4973724037</v>
      </c>
      <c r="AP194" s="31">
        <f t="shared" si="73"/>
        <v>899096</v>
      </c>
      <c r="AQ194" s="31">
        <f t="shared" si="74"/>
        <v>-99809.054065871984</v>
      </c>
      <c r="AR194" s="180">
        <f t="shared" si="75"/>
        <v>-0.21515718831886943</v>
      </c>
      <c r="AS194" s="31">
        <f t="shared" si="78"/>
        <v>10930.47</v>
      </c>
      <c r="AU194" s="31">
        <f t="shared" si="76"/>
        <v>0</v>
      </c>
      <c r="AV194" s="177"/>
      <c r="AW194" s="31">
        <f t="shared" si="77"/>
        <v>211.85108388312912</v>
      </c>
    </row>
    <row r="195" spans="1:49">
      <c r="A195" s="102">
        <v>186</v>
      </c>
      <c r="B195" s="7" t="s">
        <v>1891</v>
      </c>
      <c r="C195" s="7">
        <v>1</v>
      </c>
      <c r="D195" s="62">
        <f t="shared" si="53"/>
        <v>17429845.489999998</v>
      </c>
      <c r="E195" s="172">
        <f t="shared" si="54"/>
        <v>7019397.8450512495</v>
      </c>
      <c r="F195" s="62">
        <f t="shared" si="55"/>
        <v>17780962.153000448</v>
      </c>
      <c r="G195" s="70">
        <f t="shared" si="56"/>
        <v>10630390</v>
      </c>
      <c r="H195" s="62">
        <f t="shared" si="57"/>
        <v>7150572</v>
      </c>
      <c r="I195" s="173">
        <f t="shared" si="58"/>
        <v>131174.15494875051</v>
      </c>
      <c r="J195" s="174">
        <f>ROUND(100-'Townwide Contributions'!K195,2)</f>
        <v>40.47</v>
      </c>
      <c r="K195" s="70">
        <f t="shared" si="59"/>
        <v>7195955</v>
      </c>
      <c r="L195" s="70">
        <f t="shared" si="60"/>
        <v>0</v>
      </c>
      <c r="M195" s="175">
        <f t="shared" si="61"/>
        <v>0</v>
      </c>
      <c r="N195" s="70"/>
      <c r="O195" s="70"/>
      <c r="P195" s="70"/>
      <c r="Q195" s="62">
        <v>1753</v>
      </c>
      <c r="R195" s="62">
        <f t="shared" si="62"/>
        <v>1748</v>
      </c>
      <c r="S195" s="176"/>
      <c r="T195" s="176"/>
      <c r="U195" s="70"/>
      <c r="V195" s="70"/>
      <c r="W195" s="260"/>
      <c r="X195" s="62">
        <f t="shared" si="63"/>
        <v>1</v>
      </c>
      <c r="Y195" s="70"/>
      <c r="AA195" s="290"/>
      <c r="AB195" s="291"/>
      <c r="AC195" s="62"/>
      <c r="AD195" s="62"/>
      <c r="AE195" s="177">
        <f t="shared" si="64"/>
        <v>52440</v>
      </c>
      <c r="AF195" s="177">
        <f t="shared" si="65"/>
        <v>0</v>
      </c>
      <c r="AG195" s="70">
        <f t="shared" si="66"/>
        <v>7150572</v>
      </c>
      <c r="AH195" s="70">
        <f t="shared" si="67"/>
        <v>0</v>
      </c>
      <c r="AI195" s="587">
        <v>0</v>
      </c>
      <c r="AJ195" s="178">
        <f t="shared" si="68"/>
        <v>7150572</v>
      </c>
      <c r="AK195" s="301">
        <f t="shared" si="69"/>
        <v>40.214764186950234</v>
      </c>
      <c r="AL195" s="70">
        <f t="shared" si="70"/>
        <v>17780962</v>
      </c>
      <c r="AM195" s="179">
        <f t="shared" si="71"/>
        <v>99.999999139526608</v>
      </c>
      <c r="AN195" s="179"/>
      <c r="AO195" s="31">
        <f t="shared" si="72"/>
        <v>351116.66300044954</v>
      </c>
      <c r="AP195" s="31">
        <f t="shared" si="73"/>
        <v>131174.15494875051</v>
      </c>
      <c r="AQ195" s="31">
        <f t="shared" si="74"/>
        <v>-45383.383319281042</v>
      </c>
      <c r="AR195" s="180">
        <f t="shared" si="75"/>
        <v>-0.25523581304976517</v>
      </c>
      <c r="AS195" s="31">
        <f t="shared" si="78"/>
        <v>10172.18</v>
      </c>
      <c r="AU195" s="31">
        <f t="shared" si="76"/>
        <v>0</v>
      </c>
      <c r="AV195" s="177"/>
      <c r="AW195" s="31">
        <f t="shared" si="77"/>
        <v>75.042422739559782</v>
      </c>
    </row>
    <row r="196" spans="1:49">
      <c r="A196" s="102">
        <v>187</v>
      </c>
      <c r="B196" s="7" t="s">
        <v>1892</v>
      </c>
      <c r="C196" s="7">
        <v>1</v>
      </c>
      <c r="D196" s="62">
        <f t="shared" si="53"/>
        <v>11856222.087119998</v>
      </c>
      <c r="E196" s="172">
        <f t="shared" si="54"/>
        <v>4725651.5320735266</v>
      </c>
      <c r="F196" s="62">
        <f t="shared" si="55"/>
        <v>11737004.51467457</v>
      </c>
      <c r="G196" s="70">
        <f t="shared" si="56"/>
        <v>8397650</v>
      </c>
      <c r="H196" s="62">
        <f t="shared" si="57"/>
        <v>3339355</v>
      </c>
      <c r="I196" s="173">
        <f t="shared" si="58"/>
        <v>0</v>
      </c>
      <c r="J196" s="174">
        <f>ROUND(100-'Townwide Contributions'!K196,2)</f>
        <v>28.59</v>
      </c>
      <c r="K196" s="70">
        <f t="shared" si="59"/>
        <v>3355610</v>
      </c>
      <c r="L196" s="70">
        <f t="shared" si="60"/>
        <v>0</v>
      </c>
      <c r="M196" s="175">
        <f t="shared" si="61"/>
        <v>0</v>
      </c>
      <c r="N196" s="70"/>
      <c r="O196" s="70"/>
      <c r="P196" s="70"/>
      <c r="Q196" s="62">
        <v>1241</v>
      </c>
      <c r="R196" s="62">
        <f t="shared" si="62"/>
        <v>1199</v>
      </c>
      <c r="S196" s="176"/>
      <c r="T196" s="176"/>
      <c r="U196" s="70"/>
      <c r="V196" s="70"/>
      <c r="W196" s="260"/>
      <c r="X196" s="62">
        <f t="shared" si="63"/>
        <v>0</v>
      </c>
      <c r="Y196" s="70"/>
      <c r="AA196" s="290"/>
      <c r="AB196" s="291"/>
      <c r="AC196" s="62"/>
      <c r="AD196" s="62"/>
      <c r="AE196" s="177">
        <f t="shared" si="64"/>
        <v>35970</v>
      </c>
      <c r="AF196" s="177">
        <f t="shared" si="65"/>
        <v>35970</v>
      </c>
      <c r="AG196" s="70">
        <f t="shared" si="66"/>
        <v>4761621.5320735266</v>
      </c>
      <c r="AH196" s="70">
        <f t="shared" si="67"/>
        <v>0</v>
      </c>
      <c r="AI196" s="587">
        <v>0</v>
      </c>
      <c r="AJ196" s="178">
        <f t="shared" si="68"/>
        <v>4761621.5320735266</v>
      </c>
      <c r="AK196" s="301">
        <f t="shared" si="69"/>
        <v>40.569308175013099</v>
      </c>
      <c r="AL196" s="70">
        <f t="shared" si="70"/>
        <v>13159271.532073528</v>
      </c>
      <c r="AM196" s="179">
        <f t="shared" si="71"/>
        <v>112.11780242242151</v>
      </c>
      <c r="AN196" s="179"/>
      <c r="AO196" s="31">
        <f t="shared" si="72"/>
        <v>-119217.572445428</v>
      </c>
      <c r="AP196" s="31">
        <f t="shared" si="73"/>
        <v>35970</v>
      </c>
      <c r="AQ196" s="31">
        <f t="shared" si="74"/>
        <v>1406011.9413280673</v>
      </c>
      <c r="AR196" s="180">
        <f t="shared" si="75"/>
        <v>11.979308175013099</v>
      </c>
      <c r="AS196" s="31">
        <f t="shared" si="78"/>
        <v>9788.99</v>
      </c>
      <c r="AU196" s="31">
        <f t="shared" si="76"/>
        <v>0</v>
      </c>
      <c r="AV196" s="177"/>
      <c r="AW196" s="31">
        <f t="shared" si="77"/>
        <v>30</v>
      </c>
    </row>
    <row r="197" spans="1:49">
      <c r="A197" s="102">
        <v>188</v>
      </c>
      <c r="B197" s="7" t="s">
        <v>1893</v>
      </c>
      <c r="C197" s="7">
        <v>0</v>
      </c>
      <c r="D197" s="62">
        <f t="shared" si="53"/>
        <v>118538.28</v>
      </c>
      <c r="E197" s="172">
        <f t="shared" si="54"/>
        <v>70899</v>
      </c>
      <c r="F197" s="62">
        <f t="shared" si="55"/>
        <v>93917.833405126818</v>
      </c>
      <c r="G197" s="70">
        <f t="shared" si="56"/>
        <v>39748</v>
      </c>
      <c r="H197" s="62">
        <f t="shared" si="57"/>
        <v>54170</v>
      </c>
      <c r="I197" s="173">
        <f t="shared" si="58"/>
        <v>0</v>
      </c>
      <c r="J197" s="174">
        <f>ROUND(100-'Townwide Contributions'!K197,2)</f>
        <v>56.71</v>
      </c>
      <c r="K197" s="70">
        <f t="shared" si="59"/>
        <v>53261</v>
      </c>
      <c r="L197" s="70">
        <f t="shared" si="60"/>
        <v>0</v>
      </c>
      <c r="M197" s="175">
        <f t="shared" si="61"/>
        <v>0</v>
      </c>
      <c r="N197" s="70"/>
      <c r="O197" s="70"/>
      <c r="P197" s="70"/>
      <c r="Q197" s="62">
        <v>9</v>
      </c>
      <c r="R197" s="62">
        <f t="shared" si="62"/>
        <v>7</v>
      </c>
      <c r="S197" s="176"/>
      <c r="T197" s="176"/>
      <c r="U197" s="70"/>
      <c r="V197" s="70"/>
      <c r="W197" s="260"/>
      <c r="X197" s="62">
        <f t="shared" si="63"/>
        <v>0</v>
      </c>
      <c r="Y197" s="70"/>
      <c r="AA197" s="290"/>
      <c r="AB197" s="291"/>
      <c r="AC197" s="62"/>
      <c r="AD197" s="62"/>
      <c r="AE197" s="177">
        <f t="shared" si="64"/>
        <v>0</v>
      </c>
      <c r="AF197" s="177">
        <f t="shared" si="65"/>
        <v>0</v>
      </c>
      <c r="AG197" s="70">
        <f t="shared" si="66"/>
        <v>70899</v>
      </c>
      <c r="AH197" s="70">
        <f t="shared" si="67"/>
        <v>0</v>
      </c>
      <c r="AI197" s="587">
        <v>0</v>
      </c>
      <c r="AJ197" s="178">
        <f t="shared" si="68"/>
        <v>70899</v>
      </c>
      <c r="AK197" s="301">
        <f t="shared" si="69"/>
        <v>0</v>
      </c>
      <c r="AL197" s="70">
        <f t="shared" si="70"/>
        <v>110647</v>
      </c>
      <c r="AM197" s="179">
        <f t="shared" si="71"/>
        <v>117.81255592077997</v>
      </c>
      <c r="AN197" s="179"/>
      <c r="AO197" s="31">
        <f t="shared" si="72"/>
        <v>-24620.446594873181</v>
      </c>
      <c r="AP197" s="31">
        <f t="shared" si="73"/>
        <v>0</v>
      </c>
      <c r="AQ197" s="31">
        <f t="shared" si="74"/>
        <v>17638.196675952575</v>
      </c>
      <c r="AR197" s="180" t="str">
        <f t="shared" si="75"/>
        <v/>
      </c>
      <c r="AS197" s="31">
        <f t="shared" si="78"/>
        <v>13416.83</v>
      </c>
      <c r="AU197" s="31">
        <f t="shared" si="76"/>
        <v>0</v>
      </c>
      <c r="AV197" s="177"/>
      <c r="AW197" s="31">
        <f t="shared" si="77"/>
        <v>0</v>
      </c>
    </row>
    <row r="198" spans="1:49">
      <c r="A198" s="102">
        <v>189</v>
      </c>
      <c r="B198" s="7" t="s">
        <v>1894</v>
      </c>
      <c r="C198" s="7">
        <v>1</v>
      </c>
      <c r="D198" s="62">
        <f t="shared" si="53"/>
        <v>37238061.294160001</v>
      </c>
      <c r="E198" s="172">
        <f t="shared" si="54"/>
        <v>6409833</v>
      </c>
      <c r="F198" s="62">
        <f t="shared" si="55"/>
        <v>39699383.469837926</v>
      </c>
      <c r="G198" s="70">
        <f t="shared" si="56"/>
        <v>32142381</v>
      </c>
      <c r="H198" s="62">
        <f t="shared" si="57"/>
        <v>7557002</v>
      </c>
      <c r="I198" s="173">
        <f t="shared" si="58"/>
        <v>1147169</v>
      </c>
      <c r="J198" s="174">
        <f>ROUND(100-'Townwide Contributions'!K198,2)</f>
        <v>17.5</v>
      </c>
      <c r="K198" s="70">
        <f t="shared" si="59"/>
        <v>6947392</v>
      </c>
      <c r="L198" s="70">
        <f t="shared" si="60"/>
        <v>0</v>
      </c>
      <c r="M198" s="175">
        <f t="shared" si="61"/>
        <v>0</v>
      </c>
      <c r="N198" s="70"/>
      <c r="O198" s="70"/>
      <c r="P198" s="70"/>
      <c r="Q198" s="62">
        <v>3917</v>
      </c>
      <c r="R198" s="62">
        <f t="shared" si="62"/>
        <v>4093</v>
      </c>
      <c r="S198" s="176"/>
      <c r="T198" s="176"/>
      <c r="U198" s="70"/>
      <c r="V198" s="70"/>
      <c r="W198" s="260"/>
      <c r="X198" s="62">
        <f t="shared" si="63"/>
        <v>1</v>
      </c>
      <c r="Y198" s="70"/>
      <c r="AA198" s="290"/>
      <c r="AB198" s="291"/>
      <c r="AC198" s="62"/>
      <c r="AD198" s="62"/>
      <c r="AE198" s="177">
        <f t="shared" si="64"/>
        <v>122790</v>
      </c>
      <c r="AF198" s="177">
        <f t="shared" si="65"/>
        <v>0</v>
      </c>
      <c r="AG198" s="70">
        <f t="shared" si="66"/>
        <v>7557002</v>
      </c>
      <c r="AH198" s="70">
        <f t="shared" si="67"/>
        <v>0</v>
      </c>
      <c r="AI198" s="587">
        <v>0</v>
      </c>
      <c r="AJ198" s="178">
        <f t="shared" si="68"/>
        <v>7557002</v>
      </c>
      <c r="AK198" s="301">
        <f t="shared" si="69"/>
        <v>19.035565138540555</v>
      </c>
      <c r="AL198" s="70">
        <f t="shared" si="70"/>
        <v>39699383</v>
      </c>
      <c r="AM198" s="179">
        <f t="shared" si="71"/>
        <v>99.999998816510768</v>
      </c>
      <c r="AN198" s="179"/>
      <c r="AO198" s="31">
        <f t="shared" si="72"/>
        <v>2461322.1756779253</v>
      </c>
      <c r="AP198" s="31">
        <f t="shared" si="73"/>
        <v>1147169</v>
      </c>
      <c r="AQ198" s="31">
        <f t="shared" si="74"/>
        <v>609609.89277836308</v>
      </c>
      <c r="AR198" s="180">
        <f t="shared" si="75"/>
        <v>1.5355651385405551</v>
      </c>
      <c r="AS198" s="31">
        <f t="shared" si="78"/>
        <v>9699.34</v>
      </c>
      <c r="AU198" s="31">
        <f t="shared" si="76"/>
        <v>0</v>
      </c>
      <c r="AV198" s="177"/>
      <c r="AW198" s="31">
        <f t="shared" si="77"/>
        <v>280.27583679452727</v>
      </c>
    </row>
    <row r="199" spans="1:49">
      <c r="A199" s="102">
        <v>190</v>
      </c>
      <c r="B199" s="7" t="s">
        <v>1895</v>
      </c>
      <c r="C199" s="7">
        <v>0</v>
      </c>
      <c r="D199" s="62">
        <f t="shared" si="53"/>
        <v>64197.68</v>
      </c>
      <c r="E199" s="172">
        <f t="shared" si="54"/>
        <v>49377.140000000007</v>
      </c>
      <c r="F199" s="62">
        <f t="shared" si="55"/>
        <v>70057.67309236154</v>
      </c>
      <c r="G199" s="70">
        <f t="shared" si="56"/>
        <v>39434</v>
      </c>
      <c r="H199" s="62">
        <f t="shared" si="57"/>
        <v>30624</v>
      </c>
      <c r="I199" s="173">
        <f t="shared" si="58"/>
        <v>0</v>
      </c>
      <c r="J199" s="174">
        <f>ROUND(100-'Townwide Contributions'!K199,2)</f>
        <v>38.549999999999997</v>
      </c>
      <c r="K199" s="70">
        <f t="shared" si="59"/>
        <v>27007</v>
      </c>
      <c r="L199" s="70">
        <f t="shared" si="60"/>
        <v>0</v>
      </c>
      <c r="M199" s="175">
        <f t="shared" si="61"/>
        <v>0</v>
      </c>
      <c r="N199" s="70"/>
      <c r="O199" s="70"/>
      <c r="P199" s="70"/>
      <c r="Q199" s="62">
        <v>9</v>
      </c>
      <c r="R199" s="62">
        <f t="shared" si="62"/>
        <v>10</v>
      </c>
      <c r="S199" s="176"/>
      <c r="T199" s="176"/>
      <c r="U199" s="70"/>
      <c r="V199" s="70"/>
      <c r="W199" s="260"/>
      <c r="X199" s="62">
        <f t="shared" si="63"/>
        <v>0</v>
      </c>
      <c r="Y199" s="70"/>
      <c r="AA199" s="290"/>
      <c r="AB199" s="291"/>
      <c r="AC199" s="62"/>
      <c r="AD199" s="62"/>
      <c r="AE199" s="177">
        <f t="shared" si="64"/>
        <v>0</v>
      </c>
      <c r="AF199" s="177">
        <f t="shared" si="65"/>
        <v>0</v>
      </c>
      <c r="AG199" s="70">
        <f t="shared" si="66"/>
        <v>49377.140000000007</v>
      </c>
      <c r="AH199" s="70">
        <f t="shared" si="67"/>
        <v>0</v>
      </c>
      <c r="AI199" s="587">
        <v>0</v>
      </c>
      <c r="AJ199" s="178">
        <f t="shared" si="68"/>
        <v>49377.140000000007</v>
      </c>
      <c r="AK199" s="301">
        <f t="shared" si="69"/>
        <v>0</v>
      </c>
      <c r="AL199" s="70">
        <f t="shared" si="70"/>
        <v>88811.140000000014</v>
      </c>
      <c r="AM199" s="179">
        <f t="shared" si="71"/>
        <v>126.76861231590517</v>
      </c>
      <c r="AN199" s="179"/>
      <c r="AO199" s="31">
        <f t="shared" si="72"/>
        <v>5859.9930923615393</v>
      </c>
      <c r="AP199" s="31">
        <f t="shared" si="73"/>
        <v>0</v>
      </c>
      <c r="AQ199" s="31">
        <f t="shared" si="74"/>
        <v>22369.907022894637</v>
      </c>
      <c r="AR199" s="180" t="str">
        <f t="shared" si="75"/>
        <v/>
      </c>
      <c r="AS199" s="31">
        <f t="shared" si="78"/>
        <v>7005.77</v>
      </c>
      <c r="AU199" s="31">
        <f t="shared" si="76"/>
        <v>0</v>
      </c>
      <c r="AV199" s="177"/>
      <c r="AW199" s="31">
        <f t="shared" si="77"/>
        <v>0</v>
      </c>
    </row>
    <row r="200" spans="1:49">
      <c r="A200" s="102">
        <v>191</v>
      </c>
      <c r="B200" s="7" t="s">
        <v>1896</v>
      </c>
      <c r="C200" s="7">
        <v>1</v>
      </c>
      <c r="D200" s="62">
        <f t="shared" si="53"/>
        <v>10115062.609999999</v>
      </c>
      <c r="E200" s="172">
        <f t="shared" si="54"/>
        <v>7455965</v>
      </c>
      <c r="F200" s="62">
        <f t="shared" si="55"/>
        <v>9765311.1307165027</v>
      </c>
      <c r="G200" s="70">
        <f t="shared" si="56"/>
        <v>5261486</v>
      </c>
      <c r="H200" s="62">
        <f t="shared" si="57"/>
        <v>4503825</v>
      </c>
      <c r="I200" s="173">
        <f t="shared" si="58"/>
        <v>0</v>
      </c>
      <c r="J200" s="174">
        <f>ROUND(100-'Townwide Contributions'!K200,2)</f>
        <v>46.75</v>
      </c>
      <c r="K200" s="70">
        <f t="shared" si="59"/>
        <v>4565283</v>
      </c>
      <c r="L200" s="70">
        <f t="shared" si="60"/>
        <v>0</v>
      </c>
      <c r="M200" s="175">
        <f t="shared" si="61"/>
        <v>0</v>
      </c>
      <c r="N200" s="70"/>
      <c r="O200" s="70"/>
      <c r="P200" s="70"/>
      <c r="Q200" s="62">
        <v>1028</v>
      </c>
      <c r="R200" s="62">
        <f t="shared" si="62"/>
        <v>967</v>
      </c>
      <c r="S200" s="176"/>
      <c r="T200" s="176"/>
      <c r="U200" s="70"/>
      <c r="V200" s="70"/>
      <c r="W200" s="260"/>
      <c r="X200" s="62">
        <f t="shared" si="63"/>
        <v>0</v>
      </c>
      <c r="Y200" s="70"/>
      <c r="AA200" s="290"/>
      <c r="AB200" s="291"/>
      <c r="AC200" s="62"/>
      <c r="AD200" s="62"/>
      <c r="AE200" s="177">
        <f t="shared" si="64"/>
        <v>29010</v>
      </c>
      <c r="AF200" s="177">
        <f t="shared" si="65"/>
        <v>29010</v>
      </c>
      <c r="AG200" s="70">
        <f t="shared" si="66"/>
        <v>7484975</v>
      </c>
      <c r="AH200" s="70">
        <f t="shared" si="67"/>
        <v>0</v>
      </c>
      <c r="AI200" s="587">
        <v>0</v>
      </c>
      <c r="AJ200" s="178">
        <f t="shared" si="68"/>
        <v>7484975</v>
      </c>
      <c r="AK200" s="301">
        <f t="shared" si="69"/>
        <v>76.648607502696237</v>
      </c>
      <c r="AL200" s="70">
        <f t="shared" si="70"/>
        <v>12746461</v>
      </c>
      <c r="AM200" s="179">
        <f t="shared" si="71"/>
        <v>130.52795583651582</v>
      </c>
      <c r="AN200" s="179"/>
      <c r="AO200" s="31">
        <f t="shared" si="72"/>
        <v>-349751.47928349674</v>
      </c>
      <c r="AP200" s="31">
        <f t="shared" si="73"/>
        <v>29010</v>
      </c>
      <c r="AQ200" s="31">
        <f t="shared" si="74"/>
        <v>2919692.0463900352</v>
      </c>
      <c r="AR200" s="180">
        <f t="shared" si="75"/>
        <v>29.898607502696237</v>
      </c>
      <c r="AS200" s="31">
        <f t="shared" si="78"/>
        <v>10098.56</v>
      </c>
      <c r="AU200" s="31">
        <f t="shared" si="76"/>
        <v>0</v>
      </c>
      <c r="AV200" s="177"/>
      <c r="AW200" s="31">
        <f t="shared" si="77"/>
        <v>30</v>
      </c>
    </row>
    <row r="201" spans="1:49">
      <c r="A201" s="102">
        <v>192</v>
      </c>
      <c r="B201" s="7" t="s">
        <v>1897</v>
      </c>
      <c r="C201" s="7">
        <v>0</v>
      </c>
      <c r="D201" s="62">
        <f t="shared" si="53"/>
        <v>0</v>
      </c>
      <c r="E201" s="172">
        <f t="shared" si="54"/>
        <v>0</v>
      </c>
      <c r="F201" s="62">
        <f t="shared" si="55"/>
        <v>0</v>
      </c>
      <c r="G201" s="70">
        <f t="shared" si="56"/>
        <v>0</v>
      </c>
      <c r="H201" s="62">
        <f t="shared" si="57"/>
        <v>0</v>
      </c>
      <c r="I201" s="173">
        <f t="shared" si="58"/>
        <v>0</v>
      </c>
      <c r="J201" s="174">
        <f>ROUND(100-'Townwide Contributions'!K201,2)</f>
        <v>49.71</v>
      </c>
      <c r="K201" s="70">
        <f t="shared" si="59"/>
        <v>0</v>
      </c>
      <c r="L201" s="70">
        <f t="shared" si="60"/>
        <v>0</v>
      </c>
      <c r="M201" s="175">
        <f t="shared" si="61"/>
        <v>0</v>
      </c>
      <c r="N201" s="70"/>
      <c r="O201" s="70"/>
      <c r="P201" s="70"/>
      <c r="Q201" s="62">
        <v>0</v>
      </c>
      <c r="R201" s="62">
        <f t="shared" si="62"/>
        <v>0</v>
      </c>
      <c r="S201" s="176"/>
      <c r="T201" s="176"/>
      <c r="U201" s="70"/>
      <c r="V201" s="70"/>
      <c r="W201" s="260"/>
      <c r="X201" s="62">
        <f t="shared" si="63"/>
        <v>0</v>
      </c>
      <c r="Y201" s="70"/>
      <c r="AA201" s="290"/>
      <c r="AB201" s="291"/>
      <c r="AC201" s="62"/>
      <c r="AD201" s="62"/>
      <c r="AE201" s="177">
        <f t="shared" si="64"/>
        <v>0</v>
      </c>
      <c r="AF201" s="177">
        <f t="shared" si="65"/>
        <v>0</v>
      </c>
      <c r="AG201" s="70">
        <f t="shared" si="66"/>
        <v>0</v>
      </c>
      <c r="AH201" s="70">
        <f t="shared" si="67"/>
        <v>0</v>
      </c>
      <c r="AI201" s="587">
        <v>0</v>
      </c>
      <c r="AJ201" s="178">
        <f t="shared" si="68"/>
        <v>0</v>
      </c>
      <c r="AK201" s="301">
        <f t="shared" si="69"/>
        <v>0</v>
      </c>
      <c r="AL201" s="70">
        <f t="shared" si="70"/>
        <v>0</v>
      </c>
      <c r="AM201" s="179">
        <f t="shared" si="71"/>
        <v>0</v>
      </c>
      <c r="AN201" s="179"/>
      <c r="AO201" s="31">
        <f t="shared" si="72"/>
        <v>0</v>
      </c>
      <c r="AP201" s="31">
        <f t="shared" si="73"/>
        <v>0</v>
      </c>
      <c r="AQ201" s="31">
        <f t="shared" si="74"/>
        <v>0</v>
      </c>
      <c r="AR201" s="180" t="str">
        <f t="shared" si="75"/>
        <v/>
      </c>
      <c r="AS201" s="31">
        <f t="shared" si="78"/>
        <v>0</v>
      </c>
      <c r="AU201" s="31">
        <f t="shared" si="76"/>
        <v>0</v>
      </c>
      <c r="AV201" s="177"/>
      <c r="AW201" s="31">
        <f t="shared" si="77"/>
        <v>0</v>
      </c>
    </row>
    <row r="202" spans="1:49">
      <c r="A202" s="102">
        <v>193</v>
      </c>
      <c r="B202" s="7" t="s">
        <v>1898</v>
      </c>
      <c r="C202" s="7">
        <v>0</v>
      </c>
      <c r="D202" s="62">
        <f t="shared" ref="D202:D265" si="79">VLOOKUP(A202, disthist, D$2, FALSE)</f>
        <v>0</v>
      </c>
      <c r="E202" s="172">
        <f t="shared" ref="E202:E265" si="80">VLOOKUP(A202, disthist, E$2, FALSE)*(1-$E$6)</f>
        <v>0</v>
      </c>
      <c r="F202" s="62">
        <f t="shared" ref="F202:F265" si="81">SUMIF(dist1755,A202,found1755)</f>
        <v>0</v>
      </c>
      <c r="G202" s="70">
        <f t="shared" ref="G202:G265" si="82">SUMIF(dist1755,A202,prelcont1755)</f>
        <v>0</v>
      </c>
      <c r="H202" s="62">
        <f t="shared" ref="H202:H265" si="83">ROUND(MAX(found-prelcont436,0),0)</f>
        <v>0</v>
      </c>
      <c r="I202" s="173">
        <f t="shared" ref="I202:I265" si="84">IF(foundaid&gt;priorc70,foundaid-priorc70,0)</f>
        <v>0</v>
      </c>
      <c r="J202" s="174">
        <f>ROUND(100-'Townwide Contributions'!K202,2)</f>
        <v>17.5</v>
      </c>
      <c r="K202" s="70">
        <f t="shared" ref="K202:K265" si="85">ROUND(J202/100*F202,0)</f>
        <v>0</v>
      </c>
      <c r="L202" s="70">
        <f t="shared" ref="L202:L265" si="86">ROUND(IF(K202&gt;priorc70,L$6*(K202-priorc70),0),0)</f>
        <v>0</v>
      </c>
      <c r="M202" s="175">
        <f t="shared" ref="M202:M265" si="87">IF(L202&gt;I202,L202-I202,0)</f>
        <v>0</v>
      </c>
      <c r="N202" s="70"/>
      <c r="O202" s="70"/>
      <c r="P202" s="70"/>
      <c r="Q202" s="62">
        <v>0</v>
      </c>
      <c r="R202" s="62">
        <f t="shared" ref="R202:R265" si="88">SUMIF(dist1755,A202,enro1755)</f>
        <v>0</v>
      </c>
      <c r="S202" s="176"/>
      <c r="T202" s="176"/>
      <c r="U202" s="70"/>
      <c r="V202" s="70"/>
      <c r="W202" s="260"/>
      <c r="X202" s="62">
        <f t="shared" ref="X202:X265" si="89">IF(AND(C202=1,I202&gt;0),1,0)</f>
        <v>0</v>
      </c>
      <c r="Y202" s="70"/>
      <c r="AA202" s="290"/>
      <c r="AB202" s="291"/>
      <c r="AC202" s="62"/>
      <c r="AD202" s="62"/>
      <c r="AE202" s="177">
        <f t="shared" ref="AE202:AE265" si="90">IF(nonop=1,enro*$AE$6,0)</f>
        <v>0</v>
      </c>
      <c r="AF202" s="177">
        <f t="shared" ref="AF202:AF265" si="91">IF((foundinc+downaid)&lt;AE202,AE202-(foundinc+downaid),0)</f>
        <v>0</v>
      </c>
      <c r="AG202" s="70">
        <f t="shared" ref="AG202:AG265" si="92">priorc70+foundinc+downaid+minaid</f>
        <v>0</v>
      </c>
      <c r="AH202" s="70">
        <f t="shared" ref="AH202:AH265" si="93">IF(AND(C202=0,AG202&gt;found),AG202-found,0)</f>
        <v>0</v>
      </c>
      <c r="AI202" s="587">
        <v>0</v>
      </c>
      <c r="AJ202" s="178">
        <f t="shared" ref="AJ202:AJ265" si="94">AG202+AI202-rednonop</f>
        <v>0</v>
      </c>
      <c r="AK202" s="301">
        <f t="shared" ref="AK202:AK265" si="95">IF(C202=1, AJ202/F202*100, 0)</f>
        <v>0</v>
      </c>
      <c r="AL202" s="70">
        <f t="shared" ref="AL202:AL265" si="96">prelcont436+chapter70</f>
        <v>0</v>
      </c>
      <c r="AM202" s="179">
        <f t="shared" ref="AM202:AM265" si="97">IF(found&gt;0,AL202*100/found,0)</f>
        <v>0</v>
      </c>
      <c r="AN202" s="179"/>
      <c r="AO202" s="31">
        <f t="shared" ref="AO202:AO265" si="98">F202-D202</f>
        <v>0</v>
      </c>
      <c r="AP202" s="31">
        <f t="shared" ref="AP202:AP265" si="99">AJ202-E202</f>
        <v>0</v>
      </c>
      <c r="AQ202" s="31">
        <f t="shared" ref="AQ202:AQ265" si="100">AJ202-((J202/100)*F202)</f>
        <v>0</v>
      </c>
      <c r="AR202" s="180" t="str">
        <f t="shared" ref="AR202:AR265" si="101">IF(C202=1, (AJ202/F202*100)-J202, "")</f>
        <v/>
      </c>
      <c r="AS202" s="31">
        <f t="shared" si="78"/>
        <v>0</v>
      </c>
      <c r="AU202" s="31">
        <f t="shared" ref="AU202:AU265" si="102">VLOOKUP(A202, disthist, 37, FALSE)*$E$6</f>
        <v>0</v>
      </c>
      <c r="AV202" s="177"/>
      <c r="AW202" s="31">
        <f t="shared" ref="AW202:AW265" si="103">IFERROR(AP202/R202, 0)</f>
        <v>0</v>
      </c>
    </row>
    <row r="203" spans="1:49">
      <c r="A203" s="102">
        <v>194</v>
      </c>
      <c r="B203" s="7" t="s">
        <v>1899</v>
      </c>
      <c r="C203" s="7">
        <v>0</v>
      </c>
      <c r="D203" s="62">
        <f t="shared" si="79"/>
        <v>65854.600000000006</v>
      </c>
      <c r="E203" s="172">
        <f t="shared" si="80"/>
        <v>21042</v>
      </c>
      <c r="F203" s="62">
        <f t="shared" si="81"/>
        <v>80501.000061537285</v>
      </c>
      <c r="G203" s="70">
        <f t="shared" si="82"/>
        <v>67534</v>
      </c>
      <c r="H203" s="62">
        <f t="shared" si="83"/>
        <v>12967</v>
      </c>
      <c r="I203" s="173">
        <f t="shared" si="84"/>
        <v>0</v>
      </c>
      <c r="J203" s="174">
        <f>ROUND(100-'Townwide Contributions'!K203,2)</f>
        <v>17.5</v>
      </c>
      <c r="K203" s="70">
        <f t="shared" si="85"/>
        <v>14088</v>
      </c>
      <c r="L203" s="70">
        <f t="shared" si="86"/>
        <v>0</v>
      </c>
      <c r="M203" s="175">
        <f t="shared" si="87"/>
        <v>0</v>
      </c>
      <c r="N203" s="70"/>
      <c r="O203" s="70"/>
      <c r="P203" s="70"/>
      <c r="Q203" s="62">
        <v>5</v>
      </c>
      <c r="R203" s="62">
        <f t="shared" si="88"/>
        <v>6</v>
      </c>
      <c r="S203" s="176"/>
      <c r="T203" s="176"/>
      <c r="U203" s="70"/>
      <c r="V203" s="70"/>
      <c r="W203" s="260"/>
      <c r="X203" s="62">
        <f t="shared" si="89"/>
        <v>0</v>
      </c>
      <c r="Y203" s="70"/>
      <c r="AA203" s="290"/>
      <c r="AB203" s="291"/>
      <c r="AC203" s="62"/>
      <c r="AD203" s="62"/>
      <c r="AE203" s="177">
        <f t="shared" si="90"/>
        <v>0</v>
      </c>
      <c r="AF203" s="177">
        <f t="shared" si="91"/>
        <v>0</v>
      </c>
      <c r="AG203" s="70">
        <f t="shared" si="92"/>
        <v>21042</v>
      </c>
      <c r="AH203" s="70">
        <f t="shared" si="93"/>
        <v>0</v>
      </c>
      <c r="AI203" s="587">
        <v>0</v>
      </c>
      <c r="AJ203" s="178">
        <f t="shared" si="94"/>
        <v>21042</v>
      </c>
      <c r="AK203" s="301">
        <f t="shared" si="95"/>
        <v>0</v>
      </c>
      <c r="AL203" s="70">
        <f t="shared" si="96"/>
        <v>88576</v>
      </c>
      <c r="AM203" s="179">
        <f t="shared" si="97"/>
        <v>110.03093120866815</v>
      </c>
      <c r="AN203" s="179"/>
      <c r="AO203" s="31">
        <f t="shared" si="98"/>
        <v>14646.400061537279</v>
      </c>
      <c r="AP203" s="31">
        <f t="shared" si="99"/>
        <v>0</v>
      </c>
      <c r="AQ203" s="31">
        <f t="shared" si="100"/>
        <v>6954.3249892309759</v>
      </c>
      <c r="AR203" s="180" t="str">
        <f t="shared" si="101"/>
        <v/>
      </c>
      <c r="AS203" s="31">
        <f t="shared" ref="AS203:AS266" si="104">IFERROR(ROUND(F203/R203, 2), 0)</f>
        <v>13416.83</v>
      </c>
      <c r="AU203" s="31">
        <f t="shared" si="102"/>
        <v>0</v>
      </c>
      <c r="AV203" s="177"/>
      <c r="AW203" s="31">
        <f t="shared" si="103"/>
        <v>0</v>
      </c>
    </row>
    <row r="204" spans="1:49">
      <c r="A204" s="102">
        <v>195</v>
      </c>
      <c r="B204" s="7" t="s">
        <v>1900</v>
      </c>
      <c r="C204" s="7">
        <v>0</v>
      </c>
      <c r="D204" s="62">
        <f t="shared" si="79"/>
        <v>57421.64</v>
      </c>
      <c r="E204" s="172">
        <f t="shared" si="80"/>
        <v>32776</v>
      </c>
      <c r="F204" s="62">
        <f t="shared" si="81"/>
        <v>32643.359126604621</v>
      </c>
      <c r="G204" s="70">
        <f t="shared" si="82"/>
        <v>29379</v>
      </c>
      <c r="H204" s="62">
        <f t="shared" si="83"/>
        <v>3264</v>
      </c>
      <c r="I204" s="173">
        <f t="shared" si="84"/>
        <v>0</v>
      </c>
      <c r="J204" s="174">
        <f>ROUND(100-'Townwide Contributions'!K204,2)</f>
        <v>17.5</v>
      </c>
      <c r="K204" s="70">
        <f t="shared" si="85"/>
        <v>5713</v>
      </c>
      <c r="L204" s="70">
        <f t="shared" si="86"/>
        <v>0</v>
      </c>
      <c r="M204" s="175">
        <f t="shared" si="87"/>
        <v>0</v>
      </c>
      <c r="N204" s="70"/>
      <c r="O204" s="70"/>
      <c r="P204" s="70"/>
      <c r="Q204" s="62">
        <v>7</v>
      </c>
      <c r="R204" s="62">
        <f t="shared" si="88"/>
        <v>4</v>
      </c>
      <c r="S204" s="176"/>
      <c r="T204" s="176"/>
      <c r="U204" s="70"/>
      <c r="V204" s="70"/>
      <c r="W204" s="260"/>
      <c r="X204" s="62">
        <f t="shared" si="89"/>
        <v>0</v>
      </c>
      <c r="Y204" s="70"/>
      <c r="AA204" s="290"/>
      <c r="AB204" s="291"/>
      <c r="AC204" s="62"/>
      <c r="AD204" s="62"/>
      <c r="AE204" s="177">
        <f t="shared" si="90"/>
        <v>0</v>
      </c>
      <c r="AF204" s="177">
        <f t="shared" si="91"/>
        <v>0</v>
      </c>
      <c r="AG204" s="70">
        <f t="shared" si="92"/>
        <v>32776</v>
      </c>
      <c r="AH204" s="70">
        <f t="shared" si="93"/>
        <v>132.64087339537946</v>
      </c>
      <c r="AI204" s="587">
        <v>0</v>
      </c>
      <c r="AJ204" s="178">
        <f t="shared" si="94"/>
        <v>32643.359126604621</v>
      </c>
      <c r="AK204" s="301">
        <f t="shared" si="95"/>
        <v>0</v>
      </c>
      <c r="AL204" s="70">
        <f t="shared" si="96"/>
        <v>62022.359126604621</v>
      </c>
      <c r="AM204" s="179">
        <f t="shared" si="97"/>
        <v>189.99992888616617</v>
      </c>
      <c r="AN204" s="179"/>
      <c r="AO204" s="31">
        <f t="shared" si="98"/>
        <v>-24778.280873395379</v>
      </c>
      <c r="AP204" s="31">
        <f t="shared" si="99"/>
        <v>-132.64087339537946</v>
      </c>
      <c r="AQ204" s="31">
        <f t="shared" si="100"/>
        <v>26930.771279448811</v>
      </c>
      <c r="AR204" s="180" t="str">
        <f t="shared" si="101"/>
        <v/>
      </c>
      <c r="AS204" s="31">
        <f t="shared" si="104"/>
        <v>8160.84</v>
      </c>
      <c r="AU204" s="31">
        <f t="shared" si="102"/>
        <v>0</v>
      </c>
      <c r="AV204" s="177"/>
      <c r="AW204" s="31">
        <f t="shared" si="103"/>
        <v>-33.160218348844865</v>
      </c>
    </row>
    <row r="205" spans="1:49">
      <c r="A205" s="102">
        <v>196</v>
      </c>
      <c r="B205" s="7" t="s">
        <v>1901</v>
      </c>
      <c r="C205" s="7">
        <v>1</v>
      </c>
      <c r="D205" s="62">
        <f t="shared" si="79"/>
        <v>2541982.4700000002</v>
      </c>
      <c r="E205" s="172">
        <f t="shared" si="80"/>
        <v>499903</v>
      </c>
      <c r="F205" s="62">
        <f t="shared" si="81"/>
        <v>2576635.3961993451</v>
      </c>
      <c r="G205" s="70">
        <f t="shared" si="82"/>
        <v>2132494</v>
      </c>
      <c r="H205" s="62">
        <f t="shared" si="83"/>
        <v>444141</v>
      </c>
      <c r="I205" s="173">
        <f t="shared" si="84"/>
        <v>0</v>
      </c>
      <c r="J205" s="174">
        <f>ROUND(100-'Townwide Contributions'!K205,2)</f>
        <v>17.5</v>
      </c>
      <c r="K205" s="70">
        <f t="shared" si="85"/>
        <v>450911</v>
      </c>
      <c r="L205" s="70">
        <f t="shared" si="86"/>
        <v>0</v>
      </c>
      <c r="M205" s="175">
        <f t="shared" si="87"/>
        <v>0</v>
      </c>
      <c r="N205" s="70"/>
      <c r="O205" s="70"/>
      <c r="P205" s="70"/>
      <c r="Q205" s="62">
        <v>272</v>
      </c>
      <c r="R205" s="62">
        <f t="shared" si="88"/>
        <v>270</v>
      </c>
      <c r="S205" s="176"/>
      <c r="T205" s="176"/>
      <c r="U205" s="70"/>
      <c r="V205" s="70"/>
      <c r="W205" s="260"/>
      <c r="X205" s="62">
        <f t="shared" si="89"/>
        <v>0</v>
      </c>
      <c r="Y205" s="70"/>
      <c r="AA205" s="290"/>
      <c r="AB205" s="291"/>
      <c r="AC205" s="62"/>
      <c r="AD205" s="62"/>
      <c r="AE205" s="177">
        <f t="shared" si="90"/>
        <v>8100</v>
      </c>
      <c r="AF205" s="177">
        <f t="shared" si="91"/>
        <v>8100</v>
      </c>
      <c r="AG205" s="70">
        <f t="shared" si="92"/>
        <v>508003</v>
      </c>
      <c r="AH205" s="70">
        <f t="shared" si="93"/>
        <v>0</v>
      </c>
      <c r="AI205" s="587">
        <v>0</v>
      </c>
      <c r="AJ205" s="178">
        <f t="shared" si="94"/>
        <v>508003</v>
      </c>
      <c r="AK205" s="301">
        <f t="shared" si="95"/>
        <v>19.715750266775331</v>
      </c>
      <c r="AL205" s="70">
        <f t="shared" si="96"/>
        <v>2640497</v>
      </c>
      <c r="AM205" s="179">
        <f t="shared" si="97"/>
        <v>102.47848818248998</v>
      </c>
      <c r="AN205" s="179"/>
      <c r="AO205" s="31">
        <f t="shared" si="98"/>
        <v>34652.926199344918</v>
      </c>
      <c r="AP205" s="31">
        <f t="shared" si="99"/>
        <v>8100</v>
      </c>
      <c r="AQ205" s="31">
        <f t="shared" si="100"/>
        <v>57091.805665114603</v>
      </c>
      <c r="AR205" s="180">
        <f t="shared" si="101"/>
        <v>2.2157502667753306</v>
      </c>
      <c r="AS205" s="31">
        <f t="shared" si="104"/>
        <v>9543.09</v>
      </c>
      <c r="AU205" s="31">
        <f t="shared" si="102"/>
        <v>0</v>
      </c>
      <c r="AV205" s="177"/>
      <c r="AW205" s="31">
        <f t="shared" si="103"/>
        <v>30</v>
      </c>
    </row>
    <row r="206" spans="1:49">
      <c r="A206" s="102">
        <v>197</v>
      </c>
      <c r="B206" s="7" t="s">
        <v>1902</v>
      </c>
      <c r="C206" s="7">
        <v>1</v>
      </c>
      <c r="D206" s="62">
        <f t="shared" si="79"/>
        <v>15743715.589999998</v>
      </c>
      <c r="E206" s="172">
        <f t="shared" si="80"/>
        <v>3067074</v>
      </c>
      <c r="F206" s="62">
        <f t="shared" si="81"/>
        <v>16351990.158213655</v>
      </c>
      <c r="G206" s="70">
        <f t="shared" si="82"/>
        <v>13342499</v>
      </c>
      <c r="H206" s="62">
        <f t="shared" si="83"/>
        <v>3009491</v>
      </c>
      <c r="I206" s="173">
        <f t="shared" si="84"/>
        <v>0</v>
      </c>
      <c r="J206" s="174">
        <f>ROUND(100-'Townwide Contributions'!K206,2)</f>
        <v>17.5</v>
      </c>
      <c r="K206" s="70">
        <f t="shared" si="85"/>
        <v>2861598</v>
      </c>
      <c r="L206" s="70">
        <f t="shared" si="86"/>
        <v>0</v>
      </c>
      <c r="M206" s="175">
        <f t="shared" si="87"/>
        <v>0</v>
      </c>
      <c r="N206" s="70"/>
      <c r="O206" s="70"/>
      <c r="P206" s="70"/>
      <c r="Q206" s="62">
        <v>1566</v>
      </c>
      <c r="R206" s="62">
        <f t="shared" si="88"/>
        <v>1583</v>
      </c>
      <c r="S206" s="176"/>
      <c r="T206" s="176"/>
      <c r="U206" s="70"/>
      <c r="V206" s="70"/>
      <c r="W206" s="260"/>
      <c r="X206" s="62">
        <f t="shared" si="89"/>
        <v>0</v>
      </c>
      <c r="Y206" s="70"/>
      <c r="AA206" s="290"/>
      <c r="AB206" s="291"/>
      <c r="AC206" s="62"/>
      <c r="AD206" s="62"/>
      <c r="AE206" s="177">
        <f t="shared" si="90"/>
        <v>47490</v>
      </c>
      <c r="AF206" s="177">
        <f t="shared" si="91"/>
        <v>47490</v>
      </c>
      <c r="AG206" s="70">
        <f t="shared" si="92"/>
        <v>3114564</v>
      </c>
      <c r="AH206" s="70">
        <f t="shared" si="93"/>
        <v>0</v>
      </c>
      <c r="AI206" s="587">
        <v>0</v>
      </c>
      <c r="AJ206" s="178">
        <f t="shared" si="94"/>
        <v>3114564</v>
      </c>
      <c r="AK206" s="301">
        <f t="shared" si="95"/>
        <v>19.047002657566701</v>
      </c>
      <c r="AL206" s="70">
        <f t="shared" si="96"/>
        <v>16457063</v>
      </c>
      <c r="AM206" s="179">
        <f t="shared" si="97"/>
        <v>100.6425691354368</v>
      </c>
      <c r="AN206" s="179"/>
      <c r="AO206" s="31">
        <f t="shared" si="98"/>
        <v>608274.56821365654</v>
      </c>
      <c r="AP206" s="31">
        <f t="shared" si="99"/>
        <v>47490</v>
      </c>
      <c r="AQ206" s="31">
        <f t="shared" si="100"/>
        <v>252965.7223126106</v>
      </c>
      <c r="AR206" s="180">
        <f t="shared" si="101"/>
        <v>1.5470026575667006</v>
      </c>
      <c r="AS206" s="31">
        <f t="shared" si="104"/>
        <v>10329.75</v>
      </c>
      <c r="AU206" s="31">
        <f t="shared" si="102"/>
        <v>0</v>
      </c>
      <c r="AV206" s="177"/>
      <c r="AW206" s="31">
        <f t="shared" si="103"/>
        <v>30</v>
      </c>
    </row>
    <row r="207" spans="1:49">
      <c r="A207" s="102">
        <v>198</v>
      </c>
      <c r="B207" s="7" t="s">
        <v>1903</v>
      </c>
      <c r="C207" s="7">
        <v>1</v>
      </c>
      <c r="D207" s="62">
        <f t="shared" si="79"/>
        <v>52558195.004939988</v>
      </c>
      <c r="E207" s="172">
        <f t="shared" si="80"/>
        <v>9117845</v>
      </c>
      <c r="F207" s="62">
        <f t="shared" si="81"/>
        <v>53048542.559902228</v>
      </c>
      <c r="G207" s="70">
        <f t="shared" si="82"/>
        <v>43988233</v>
      </c>
      <c r="H207" s="62">
        <f t="shared" si="83"/>
        <v>9060310</v>
      </c>
      <c r="I207" s="173">
        <f t="shared" si="84"/>
        <v>0</v>
      </c>
      <c r="J207" s="174">
        <f>ROUND(100-'Townwide Contributions'!K207,2)</f>
        <v>17.5</v>
      </c>
      <c r="K207" s="70">
        <f t="shared" si="85"/>
        <v>9283495</v>
      </c>
      <c r="L207" s="70">
        <f t="shared" si="86"/>
        <v>0</v>
      </c>
      <c r="M207" s="175">
        <f t="shared" si="87"/>
        <v>0</v>
      </c>
      <c r="N207" s="70"/>
      <c r="O207" s="70"/>
      <c r="P207" s="70"/>
      <c r="Q207" s="62">
        <v>5476</v>
      </c>
      <c r="R207" s="62">
        <f t="shared" si="88"/>
        <v>5466</v>
      </c>
      <c r="S207" s="176"/>
      <c r="T207" s="176"/>
      <c r="U207" s="70"/>
      <c r="V207" s="70"/>
      <c r="W207" s="260"/>
      <c r="X207" s="62">
        <f t="shared" si="89"/>
        <v>0</v>
      </c>
      <c r="Y207" s="70"/>
      <c r="AA207" s="290"/>
      <c r="AB207" s="291"/>
      <c r="AC207" s="62"/>
      <c r="AD207" s="62"/>
      <c r="AE207" s="177">
        <f t="shared" si="90"/>
        <v>163980</v>
      </c>
      <c r="AF207" s="177">
        <f t="shared" si="91"/>
        <v>163980</v>
      </c>
      <c r="AG207" s="70">
        <f t="shared" si="92"/>
        <v>9281825</v>
      </c>
      <c r="AH207" s="70">
        <f t="shared" si="93"/>
        <v>0</v>
      </c>
      <c r="AI207" s="587">
        <v>0</v>
      </c>
      <c r="AJ207" s="178">
        <f t="shared" si="94"/>
        <v>9281825</v>
      </c>
      <c r="AK207" s="301">
        <f t="shared" si="95"/>
        <v>17.496852037959375</v>
      </c>
      <c r="AL207" s="70">
        <f t="shared" si="96"/>
        <v>53270058</v>
      </c>
      <c r="AM207" s="179">
        <f t="shared" si="97"/>
        <v>100.41757120819604</v>
      </c>
      <c r="AN207" s="179"/>
      <c r="AO207" s="31">
        <f t="shared" si="98"/>
        <v>490347.55496224016</v>
      </c>
      <c r="AP207" s="31">
        <f t="shared" si="99"/>
        <v>163980</v>
      </c>
      <c r="AQ207" s="31">
        <f t="shared" si="100"/>
        <v>-1669.9479828886688</v>
      </c>
      <c r="AR207" s="180">
        <f t="shared" si="101"/>
        <v>-3.147962040625174E-3</v>
      </c>
      <c r="AS207" s="31">
        <f t="shared" si="104"/>
        <v>9705.19</v>
      </c>
      <c r="AU207" s="31">
        <f t="shared" si="102"/>
        <v>0</v>
      </c>
      <c r="AV207" s="177"/>
      <c r="AW207" s="31">
        <f t="shared" si="103"/>
        <v>30</v>
      </c>
    </row>
    <row r="208" spans="1:49">
      <c r="A208" s="102">
        <v>199</v>
      </c>
      <c r="B208" s="7" t="s">
        <v>1904</v>
      </c>
      <c r="C208" s="7">
        <v>1</v>
      </c>
      <c r="D208" s="62">
        <f t="shared" si="79"/>
        <v>52228570.584080003</v>
      </c>
      <c r="E208" s="172">
        <f t="shared" si="80"/>
        <v>8671394.7644304372</v>
      </c>
      <c r="F208" s="62">
        <f t="shared" si="81"/>
        <v>54000176.557778552</v>
      </c>
      <c r="G208" s="70">
        <f t="shared" si="82"/>
        <v>44833817</v>
      </c>
      <c r="H208" s="62">
        <f t="shared" si="83"/>
        <v>9166360</v>
      </c>
      <c r="I208" s="173">
        <f t="shared" si="84"/>
        <v>494965.23556956276</v>
      </c>
      <c r="J208" s="174">
        <f>ROUND(100-'Townwide Contributions'!K208,2)</f>
        <v>17.5</v>
      </c>
      <c r="K208" s="70">
        <f t="shared" si="85"/>
        <v>9450031</v>
      </c>
      <c r="L208" s="70">
        <f t="shared" si="86"/>
        <v>0</v>
      </c>
      <c r="M208" s="175">
        <f t="shared" si="87"/>
        <v>0</v>
      </c>
      <c r="N208" s="70"/>
      <c r="O208" s="70"/>
      <c r="P208" s="70"/>
      <c r="Q208" s="62">
        <v>5411</v>
      </c>
      <c r="R208" s="62">
        <f t="shared" si="88"/>
        <v>5447</v>
      </c>
      <c r="S208" s="176"/>
      <c r="T208" s="176"/>
      <c r="U208" s="70"/>
      <c r="V208" s="70"/>
      <c r="W208" s="260"/>
      <c r="X208" s="62">
        <f t="shared" si="89"/>
        <v>1</v>
      </c>
      <c r="Y208" s="70"/>
      <c r="AA208" s="290"/>
      <c r="AB208" s="291"/>
      <c r="AC208" s="62"/>
      <c r="AD208" s="62"/>
      <c r="AE208" s="177">
        <f t="shared" si="90"/>
        <v>163410</v>
      </c>
      <c r="AF208" s="177">
        <f t="shared" si="91"/>
        <v>0</v>
      </c>
      <c r="AG208" s="70">
        <f t="shared" si="92"/>
        <v>9166360</v>
      </c>
      <c r="AH208" s="70">
        <f t="shared" si="93"/>
        <v>0</v>
      </c>
      <c r="AI208" s="587">
        <v>0</v>
      </c>
      <c r="AJ208" s="178">
        <f t="shared" si="94"/>
        <v>9166360</v>
      </c>
      <c r="AK208" s="301">
        <f t="shared" si="95"/>
        <v>16.974685240505227</v>
      </c>
      <c r="AL208" s="70">
        <f t="shared" si="96"/>
        <v>54000177</v>
      </c>
      <c r="AM208" s="179">
        <f t="shared" si="97"/>
        <v>100.00000081892593</v>
      </c>
      <c r="AN208" s="179"/>
      <c r="AO208" s="31">
        <f t="shared" si="98"/>
        <v>1771605.973698549</v>
      </c>
      <c r="AP208" s="31">
        <f t="shared" si="99"/>
        <v>494965.23556956276</v>
      </c>
      <c r="AQ208" s="31">
        <f t="shared" si="100"/>
        <v>-283670.89761124551</v>
      </c>
      <c r="AR208" s="180">
        <f t="shared" si="101"/>
        <v>-0.52531475949477269</v>
      </c>
      <c r="AS208" s="31">
        <f t="shared" si="104"/>
        <v>9913.75</v>
      </c>
      <c r="AU208" s="31">
        <f t="shared" si="102"/>
        <v>0</v>
      </c>
      <c r="AV208" s="177"/>
      <c r="AW208" s="31">
        <f t="shared" si="103"/>
        <v>90.869329092998484</v>
      </c>
    </row>
    <row r="209" spans="1:49">
      <c r="A209" s="102">
        <v>200</v>
      </c>
      <c r="B209" s="7" t="s">
        <v>1905</v>
      </c>
      <c r="C209" s="7">
        <v>0</v>
      </c>
      <c r="D209" s="62">
        <f t="shared" si="79"/>
        <v>232405.55000000002</v>
      </c>
      <c r="E209" s="172">
        <f t="shared" si="80"/>
        <v>179597</v>
      </c>
      <c r="F209" s="62">
        <f t="shared" si="81"/>
        <v>288557.29529165302</v>
      </c>
      <c r="G209" s="70">
        <f t="shared" si="82"/>
        <v>204578</v>
      </c>
      <c r="H209" s="62">
        <f t="shared" si="83"/>
        <v>83979</v>
      </c>
      <c r="I209" s="173">
        <f t="shared" si="84"/>
        <v>0</v>
      </c>
      <c r="J209" s="174">
        <f>ROUND(100-'Townwide Contributions'!K209,2)</f>
        <v>21.77</v>
      </c>
      <c r="K209" s="70">
        <f t="shared" si="85"/>
        <v>62819</v>
      </c>
      <c r="L209" s="70">
        <f t="shared" si="86"/>
        <v>0</v>
      </c>
      <c r="M209" s="175">
        <f t="shared" si="87"/>
        <v>0</v>
      </c>
      <c r="N209" s="70"/>
      <c r="O209" s="70"/>
      <c r="P209" s="70"/>
      <c r="Q209" s="62">
        <v>27</v>
      </c>
      <c r="R209" s="62">
        <f t="shared" si="88"/>
        <v>33</v>
      </c>
      <c r="S209" s="176"/>
      <c r="T209" s="176"/>
      <c r="U209" s="70"/>
      <c r="V209" s="70"/>
      <c r="W209" s="260"/>
      <c r="X209" s="62">
        <f t="shared" si="89"/>
        <v>0</v>
      </c>
      <c r="Y209" s="70"/>
      <c r="AA209" s="290"/>
      <c r="AB209" s="291"/>
      <c r="AC209" s="62"/>
      <c r="AD209" s="62"/>
      <c r="AE209" s="177">
        <f t="shared" si="90"/>
        <v>0</v>
      </c>
      <c r="AF209" s="177">
        <f t="shared" si="91"/>
        <v>0</v>
      </c>
      <c r="AG209" s="70">
        <f t="shared" si="92"/>
        <v>179597</v>
      </c>
      <c r="AH209" s="70">
        <f t="shared" si="93"/>
        <v>0</v>
      </c>
      <c r="AI209" s="587">
        <v>0</v>
      </c>
      <c r="AJ209" s="178">
        <f t="shared" si="94"/>
        <v>179597</v>
      </c>
      <c r="AK209" s="301">
        <f t="shared" si="95"/>
        <v>0</v>
      </c>
      <c r="AL209" s="70">
        <f t="shared" si="96"/>
        <v>384175</v>
      </c>
      <c r="AM209" s="179">
        <f t="shared" si="97"/>
        <v>133.13647108166282</v>
      </c>
      <c r="AN209" s="179"/>
      <c r="AO209" s="31">
        <f t="shared" si="98"/>
        <v>56151.745291653002</v>
      </c>
      <c r="AP209" s="31">
        <f t="shared" si="99"/>
        <v>0</v>
      </c>
      <c r="AQ209" s="31">
        <f t="shared" si="100"/>
        <v>116778.07681500714</v>
      </c>
      <c r="AR209" s="180" t="str">
        <f t="shared" si="101"/>
        <v/>
      </c>
      <c r="AS209" s="31">
        <f t="shared" si="104"/>
        <v>8744.16</v>
      </c>
      <c r="AU209" s="31">
        <f t="shared" si="102"/>
        <v>0</v>
      </c>
      <c r="AV209" s="177"/>
      <c r="AW209" s="31">
        <f t="shared" si="103"/>
        <v>0</v>
      </c>
    </row>
    <row r="210" spans="1:49">
      <c r="A210" s="102">
        <v>201</v>
      </c>
      <c r="B210" s="7" t="s">
        <v>1906</v>
      </c>
      <c r="C210" s="7">
        <v>1</v>
      </c>
      <c r="D210" s="62">
        <f t="shared" si="79"/>
        <v>157744521.90000004</v>
      </c>
      <c r="E210" s="172">
        <f t="shared" si="80"/>
        <v>132385625</v>
      </c>
      <c r="F210" s="62">
        <f t="shared" si="81"/>
        <v>165003222.23219585</v>
      </c>
      <c r="G210" s="70">
        <f t="shared" si="82"/>
        <v>27078190</v>
      </c>
      <c r="H210" s="62">
        <f t="shared" si="83"/>
        <v>137925032</v>
      </c>
      <c r="I210" s="173">
        <f t="shared" si="84"/>
        <v>5539407</v>
      </c>
      <c r="J210" s="174">
        <f>ROUND(100-'Townwide Contributions'!K210,2)</f>
        <v>78.31</v>
      </c>
      <c r="K210" s="70">
        <f t="shared" si="85"/>
        <v>129214023</v>
      </c>
      <c r="L210" s="70">
        <f t="shared" si="86"/>
        <v>0</v>
      </c>
      <c r="M210" s="175">
        <f t="shared" si="87"/>
        <v>0</v>
      </c>
      <c r="N210" s="70"/>
      <c r="O210" s="70"/>
      <c r="P210" s="70"/>
      <c r="Q210" s="62">
        <v>13469</v>
      </c>
      <c r="R210" s="62">
        <f t="shared" si="88"/>
        <v>13624</v>
      </c>
      <c r="S210" s="176"/>
      <c r="T210" s="176"/>
      <c r="U210" s="70"/>
      <c r="V210" s="70"/>
      <c r="W210" s="260"/>
      <c r="X210" s="62">
        <f t="shared" si="89"/>
        <v>1</v>
      </c>
      <c r="Y210" s="70"/>
      <c r="AA210" s="290"/>
      <c r="AB210" s="291"/>
      <c r="AC210" s="62"/>
      <c r="AD210" s="62"/>
      <c r="AE210" s="177">
        <f t="shared" si="90"/>
        <v>408720</v>
      </c>
      <c r="AF210" s="177">
        <f t="shared" si="91"/>
        <v>0</v>
      </c>
      <c r="AG210" s="70">
        <f t="shared" si="92"/>
        <v>137925032</v>
      </c>
      <c r="AH210" s="70">
        <f t="shared" si="93"/>
        <v>0</v>
      </c>
      <c r="AI210" s="587">
        <v>0</v>
      </c>
      <c r="AJ210" s="178">
        <f t="shared" si="94"/>
        <v>137925032</v>
      </c>
      <c r="AK210" s="301">
        <f t="shared" si="95"/>
        <v>83.589296096235699</v>
      </c>
      <c r="AL210" s="70">
        <f t="shared" si="96"/>
        <v>165003222</v>
      </c>
      <c r="AM210" s="179">
        <f t="shared" si="97"/>
        <v>99.999999859277992</v>
      </c>
      <c r="AN210" s="179"/>
      <c r="AO210" s="31">
        <f t="shared" si="98"/>
        <v>7258700.3321958184</v>
      </c>
      <c r="AP210" s="31">
        <f t="shared" si="99"/>
        <v>5539407</v>
      </c>
      <c r="AQ210" s="31">
        <f t="shared" si="100"/>
        <v>8711008.6699674278</v>
      </c>
      <c r="AR210" s="180">
        <f t="shared" si="101"/>
        <v>5.2792960962356972</v>
      </c>
      <c r="AS210" s="31">
        <f t="shared" si="104"/>
        <v>12111.22</v>
      </c>
      <c r="AU210" s="31">
        <f t="shared" si="102"/>
        <v>0</v>
      </c>
      <c r="AV210" s="177"/>
      <c r="AW210" s="31">
        <f t="shared" si="103"/>
        <v>406.59182325308279</v>
      </c>
    </row>
    <row r="211" spans="1:49">
      <c r="A211" s="102">
        <v>202</v>
      </c>
      <c r="B211" s="7" t="s">
        <v>1907</v>
      </c>
      <c r="C211" s="7">
        <v>0</v>
      </c>
      <c r="D211" s="62">
        <f t="shared" si="79"/>
        <v>0</v>
      </c>
      <c r="E211" s="172">
        <f t="shared" si="80"/>
        <v>0</v>
      </c>
      <c r="F211" s="62">
        <f t="shared" si="81"/>
        <v>0</v>
      </c>
      <c r="G211" s="70">
        <f t="shared" si="82"/>
        <v>0</v>
      </c>
      <c r="H211" s="62">
        <f t="shared" si="83"/>
        <v>0</v>
      </c>
      <c r="I211" s="173">
        <f t="shared" si="84"/>
        <v>0</v>
      </c>
      <c r="J211" s="174">
        <f>ROUND(100-'Townwide Contributions'!K211,2)</f>
        <v>44.27</v>
      </c>
      <c r="K211" s="70">
        <f t="shared" si="85"/>
        <v>0</v>
      </c>
      <c r="L211" s="70">
        <f t="shared" si="86"/>
        <v>0</v>
      </c>
      <c r="M211" s="175">
        <f t="shared" si="87"/>
        <v>0</v>
      </c>
      <c r="N211" s="70"/>
      <c r="O211" s="70"/>
      <c r="P211" s="70"/>
      <c r="Q211" s="62">
        <v>0</v>
      </c>
      <c r="R211" s="62">
        <f t="shared" si="88"/>
        <v>0</v>
      </c>
      <c r="S211" s="176"/>
      <c r="T211" s="176"/>
      <c r="U211" s="70"/>
      <c r="V211" s="70"/>
      <c r="W211" s="260"/>
      <c r="X211" s="62">
        <f t="shared" si="89"/>
        <v>0</v>
      </c>
      <c r="Y211" s="70"/>
      <c r="AA211" s="290"/>
      <c r="AB211" s="291"/>
      <c r="AC211" s="62"/>
      <c r="AD211" s="62"/>
      <c r="AE211" s="177">
        <f t="shared" si="90"/>
        <v>0</v>
      </c>
      <c r="AF211" s="177">
        <f t="shared" si="91"/>
        <v>0</v>
      </c>
      <c r="AG211" s="70">
        <f t="shared" si="92"/>
        <v>0</v>
      </c>
      <c r="AH211" s="70">
        <f t="shared" si="93"/>
        <v>0</v>
      </c>
      <c r="AI211" s="587">
        <v>0</v>
      </c>
      <c r="AJ211" s="178">
        <f t="shared" si="94"/>
        <v>0</v>
      </c>
      <c r="AK211" s="301">
        <f t="shared" si="95"/>
        <v>0</v>
      </c>
      <c r="AL211" s="70">
        <f t="shared" si="96"/>
        <v>0</v>
      </c>
      <c r="AM211" s="179">
        <f t="shared" si="97"/>
        <v>0</v>
      </c>
      <c r="AN211" s="179"/>
      <c r="AO211" s="31">
        <f t="shared" si="98"/>
        <v>0</v>
      </c>
      <c r="AP211" s="31">
        <f t="shared" si="99"/>
        <v>0</v>
      </c>
      <c r="AQ211" s="31">
        <f t="shared" si="100"/>
        <v>0</v>
      </c>
      <c r="AR211" s="180" t="str">
        <f t="shared" si="101"/>
        <v/>
      </c>
      <c r="AS211" s="31">
        <f t="shared" si="104"/>
        <v>0</v>
      </c>
      <c r="AU211" s="31">
        <f t="shared" si="102"/>
        <v>0</v>
      </c>
      <c r="AV211" s="177"/>
      <c r="AW211" s="31">
        <f t="shared" si="103"/>
        <v>0</v>
      </c>
    </row>
    <row r="212" spans="1:49">
      <c r="A212" s="102">
        <v>203</v>
      </c>
      <c r="B212" s="7" t="s">
        <v>1908</v>
      </c>
      <c r="C212" s="7">
        <v>0</v>
      </c>
      <c r="D212" s="62">
        <f t="shared" si="79"/>
        <v>53983.259600000005</v>
      </c>
      <c r="E212" s="172">
        <f t="shared" si="80"/>
        <v>16844</v>
      </c>
      <c r="F212" s="62">
        <f t="shared" si="81"/>
        <v>82603.405821537279</v>
      </c>
      <c r="G212" s="70">
        <f t="shared" si="82"/>
        <v>69230</v>
      </c>
      <c r="H212" s="62">
        <f t="shared" si="83"/>
        <v>13373</v>
      </c>
      <c r="I212" s="173">
        <f t="shared" si="84"/>
        <v>0</v>
      </c>
      <c r="J212" s="174">
        <f>ROUND(100-'Townwide Contributions'!K212,2)</f>
        <v>17.5</v>
      </c>
      <c r="K212" s="70">
        <f t="shared" si="85"/>
        <v>14456</v>
      </c>
      <c r="L212" s="70">
        <f t="shared" si="86"/>
        <v>0</v>
      </c>
      <c r="M212" s="175">
        <f t="shared" si="87"/>
        <v>0</v>
      </c>
      <c r="N212" s="70"/>
      <c r="O212" s="70"/>
      <c r="P212" s="70"/>
      <c r="Q212" s="62">
        <v>4</v>
      </c>
      <c r="R212" s="62">
        <f t="shared" si="88"/>
        <v>6</v>
      </c>
      <c r="S212" s="176"/>
      <c r="T212" s="176"/>
      <c r="U212" s="70"/>
      <c r="V212" s="70"/>
      <c r="W212" s="260"/>
      <c r="X212" s="62">
        <f t="shared" si="89"/>
        <v>0</v>
      </c>
      <c r="Y212" s="70"/>
      <c r="AA212" s="290"/>
      <c r="AB212" s="291"/>
      <c r="AC212" s="62"/>
      <c r="AD212" s="62"/>
      <c r="AE212" s="177">
        <f t="shared" si="90"/>
        <v>0</v>
      </c>
      <c r="AF212" s="177">
        <f t="shared" si="91"/>
        <v>0</v>
      </c>
      <c r="AG212" s="70">
        <f t="shared" si="92"/>
        <v>16844</v>
      </c>
      <c r="AH212" s="70">
        <f t="shared" si="93"/>
        <v>0</v>
      </c>
      <c r="AI212" s="587">
        <v>0</v>
      </c>
      <c r="AJ212" s="178">
        <f t="shared" si="94"/>
        <v>16844</v>
      </c>
      <c r="AK212" s="301">
        <f t="shared" si="95"/>
        <v>0</v>
      </c>
      <c r="AL212" s="70">
        <f t="shared" si="96"/>
        <v>86074</v>
      </c>
      <c r="AM212" s="179">
        <f t="shared" si="97"/>
        <v>104.20151462756979</v>
      </c>
      <c r="AN212" s="179"/>
      <c r="AO212" s="31">
        <f t="shared" si="98"/>
        <v>28620.146221537274</v>
      </c>
      <c r="AP212" s="31">
        <f t="shared" si="99"/>
        <v>0</v>
      </c>
      <c r="AQ212" s="31">
        <f t="shared" si="100"/>
        <v>2388.4039812309766</v>
      </c>
      <c r="AR212" s="180" t="str">
        <f t="shared" si="101"/>
        <v/>
      </c>
      <c r="AS212" s="31">
        <f t="shared" si="104"/>
        <v>13767.23</v>
      </c>
      <c r="AU212" s="31">
        <f t="shared" si="102"/>
        <v>0</v>
      </c>
      <c r="AV212" s="177"/>
      <c r="AW212" s="31">
        <f t="shared" si="103"/>
        <v>0</v>
      </c>
    </row>
    <row r="213" spans="1:49">
      <c r="A213" s="102">
        <v>204</v>
      </c>
      <c r="B213" s="7" t="s">
        <v>1909</v>
      </c>
      <c r="C213" s="7">
        <v>1</v>
      </c>
      <c r="D213" s="62">
        <f t="shared" si="79"/>
        <v>22075387.820000004</v>
      </c>
      <c r="E213" s="172">
        <f t="shared" si="80"/>
        <v>3851291.6660889401</v>
      </c>
      <c r="F213" s="62">
        <f t="shared" si="81"/>
        <v>22572192.428649735</v>
      </c>
      <c r="G213" s="70">
        <f t="shared" si="82"/>
        <v>18688498</v>
      </c>
      <c r="H213" s="62">
        <f t="shared" si="83"/>
        <v>3883694</v>
      </c>
      <c r="I213" s="173">
        <f t="shared" si="84"/>
        <v>32402.33391105989</v>
      </c>
      <c r="J213" s="174">
        <f>ROUND(100-'Townwide Contributions'!K213,2)</f>
        <v>17.5</v>
      </c>
      <c r="K213" s="70">
        <f t="shared" si="85"/>
        <v>3950134</v>
      </c>
      <c r="L213" s="70">
        <f t="shared" si="86"/>
        <v>0</v>
      </c>
      <c r="M213" s="175">
        <f t="shared" si="87"/>
        <v>0</v>
      </c>
      <c r="N213" s="70"/>
      <c r="O213" s="70"/>
      <c r="P213" s="70"/>
      <c r="Q213" s="62">
        <v>2385</v>
      </c>
      <c r="R213" s="62">
        <f t="shared" si="88"/>
        <v>2395</v>
      </c>
      <c r="S213" s="176"/>
      <c r="T213" s="176"/>
      <c r="U213" s="70"/>
      <c r="V213" s="70"/>
      <c r="W213" s="260"/>
      <c r="X213" s="62">
        <f t="shared" si="89"/>
        <v>1</v>
      </c>
      <c r="Y213" s="70"/>
      <c r="AA213" s="290"/>
      <c r="AB213" s="291"/>
      <c r="AC213" s="62"/>
      <c r="AD213" s="62"/>
      <c r="AE213" s="177">
        <f t="shared" si="90"/>
        <v>71850</v>
      </c>
      <c r="AF213" s="177">
        <f t="shared" si="91"/>
        <v>39447.66608894011</v>
      </c>
      <c r="AG213" s="70">
        <f t="shared" si="92"/>
        <v>3923141.6660889401</v>
      </c>
      <c r="AH213" s="70">
        <f t="shared" si="93"/>
        <v>0</v>
      </c>
      <c r="AI213" s="587">
        <v>0</v>
      </c>
      <c r="AJ213" s="178">
        <f t="shared" si="94"/>
        <v>3923141.6660889401</v>
      </c>
      <c r="AK213" s="301">
        <f t="shared" si="95"/>
        <v>17.380419197160023</v>
      </c>
      <c r="AL213" s="70">
        <f t="shared" si="96"/>
        <v>22611639.666088939</v>
      </c>
      <c r="AM213" s="179">
        <f t="shared" si="97"/>
        <v>100.17476032761947</v>
      </c>
      <c r="AN213" s="179"/>
      <c r="AO213" s="31">
        <f t="shared" si="98"/>
        <v>496804.60864973068</v>
      </c>
      <c r="AP213" s="31">
        <f t="shared" si="99"/>
        <v>71850</v>
      </c>
      <c r="AQ213" s="31">
        <f t="shared" si="100"/>
        <v>-26992.008924763184</v>
      </c>
      <c r="AR213" s="180">
        <f t="shared" si="101"/>
        <v>-0.11958080283997674</v>
      </c>
      <c r="AS213" s="31">
        <f t="shared" si="104"/>
        <v>9424.7199999999993</v>
      </c>
      <c r="AU213" s="31">
        <f t="shared" si="102"/>
        <v>0</v>
      </c>
      <c r="AV213" s="177"/>
      <c r="AW213" s="31">
        <f t="shared" si="103"/>
        <v>30</v>
      </c>
    </row>
    <row r="214" spans="1:49">
      <c r="A214" s="102">
        <v>205</v>
      </c>
      <c r="B214" s="7" t="s">
        <v>1910</v>
      </c>
      <c r="C214" s="7">
        <v>0</v>
      </c>
      <c r="D214" s="62">
        <f t="shared" si="79"/>
        <v>13170.920000000002</v>
      </c>
      <c r="E214" s="172">
        <f t="shared" si="80"/>
        <v>2287</v>
      </c>
      <c r="F214" s="62">
        <f t="shared" si="81"/>
        <v>0</v>
      </c>
      <c r="G214" s="70">
        <f t="shared" si="82"/>
        <v>0</v>
      </c>
      <c r="H214" s="62">
        <f t="shared" si="83"/>
        <v>0</v>
      </c>
      <c r="I214" s="173">
        <f t="shared" si="84"/>
        <v>0</v>
      </c>
      <c r="J214" s="174">
        <f>ROUND(100-'Townwide Contributions'!K214,2)</f>
        <v>17.5</v>
      </c>
      <c r="K214" s="70">
        <f t="shared" si="85"/>
        <v>0</v>
      </c>
      <c r="L214" s="70">
        <f t="shared" si="86"/>
        <v>0</v>
      </c>
      <c r="M214" s="175">
        <f t="shared" si="87"/>
        <v>0</v>
      </c>
      <c r="N214" s="70"/>
      <c r="O214" s="70"/>
      <c r="P214" s="70"/>
      <c r="Q214" s="62">
        <v>1</v>
      </c>
      <c r="R214" s="62">
        <f t="shared" si="88"/>
        <v>0</v>
      </c>
      <c r="S214" s="176"/>
      <c r="T214" s="176"/>
      <c r="U214" s="70"/>
      <c r="V214" s="70"/>
      <c r="W214" s="260"/>
      <c r="X214" s="62">
        <f t="shared" si="89"/>
        <v>0</v>
      </c>
      <c r="Y214" s="70"/>
      <c r="AA214" s="290"/>
      <c r="AB214" s="291"/>
      <c r="AC214" s="62"/>
      <c r="AD214" s="62"/>
      <c r="AE214" s="177">
        <f t="shared" si="90"/>
        <v>0</v>
      </c>
      <c r="AF214" s="177">
        <f t="shared" si="91"/>
        <v>0</v>
      </c>
      <c r="AG214" s="70">
        <f t="shared" si="92"/>
        <v>2287</v>
      </c>
      <c r="AH214" s="70">
        <f t="shared" si="93"/>
        <v>2287</v>
      </c>
      <c r="AI214" s="587">
        <v>0</v>
      </c>
      <c r="AJ214" s="178">
        <f t="shared" si="94"/>
        <v>0</v>
      </c>
      <c r="AK214" s="301">
        <f t="shared" si="95"/>
        <v>0</v>
      </c>
      <c r="AL214" s="70">
        <f t="shared" si="96"/>
        <v>0</v>
      </c>
      <c r="AM214" s="179">
        <f t="shared" si="97"/>
        <v>0</v>
      </c>
      <c r="AN214" s="179"/>
      <c r="AO214" s="31">
        <f t="shared" si="98"/>
        <v>-13170.920000000002</v>
      </c>
      <c r="AP214" s="31">
        <f t="shared" si="99"/>
        <v>-2287</v>
      </c>
      <c r="AQ214" s="31">
        <f t="shared" si="100"/>
        <v>0</v>
      </c>
      <c r="AR214" s="180" t="str">
        <f t="shared" si="101"/>
        <v/>
      </c>
      <c r="AS214" s="31">
        <f t="shared" si="104"/>
        <v>0</v>
      </c>
      <c r="AU214" s="31">
        <f t="shared" si="102"/>
        <v>0</v>
      </c>
      <c r="AV214" s="177"/>
      <c r="AW214" s="31">
        <f t="shared" si="103"/>
        <v>0</v>
      </c>
    </row>
    <row r="215" spans="1:49">
      <c r="A215" s="102">
        <v>206</v>
      </c>
      <c r="B215" s="7" t="s">
        <v>1911</v>
      </c>
      <c r="C215" s="7">
        <v>0</v>
      </c>
      <c r="D215" s="62">
        <f t="shared" si="79"/>
        <v>0</v>
      </c>
      <c r="E215" s="172">
        <f t="shared" si="80"/>
        <v>0</v>
      </c>
      <c r="F215" s="62">
        <f t="shared" si="81"/>
        <v>13416.833343589547</v>
      </c>
      <c r="G215" s="70">
        <f t="shared" si="82"/>
        <v>7366</v>
      </c>
      <c r="H215" s="62">
        <f t="shared" si="83"/>
        <v>6051</v>
      </c>
      <c r="I215" s="173">
        <f t="shared" si="84"/>
        <v>6051</v>
      </c>
      <c r="J215" s="174">
        <f>ROUND(100-'Townwide Contributions'!K215,2)</f>
        <v>45.72</v>
      </c>
      <c r="K215" s="70">
        <f t="shared" si="85"/>
        <v>6134</v>
      </c>
      <c r="L215" s="70">
        <f t="shared" si="86"/>
        <v>0</v>
      </c>
      <c r="M215" s="175">
        <f t="shared" si="87"/>
        <v>0</v>
      </c>
      <c r="N215" s="70"/>
      <c r="O215" s="70"/>
      <c r="P215" s="70"/>
      <c r="Q215" s="62">
        <v>0</v>
      </c>
      <c r="R215" s="62">
        <f t="shared" si="88"/>
        <v>1</v>
      </c>
      <c r="S215" s="176"/>
      <c r="T215" s="176"/>
      <c r="U215" s="70"/>
      <c r="V215" s="70"/>
      <c r="W215" s="260"/>
      <c r="X215" s="62">
        <f t="shared" si="89"/>
        <v>0</v>
      </c>
      <c r="Y215" s="70"/>
      <c r="AA215" s="290"/>
      <c r="AB215" s="291"/>
      <c r="AC215" s="62"/>
      <c r="AD215" s="62"/>
      <c r="AE215" s="177">
        <f t="shared" si="90"/>
        <v>0</v>
      </c>
      <c r="AF215" s="177">
        <f t="shared" si="91"/>
        <v>0</v>
      </c>
      <c r="AG215" s="70">
        <f t="shared" si="92"/>
        <v>6051</v>
      </c>
      <c r="AH215" s="70">
        <f t="shared" si="93"/>
        <v>0</v>
      </c>
      <c r="AI215" s="587">
        <v>0</v>
      </c>
      <c r="AJ215" s="178">
        <f t="shared" si="94"/>
        <v>6051</v>
      </c>
      <c r="AK215" s="301">
        <f t="shared" si="95"/>
        <v>0</v>
      </c>
      <c r="AL215" s="70">
        <f t="shared" si="96"/>
        <v>13417</v>
      </c>
      <c r="AM215" s="179">
        <f t="shared" si="97"/>
        <v>100.0012421441497</v>
      </c>
      <c r="AN215" s="179"/>
      <c r="AO215" s="31">
        <f t="shared" si="98"/>
        <v>13416.833343589547</v>
      </c>
      <c r="AP215" s="31">
        <f t="shared" si="99"/>
        <v>6051</v>
      </c>
      <c r="AQ215" s="31">
        <f t="shared" si="100"/>
        <v>-83.176204689140832</v>
      </c>
      <c r="AR215" s="180" t="str">
        <f t="shared" si="101"/>
        <v/>
      </c>
      <c r="AS215" s="31">
        <f t="shared" si="104"/>
        <v>13416.83</v>
      </c>
      <c r="AU215" s="31">
        <f t="shared" si="102"/>
        <v>0</v>
      </c>
      <c r="AV215" s="177"/>
      <c r="AW215" s="31">
        <f t="shared" si="103"/>
        <v>6051</v>
      </c>
    </row>
    <row r="216" spans="1:49">
      <c r="A216" s="102">
        <v>207</v>
      </c>
      <c r="B216" s="7" t="s">
        <v>1912</v>
      </c>
      <c r="C216" s="7">
        <v>1</v>
      </c>
      <c r="D216" s="62">
        <f t="shared" si="79"/>
        <v>126430397.79993999</v>
      </c>
      <c r="E216" s="172">
        <f t="shared" si="80"/>
        <v>21180365</v>
      </c>
      <c r="F216" s="62">
        <f t="shared" si="81"/>
        <v>131452274.44548996</v>
      </c>
      <c r="G216" s="70">
        <f t="shared" si="82"/>
        <v>108662422</v>
      </c>
      <c r="H216" s="62">
        <f t="shared" si="83"/>
        <v>22789852</v>
      </c>
      <c r="I216" s="173">
        <f t="shared" si="84"/>
        <v>1609487</v>
      </c>
      <c r="J216" s="174">
        <f>ROUND(100-'Townwide Contributions'!K216,2)</f>
        <v>17.5</v>
      </c>
      <c r="K216" s="70">
        <f t="shared" si="85"/>
        <v>23004148</v>
      </c>
      <c r="L216" s="70">
        <f t="shared" si="86"/>
        <v>0</v>
      </c>
      <c r="M216" s="175">
        <f t="shared" si="87"/>
        <v>0</v>
      </c>
      <c r="N216" s="70"/>
      <c r="O216" s="70"/>
      <c r="P216" s="70"/>
      <c r="Q216" s="62">
        <v>12730</v>
      </c>
      <c r="R216" s="62">
        <f t="shared" si="88"/>
        <v>12857</v>
      </c>
      <c r="S216" s="176"/>
      <c r="T216" s="176"/>
      <c r="U216" s="70"/>
      <c r="V216" s="70"/>
      <c r="W216" s="260"/>
      <c r="X216" s="62">
        <f t="shared" si="89"/>
        <v>1</v>
      </c>
      <c r="Y216" s="70"/>
      <c r="AA216" s="290"/>
      <c r="AB216" s="291"/>
      <c r="AC216" s="62"/>
      <c r="AD216" s="62"/>
      <c r="AE216" s="177">
        <f t="shared" si="90"/>
        <v>385710</v>
      </c>
      <c r="AF216" s="177">
        <f t="shared" si="91"/>
        <v>0</v>
      </c>
      <c r="AG216" s="70">
        <f t="shared" si="92"/>
        <v>22789852</v>
      </c>
      <c r="AH216" s="70">
        <f t="shared" si="93"/>
        <v>0</v>
      </c>
      <c r="AI216" s="587">
        <v>0</v>
      </c>
      <c r="AJ216" s="178">
        <f t="shared" si="94"/>
        <v>22789852</v>
      </c>
      <c r="AK216" s="301">
        <f t="shared" si="95"/>
        <v>17.336978075225616</v>
      </c>
      <c r="AL216" s="70">
        <f t="shared" si="96"/>
        <v>131452274</v>
      </c>
      <c r="AM216" s="179">
        <f t="shared" si="97"/>
        <v>99.99999966110137</v>
      </c>
      <c r="AN216" s="179"/>
      <c r="AO216" s="31">
        <f t="shared" si="98"/>
        <v>5021876.6455499679</v>
      </c>
      <c r="AP216" s="31">
        <f t="shared" si="99"/>
        <v>1609487</v>
      </c>
      <c r="AQ216" s="31">
        <f t="shared" si="100"/>
        <v>-214296.02796074003</v>
      </c>
      <c r="AR216" s="180">
        <f t="shared" si="101"/>
        <v>-0.16302192477438382</v>
      </c>
      <c r="AS216" s="31">
        <f t="shared" si="104"/>
        <v>10224.18</v>
      </c>
      <c r="AU216" s="31">
        <f t="shared" si="102"/>
        <v>0</v>
      </c>
      <c r="AV216" s="177"/>
      <c r="AW216" s="31">
        <f t="shared" si="103"/>
        <v>125.18371315236836</v>
      </c>
    </row>
    <row r="217" spans="1:49">
      <c r="A217" s="102">
        <v>208</v>
      </c>
      <c r="B217" s="7" t="s">
        <v>1913</v>
      </c>
      <c r="C217" s="7">
        <v>1</v>
      </c>
      <c r="D217" s="62">
        <f t="shared" si="79"/>
        <v>7797859.3176300004</v>
      </c>
      <c r="E217" s="172">
        <f t="shared" si="80"/>
        <v>3380055</v>
      </c>
      <c r="F217" s="62">
        <f t="shared" si="81"/>
        <v>8254868.1418577991</v>
      </c>
      <c r="G217" s="70">
        <f t="shared" si="82"/>
        <v>6844844</v>
      </c>
      <c r="H217" s="62">
        <f t="shared" si="83"/>
        <v>1410024</v>
      </c>
      <c r="I217" s="173">
        <f t="shared" si="84"/>
        <v>0</v>
      </c>
      <c r="J217" s="174">
        <f>ROUND(100-'Townwide Contributions'!K217,2)</f>
        <v>17.5</v>
      </c>
      <c r="K217" s="70">
        <f t="shared" si="85"/>
        <v>1444602</v>
      </c>
      <c r="L217" s="70">
        <f t="shared" si="86"/>
        <v>0</v>
      </c>
      <c r="M217" s="175">
        <f t="shared" si="87"/>
        <v>0</v>
      </c>
      <c r="N217" s="70"/>
      <c r="O217" s="70"/>
      <c r="P217" s="70"/>
      <c r="Q217" s="62">
        <v>865</v>
      </c>
      <c r="R217" s="62">
        <f t="shared" si="88"/>
        <v>892</v>
      </c>
      <c r="S217" s="176"/>
      <c r="T217" s="176"/>
      <c r="U217" s="70"/>
      <c r="V217" s="70"/>
      <c r="W217" s="260"/>
      <c r="X217" s="62">
        <f t="shared" si="89"/>
        <v>0</v>
      </c>
      <c r="Y217" s="70"/>
      <c r="AA217" s="290"/>
      <c r="AB217" s="291"/>
      <c r="AC217" s="62"/>
      <c r="AD217" s="62"/>
      <c r="AE217" s="177">
        <f t="shared" si="90"/>
        <v>26760</v>
      </c>
      <c r="AF217" s="177">
        <f t="shared" si="91"/>
        <v>26760</v>
      </c>
      <c r="AG217" s="70">
        <f t="shared" si="92"/>
        <v>3406815</v>
      </c>
      <c r="AH217" s="70">
        <f t="shared" si="93"/>
        <v>0</v>
      </c>
      <c r="AI217" s="587">
        <v>0</v>
      </c>
      <c r="AJ217" s="178">
        <f t="shared" si="94"/>
        <v>3406815</v>
      </c>
      <c r="AK217" s="301">
        <f t="shared" si="95"/>
        <v>41.270374540874002</v>
      </c>
      <c r="AL217" s="70">
        <f t="shared" si="96"/>
        <v>10251659</v>
      </c>
      <c r="AM217" s="179">
        <f t="shared" si="97"/>
        <v>124.18925201260468</v>
      </c>
      <c r="AN217" s="179"/>
      <c r="AO217" s="31">
        <f t="shared" si="98"/>
        <v>457008.82422779873</v>
      </c>
      <c r="AP217" s="31">
        <f t="shared" si="99"/>
        <v>26760</v>
      </c>
      <c r="AQ217" s="31">
        <f t="shared" si="100"/>
        <v>1962213.0751748853</v>
      </c>
      <c r="AR217" s="180">
        <f t="shared" si="101"/>
        <v>23.770374540874002</v>
      </c>
      <c r="AS217" s="31">
        <f t="shared" si="104"/>
        <v>9254.34</v>
      </c>
      <c r="AU217" s="31">
        <f t="shared" si="102"/>
        <v>0</v>
      </c>
      <c r="AV217" s="177"/>
      <c r="AW217" s="31">
        <f t="shared" si="103"/>
        <v>30</v>
      </c>
    </row>
    <row r="218" spans="1:49">
      <c r="A218" s="102">
        <v>209</v>
      </c>
      <c r="B218" s="7" t="s">
        <v>1914</v>
      </c>
      <c r="C218" s="7">
        <v>1</v>
      </c>
      <c r="D218" s="62">
        <f t="shared" si="79"/>
        <v>16484834.819999997</v>
      </c>
      <c r="E218" s="172">
        <f t="shared" si="80"/>
        <v>13676653</v>
      </c>
      <c r="F218" s="62">
        <f t="shared" si="81"/>
        <v>17145309.629568465</v>
      </c>
      <c r="G218" s="70">
        <f t="shared" si="82"/>
        <v>5100302</v>
      </c>
      <c r="H218" s="62">
        <f t="shared" si="83"/>
        <v>12045008</v>
      </c>
      <c r="I218" s="173">
        <f t="shared" si="84"/>
        <v>0</v>
      </c>
      <c r="J218" s="174">
        <f>ROUND(100-'Townwide Contributions'!K218,2)</f>
        <v>70.55</v>
      </c>
      <c r="K218" s="70">
        <f t="shared" si="85"/>
        <v>12096016</v>
      </c>
      <c r="L218" s="70">
        <f t="shared" si="86"/>
        <v>0</v>
      </c>
      <c r="M218" s="175">
        <f t="shared" si="87"/>
        <v>0</v>
      </c>
      <c r="N218" s="70"/>
      <c r="O218" s="70"/>
      <c r="P218" s="70"/>
      <c r="Q218" s="62">
        <v>1477</v>
      </c>
      <c r="R218" s="62">
        <f t="shared" si="88"/>
        <v>1506</v>
      </c>
      <c r="S218" s="176"/>
      <c r="T218" s="176"/>
      <c r="U218" s="70"/>
      <c r="V218" s="70"/>
      <c r="W218" s="260"/>
      <c r="X218" s="62">
        <f t="shared" si="89"/>
        <v>0</v>
      </c>
      <c r="Y218" s="70"/>
      <c r="AA218" s="290"/>
      <c r="AB218" s="291"/>
      <c r="AC218" s="62"/>
      <c r="AD218" s="62"/>
      <c r="AE218" s="177">
        <f t="shared" si="90"/>
        <v>45180</v>
      </c>
      <c r="AF218" s="177">
        <f t="shared" si="91"/>
        <v>45180</v>
      </c>
      <c r="AG218" s="70">
        <f t="shared" si="92"/>
        <v>13721833</v>
      </c>
      <c r="AH218" s="70">
        <f t="shared" si="93"/>
        <v>0</v>
      </c>
      <c r="AI218" s="587">
        <v>0</v>
      </c>
      <c r="AJ218" s="178">
        <f t="shared" si="94"/>
        <v>13721833</v>
      </c>
      <c r="AK218" s="301">
        <f t="shared" si="95"/>
        <v>80.032576234934808</v>
      </c>
      <c r="AL218" s="70">
        <f t="shared" si="96"/>
        <v>18822135</v>
      </c>
      <c r="AM218" s="179">
        <f t="shared" si="97"/>
        <v>109.78008217209279</v>
      </c>
      <c r="AN218" s="179"/>
      <c r="AO218" s="31">
        <f t="shared" si="98"/>
        <v>660474.80956846848</v>
      </c>
      <c r="AP218" s="31">
        <f t="shared" si="99"/>
        <v>45180</v>
      </c>
      <c r="AQ218" s="31">
        <f t="shared" si="100"/>
        <v>1625817.0563394483</v>
      </c>
      <c r="AR218" s="180">
        <f t="shared" si="101"/>
        <v>9.4825762349348111</v>
      </c>
      <c r="AS218" s="31">
        <f t="shared" si="104"/>
        <v>11384.67</v>
      </c>
      <c r="AU218" s="31">
        <f t="shared" si="102"/>
        <v>0</v>
      </c>
      <c r="AV218" s="177"/>
      <c r="AW218" s="31">
        <f t="shared" si="103"/>
        <v>30</v>
      </c>
    </row>
    <row r="219" spans="1:49">
      <c r="A219" s="102">
        <v>210</v>
      </c>
      <c r="B219" s="7" t="s">
        <v>1915</v>
      </c>
      <c r="C219" s="7">
        <v>1</v>
      </c>
      <c r="D219" s="62">
        <f t="shared" si="79"/>
        <v>27410585.139999997</v>
      </c>
      <c r="E219" s="172">
        <f t="shared" si="80"/>
        <v>7313539</v>
      </c>
      <c r="F219" s="62">
        <f t="shared" si="81"/>
        <v>27919380.14575414</v>
      </c>
      <c r="G219" s="70">
        <f t="shared" si="82"/>
        <v>23143930</v>
      </c>
      <c r="H219" s="62">
        <f t="shared" si="83"/>
        <v>4775450</v>
      </c>
      <c r="I219" s="173">
        <f t="shared" si="84"/>
        <v>0</v>
      </c>
      <c r="J219" s="174">
        <f>ROUND(100-'Townwide Contributions'!K219,2)</f>
        <v>17.5</v>
      </c>
      <c r="K219" s="70">
        <f t="shared" si="85"/>
        <v>4885892</v>
      </c>
      <c r="L219" s="70">
        <f t="shared" si="86"/>
        <v>0</v>
      </c>
      <c r="M219" s="175">
        <f t="shared" si="87"/>
        <v>0</v>
      </c>
      <c r="N219" s="70"/>
      <c r="O219" s="70"/>
      <c r="P219" s="70"/>
      <c r="Q219" s="62">
        <v>2742</v>
      </c>
      <c r="R219" s="62">
        <f t="shared" si="88"/>
        <v>2746</v>
      </c>
      <c r="S219" s="176"/>
      <c r="T219" s="176"/>
      <c r="U219" s="70"/>
      <c r="V219" s="70"/>
      <c r="W219" s="260"/>
      <c r="X219" s="62">
        <f t="shared" si="89"/>
        <v>0</v>
      </c>
      <c r="Y219" s="70"/>
      <c r="AA219" s="290"/>
      <c r="AB219" s="291"/>
      <c r="AC219" s="62"/>
      <c r="AD219" s="62"/>
      <c r="AE219" s="177">
        <f t="shared" si="90"/>
        <v>82380</v>
      </c>
      <c r="AF219" s="177">
        <f t="shared" si="91"/>
        <v>82380</v>
      </c>
      <c r="AG219" s="70">
        <f t="shared" si="92"/>
        <v>7395919</v>
      </c>
      <c r="AH219" s="70">
        <f t="shared" si="93"/>
        <v>0</v>
      </c>
      <c r="AI219" s="587">
        <v>0</v>
      </c>
      <c r="AJ219" s="178">
        <f t="shared" si="94"/>
        <v>7395919</v>
      </c>
      <c r="AK219" s="301">
        <f t="shared" si="95"/>
        <v>26.490269344768169</v>
      </c>
      <c r="AL219" s="70">
        <f t="shared" si="96"/>
        <v>30539849</v>
      </c>
      <c r="AM219" s="179">
        <f t="shared" si="97"/>
        <v>109.38584180796855</v>
      </c>
      <c r="AN219" s="179"/>
      <c r="AO219" s="31">
        <f t="shared" si="98"/>
        <v>508795.005754143</v>
      </c>
      <c r="AP219" s="31">
        <f t="shared" si="99"/>
        <v>82380</v>
      </c>
      <c r="AQ219" s="31">
        <f t="shared" si="100"/>
        <v>2510027.4744930258</v>
      </c>
      <c r="AR219" s="180">
        <f t="shared" si="101"/>
        <v>8.9902693447681692</v>
      </c>
      <c r="AS219" s="31">
        <f t="shared" si="104"/>
        <v>10167.290000000001</v>
      </c>
      <c r="AU219" s="31">
        <f t="shared" si="102"/>
        <v>0</v>
      </c>
      <c r="AV219" s="177"/>
      <c r="AW219" s="31">
        <f t="shared" si="103"/>
        <v>30</v>
      </c>
    </row>
    <row r="220" spans="1:49">
      <c r="A220" s="102">
        <v>211</v>
      </c>
      <c r="B220" s="7" t="s">
        <v>1916</v>
      </c>
      <c r="C220" s="7">
        <v>1</v>
      </c>
      <c r="D220" s="62">
        <f t="shared" si="79"/>
        <v>44605186.620000005</v>
      </c>
      <c r="E220" s="172">
        <f t="shared" si="80"/>
        <v>8181977</v>
      </c>
      <c r="F220" s="62">
        <f t="shared" si="81"/>
        <v>46314260.801910989</v>
      </c>
      <c r="G220" s="70">
        <f t="shared" si="82"/>
        <v>38259940</v>
      </c>
      <c r="H220" s="62">
        <f t="shared" si="83"/>
        <v>8054321</v>
      </c>
      <c r="I220" s="173">
        <f t="shared" si="84"/>
        <v>0</v>
      </c>
      <c r="J220" s="174">
        <f>ROUND(100-'Townwide Contributions'!K220,2)</f>
        <v>17.5</v>
      </c>
      <c r="K220" s="70">
        <f t="shared" si="85"/>
        <v>8104996</v>
      </c>
      <c r="L220" s="70">
        <f t="shared" si="86"/>
        <v>0</v>
      </c>
      <c r="M220" s="175">
        <f t="shared" si="87"/>
        <v>0</v>
      </c>
      <c r="N220" s="70"/>
      <c r="O220" s="70"/>
      <c r="P220" s="70"/>
      <c r="Q220" s="62">
        <v>4736</v>
      </c>
      <c r="R220" s="62">
        <f t="shared" si="88"/>
        <v>4811</v>
      </c>
      <c r="S220" s="176"/>
      <c r="T220" s="176"/>
      <c r="U220" s="70"/>
      <c r="V220" s="70"/>
      <c r="W220" s="260"/>
      <c r="X220" s="62">
        <f t="shared" si="89"/>
        <v>0</v>
      </c>
      <c r="Y220" s="70"/>
      <c r="AA220" s="290"/>
      <c r="AB220" s="291"/>
      <c r="AC220" s="62"/>
      <c r="AD220" s="62"/>
      <c r="AE220" s="177">
        <f t="shared" si="90"/>
        <v>144330</v>
      </c>
      <c r="AF220" s="177">
        <f t="shared" si="91"/>
        <v>144330</v>
      </c>
      <c r="AG220" s="70">
        <f t="shared" si="92"/>
        <v>8326307</v>
      </c>
      <c r="AH220" s="70">
        <f t="shared" si="93"/>
        <v>0</v>
      </c>
      <c r="AI220" s="587">
        <v>0</v>
      </c>
      <c r="AJ220" s="178">
        <f t="shared" si="94"/>
        <v>8326307</v>
      </c>
      <c r="AK220" s="301">
        <f t="shared" si="95"/>
        <v>17.977847116274056</v>
      </c>
      <c r="AL220" s="70">
        <f t="shared" si="96"/>
        <v>46586247</v>
      </c>
      <c r="AM220" s="179">
        <f t="shared" si="97"/>
        <v>100.58726231052745</v>
      </c>
      <c r="AN220" s="179"/>
      <c r="AO220" s="31">
        <f t="shared" si="98"/>
        <v>1709074.1819109842</v>
      </c>
      <c r="AP220" s="31">
        <f t="shared" si="99"/>
        <v>144330</v>
      </c>
      <c r="AQ220" s="31">
        <f t="shared" si="100"/>
        <v>221311.3596655773</v>
      </c>
      <c r="AR220" s="180">
        <f t="shared" si="101"/>
        <v>0.47784711627405585</v>
      </c>
      <c r="AS220" s="31">
        <f t="shared" si="104"/>
        <v>9626.74</v>
      </c>
      <c r="AU220" s="31">
        <f t="shared" si="102"/>
        <v>0</v>
      </c>
      <c r="AV220" s="177"/>
      <c r="AW220" s="31">
        <f t="shared" si="103"/>
        <v>30</v>
      </c>
    </row>
    <row r="221" spans="1:49">
      <c r="A221" s="102">
        <v>212</v>
      </c>
      <c r="B221" s="7" t="s">
        <v>1917</v>
      </c>
      <c r="C221" s="7">
        <v>1</v>
      </c>
      <c r="D221" s="62">
        <f t="shared" si="79"/>
        <v>41721975.079999998</v>
      </c>
      <c r="E221" s="172">
        <f t="shared" si="80"/>
        <v>20297411</v>
      </c>
      <c r="F221" s="62">
        <f t="shared" si="81"/>
        <v>42205783.552439779</v>
      </c>
      <c r="G221" s="70">
        <f t="shared" si="82"/>
        <v>25945113</v>
      </c>
      <c r="H221" s="62">
        <f t="shared" si="83"/>
        <v>16260671</v>
      </c>
      <c r="I221" s="173">
        <f t="shared" si="84"/>
        <v>0</v>
      </c>
      <c r="J221" s="174">
        <f>ROUND(100-'Townwide Contributions'!K221,2)</f>
        <v>38.47</v>
      </c>
      <c r="K221" s="70">
        <f t="shared" si="85"/>
        <v>16236565</v>
      </c>
      <c r="L221" s="70">
        <f t="shared" si="86"/>
        <v>0</v>
      </c>
      <c r="M221" s="175">
        <f t="shared" si="87"/>
        <v>0</v>
      </c>
      <c r="N221" s="70"/>
      <c r="O221" s="70"/>
      <c r="P221" s="70"/>
      <c r="Q221" s="62">
        <v>4395</v>
      </c>
      <c r="R221" s="62">
        <f t="shared" si="88"/>
        <v>4346</v>
      </c>
      <c r="S221" s="176"/>
      <c r="T221" s="176"/>
      <c r="U221" s="70"/>
      <c r="V221" s="70"/>
      <c r="W221" s="260"/>
      <c r="X221" s="62">
        <f t="shared" si="89"/>
        <v>0</v>
      </c>
      <c r="Y221" s="70"/>
      <c r="AA221" s="290"/>
      <c r="AB221" s="291"/>
      <c r="AC221" s="62"/>
      <c r="AD221" s="62"/>
      <c r="AE221" s="177">
        <f t="shared" si="90"/>
        <v>130380</v>
      </c>
      <c r="AF221" s="177">
        <f t="shared" si="91"/>
        <v>130380</v>
      </c>
      <c r="AG221" s="70">
        <f t="shared" si="92"/>
        <v>20427791</v>
      </c>
      <c r="AH221" s="70">
        <f t="shared" si="93"/>
        <v>0</v>
      </c>
      <c r="AI221" s="587">
        <v>0</v>
      </c>
      <c r="AJ221" s="178">
        <f t="shared" si="94"/>
        <v>20427791</v>
      </c>
      <c r="AK221" s="301">
        <f t="shared" si="95"/>
        <v>48.40045434678143</v>
      </c>
      <c r="AL221" s="70">
        <f t="shared" si="96"/>
        <v>46372904</v>
      </c>
      <c r="AM221" s="179">
        <f t="shared" si="97"/>
        <v>109.87333985254098</v>
      </c>
      <c r="AN221" s="179"/>
      <c r="AO221" s="31">
        <f t="shared" si="98"/>
        <v>483808.47243978083</v>
      </c>
      <c r="AP221" s="31">
        <f t="shared" si="99"/>
        <v>130380</v>
      </c>
      <c r="AQ221" s="31">
        <f t="shared" si="100"/>
        <v>4191226.067376418</v>
      </c>
      <c r="AR221" s="180">
        <f t="shared" si="101"/>
        <v>9.9304543467814312</v>
      </c>
      <c r="AS221" s="31">
        <f t="shared" si="104"/>
        <v>9711.41</v>
      </c>
      <c r="AU221" s="31">
        <f t="shared" si="102"/>
        <v>0</v>
      </c>
      <c r="AV221" s="177"/>
      <c r="AW221" s="31">
        <f t="shared" si="103"/>
        <v>30</v>
      </c>
    </row>
    <row r="222" spans="1:49">
      <c r="A222" s="102">
        <v>213</v>
      </c>
      <c r="B222" s="7" t="s">
        <v>1918</v>
      </c>
      <c r="C222" s="7">
        <v>1</v>
      </c>
      <c r="D222" s="62">
        <f t="shared" si="79"/>
        <v>15196910.26</v>
      </c>
      <c r="E222" s="172">
        <f t="shared" si="80"/>
        <v>3849770.0384160001</v>
      </c>
      <c r="F222" s="62">
        <f t="shared" si="81"/>
        <v>15015400.577264598</v>
      </c>
      <c r="G222" s="70">
        <f t="shared" si="82"/>
        <v>12501814</v>
      </c>
      <c r="H222" s="62">
        <f t="shared" si="83"/>
        <v>2513587</v>
      </c>
      <c r="I222" s="173">
        <f t="shared" si="84"/>
        <v>0</v>
      </c>
      <c r="J222" s="174">
        <f>ROUND(100-'Townwide Contributions'!K222,2)</f>
        <v>17.5</v>
      </c>
      <c r="K222" s="70">
        <f t="shared" si="85"/>
        <v>2627695</v>
      </c>
      <c r="L222" s="70">
        <f t="shared" si="86"/>
        <v>0</v>
      </c>
      <c r="M222" s="175">
        <f t="shared" si="87"/>
        <v>0</v>
      </c>
      <c r="N222" s="70"/>
      <c r="O222" s="70"/>
      <c r="P222" s="70"/>
      <c r="Q222" s="62">
        <v>1697</v>
      </c>
      <c r="R222" s="62">
        <f t="shared" si="88"/>
        <v>1642</v>
      </c>
      <c r="S222" s="176"/>
      <c r="T222" s="176"/>
      <c r="U222" s="70"/>
      <c r="V222" s="70"/>
      <c r="W222" s="260"/>
      <c r="X222" s="62">
        <f t="shared" si="89"/>
        <v>0</v>
      </c>
      <c r="Y222" s="70"/>
      <c r="AA222" s="290"/>
      <c r="AB222" s="291"/>
      <c r="AC222" s="62"/>
      <c r="AD222" s="62"/>
      <c r="AE222" s="177">
        <f t="shared" si="90"/>
        <v>49260</v>
      </c>
      <c r="AF222" s="177">
        <f t="shared" si="91"/>
        <v>49260</v>
      </c>
      <c r="AG222" s="70">
        <f t="shared" si="92"/>
        <v>3899030.0384160001</v>
      </c>
      <c r="AH222" s="70">
        <f t="shared" si="93"/>
        <v>0</v>
      </c>
      <c r="AI222" s="587">
        <v>0</v>
      </c>
      <c r="AJ222" s="178">
        <f t="shared" si="94"/>
        <v>3899030.0384160001</v>
      </c>
      <c r="AK222" s="301">
        <f t="shared" si="95"/>
        <v>25.966873266902201</v>
      </c>
      <c r="AL222" s="70">
        <f t="shared" si="96"/>
        <v>16400844.038416</v>
      </c>
      <c r="AM222" s="179">
        <f t="shared" si="97"/>
        <v>109.22681652096018</v>
      </c>
      <c r="AN222" s="179"/>
      <c r="AO222" s="31">
        <f t="shared" si="98"/>
        <v>-181509.68273540214</v>
      </c>
      <c r="AP222" s="31">
        <f t="shared" si="99"/>
        <v>49260</v>
      </c>
      <c r="AQ222" s="31">
        <f t="shared" si="100"/>
        <v>1271334.9373946958</v>
      </c>
      <c r="AR222" s="180">
        <f t="shared" si="101"/>
        <v>8.4668732669022013</v>
      </c>
      <c r="AS222" s="31">
        <f t="shared" si="104"/>
        <v>9144.58</v>
      </c>
      <c r="AU222" s="31">
        <f t="shared" si="102"/>
        <v>0</v>
      </c>
      <c r="AV222" s="177"/>
      <c r="AW222" s="31">
        <f t="shared" si="103"/>
        <v>30</v>
      </c>
    </row>
    <row r="223" spans="1:49">
      <c r="A223" s="102">
        <v>214</v>
      </c>
      <c r="B223" s="7" t="s">
        <v>1919</v>
      </c>
      <c r="C223" s="7">
        <v>1</v>
      </c>
      <c r="D223" s="62">
        <f t="shared" si="79"/>
        <v>23427188.930000003</v>
      </c>
      <c r="E223" s="172">
        <f t="shared" si="80"/>
        <v>15403891</v>
      </c>
      <c r="F223" s="62">
        <f t="shared" si="81"/>
        <v>23615219.37740108</v>
      </c>
      <c r="G223" s="70">
        <f t="shared" si="82"/>
        <v>11369969</v>
      </c>
      <c r="H223" s="62">
        <f t="shared" si="83"/>
        <v>12245250</v>
      </c>
      <c r="I223" s="173">
        <f t="shared" si="84"/>
        <v>0</v>
      </c>
      <c r="J223" s="174">
        <f>ROUND(100-'Townwide Contributions'!K223,2)</f>
        <v>50.01</v>
      </c>
      <c r="K223" s="70">
        <f t="shared" si="85"/>
        <v>11809971</v>
      </c>
      <c r="L223" s="70">
        <f t="shared" si="86"/>
        <v>0</v>
      </c>
      <c r="M223" s="175">
        <f t="shared" si="87"/>
        <v>0</v>
      </c>
      <c r="N223" s="70"/>
      <c r="O223" s="70"/>
      <c r="P223" s="70"/>
      <c r="Q223" s="62">
        <v>2342</v>
      </c>
      <c r="R223" s="62">
        <f t="shared" si="88"/>
        <v>2305</v>
      </c>
      <c r="S223" s="176"/>
      <c r="T223" s="176"/>
      <c r="U223" s="70"/>
      <c r="V223" s="70"/>
      <c r="W223" s="260"/>
      <c r="X223" s="62">
        <f t="shared" si="89"/>
        <v>0</v>
      </c>
      <c r="Y223" s="70"/>
      <c r="AA223" s="290"/>
      <c r="AB223" s="291"/>
      <c r="AC223" s="62"/>
      <c r="AD223" s="62"/>
      <c r="AE223" s="177">
        <f t="shared" si="90"/>
        <v>69150</v>
      </c>
      <c r="AF223" s="177">
        <f t="shared" si="91"/>
        <v>69150</v>
      </c>
      <c r="AG223" s="70">
        <f t="shared" si="92"/>
        <v>15473041</v>
      </c>
      <c r="AH223" s="70">
        <f t="shared" si="93"/>
        <v>0</v>
      </c>
      <c r="AI223" s="587">
        <v>0</v>
      </c>
      <c r="AJ223" s="178">
        <f t="shared" si="94"/>
        <v>15473041</v>
      </c>
      <c r="AK223" s="301">
        <f t="shared" si="95"/>
        <v>65.521478978116747</v>
      </c>
      <c r="AL223" s="70">
        <f t="shared" si="96"/>
        <v>26843010</v>
      </c>
      <c r="AM223" s="179">
        <f t="shared" si="97"/>
        <v>113.66826439769515</v>
      </c>
      <c r="AN223" s="179"/>
      <c r="AO223" s="31">
        <f t="shared" si="98"/>
        <v>188030.44740107656</v>
      </c>
      <c r="AP223" s="31">
        <f t="shared" si="99"/>
        <v>69150</v>
      </c>
      <c r="AQ223" s="31">
        <f t="shared" si="100"/>
        <v>3663069.7893617209</v>
      </c>
      <c r="AR223" s="180">
        <f t="shared" si="101"/>
        <v>15.511478978116749</v>
      </c>
      <c r="AS223" s="31">
        <f t="shared" si="104"/>
        <v>10245.209999999999</v>
      </c>
      <c r="AU223" s="31">
        <f t="shared" si="102"/>
        <v>0</v>
      </c>
      <c r="AV223" s="177"/>
      <c r="AW223" s="31">
        <f t="shared" si="103"/>
        <v>30</v>
      </c>
    </row>
    <row r="224" spans="1:49">
      <c r="A224" s="102">
        <v>215</v>
      </c>
      <c r="B224" s="7" t="s">
        <v>1920</v>
      </c>
      <c r="C224" s="7">
        <v>1</v>
      </c>
      <c r="D224" s="62">
        <f t="shared" si="79"/>
        <v>6192391.8499999996</v>
      </c>
      <c r="E224" s="172">
        <f t="shared" si="80"/>
        <v>4236418</v>
      </c>
      <c r="F224" s="62">
        <f t="shared" si="81"/>
        <v>6199650.4699848695</v>
      </c>
      <c r="G224" s="70">
        <f t="shared" si="82"/>
        <v>2812304</v>
      </c>
      <c r="H224" s="62">
        <f t="shared" si="83"/>
        <v>3387346</v>
      </c>
      <c r="I224" s="173">
        <f t="shared" si="84"/>
        <v>0</v>
      </c>
      <c r="J224" s="174">
        <f>ROUND(100-'Townwide Contributions'!K224,2)</f>
        <v>55.02</v>
      </c>
      <c r="K224" s="70">
        <f t="shared" si="85"/>
        <v>3411048</v>
      </c>
      <c r="L224" s="70">
        <f t="shared" si="86"/>
        <v>0</v>
      </c>
      <c r="M224" s="175">
        <f t="shared" si="87"/>
        <v>0</v>
      </c>
      <c r="N224" s="70"/>
      <c r="O224" s="70"/>
      <c r="P224" s="70"/>
      <c r="Q224" s="62">
        <v>606</v>
      </c>
      <c r="R224" s="62">
        <f t="shared" si="88"/>
        <v>596</v>
      </c>
      <c r="S224" s="176"/>
      <c r="T224" s="176"/>
      <c r="U224" s="70"/>
      <c r="V224" s="70"/>
      <c r="W224" s="260"/>
      <c r="X224" s="62">
        <f t="shared" si="89"/>
        <v>0</v>
      </c>
      <c r="Y224" s="70"/>
      <c r="AA224" s="290"/>
      <c r="AB224" s="291"/>
      <c r="AC224" s="62"/>
      <c r="AD224" s="62"/>
      <c r="AE224" s="177">
        <f t="shared" si="90"/>
        <v>17880</v>
      </c>
      <c r="AF224" s="177">
        <f t="shared" si="91"/>
        <v>17880</v>
      </c>
      <c r="AG224" s="70">
        <f t="shared" si="92"/>
        <v>4254298</v>
      </c>
      <c r="AH224" s="70">
        <f t="shared" si="93"/>
        <v>0</v>
      </c>
      <c r="AI224" s="587">
        <v>0</v>
      </c>
      <c r="AJ224" s="178">
        <f t="shared" si="94"/>
        <v>4254298</v>
      </c>
      <c r="AK224" s="301">
        <f t="shared" si="95"/>
        <v>68.621578274402012</v>
      </c>
      <c r="AL224" s="70">
        <f t="shared" si="96"/>
        <v>7066602</v>
      </c>
      <c r="AM224" s="179">
        <f t="shared" si="97"/>
        <v>113.98387754620055</v>
      </c>
      <c r="AN224" s="179"/>
      <c r="AO224" s="31">
        <f t="shared" si="98"/>
        <v>7258.6199848698452</v>
      </c>
      <c r="AP224" s="31">
        <f t="shared" si="99"/>
        <v>17880</v>
      </c>
      <c r="AQ224" s="31">
        <f t="shared" si="100"/>
        <v>843250.31141432468</v>
      </c>
      <c r="AR224" s="180">
        <f t="shared" si="101"/>
        <v>13.601578274402009</v>
      </c>
      <c r="AS224" s="31">
        <f t="shared" si="104"/>
        <v>10402.1</v>
      </c>
      <c r="AU224" s="31">
        <f t="shared" si="102"/>
        <v>0</v>
      </c>
      <c r="AV224" s="177"/>
      <c r="AW224" s="31">
        <f t="shared" si="103"/>
        <v>30</v>
      </c>
    </row>
    <row r="225" spans="1:49">
      <c r="A225" s="102">
        <v>216</v>
      </c>
      <c r="B225" s="7" t="s">
        <v>1921</v>
      </c>
      <c r="C225" s="7">
        <v>0</v>
      </c>
      <c r="D225" s="62">
        <f t="shared" si="79"/>
        <v>13170.920000000002</v>
      </c>
      <c r="E225" s="172">
        <f t="shared" si="80"/>
        <v>9265</v>
      </c>
      <c r="F225" s="62">
        <f t="shared" si="81"/>
        <v>0</v>
      </c>
      <c r="G225" s="70">
        <f t="shared" si="82"/>
        <v>0</v>
      </c>
      <c r="H225" s="62">
        <f t="shared" si="83"/>
        <v>0</v>
      </c>
      <c r="I225" s="173">
        <f t="shared" si="84"/>
        <v>0</v>
      </c>
      <c r="J225" s="174">
        <f>ROUND(100-'Townwide Contributions'!K225,2)</f>
        <v>28.19</v>
      </c>
      <c r="K225" s="70">
        <f t="shared" si="85"/>
        <v>0</v>
      </c>
      <c r="L225" s="70">
        <f t="shared" si="86"/>
        <v>0</v>
      </c>
      <c r="M225" s="175">
        <f t="shared" si="87"/>
        <v>0</v>
      </c>
      <c r="N225" s="70"/>
      <c r="O225" s="70"/>
      <c r="P225" s="70"/>
      <c r="Q225" s="62">
        <v>1</v>
      </c>
      <c r="R225" s="62">
        <f t="shared" si="88"/>
        <v>0</v>
      </c>
      <c r="S225" s="176"/>
      <c r="T225" s="176"/>
      <c r="U225" s="70"/>
      <c r="V225" s="70"/>
      <c r="W225" s="260"/>
      <c r="X225" s="62">
        <f t="shared" si="89"/>
        <v>0</v>
      </c>
      <c r="Y225" s="70"/>
      <c r="AA225" s="290"/>
      <c r="AB225" s="291"/>
      <c r="AC225" s="62"/>
      <c r="AD225" s="62"/>
      <c r="AE225" s="177">
        <f t="shared" si="90"/>
        <v>0</v>
      </c>
      <c r="AF225" s="177">
        <f t="shared" si="91"/>
        <v>0</v>
      </c>
      <c r="AG225" s="70">
        <f t="shared" si="92"/>
        <v>9265</v>
      </c>
      <c r="AH225" s="70">
        <f t="shared" si="93"/>
        <v>9265</v>
      </c>
      <c r="AI225" s="587">
        <v>0</v>
      </c>
      <c r="AJ225" s="178">
        <f t="shared" si="94"/>
        <v>0</v>
      </c>
      <c r="AK225" s="301">
        <f t="shared" si="95"/>
        <v>0</v>
      </c>
      <c r="AL225" s="70">
        <f t="shared" si="96"/>
        <v>0</v>
      </c>
      <c r="AM225" s="179">
        <f t="shared" si="97"/>
        <v>0</v>
      </c>
      <c r="AN225" s="179"/>
      <c r="AO225" s="31">
        <f t="shared" si="98"/>
        <v>-13170.920000000002</v>
      </c>
      <c r="AP225" s="31">
        <f t="shared" si="99"/>
        <v>-9265</v>
      </c>
      <c r="AQ225" s="31">
        <f t="shared" si="100"/>
        <v>0</v>
      </c>
      <c r="AR225" s="180" t="str">
        <f t="shared" si="101"/>
        <v/>
      </c>
      <c r="AS225" s="31">
        <f t="shared" si="104"/>
        <v>0</v>
      </c>
      <c r="AU225" s="31">
        <f t="shared" si="102"/>
        <v>0</v>
      </c>
      <c r="AV225" s="177"/>
      <c r="AW225" s="31">
        <f t="shared" si="103"/>
        <v>0</v>
      </c>
    </row>
    <row r="226" spans="1:49">
      <c r="A226" s="102">
        <v>217</v>
      </c>
      <c r="B226" s="7" t="s">
        <v>1922</v>
      </c>
      <c r="C226" s="7">
        <v>1</v>
      </c>
      <c r="D226" s="62">
        <f t="shared" si="79"/>
        <v>23635143.14844</v>
      </c>
      <c r="E226" s="172">
        <f t="shared" si="80"/>
        <v>6937937</v>
      </c>
      <c r="F226" s="62">
        <f t="shared" si="81"/>
        <v>23960205.841541711</v>
      </c>
      <c r="G226" s="70">
        <f t="shared" si="82"/>
        <v>19895201</v>
      </c>
      <c r="H226" s="62">
        <f t="shared" si="83"/>
        <v>4065005</v>
      </c>
      <c r="I226" s="173">
        <f t="shared" si="84"/>
        <v>0</v>
      </c>
      <c r="J226" s="174">
        <f>ROUND(100-'Townwide Contributions'!K226,2)</f>
        <v>17.5</v>
      </c>
      <c r="K226" s="70">
        <f t="shared" si="85"/>
        <v>4193036</v>
      </c>
      <c r="L226" s="70">
        <f t="shared" si="86"/>
        <v>0</v>
      </c>
      <c r="M226" s="175">
        <f t="shared" si="87"/>
        <v>0</v>
      </c>
      <c r="N226" s="70"/>
      <c r="O226" s="70"/>
      <c r="P226" s="70"/>
      <c r="Q226" s="62">
        <v>2466</v>
      </c>
      <c r="R226" s="62">
        <f t="shared" si="88"/>
        <v>2426</v>
      </c>
      <c r="S226" s="176"/>
      <c r="T226" s="176"/>
      <c r="U226" s="70"/>
      <c r="V226" s="70"/>
      <c r="W226" s="260"/>
      <c r="X226" s="62">
        <f t="shared" si="89"/>
        <v>0</v>
      </c>
      <c r="Y226" s="70"/>
      <c r="AA226" s="290"/>
      <c r="AB226" s="291"/>
      <c r="AC226" s="62"/>
      <c r="AD226" s="62"/>
      <c r="AE226" s="177">
        <f t="shared" si="90"/>
        <v>72780</v>
      </c>
      <c r="AF226" s="177">
        <f t="shared" si="91"/>
        <v>72780</v>
      </c>
      <c r="AG226" s="70">
        <f t="shared" si="92"/>
        <v>7010717</v>
      </c>
      <c r="AH226" s="70">
        <f t="shared" si="93"/>
        <v>0</v>
      </c>
      <c r="AI226" s="587">
        <v>0</v>
      </c>
      <c r="AJ226" s="178">
        <f t="shared" si="94"/>
        <v>7010717</v>
      </c>
      <c r="AK226" s="301">
        <f t="shared" si="95"/>
        <v>29.259836273380269</v>
      </c>
      <c r="AL226" s="70">
        <f t="shared" si="96"/>
        <v>26905918</v>
      </c>
      <c r="AM226" s="179">
        <f t="shared" si="97"/>
        <v>112.29418552553115</v>
      </c>
      <c r="AN226" s="179"/>
      <c r="AO226" s="31">
        <f t="shared" si="98"/>
        <v>325062.69310171157</v>
      </c>
      <c r="AP226" s="31">
        <f t="shared" si="99"/>
        <v>72780</v>
      </c>
      <c r="AQ226" s="31">
        <f t="shared" si="100"/>
        <v>2817680.9777302006</v>
      </c>
      <c r="AR226" s="180">
        <f t="shared" si="101"/>
        <v>11.759836273380269</v>
      </c>
      <c r="AS226" s="31">
        <f t="shared" si="104"/>
        <v>9876.42</v>
      </c>
      <c r="AU226" s="31">
        <f t="shared" si="102"/>
        <v>0</v>
      </c>
      <c r="AV226" s="177"/>
      <c r="AW226" s="31">
        <f t="shared" si="103"/>
        <v>30</v>
      </c>
    </row>
    <row r="227" spans="1:49">
      <c r="A227" s="102">
        <v>218</v>
      </c>
      <c r="B227" s="7" t="s">
        <v>1923</v>
      </c>
      <c r="C227" s="7">
        <v>1</v>
      </c>
      <c r="D227" s="62">
        <f t="shared" si="79"/>
        <v>24673640</v>
      </c>
      <c r="E227" s="172">
        <f t="shared" si="80"/>
        <v>12603140</v>
      </c>
      <c r="F227" s="62">
        <f t="shared" si="81"/>
        <v>24605799.037226401</v>
      </c>
      <c r="G227" s="70">
        <f t="shared" si="82"/>
        <v>16138030</v>
      </c>
      <c r="H227" s="62">
        <f t="shared" si="83"/>
        <v>8467769</v>
      </c>
      <c r="I227" s="173">
        <f t="shared" si="84"/>
        <v>0</v>
      </c>
      <c r="J227" s="174">
        <f>ROUND(100-'Townwide Contributions'!K227,2)</f>
        <v>34.57</v>
      </c>
      <c r="K227" s="70">
        <f t="shared" si="85"/>
        <v>8506225</v>
      </c>
      <c r="L227" s="70">
        <f t="shared" si="86"/>
        <v>0</v>
      </c>
      <c r="M227" s="175">
        <f t="shared" si="87"/>
        <v>0</v>
      </c>
      <c r="N227" s="70"/>
      <c r="O227" s="70"/>
      <c r="P227" s="70"/>
      <c r="Q227" s="62">
        <v>2583</v>
      </c>
      <c r="R227" s="62">
        <f t="shared" si="88"/>
        <v>2517</v>
      </c>
      <c r="S227" s="176"/>
      <c r="T227" s="176"/>
      <c r="U227" s="70"/>
      <c r="V227" s="70"/>
      <c r="W227" s="260"/>
      <c r="X227" s="62">
        <f t="shared" si="89"/>
        <v>0</v>
      </c>
      <c r="Y227" s="70"/>
      <c r="AA227" s="290"/>
      <c r="AB227" s="291"/>
      <c r="AC227" s="62"/>
      <c r="AD227" s="62"/>
      <c r="AE227" s="177">
        <f t="shared" si="90"/>
        <v>75510</v>
      </c>
      <c r="AF227" s="177">
        <f t="shared" si="91"/>
        <v>75510</v>
      </c>
      <c r="AG227" s="70">
        <f t="shared" si="92"/>
        <v>12678650</v>
      </c>
      <c r="AH227" s="70">
        <f t="shared" si="93"/>
        <v>0</v>
      </c>
      <c r="AI227" s="587">
        <v>0</v>
      </c>
      <c r="AJ227" s="178">
        <f t="shared" si="94"/>
        <v>12678650</v>
      </c>
      <c r="AK227" s="301">
        <f t="shared" si="95"/>
        <v>51.527080997525509</v>
      </c>
      <c r="AL227" s="70">
        <f t="shared" si="96"/>
        <v>28816680</v>
      </c>
      <c r="AM227" s="179">
        <f t="shared" si="97"/>
        <v>117.11336809832068</v>
      </c>
      <c r="AN227" s="179"/>
      <c r="AO227" s="31">
        <f t="shared" si="98"/>
        <v>-67840.962773598731</v>
      </c>
      <c r="AP227" s="31">
        <f t="shared" si="99"/>
        <v>75510</v>
      </c>
      <c r="AQ227" s="31">
        <f t="shared" si="100"/>
        <v>4172425.2728308327</v>
      </c>
      <c r="AR227" s="180">
        <f t="shared" si="101"/>
        <v>16.957080997525509</v>
      </c>
      <c r="AS227" s="31">
        <f t="shared" si="104"/>
        <v>9775.84</v>
      </c>
      <c r="AU227" s="31">
        <f t="shared" si="102"/>
        <v>0</v>
      </c>
      <c r="AV227" s="177"/>
      <c r="AW227" s="31">
        <f t="shared" si="103"/>
        <v>30</v>
      </c>
    </row>
    <row r="228" spans="1:49">
      <c r="A228" s="102">
        <v>219</v>
      </c>
      <c r="B228" s="7" t="s">
        <v>1924</v>
      </c>
      <c r="C228" s="7">
        <v>1</v>
      </c>
      <c r="D228" s="62">
        <f t="shared" si="79"/>
        <v>20258808.089429993</v>
      </c>
      <c r="E228" s="172">
        <f t="shared" si="80"/>
        <v>3535957.9436770314</v>
      </c>
      <c r="F228" s="62">
        <f t="shared" si="81"/>
        <v>20701123.007093545</v>
      </c>
      <c r="G228" s="70">
        <f t="shared" si="82"/>
        <v>17167966</v>
      </c>
      <c r="H228" s="62">
        <f t="shared" si="83"/>
        <v>3533157</v>
      </c>
      <c r="I228" s="173">
        <f t="shared" si="84"/>
        <v>0</v>
      </c>
      <c r="J228" s="174">
        <f>ROUND(100-'Townwide Contributions'!K228,2)</f>
        <v>17.5</v>
      </c>
      <c r="K228" s="70">
        <f t="shared" si="85"/>
        <v>3622697</v>
      </c>
      <c r="L228" s="70">
        <f t="shared" si="86"/>
        <v>0</v>
      </c>
      <c r="M228" s="175">
        <f t="shared" si="87"/>
        <v>0</v>
      </c>
      <c r="N228" s="70"/>
      <c r="O228" s="70"/>
      <c r="P228" s="70"/>
      <c r="Q228" s="62">
        <v>2151</v>
      </c>
      <c r="R228" s="62">
        <f t="shared" si="88"/>
        <v>2145</v>
      </c>
      <c r="S228" s="176"/>
      <c r="T228" s="176"/>
      <c r="U228" s="70"/>
      <c r="V228" s="70"/>
      <c r="W228" s="260"/>
      <c r="X228" s="62">
        <f t="shared" si="89"/>
        <v>0</v>
      </c>
      <c r="Y228" s="70"/>
      <c r="AA228" s="290"/>
      <c r="AB228" s="291"/>
      <c r="AC228" s="62"/>
      <c r="AD228" s="62"/>
      <c r="AE228" s="177">
        <f t="shared" si="90"/>
        <v>64350</v>
      </c>
      <c r="AF228" s="177">
        <f t="shared" si="91"/>
        <v>64350</v>
      </c>
      <c r="AG228" s="70">
        <f t="shared" si="92"/>
        <v>3600307.9436770314</v>
      </c>
      <c r="AH228" s="70">
        <f t="shared" si="93"/>
        <v>0</v>
      </c>
      <c r="AI228" s="587">
        <v>0</v>
      </c>
      <c r="AJ228" s="178">
        <f t="shared" si="94"/>
        <v>3600307.9436770314</v>
      </c>
      <c r="AK228" s="301">
        <f t="shared" si="95"/>
        <v>17.391848463696068</v>
      </c>
      <c r="AL228" s="70">
        <f t="shared" si="96"/>
        <v>20768273.943677031</v>
      </c>
      <c r="AM228" s="179">
        <f t="shared" si="97"/>
        <v>100.32438306153958</v>
      </c>
      <c r="AN228" s="179"/>
      <c r="AO228" s="31">
        <f t="shared" si="98"/>
        <v>442314.91766355187</v>
      </c>
      <c r="AP228" s="31">
        <f t="shared" si="99"/>
        <v>64350</v>
      </c>
      <c r="AQ228" s="31">
        <f t="shared" si="100"/>
        <v>-22388.582564338576</v>
      </c>
      <c r="AR228" s="180">
        <f t="shared" si="101"/>
        <v>-0.10815153630393226</v>
      </c>
      <c r="AS228" s="31">
        <f t="shared" si="104"/>
        <v>9650.8700000000008</v>
      </c>
      <c r="AU228" s="31">
        <f t="shared" si="102"/>
        <v>0</v>
      </c>
      <c r="AV228" s="177"/>
      <c r="AW228" s="31">
        <f t="shared" si="103"/>
        <v>30</v>
      </c>
    </row>
    <row r="229" spans="1:49">
      <c r="A229" s="102">
        <v>220</v>
      </c>
      <c r="B229" s="7" t="s">
        <v>1925</v>
      </c>
      <c r="C229" s="7">
        <v>1</v>
      </c>
      <c r="D229" s="62">
        <f t="shared" si="79"/>
        <v>36087087.065760002</v>
      </c>
      <c r="E229" s="172">
        <f t="shared" si="80"/>
        <v>5941876.3884928748</v>
      </c>
      <c r="F229" s="62">
        <f t="shared" si="81"/>
        <v>36598980.152771384</v>
      </c>
      <c r="G229" s="70">
        <f t="shared" si="82"/>
        <v>30391526</v>
      </c>
      <c r="H229" s="62">
        <f t="shared" si="83"/>
        <v>6207454</v>
      </c>
      <c r="I229" s="173">
        <f t="shared" si="84"/>
        <v>265577.6115071252</v>
      </c>
      <c r="J229" s="174">
        <f>ROUND(100-'Townwide Contributions'!K229,2)</f>
        <v>17.5</v>
      </c>
      <c r="K229" s="70">
        <f t="shared" si="85"/>
        <v>6404822</v>
      </c>
      <c r="L229" s="70">
        <f t="shared" si="86"/>
        <v>0</v>
      </c>
      <c r="M229" s="175">
        <f t="shared" si="87"/>
        <v>0</v>
      </c>
      <c r="N229" s="70"/>
      <c r="O229" s="70"/>
      <c r="P229" s="70"/>
      <c r="Q229" s="62">
        <v>3470</v>
      </c>
      <c r="R229" s="62">
        <f t="shared" si="88"/>
        <v>3442</v>
      </c>
      <c r="S229" s="176"/>
      <c r="T229" s="176"/>
      <c r="U229" s="70"/>
      <c r="V229" s="70"/>
      <c r="W229" s="260"/>
      <c r="X229" s="62">
        <f t="shared" si="89"/>
        <v>1</v>
      </c>
      <c r="Y229" s="70"/>
      <c r="AA229" s="290"/>
      <c r="AB229" s="291"/>
      <c r="AC229" s="62"/>
      <c r="AD229" s="62"/>
      <c r="AE229" s="177">
        <f t="shared" si="90"/>
        <v>103260</v>
      </c>
      <c r="AF229" s="177">
        <f t="shared" si="91"/>
        <v>0</v>
      </c>
      <c r="AG229" s="70">
        <f t="shared" si="92"/>
        <v>6207454</v>
      </c>
      <c r="AH229" s="70">
        <f t="shared" si="93"/>
        <v>0</v>
      </c>
      <c r="AI229" s="587">
        <v>0</v>
      </c>
      <c r="AJ229" s="178">
        <f t="shared" si="94"/>
        <v>6207454</v>
      </c>
      <c r="AK229" s="301">
        <f t="shared" si="95"/>
        <v>16.960729435871873</v>
      </c>
      <c r="AL229" s="70">
        <f t="shared" si="96"/>
        <v>36598980</v>
      </c>
      <c r="AM229" s="179">
        <f t="shared" si="97"/>
        <v>99.999999582580216</v>
      </c>
      <c r="AN229" s="179"/>
      <c r="AO229" s="31">
        <f t="shared" si="98"/>
        <v>511893.08701138198</v>
      </c>
      <c r="AP229" s="31">
        <f t="shared" si="99"/>
        <v>265577.6115071252</v>
      </c>
      <c r="AQ229" s="31">
        <f t="shared" si="100"/>
        <v>-197367.52673499193</v>
      </c>
      <c r="AR229" s="180">
        <f t="shared" si="101"/>
        <v>-0.53927056412812746</v>
      </c>
      <c r="AS229" s="31">
        <f t="shared" si="104"/>
        <v>10633.06</v>
      </c>
      <c r="AU229" s="31">
        <f t="shared" si="102"/>
        <v>0</v>
      </c>
      <c r="AV229" s="177"/>
      <c r="AW229" s="31">
        <f t="shared" si="103"/>
        <v>77.157934778362929</v>
      </c>
    </row>
    <row r="230" spans="1:49">
      <c r="A230" s="102">
        <v>221</v>
      </c>
      <c r="B230" s="7" t="s">
        <v>1926</v>
      </c>
      <c r="C230" s="7">
        <v>1</v>
      </c>
      <c r="D230" s="62">
        <f t="shared" si="79"/>
        <v>4345993.05</v>
      </c>
      <c r="E230" s="172">
        <f t="shared" si="80"/>
        <v>910282</v>
      </c>
      <c r="F230" s="62">
        <f t="shared" si="81"/>
        <v>4614741.4748551529</v>
      </c>
      <c r="G230" s="70">
        <f t="shared" si="82"/>
        <v>3814150</v>
      </c>
      <c r="H230" s="62">
        <f t="shared" si="83"/>
        <v>800591</v>
      </c>
      <c r="I230" s="173">
        <f t="shared" si="84"/>
        <v>0</v>
      </c>
      <c r="J230" s="174">
        <f>ROUND(100-'Townwide Contributions'!K230,2)</f>
        <v>17.5</v>
      </c>
      <c r="K230" s="70">
        <f t="shared" si="85"/>
        <v>807580</v>
      </c>
      <c r="L230" s="70">
        <f t="shared" si="86"/>
        <v>0</v>
      </c>
      <c r="M230" s="175">
        <f t="shared" si="87"/>
        <v>0</v>
      </c>
      <c r="N230" s="70"/>
      <c r="O230" s="70"/>
      <c r="P230" s="70"/>
      <c r="Q230" s="62">
        <v>445</v>
      </c>
      <c r="R230" s="62">
        <f t="shared" si="88"/>
        <v>459</v>
      </c>
      <c r="S230" s="176"/>
      <c r="T230" s="176"/>
      <c r="U230" s="70"/>
      <c r="V230" s="70"/>
      <c r="W230" s="260"/>
      <c r="X230" s="62">
        <f t="shared" si="89"/>
        <v>0</v>
      </c>
      <c r="Y230" s="70"/>
      <c r="AA230" s="290"/>
      <c r="AB230" s="291"/>
      <c r="AC230" s="62"/>
      <c r="AD230" s="62"/>
      <c r="AE230" s="177">
        <f t="shared" si="90"/>
        <v>13770</v>
      </c>
      <c r="AF230" s="177">
        <f t="shared" si="91"/>
        <v>13770</v>
      </c>
      <c r="AG230" s="70">
        <f t="shared" si="92"/>
        <v>924052</v>
      </c>
      <c r="AH230" s="70">
        <f t="shared" si="93"/>
        <v>0</v>
      </c>
      <c r="AI230" s="587">
        <v>0</v>
      </c>
      <c r="AJ230" s="178">
        <f t="shared" si="94"/>
        <v>924052</v>
      </c>
      <c r="AK230" s="301">
        <f t="shared" si="95"/>
        <v>20.023916941717825</v>
      </c>
      <c r="AL230" s="70">
        <f t="shared" si="96"/>
        <v>4738202</v>
      </c>
      <c r="AM230" s="179">
        <f t="shared" si="97"/>
        <v>102.67535084722644</v>
      </c>
      <c r="AN230" s="179"/>
      <c r="AO230" s="31">
        <f t="shared" si="98"/>
        <v>268748.42485515308</v>
      </c>
      <c r="AP230" s="31">
        <f t="shared" si="99"/>
        <v>13770</v>
      </c>
      <c r="AQ230" s="31">
        <f t="shared" si="100"/>
        <v>116472.24190034834</v>
      </c>
      <c r="AR230" s="180">
        <f t="shared" si="101"/>
        <v>2.5239169417178253</v>
      </c>
      <c r="AS230" s="31">
        <f t="shared" si="104"/>
        <v>10053.9</v>
      </c>
      <c r="AU230" s="31">
        <f t="shared" si="102"/>
        <v>0</v>
      </c>
      <c r="AV230" s="177"/>
      <c r="AW230" s="31">
        <f t="shared" si="103"/>
        <v>30</v>
      </c>
    </row>
    <row r="231" spans="1:49">
      <c r="A231" s="102">
        <v>222</v>
      </c>
      <c r="B231" s="7" t="s">
        <v>1927</v>
      </c>
      <c r="C231" s="7">
        <v>0</v>
      </c>
      <c r="D231" s="62">
        <f t="shared" si="79"/>
        <v>13170.920000000002</v>
      </c>
      <c r="E231" s="172">
        <f t="shared" si="80"/>
        <v>5880</v>
      </c>
      <c r="F231" s="62">
        <f t="shared" si="81"/>
        <v>13416.833343589547</v>
      </c>
      <c r="G231" s="70">
        <f t="shared" si="82"/>
        <v>8143</v>
      </c>
      <c r="H231" s="62">
        <f t="shared" si="83"/>
        <v>5274</v>
      </c>
      <c r="I231" s="173">
        <f t="shared" si="84"/>
        <v>0</v>
      </c>
      <c r="J231" s="174">
        <f>ROUND(100-'Townwide Contributions'!K231,2)</f>
        <v>38.619999999999997</v>
      </c>
      <c r="K231" s="70">
        <f t="shared" si="85"/>
        <v>5182</v>
      </c>
      <c r="L231" s="70">
        <f t="shared" si="86"/>
        <v>0</v>
      </c>
      <c r="M231" s="175">
        <f t="shared" si="87"/>
        <v>0</v>
      </c>
      <c r="N231" s="70"/>
      <c r="O231" s="70"/>
      <c r="P231" s="70"/>
      <c r="Q231" s="62">
        <v>1</v>
      </c>
      <c r="R231" s="62">
        <f t="shared" si="88"/>
        <v>1</v>
      </c>
      <c r="S231" s="176"/>
      <c r="T231" s="176"/>
      <c r="U231" s="70"/>
      <c r="V231" s="70"/>
      <c r="W231" s="260"/>
      <c r="X231" s="62">
        <f t="shared" si="89"/>
        <v>0</v>
      </c>
      <c r="Y231" s="70"/>
      <c r="AA231" s="290"/>
      <c r="AB231" s="291"/>
      <c r="AC231" s="62"/>
      <c r="AD231" s="62"/>
      <c r="AE231" s="177">
        <f t="shared" si="90"/>
        <v>0</v>
      </c>
      <c r="AF231" s="177">
        <f t="shared" si="91"/>
        <v>0</v>
      </c>
      <c r="AG231" s="70">
        <f t="shared" si="92"/>
        <v>5880</v>
      </c>
      <c r="AH231" s="70">
        <f t="shared" si="93"/>
        <v>0</v>
      </c>
      <c r="AI231" s="587">
        <v>0</v>
      </c>
      <c r="AJ231" s="178">
        <f t="shared" si="94"/>
        <v>5880</v>
      </c>
      <c r="AK231" s="301">
        <f t="shared" si="95"/>
        <v>0</v>
      </c>
      <c r="AL231" s="70">
        <f t="shared" si="96"/>
        <v>14023</v>
      </c>
      <c r="AM231" s="179">
        <f t="shared" si="97"/>
        <v>104.51795621878298</v>
      </c>
      <c r="AN231" s="179"/>
      <c r="AO231" s="31">
        <f t="shared" si="98"/>
        <v>245.91334358954555</v>
      </c>
      <c r="AP231" s="31">
        <f t="shared" si="99"/>
        <v>0</v>
      </c>
      <c r="AQ231" s="31">
        <f t="shared" si="100"/>
        <v>698.41896270571669</v>
      </c>
      <c r="AR231" s="180" t="str">
        <f t="shared" si="101"/>
        <v/>
      </c>
      <c r="AS231" s="31">
        <f t="shared" si="104"/>
        <v>13416.83</v>
      </c>
      <c r="AU231" s="31">
        <f t="shared" si="102"/>
        <v>0</v>
      </c>
      <c r="AV231" s="177"/>
      <c r="AW231" s="31">
        <f t="shared" si="103"/>
        <v>0</v>
      </c>
    </row>
    <row r="232" spans="1:49">
      <c r="A232" s="102">
        <v>223</v>
      </c>
      <c r="B232" s="7" t="s">
        <v>1928</v>
      </c>
      <c r="C232" s="7">
        <v>1</v>
      </c>
      <c r="D232" s="62">
        <f t="shared" si="79"/>
        <v>6410831.3199999994</v>
      </c>
      <c r="E232" s="172">
        <f t="shared" si="80"/>
        <v>5222159</v>
      </c>
      <c r="F232" s="62">
        <f t="shared" si="81"/>
        <v>6801556.0005172687</v>
      </c>
      <c r="G232" s="70">
        <f t="shared" si="82"/>
        <v>1896835</v>
      </c>
      <c r="H232" s="62">
        <f t="shared" si="83"/>
        <v>4904721</v>
      </c>
      <c r="I232" s="173">
        <f t="shared" si="84"/>
        <v>0</v>
      </c>
      <c r="J232" s="174">
        <f>ROUND(100-'Townwide Contributions'!K232,2)</f>
        <v>72.430000000000007</v>
      </c>
      <c r="K232" s="70">
        <f t="shared" si="85"/>
        <v>4926367</v>
      </c>
      <c r="L232" s="70">
        <f t="shared" si="86"/>
        <v>0</v>
      </c>
      <c r="M232" s="175">
        <f t="shared" si="87"/>
        <v>0</v>
      </c>
      <c r="N232" s="70"/>
      <c r="O232" s="70"/>
      <c r="P232" s="70"/>
      <c r="Q232" s="62">
        <v>596</v>
      </c>
      <c r="R232" s="62">
        <f t="shared" si="88"/>
        <v>615</v>
      </c>
      <c r="S232" s="176"/>
      <c r="T232" s="176"/>
      <c r="U232" s="70"/>
      <c r="V232" s="70"/>
      <c r="W232" s="260"/>
      <c r="X232" s="62">
        <f t="shared" si="89"/>
        <v>0</v>
      </c>
      <c r="Y232" s="70"/>
      <c r="AA232" s="290"/>
      <c r="AB232" s="291"/>
      <c r="AC232" s="62"/>
      <c r="AD232" s="62"/>
      <c r="AE232" s="177">
        <f t="shared" si="90"/>
        <v>18450</v>
      </c>
      <c r="AF232" s="177">
        <f t="shared" si="91"/>
        <v>18450</v>
      </c>
      <c r="AG232" s="70">
        <f t="shared" si="92"/>
        <v>5240609</v>
      </c>
      <c r="AH232" s="70">
        <f t="shared" si="93"/>
        <v>0</v>
      </c>
      <c r="AI232" s="587">
        <v>0</v>
      </c>
      <c r="AJ232" s="178">
        <f t="shared" si="94"/>
        <v>5240609</v>
      </c>
      <c r="AK232" s="301">
        <f t="shared" si="95"/>
        <v>77.050148518977764</v>
      </c>
      <c r="AL232" s="70">
        <f t="shared" si="96"/>
        <v>7137444</v>
      </c>
      <c r="AM232" s="179">
        <f t="shared" si="97"/>
        <v>104.93839938180597</v>
      </c>
      <c r="AN232" s="179"/>
      <c r="AO232" s="31">
        <f t="shared" si="98"/>
        <v>390724.6805172693</v>
      </c>
      <c r="AP232" s="31">
        <f t="shared" si="99"/>
        <v>18450</v>
      </c>
      <c r="AQ232" s="31">
        <f t="shared" si="100"/>
        <v>314241.98882534169</v>
      </c>
      <c r="AR232" s="180">
        <f t="shared" si="101"/>
        <v>4.6201485189777571</v>
      </c>
      <c r="AS232" s="31">
        <f t="shared" si="104"/>
        <v>11059.44</v>
      </c>
      <c r="AU232" s="31">
        <f t="shared" si="102"/>
        <v>0</v>
      </c>
      <c r="AV232" s="177"/>
      <c r="AW232" s="31">
        <f t="shared" si="103"/>
        <v>30</v>
      </c>
    </row>
    <row r="233" spans="1:49">
      <c r="A233" s="102">
        <v>224</v>
      </c>
      <c r="B233" s="7" t="s">
        <v>1929</v>
      </c>
      <c r="C233" s="7">
        <v>1</v>
      </c>
      <c r="D233" s="62">
        <f t="shared" si="79"/>
        <v>2091738.9399999997</v>
      </c>
      <c r="E233" s="172">
        <f t="shared" si="80"/>
        <v>353840</v>
      </c>
      <c r="F233" s="62">
        <f t="shared" si="81"/>
        <v>2186402.5084648258</v>
      </c>
      <c r="G233" s="70">
        <f t="shared" si="82"/>
        <v>1814388</v>
      </c>
      <c r="H233" s="62">
        <f t="shared" si="83"/>
        <v>372015</v>
      </c>
      <c r="I233" s="173">
        <f t="shared" si="84"/>
        <v>18175</v>
      </c>
      <c r="J233" s="174">
        <f>ROUND(100-'Townwide Contributions'!K233,2)</f>
        <v>17.5</v>
      </c>
      <c r="K233" s="70">
        <f t="shared" si="85"/>
        <v>382620</v>
      </c>
      <c r="L233" s="70">
        <f t="shared" si="86"/>
        <v>0</v>
      </c>
      <c r="M233" s="175">
        <f t="shared" si="87"/>
        <v>0</v>
      </c>
      <c r="N233" s="70"/>
      <c r="O233" s="70"/>
      <c r="P233" s="70"/>
      <c r="Q233" s="62">
        <v>217</v>
      </c>
      <c r="R233" s="62">
        <f t="shared" si="88"/>
        <v>220</v>
      </c>
      <c r="S233" s="176"/>
      <c r="T233" s="176"/>
      <c r="U233" s="70"/>
      <c r="V233" s="70"/>
      <c r="W233" s="260"/>
      <c r="X233" s="62">
        <f t="shared" si="89"/>
        <v>1</v>
      </c>
      <c r="Y233" s="70"/>
      <c r="AA233" s="290"/>
      <c r="AB233" s="291"/>
      <c r="AC233" s="62"/>
      <c r="AD233" s="62"/>
      <c r="AE233" s="177">
        <f t="shared" si="90"/>
        <v>6600</v>
      </c>
      <c r="AF233" s="177">
        <f t="shared" si="91"/>
        <v>0</v>
      </c>
      <c r="AG233" s="70">
        <f t="shared" si="92"/>
        <v>372015</v>
      </c>
      <c r="AH233" s="70">
        <f t="shared" si="93"/>
        <v>0</v>
      </c>
      <c r="AI233" s="587">
        <v>0</v>
      </c>
      <c r="AJ233" s="178">
        <f t="shared" si="94"/>
        <v>372015</v>
      </c>
      <c r="AK233" s="301">
        <f t="shared" si="95"/>
        <v>17.014936570906556</v>
      </c>
      <c r="AL233" s="70">
        <f t="shared" si="96"/>
        <v>2186403</v>
      </c>
      <c r="AM233" s="179">
        <f t="shared" si="97"/>
        <v>100.00002248145857</v>
      </c>
      <c r="AN233" s="179"/>
      <c r="AO233" s="31">
        <f t="shared" si="98"/>
        <v>94663.568464826094</v>
      </c>
      <c r="AP233" s="31">
        <f t="shared" si="99"/>
        <v>18175</v>
      </c>
      <c r="AQ233" s="31">
        <f t="shared" si="100"/>
        <v>-10605.438981344516</v>
      </c>
      <c r="AR233" s="180">
        <f t="shared" si="101"/>
        <v>-0.48506342909344369</v>
      </c>
      <c r="AS233" s="31">
        <f t="shared" si="104"/>
        <v>9938.19</v>
      </c>
      <c r="AU233" s="31">
        <f t="shared" si="102"/>
        <v>0</v>
      </c>
      <c r="AV233" s="177"/>
      <c r="AW233" s="31">
        <f t="shared" si="103"/>
        <v>82.61363636363636</v>
      </c>
    </row>
    <row r="234" spans="1:49">
      <c r="A234" s="102">
        <v>225</v>
      </c>
      <c r="B234" s="7" t="s">
        <v>1930</v>
      </c>
      <c r="C234" s="7">
        <v>0</v>
      </c>
      <c r="D234" s="62">
        <f t="shared" si="79"/>
        <v>0</v>
      </c>
      <c r="E234" s="172">
        <f t="shared" si="80"/>
        <v>0</v>
      </c>
      <c r="F234" s="62">
        <f t="shared" si="81"/>
        <v>0</v>
      </c>
      <c r="G234" s="70">
        <f t="shared" si="82"/>
        <v>0</v>
      </c>
      <c r="H234" s="62">
        <f t="shared" si="83"/>
        <v>0</v>
      </c>
      <c r="I234" s="173">
        <f t="shared" si="84"/>
        <v>0</v>
      </c>
      <c r="J234" s="174">
        <f>ROUND(100-'Townwide Contributions'!K234,2)</f>
        <v>17.5</v>
      </c>
      <c r="K234" s="70">
        <f t="shared" si="85"/>
        <v>0</v>
      </c>
      <c r="L234" s="70">
        <f t="shared" si="86"/>
        <v>0</v>
      </c>
      <c r="M234" s="175">
        <f t="shared" si="87"/>
        <v>0</v>
      </c>
      <c r="N234" s="70"/>
      <c r="O234" s="70"/>
      <c r="P234" s="70"/>
      <c r="Q234" s="62">
        <v>0</v>
      </c>
      <c r="R234" s="62">
        <f t="shared" si="88"/>
        <v>0</v>
      </c>
      <c r="S234" s="176"/>
      <c r="T234" s="176"/>
      <c r="U234" s="70"/>
      <c r="V234" s="70"/>
      <c r="W234" s="260"/>
      <c r="X234" s="62">
        <f t="shared" si="89"/>
        <v>0</v>
      </c>
      <c r="Y234" s="70"/>
      <c r="AA234" s="290"/>
      <c r="AB234" s="291"/>
      <c r="AC234" s="62"/>
      <c r="AD234" s="62"/>
      <c r="AE234" s="177">
        <f t="shared" si="90"/>
        <v>0</v>
      </c>
      <c r="AF234" s="177">
        <f t="shared" si="91"/>
        <v>0</v>
      </c>
      <c r="AG234" s="70">
        <f t="shared" si="92"/>
        <v>0</v>
      </c>
      <c r="AH234" s="70">
        <f t="shared" si="93"/>
        <v>0</v>
      </c>
      <c r="AI234" s="587">
        <v>0</v>
      </c>
      <c r="AJ234" s="178">
        <f t="shared" si="94"/>
        <v>0</v>
      </c>
      <c r="AK234" s="301">
        <f t="shared" si="95"/>
        <v>0</v>
      </c>
      <c r="AL234" s="70">
        <f t="shared" si="96"/>
        <v>0</v>
      </c>
      <c r="AM234" s="179">
        <f t="shared" si="97"/>
        <v>0</v>
      </c>
      <c r="AN234" s="179"/>
      <c r="AO234" s="31">
        <f t="shared" si="98"/>
        <v>0</v>
      </c>
      <c r="AP234" s="31">
        <f t="shared" si="99"/>
        <v>0</v>
      </c>
      <c r="AQ234" s="31">
        <f t="shared" si="100"/>
        <v>0</v>
      </c>
      <c r="AR234" s="180" t="str">
        <f t="shared" si="101"/>
        <v/>
      </c>
      <c r="AS234" s="31">
        <f t="shared" si="104"/>
        <v>0</v>
      </c>
      <c r="AU234" s="31">
        <f t="shared" si="102"/>
        <v>0</v>
      </c>
      <c r="AV234" s="177"/>
      <c r="AW234" s="31">
        <f t="shared" si="103"/>
        <v>0</v>
      </c>
    </row>
    <row r="235" spans="1:49">
      <c r="A235" s="102">
        <v>226</v>
      </c>
      <c r="B235" s="7" t="s">
        <v>1931</v>
      </c>
      <c r="C235" s="7">
        <v>1</v>
      </c>
      <c r="D235" s="62">
        <f t="shared" si="79"/>
        <v>18814492.639999997</v>
      </c>
      <c r="E235" s="172">
        <f t="shared" si="80"/>
        <v>10408194</v>
      </c>
      <c r="F235" s="62">
        <f t="shared" si="81"/>
        <v>18658337.210024625</v>
      </c>
      <c r="G235" s="70">
        <f t="shared" si="82"/>
        <v>8970216</v>
      </c>
      <c r="H235" s="62">
        <f t="shared" si="83"/>
        <v>9688121</v>
      </c>
      <c r="I235" s="173">
        <f t="shared" si="84"/>
        <v>0</v>
      </c>
      <c r="J235" s="174">
        <f>ROUND(100-'Townwide Contributions'!K235,2)</f>
        <v>52.37</v>
      </c>
      <c r="K235" s="70">
        <f t="shared" si="85"/>
        <v>9771371</v>
      </c>
      <c r="L235" s="70">
        <f t="shared" si="86"/>
        <v>0</v>
      </c>
      <c r="M235" s="175">
        <f t="shared" si="87"/>
        <v>0</v>
      </c>
      <c r="N235" s="70"/>
      <c r="O235" s="70"/>
      <c r="P235" s="70"/>
      <c r="Q235" s="62">
        <v>1849</v>
      </c>
      <c r="R235" s="62">
        <f t="shared" si="88"/>
        <v>1785</v>
      </c>
      <c r="S235" s="176"/>
      <c r="T235" s="176"/>
      <c r="U235" s="70"/>
      <c r="V235" s="70"/>
      <c r="W235" s="260"/>
      <c r="X235" s="62">
        <f t="shared" si="89"/>
        <v>0</v>
      </c>
      <c r="Y235" s="70"/>
      <c r="AA235" s="290"/>
      <c r="AB235" s="291"/>
      <c r="AC235" s="62"/>
      <c r="AD235" s="62"/>
      <c r="AE235" s="177">
        <f t="shared" si="90"/>
        <v>53550</v>
      </c>
      <c r="AF235" s="177">
        <f t="shared" si="91"/>
        <v>53550</v>
      </c>
      <c r="AG235" s="70">
        <f t="shared" si="92"/>
        <v>10461744</v>
      </c>
      <c r="AH235" s="70">
        <f t="shared" si="93"/>
        <v>0</v>
      </c>
      <c r="AI235" s="587">
        <v>0</v>
      </c>
      <c r="AJ235" s="178">
        <f t="shared" si="94"/>
        <v>10461744</v>
      </c>
      <c r="AK235" s="301">
        <f t="shared" si="95"/>
        <v>56.070076782507641</v>
      </c>
      <c r="AL235" s="70">
        <f t="shared" si="96"/>
        <v>19431960</v>
      </c>
      <c r="AM235" s="179">
        <f t="shared" si="97"/>
        <v>104.14625795035866</v>
      </c>
      <c r="AN235" s="179"/>
      <c r="AO235" s="31">
        <f t="shared" si="98"/>
        <v>-156155.42997537181</v>
      </c>
      <c r="AP235" s="31">
        <f t="shared" si="99"/>
        <v>53550</v>
      </c>
      <c r="AQ235" s="31">
        <f t="shared" si="100"/>
        <v>690372.80311010405</v>
      </c>
      <c r="AR235" s="180">
        <f t="shared" si="101"/>
        <v>3.7000767825076437</v>
      </c>
      <c r="AS235" s="31">
        <f t="shared" si="104"/>
        <v>10452.85</v>
      </c>
      <c r="AU235" s="31">
        <f t="shared" si="102"/>
        <v>0</v>
      </c>
      <c r="AV235" s="177"/>
      <c r="AW235" s="31">
        <f t="shared" si="103"/>
        <v>30</v>
      </c>
    </row>
    <row r="236" spans="1:49">
      <c r="A236" s="102">
        <v>227</v>
      </c>
      <c r="B236" s="7" t="s">
        <v>1932</v>
      </c>
      <c r="C236" s="7">
        <v>1</v>
      </c>
      <c r="D236" s="62">
        <f t="shared" si="79"/>
        <v>15564758.360000001</v>
      </c>
      <c r="E236" s="172">
        <f t="shared" si="80"/>
        <v>10784150</v>
      </c>
      <c r="F236" s="62">
        <f t="shared" si="81"/>
        <v>15937384.115527295</v>
      </c>
      <c r="G236" s="70">
        <f t="shared" si="82"/>
        <v>6595198</v>
      </c>
      <c r="H236" s="62">
        <f t="shared" si="83"/>
        <v>9342186</v>
      </c>
      <c r="I236" s="173">
        <f t="shared" si="84"/>
        <v>0</v>
      </c>
      <c r="J236" s="174">
        <f>ROUND(100-'Townwide Contributions'!K236,2)</f>
        <v>58.99</v>
      </c>
      <c r="K236" s="70">
        <f t="shared" si="85"/>
        <v>9401463</v>
      </c>
      <c r="L236" s="70">
        <f t="shared" si="86"/>
        <v>0</v>
      </c>
      <c r="M236" s="175">
        <f t="shared" si="87"/>
        <v>0</v>
      </c>
      <c r="N236" s="70"/>
      <c r="O236" s="70"/>
      <c r="P236" s="70"/>
      <c r="Q236" s="62">
        <v>1494</v>
      </c>
      <c r="R236" s="62">
        <f t="shared" si="88"/>
        <v>1495</v>
      </c>
      <c r="S236" s="176"/>
      <c r="T236" s="176"/>
      <c r="U236" s="70"/>
      <c r="V236" s="70"/>
      <c r="W236" s="260"/>
      <c r="X236" s="62">
        <f t="shared" si="89"/>
        <v>0</v>
      </c>
      <c r="Y236" s="70"/>
      <c r="AA236" s="290"/>
      <c r="AB236" s="291"/>
      <c r="AC236" s="62"/>
      <c r="AD236" s="62"/>
      <c r="AE236" s="177">
        <f t="shared" si="90"/>
        <v>44850</v>
      </c>
      <c r="AF236" s="177">
        <f t="shared" si="91"/>
        <v>44850</v>
      </c>
      <c r="AG236" s="70">
        <f t="shared" si="92"/>
        <v>10829000</v>
      </c>
      <c r="AH236" s="70">
        <f t="shared" si="93"/>
        <v>0</v>
      </c>
      <c r="AI236" s="587">
        <v>0</v>
      </c>
      <c r="AJ236" s="178">
        <f t="shared" si="94"/>
        <v>10829000</v>
      </c>
      <c r="AK236" s="301">
        <f t="shared" si="95"/>
        <v>67.947160722879502</v>
      </c>
      <c r="AL236" s="70">
        <f t="shared" si="96"/>
        <v>17424198</v>
      </c>
      <c r="AM236" s="179">
        <f t="shared" si="97"/>
        <v>109.32909612829215</v>
      </c>
      <c r="AN236" s="179"/>
      <c r="AO236" s="31">
        <f t="shared" si="98"/>
        <v>372625.75552729331</v>
      </c>
      <c r="AP236" s="31">
        <f t="shared" si="99"/>
        <v>44850</v>
      </c>
      <c r="AQ236" s="31">
        <f t="shared" si="100"/>
        <v>1427537.1102504488</v>
      </c>
      <c r="AR236" s="180">
        <f t="shared" si="101"/>
        <v>8.9571607228795003</v>
      </c>
      <c r="AS236" s="31">
        <f t="shared" si="104"/>
        <v>10660.46</v>
      </c>
      <c r="AU236" s="31">
        <f t="shared" si="102"/>
        <v>0</v>
      </c>
      <c r="AV236" s="177"/>
      <c r="AW236" s="31">
        <f t="shared" si="103"/>
        <v>30</v>
      </c>
    </row>
    <row r="237" spans="1:49">
      <c r="A237" s="102">
        <v>228</v>
      </c>
      <c r="B237" s="7" t="s">
        <v>1933</v>
      </c>
      <c r="C237" s="7">
        <v>0</v>
      </c>
      <c r="D237" s="62">
        <f t="shared" si="79"/>
        <v>0</v>
      </c>
      <c r="E237" s="172">
        <f t="shared" si="80"/>
        <v>0</v>
      </c>
      <c r="F237" s="62">
        <f t="shared" si="81"/>
        <v>0</v>
      </c>
      <c r="G237" s="70">
        <f t="shared" si="82"/>
        <v>0</v>
      </c>
      <c r="H237" s="62">
        <f t="shared" si="83"/>
        <v>0</v>
      </c>
      <c r="I237" s="173">
        <f t="shared" si="84"/>
        <v>0</v>
      </c>
      <c r="J237" s="174">
        <f>ROUND(100-'Townwide Contributions'!K237,2)</f>
        <v>38.9</v>
      </c>
      <c r="K237" s="70">
        <f t="shared" si="85"/>
        <v>0</v>
      </c>
      <c r="L237" s="70">
        <f t="shared" si="86"/>
        <v>0</v>
      </c>
      <c r="M237" s="175">
        <f t="shared" si="87"/>
        <v>0</v>
      </c>
      <c r="N237" s="70"/>
      <c r="O237" s="70"/>
      <c r="P237" s="70"/>
      <c r="Q237" s="62">
        <v>0</v>
      </c>
      <c r="R237" s="62">
        <f t="shared" si="88"/>
        <v>0</v>
      </c>
      <c r="S237" s="176"/>
      <c r="T237" s="176"/>
      <c r="U237" s="70"/>
      <c r="V237" s="70"/>
      <c r="W237" s="260"/>
      <c r="X237" s="62">
        <f t="shared" si="89"/>
        <v>0</v>
      </c>
      <c r="Y237" s="70"/>
      <c r="AA237" s="290"/>
      <c r="AB237" s="291"/>
      <c r="AC237" s="62"/>
      <c r="AD237" s="62"/>
      <c r="AE237" s="177">
        <f t="shared" si="90"/>
        <v>0</v>
      </c>
      <c r="AF237" s="177">
        <f t="shared" si="91"/>
        <v>0</v>
      </c>
      <c r="AG237" s="70">
        <f t="shared" si="92"/>
        <v>0</v>
      </c>
      <c r="AH237" s="70">
        <f t="shared" si="93"/>
        <v>0</v>
      </c>
      <c r="AI237" s="587">
        <v>0</v>
      </c>
      <c r="AJ237" s="178">
        <f t="shared" si="94"/>
        <v>0</v>
      </c>
      <c r="AK237" s="301">
        <f t="shared" si="95"/>
        <v>0</v>
      </c>
      <c r="AL237" s="70">
        <f t="shared" si="96"/>
        <v>0</v>
      </c>
      <c r="AM237" s="179">
        <f t="shared" si="97"/>
        <v>0</v>
      </c>
      <c r="AN237" s="179"/>
      <c r="AO237" s="31">
        <f t="shared" si="98"/>
        <v>0</v>
      </c>
      <c r="AP237" s="31">
        <f t="shared" si="99"/>
        <v>0</v>
      </c>
      <c r="AQ237" s="31">
        <f t="shared" si="100"/>
        <v>0</v>
      </c>
      <c r="AR237" s="180" t="str">
        <f t="shared" si="101"/>
        <v/>
      </c>
      <c r="AS237" s="31">
        <f t="shared" si="104"/>
        <v>0</v>
      </c>
      <c r="AU237" s="31">
        <f t="shared" si="102"/>
        <v>0</v>
      </c>
      <c r="AV237" s="177"/>
      <c r="AW237" s="31">
        <f t="shared" si="103"/>
        <v>0</v>
      </c>
    </row>
    <row r="238" spans="1:49">
      <c r="A238" s="102">
        <v>229</v>
      </c>
      <c r="B238" s="7" t="s">
        <v>1934</v>
      </c>
      <c r="C238" s="7">
        <v>1</v>
      </c>
      <c r="D238" s="62">
        <f t="shared" si="79"/>
        <v>62459203.560000002</v>
      </c>
      <c r="E238" s="172">
        <f t="shared" si="80"/>
        <v>19070452</v>
      </c>
      <c r="F238" s="62">
        <f t="shared" si="81"/>
        <v>63749465.754188508</v>
      </c>
      <c r="G238" s="70">
        <f t="shared" si="82"/>
        <v>45449042</v>
      </c>
      <c r="H238" s="62">
        <f t="shared" si="83"/>
        <v>18300424</v>
      </c>
      <c r="I238" s="173">
        <f t="shared" si="84"/>
        <v>0</v>
      </c>
      <c r="J238" s="174">
        <f>ROUND(100-'Townwide Contributions'!K238,2)</f>
        <v>28.77</v>
      </c>
      <c r="K238" s="70">
        <f t="shared" si="85"/>
        <v>18340721</v>
      </c>
      <c r="L238" s="70">
        <f t="shared" si="86"/>
        <v>0</v>
      </c>
      <c r="M238" s="175">
        <f t="shared" si="87"/>
        <v>0</v>
      </c>
      <c r="N238" s="70"/>
      <c r="O238" s="70"/>
      <c r="P238" s="70"/>
      <c r="Q238" s="62">
        <v>5877</v>
      </c>
      <c r="R238" s="62">
        <f t="shared" si="88"/>
        <v>5892</v>
      </c>
      <c r="S238" s="176"/>
      <c r="T238" s="176"/>
      <c r="U238" s="70"/>
      <c r="V238" s="70"/>
      <c r="W238" s="260"/>
      <c r="X238" s="62">
        <f t="shared" si="89"/>
        <v>0</v>
      </c>
      <c r="Y238" s="70"/>
      <c r="AA238" s="290"/>
      <c r="AB238" s="291"/>
      <c r="AC238" s="62"/>
      <c r="AD238" s="62"/>
      <c r="AE238" s="177">
        <f t="shared" si="90"/>
        <v>176760</v>
      </c>
      <c r="AF238" s="177">
        <f t="shared" si="91"/>
        <v>176760</v>
      </c>
      <c r="AG238" s="70">
        <f t="shared" si="92"/>
        <v>19247212</v>
      </c>
      <c r="AH238" s="70">
        <f t="shared" si="93"/>
        <v>0</v>
      </c>
      <c r="AI238" s="587">
        <v>0</v>
      </c>
      <c r="AJ238" s="178">
        <f t="shared" si="94"/>
        <v>19247212</v>
      </c>
      <c r="AK238" s="301">
        <f t="shared" si="95"/>
        <v>30.191958116504541</v>
      </c>
      <c r="AL238" s="70">
        <f t="shared" si="96"/>
        <v>64696254</v>
      </c>
      <c r="AM238" s="179">
        <f t="shared" si="97"/>
        <v>101.48517047885893</v>
      </c>
      <c r="AN238" s="179"/>
      <c r="AO238" s="31">
        <f t="shared" si="98"/>
        <v>1290262.1941885054</v>
      </c>
      <c r="AP238" s="31">
        <f t="shared" si="99"/>
        <v>176760</v>
      </c>
      <c r="AQ238" s="31">
        <f t="shared" si="100"/>
        <v>906490.70251996443</v>
      </c>
      <c r="AR238" s="180">
        <f t="shared" si="101"/>
        <v>1.4219581165045412</v>
      </c>
      <c r="AS238" s="31">
        <f t="shared" si="104"/>
        <v>10819.66</v>
      </c>
      <c r="AU238" s="31">
        <f t="shared" si="102"/>
        <v>0</v>
      </c>
      <c r="AV238" s="177"/>
      <c r="AW238" s="31">
        <f t="shared" si="103"/>
        <v>30</v>
      </c>
    </row>
    <row r="239" spans="1:49">
      <c r="A239" s="102">
        <v>230</v>
      </c>
      <c r="B239" s="7" t="s">
        <v>1935</v>
      </c>
      <c r="C239" s="7">
        <v>1</v>
      </c>
      <c r="D239" s="62">
        <f t="shared" si="79"/>
        <v>724220.01</v>
      </c>
      <c r="E239" s="172">
        <f t="shared" si="80"/>
        <v>228151</v>
      </c>
      <c r="F239" s="62">
        <f t="shared" si="81"/>
        <v>830020.58176676114</v>
      </c>
      <c r="G239" s="70">
        <f t="shared" si="82"/>
        <v>620333</v>
      </c>
      <c r="H239" s="62">
        <f t="shared" si="83"/>
        <v>209688</v>
      </c>
      <c r="I239" s="173">
        <f t="shared" si="84"/>
        <v>0</v>
      </c>
      <c r="J239" s="174">
        <f>ROUND(100-'Townwide Contributions'!K239,2)</f>
        <v>17.5</v>
      </c>
      <c r="K239" s="70">
        <f t="shared" si="85"/>
        <v>145254</v>
      </c>
      <c r="L239" s="70">
        <f t="shared" si="86"/>
        <v>0</v>
      </c>
      <c r="M239" s="175">
        <f t="shared" si="87"/>
        <v>0</v>
      </c>
      <c r="N239" s="70"/>
      <c r="O239" s="70"/>
      <c r="P239" s="70"/>
      <c r="Q239" s="62">
        <v>74</v>
      </c>
      <c r="R239" s="62">
        <f t="shared" si="88"/>
        <v>81</v>
      </c>
      <c r="S239" s="176"/>
      <c r="T239" s="176"/>
      <c r="U239" s="70"/>
      <c r="V239" s="70"/>
      <c r="W239" s="260"/>
      <c r="X239" s="62">
        <f t="shared" si="89"/>
        <v>0</v>
      </c>
      <c r="Y239" s="70"/>
      <c r="AA239" s="290"/>
      <c r="AB239" s="291"/>
      <c r="AC239" s="62"/>
      <c r="AD239" s="62"/>
      <c r="AE239" s="177">
        <f t="shared" si="90"/>
        <v>2430</v>
      </c>
      <c r="AF239" s="177">
        <f t="shared" si="91"/>
        <v>2430</v>
      </c>
      <c r="AG239" s="70">
        <f t="shared" si="92"/>
        <v>230581</v>
      </c>
      <c r="AH239" s="70">
        <f t="shared" si="93"/>
        <v>0</v>
      </c>
      <c r="AI239" s="587">
        <v>0</v>
      </c>
      <c r="AJ239" s="178">
        <f t="shared" si="94"/>
        <v>230581</v>
      </c>
      <c r="AK239" s="301">
        <f t="shared" si="95"/>
        <v>27.780154500409015</v>
      </c>
      <c r="AL239" s="70">
        <f t="shared" si="96"/>
        <v>850914</v>
      </c>
      <c r="AM239" s="179">
        <f t="shared" si="97"/>
        <v>102.51721688500371</v>
      </c>
      <c r="AN239" s="179"/>
      <c r="AO239" s="31">
        <f t="shared" si="98"/>
        <v>105800.57176676113</v>
      </c>
      <c r="AP239" s="31">
        <f t="shared" si="99"/>
        <v>2430</v>
      </c>
      <c r="AQ239" s="31">
        <f t="shared" si="100"/>
        <v>85327.398190816806</v>
      </c>
      <c r="AR239" s="180">
        <f t="shared" si="101"/>
        <v>10.280154500409015</v>
      </c>
      <c r="AS239" s="31">
        <f t="shared" si="104"/>
        <v>10247.17</v>
      </c>
      <c r="AU239" s="31">
        <f t="shared" si="102"/>
        <v>0</v>
      </c>
      <c r="AV239" s="177"/>
      <c r="AW239" s="31">
        <f t="shared" si="103"/>
        <v>30</v>
      </c>
    </row>
    <row r="240" spans="1:49">
      <c r="A240" s="102">
        <v>231</v>
      </c>
      <c r="B240" s="7" t="s">
        <v>1936</v>
      </c>
      <c r="C240" s="7">
        <v>1</v>
      </c>
      <c r="D240" s="62">
        <f t="shared" si="79"/>
        <v>30278155.873739995</v>
      </c>
      <c r="E240" s="172">
        <f t="shared" si="80"/>
        <v>13344512.304039083</v>
      </c>
      <c r="F240" s="62">
        <f t="shared" si="81"/>
        <v>30076801.769575488</v>
      </c>
      <c r="G240" s="70">
        <f t="shared" si="82"/>
        <v>18988785</v>
      </c>
      <c r="H240" s="62">
        <f t="shared" si="83"/>
        <v>11088017</v>
      </c>
      <c r="I240" s="173">
        <f t="shared" si="84"/>
        <v>0</v>
      </c>
      <c r="J240" s="174">
        <f>ROUND(100-'Townwide Contributions'!K240,2)</f>
        <v>37.06</v>
      </c>
      <c r="K240" s="70">
        <f t="shared" si="85"/>
        <v>11146463</v>
      </c>
      <c r="L240" s="70">
        <f t="shared" si="86"/>
        <v>0</v>
      </c>
      <c r="M240" s="175">
        <f t="shared" si="87"/>
        <v>0</v>
      </c>
      <c r="N240" s="70"/>
      <c r="O240" s="70"/>
      <c r="P240" s="70"/>
      <c r="Q240" s="62">
        <v>3091</v>
      </c>
      <c r="R240" s="62">
        <f t="shared" si="88"/>
        <v>3005</v>
      </c>
      <c r="S240" s="176"/>
      <c r="T240" s="176"/>
      <c r="U240" s="70"/>
      <c r="V240" s="70"/>
      <c r="W240" s="260"/>
      <c r="X240" s="62">
        <f t="shared" si="89"/>
        <v>0</v>
      </c>
      <c r="Y240" s="70"/>
      <c r="AA240" s="290"/>
      <c r="AB240" s="291"/>
      <c r="AC240" s="62"/>
      <c r="AD240" s="62"/>
      <c r="AE240" s="177">
        <f t="shared" si="90"/>
        <v>90150</v>
      </c>
      <c r="AF240" s="177">
        <f t="shared" si="91"/>
        <v>90150</v>
      </c>
      <c r="AG240" s="70">
        <f t="shared" si="92"/>
        <v>13434662.304039083</v>
      </c>
      <c r="AH240" s="70">
        <f t="shared" si="93"/>
        <v>0</v>
      </c>
      <c r="AI240" s="587">
        <v>0</v>
      </c>
      <c r="AJ240" s="178">
        <f t="shared" si="94"/>
        <v>13434662.304039083</v>
      </c>
      <c r="AK240" s="301">
        <f t="shared" si="95"/>
        <v>44.667855335699493</v>
      </c>
      <c r="AL240" s="70">
        <f t="shared" si="96"/>
        <v>32423447.304039083</v>
      </c>
      <c r="AM240" s="179">
        <f t="shared" si="97"/>
        <v>107.80217774629671</v>
      </c>
      <c r="AN240" s="179"/>
      <c r="AO240" s="31">
        <f t="shared" si="98"/>
        <v>-201354.10416450724</v>
      </c>
      <c r="AP240" s="31">
        <f t="shared" si="99"/>
        <v>90150</v>
      </c>
      <c r="AQ240" s="31">
        <f t="shared" si="100"/>
        <v>2288199.5682344064</v>
      </c>
      <c r="AR240" s="180">
        <f t="shared" si="101"/>
        <v>7.6078553356994902</v>
      </c>
      <c r="AS240" s="31">
        <f t="shared" si="104"/>
        <v>10008.92</v>
      </c>
      <c r="AU240" s="31">
        <f t="shared" si="102"/>
        <v>0</v>
      </c>
      <c r="AV240" s="177"/>
      <c r="AW240" s="31">
        <f t="shared" si="103"/>
        <v>30</v>
      </c>
    </row>
    <row r="241" spans="1:49">
      <c r="A241" s="102">
        <v>232</v>
      </c>
      <c r="B241" s="7" t="s">
        <v>1937</v>
      </c>
      <c r="C241" s="7">
        <v>0</v>
      </c>
      <c r="D241" s="62">
        <f t="shared" si="79"/>
        <v>0</v>
      </c>
      <c r="E241" s="172">
        <f t="shared" si="80"/>
        <v>0</v>
      </c>
      <c r="F241" s="62">
        <f t="shared" si="81"/>
        <v>0</v>
      </c>
      <c r="G241" s="70">
        <f t="shared" si="82"/>
        <v>0</v>
      </c>
      <c r="H241" s="62">
        <f t="shared" si="83"/>
        <v>0</v>
      </c>
      <c r="I241" s="173">
        <f t="shared" si="84"/>
        <v>0</v>
      </c>
      <c r="J241" s="174">
        <f>ROUND(100-'Townwide Contributions'!K241,2)</f>
        <v>43.79</v>
      </c>
      <c r="K241" s="70">
        <f t="shared" si="85"/>
        <v>0</v>
      </c>
      <c r="L241" s="70">
        <f t="shared" si="86"/>
        <v>0</v>
      </c>
      <c r="M241" s="175">
        <f t="shared" si="87"/>
        <v>0</v>
      </c>
      <c r="N241" s="70"/>
      <c r="O241" s="70"/>
      <c r="P241" s="70"/>
      <c r="Q241" s="62">
        <v>0</v>
      </c>
      <c r="R241" s="62">
        <f t="shared" si="88"/>
        <v>0</v>
      </c>
      <c r="S241" s="176"/>
      <c r="T241" s="176"/>
      <c r="U241" s="70"/>
      <c r="V241" s="70"/>
      <c r="W241" s="260"/>
      <c r="X241" s="62">
        <f t="shared" si="89"/>
        <v>0</v>
      </c>
      <c r="Y241" s="70"/>
      <c r="AA241" s="290"/>
      <c r="AB241" s="291"/>
      <c r="AC241" s="62"/>
      <c r="AD241" s="62"/>
      <c r="AE241" s="177">
        <f t="shared" si="90"/>
        <v>0</v>
      </c>
      <c r="AF241" s="177">
        <f t="shared" si="91"/>
        <v>0</v>
      </c>
      <c r="AG241" s="70">
        <f t="shared" si="92"/>
        <v>0</v>
      </c>
      <c r="AH241" s="70">
        <f t="shared" si="93"/>
        <v>0</v>
      </c>
      <c r="AI241" s="587">
        <v>0</v>
      </c>
      <c r="AJ241" s="178">
        <f t="shared" si="94"/>
        <v>0</v>
      </c>
      <c r="AK241" s="301">
        <f t="shared" si="95"/>
        <v>0</v>
      </c>
      <c r="AL241" s="70">
        <f t="shared" si="96"/>
        <v>0</v>
      </c>
      <c r="AM241" s="179">
        <f t="shared" si="97"/>
        <v>0</v>
      </c>
      <c r="AN241" s="179"/>
      <c r="AO241" s="31">
        <f t="shared" si="98"/>
        <v>0</v>
      </c>
      <c r="AP241" s="31">
        <f t="shared" si="99"/>
        <v>0</v>
      </c>
      <c r="AQ241" s="31">
        <f t="shared" si="100"/>
        <v>0</v>
      </c>
      <c r="AR241" s="180" t="str">
        <f t="shared" si="101"/>
        <v/>
      </c>
      <c r="AS241" s="31">
        <f t="shared" si="104"/>
        <v>0</v>
      </c>
      <c r="AU241" s="31">
        <f t="shared" si="102"/>
        <v>0</v>
      </c>
      <c r="AV241" s="177"/>
      <c r="AW241" s="31">
        <f t="shared" si="103"/>
        <v>0</v>
      </c>
    </row>
    <row r="242" spans="1:49">
      <c r="A242" s="102">
        <v>233</v>
      </c>
      <c r="B242" s="7" t="s">
        <v>1938</v>
      </c>
      <c r="C242" s="7">
        <v>0</v>
      </c>
      <c r="D242" s="62">
        <f t="shared" si="79"/>
        <v>170156.80000000002</v>
      </c>
      <c r="E242" s="172">
        <f t="shared" si="80"/>
        <v>89842</v>
      </c>
      <c r="F242" s="62">
        <f t="shared" si="81"/>
        <v>107334.66674871638</v>
      </c>
      <c r="G242" s="70">
        <f t="shared" si="82"/>
        <v>47752</v>
      </c>
      <c r="H242" s="62">
        <f t="shared" si="83"/>
        <v>59583</v>
      </c>
      <c r="I242" s="173">
        <f t="shared" si="84"/>
        <v>0</v>
      </c>
      <c r="J242" s="174">
        <f>ROUND(100-'Townwide Contributions'!K242,2)</f>
        <v>56.18</v>
      </c>
      <c r="K242" s="70">
        <f t="shared" si="85"/>
        <v>60301</v>
      </c>
      <c r="L242" s="70">
        <f t="shared" si="86"/>
        <v>0</v>
      </c>
      <c r="M242" s="175">
        <f t="shared" si="87"/>
        <v>0</v>
      </c>
      <c r="N242" s="70"/>
      <c r="O242" s="70"/>
      <c r="P242" s="70"/>
      <c r="Q242" s="62">
        <v>11</v>
      </c>
      <c r="R242" s="62">
        <f t="shared" si="88"/>
        <v>8</v>
      </c>
      <c r="S242" s="176"/>
      <c r="T242" s="176"/>
      <c r="U242" s="70"/>
      <c r="V242" s="70"/>
      <c r="W242" s="260"/>
      <c r="X242" s="62">
        <f t="shared" si="89"/>
        <v>0</v>
      </c>
      <c r="Y242" s="70"/>
      <c r="AA242" s="290"/>
      <c r="AB242" s="291"/>
      <c r="AC242" s="62"/>
      <c r="AD242" s="62"/>
      <c r="AE242" s="177">
        <f t="shared" si="90"/>
        <v>0</v>
      </c>
      <c r="AF242" s="177">
        <f t="shared" si="91"/>
        <v>0</v>
      </c>
      <c r="AG242" s="70">
        <f t="shared" si="92"/>
        <v>89842</v>
      </c>
      <c r="AH242" s="70">
        <f t="shared" si="93"/>
        <v>0</v>
      </c>
      <c r="AI242" s="587">
        <v>0</v>
      </c>
      <c r="AJ242" s="178">
        <f t="shared" si="94"/>
        <v>89842</v>
      </c>
      <c r="AK242" s="301">
        <f t="shared" si="95"/>
        <v>0</v>
      </c>
      <c r="AL242" s="70">
        <f t="shared" si="96"/>
        <v>137594</v>
      </c>
      <c r="AM242" s="179">
        <f t="shared" si="97"/>
        <v>128.19157516194133</v>
      </c>
      <c r="AN242" s="179"/>
      <c r="AO242" s="31">
        <f t="shared" si="98"/>
        <v>-62822.133251283638</v>
      </c>
      <c r="AP242" s="31">
        <f t="shared" si="99"/>
        <v>0</v>
      </c>
      <c r="AQ242" s="31">
        <f t="shared" si="100"/>
        <v>29541.384220571141</v>
      </c>
      <c r="AR242" s="180" t="str">
        <f t="shared" si="101"/>
        <v/>
      </c>
      <c r="AS242" s="31">
        <f t="shared" si="104"/>
        <v>13416.83</v>
      </c>
      <c r="AU242" s="31">
        <f t="shared" si="102"/>
        <v>0</v>
      </c>
      <c r="AV242" s="177"/>
      <c r="AW242" s="31">
        <f t="shared" si="103"/>
        <v>0</v>
      </c>
    </row>
    <row r="243" spans="1:49">
      <c r="A243" s="102">
        <v>234</v>
      </c>
      <c r="B243" s="7" t="s">
        <v>1939</v>
      </c>
      <c r="C243" s="7">
        <v>1</v>
      </c>
      <c r="D243" s="62">
        <f t="shared" si="79"/>
        <v>627194.55000000005</v>
      </c>
      <c r="E243" s="172">
        <f t="shared" si="80"/>
        <v>429223</v>
      </c>
      <c r="F243" s="62">
        <f t="shared" si="81"/>
        <v>716629.18602344103</v>
      </c>
      <c r="G243" s="70">
        <f t="shared" si="82"/>
        <v>573272</v>
      </c>
      <c r="H243" s="62">
        <f t="shared" si="83"/>
        <v>143357</v>
      </c>
      <c r="I243" s="173">
        <f t="shared" si="84"/>
        <v>0</v>
      </c>
      <c r="J243" s="174">
        <f>ROUND(100-'Townwide Contributions'!K243,2)</f>
        <v>20.39</v>
      </c>
      <c r="K243" s="70">
        <f t="shared" si="85"/>
        <v>146121</v>
      </c>
      <c r="L243" s="70">
        <f t="shared" si="86"/>
        <v>0</v>
      </c>
      <c r="M243" s="175">
        <f t="shared" si="87"/>
        <v>0</v>
      </c>
      <c r="N243" s="70"/>
      <c r="O243" s="70"/>
      <c r="P243" s="70"/>
      <c r="Q243" s="62">
        <v>63</v>
      </c>
      <c r="R243" s="62">
        <f t="shared" si="88"/>
        <v>70</v>
      </c>
      <c r="S243" s="176"/>
      <c r="T243" s="176"/>
      <c r="U243" s="70"/>
      <c r="V243" s="70"/>
      <c r="W243" s="260"/>
      <c r="X243" s="62">
        <f t="shared" si="89"/>
        <v>0</v>
      </c>
      <c r="Y243" s="70"/>
      <c r="AA243" s="290"/>
      <c r="AB243" s="291"/>
      <c r="AC243" s="62"/>
      <c r="AD243" s="62"/>
      <c r="AE243" s="177">
        <f t="shared" si="90"/>
        <v>2100</v>
      </c>
      <c r="AF243" s="177">
        <f t="shared" si="91"/>
        <v>2100</v>
      </c>
      <c r="AG243" s="70">
        <f t="shared" si="92"/>
        <v>431323</v>
      </c>
      <c r="AH243" s="70">
        <f t="shared" si="93"/>
        <v>0</v>
      </c>
      <c r="AI243" s="587">
        <v>0</v>
      </c>
      <c r="AJ243" s="178">
        <f t="shared" si="94"/>
        <v>431323</v>
      </c>
      <c r="AK243" s="301">
        <f t="shared" si="95"/>
        <v>60.187752384660953</v>
      </c>
      <c r="AL243" s="70">
        <f t="shared" si="96"/>
        <v>1004595</v>
      </c>
      <c r="AM243" s="179">
        <f t="shared" si="97"/>
        <v>140.18337790210231</v>
      </c>
      <c r="AN243" s="179"/>
      <c r="AO243" s="31">
        <f t="shared" si="98"/>
        <v>89434.63602344098</v>
      </c>
      <c r="AP243" s="31">
        <f t="shared" si="99"/>
        <v>2100</v>
      </c>
      <c r="AQ243" s="31">
        <f t="shared" si="100"/>
        <v>285202.30896982038</v>
      </c>
      <c r="AR243" s="180">
        <f t="shared" si="101"/>
        <v>39.797752384660953</v>
      </c>
      <c r="AS243" s="31">
        <f t="shared" si="104"/>
        <v>10237.56</v>
      </c>
      <c r="AU243" s="31">
        <f t="shared" si="102"/>
        <v>0</v>
      </c>
      <c r="AV243" s="177"/>
      <c r="AW243" s="31">
        <f t="shared" si="103"/>
        <v>30</v>
      </c>
    </row>
    <row r="244" spans="1:49">
      <c r="A244" s="102">
        <v>235</v>
      </c>
      <c r="B244" s="7" t="s">
        <v>1940</v>
      </c>
      <c r="C244" s="7">
        <v>0</v>
      </c>
      <c r="D244" s="62">
        <f t="shared" si="79"/>
        <v>0</v>
      </c>
      <c r="E244" s="172">
        <f t="shared" si="80"/>
        <v>0</v>
      </c>
      <c r="F244" s="62">
        <f t="shared" si="81"/>
        <v>0</v>
      </c>
      <c r="G244" s="70">
        <f t="shared" si="82"/>
        <v>0</v>
      </c>
      <c r="H244" s="62">
        <f t="shared" si="83"/>
        <v>0</v>
      </c>
      <c r="I244" s="173">
        <f t="shared" si="84"/>
        <v>0</v>
      </c>
      <c r="J244" s="174">
        <f>ROUND(100-'Townwide Contributions'!K244,2)</f>
        <v>51.69</v>
      </c>
      <c r="K244" s="70">
        <f t="shared" si="85"/>
        <v>0</v>
      </c>
      <c r="L244" s="70">
        <f t="shared" si="86"/>
        <v>0</v>
      </c>
      <c r="M244" s="175">
        <f t="shared" si="87"/>
        <v>0</v>
      </c>
      <c r="N244" s="70"/>
      <c r="O244" s="70"/>
      <c r="P244" s="70"/>
      <c r="Q244" s="62">
        <v>0</v>
      </c>
      <c r="R244" s="62">
        <f t="shared" si="88"/>
        <v>0</v>
      </c>
      <c r="S244" s="176"/>
      <c r="T244" s="176"/>
      <c r="U244" s="70"/>
      <c r="V244" s="70"/>
      <c r="W244" s="260"/>
      <c r="X244" s="62">
        <f t="shared" si="89"/>
        <v>0</v>
      </c>
      <c r="Y244" s="70"/>
      <c r="AA244" s="290"/>
      <c r="AB244" s="291"/>
      <c r="AC244" s="62"/>
      <c r="AD244" s="62"/>
      <c r="AE244" s="177">
        <f t="shared" si="90"/>
        <v>0</v>
      </c>
      <c r="AF244" s="177">
        <f t="shared" si="91"/>
        <v>0</v>
      </c>
      <c r="AG244" s="70">
        <f t="shared" si="92"/>
        <v>0</v>
      </c>
      <c r="AH244" s="70">
        <f t="shared" si="93"/>
        <v>0</v>
      </c>
      <c r="AI244" s="587">
        <v>0</v>
      </c>
      <c r="AJ244" s="178">
        <f t="shared" si="94"/>
        <v>0</v>
      </c>
      <c r="AK244" s="301">
        <f t="shared" si="95"/>
        <v>0</v>
      </c>
      <c r="AL244" s="70">
        <f t="shared" si="96"/>
        <v>0</v>
      </c>
      <c r="AM244" s="179">
        <f t="shared" si="97"/>
        <v>0</v>
      </c>
      <c r="AN244" s="179"/>
      <c r="AO244" s="31">
        <f t="shared" si="98"/>
        <v>0</v>
      </c>
      <c r="AP244" s="31">
        <f t="shared" si="99"/>
        <v>0</v>
      </c>
      <c r="AQ244" s="31">
        <f t="shared" si="100"/>
        <v>0</v>
      </c>
      <c r="AR244" s="180" t="str">
        <f t="shared" si="101"/>
        <v/>
      </c>
      <c r="AS244" s="31">
        <f t="shared" si="104"/>
        <v>0</v>
      </c>
      <c r="AU244" s="31">
        <f t="shared" si="102"/>
        <v>0</v>
      </c>
      <c r="AV244" s="177"/>
      <c r="AW244" s="31">
        <f t="shared" si="103"/>
        <v>0</v>
      </c>
    </row>
    <row r="245" spans="1:49">
      <c r="A245" s="102">
        <v>236</v>
      </c>
      <c r="B245" s="7" t="s">
        <v>1941</v>
      </c>
      <c r="C245" s="7">
        <v>1</v>
      </c>
      <c r="D245" s="62">
        <f t="shared" si="79"/>
        <v>68494174.319999993</v>
      </c>
      <c r="E245" s="172">
        <f t="shared" si="80"/>
        <v>40155219</v>
      </c>
      <c r="F245" s="62">
        <f t="shared" si="81"/>
        <v>68570957.773763955</v>
      </c>
      <c r="G245" s="70">
        <f t="shared" si="82"/>
        <v>28025316</v>
      </c>
      <c r="H245" s="62">
        <f t="shared" si="83"/>
        <v>40545642</v>
      </c>
      <c r="I245" s="173">
        <f t="shared" si="84"/>
        <v>390423</v>
      </c>
      <c r="J245" s="174">
        <f>ROUND(100-'Townwide Contributions'!K245,2)</f>
        <v>59.26</v>
      </c>
      <c r="K245" s="70">
        <f t="shared" si="85"/>
        <v>40635150</v>
      </c>
      <c r="L245" s="70">
        <f t="shared" si="86"/>
        <v>0</v>
      </c>
      <c r="M245" s="175">
        <f t="shared" si="87"/>
        <v>0</v>
      </c>
      <c r="N245" s="70"/>
      <c r="O245" s="70"/>
      <c r="P245" s="70"/>
      <c r="Q245" s="62">
        <v>6115</v>
      </c>
      <c r="R245" s="62">
        <f t="shared" si="88"/>
        <v>6026</v>
      </c>
      <c r="S245" s="176"/>
      <c r="T245" s="176"/>
      <c r="U245" s="70"/>
      <c r="V245" s="70"/>
      <c r="W245" s="260"/>
      <c r="X245" s="62">
        <f t="shared" si="89"/>
        <v>1</v>
      </c>
      <c r="Y245" s="70"/>
      <c r="AA245" s="290"/>
      <c r="AB245" s="291"/>
      <c r="AC245" s="62"/>
      <c r="AD245" s="62"/>
      <c r="AE245" s="177">
        <f t="shared" si="90"/>
        <v>180780</v>
      </c>
      <c r="AF245" s="177">
        <f t="shared" si="91"/>
        <v>0</v>
      </c>
      <c r="AG245" s="70">
        <f t="shared" si="92"/>
        <v>40545642</v>
      </c>
      <c r="AH245" s="70">
        <f t="shared" si="93"/>
        <v>0</v>
      </c>
      <c r="AI245" s="587">
        <v>0</v>
      </c>
      <c r="AJ245" s="178">
        <f t="shared" si="94"/>
        <v>40545642</v>
      </c>
      <c r="AK245" s="301">
        <f t="shared" si="95"/>
        <v>59.129467221053211</v>
      </c>
      <c r="AL245" s="70">
        <f t="shared" si="96"/>
        <v>68570958</v>
      </c>
      <c r="AM245" s="179">
        <f t="shared" si="97"/>
        <v>100.00000032992983</v>
      </c>
      <c r="AN245" s="179"/>
      <c r="AO245" s="31">
        <f t="shared" si="98"/>
        <v>76783.453763961792</v>
      </c>
      <c r="AP245" s="31">
        <f t="shared" si="99"/>
        <v>390423</v>
      </c>
      <c r="AQ245" s="31">
        <f t="shared" si="100"/>
        <v>-89507.576732523739</v>
      </c>
      <c r="AR245" s="180">
        <f t="shared" si="101"/>
        <v>-0.13053277894678672</v>
      </c>
      <c r="AS245" s="31">
        <f t="shared" si="104"/>
        <v>11379.18</v>
      </c>
      <c r="AU245" s="31">
        <f t="shared" si="102"/>
        <v>0</v>
      </c>
      <c r="AV245" s="177"/>
      <c r="AW245" s="31">
        <f t="shared" si="103"/>
        <v>64.789744440756721</v>
      </c>
    </row>
    <row r="246" spans="1:49">
      <c r="A246" s="102">
        <v>237</v>
      </c>
      <c r="B246" s="7" t="s">
        <v>1942</v>
      </c>
      <c r="C246" s="7">
        <v>0</v>
      </c>
      <c r="D246" s="62">
        <f t="shared" si="79"/>
        <v>39512.76</v>
      </c>
      <c r="E246" s="172">
        <f t="shared" si="80"/>
        <v>39512.76</v>
      </c>
      <c r="F246" s="62">
        <f t="shared" si="81"/>
        <v>40250.500030768642</v>
      </c>
      <c r="G246" s="70">
        <f t="shared" si="82"/>
        <v>28875</v>
      </c>
      <c r="H246" s="62">
        <f t="shared" si="83"/>
        <v>11376</v>
      </c>
      <c r="I246" s="173">
        <f t="shared" si="84"/>
        <v>0</v>
      </c>
      <c r="J246" s="174">
        <f>ROUND(100-'Townwide Contributions'!K246,2)</f>
        <v>29.15</v>
      </c>
      <c r="K246" s="70">
        <f t="shared" si="85"/>
        <v>11733</v>
      </c>
      <c r="L246" s="70">
        <f t="shared" si="86"/>
        <v>0</v>
      </c>
      <c r="M246" s="175">
        <f t="shared" si="87"/>
        <v>0</v>
      </c>
      <c r="N246" s="70"/>
      <c r="O246" s="70"/>
      <c r="P246" s="70"/>
      <c r="Q246" s="62">
        <v>3</v>
      </c>
      <c r="R246" s="62">
        <f t="shared" si="88"/>
        <v>3</v>
      </c>
      <c r="S246" s="176"/>
      <c r="T246" s="176"/>
      <c r="U246" s="70"/>
      <c r="V246" s="70"/>
      <c r="W246" s="260"/>
      <c r="X246" s="62">
        <f t="shared" si="89"/>
        <v>0</v>
      </c>
      <c r="Y246" s="70"/>
      <c r="AA246" s="290"/>
      <c r="AB246" s="291"/>
      <c r="AC246" s="62"/>
      <c r="AD246" s="62"/>
      <c r="AE246" s="177">
        <f t="shared" si="90"/>
        <v>0</v>
      </c>
      <c r="AF246" s="177">
        <f t="shared" si="91"/>
        <v>0</v>
      </c>
      <c r="AG246" s="70">
        <f t="shared" si="92"/>
        <v>39512.76</v>
      </c>
      <c r="AH246" s="70">
        <f t="shared" si="93"/>
        <v>0</v>
      </c>
      <c r="AI246" s="587">
        <v>0</v>
      </c>
      <c r="AJ246" s="178">
        <f t="shared" si="94"/>
        <v>39512.76</v>
      </c>
      <c r="AK246" s="301">
        <f t="shared" si="95"/>
        <v>0</v>
      </c>
      <c r="AL246" s="70">
        <f t="shared" si="96"/>
        <v>68387.760000000009</v>
      </c>
      <c r="AM246" s="179">
        <f t="shared" si="97"/>
        <v>169.90536750530413</v>
      </c>
      <c r="AN246" s="179"/>
      <c r="AO246" s="31">
        <f t="shared" si="98"/>
        <v>737.74003076864028</v>
      </c>
      <c r="AP246" s="31">
        <f t="shared" si="99"/>
        <v>0</v>
      </c>
      <c r="AQ246" s="31">
        <f t="shared" si="100"/>
        <v>27779.739241030944</v>
      </c>
      <c r="AR246" s="180" t="str">
        <f t="shared" si="101"/>
        <v/>
      </c>
      <c r="AS246" s="31">
        <f t="shared" si="104"/>
        <v>13416.83</v>
      </c>
      <c r="AU246" s="31">
        <f t="shared" si="102"/>
        <v>0</v>
      </c>
      <c r="AV246" s="177"/>
      <c r="AW246" s="31">
        <f t="shared" si="103"/>
        <v>0</v>
      </c>
    </row>
    <row r="247" spans="1:49">
      <c r="A247" s="102">
        <v>238</v>
      </c>
      <c r="B247" s="7" t="s">
        <v>1943</v>
      </c>
      <c r="C247" s="7">
        <v>1</v>
      </c>
      <c r="D247" s="62">
        <f t="shared" si="79"/>
        <v>6794336.419999999</v>
      </c>
      <c r="E247" s="172">
        <f t="shared" si="80"/>
        <v>2864950.59601</v>
      </c>
      <c r="F247" s="62">
        <f t="shared" si="81"/>
        <v>6634193.2430846673</v>
      </c>
      <c r="G247" s="70">
        <f t="shared" si="82"/>
        <v>4712959</v>
      </c>
      <c r="H247" s="62">
        <f t="shared" si="83"/>
        <v>1921234</v>
      </c>
      <c r="I247" s="173">
        <f t="shared" si="84"/>
        <v>0</v>
      </c>
      <c r="J247" s="174">
        <f>ROUND(100-'Townwide Contributions'!K247,2)</f>
        <v>29.11</v>
      </c>
      <c r="K247" s="70">
        <f t="shared" si="85"/>
        <v>1931214</v>
      </c>
      <c r="L247" s="70">
        <f t="shared" si="86"/>
        <v>0</v>
      </c>
      <c r="M247" s="175">
        <f t="shared" si="87"/>
        <v>0</v>
      </c>
      <c r="N247" s="70"/>
      <c r="O247" s="70"/>
      <c r="P247" s="70"/>
      <c r="Q247" s="62">
        <v>734</v>
      </c>
      <c r="R247" s="62">
        <f t="shared" si="88"/>
        <v>701</v>
      </c>
      <c r="S247" s="176"/>
      <c r="T247" s="176"/>
      <c r="U247" s="70"/>
      <c r="V247" s="70"/>
      <c r="W247" s="260"/>
      <c r="X247" s="62">
        <f t="shared" si="89"/>
        <v>0</v>
      </c>
      <c r="Y247" s="70"/>
      <c r="AA247" s="290"/>
      <c r="AB247" s="291"/>
      <c r="AC247" s="62"/>
      <c r="AD247" s="62"/>
      <c r="AE247" s="177">
        <f t="shared" si="90"/>
        <v>21030</v>
      </c>
      <c r="AF247" s="177">
        <f t="shared" si="91"/>
        <v>21030</v>
      </c>
      <c r="AG247" s="70">
        <f t="shared" si="92"/>
        <v>2885980.59601</v>
      </c>
      <c r="AH247" s="70">
        <f t="shared" si="93"/>
        <v>0</v>
      </c>
      <c r="AI247" s="587">
        <v>0</v>
      </c>
      <c r="AJ247" s="178">
        <f t="shared" si="94"/>
        <v>2885980.59601</v>
      </c>
      <c r="AK247" s="301">
        <f t="shared" si="95"/>
        <v>43.501605851145214</v>
      </c>
      <c r="AL247" s="70">
        <f t="shared" si="96"/>
        <v>7598939.5960099995</v>
      </c>
      <c r="AM247" s="179">
        <f t="shared" si="97"/>
        <v>114.54202971749372</v>
      </c>
      <c r="AN247" s="179"/>
      <c r="AO247" s="31">
        <f t="shared" si="98"/>
        <v>-160143.17691533174</v>
      </c>
      <c r="AP247" s="31">
        <f t="shared" si="99"/>
        <v>21030</v>
      </c>
      <c r="AQ247" s="31">
        <f t="shared" si="100"/>
        <v>954766.94294805359</v>
      </c>
      <c r="AR247" s="180">
        <f t="shared" si="101"/>
        <v>14.391605851145215</v>
      </c>
      <c r="AS247" s="31">
        <f t="shared" si="104"/>
        <v>9463.9</v>
      </c>
      <c r="AU247" s="31">
        <f t="shared" si="102"/>
        <v>0</v>
      </c>
      <c r="AV247" s="177"/>
      <c r="AW247" s="31">
        <f t="shared" si="103"/>
        <v>30</v>
      </c>
    </row>
    <row r="248" spans="1:49">
      <c r="A248" s="102">
        <v>239</v>
      </c>
      <c r="B248" s="7" t="s">
        <v>1944</v>
      </c>
      <c r="C248" s="7">
        <v>1</v>
      </c>
      <c r="D248" s="62">
        <f t="shared" si="79"/>
        <v>84727196.122590005</v>
      </c>
      <c r="E248" s="172">
        <f t="shared" si="80"/>
        <v>24315046.509499453</v>
      </c>
      <c r="F248" s="62">
        <f t="shared" si="81"/>
        <v>88349686.529343486</v>
      </c>
      <c r="G248" s="70">
        <f t="shared" si="82"/>
        <v>62464730</v>
      </c>
      <c r="H248" s="62">
        <f t="shared" si="83"/>
        <v>25884957</v>
      </c>
      <c r="I248" s="173">
        <f t="shared" si="84"/>
        <v>1569910.490500547</v>
      </c>
      <c r="J248" s="174">
        <f>ROUND(100-'Townwide Contributions'!K248,2)</f>
        <v>29.62</v>
      </c>
      <c r="K248" s="70">
        <f t="shared" si="85"/>
        <v>26169177</v>
      </c>
      <c r="L248" s="70">
        <f t="shared" si="86"/>
        <v>0</v>
      </c>
      <c r="M248" s="175">
        <f t="shared" si="87"/>
        <v>0</v>
      </c>
      <c r="N248" s="70"/>
      <c r="O248" s="70"/>
      <c r="P248" s="70"/>
      <c r="Q248" s="62">
        <v>8046</v>
      </c>
      <c r="R248" s="62">
        <f t="shared" si="88"/>
        <v>8212</v>
      </c>
      <c r="S248" s="176"/>
      <c r="T248" s="176"/>
      <c r="U248" s="70"/>
      <c r="V248" s="70"/>
      <c r="W248" s="260"/>
      <c r="X248" s="62">
        <f t="shared" si="89"/>
        <v>1</v>
      </c>
      <c r="Y248" s="70"/>
      <c r="AA248" s="290"/>
      <c r="AB248" s="291"/>
      <c r="AC248" s="62"/>
      <c r="AD248" s="62"/>
      <c r="AE248" s="177">
        <f t="shared" si="90"/>
        <v>246360</v>
      </c>
      <c r="AF248" s="177">
        <f t="shared" si="91"/>
        <v>0</v>
      </c>
      <c r="AG248" s="70">
        <f t="shared" si="92"/>
        <v>25884957</v>
      </c>
      <c r="AH248" s="70">
        <f t="shared" si="93"/>
        <v>0</v>
      </c>
      <c r="AI248" s="587">
        <v>0</v>
      </c>
      <c r="AJ248" s="178">
        <f t="shared" si="94"/>
        <v>25884957</v>
      </c>
      <c r="AK248" s="301">
        <f t="shared" si="95"/>
        <v>29.298300895954917</v>
      </c>
      <c r="AL248" s="70">
        <f t="shared" si="96"/>
        <v>88349687</v>
      </c>
      <c r="AM248" s="179">
        <f t="shared" si="97"/>
        <v>100.00000053272008</v>
      </c>
      <c r="AN248" s="179"/>
      <c r="AO248" s="31">
        <f t="shared" si="98"/>
        <v>3622490.4067534804</v>
      </c>
      <c r="AP248" s="31">
        <f t="shared" si="99"/>
        <v>1569910.490500547</v>
      </c>
      <c r="AQ248" s="31">
        <f t="shared" si="100"/>
        <v>-284220.1499915421</v>
      </c>
      <c r="AR248" s="180">
        <f t="shared" si="101"/>
        <v>-0.32169910404508428</v>
      </c>
      <c r="AS248" s="31">
        <f t="shared" si="104"/>
        <v>10758.61</v>
      </c>
      <c r="AU248" s="31">
        <f t="shared" si="102"/>
        <v>0</v>
      </c>
      <c r="AV248" s="177"/>
      <c r="AW248" s="31">
        <f t="shared" si="103"/>
        <v>191.17273386514211</v>
      </c>
    </row>
    <row r="249" spans="1:49">
      <c r="A249" s="102">
        <v>240</v>
      </c>
      <c r="B249" s="7" t="s">
        <v>1945</v>
      </c>
      <c r="C249" s="7">
        <v>1</v>
      </c>
      <c r="D249" s="62">
        <f t="shared" si="79"/>
        <v>2281485.7581900004</v>
      </c>
      <c r="E249" s="172">
        <f t="shared" si="80"/>
        <v>721030.25887999998</v>
      </c>
      <c r="F249" s="62">
        <f t="shared" si="81"/>
        <v>2208586.3887203764</v>
      </c>
      <c r="G249" s="70">
        <f t="shared" si="82"/>
        <v>1594867</v>
      </c>
      <c r="H249" s="62">
        <f t="shared" si="83"/>
        <v>613719</v>
      </c>
      <c r="I249" s="173">
        <f t="shared" si="84"/>
        <v>0</v>
      </c>
      <c r="J249" s="174">
        <f>ROUND(100-'Townwide Contributions'!K249,2)</f>
        <v>28.71</v>
      </c>
      <c r="K249" s="70">
        <f t="shared" si="85"/>
        <v>634085</v>
      </c>
      <c r="L249" s="70">
        <f t="shared" si="86"/>
        <v>0</v>
      </c>
      <c r="M249" s="175">
        <f t="shared" si="87"/>
        <v>0</v>
      </c>
      <c r="N249" s="70"/>
      <c r="O249" s="70"/>
      <c r="P249" s="70"/>
      <c r="Q249" s="62">
        <v>232</v>
      </c>
      <c r="R249" s="62">
        <f t="shared" si="88"/>
        <v>221</v>
      </c>
      <c r="S249" s="176"/>
      <c r="T249" s="176"/>
      <c r="U249" s="70"/>
      <c r="V249" s="70"/>
      <c r="W249" s="260"/>
      <c r="X249" s="62">
        <f t="shared" si="89"/>
        <v>0</v>
      </c>
      <c r="Y249" s="70"/>
      <c r="AA249" s="290"/>
      <c r="AB249" s="291"/>
      <c r="AC249" s="62"/>
      <c r="AD249" s="62"/>
      <c r="AE249" s="177">
        <f t="shared" si="90"/>
        <v>6630</v>
      </c>
      <c r="AF249" s="177">
        <f t="shared" si="91"/>
        <v>6630</v>
      </c>
      <c r="AG249" s="70">
        <f t="shared" si="92"/>
        <v>727660.25887999998</v>
      </c>
      <c r="AH249" s="70">
        <f t="shared" si="93"/>
        <v>0</v>
      </c>
      <c r="AI249" s="587">
        <v>0</v>
      </c>
      <c r="AJ249" s="178">
        <f t="shared" si="94"/>
        <v>727660.25887999998</v>
      </c>
      <c r="AK249" s="301">
        <f t="shared" si="95"/>
        <v>32.946877812716941</v>
      </c>
      <c r="AL249" s="70">
        <f t="shared" si="96"/>
        <v>2322527.2588800001</v>
      </c>
      <c r="AM249" s="179">
        <f t="shared" si="97"/>
        <v>105.15899539821213</v>
      </c>
      <c r="AN249" s="179"/>
      <c r="AO249" s="31">
        <f t="shared" si="98"/>
        <v>-72899.369469624013</v>
      </c>
      <c r="AP249" s="31">
        <f t="shared" si="99"/>
        <v>6630</v>
      </c>
      <c r="AQ249" s="31">
        <f t="shared" si="100"/>
        <v>93575.106678379816</v>
      </c>
      <c r="AR249" s="180">
        <f t="shared" si="101"/>
        <v>4.2368778127169406</v>
      </c>
      <c r="AS249" s="31">
        <f t="shared" si="104"/>
        <v>9993.6</v>
      </c>
      <c r="AU249" s="31">
        <f t="shared" si="102"/>
        <v>0</v>
      </c>
      <c r="AV249" s="177"/>
      <c r="AW249" s="31">
        <f t="shared" si="103"/>
        <v>30</v>
      </c>
    </row>
    <row r="250" spans="1:49">
      <c r="A250" s="102">
        <v>241</v>
      </c>
      <c r="B250" s="7" t="s">
        <v>1946</v>
      </c>
      <c r="C250" s="7">
        <v>0</v>
      </c>
      <c r="D250" s="62">
        <f t="shared" si="79"/>
        <v>0</v>
      </c>
      <c r="E250" s="172">
        <f t="shared" si="80"/>
        <v>0</v>
      </c>
      <c r="F250" s="62">
        <f t="shared" si="81"/>
        <v>0</v>
      </c>
      <c r="G250" s="70">
        <f t="shared" si="82"/>
        <v>0</v>
      </c>
      <c r="H250" s="62">
        <f t="shared" si="83"/>
        <v>0</v>
      </c>
      <c r="I250" s="173">
        <f t="shared" si="84"/>
        <v>0</v>
      </c>
      <c r="J250" s="174">
        <f>ROUND(100-'Townwide Contributions'!K250,2)</f>
        <v>17.5</v>
      </c>
      <c r="K250" s="70">
        <f t="shared" si="85"/>
        <v>0</v>
      </c>
      <c r="L250" s="70">
        <f t="shared" si="86"/>
        <v>0</v>
      </c>
      <c r="M250" s="175">
        <f t="shared" si="87"/>
        <v>0</v>
      </c>
      <c r="N250" s="70"/>
      <c r="O250" s="70"/>
      <c r="P250" s="70"/>
      <c r="Q250" s="62">
        <v>0</v>
      </c>
      <c r="R250" s="62">
        <f t="shared" si="88"/>
        <v>0</v>
      </c>
      <c r="S250" s="176"/>
      <c r="T250" s="176"/>
      <c r="U250" s="70"/>
      <c r="V250" s="70"/>
      <c r="W250" s="260"/>
      <c r="X250" s="62">
        <f t="shared" si="89"/>
        <v>0</v>
      </c>
      <c r="Y250" s="70"/>
      <c r="AA250" s="290"/>
      <c r="AB250" s="291"/>
      <c r="AC250" s="62"/>
      <c r="AD250" s="62"/>
      <c r="AE250" s="177">
        <f t="shared" si="90"/>
        <v>0</v>
      </c>
      <c r="AF250" s="177">
        <f t="shared" si="91"/>
        <v>0</v>
      </c>
      <c r="AG250" s="70">
        <f t="shared" si="92"/>
        <v>0</v>
      </c>
      <c r="AH250" s="70">
        <f t="shared" si="93"/>
        <v>0</v>
      </c>
      <c r="AI250" s="587">
        <v>0</v>
      </c>
      <c r="AJ250" s="178">
        <f t="shared" si="94"/>
        <v>0</v>
      </c>
      <c r="AK250" s="301">
        <f t="shared" si="95"/>
        <v>0</v>
      </c>
      <c r="AL250" s="70">
        <f t="shared" si="96"/>
        <v>0</v>
      </c>
      <c r="AM250" s="179">
        <f t="shared" si="97"/>
        <v>0</v>
      </c>
      <c r="AN250" s="179"/>
      <c r="AO250" s="31">
        <f t="shared" si="98"/>
        <v>0</v>
      </c>
      <c r="AP250" s="31">
        <f t="shared" si="99"/>
        <v>0</v>
      </c>
      <c r="AQ250" s="31">
        <f t="shared" si="100"/>
        <v>0</v>
      </c>
      <c r="AR250" s="180" t="str">
        <f t="shared" si="101"/>
        <v/>
      </c>
      <c r="AS250" s="31">
        <f t="shared" si="104"/>
        <v>0</v>
      </c>
      <c r="AU250" s="31">
        <f t="shared" si="102"/>
        <v>0</v>
      </c>
      <c r="AV250" s="177"/>
      <c r="AW250" s="31">
        <f t="shared" si="103"/>
        <v>0</v>
      </c>
    </row>
    <row r="251" spans="1:49">
      <c r="A251" s="102">
        <v>242</v>
      </c>
      <c r="B251" s="7" t="s">
        <v>1947</v>
      </c>
      <c r="C251" s="7">
        <v>1</v>
      </c>
      <c r="D251" s="62">
        <f t="shared" si="79"/>
        <v>1411461.41</v>
      </c>
      <c r="E251" s="172">
        <f t="shared" si="80"/>
        <v>280401</v>
      </c>
      <c r="F251" s="62">
        <f t="shared" si="81"/>
        <v>1300534.3107840288</v>
      </c>
      <c r="G251" s="70">
        <f t="shared" si="82"/>
        <v>1090154</v>
      </c>
      <c r="H251" s="62">
        <f t="shared" si="83"/>
        <v>210380</v>
      </c>
      <c r="I251" s="173">
        <f t="shared" si="84"/>
        <v>0</v>
      </c>
      <c r="J251" s="174">
        <f>ROUND(100-'Townwide Contributions'!K251,2)</f>
        <v>17.5</v>
      </c>
      <c r="K251" s="70">
        <f t="shared" si="85"/>
        <v>227594</v>
      </c>
      <c r="L251" s="70">
        <f t="shared" si="86"/>
        <v>0</v>
      </c>
      <c r="M251" s="175">
        <f t="shared" si="87"/>
        <v>0</v>
      </c>
      <c r="N251" s="70"/>
      <c r="O251" s="70"/>
      <c r="P251" s="70"/>
      <c r="Q251" s="62">
        <v>137</v>
      </c>
      <c r="R251" s="62">
        <f t="shared" si="88"/>
        <v>115</v>
      </c>
      <c r="S251" s="176"/>
      <c r="T251" s="176"/>
      <c r="U251" s="70"/>
      <c r="V251" s="70"/>
      <c r="W251" s="260"/>
      <c r="X251" s="62">
        <f t="shared" si="89"/>
        <v>0</v>
      </c>
      <c r="Y251" s="70"/>
      <c r="AA251" s="290"/>
      <c r="AB251" s="291"/>
      <c r="AC251" s="62"/>
      <c r="AD251" s="62"/>
      <c r="AE251" s="177">
        <f t="shared" si="90"/>
        <v>3450</v>
      </c>
      <c r="AF251" s="177">
        <f t="shared" si="91"/>
        <v>3450</v>
      </c>
      <c r="AG251" s="70">
        <f t="shared" si="92"/>
        <v>283851</v>
      </c>
      <c r="AH251" s="70">
        <f t="shared" si="93"/>
        <v>0</v>
      </c>
      <c r="AI251" s="587">
        <v>0</v>
      </c>
      <c r="AJ251" s="178">
        <f t="shared" si="94"/>
        <v>283851</v>
      </c>
      <c r="AK251" s="301">
        <f t="shared" si="95"/>
        <v>21.825721754997762</v>
      </c>
      <c r="AL251" s="70">
        <f t="shared" si="96"/>
        <v>1374005</v>
      </c>
      <c r="AM251" s="179">
        <f t="shared" si="97"/>
        <v>105.64926958149064</v>
      </c>
      <c r="AN251" s="179"/>
      <c r="AO251" s="31">
        <f t="shared" si="98"/>
        <v>-110927.09921597107</v>
      </c>
      <c r="AP251" s="31">
        <f t="shared" si="99"/>
        <v>3450</v>
      </c>
      <c r="AQ251" s="31">
        <f t="shared" si="100"/>
        <v>56257.49561279497</v>
      </c>
      <c r="AR251" s="180">
        <f t="shared" si="101"/>
        <v>4.3257217549977618</v>
      </c>
      <c r="AS251" s="31">
        <f t="shared" si="104"/>
        <v>11308.99</v>
      </c>
      <c r="AU251" s="31">
        <f t="shared" si="102"/>
        <v>0</v>
      </c>
      <c r="AV251" s="177"/>
      <c r="AW251" s="31">
        <f t="shared" si="103"/>
        <v>30</v>
      </c>
    </row>
    <row r="252" spans="1:49">
      <c r="A252" s="102">
        <v>243</v>
      </c>
      <c r="B252" s="7" t="s">
        <v>1948</v>
      </c>
      <c r="C252" s="7">
        <v>1</v>
      </c>
      <c r="D252" s="62">
        <f t="shared" si="79"/>
        <v>109074296.63971998</v>
      </c>
      <c r="E252" s="172">
        <f t="shared" si="80"/>
        <v>26763766.287227817</v>
      </c>
      <c r="F252" s="62">
        <f t="shared" si="81"/>
        <v>112465494.00668323</v>
      </c>
      <c r="G252" s="70">
        <f t="shared" si="82"/>
        <v>87353305</v>
      </c>
      <c r="H252" s="62">
        <f t="shared" si="83"/>
        <v>25112189</v>
      </c>
      <c r="I252" s="173">
        <f t="shared" si="84"/>
        <v>0</v>
      </c>
      <c r="J252" s="174">
        <f>ROUND(100-'Townwide Contributions'!K252,2)</f>
        <v>22.56</v>
      </c>
      <c r="K252" s="70">
        <f t="shared" si="85"/>
        <v>25372215</v>
      </c>
      <c r="L252" s="70">
        <f t="shared" si="86"/>
        <v>0</v>
      </c>
      <c r="M252" s="175">
        <f t="shared" si="87"/>
        <v>0</v>
      </c>
      <c r="N252" s="70"/>
      <c r="O252" s="70"/>
      <c r="P252" s="70"/>
      <c r="Q252" s="62">
        <v>9211</v>
      </c>
      <c r="R252" s="62">
        <f t="shared" si="88"/>
        <v>9321</v>
      </c>
      <c r="S252" s="176"/>
      <c r="T252" s="176"/>
      <c r="U252" s="70"/>
      <c r="V252" s="70"/>
      <c r="W252" s="260"/>
      <c r="X252" s="62">
        <f t="shared" si="89"/>
        <v>0</v>
      </c>
      <c r="Y252" s="70"/>
      <c r="AA252" s="290"/>
      <c r="AB252" s="291"/>
      <c r="AC252" s="62"/>
      <c r="AD252" s="62"/>
      <c r="AE252" s="177">
        <f t="shared" si="90"/>
        <v>279630</v>
      </c>
      <c r="AF252" s="177">
        <f t="shared" si="91"/>
        <v>279630</v>
      </c>
      <c r="AG252" s="70">
        <f t="shared" si="92"/>
        <v>27043396.287227817</v>
      </c>
      <c r="AH252" s="70">
        <f t="shared" si="93"/>
        <v>0</v>
      </c>
      <c r="AI252" s="587">
        <v>0</v>
      </c>
      <c r="AJ252" s="178">
        <f t="shared" si="94"/>
        <v>27043396.287227817</v>
      </c>
      <c r="AK252" s="301">
        <f t="shared" si="95"/>
        <v>24.045949849845297</v>
      </c>
      <c r="AL252" s="70">
        <f t="shared" si="96"/>
        <v>114396701.28722781</v>
      </c>
      <c r="AM252" s="179">
        <f t="shared" si="97"/>
        <v>101.71715537961342</v>
      </c>
      <c r="AN252" s="179"/>
      <c r="AO252" s="31">
        <f t="shared" si="98"/>
        <v>3391197.3669632524</v>
      </c>
      <c r="AP252" s="31">
        <f t="shared" si="99"/>
        <v>279630</v>
      </c>
      <c r="AQ252" s="31">
        <f t="shared" si="100"/>
        <v>1671180.8393200822</v>
      </c>
      <c r="AR252" s="180">
        <f t="shared" si="101"/>
        <v>1.4859498498452979</v>
      </c>
      <c r="AS252" s="31">
        <f t="shared" si="104"/>
        <v>12065.82</v>
      </c>
      <c r="AU252" s="31">
        <f t="shared" si="102"/>
        <v>0</v>
      </c>
      <c r="AV252" s="177"/>
      <c r="AW252" s="31">
        <f t="shared" si="103"/>
        <v>30</v>
      </c>
    </row>
    <row r="253" spans="1:49">
      <c r="A253" s="102">
        <v>244</v>
      </c>
      <c r="B253" s="7" t="s">
        <v>1949</v>
      </c>
      <c r="C253" s="7">
        <v>1</v>
      </c>
      <c r="D253" s="62">
        <f t="shared" si="79"/>
        <v>35981002.85723</v>
      </c>
      <c r="E253" s="172">
        <f t="shared" si="80"/>
        <v>15693730</v>
      </c>
      <c r="F253" s="62">
        <f t="shared" si="81"/>
        <v>37100685.939180903</v>
      </c>
      <c r="G253" s="70">
        <f t="shared" si="82"/>
        <v>20804157</v>
      </c>
      <c r="H253" s="62">
        <f t="shared" si="83"/>
        <v>16296529</v>
      </c>
      <c r="I253" s="173">
        <f t="shared" si="84"/>
        <v>602799</v>
      </c>
      <c r="J253" s="174">
        <f>ROUND(100-'Townwide Contributions'!K253,2)</f>
        <v>44.04</v>
      </c>
      <c r="K253" s="70">
        <f t="shared" si="85"/>
        <v>16339142</v>
      </c>
      <c r="L253" s="70">
        <f t="shared" si="86"/>
        <v>0</v>
      </c>
      <c r="M253" s="175">
        <f t="shared" si="87"/>
        <v>0</v>
      </c>
      <c r="N253" s="70"/>
      <c r="O253" s="70"/>
      <c r="P253" s="70"/>
      <c r="Q253" s="62">
        <v>3263</v>
      </c>
      <c r="R253" s="62">
        <f t="shared" si="88"/>
        <v>3266</v>
      </c>
      <c r="S253" s="176"/>
      <c r="T253" s="176"/>
      <c r="U253" s="70"/>
      <c r="V253" s="70"/>
      <c r="W253" s="260"/>
      <c r="X253" s="62">
        <f t="shared" si="89"/>
        <v>1</v>
      </c>
      <c r="Y253" s="70"/>
      <c r="AA253" s="290"/>
      <c r="AB253" s="291"/>
      <c r="AC253" s="62"/>
      <c r="AD253" s="62"/>
      <c r="AE253" s="177">
        <f t="shared" si="90"/>
        <v>97980</v>
      </c>
      <c r="AF253" s="177">
        <f t="shared" si="91"/>
        <v>0</v>
      </c>
      <c r="AG253" s="70">
        <f t="shared" si="92"/>
        <v>16296529</v>
      </c>
      <c r="AH253" s="70">
        <f t="shared" si="93"/>
        <v>0</v>
      </c>
      <c r="AI253" s="587">
        <v>0</v>
      </c>
      <c r="AJ253" s="178">
        <f t="shared" si="94"/>
        <v>16296529</v>
      </c>
      <c r="AK253" s="301">
        <f t="shared" si="95"/>
        <v>43.925142049165544</v>
      </c>
      <c r="AL253" s="70">
        <f t="shared" si="96"/>
        <v>37100686</v>
      </c>
      <c r="AM253" s="179">
        <f t="shared" si="97"/>
        <v>100.00000016392984</v>
      </c>
      <c r="AN253" s="179"/>
      <c r="AO253" s="31">
        <f t="shared" si="98"/>
        <v>1119683.0819509029</v>
      </c>
      <c r="AP253" s="31">
        <f t="shared" si="99"/>
        <v>602799</v>
      </c>
      <c r="AQ253" s="31">
        <f t="shared" si="100"/>
        <v>-42613.087615270168</v>
      </c>
      <c r="AR253" s="180">
        <f t="shared" si="101"/>
        <v>-0.11485795083445538</v>
      </c>
      <c r="AS253" s="31">
        <f t="shared" si="104"/>
        <v>11359.67</v>
      </c>
      <c r="AU253" s="31">
        <f t="shared" si="102"/>
        <v>0</v>
      </c>
      <c r="AV253" s="177"/>
      <c r="AW253" s="31">
        <f t="shared" si="103"/>
        <v>184.56797305572564</v>
      </c>
    </row>
    <row r="254" spans="1:49">
      <c r="A254" s="102">
        <v>245</v>
      </c>
      <c r="B254" s="7" t="s">
        <v>1950</v>
      </c>
      <c r="C254" s="7">
        <v>0</v>
      </c>
      <c r="D254" s="62">
        <f t="shared" si="79"/>
        <v>0</v>
      </c>
      <c r="E254" s="172">
        <f t="shared" si="80"/>
        <v>0</v>
      </c>
      <c r="F254" s="62">
        <f t="shared" si="81"/>
        <v>0</v>
      </c>
      <c r="G254" s="70">
        <f t="shared" si="82"/>
        <v>0</v>
      </c>
      <c r="H254" s="62">
        <f t="shared" si="83"/>
        <v>0</v>
      </c>
      <c r="I254" s="173">
        <f t="shared" si="84"/>
        <v>0</v>
      </c>
      <c r="J254" s="174">
        <f>ROUND(100-'Townwide Contributions'!K254,2)</f>
        <v>39.53</v>
      </c>
      <c r="K254" s="70">
        <f t="shared" si="85"/>
        <v>0</v>
      </c>
      <c r="L254" s="70">
        <f t="shared" si="86"/>
        <v>0</v>
      </c>
      <c r="M254" s="175">
        <f t="shared" si="87"/>
        <v>0</v>
      </c>
      <c r="N254" s="70"/>
      <c r="O254" s="70"/>
      <c r="P254" s="70"/>
      <c r="Q254" s="62">
        <v>0</v>
      </c>
      <c r="R254" s="62">
        <f t="shared" si="88"/>
        <v>0</v>
      </c>
      <c r="S254" s="176"/>
      <c r="T254" s="176"/>
      <c r="U254" s="70"/>
      <c r="V254" s="70"/>
      <c r="W254" s="260"/>
      <c r="X254" s="62">
        <f t="shared" si="89"/>
        <v>0</v>
      </c>
      <c r="Y254" s="70"/>
      <c r="AA254" s="290"/>
      <c r="AB254" s="291"/>
      <c r="AC254" s="62"/>
      <c r="AD254" s="62"/>
      <c r="AE254" s="177">
        <f t="shared" si="90"/>
        <v>0</v>
      </c>
      <c r="AF254" s="177">
        <f t="shared" si="91"/>
        <v>0</v>
      </c>
      <c r="AG254" s="70">
        <f t="shared" si="92"/>
        <v>0</v>
      </c>
      <c r="AH254" s="70">
        <f t="shared" si="93"/>
        <v>0</v>
      </c>
      <c r="AI254" s="587">
        <v>0</v>
      </c>
      <c r="AJ254" s="178">
        <f t="shared" si="94"/>
        <v>0</v>
      </c>
      <c r="AK254" s="301">
        <f t="shared" si="95"/>
        <v>0</v>
      </c>
      <c r="AL254" s="70">
        <f t="shared" si="96"/>
        <v>0</v>
      </c>
      <c r="AM254" s="179">
        <f t="shared" si="97"/>
        <v>0</v>
      </c>
      <c r="AN254" s="179"/>
      <c r="AO254" s="31">
        <f t="shared" si="98"/>
        <v>0</v>
      </c>
      <c r="AP254" s="31">
        <f t="shared" si="99"/>
        <v>0</v>
      </c>
      <c r="AQ254" s="31">
        <f t="shared" si="100"/>
        <v>0</v>
      </c>
      <c r="AR254" s="180" t="str">
        <f t="shared" si="101"/>
        <v/>
      </c>
      <c r="AS254" s="31">
        <f t="shared" si="104"/>
        <v>0</v>
      </c>
      <c r="AU254" s="31">
        <f t="shared" si="102"/>
        <v>0</v>
      </c>
      <c r="AV254" s="177"/>
      <c r="AW254" s="31">
        <f t="shared" si="103"/>
        <v>0</v>
      </c>
    </row>
    <row r="255" spans="1:49">
      <c r="A255" s="102">
        <v>246</v>
      </c>
      <c r="B255" s="7" t="s">
        <v>1951</v>
      </c>
      <c r="C255" s="7">
        <v>1</v>
      </c>
      <c r="D255" s="62">
        <f t="shared" si="79"/>
        <v>39861932.613879994</v>
      </c>
      <c r="E255" s="172">
        <f t="shared" si="80"/>
        <v>10465569</v>
      </c>
      <c r="F255" s="62">
        <f t="shared" si="81"/>
        <v>40268620.860512272</v>
      </c>
      <c r="G255" s="70">
        <f t="shared" si="82"/>
        <v>33365588</v>
      </c>
      <c r="H255" s="62">
        <f t="shared" si="83"/>
        <v>6903033</v>
      </c>
      <c r="I255" s="173">
        <f t="shared" si="84"/>
        <v>0</v>
      </c>
      <c r="J255" s="174">
        <f>ROUND(100-'Townwide Contributions'!K255,2)</f>
        <v>17.5</v>
      </c>
      <c r="K255" s="70">
        <f t="shared" si="85"/>
        <v>7047009</v>
      </c>
      <c r="L255" s="70">
        <f t="shared" si="86"/>
        <v>0</v>
      </c>
      <c r="M255" s="175">
        <f t="shared" si="87"/>
        <v>0</v>
      </c>
      <c r="N255" s="70"/>
      <c r="O255" s="70"/>
      <c r="P255" s="70"/>
      <c r="Q255" s="62">
        <v>4234</v>
      </c>
      <c r="R255" s="62">
        <f t="shared" si="88"/>
        <v>4191</v>
      </c>
      <c r="S255" s="176"/>
      <c r="T255" s="176"/>
      <c r="U255" s="70"/>
      <c r="V255" s="70"/>
      <c r="W255" s="260"/>
      <c r="X255" s="62">
        <f t="shared" si="89"/>
        <v>0</v>
      </c>
      <c r="Y255" s="70"/>
      <c r="AA255" s="290"/>
      <c r="AB255" s="291"/>
      <c r="AC255" s="62"/>
      <c r="AD255" s="62"/>
      <c r="AE255" s="177">
        <f t="shared" si="90"/>
        <v>125730</v>
      </c>
      <c r="AF255" s="177">
        <f t="shared" si="91"/>
        <v>125730</v>
      </c>
      <c r="AG255" s="70">
        <f t="shared" si="92"/>
        <v>10591299</v>
      </c>
      <c r="AH255" s="70">
        <f t="shared" si="93"/>
        <v>0</v>
      </c>
      <c r="AI255" s="587">
        <v>0</v>
      </c>
      <c r="AJ255" s="178">
        <f t="shared" si="94"/>
        <v>10591299</v>
      </c>
      <c r="AK255" s="301">
        <f t="shared" si="95"/>
        <v>26.301618415707679</v>
      </c>
      <c r="AL255" s="70">
        <f t="shared" si="96"/>
        <v>43956887</v>
      </c>
      <c r="AM255" s="179">
        <f t="shared" si="97"/>
        <v>109.15915683396167</v>
      </c>
      <c r="AN255" s="179"/>
      <c r="AO255" s="31">
        <f t="shared" si="98"/>
        <v>406688.24663227797</v>
      </c>
      <c r="AP255" s="31">
        <f t="shared" si="99"/>
        <v>125730</v>
      </c>
      <c r="AQ255" s="31">
        <f t="shared" si="100"/>
        <v>3544290.3494103532</v>
      </c>
      <c r="AR255" s="180">
        <f t="shared" si="101"/>
        <v>8.8016184157076793</v>
      </c>
      <c r="AS255" s="31">
        <f t="shared" si="104"/>
        <v>9608.36</v>
      </c>
      <c r="AU255" s="31">
        <f t="shared" si="102"/>
        <v>0</v>
      </c>
      <c r="AV255" s="177"/>
      <c r="AW255" s="31">
        <f t="shared" si="103"/>
        <v>30</v>
      </c>
    </row>
    <row r="256" spans="1:49">
      <c r="A256" s="102">
        <v>247</v>
      </c>
      <c r="B256" s="7" t="s">
        <v>1952</v>
      </c>
      <c r="C256" s="7">
        <v>0</v>
      </c>
      <c r="D256" s="62">
        <f t="shared" si="79"/>
        <v>0</v>
      </c>
      <c r="E256" s="172">
        <f t="shared" si="80"/>
        <v>0</v>
      </c>
      <c r="F256" s="62">
        <f t="shared" si="81"/>
        <v>0</v>
      </c>
      <c r="G256" s="70">
        <f t="shared" si="82"/>
        <v>0</v>
      </c>
      <c r="H256" s="62">
        <f t="shared" si="83"/>
        <v>0</v>
      </c>
      <c r="I256" s="173">
        <f t="shared" si="84"/>
        <v>0</v>
      </c>
      <c r="J256" s="174">
        <f>ROUND(100-'Townwide Contributions'!K256,2)</f>
        <v>24.49</v>
      </c>
      <c r="K256" s="70">
        <f t="shared" si="85"/>
        <v>0</v>
      </c>
      <c r="L256" s="70">
        <f t="shared" si="86"/>
        <v>0</v>
      </c>
      <c r="M256" s="175">
        <f t="shared" si="87"/>
        <v>0</v>
      </c>
      <c r="N256" s="70"/>
      <c r="O256" s="70"/>
      <c r="P256" s="70"/>
      <c r="Q256" s="62">
        <v>0</v>
      </c>
      <c r="R256" s="62">
        <f t="shared" si="88"/>
        <v>0</v>
      </c>
      <c r="S256" s="176"/>
      <c r="T256" s="176"/>
      <c r="U256" s="70"/>
      <c r="V256" s="70"/>
      <c r="W256" s="260"/>
      <c r="X256" s="62">
        <f t="shared" si="89"/>
        <v>0</v>
      </c>
      <c r="Y256" s="70"/>
      <c r="AA256" s="290"/>
      <c r="AB256" s="291"/>
      <c r="AC256" s="62"/>
      <c r="AD256" s="62"/>
      <c r="AE256" s="177">
        <f t="shared" si="90"/>
        <v>0</v>
      </c>
      <c r="AF256" s="177">
        <f t="shared" si="91"/>
        <v>0</v>
      </c>
      <c r="AG256" s="70">
        <f t="shared" si="92"/>
        <v>0</v>
      </c>
      <c r="AH256" s="70">
        <f t="shared" si="93"/>
        <v>0</v>
      </c>
      <c r="AI256" s="587">
        <v>0</v>
      </c>
      <c r="AJ256" s="178">
        <f t="shared" si="94"/>
        <v>0</v>
      </c>
      <c r="AK256" s="301">
        <f t="shared" si="95"/>
        <v>0</v>
      </c>
      <c r="AL256" s="70">
        <f t="shared" si="96"/>
        <v>0</v>
      </c>
      <c r="AM256" s="179">
        <f t="shared" si="97"/>
        <v>0</v>
      </c>
      <c r="AN256" s="179"/>
      <c r="AO256" s="31">
        <f t="shared" si="98"/>
        <v>0</v>
      </c>
      <c r="AP256" s="31">
        <f t="shared" si="99"/>
        <v>0</v>
      </c>
      <c r="AQ256" s="31">
        <f t="shared" si="100"/>
        <v>0</v>
      </c>
      <c r="AR256" s="180" t="str">
        <f t="shared" si="101"/>
        <v/>
      </c>
      <c r="AS256" s="31">
        <f t="shared" si="104"/>
        <v>0</v>
      </c>
      <c r="AU256" s="31">
        <f t="shared" si="102"/>
        <v>0</v>
      </c>
      <c r="AV256" s="177"/>
      <c r="AW256" s="31">
        <f t="shared" si="103"/>
        <v>0</v>
      </c>
    </row>
    <row r="257" spans="1:49">
      <c r="A257" s="102">
        <v>248</v>
      </c>
      <c r="B257" s="7" t="s">
        <v>1953</v>
      </c>
      <c r="C257" s="7">
        <v>1</v>
      </c>
      <c r="D257" s="62">
        <f t="shared" si="79"/>
        <v>82249270.676439986</v>
      </c>
      <c r="E257" s="172">
        <f t="shared" si="80"/>
        <v>56509506</v>
      </c>
      <c r="F257" s="62">
        <f t="shared" si="81"/>
        <v>88195564.570087463</v>
      </c>
      <c r="G257" s="70">
        <f t="shared" si="82"/>
        <v>31495119</v>
      </c>
      <c r="H257" s="62">
        <f t="shared" si="83"/>
        <v>56700446</v>
      </c>
      <c r="I257" s="173">
        <f t="shared" si="84"/>
        <v>190940</v>
      </c>
      <c r="J257" s="174">
        <f>ROUND(100-'Townwide Contributions'!K257,2)</f>
        <v>63.39</v>
      </c>
      <c r="K257" s="70">
        <f t="shared" si="85"/>
        <v>55907168</v>
      </c>
      <c r="L257" s="70">
        <f t="shared" si="86"/>
        <v>0</v>
      </c>
      <c r="M257" s="175">
        <f t="shared" si="87"/>
        <v>0</v>
      </c>
      <c r="N257" s="70"/>
      <c r="O257" s="70"/>
      <c r="P257" s="70"/>
      <c r="Q257" s="62">
        <v>7305</v>
      </c>
      <c r="R257" s="62">
        <f t="shared" si="88"/>
        <v>7655</v>
      </c>
      <c r="S257" s="176"/>
      <c r="T257" s="176"/>
      <c r="U257" s="70"/>
      <c r="V257" s="70"/>
      <c r="W257" s="260"/>
      <c r="X257" s="62">
        <f t="shared" si="89"/>
        <v>1</v>
      </c>
      <c r="Y257" s="70"/>
      <c r="AA257" s="290"/>
      <c r="AB257" s="291"/>
      <c r="AC257" s="62"/>
      <c r="AD257" s="62"/>
      <c r="AE257" s="177">
        <f t="shared" si="90"/>
        <v>229650</v>
      </c>
      <c r="AF257" s="177">
        <f t="shared" si="91"/>
        <v>38710</v>
      </c>
      <c r="AG257" s="70">
        <f t="shared" si="92"/>
        <v>56739156</v>
      </c>
      <c r="AH257" s="70">
        <f t="shared" si="93"/>
        <v>0</v>
      </c>
      <c r="AI257" s="587">
        <v>4085080</v>
      </c>
      <c r="AJ257" s="178">
        <f t="shared" si="94"/>
        <v>60824236</v>
      </c>
      <c r="AK257" s="301">
        <f t="shared" si="95"/>
        <v>68.96518696432183</v>
      </c>
      <c r="AL257" s="70">
        <f t="shared" si="96"/>
        <v>92319355</v>
      </c>
      <c r="AM257" s="179">
        <f t="shared" si="97"/>
        <v>104.67573448847922</v>
      </c>
      <c r="AN257" s="179"/>
      <c r="AO257" s="31">
        <f t="shared" si="98"/>
        <v>5946293.893647477</v>
      </c>
      <c r="AP257" s="31">
        <f t="shared" si="99"/>
        <v>4314730</v>
      </c>
      <c r="AQ257" s="31">
        <f t="shared" si="100"/>
        <v>4917067.6190215573</v>
      </c>
      <c r="AR257" s="180">
        <f t="shared" si="101"/>
        <v>5.5751869643218299</v>
      </c>
      <c r="AS257" s="31">
        <f t="shared" si="104"/>
        <v>11521.3</v>
      </c>
      <c r="AU257" s="31">
        <f t="shared" si="102"/>
        <v>0</v>
      </c>
      <c r="AV257" s="177"/>
      <c r="AW257" s="31">
        <f t="shared" si="103"/>
        <v>563.64859568909208</v>
      </c>
    </row>
    <row r="258" spans="1:49">
      <c r="A258" s="102">
        <v>249</v>
      </c>
      <c r="B258" s="7" t="s">
        <v>1954</v>
      </c>
      <c r="C258" s="7">
        <v>1</v>
      </c>
      <c r="D258" s="62">
        <f t="shared" si="79"/>
        <v>1203251.3800000001</v>
      </c>
      <c r="E258" s="172">
        <f t="shared" si="80"/>
        <v>353789</v>
      </c>
      <c r="F258" s="62">
        <f t="shared" si="81"/>
        <v>1268580.5002314509</v>
      </c>
      <c r="G258" s="70">
        <f t="shared" si="82"/>
        <v>1047475</v>
      </c>
      <c r="H258" s="62">
        <f t="shared" si="83"/>
        <v>221106</v>
      </c>
      <c r="I258" s="173">
        <f t="shared" si="84"/>
        <v>0</v>
      </c>
      <c r="J258" s="174">
        <f>ROUND(100-'Townwide Contributions'!K258,2)</f>
        <v>17.5</v>
      </c>
      <c r="K258" s="70">
        <f t="shared" si="85"/>
        <v>222002</v>
      </c>
      <c r="L258" s="70">
        <f t="shared" si="86"/>
        <v>0</v>
      </c>
      <c r="M258" s="175">
        <f t="shared" si="87"/>
        <v>0</v>
      </c>
      <c r="N258" s="70"/>
      <c r="O258" s="70"/>
      <c r="P258" s="70"/>
      <c r="Q258" s="62">
        <v>119</v>
      </c>
      <c r="R258" s="62">
        <f t="shared" si="88"/>
        <v>123</v>
      </c>
      <c r="S258" s="176"/>
      <c r="T258" s="176"/>
      <c r="U258" s="70"/>
      <c r="V258" s="70"/>
      <c r="W258" s="260"/>
      <c r="X258" s="62">
        <f t="shared" si="89"/>
        <v>0</v>
      </c>
      <c r="Y258" s="70"/>
      <c r="AA258" s="290"/>
      <c r="AB258" s="291"/>
      <c r="AC258" s="62"/>
      <c r="AD258" s="62"/>
      <c r="AE258" s="177">
        <f t="shared" si="90"/>
        <v>3690</v>
      </c>
      <c r="AF258" s="177">
        <f t="shared" si="91"/>
        <v>3690</v>
      </c>
      <c r="AG258" s="70">
        <f t="shared" si="92"/>
        <v>357479</v>
      </c>
      <c r="AH258" s="70">
        <f t="shared" si="93"/>
        <v>0</v>
      </c>
      <c r="AI258" s="587">
        <v>0</v>
      </c>
      <c r="AJ258" s="178">
        <f t="shared" si="94"/>
        <v>357479</v>
      </c>
      <c r="AK258" s="301">
        <f t="shared" si="95"/>
        <v>28.179449387309546</v>
      </c>
      <c r="AL258" s="70">
        <f t="shared" si="96"/>
        <v>1404954</v>
      </c>
      <c r="AM258" s="179">
        <f t="shared" si="97"/>
        <v>110.75008639527944</v>
      </c>
      <c r="AN258" s="179"/>
      <c r="AO258" s="31">
        <f t="shared" si="98"/>
        <v>65329.120231450768</v>
      </c>
      <c r="AP258" s="31">
        <f t="shared" si="99"/>
        <v>3690</v>
      </c>
      <c r="AQ258" s="31">
        <f t="shared" si="100"/>
        <v>135477.41245949612</v>
      </c>
      <c r="AR258" s="180">
        <f t="shared" si="101"/>
        <v>10.679449387309546</v>
      </c>
      <c r="AS258" s="31">
        <f t="shared" si="104"/>
        <v>10313.66</v>
      </c>
      <c r="AU258" s="31">
        <f t="shared" si="102"/>
        <v>0</v>
      </c>
      <c r="AV258" s="177"/>
      <c r="AW258" s="31">
        <f t="shared" si="103"/>
        <v>30</v>
      </c>
    </row>
    <row r="259" spans="1:49">
      <c r="A259" s="102">
        <v>250</v>
      </c>
      <c r="B259" s="7" t="s">
        <v>1955</v>
      </c>
      <c r="C259" s="7">
        <v>1</v>
      </c>
      <c r="D259" s="62">
        <f t="shared" si="79"/>
        <v>4400657.959999999</v>
      </c>
      <c r="E259" s="172">
        <f t="shared" si="80"/>
        <v>1788722</v>
      </c>
      <c r="F259" s="62">
        <f t="shared" si="81"/>
        <v>4319981.4040858541</v>
      </c>
      <c r="G259" s="70">
        <f t="shared" si="82"/>
        <v>2706641</v>
      </c>
      <c r="H259" s="62">
        <f t="shared" si="83"/>
        <v>1613340</v>
      </c>
      <c r="I259" s="173">
        <f t="shared" si="84"/>
        <v>0</v>
      </c>
      <c r="J259" s="174">
        <f>ROUND(100-'Townwide Contributions'!K259,2)</f>
        <v>37.79</v>
      </c>
      <c r="K259" s="70">
        <f t="shared" si="85"/>
        <v>1632521</v>
      </c>
      <c r="L259" s="70">
        <f t="shared" si="86"/>
        <v>0</v>
      </c>
      <c r="M259" s="175">
        <f t="shared" si="87"/>
        <v>0</v>
      </c>
      <c r="N259" s="70"/>
      <c r="O259" s="70"/>
      <c r="P259" s="70"/>
      <c r="Q259" s="62">
        <v>480</v>
      </c>
      <c r="R259" s="62">
        <f t="shared" si="88"/>
        <v>467</v>
      </c>
      <c r="S259" s="176"/>
      <c r="T259" s="176"/>
      <c r="U259" s="70"/>
      <c r="V259" s="70"/>
      <c r="W259" s="260"/>
      <c r="X259" s="62">
        <f t="shared" si="89"/>
        <v>0</v>
      </c>
      <c r="Y259" s="70"/>
      <c r="AA259" s="290"/>
      <c r="AB259" s="291"/>
      <c r="AC259" s="62"/>
      <c r="AD259" s="62"/>
      <c r="AE259" s="177">
        <f t="shared" si="90"/>
        <v>14010</v>
      </c>
      <c r="AF259" s="177">
        <f t="shared" si="91"/>
        <v>14010</v>
      </c>
      <c r="AG259" s="70">
        <f t="shared" si="92"/>
        <v>1802732</v>
      </c>
      <c r="AH259" s="70">
        <f t="shared" si="93"/>
        <v>0</v>
      </c>
      <c r="AI259" s="587">
        <v>0</v>
      </c>
      <c r="AJ259" s="178">
        <f t="shared" si="94"/>
        <v>1802732</v>
      </c>
      <c r="AK259" s="301">
        <f t="shared" si="95"/>
        <v>41.730087039147193</v>
      </c>
      <c r="AL259" s="70">
        <f t="shared" si="96"/>
        <v>4509373</v>
      </c>
      <c r="AM259" s="179">
        <f t="shared" si="97"/>
        <v>104.38408359200386</v>
      </c>
      <c r="AN259" s="179"/>
      <c r="AO259" s="31">
        <f t="shared" si="98"/>
        <v>-80676.555914144963</v>
      </c>
      <c r="AP259" s="31">
        <f t="shared" si="99"/>
        <v>14010</v>
      </c>
      <c r="AQ259" s="31">
        <f t="shared" si="100"/>
        <v>170211.02739595575</v>
      </c>
      <c r="AR259" s="180">
        <f t="shared" si="101"/>
        <v>3.940087039147194</v>
      </c>
      <c r="AS259" s="31">
        <f t="shared" si="104"/>
        <v>9250.5</v>
      </c>
      <c r="AU259" s="31">
        <f t="shared" si="102"/>
        <v>0</v>
      </c>
      <c r="AV259" s="177"/>
      <c r="AW259" s="31">
        <f t="shared" si="103"/>
        <v>30</v>
      </c>
    </row>
    <row r="260" spans="1:49">
      <c r="A260" s="102">
        <v>251</v>
      </c>
      <c r="B260" s="7" t="s">
        <v>1956</v>
      </c>
      <c r="C260" s="7">
        <v>1</v>
      </c>
      <c r="D260" s="62">
        <f t="shared" si="79"/>
        <v>25814155.980160002</v>
      </c>
      <c r="E260" s="172">
        <f t="shared" si="80"/>
        <v>13635665</v>
      </c>
      <c r="F260" s="62">
        <f t="shared" si="81"/>
        <v>25966055.368246898</v>
      </c>
      <c r="G260" s="70">
        <f t="shared" si="82"/>
        <v>12806197</v>
      </c>
      <c r="H260" s="62">
        <f t="shared" si="83"/>
        <v>13159858</v>
      </c>
      <c r="I260" s="173">
        <f t="shared" si="84"/>
        <v>0</v>
      </c>
      <c r="J260" s="174">
        <f>ROUND(100-'Townwide Contributions'!K260,2)</f>
        <v>50.82</v>
      </c>
      <c r="K260" s="70">
        <f t="shared" si="85"/>
        <v>13195949</v>
      </c>
      <c r="L260" s="70">
        <f t="shared" si="86"/>
        <v>0</v>
      </c>
      <c r="M260" s="175">
        <f t="shared" si="87"/>
        <v>0</v>
      </c>
      <c r="N260" s="70"/>
      <c r="O260" s="70"/>
      <c r="P260" s="70"/>
      <c r="Q260" s="62">
        <v>2396</v>
      </c>
      <c r="R260" s="62">
        <f t="shared" si="88"/>
        <v>2361</v>
      </c>
      <c r="S260" s="176"/>
      <c r="T260" s="176"/>
      <c r="U260" s="70"/>
      <c r="V260" s="70"/>
      <c r="W260" s="260"/>
      <c r="X260" s="62">
        <f t="shared" si="89"/>
        <v>0</v>
      </c>
      <c r="Y260" s="70"/>
      <c r="AA260" s="290"/>
      <c r="AB260" s="291"/>
      <c r="AC260" s="62"/>
      <c r="AD260" s="62"/>
      <c r="AE260" s="177">
        <f t="shared" si="90"/>
        <v>70830</v>
      </c>
      <c r="AF260" s="177">
        <f t="shared" si="91"/>
        <v>70830</v>
      </c>
      <c r="AG260" s="70">
        <f t="shared" si="92"/>
        <v>13706495</v>
      </c>
      <c r="AH260" s="70">
        <f t="shared" si="93"/>
        <v>0</v>
      </c>
      <c r="AI260" s="587">
        <v>0</v>
      </c>
      <c r="AJ260" s="178">
        <f t="shared" si="94"/>
        <v>13706495</v>
      </c>
      <c r="AK260" s="301">
        <f t="shared" si="95"/>
        <v>52.786204163922633</v>
      </c>
      <c r="AL260" s="70">
        <f t="shared" si="96"/>
        <v>26512692</v>
      </c>
      <c r="AM260" s="179">
        <f t="shared" si="97"/>
        <v>102.10519705053686</v>
      </c>
      <c r="AN260" s="179"/>
      <c r="AO260" s="31">
        <f t="shared" si="98"/>
        <v>151899.38808689639</v>
      </c>
      <c r="AP260" s="31">
        <f t="shared" si="99"/>
        <v>70830</v>
      </c>
      <c r="AQ260" s="31">
        <f t="shared" si="100"/>
        <v>510545.66185692698</v>
      </c>
      <c r="AR260" s="180">
        <f t="shared" si="101"/>
        <v>1.9662041639226331</v>
      </c>
      <c r="AS260" s="31">
        <f t="shared" si="104"/>
        <v>10997.91</v>
      </c>
      <c r="AU260" s="31">
        <f t="shared" si="102"/>
        <v>0</v>
      </c>
      <c r="AV260" s="177"/>
      <c r="AW260" s="31">
        <f t="shared" si="103"/>
        <v>30</v>
      </c>
    </row>
    <row r="261" spans="1:49">
      <c r="A261" s="102">
        <v>252</v>
      </c>
      <c r="B261" s="7" t="s">
        <v>1957</v>
      </c>
      <c r="C261" s="7">
        <v>1</v>
      </c>
      <c r="D261" s="62">
        <f t="shared" si="79"/>
        <v>7673923.8114000009</v>
      </c>
      <c r="E261" s="172">
        <f t="shared" si="80"/>
        <v>1439096</v>
      </c>
      <c r="F261" s="62">
        <f t="shared" si="81"/>
        <v>7549140.3215470212</v>
      </c>
      <c r="G261" s="70">
        <f t="shared" si="82"/>
        <v>6289613</v>
      </c>
      <c r="H261" s="62">
        <f t="shared" si="83"/>
        <v>1259527</v>
      </c>
      <c r="I261" s="173">
        <f t="shared" si="84"/>
        <v>0</v>
      </c>
      <c r="J261" s="174">
        <f>ROUND(100-'Townwide Contributions'!K261,2)</f>
        <v>17.5</v>
      </c>
      <c r="K261" s="70">
        <f t="shared" si="85"/>
        <v>1321100</v>
      </c>
      <c r="L261" s="70">
        <f t="shared" si="86"/>
        <v>0</v>
      </c>
      <c r="M261" s="175">
        <f t="shared" si="87"/>
        <v>0</v>
      </c>
      <c r="N261" s="70"/>
      <c r="O261" s="70"/>
      <c r="P261" s="70"/>
      <c r="Q261" s="62">
        <v>758</v>
      </c>
      <c r="R261" s="62">
        <f t="shared" si="88"/>
        <v>735</v>
      </c>
      <c r="S261" s="176"/>
      <c r="T261" s="176"/>
      <c r="U261" s="70"/>
      <c r="V261" s="70"/>
      <c r="W261" s="260"/>
      <c r="X261" s="62">
        <f t="shared" si="89"/>
        <v>0</v>
      </c>
      <c r="Y261" s="70"/>
      <c r="AA261" s="290"/>
      <c r="AB261" s="291"/>
      <c r="AC261" s="62"/>
      <c r="AD261" s="62"/>
      <c r="AE261" s="177">
        <f t="shared" si="90"/>
        <v>22050</v>
      </c>
      <c r="AF261" s="177">
        <f t="shared" si="91"/>
        <v>22050</v>
      </c>
      <c r="AG261" s="70">
        <f t="shared" si="92"/>
        <v>1461146</v>
      </c>
      <c r="AH261" s="70">
        <f t="shared" si="93"/>
        <v>0</v>
      </c>
      <c r="AI261" s="587">
        <v>0</v>
      </c>
      <c r="AJ261" s="178">
        <f t="shared" si="94"/>
        <v>1461146</v>
      </c>
      <c r="AK261" s="301">
        <f t="shared" si="95"/>
        <v>19.355131018422664</v>
      </c>
      <c r="AL261" s="70">
        <f t="shared" si="96"/>
        <v>7750759</v>
      </c>
      <c r="AM261" s="179">
        <f t="shared" si="97"/>
        <v>102.67075017638116</v>
      </c>
      <c r="AN261" s="179"/>
      <c r="AO261" s="31">
        <f t="shared" si="98"/>
        <v>-124783.48985297978</v>
      </c>
      <c r="AP261" s="31">
        <f t="shared" si="99"/>
        <v>22050</v>
      </c>
      <c r="AQ261" s="31">
        <f t="shared" si="100"/>
        <v>140046.44372927141</v>
      </c>
      <c r="AR261" s="180">
        <f t="shared" si="101"/>
        <v>1.8551310184226644</v>
      </c>
      <c r="AS261" s="31">
        <f t="shared" si="104"/>
        <v>10270.94</v>
      </c>
      <c r="AU261" s="31">
        <f t="shared" si="102"/>
        <v>0</v>
      </c>
      <c r="AV261" s="177"/>
      <c r="AW261" s="31">
        <f t="shared" si="103"/>
        <v>30</v>
      </c>
    </row>
    <row r="262" spans="1:49">
      <c r="A262" s="102">
        <v>253</v>
      </c>
      <c r="B262" s="7" t="s">
        <v>1958</v>
      </c>
      <c r="C262" s="7">
        <v>1</v>
      </c>
      <c r="D262" s="62">
        <f t="shared" si="79"/>
        <v>642285.43000000005</v>
      </c>
      <c r="E262" s="172">
        <f t="shared" si="80"/>
        <v>134795</v>
      </c>
      <c r="F262" s="62">
        <f t="shared" si="81"/>
        <v>637861.27157375612</v>
      </c>
      <c r="G262" s="70">
        <f t="shared" si="82"/>
        <v>530325</v>
      </c>
      <c r="H262" s="62">
        <f t="shared" si="83"/>
        <v>107536</v>
      </c>
      <c r="I262" s="173">
        <f t="shared" si="84"/>
        <v>0</v>
      </c>
      <c r="J262" s="174">
        <f>ROUND(100-'Townwide Contributions'!K262,2)</f>
        <v>17.5</v>
      </c>
      <c r="K262" s="70">
        <f t="shared" si="85"/>
        <v>111626</v>
      </c>
      <c r="L262" s="70">
        <f t="shared" si="86"/>
        <v>0</v>
      </c>
      <c r="M262" s="175">
        <f t="shared" si="87"/>
        <v>0</v>
      </c>
      <c r="N262" s="70"/>
      <c r="O262" s="70"/>
      <c r="P262" s="70"/>
      <c r="Q262" s="62">
        <v>66</v>
      </c>
      <c r="R262" s="62">
        <f t="shared" si="88"/>
        <v>64</v>
      </c>
      <c r="S262" s="176"/>
      <c r="T262" s="176"/>
      <c r="U262" s="70"/>
      <c r="V262" s="70"/>
      <c r="W262" s="260"/>
      <c r="X262" s="62">
        <f t="shared" si="89"/>
        <v>0</v>
      </c>
      <c r="Y262" s="70"/>
      <c r="AA262" s="290"/>
      <c r="AB262" s="291"/>
      <c r="AC262" s="62"/>
      <c r="AD262" s="62"/>
      <c r="AE262" s="177">
        <f t="shared" si="90"/>
        <v>1920</v>
      </c>
      <c r="AF262" s="177">
        <f t="shared" si="91"/>
        <v>1920</v>
      </c>
      <c r="AG262" s="70">
        <f t="shared" si="92"/>
        <v>136715</v>
      </c>
      <c r="AH262" s="70">
        <f t="shared" si="93"/>
        <v>0</v>
      </c>
      <c r="AI262" s="587">
        <v>0</v>
      </c>
      <c r="AJ262" s="178">
        <f t="shared" si="94"/>
        <v>136715</v>
      </c>
      <c r="AK262" s="301">
        <f t="shared" si="95"/>
        <v>21.433343909200104</v>
      </c>
      <c r="AL262" s="70">
        <f t="shared" si="96"/>
        <v>667040</v>
      </c>
      <c r="AM262" s="179">
        <f t="shared" si="97"/>
        <v>104.5744630888552</v>
      </c>
      <c r="AN262" s="179"/>
      <c r="AO262" s="31">
        <f t="shared" si="98"/>
        <v>-4424.1584262439283</v>
      </c>
      <c r="AP262" s="31">
        <f t="shared" si="99"/>
        <v>1920</v>
      </c>
      <c r="AQ262" s="31">
        <f t="shared" si="100"/>
        <v>25089.277474592687</v>
      </c>
      <c r="AR262" s="180">
        <f t="shared" si="101"/>
        <v>3.9333439092001043</v>
      </c>
      <c r="AS262" s="31">
        <f t="shared" si="104"/>
        <v>9966.58</v>
      </c>
      <c r="AU262" s="31">
        <f t="shared" si="102"/>
        <v>0</v>
      </c>
      <c r="AV262" s="177"/>
      <c r="AW262" s="31">
        <f t="shared" si="103"/>
        <v>30</v>
      </c>
    </row>
    <row r="263" spans="1:49">
      <c r="A263" s="102">
        <v>254</v>
      </c>
      <c r="B263" s="7" t="s">
        <v>1959</v>
      </c>
      <c r="C263" s="7">
        <v>0</v>
      </c>
      <c r="D263" s="62">
        <f t="shared" si="79"/>
        <v>27164.907080000004</v>
      </c>
      <c r="E263" s="172">
        <f t="shared" si="80"/>
        <v>25266</v>
      </c>
      <c r="F263" s="62">
        <f t="shared" si="81"/>
        <v>69109.922267947739</v>
      </c>
      <c r="G263" s="70">
        <f t="shared" si="82"/>
        <v>57514</v>
      </c>
      <c r="H263" s="62">
        <f t="shared" si="83"/>
        <v>11596</v>
      </c>
      <c r="I263" s="173">
        <f t="shared" si="84"/>
        <v>0</v>
      </c>
      <c r="J263" s="174">
        <f>ROUND(100-'Townwide Contributions'!K263,2)</f>
        <v>17.5</v>
      </c>
      <c r="K263" s="70">
        <f t="shared" si="85"/>
        <v>12094</v>
      </c>
      <c r="L263" s="70">
        <f t="shared" si="86"/>
        <v>0</v>
      </c>
      <c r="M263" s="175">
        <f t="shared" si="87"/>
        <v>0</v>
      </c>
      <c r="N263" s="70"/>
      <c r="O263" s="70"/>
      <c r="P263" s="70"/>
      <c r="Q263" s="62">
        <v>2</v>
      </c>
      <c r="R263" s="62">
        <f t="shared" si="88"/>
        <v>5</v>
      </c>
      <c r="S263" s="176"/>
      <c r="T263" s="176"/>
      <c r="U263" s="70"/>
      <c r="V263" s="70"/>
      <c r="W263" s="260"/>
      <c r="X263" s="62">
        <f t="shared" si="89"/>
        <v>0</v>
      </c>
      <c r="Y263" s="70"/>
      <c r="AA263" s="290"/>
      <c r="AB263" s="291"/>
      <c r="AC263" s="62"/>
      <c r="AD263" s="62"/>
      <c r="AE263" s="177">
        <f t="shared" si="90"/>
        <v>0</v>
      </c>
      <c r="AF263" s="177">
        <f t="shared" si="91"/>
        <v>0</v>
      </c>
      <c r="AG263" s="70">
        <f t="shared" si="92"/>
        <v>25266</v>
      </c>
      <c r="AH263" s="70">
        <f t="shared" si="93"/>
        <v>0</v>
      </c>
      <c r="AI263" s="587">
        <v>0</v>
      </c>
      <c r="AJ263" s="178">
        <f t="shared" si="94"/>
        <v>25266</v>
      </c>
      <c r="AK263" s="301">
        <f t="shared" si="95"/>
        <v>0</v>
      </c>
      <c r="AL263" s="70">
        <f t="shared" si="96"/>
        <v>82780</v>
      </c>
      <c r="AM263" s="179">
        <f t="shared" si="97"/>
        <v>119.78019549646095</v>
      </c>
      <c r="AN263" s="179"/>
      <c r="AO263" s="31">
        <f t="shared" si="98"/>
        <v>41945.015187947734</v>
      </c>
      <c r="AP263" s="31">
        <f t="shared" si="99"/>
        <v>0</v>
      </c>
      <c r="AQ263" s="31">
        <f t="shared" si="100"/>
        <v>13171.763603109146</v>
      </c>
      <c r="AR263" s="180" t="str">
        <f t="shared" si="101"/>
        <v/>
      </c>
      <c r="AS263" s="31">
        <f t="shared" si="104"/>
        <v>13821.98</v>
      </c>
      <c r="AU263" s="31">
        <f t="shared" si="102"/>
        <v>0</v>
      </c>
      <c r="AV263" s="177"/>
      <c r="AW263" s="31">
        <f t="shared" si="103"/>
        <v>0</v>
      </c>
    </row>
    <row r="264" spans="1:49">
      <c r="A264" s="102">
        <v>255</v>
      </c>
      <c r="B264" s="7" t="s">
        <v>1960</v>
      </c>
      <c r="C264" s="7">
        <v>0</v>
      </c>
      <c r="D264" s="62">
        <f t="shared" si="79"/>
        <v>0</v>
      </c>
      <c r="E264" s="172">
        <f t="shared" si="80"/>
        <v>0</v>
      </c>
      <c r="F264" s="62">
        <f t="shared" si="81"/>
        <v>0</v>
      </c>
      <c r="G264" s="70">
        <f t="shared" si="82"/>
        <v>0</v>
      </c>
      <c r="H264" s="62">
        <f t="shared" si="83"/>
        <v>0</v>
      </c>
      <c r="I264" s="173">
        <f t="shared" si="84"/>
        <v>0</v>
      </c>
      <c r="J264" s="174">
        <f>ROUND(100-'Townwide Contributions'!K264,2)</f>
        <v>44.72</v>
      </c>
      <c r="K264" s="70">
        <f t="shared" si="85"/>
        <v>0</v>
      </c>
      <c r="L264" s="70">
        <f t="shared" si="86"/>
        <v>0</v>
      </c>
      <c r="M264" s="175">
        <f t="shared" si="87"/>
        <v>0</v>
      </c>
      <c r="N264" s="70"/>
      <c r="O264" s="70"/>
      <c r="P264" s="70"/>
      <c r="Q264" s="62">
        <v>0</v>
      </c>
      <c r="R264" s="62">
        <f t="shared" si="88"/>
        <v>0</v>
      </c>
      <c r="S264" s="176"/>
      <c r="T264" s="176"/>
      <c r="U264" s="70"/>
      <c r="V264" s="70"/>
      <c r="W264" s="260"/>
      <c r="X264" s="62">
        <f t="shared" si="89"/>
        <v>0</v>
      </c>
      <c r="Y264" s="70"/>
      <c r="AA264" s="290"/>
      <c r="AB264" s="291"/>
      <c r="AC264" s="62"/>
      <c r="AD264" s="62"/>
      <c r="AE264" s="177">
        <f t="shared" si="90"/>
        <v>0</v>
      </c>
      <c r="AF264" s="177">
        <f t="shared" si="91"/>
        <v>0</v>
      </c>
      <c r="AG264" s="70">
        <f t="shared" si="92"/>
        <v>0</v>
      </c>
      <c r="AH264" s="70">
        <f t="shared" si="93"/>
        <v>0</v>
      </c>
      <c r="AI264" s="587">
        <v>0</v>
      </c>
      <c r="AJ264" s="178">
        <f t="shared" si="94"/>
        <v>0</v>
      </c>
      <c r="AK264" s="301">
        <f t="shared" si="95"/>
        <v>0</v>
      </c>
      <c r="AL264" s="70">
        <f t="shared" si="96"/>
        <v>0</v>
      </c>
      <c r="AM264" s="179">
        <f t="shared" si="97"/>
        <v>0</v>
      </c>
      <c r="AN264" s="179"/>
      <c r="AO264" s="31">
        <f t="shared" si="98"/>
        <v>0</v>
      </c>
      <c r="AP264" s="31">
        <f t="shared" si="99"/>
        <v>0</v>
      </c>
      <c r="AQ264" s="31">
        <f t="shared" si="100"/>
        <v>0</v>
      </c>
      <c r="AR264" s="180" t="str">
        <f t="shared" si="101"/>
        <v/>
      </c>
      <c r="AS264" s="31">
        <f t="shared" si="104"/>
        <v>0</v>
      </c>
      <c r="AU264" s="31">
        <f t="shared" si="102"/>
        <v>0</v>
      </c>
      <c r="AV264" s="177"/>
      <c r="AW264" s="31">
        <f t="shared" si="103"/>
        <v>0</v>
      </c>
    </row>
    <row r="265" spans="1:49">
      <c r="A265" s="102">
        <v>256</v>
      </c>
      <c r="B265" s="7" t="s">
        <v>1961</v>
      </c>
      <c r="C265" s="7">
        <v>0</v>
      </c>
      <c r="D265" s="62">
        <f t="shared" si="79"/>
        <v>236011.40000000002</v>
      </c>
      <c r="E265" s="172">
        <f t="shared" si="80"/>
        <v>168465</v>
      </c>
      <c r="F265" s="62">
        <f t="shared" si="81"/>
        <v>240301.01604183207</v>
      </c>
      <c r="G265" s="70">
        <f t="shared" si="82"/>
        <v>93424</v>
      </c>
      <c r="H265" s="62">
        <f t="shared" si="83"/>
        <v>146877</v>
      </c>
      <c r="I265" s="173">
        <f t="shared" si="84"/>
        <v>0</v>
      </c>
      <c r="J265" s="174">
        <f>ROUND(100-'Townwide Contributions'!K265,2)</f>
        <v>61.62</v>
      </c>
      <c r="K265" s="70">
        <f t="shared" si="85"/>
        <v>148073</v>
      </c>
      <c r="L265" s="70">
        <f t="shared" si="86"/>
        <v>0</v>
      </c>
      <c r="M265" s="175">
        <f t="shared" si="87"/>
        <v>0</v>
      </c>
      <c r="N265" s="70"/>
      <c r="O265" s="70"/>
      <c r="P265" s="70"/>
      <c r="Q265" s="62">
        <v>16</v>
      </c>
      <c r="R265" s="62">
        <f t="shared" si="88"/>
        <v>16</v>
      </c>
      <c r="S265" s="176"/>
      <c r="T265" s="176"/>
      <c r="U265" s="70"/>
      <c r="V265" s="70"/>
      <c r="W265" s="260"/>
      <c r="X265" s="62">
        <f t="shared" si="89"/>
        <v>0</v>
      </c>
      <c r="Y265" s="70"/>
      <c r="AA265" s="290"/>
      <c r="AB265" s="291"/>
      <c r="AC265" s="62"/>
      <c r="AD265" s="62"/>
      <c r="AE265" s="177">
        <f t="shared" si="90"/>
        <v>0</v>
      </c>
      <c r="AF265" s="177">
        <f t="shared" si="91"/>
        <v>0</v>
      </c>
      <c r="AG265" s="70">
        <f t="shared" si="92"/>
        <v>168465</v>
      </c>
      <c r="AH265" s="70">
        <f t="shared" si="93"/>
        <v>0</v>
      </c>
      <c r="AI265" s="587">
        <v>0</v>
      </c>
      <c r="AJ265" s="178">
        <f t="shared" si="94"/>
        <v>168465</v>
      </c>
      <c r="AK265" s="301">
        <f t="shared" si="95"/>
        <v>0</v>
      </c>
      <c r="AL265" s="70">
        <f t="shared" si="96"/>
        <v>261889</v>
      </c>
      <c r="AM265" s="179">
        <f t="shared" si="97"/>
        <v>108.98372562619953</v>
      </c>
      <c r="AN265" s="179"/>
      <c r="AO265" s="31">
        <f t="shared" si="98"/>
        <v>4289.6160418320505</v>
      </c>
      <c r="AP265" s="31">
        <f t="shared" si="99"/>
        <v>0</v>
      </c>
      <c r="AQ265" s="31">
        <f t="shared" si="100"/>
        <v>20391.513915023097</v>
      </c>
      <c r="AR265" s="180" t="str">
        <f t="shared" si="101"/>
        <v/>
      </c>
      <c r="AS265" s="31">
        <f t="shared" si="104"/>
        <v>15018.81</v>
      </c>
      <c r="AU265" s="31">
        <f t="shared" si="102"/>
        <v>0</v>
      </c>
      <c r="AV265" s="177"/>
      <c r="AW265" s="31">
        <f t="shared" si="103"/>
        <v>0</v>
      </c>
    </row>
    <row r="266" spans="1:49">
      <c r="A266" s="102">
        <v>257</v>
      </c>
      <c r="B266" s="7" t="s">
        <v>1962</v>
      </c>
      <c r="C266" s="7">
        <v>0</v>
      </c>
      <c r="D266" s="62">
        <f t="shared" ref="D266:D329" si="105">VLOOKUP(A266, disthist, D$2, FALSE)</f>
        <v>0</v>
      </c>
      <c r="E266" s="172">
        <f t="shared" ref="E266:E329" si="106">VLOOKUP(A266, disthist, E$2, FALSE)*(1-$E$6)</f>
        <v>0</v>
      </c>
      <c r="F266" s="62">
        <f t="shared" ref="F266:F329" si="107">SUMIF(dist1755,A266,found1755)</f>
        <v>0</v>
      </c>
      <c r="G266" s="70">
        <f t="shared" ref="G266:G329" si="108">SUMIF(dist1755,A266,prelcont1755)</f>
        <v>0</v>
      </c>
      <c r="H266" s="62">
        <f t="shared" ref="H266:H329" si="109">ROUND(MAX(found-prelcont436,0),0)</f>
        <v>0</v>
      </c>
      <c r="I266" s="173">
        <f t="shared" ref="I266:I329" si="110">IF(foundaid&gt;priorc70,foundaid-priorc70,0)</f>
        <v>0</v>
      </c>
      <c r="J266" s="174">
        <f>ROUND(100-'Townwide Contributions'!K266,2)</f>
        <v>55.22</v>
      </c>
      <c r="K266" s="70">
        <f t="shared" ref="K266:K329" si="111">ROUND(J266/100*F266,0)</f>
        <v>0</v>
      </c>
      <c r="L266" s="70">
        <f t="shared" ref="L266:L329" si="112">ROUND(IF(K266&gt;priorc70,L$6*(K266-priorc70),0),0)</f>
        <v>0</v>
      </c>
      <c r="M266" s="175">
        <f t="shared" ref="M266:M329" si="113">IF(L266&gt;I266,L266-I266,0)</f>
        <v>0</v>
      </c>
      <c r="N266" s="70"/>
      <c r="O266" s="70"/>
      <c r="P266" s="70"/>
      <c r="Q266" s="62">
        <v>0</v>
      </c>
      <c r="R266" s="62">
        <f t="shared" ref="R266:R329" si="114">SUMIF(dist1755,A266,enro1755)</f>
        <v>0</v>
      </c>
      <c r="S266" s="176"/>
      <c r="T266" s="176"/>
      <c r="U266" s="70"/>
      <c r="V266" s="70"/>
      <c r="W266" s="260"/>
      <c r="X266" s="62">
        <f t="shared" ref="X266:X329" si="115">IF(AND(C266=1,I266&gt;0),1,0)</f>
        <v>0</v>
      </c>
      <c r="Y266" s="70"/>
      <c r="AA266" s="290"/>
      <c r="AB266" s="291"/>
      <c r="AC266" s="62"/>
      <c r="AD266" s="62"/>
      <c r="AE266" s="177">
        <f t="shared" ref="AE266:AE329" si="116">IF(nonop=1,enro*$AE$6,0)</f>
        <v>0</v>
      </c>
      <c r="AF266" s="177">
        <f t="shared" ref="AF266:AF329" si="117">IF((foundinc+downaid)&lt;AE266,AE266-(foundinc+downaid),0)</f>
        <v>0</v>
      </c>
      <c r="AG266" s="70">
        <f t="shared" ref="AG266:AG329" si="118">priorc70+foundinc+downaid+minaid</f>
        <v>0</v>
      </c>
      <c r="AH266" s="70">
        <f t="shared" ref="AH266:AH329" si="119">IF(AND(C266=0,AG266&gt;found),AG266-found,0)</f>
        <v>0</v>
      </c>
      <c r="AI266" s="587">
        <v>0</v>
      </c>
      <c r="AJ266" s="178">
        <f t="shared" ref="AJ266:AJ329" si="120">AG266+AI266-rednonop</f>
        <v>0</v>
      </c>
      <c r="AK266" s="301">
        <f t="shared" ref="AK266:AK329" si="121">IF(C266=1, AJ266/F266*100, 0)</f>
        <v>0</v>
      </c>
      <c r="AL266" s="70">
        <f t="shared" ref="AL266:AL329" si="122">prelcont436+chapter70</f>
        <v>0</v>
      </c>
      <c r="AM266" s="179">
        <f t="shared" ref="AM266:AM329" si="123">IF(found&gt;0,AL266*100/found,0)</f>
        <v>0</v>
      </c>
      <c r="AN266" s="179"/>
      <c r="AO266" s="31">
        <f t="shared" ref="AO266:AO329" si="124">F266-D266</f>
        <v>0</v>
      </c>
      <c r="AP266" s="31">
        <f t="shared" ref="AP266:AP329" si="125">AJ266-E266</f>
        <v>0</v>
      </c>
      <c r="AQ266" s="31">
        <f t="shared" ref="AQ266:AQ329" si="126">AJ266-((J266/100)*F266)</f>
        <v>0</v>
      </c>
      <c r="AR266" s="180" t="str">
        <f t="shared" ref="AR266:AR329" si="127">IF(C266=1, (AJ266/F266*100)-J266, "")</f>
        <v/>
      </c>
      <c r="AS266" s="31">
        <f t="shared" si="104"/>
        <v>0</v>
      </c>
      <c r="AU266" s="31">
        <f t="shared" ref="AU266:AU329" si="128">VLOOKUP(A266, disthist, 37, FALSE)*$E$6</f>
        <v>0</v>
      </c>
      <c r="AV266" s="177"/>
      <c r="AW266" s="31">
        <f t="shared" ref="AW266:AW329" si="129">IFERROR(AP266/R266, 0)</f>
        <v>0</v>
      </c>
    </row>
    <row r="267" spans="1:49">
      <c r="A267" s="102">
        <v>258</v>
      </c>
      <c r="B267" s="7" t="s">
        <v>1963</v>
      </c>
      <c r="C267" s="7">
        <v>1</v>
      </c>
      <c r="D267" s="62">
        <f t="shared" si="105"/>
        <v>52561026.710000008</v>
      </c>
      <c r="E267" s="172">
        <f t="shared" si="106"/>
        <v>21600632.191162799</v>
      </c>
      <c r="F267" s="62">
        <f t="shared" si="107"/>
        <v>52768572.013673805</v>
      </c>
      <c r="G267" s="70">
        <f t="shared" si="108"/>
        <v>32317455</v>
      </c>
      <c r="H267" s="62">
        <f t="shared" si="109"/>
        <v>20451117</v>
      </c>
      <c r="I267" s="173">
        <f t="shared" si="110"/>
        <v>0</v>
      </c>
      <c r="J267" s="174">
        <f>ROUND(100-'Townwide Contributions'!K267,2)</f>
        <v>38.79</v>
      </c>
      <c r="K267" s="70">
        <f t="shared" si="111"/>
        <v>20468929</v>
      </c>
      <c r="L267" s="70">
        <f t="shared" si="112"/>
        <v>0</v>
      </c>
      <c r="M267" s="175">
        <f t="shared" si="113"/>
        <v>0</v>
      </c>
      <c r="N267" s="70"/>
      <c r="O267" s="70"/>
      <c r="P267" s="70"/>
      <c r="Q267" s="62">
        <v>4586</v>
      </c>
      <c r="R267" s="62">
        <f t="shared" si="114"/>
        <v>4537</v>
      </c>
      <c r="S267" s="176"/>
      <c r="T267" s="176"/>
      <c r="U267" s="70"/>
      <c r="V267" s="70"/>
      <c r="W267" s="260"/>
      <c r="X267" s="62">
        <f t="shared" si="115"/>
        <v>0</v>
      </c>
      <c r="Y267" s="70"/>
      <c r="AA267" s="290"/>
      <c r="AB267" s="291"/>
      <c r="AC267" s="62"/>
      <c r="AD267" s="62"/>
      <c r="AE267" s="177">
        <f t="shared" si="116"/>
        <v>136110</v>
      </c>
      <c r="AF267" s="177">
        <f t="shared" si="117"/>
        <v>136110</v>
      </c>
      <c r="AG267" s="70">
        <f t="shared" si="118"/>
        <v>21736742.191162799</v>
      </c>
      <c r="AH267" s="70">
        <f t="shared" si="119"/>
        <v>0</v>
      </c>
      <c r="AI267" s="587">
        <v>0</v>
      </c>
      <c r="AJ267" s="178">
        <f t="shared" si="120"/>
        <v>21736742.191162799</v>
      </c>
      <c r="AK267" s="301">
        <f t="shared" si="121"/>
        <v>41.192591274841021</v>
      </c>
      <c r="AL267" s="70">
        <f t="shared" si="122"/>
        <v>54054197.191162795</v>
      </c>
      <c r="AM267" s="179">
        <f t="shared" si="123"/>
        <v>102.4363463486483</v>
      </c>
      <c r="AN267" s="179"/>
      <c r="AO267" s="31">
        <f t="shared" si="124"/>
        <v>207545.30367379636</v>
      </c>
      <c r="AP267" s="31">
        <f t="shared" si="125"/>
        <v>136110</v>
      </c>
      <c r="AQ267" s="31">
        <f t="shared" si="126"/>
        <v>1267813.10705873</v>
      </c>
      <c r="AR267" s="180">
        <f t="shared" si="127"/>
        <v>2.4025912748410221</v>
      </c>
      <c r="AS267" s="31">
        <f t="shared" ref="AS267:AS330" si="130">IFERROR(ROUND(F267/R267, 2), 0)</f>
        <v>11630.72</v>
      </c>
      <c r="AU267" s="31">
        <f t="shared" si="128"/>
        <v>0</v>
      </c>
      <c r="AV267" s="177"/>
      <c r="AW267" s="31">
        <f t="shared" si="129"/>
        <v>30</v>
      </c>
    </row>
    <row r="268" spans="1:49">
      <c r="A268" s="102">
        <v>259</v>
      </c>
      <c r="B268" s="7" t="s">
        <v>1964</v>
      </c>
      <c r="C268" s="7">
        <v>0</v>
      </c>
      <c r="D268" s="62">
        <f t="shared" si="105"/>
        <v>79025.52</v>
      </c>
      <c r="E268" s="172">
        <f t="shared" si="106"/>
        <v>33688</v>
      </c>
      <c r="F268" s="62">
        <f t="shared" si="107"/>
        <v>40250.500030768642</v>
      </c>
      <c r="G268" s="70">
        <f t="shared" si="108"/>
        <v>33612</v>
      </c>
      <c r="H268" s="62">
        <f t="shared" si="109"/>
        <v>6639</v>
      </c>
      <c r="I268" s="173">
        <f t="shared" si="110"/>
        <v>0</v>
      </c>
      <c r="J268" s="174">
        <f>ROUND(100-'Townwide Contributions'!K268,2)</f>
        <v>17.5</v>
      </c>
      <c r="K268" s="70">
        <f t="shared" si="111"/>
        <v>7044</v>
      </c>
      <c r="L268" s="70">
        <f t="shared" si="112"/>
        <v>0</v>
      </c>
      <c r="M268" s="175">
        <f t="shared" si="113"/>
        <v>0</v>
      </c>
      <c r="N268" s="70"/>
      <c r="O268" s="70"/>
      <c r="P268" s="70"/>
      <c r="Q268" s="62">
        <v>6</v>
      </c>
      <c r="R268" s="62">
        <f t="shared" si="114"/>
        <v>3</v>
      </c>
      <c r="S268" s="176"/>
      <c r="T268" s="176"/>
      <c r="U268" s="70"/>
      <c r="V268" s="70"/>
      <c r="W268" s="260"/>
      <c r="X268" s="62">
        <f t="shared" si="115"/>
        <v>0</v>
      </c>
      <c r="Y268" s="70"/>
      <c r="AA268" s="290"/>
      <c r="AB268" s="291"/>
      <c r="AC268" s="62"/>
      <c r="AD268" s="62"/>
      <c r="AE268" s="177">
        <f t="shared" si="116"/>
        <v>0</v>
      </c>
      <c r="AF268" s="177">
        <f t="shared" si="117"/>
        <v>0</v>
      </c>
      <c r="AG268" s="70">
        <f t="shared" si="118"/>
        <v>33688</v>
      </c>
      <c r="AH268" s="70">
        <f t="shared" si="119"/>
        <v>0</v>
      </c>
      <c r="AI268" s="587">
        <v>0</v>
      </c>
      <c r="AJ268" s="178">
        <f t="shared" si="120"/>
        <v>33688</v>
      </c>
      <c r="AK268" s="301">
        <f t="shared" si="121"/>
        <v>0</v>
      </c>
      <c r="AL268" s="70">
        <f t="shared" si="122"/>
        <v>67300</v>
      </c>
      <c r="AM268" s="179">
        <f t="shared" si="123"/>
        <v>167.20289176172705</v>
      </c>
      <c r="AN268" s="179"/>
      <c r="AO268" s="31">
        <f t="shared" si="124"/>
        <v>-38775.019969231362</v>
      </c>
      <c r="AP268" s="31">
        <f t="shared" si="125"/>
        <v>0</v>
      </c>
      <c r="AQ268" s="31">
        <f t="shared" si="126"/>
        <v>26644.162494615488</v>
      </c>
      <c r="AR268" s="180" t="str">
        <f t="shared" si="127"/>
        <v/>
      </c>
      <c r="AS268" s="31">
        <f t="shared" si="130"/>
        <v>13416.83</v>
      </c>
      <c r="AU268" s="31">
        <f t="shared" si="128"/>
        <v>0</v>
      </c>
      <c r="AV268" s="177"/>
      <c r="AW268" s="31">
        <f t="shared" si="129"/>
        <v>0</v>
      </c>
    </row>
    <row r="269" spans="1:49">
      <c r="A269" s="102">
        <v>260</v>
      </c>
      <c r="B269" s="7" t="s">
        <v>1965</v>
      </c>
      <c r="C269" s="7">
        <v>0</v>
      </c>
      <c r="D269" s="62">
        <f t="shared" si="105"/>
        <v>0</v>
      </c>
      <c r="E269" s="172">
        <f t="shared" si="106"/>
        <v>0</v>
      </c>
      <c r="F269" s="62">
        <f t="shared" si="107"/>
        <v>0</v>
      </c>
      <c r="G269" s="70">
        <f t="shared" si="108"/>
        <v>0</v>
      </c>
      <c r="H269" s="62">
        <f t="shared" si="109"/>
        <v>0</v>
      </c>
      <c r="I269" s="173">
        <f t="shared" si="110"/>
        <v>0</v>
      </c>
      <c r="J269" s="174">
        <f>ROUND(100-'Townwide Contributions'!K269,2)</f>
        <v>17.5</v>
      </c>
      <c r="K269" s="70">
        <f t="shared" si="111"/>
        <v>0</v>
      </c>
      <c r="L269" s="70">
        <f t="shared" si="112"/>
        <v>0</v>
      </c>
      <c r="M269" s="175">
        <f t="shared" si="113"/>
        <v>0</v>
      </c>
      <c r="N269" s="70"/>
      <c r="O269" s="70"/>
      <c r="P269" s="70"/>
      <c r="Q269" s="62">
        <v>0</v>
      </c>
      <c r="R269" s="62">
        <f t="shared" si="114"/>
        <v>0</v>
      </c>
      <c r="S269" s="176"/>
      <c r="T269" s="176"/>
      <c r="U269" s="70"/>
      <c r="V269" s="70"/>
      <c r="W269" s="260"/>
      <c r="X269" s="62">
        <f t="shared" si="115"/>
        <v>0</v>
      </c>
      <c r="Y269" s="70"/>
      <c r="AA269" s="290"/>
      <c r="AB269" s="291"/>
      <c r="AC269" s="62"/>
      <c r="AD269" s="62"/>
      <c r="AE269" s="177">
        <f t="shared" si="116"/>
        <v>0</v>
      </c>
      <c r="AF269" s="177">
        <f t="shared" si="117"/>
        <v>0</v>
      </c>
      <c r="AG269" s="70">
        <f t="shared" si="118"/>
        <v>0</v>
      </c>
      <c r="AH269" s="70">
        <f t="shared" si="119"/>
        <v>0</v>
      </c>
      <c r="AI269" s="587">
        <v>0</v>
      </c>
      <c r="AJ269" s="178">
        <f t="shared" si="120"/>
        <v>0</v>
      </c>
      <c r="AK269" s="301">
        <f t="shared" si="121"/>
        <v>0</v>
      </c>
      <c r="AL269" s="70">
        <f t="shared" si="122"/>
        <v>0</v>
      </c>
      <c r="AM269" s="179">
        <f t="shared" si="123"/>
        <v>0</v>
      </c>
      <c r="AN269" s="179"/>
      <c r="AO269" s="31">
        <f t="shared" si="124"/>
        <v>0</v>
      </c>
      <c r="AP269" s="31">
        <f t="shared" si="125"/>
        <v>0</v>
      </c>
      <c r="AQ269" s="31">
        <f t="shared" si="126"/>
        <v>0</v>
      </c>
      <c r="AR269" s="180" t="str">
        <f t="shared" si="127"/>
        <v/>
      </c>
      <c r="AS269" s="31">
        <f t="shared" si="130"/>
        <v>0</v>
      </c>
      <c r="AU269" s="31">
        <f t="shared" si="128"/>
        <v>0</v>
      </c>
      <c r="AV269" s="177"/>
      <c r="AW269" s="31">
        <f t="shared" si="129"/>
        <v>0</v>
      </c>
    </row>
    <row r="270" spans="1:49">
      <c r="A270" s="102">
        <v>261</v>
      </c>
      <c r="B270" s="7" t="s">
        <v>1966</v>
      </c>
      <c r="C270" s="7">
        <v>1</v>
      </c>
      <c r="D270" s="62">
        <f t="shared" si="105"/>
        <v>27982398.590000007</v>
      </c>
      <c r="E270" s="172">
        <f t="shared" si="106"/>
        <v>6902818</v>
      </c>
      <c r="F270" s="62">
        <f t="shared" si="107"/>
        <v>28141702.856564838</v>
      </c>
      <c r="G270" s="70">
        <f t="shared" si="108"/>
        <v>23400169</v>
      </c>
      <c r="H270" s="62">
        <f t="shared" si="109"/>
        <v>4741534</v>
      </c>
      <c r="I270" s="173">
        <f t="shared" si="110"/>
        <v>0</v>
      </c>
      <c r="J270" s="174">
        <f>ROUND(100-'Townwide Contributions'!K270,2)</f>
        <v>17.5</v>
      </c>
      <c r="K270" s="70">
        <f t="shared" si="111"/>
        <v>4924798</v>
      </c>
      <c r="L270" s="70">
        <f t="shared" si="112"/>
        <v>0</v>
      </c>
      <c r="M270" s="175">
        <f t="shared" si="113"/>
        <v>0</v>
      </c>
      <c r="N270" s="70"/>
      <c r="O270" s="70"/>
      <c r="P270" s="70"/>
      <c r="Q270" s="62">
        <v>2960</v>
      </c>
      <c r="R270" s="62">
        <f t="shared" si="114"/>
        <v>2886</v>
      </c>
      <c r="S270" s="176"/>
      <c r="T270" s="176"/>
      <c r="U270" s="70"/>
      <c r="V270" s="70"/>
      <c r="W270" s="260"/>
      <c r="X270" s="62">
        <f t="shared" si="115"/>
        <v>0</v>
      </c>
      <c r="Y270" s="70"/>
      <c r="AA270" s="290"/>
      <c r="AB270" s="291"/>
      <c r="AC270" s="62"/>
      <c r="AD270" s="62"/>
      <c r="AE270" s="177">
        <f t="shared" si="116"/>
        <v>86580</v>
      </c>
      <c r="AF270" s="177">
        <f t="shared" si="117"/>
        <v>86580</v>
      </c>
      <c r="AG270" s="70">
        <f t="shared" si="118"/>
        <v>6989398</v>
      </c>
      <c r="AH270" s="70">
        <f t="shared" si="119"/>
        <v>0</v>
      </c>
      <c r="AI270" s="587">
        <v>0</v>
      </c>
      <c r="AJ270" s="178">
        <f t="shared" si="120"/>
        <v>6989398</v>
      </c>
      <c r="AK270" s="301">
        <f t="shared" si="121"/>
        <v>24.83644303837686</v>
      </c>
      <c r="AL270" s="70">
        <f t="shared" si="122"/>
        <v>30389567</v>
      </c>
      <c r="AM270" s="179">
        <f t="shared" si="123"/>
        <v>107.98766213577152</v>
      </c>
      <c r="AN270" s="179"/>
      <c r="AO270" s="31">
        <f t="shared" si="124"/>
        <v>159304.26656483114</v>
      </c>
      <c r="AP270" s="31">
        <f t="shared" si="125"/>
        <v>86580</v>
      </c>
      <c r="AQ270" s="31">
        <f t="shared" si="126"/>
        <v>2064600.0001011537</v>
      </c>
      <c r="AR270" s="180">
        <f t="shared" si="127"/>
        <v>7.33644303837686</v>
      </c>
      <c r="AS270" s="31">
        <f t="shared" si="130"/>
        <v>9751.11</v>
      </c>
      <c r="AU270" s="31">
        <f t="shared" si="128"/>
        <v>0</v>
      </c>
      <c r="AV270" s="177"/>
      <c r="AW270" s="31">
        <f t="shared" si="129"/>
        <v>30</v>
      </c>
    </row>
    <row r="271" spans="1:49">
      <c r="A271" s="102">
        <v>262</v>
      </c>
      <c r="B271" s="7" t="s">
        <v>1967</v>
      </c>
      <c r="C271" s="7">
        <v>1</v>
      </c>
      <c r="D271" s="62">
        <f t="shared" si="105"/>
        <v>27795391.629999999</v>
      </c>
      <c r="E271" s="172">
        <f t="shared" si="106"/>
        <v>5488812.0180176003</v>
      </c>
      <c r="F271" s="62">
        <f t="shared" si="107"/>
        <v>27708148.930856943</v>
      </c>
      <c r="G271" s="70">
        <f t="shared" si="108"/>
        <v>23048854</v>
      </c>
      <c r="H271" s="62">
        <f t="shared" si="109"/>
        <v>4659295</v>
      </c>
      <c r="I271" s="173">
        <f t="shared" si="110"/>
        <v>0</v>
      </c>
      <c r="J271" s="174">
        <f>ROUND(100-'Townwide Contributions'!K271,2)</f>
        <v>17.5</v>
      </c>
      <c r="K271" s="70">
        <f t="shared" si="111"/>
        <v>4848926</v>
      </c>
      <c r="L271" s="70">
        <f t="shared" si="112"/>
        <v>0</v>
      </c>
      <c r="M271" s="175">
        <f t="shared" si="113"/>
        <v>0</v>
      </c>
      <c r="N271" s="70"/>
      <c r="O271" s="70"/>
      <c r="P271" s="70"/>
      <c r="Q271" s="62">
        <v>2742</v>
      </c>
      <c r="R271" s="62">
        <f t="shared" si="114"/>
        <v>2678</v>
      </c>
      <c r="S271" s="176"/>
      <c r="T271" s="176"/>
      <c r="U271" s="70"/>
      <c r="V271" s="70"/>
      <c r="W271" s="260"/>
      <c r="X271" s="62">
        <f t="shared" si="115"/>
        <v>0</v>
      </c>
      <c r="Y271" s="70"/>
      <c r="AA271" s="290"/>
      <c r="AB271" s="291"/>
      <c r="AC271" s="62"/>
      <c r="AD271" s="62"/>
      <c r="AE271" s="177">
        <f t="shared" si="116"/>
        <v>80340</v>
      </c>
      <c r="AF271" s="177">
        <f t="shared" si="117"/>
        <v>80340</v>
      </c>
      <c r="AG271" s="70">
        <f t="shared" si="118"/>
        <v>5569152.0180176003</v>
      </c>
      <c r="AH271" s="70">
        <f t="shared" si="119"/>
        <v>0</v>
      </c>
      <c r="AI271" s="587">
        <v>0</v>
      </c>
      <c r="AJ271" s="178">
        <f t="shared" si="120"/>
        <v>5569152.0180176003</v>
      </c>
      <c r="AK271" s="301">
        <f t="shared" si="121"/>
        <v>20.099329016582416</v>
      </c>
      <c r="AL271" s="70">
        <f t="shared" si="122"/>
        <v>28618006.018017601</v>
      </c>
      <c r="AM271" s="179">
        <f t="shared" si="123"/>
        <v>103.28371660420594</v>
      </c>
      <c r="AN271" s="179"/>
      <c r="AO271" s="31">
        <f t="shared" si="124"/>
        <v>-87242.699143055826</v>
      </c>
      <c r="AP271" s="31">
        <f t="shared" si="125"/>
        <v>80340</v>
      </c>
      <c r="AQ271" s="31">
        <f t="shared" si="126"/>
        <v>720225.95511763543</v>
      </c>
      <c r="AR271" s="180">
        <f t="shared" si="127"/>
        <v>2.5993290165824163</v>
      </c>
      <c r="AS271" s="31">
        <f t="shared" si="130"/>
        <v>10346.58</v>
      </c>
      <c r="AU271" s="31">
        <f t="shared" si="128"/>
        <v>0</v>
      </c>
      <c r="AV271" s="177"/>
      <c r="AW271" s="31">
        <f t="shared" si="129"/>
        <v>30</v>
      </c>
    </row>
    <row r="272" spans="1:49">
      <c r="A272" s="102">
        <v>263</v>
      </c>
      <c r="B272" s="7" t="s">
        <v>1968</v>
      </c>
      <c r="C272" s="7">
        <v>1</v>
      </c>
      <c r="D272" s="62">
        <f t="shared" si="105"/>
        <v>644284.77</v>
      </c>
      <c r="E272" s="172">
        <f t="shared" si="106"/>
        <v>510509</v>
      </c>
      <c r="F272" s="62">
        <f t="shared" si="107"/>
        <v>634366.34950279677</v>
      </c>
      <c r="G272" s="70">
        <f t="shared" si="108"/>
        <v>316323</v>
      </c>
      <c r="H272" s="62">
        <f t="shared" si="109"/>
        <v>318043</v>
      </c>
      <c r="I272" s="173">
        <f t="shared" si="110"/>
        <v>0</v>
      </c>
      <c r="J272" s="174">
        <f>ROUND(100-'Townwide Contributions'!K272,2)</f>
        <v>50.46</v>
      </c>
      <c r="K272" s="70">
        <f t="shared" si="111"/>
        <v>320101</v>
      </c>
      <c r="L272" s="70">
        <f t="shared" si="112"/>
        <v>0</v>
      </c>
      <c r="M272" s="175">
        <f t="shared" si="113"/>
        <v>0</v>
      </c>
      <c r="N272" s="70"/>
      <c r="O272" s="70"/>
      <c r="P272" s="70"/>
      <c r="Q272" s="62">
        <v>66</v>
      </c>
      <c r="R272" s="62">
        <f t="shared" si="114"/>
        <v>60</v>
      </c>
      <c r="S272" s="176"/>
      <c r="T272" s="176"/>
      <c r="U272" s="70"/>
      <c r="V272" s="70"/>
      <c r="W272" s="260"/>
      <c r="X272" s="62">
        <f t="shared" si="115"/>
        <v>0</v>
      </c>
      <c r="Y272" s="70"/>
      <c r="AA272" s="290"/>
      <c r="AB272" s="291"/>
      <c r="AC272" s="62"/>
      <c r="AD272" s="62"/>
      <c r="AE272" s="177">
        <f t="shared" si="116"/>
        <v>1800</v>
      </c>
      <c r="AF272" s="177">
        <f t="shared" si="117"/>
        <v>1800</v>
      </c>
      <c r="AG272" s="70">
        <f t="shared" si="118"/>
        <v>512309</v>
      </c>
      <c r="AH272" s="70">
        <f t="shared" si="119"/>
        <v>0</v>
      </c>
      <c r="AI272" s="587">
        <v>0</v>
      </c>
      <c r="AJ272" s="178">
        <f t="shared" si="120"/>
        <v>512309</v>
      </c>
      <c r="AK272" s="301">
        <f t="shared" si="121"/>
        <v>80.75917021789337</v>
      </c>
      <c r="AL272" s="70">
        <f t="shared" si="122"/>
        <v>828632</v>
      </c>
      <c r="AM272" s="179">
        <f t="shared" si="123"/>
        <v>130.62357431939205</v>
      </c>
      <c r="AN272" s="179"/>
      <c r="AO272" s="31">
        <f t="shared" si="124"/>
        <v>-9918.4204972032458</v>
      </c>
      <c r="AP272" s="31">
        <f t="shared" si="125"/>
        <v>1800</v>
      </c>
      <c r="AQ272" s="31">
        <f t="shared" si="126"/>
        <v>192207.74004088872</v>
      </c>
      <c r="AR272" s="180">
        <f t="shared" si="127"/>
        <v>30.299170217893369</v>
      </c>
      <c r="AS272" s="31">
        <f t="shared" si="130"/>
        <v>10572.77</v>
      </c>
      <c r="AU272" s="31">
        <f t="shared" si="128"/>
        <v>0</v>
      </c>
      <c r="AV272" s="177"/>
      <c r="AW272" s="31">
        <f t="shared" si="129"/>
        <v>30</v>
      </c>
    </row>
    <row r="273" spans="1:49">
      <c r="A273" s="102">
        <v>264</v>
      </c>
      <c r="B273" s="7" t="s">
        <v>1969</v>
      </c>
      <c r="C273" s="7">
        <v>1</v>
      </c>
      <c r="D273" s="62">
        <f t="shared" si="105"/>
        <v>27740691.55742</v>
      </c>
      <c r="E273" s="172">
        <f t="shared" si="106"/>
        <v>5346391</v>
      </c>
      <c r="F273" s="62">
        <f t="shared" si="107"/>
        <v>28537003.198598668</v>
      </c>
      <c r="G273" s="70">
        <f t="shared" si="108"/>
        <v>23614603</v>
      </c>
      <c r="H273" s="62">
        <f t="shared" si="109"/>
        <v>4922400</v>
      </c>
      <c r="I273" s="173">
        <f t="shared" si="110"/>
        <v>0</v>
      </c>
      <c r="J273" s="174">
        <f>ROUND(100-'Townwide Contributions'!K273,2)</f>
        <v>17.5</v>
      </c>
      <c r="K273" s="70">
        <f t="shared" si="111"/>
        <v>4993976</v>
      </c>
      <c r="L273" s="70">
        <f t="shared" si="112"/>
        <v>0</v>
      </c>
      <c r="M273" s="175">
        <f t="shared" si="113"/>
        <v>0</v>
      </c>
      <c r="N273" s="70"/>
      <c r="O273" s="70"/>
      <c r="P273" s="70"/>
      <c r="Q273" s="62">
        <v>2918</v>
      </c>
      <c r="R273" s="62">
        <f t="shared" si="114"/>
        <v>2932</v>
      </c>
      <c r="S273" s="176"/>
      <c r="T273" s="176"/>
      <c r="U273" s="70"/>
      <c r="V273" s="70"/>
      <c r="W273" s="260"/>
      <c r="X273" s="62">
        <f t="shared" si="115"/>
        <v>0</v>
      </c>
      <c r="Y273" s="70"/>
      <c r="AA273" s="290"/>
      <c r="AB273" s="291"/>
      <c r="AC273" s="62"/>
      <c r="AD273" s="62"/>
      <c r="AE273" s="177">
        <f t="shared" si="116"/>
        <v>87960</v>
      </c>
      <c r="AF273" s="177">
        <f t="shared" si="117"/>
        <v>87960</v>
      </c>
      <c r="AG273" s="70">
        <f t="shared" si="118"/>
        <v>5434351</v>
      </c>
      <c r="AH273" s="70">
        <f t="shared" si="119"/>
        <v>0</v>
      </c>
      <c r="AI273" s="587">
        <v>0</v>
      </c>
      <c r="AJ273" s="178">
        <f t="shared" si="120"/>
        <v>5434351</v>
      </c>
      <c r="AK273" s="301">
        <f t="shared" si="121"/>
        <v>19.043173392035985</v>
      </c>
      <c r="AL273" s="70">
        <f t="shared" si="122"/>
        <v>29048954</v>
      </c>
      <c r="AM273" s="179">
        <f t="shared" si="123"/>
        <v>101.79398936124615</v>
      </c>
      <c r="AN273" s="179"/>
      <c r="AO273" s="31">
        <f t="shared" si="124"/>
        <v>796311.64117866755</v>
      </c>
      <c r="AP273" s="31">
        <f t="shared" si="125"/>
        <v>87960</v>
      </c>
      <c r="AQ273" s="31">
        <f t="shared" si="126"/>
        <v>440375.44024523348</v>
      </c>
      <c r="AR273" s="180">
        <f t="shared" si="127"/>
        <v>1.5431733920359854</v>
      </c>
      <c r="AS273" s="31">
        <f t="shared" si="130"/>
        <v>9732.9500000000007</v>
      </c>
      <c r="AU273" s="31">
        <f t="shared" si="128"/>
        <v>0</v>
      </c>
      <c r="AV273" s="177"/>
      <c r="AW273" s="31">
        <f t="shared" si="129"/>
        <v>30</v>
      </c>
    </row>
    <row r="274" spans="1:49">
      <c r="A274" s="102">
        <v>265</v>
      </c>
      <c r="B274" s="7" t="s">
        <v>1970</v>
      </c>
      <c r="C274" s="7">
        <v>1</v>
      </c>
      <c r="D274" s="62">
        <f t="shared" si="105"/>
        <v>18466575.149999999</v>
      </c>
      <c r="E274" s="172">
        <f t="shared" si="106"/>
        <v>5086214.9737716876</v>
      </c>
      <c r="F274" s="62">
        <f t="shared" si="107"/>
        <v>18642353.387814865</v>
      </c>
      <c r="G274" s="70">
        <f t="shared" si="108"/>
        <v>14172922</v>
      </c>
      <c r="H274" s="62">
        <f t="shared" si="109"/>
        <v>4469431</v>
      </c>
      <c r="I274" s="173">
        <f t="shared" si="110"/>
        <v>0</v>
      </c>
      <c r="J274" s="174">
        <f>ROUND(100-'Townwide Contributions'!K274,2)</f>
        <v>24.44</v>
      </c>
      <c r="K274" s="70">
        <f t="shared" si="111"/>
        <v>4556191</v>
      </c>
      <c r="L274" s="70">
        <f t="shared" si="112"/>
        <v>0</v>
      </c>
      <c r="M274" s="175">
        <f t="shared" si="113"/>
        <v>0</v>
      </c>
      <c r="N274" s="70"/>
      <c r="O274" s="70"/>
      <c r="P274" s="70"/>
      <c r="Q274" s="62">
        <v>1940</v>
      </c>
      <c r="R274" s="62">
        <f t="shared" si="114"/>
        <v>1912</v>
      </c>
      <c r="S274" s="176"/>
      <c r="T274" s="176"/>
      <c r="U274" s="70"/>
      <c r="V274" s="70"/>
      <c r="W274" s="260"/>
      <c r="X274" s="62">
        <f t="shared" si="115"/>
        <v>0</v>
      </c>
      <c r="Y274" s="70"/>
      <c r="AA274" s="290"/>
      <c r="AB274" s="291"/>
      <c r="AC274" s="62"/>
      <c r="AD274" s="62"/>
      <c r="AE274" s="177">
        <f t="shared" si="116"/>
        <v>57360</v>
      </c>
      <c r="AF274" s="177">
        <f t="shared" si="117"/>
        <v>57360</v>
      </c>
      <c r="AG274" s="70">
        <f t="shared" si="118"/>
        <v>5143574.9737716876</v>
      </c>
      <c r="AH274" s="70">
        <f t="shared" si="119"/>
        <v>0</v>
      </c>
      <c r="AI274" s="587">
        <v>0</v>
      </c>
      <c r="AJ274" s="178">
        <f t="shared" si="120"/>
        <v>5143574.9737716876</v>
      </c>
      <c r="AK274" s="301">
        <f t="shared" si="121"/>
        <v>27.590802871131409</v>
      </c>
      <c r="AL274" s="70">
        <f t="shared" si="122"/>
        <v>19316496.973771688</v>
      </c>
      <c r="AM274" s="179">
        <f t="shared" si="123"/>
        <v>103.61619357777791</v>
      </c>
      <c r="AN274" s="179"/>
      <c r="AO274" s="31">
        <f t="shared" si="124"/>
        <v>175778.23781486601</v>
      </c>
      <c r="AP274" s="31">
        <f t="shared" si="125"/>
        <v>57360</v>
      </c>
      <c r="AQ274" s="31">
        <f t="shared" si="126"/>
        <v>587383.80578973424</v>
      </c>
      <c r="AR274" s="180">
        <f t="shared" si="127"/>
        <v>3.1508028711314076</v>
      </c>
      <c r="AS274" s="31">
        <f t="shared" si="130"/>
        <v>9750.18</v>
      </c>
      <c r="AU274" s="31">
        <f t="shared" si="128"/>
        <v>0</v>
      </c>
      <c r="AV274" s="177"/>
      <c r="AW274" s="31">
        <f t="shared" si="129"/>
        <v>30</v>
      </c>
    </row>
    <row r="275" spans="1:49">
      <c r="A275" s="102">
        <v>266</v>
      </c>
      <c r="B275" s="7" t="s">
        <v>1971</v>
      </c>
      <c r="C275" s="7">
        <v>1</v>
      </c>
      <c r="D275" s="62">
        <f t="shared" si="105"/>
        <v>32581200.061299995</v>
      </c>
      <c r="E275" s="172">
        <f t="shared" si="106"/>
        <v>7138517</v>
      </c>
      <c r="F275" s="62">
        <f t="shared" si="107"/>
        <v>33110463.782192025</v>
      </c>
      <c r="G275" s="70">
        <f t="shared" si="108"/>
        <v>27317316</v>
      </c>
      <c r="H275" s="62">
        <f t="shared" si="109"/>
        <v>5793148</v>
      </c>
      <c r="I275" s="173">
        <f t="shared" si="110"/>
        <v>0</v>
      </c>
      <c r="J275" s="174">
        <f>ROUND(100-'Townwide Contributions'!K275,2)</f>
        <v>17.5</v>
      </c>
      <c r="K275" s="70">
        <f t="shared" si="111"/>
        <v>5794331</v>
      </c>
      <c r="L275" s="70">
        <f t="shared" si="112"/>
        <v>0</v>
      </c>
      <c r="M275" s="175">
        <f t="shared" si="113"/>
        <v>0</v>
      </c>
      <c r="N275" s="70"/>
      <c r="O275" s="70"/>
      <c r="P275" s="70"/>
      <c r="Q275" s="62">
        <v>3418</v>
      </c>
      <c r="R275" s="62">
        <f t="shared" si="114"/>
        <v>3401</v>
      </c>
      <c r="S275" s="176"/>
      <c r="T275" s="176"/>
      <c r="U275" s="70"/>
      <c r="V275" s="70"/>
      <c r="W275" s="260"/>
      <c r="X275" s="62">
        <f t="shared" si="115"/>
        <v>0</v>
      </c>
      <c r="Y275" s="70"/>
      <c r="AA275" s="290"/>
      <c r="AB275" s="291"/>
      <c r="AC275" s="62"/>
      <c r="AD275" s="62"/>
      <c r="AE275" s="177">
        <f t="shared" si="116"/>
        <v>102030</v>
      </c>
      <c r="AF275" s="177">
        <f t="shared" si="117"/>
        <v>102030</v>
      </c>
      <c r="AG275" s="70">
        <f t="shared" si="118"/>
        <v>7240547</v>
      </c>
      <c r="AH275" s="70">
        <f t="shared" si="119"/>
        <v>0</v>
      </c>
      <c r="AI275" s="587">
        <v>0</v>
      </c>
      <c r="AJ275" s="178">
        <f t="shared" si="120"/>
        <v>7240547</v>
      </c>
      <c r="AK275" s="301">
        <f t="shared" si="121"/>
        <v>21.867851346420046</v>
      </c>
      <c r="AL275" s="70">
        <f t="shared" si="122"/>
        <v>34557863</v>
      </c>
      <c r="AM275" s="179">
        <f t="shared" si="123"/>
        <v>104.37142538180464</v>
      </c>
      <c r="AN275" s="179"/>
      <c r="AO275" s="31">
        <f t="shared" si="124"/>
        <v>529263.72089203075</v>
      </c>
      <c r="AP275" s="31">
        <f t="shared" si="125"/>
        <v>102030</v>
      </c>
      <c r="AQ275" s="31">
        <f t="shared" si="126"/>
        <v>1446215.8381163962</v>
      </c>
      <c r="AR275" s="180">
        <f t="shared" si="127"/>
        <v>4.3678513464200464</v>
      </c>
      <c r="AS275" s="31">
        <f t="shared" si="130"/>
        <v>9735.51</v>
      </c>
      <c r="AU275" s="31">
        <f t="shared" si="128"/>
        <v>0</v>
      </c>
      <c r="AV275" s="177"/>
      <c r="AW275" s="31">
        <f t="shared" si="129"/>
        <v>30</v>
      </c>
    </row>
    <row r="276" spans="1:49">
      <c r="A276" s="102">
        <v>267</v>
      </c>
      <c r="B276" s="7" t="s">
        <v>1972</v>
      </c>
      <c r="C276" s="7">
        <v>0</v>
      </c>
      <c r="D276" s="62">
        <f t="shared" si="105"/>
        <v>105367.36000000002</v>
      </c>
      <c r="E276" s="172">
        <f t="shared" si="106"/>
        <v>16826</v>
      </c>
      <c r="F276" s="62">
        <f t="shared" si="107"/>
        <v>93917.833405126818</v>
      </c>
      <c r="G276" s="70">
        <f t="shared" si="108"/>
        <v>79039</v>
      </c>
      <c r="H276" s="62">
        <f t="shared" si="109"/>
        <v>14879</v>
      </c>
      <c r="I276" s="173">
        <f t="shared" si="110"/>
        <v>0</v>
      </c>
      <c r="J276" s="174">
        <f>ROUND(100-'Townwide Contributions'!K276,2)</f>
        <v>17.5</v>
      </c>
      <c r="K276" s="70">
        <f t="shared" si="111"/>
        <v>16436</v>
      </c>
      <c r="L276" s="70">
        <f t="shared" si="112"/>
        <v>0</v>
      </c>
      <c r="M276" s="175">
        <f t="shared" si="113"/>
        <v>0</v>
      </c>
      <c r="N276" s="70"/>
      <c r="O276" s="70"/>
      <c r="P276" s="70"/>
      <c r="Q276" s="62">
        <v>8</v>
      </c>
      <c r="R276" s="62">
        <f t="shared" si="114"/>
        <v>7</v>
      </c>
      <c r="S276" s="176"/>
      <c r="T276" s="176"/>
      <c r="U276" s="70"/>
      <c r="V276" s="70"/>
      <c r="W276" s="260"/>
      <c r="X276" s="62">
        <f t="shared" si="115"/>
        <v>0</v>
      </c>
      <c r="Y276" s="70"/>
      <c r="AA276" s="290"/>
      <c r="AB276" s="291"/>
      <c r="AC276" s="62"/>
      <c r="AD276" s="62"/>
      <c r="AE276" s="177">
        <f t="shared" si="116"/>
        <v>0</v>
      </c>
      <c r="AF276" s="177">
        <f t="shared" si="117"/>
        <v>0</v>
      </c>
      <c r="AG276" s="70">
        <f t="shared" si="118"/>
        <v>16826</v>
      </c>
      <c r="AH276" s="70">
        <f t="shared" si="119"/>
        <v>0</v>
      </c>
      <c r="AI276" s="587">
        <v>0</v>
      </c>
      <c r="AJ276" s="178">
        <f t="shared" si="120"/>
        <v>16826</v>
      </c>
      <c r="AK276" s="301">
        <f t="shared" si="121"/>
        <v>0</v>
      </c>
      <c r="AL276" s="70">
        <f t="shared" si="122"/>
        <v>95865</v>
      </c>
      <c r="AM276" s="179">
        <f t="shared" si="123"/>
        <v>102.07326609257885</v>
      </c>
      <c r="AN276" s="179"/>
      <c r="AO276" s="31">
        <f t="shared" si="124"/>
        <v>-11449.526594873198</v>
      </c>
      <c r="AP276" s="31">
        <f t="shared" si="125"/>
        <v>0</v>
      </c>
      <c r="AQ276" s="31">
        <f t="shared" si="126"/>
        <v>390.37915410280766</v>
      </c>
      <c r="AR276" s="180" t="str">
        <f t="shared" si="127"/>
        <v/>
      </c>
      <c r="AS276" s="31">
        <f t="shared" si="130"/>
        <v>13416.83</v>
      </c>
      <c r="AU276" s="31">
        <f t="shared" si="128"/>
        <v>0</v>
      </c>
      <c r="AV276" s="177"/>
      <c r="AW276" s="31">
        <f t="shared" si="129"/>
        <v>0</v>
      </c>
    </row>
    <row r="277" spans="1:49">
      <c r="A277" s="102">
        <v>268</v>
      </c>
      <c r="B277" s="7" t="s">
        <v>1973</v>
      </c>
      <c r="C277" s="7">
        <v>0</v>
      </c>
      <c r="D277" s="62">
        <f t="shared" si="105"/>
        <v>0</v>
      </c>
      <c r="E277" s="172">
        <f t="shared" si="106"/>
        <v>0</v>
      </c>
      <c r="F277" s="62">
        <f t="shared" si="107"/>
        <v>0</v>
      </c>
      <c r="G277" s="70">
        <f t="shared" si="108"/>
        <v>0</v>
      </c>
      <c r="H277" s="62">
        <f t="shared" si="109"/>
        <v>0</v>
      </c>
      <c r="I277" s="173">
        <f t="shared" si="110"/>
        <v>0</v>
      </c>
      <c r="J277" s="174">
        <f>ROUND(100-'Townwide Contributions'!K277,2)</f>
        <v>24</v>
      </c>
      <c r="K277" s="70">
        <f t="shared" si="111"/>
        <v>0</v>
      </c>
      <c r="L277" s="70">
        <f t="shared" si="112"/>
        <v>0</v>
      </c>
      <c r="M277" s="175">
        <f t="shared" si="113"/>
        <v>0</v>
      </c>
      <c r="N277" s="70"/>
      <c r="O277" s="70"/>
      <c r="P277" s="70"/>
      <c r="Q277" s="62">
        <v>0</v>
      </c>
      <c r="R277" s="62">
        <f t="shared" si="114"/>
        <v>0</v>
      </c>
      <c r="S277" s="176"/>
      <c r="T277" s="176"/>
      <c r="U277" s="70"/>
      <c r="V277" s="70"/>
      <c r="W277" s="260"/>
      <c r="X277" s="62">
        <f t="shared" si="115"/>
        <v>0</v>
      </c>
      <c r="Y277" s="70"/>
      <c r="AA277" s="290"/>
      <c r="AB277" s="291"/>
      <c r="AC277" s="62"/>
      <c r="AD277" s="62"/>
      <c r="AE277" s="177">
        <f t="shared" si="116"/>
        <v>0</v>
      </c>
      <c r="AF277" s="177">
        <f t="shared" si="117"/>
        <v>0</v>
      </c>
      <c r="AG277" s="70">
        <f t="shared" si="118"/>
        <v>0</v>
      </c>
      <c r="AH277" s="70">
        <f t="shared" si="119"/>
        <v>0</v>
      </c>
      <c r="AI277" s="587">
        <v>0</v>
      </c>
      <c r="AJ277" s="178">
        <f t="shared" si="120"/>
        <v>0</v>
      </c>
      <c r="AK277" s="301">
        <f t="shared" si="121"/>
        <v>0</v>
      </c>
      <c r="AL277" s="70">
        <f t="shared" si="122"/>
        <v>0</v>
      </c>
      <c r="AM277" s="179">
        <f t="shared" si="123"/>
        <v>0</v>
      </c>
      <c r="AN277" s="179"/>
      <c r="AO277" s="31">
        <f t="shared" si="124"/>
        <v>0</v>
      </c>
      <c r="AP277" s="31">
        <f t="shared" si="125"/>
        <v>0</v>
      </c>
      <c r="AQ277" s="31">
        <f t="shared" si="126"/>
        <v>0</v>
      </c>
      <c r="AR277" s="180" t="str">
        <f t="shared" si="127"/>
        <v/>
      </c>
      <c r="AS277" s="31">
        <f t="shared" si="130"/>
        <v>0</v>
      </c>
      <c r="AU277" s="31">
        <f t="shared" si="128"/>
        <v>0</v>
      </c>
      <c r="AV277" s="177"/>
      <c r="AW277" s="31">
        <f t="shared" si="129"/>
        <v>0</v>
      </c>
    </row>
    <row r="278" spans="1:49">
      <c r="A278" s="102">
        <v>269</v>
      </c>
      <c r="B278" s="7" t="s">
        <v>1974</v>
      </c>
      <c r="C278" s="7">
        <v>1</v>
      </c>
      <c r="D278" s="62">
        <f t="shared" si="105"/>
        <v>3478451.7794499998</v>
      </c>
      <c r="E278" s="172">
        <f t="shared" si="106"/>
        <v>575738</v>
      </c>
      <c r="F278" s="62">
        <f t="shared" si="107"/>
        <v>3806638.9460125784</v>
      </c>
      <c r="G278" s="70">
        <f t="shared" si="108"/>
        <v>3143918</v>
      </c>
      <c r="H278" s="62">
        <f t="shared" si="109"/>
        <v>662721</v>
      </c>
      <c r="I278" s="173">
        <f t="shared" si="110"/>
        <v>86983</v>
      </c>
      <c r="J278" s="174">
        <f>ROUND(100-'Townwide Contributions'!K278,2)</f>
        <v>17.5</v>
      </c>
      <c r="K278" s="70">
        <f t="shared" si="111"/>
        <v>666162</v>
      </c>
      <c r="L278" s="70">
        <f t="shared" si="112"/>
        <v>0</v>
      </c>
      <c r="M278" s="175">
        <f t="shared" si="113"/>
        <v>0</v>
      </c>
      <c r="N278" s="70"/>
      <c r="O278" s="70"/>
      <c r="P278" s="70"/>
      <c r="Q278" s="62">
        <v>383</v>
      </c>
      <c r="R278" s="62">
        <f t="shared" si="114"/>
        <v>415</v>
      </c>
      <c r="S278" s="176"/>
      <c r="T278" s="176"/>
      <c r="U278" s="70"/>
      <c r="V278" s="70"/>
      <c r="W278" s="260"/>
      <c r="X278" s="62">
        <f t="shared" si="115"/>
        <v>1</v>
      </c>
      <c r="Y278" s="70"/>
      <c r="AA278" s="290"/>
      <c r="AB278" s="291"/>
      <c r="AC278" s="62"/>
      <c r="AD278" s="62"/>
      <c r="AE278" s="177">
        <f t="shared" si="116"/>
        <v>12450</v>
      </c>
      <c r="AF278" s="177">
        <f t="shared" si="117"/>
        <v>0</v>
      </c>
      <c r="AG278" s="70">
        <f t="shared" si="118"/>
        <v>662721</v>
      </c>
      <c r="AH278" s="70">
        <f t="shared" si="119"/>
        <v>0</v>
      </c>
      <c r="AI278" s="587">
        <v>0</v>
      </c>
      <c r="AJ278" s="178">
        <f t="shared" si="120"/>
        <v>662721</v>
      </c>
      <c r="AK278" s="301">
        <f t="shared" si="121"/>
        <v>17.40961014162361</v>
      </c>
      <c r="AL278" s="70">
        <f t="shared" si="122"/>
        <v>3806639</v>
      </c>
      <c r="AM278" s="179">
        <f t="shared" si="123"/>
        <v>100.00000141824381</v>
      </c>
      <c r="AN278" s="179"/>
      <c r="AO278" s="31">
        <f t="shared" si="124"/>
        <v>328187.16656257864</v>
      </c>
      <c r="AP278" s="31">
        <f t="shared" si="125"/>
        <v>86983</v>
      </c>
      <c r="AQ278" s="31">
        <f t="shared" si="126"/>
        <v>-3440.8155522012385</v>
      </c>
      <c r="AR278" s="180">
        <f t="shared" si="127"/>
        <v>-9.0389858376390464E-2</v>
      </c>
      <c r="AS278" s="31">
        <f t="shared" si="130"/>
        <v>9172.6200000000008</v>
      </c>
      <c r="AU278" s="31">
        <f t="shared" si="128"/>
        <v>0</v>
      </c>
      <c r="AV278" s="177"/>
      <c r="AW278" s="31">
        <f t="shared" si="129"/>
        <v>209.59759036144578</v>
      </c>
    </row>
    <row r="279" spans="1:49">
      <c r="A279" s="102">
        <v>270</v>
      </c>
      <c r="B279" s="7" t="s">
        <v>1975</v>
      </c>
      <c r="C279" s="7">
        <v>0</v>
      </c>
      <c r="D279" s="62">
        <f t="shared" si="105"/>
        <v>0</v>
      </c>
      <c r="E279" s="172">
        <f t="shared" si="106"/>
        <v>0</v>
      </c>
      <c r="F279" s="62">
        <f t="shared" si="107"/>
        <v>0</v>
      </c>
      <c r="G279" s="70">
        <f t="shared" si="108"/>
        <v>0</v>
      </c>
      <c r="H279" s="62">
        <f t="shared" si="109"/>
        <v>0</v>
      </c>
      <c r="I279" s="173">
        <f t="shared" si="110"/>
        <v>0</v>
      </c>
      <c r="J279" s="174">
        <f>ROUND(100-'Townwide Contributions'!K279,2)</f>
        <v>43.02</v>
      </c>
      <c r="K279" s="70">
        <f t="shared" si="111"/>
        <v>0</v>
      </c>
      <c r="L279" s="70">
        <f t="shared" si="112"/>
        <v>0</v>
      </c>
      <c r="M279" s="175">
        <f t="shared" si="113"/>
        <v>0</v>
      </c>
      <c r="N279" s="70"/>
      <c r="O279" s="70"/>
      <c r="P279" s="70"/>
      <c r="Q279" s="62">
        <v>0</v>
      </c>
      <c r="R279" s="62">
        <f t="shared" si="114"/>
        <v>0</v>
      </c>
      <c r="S279" s="176"/>
      <c r="T279" s="176"/>
      <c r="U279" s="70"/>
      <c r="V279" s="70"/>
      <c r="W279" s="260"/>
      <c r="X279" s="62">
        <f t="shared" si="115"/>
        <v>0</v>
      </c>
      <c r="Y279" s="70"/>
      <c r="AA279" s="290"/>
      <c r="AB279" s="291"/>
      <c r="AC279" s="62"/>
      <c r="AD279" s="62"/>
      <c r="AE279" s="177">
        <f t="shared" si="116"/>
        <v>0</v>
      </c>
      <c r="AF279" s="177">
        <f t="shared" si="117"/>
        <v>0</v>
      </c>
      <c r="AG279" s="70">
        <f t="shared" si="118"/>
        <v>0</v>
      </c>
      <c r="AH279" s="70">
        <f t="shared" si="119"/>
        <v>0</v>
      </c>
      <c r="AI279" s="587">
        <v>0</v>
      </c>
      <c r="AJ279" s="178">
        <f t="shared" si="120"/>
        <v>0</v>
      </c>
      <c r="AK279" s="301">
        <f t="shared" si="121"/>
        <v>0</v>
      </c>
      <c r="AL279" s="70">
        <f t="shared" si="122"/>
        <v>0</v>
      </c>
      <c r="AM279" s="179">
        <f t="shared" si="123"/>
        <v>0</v>
      </c>
      <c r="AN279" s="179"/>
      <c r="AO279" s="31">
        <f t="shared" si="124"/>
        <v>0</v>
      </c>
      <c r="AP279" s="31">
        <f t="shared" si="125"/>
        <v>0</v>
      </c>
      <c r="AQ279" s="31">
        <f t="shared" si="126"/>
        <v>0</v>
      </c>
      <c r="AR279" s="180" t="str">
        <f t="shared" si="127"/>
        <v/>
      </c>
      <c r="AS279" s="31">
        <f t="shared" si="130"/>
        <v>0</v>
      </c>
      <c r="AU279" s="31">
        <f t="shared" si="128"/>
        <v>0</v>
      </c>
      <c r="AV279" s="177"/>
      <c r="AW279" s="31">
        <f t="shared" si="129"/>
        <v>0</v>
      </c>
    </row>
    <row r="280" spans="1:49">
      <c r="A280" s="102">
        <v>271</v>
      </c>
      <c r="B280" s="7" t="s">
        <v>1976</v>
      </c>
      <c r="C280" s="7">
        <v>1</v>
      </c>
      <c r="D280" s="62">
        <f t="shared" si="105"/>
        <v>56301993.68999999</v>
      </c>
      <c r="E280" s="172">
        <f t="shared" si="106"/>
        <v>19524868</v>
      </c>
      <c r="F280" s="62">
        <f t="shared" si="107"/>
        <v>58194036.86341849</v>
      </c>
      <c r="G280" s="70">
        <f t="shared" si="108"/>
        <v>44655044</v>
      </c>
      <c r="H280" s="62">
        <f t="shared" si="109"/>
        <v>13538993</v>
      </c>
      <c r="I280" s="173">
        <f t="shared" si="110"/>
        <v>0</v>
      </c>
      <c r="J280" s="174">
        <f>ROUND(100-'Townwide Contributions'!K280,2)</f>
        <v>20.11</v>
      </c>
      <c r="K280" s="70">
        <f t="shared" si="111"/>
        <v>11702821</v>
      </c>
      <c r="L280" s="70">
        <f t="shared" si="112"/>
        <v>0</v>
      </c>
      <c r="M280" s="175">
        <f t="shared" si="113"/>
        <v>0</v>
      </c>
      <c r="N280" s="70"/>
      <c r="O280" s="70"/>
      <c r="P280" s="70"/>
      <c r="Q280" s="62">
        <v>5986</v>
      </c>
      <c r="R280" s="62">
        <f t="shared" si="114"/>
        <v>6039</v>
      </c>
      <c r="S280" s="176"/>
      <c r="T280" s="176"/>
      <c r="U280" s="70"/>
      <c r="V280" s="70"/>
      <c r="W280" s="260"/>
      <c r="X280" s="62">
        <f t="shared" si="115"/>
        <v>0</v>
      </c>
      <c r="Y280" s="70"/>
      <c r="AA280" s="290"/>
      <c r="AB280" s="291"/>
      <c r="AC280" s="62"/>
      <c r="AD280" s="62"/>
      <c r="AE280" s="177">
        <f t="shared" si="116"/>
        <v>181170</v>
      </c>
      <c r="AF280" s="177">
        <f t="shared" si="117"/>
        <v>181170</v>
      </c>
      <c r="AG280" s="70">
        <f t="shared" si="118"/>
        <v>19706038</v>
      </c>
      <c r="AH280" s="70">
        <f t="shared" si="119"/>
        <v>0</v>
      </c>
      <c r="AI280" s="587">
        <v>0</v>
      </c>
      <c r="AJ280" s="178">
        <f t="shared" si="120"/>
        <v>19706038</v>
      </c>
      <c r="AK280" s="301">
        <f t="shared" si="121"/>
        <v>33.862641366932678</v>
      </c>
      <c r="AL280" s="70">
        <f t="shared" si="122"/>
        <v>64361082</v>
      </c>
      <c r="AM280" s="179">
        <f t="shared" si="123"/>
        <v>110.59738328697763</v>
      </c>
      <c r="AN280" s="179"/>
      <c r="AO280" s="31">
        <f t="shared" si="124"/>
        <v>1892043.1734184995</v>
      </c>
      <c r="AP280" s="31">
        <f t="shared" si="125"/>
        <v>181170</v>
      </c>
      <c r="AQ280" s="31">
        <f t="shared" si="126"/>
        <v>8003217.1867665425</v>
      </c>
      <c r="AR280" s="180">
        <f t="shared" si="127"/>
        <v>13.752641366932679</v>
      </c>
      <c r="AS280" s="31">
        <f t="shared" si="130"/>
        <v>9636.3700000000008</v>
      </c>
      <c r="AU280" s="31">
        <f t="shared" si="128"/>
        <v>0</v>
      </c>
      <c r="AV280" s="177"/>
      <c r="AW280" s="31">
        <f t="shared" si="129"/>
        <v>30</v>
      </c>
    </row>
    <row r="281" spans="1:49">
      <c r="A281" s="102">
        <v>272</v>
      </c>
      <c r="B281" s="7" t="s">
        <v>1977</v>
      </c>
      <c r="C281" s="7">
        <v>1</v>
      </c>
      <c r="D281" s="62">
        <f t="shared" si="105"/>
        <v>1115064.6000000001</v>
      </c>
      <c r="E281" s="172">
        <f t="shared" si="106"/>
        <v>619856</v>
      </c>
      <c r="F281" s="62">
        <f t="shared" si="107"/>
        <v>1157848.556575418</v>
      </c>
      <c r="G281" s="70">
        <f t="shared" si="108"/>
        <v>680124</v>
      </c>
      <c r="H281" s="62">
        <f t="shared" si="109"/>
        <v>477725</v>
      </c>
      <c r="I281" s="173">
        <f t="shared" si="110"/>
        <v>0</v>
      </c>
      <c r="J281" s="174">
        <f>ROUND(100-'Townwide Contributions'!K281,2)</f>
        <v>41.44</v>
      </c>
      <c r="K281" s="70">
        <f t="shared" si="111"/>
        <v>479812</v>
      </c>
      <c r="L281" s="70">
        <f t="shared" si="112"/>
        <v>0</v>
      </c>
      <c r="M281" s="175">
        <f t="shared" si="113"/>
        <v>0</v>
      </c>
      <c r="N281" s="70"/>
      <c r="O281" s="70"/>
      <c r="P281" s="70"/>
      <c r="Q281" s="62">
        <v>118</v>
      </c>
      <c r="R281" s="62">
        <f t="shared" si="114"/>
        <v>116</v>
      </c>
      <c r="S281" s="176"/>
      <c r="T281" s="176"/>
      <c r="U281" s="70"/>
      <c r="V281" s="70"/>
      <c r="W281" s="260"/>
      <c r="X281" s="62">
        <f t="shared" si="115"/>
        <v>0</v>
      </c>
      <c r="Y281" s="70"/>
      <c r="AA281" s="290"/>
      <c r="AB281" s="291"/>
      <c r="AC281" s="62"/>
      <c r="AD281" s="62"/>
      <c r="AE281" s="177">
        <f t="shared" si="116"/>
        <v>3480</v>
      </c>
      <c r="AF281" s="177">
        <f t="shared" si="117"/>
        <v>3480</v>
      </c>
      <c r="AG281" s="70">
        <f t="shared" si="118"/>
        <v>623336</v>
      </c>
      <c r="AH281" s="70">
        <f t="shared" si="119"/>
        <v>0</v>
      </c>
      <c r="AI281" s="587">
        <v>0</v>
      </c>
      <c r="AJ281" s="178">
        <f t="shared" si="120"/>
        <v>623336</v>
      </c>
      <c r="AK281" s="301">
        <f t="shared" si="121"/>
        <v>53.835710763733047</v>
      </c>
      <c r="AL281" s="70">
        <f t="shared" si="122"/>
        <v>1303460</v>
      </c>
      <c r="AM281" s="179">
        <f t="shared" si="123"/>
        <v>112.57603531978816</v>
      </c>
      <c r="AN281" s="179"/>
      <c r="AO281" s="31">
        <f t="shared" si="124"/>
        <v>42783.956575417891</v>
      </c>
      <c r="AP281" s="31">
        <f t="shared" si="125"/>
        <v>3480</v>
      </c>
      <c r="AQ281" s="31">
        <f t="shared" si="126"/>
        <v>143523.55815514678</v>
      </c>
      <c r="AR281" s="180">
        <f t="shared" si="127"/>
        <v>12.395710763733049</v>
      </c>
      <c r="AS281" s="31">
        <f t="shared" si="130"/>
        <v>9981.4500000000007</v>
      </c>
      <c r="AU281" s="31">
        <f t="shared" si="128"/>
        <v>0</v>
      </c>
      <c r="AV281" s="177"/>
      <c r="AW281" s="31">
        <f t="shared" si="129"/>
        <v>30</v>
      </c>
    </row>
    <row r="282" spans="1:49">
      <c r="A282" s="102">
        <v>273</v>
      </c>
      <c r="B282" s="7" t="s">
        <v>1978</v>
      </c>
      <c r="C282" s="7">
        <v>1</v>
      </c>
      <c r="D282" s="62">
        <f t="shared" si="105"/>
        <v>16558627.16</v>
      </c>
      <c r="E282" s="172">
        <f t="shared" si="106"/>
        <v>6388179</v>
      </c>
      <c r="F282" s="62">
        <f t="shared" si="107"/>
        <v>17125371.876508925</v>
      </c>
      <c r="G282" s="70">
        <f t="shared" si="108"/>
        <v>9582995</v>
      </c>
      <c r="H282" s="62">
        <f t="shared" si="109"/>
        <v>7542377</v>
      </c>
      <c r="I282" s="173">
        <f t="shared" si="110"/>
        <v>1154198</v>
      </c>
      <c r="J282" s="174">
        <f>ROUND(100-'Townwide Contributions'!K282,2)</f>
        <v>44.74</v>
      </c>
      <c r="K282" s="70">
        <f t="shared" si="111"/>
        <v>7661891</v>
      </c>
      <c r="L282" s="70">
        <f t="shared" si="112"/>
        <v>0</v>
      </c>
      <c r="M282" s="175">
        <f t="shared" si="113"/>
        <v>0</v>
      </c>
      <c r="N282" s="70"/>
      <c r="O282" s="70"/>
      <c r="P282" s="70"/>
      <c r="Q282" s="62">
        <v>1778</v>
      </c>
      <c r="R282" s="62">
        <f t="shared" si="114"/>
        <v>1804</v>
      </c>
      <c r="S282" s="176"/>
      <c r="T282" s="176"/>
      <c r="U282" s="70"/>
      <c r="V282" s="70"/>
      <c r="W282" s="260"/>
      <c r="X282" s="62">
        <f t="shared" si="115"/>
        <v>1</v>
      </c>
      <c r="Y282" s="70"/>
      <c r="AA282" s="290"/>
      <c r="AB282" s="291"/>
      <c r="AC282" s="62"/>
      <c r="AD282" s="62"/>
      <c r="AE282" s="177">
        <f t="shared" si="116"/>
        <v>54120</v>
      </c>
      <c r="AF282" s="177">
        <f t="shared" si="117"/>
        <v>0</v>
      </c>
      <c r="AG282" s="70">
        <f t="shared" si="118"/>
        <v>7542377</v>
      </c>
      <c r="AH282" s="70">
        <f t="shared" si="119"/>
        <v>0</v>
      </c>
      <c r="AI282" s="587">
        <v>0</v>
      </c>
      <c r="AJ282" s="178">
        <f t="shared" si="120"/>
        <v>7542377</v>
      </c>
      <c r="AK282" s="301">
        <f t="shared" si="121"/>
        <v>44.042120979258655</v>
      </c>
      <c r="AL282" s="70">
        <f t="shared" si="122"/>
        <v>17125372</v>
      </c>
      <c r="AM282" s="179">
        <f t="shared" si="123"/>
        <v>100.00000072110011</v>
      </c>
      <c r="AN282" s="179"/>
      <c r="AO282" s="31">
        <f t="shared" si="124"/>
        <v>566744.71650892496</v>
      </c>
      <c r="AP282" s="31">
        <f t="shared" si="125"/>
        <v>1154198</v>
      </c>
      <c r="AQ282" s="31">
        <f t="shared" si="126"/>
        <v>-119514.37755009346</v>
      </c>
      <c r="AR282" s="180">
        <f t="shared" si="127"/>
        <v>-0.69787902074134678</v>
      </c>
      <c r="AS282" s="31">
        <f t="shared" si="130"/>
        <v>9493</v>
      </c>
      <c r="AU282" s="31">
        <f t="shared" si="128"/>
        <v>0</v>
      </c>
      <c r="AV282" s="177"/>
      <c r="AW282" s="31">
        <f t="shared" si="129"/>
        <v>639.79933481152989</v>
      </c>
    </row>
    <row r="283" spans="1:49">
      <c r="A283" s="102">
        <v>274</v>
      </c>
      <c r="B283" s="7" t="s">
        <v>1979</v>
      </c>
      <c r="C283" s="7">
        <v>1</v>
      </c>
      <c r="D283" s="62">
        <f t="shared" si="105"/>
        <v>62011654.562320009</v>
      </c>
      <c r="E283" s="172">
        <f t="shared" si="106"/>
        <v>20010098</v>
      </c>
      <c r="F283" s="62">
        <f t="shared" si="107"/>
        <v>64130648.10950844</v>
      </c>
      <c r="G283" s="70">
        <f t="shared" si="108"/>
        <v>53229236</v>
      </c>
      <c r="H283" s="62">
        <f t="shared" si="109"/>
        <v>10901412</v>
      </c>
      <c r="I283" s="173">
        <f t="shared" si="110"/>
        <v>0</v>
      </c>
      <c r="J283" s="174">
        <f>ROUND(100-'Townwide Contributions'!K283,2)</f>
        <v>17.5</v>
      </c>
      <c r="K283" s="70">
        <f t="shared" si="111"/>
        <v>11222863</v>
      </c>
      <c r="L283" s="70">
        <f t="shared" si="112"/>
        <v>0</v>
      </c>
      <c r="M283" s="175">
        <f t="shared" si="113"/>
        <v>0</v>
      </c>
      <c r="N283" s="70"/>
      <c r="O283" s="70"/>
      <c r="P283" s="70"/>
      <c r="Q283" s="62">
        <v>5322</v>
      </c>
      <c r="R283" s="62">
        <f t="shared" si="114"/>
        <v>5353</v>
      </c>
      <c r="S283" s="176"/>
      <c r="T283" s="176"/>
      <c r="U283" s="70"/>
      <c r="V283" s="70"/>
      <c r="W283" s="260"/>
      <c r="X283" s="62">
        <f t="shared" si="115"/>
        <v>0</v>
      </c>
      <c r="Y283" s="70"/>
      <c r="AA283" s="290"/>
      <c r="AB283" s="291"/>
      <c r="AC283" s="62"/>
      <c r="AD283" s="62"/>
      <c r="AE283" s="177">
        <f t="shared" si="116"/>
        <v>160590</v>
      </c>
      <c r="AF283" s="177">
        <f t="shared" si="117"/>
        <v>160590</v>
      </c>
      <c r="AG283" s="70">
        <f t="shared" si="118"/>
        <v>20170688</v>
      </c>
      <c r="AH283" s="70">
        <f t="shared" si="119"/>
        <v>0</v>
      </c>
      <c r="AI283" s="587">
        <v>0</v>
      </c>
      <c r="AJ283" s="178">
        <f t="shared" si="120"/>
        <v>20170688</v>
      </c>
      <c r="AK283" s="301">
        <f t="shared" si="121"/>
        <v>31.452493612035333</v>
      </c>
      <c r="AL283" s="70">
        <f t="shared" si="122"/>
        <v>73399924</v>
      </c>
      <c r="AM283" s="179">
        <f t="shared" si="123"/>
        <v>114.45373805464043</v>
      </c>
      <c r="AN283" s="179"/>
      <c r="AO283" s="31">
        <f t="shared" si="124"/>
        <v>2118993.547188431</v>
      </c>
      <c r="AP283" s="31">
        <f t="shared" si="125"/>
        <v>160590</v>
      </c>
      <c r="AQ283" s="31">
        <f t="shared" si="126"/>
        <v>8947824.5808360241</v>
      </c>
      <c r="AR283" s="180">
        <f t="shared" si="127"/>
        <v>13.952493612035333</v>
      </c>
      <c r="AS283" s="31">
        <f t="shared" si="130"/>
        <v>11980.32</v>
      </c>
      <c r="AU283" s="31">
        <f t="shared" si="128"/>
        <v>0</v>
      </c>
      <c r="AV283" s="177"/>
      <c r="AW283" s="31">
        <f t="shared" si="129"/>
        <v>30</v>
      </c>
    </row>
    <row r="284" spans="1:49">
      <c r="A284" s="102">
        <v>275</v>
      </c>
      <c r="B284" s="7" t="s">
        <v>1980</v>
      </c>
      <c r="C284" s="7">
        <v>1</v>
      </c>
      <c r="D284" s="62">
        <f t="shared" si="105"/>
        <v>4702769.24</v>
      </c>
      <c r="E284" s="172">
        <f t="shared" si="106"/>
        <v>2507986</v>
      </c>
      <c r="F284" s="62">
        <f t="shared" si="107"/>
        <v>4863203.5231375461</v>
      </c>
      <c r="G284" s="70">
        <f t="shared" si="108"/>
        <v>3146804</v>
      </c>
      <c r="H284" s="62">
        <f t="shared" si="109"/>
        <v>1716400</v>
      </c>
      <c r="I284" s="173">
        <f t="shared" si="110"/>
        <v>0</v>
      </c>
      <c r="J284" s="174">
        <f>ROUND(100-'Townwide Contributions'!K284,2)</f>
        <v>35.76</v>
      </c>
      <c r="K284" s="70">
        <f t="shared" si="111"/>
        <v>1739082</v>
      </c>
      <c r="L284" s="70">
        <f t="shared" si="112"/>
        <v>0</v>
      </c>
      <c r="M284" s="175">
        <f t="shared" si="113"/>
        <v>0</v>
      </c>
      <c r="N284" s="70"/>
      <c r="O284" s="70"/>
      <c r="P284" s="70"/>
      <c r="Q284" s="62">
        <v>492</v>
      </c>
      <c r="R284" s="62">
        <f t="shared" si="114"/>
        <v>492</v>
      </c>
      <c r="S284" s="176"/>
      <c r="T284" s="176"/>
      <c r="U284" s="70"/>
      <c r="V284" s="70"/>
      <c r="W284" s="260"/>
      <c r="X284" s="62">
        <f t="shared" si="115"/>
        <v>0</v>
      </c>
      <c r="Y284" s="70"/>
      <c r="AA284" s="290"/>
      <c r="AB284" s="291"/>
      <c r="AC284" s="62"/>
      <c r="AD284" s="62"/>
      <c r="AE284" s="177">
        <f t="shared" si="116"/>
        <v>14760</v>
      </c>
      <c r="AF284" s="177">
        <f t="shared" si="117"/>
        <v>14760</v>
      </c>
      <c r="AG284" s="70">
        <f t="shared" si="118"/>
        <v>2522746</v>
      </c>
      <c r="AH284" s="70">
        <f t="shared" si="119"/>
        <v>0</v>
      </c>
      <c r="AI284" s="587">
        <v>0</v>
      </c>
      <c r="AJ284" s="178">
        <f t="shared" si="120"/>
        <v>2522746</v>
      </c>
      <c r="AK284" s="301">
        <f t="shared" si="121"/>
        <v>51.874160478737771</v>
      </c>
      <c r="AL284" s="70">
        <f t="shared" si="122"/>
        <v>5669550</v>
      </c>
      <c r="AM284" s="179">
        <f t="shared" si="123"/>
        <v>116.58056203130548</v>
      </c>
      <c r="AN284" s="179"/>
      <c r="AO284" s="31">
        <f t="shared" si="124"/>
        <v>160434.28313754592</v>
      </c>
      <c r="AP284" s="31">
        <f t="shared" si="125"/>
        <v>14760</v>
      </c>
      <c r="AQ284" s="31">
        <f t="shared" si="126"/>
        <v>783664.42012601369</v>
      </c>
      <c r="AR284" s="180">
        <f t="shared" si="127"/>
        <v>16.114160478737773</v>
      </c>
      <c r="AS284" s="31">
        <f t="shared" si="130"/>
        <v>9884.56</v>
      </c>
      <c r="AU284" s="31">
        <f t="shared" si="128"/>
        <v>0</v>
      </c>
      <c r="AV284" s="177"/>
      <c r="AW284" s="31">
        <f t="shared" si="129"/>
        <v>30</v>
      </c>
    </row>
    <row r="285" spans="1:49">
      <c r="A285" s="102">
        <v>276</v>
      </c>
      <c r="B285" s="7" t="s">
        <v>1981</v>
      </c>
      <c r="C285" s="7">
        <v>1</v>
      </c>
      <c r="D285" s="62">
        <f t="shared" si="105"/>
        <v>11260409.134279998</v>
      </c>
      <c r="E285" s="172">
        <f t="shared" si="106"/>
        <v>2877481</v>
      </c>
      <c r="F285" s="62">
        <f t="shared" si="107"/>
        <v>11409894.389389778</v>
      </c>
      <c r="G285" s="70">
        <f t="shared" si="108"/>
        <v>9486965</v>
      </c>
      <c r="H285" s="62">
        <f t="shared" si="109"/>
        <v>1922929</v>
      </c>
      <c r="I285" s="173">
        <f t="shared" si="110"/>
        <v>0</v>
      </c>
      <c r="J285" s="174">
        <f>ROUND(100-'Townwide Contributions'!K285,2)</f>
        <v>17.5</v>
      </c>
      <c r="K285" s="70">
        <f t="shared" si="111"/>
        <v>1996732</v>
      </c>
      <c r="L285" s="70">
        <f t="shared" si="112"/>
        <v>0</v>
      </c>
      <c r="M285" s="175">
        <f t="shared" si="113"/>
        <v>0</v>
      </c>
      <c r="N285" s="70"/>
      <c r="O285" s="70"/>
      <c r="P285" s="70"/>
      <c r="Q285" s="62">
        <v>1234</v>
      </c>
      <c r="R285" s="62">
        <f t="shared" si="114"/>
        <v>1235</v>
      </c>
      <c r="S285" s="176"/>
      <c r="T285" s="176"/>
      <c r="U285" s="70"/>
      <c r="V285" s="70"/>
      <c r="W285" s="260"/>
      <c r="X285" s="62">
        <f t="shared" si="115"/>
        <v>0</v>
      </c>
      <c r="Y285" s="70"/>
      <c r="AA285" s="290"/>
      <c r="AB285" s="291"/>
      <c r="AC285" s="62"/>
      <c r="AD285" s="62"/>
      <c r="AE285" s="177">
        <f t="shared" si="116"/>
        <v>37050</v>
      </c>
      <c r="AF285" s="177">
        <f t="shared" si="117"/>
        <v>37050</v>
      </c>
      <c r="AG285" s="70">
        <f t="shared" si="118"/>
        <v>2914531</v>
      </c>
      <c r="AH285" s="70">
        <f t="shared" si="119"/>
        <v>0</v>
      </c>
      <c r="AI285" s="587">
        <v>0</v>
      </c>
      <c r="AJ285" s="178">
        <f t="shared" si="120"/>
        <v>2914531</v>
      </c>
      <c r="AK285" s="301">
        <f t="shared" si="121"/>
        <v>25.543891122342583</v>
      </c>
      <c r="AL285" s="70">
        <f t="shared" si="122"/>
        <v>12401496</v>
      </c>
      <c r="AM285" s="179">
        <f t="shared" si="123"/>
        <v>108.69071681796045</v>
      </c>
      <c r="AN285" s="179"/>
      <c r="AO285" s="31">
        <f t="shared" si="124"/>
        <v>149485.25510977954</v>
      </c>
      <c r="AP285" s="31">
        <f t="shared" si="125"/>
        <v>37050</v>
      </c>
      <c r="AQ285" s="31">
        <f t="shared" si="126"/>
        <v>917799.48185678897</v>
      </c>
      <c r="AR285" s="180">
        <f t="shared" si="127"/>
        <v>8.0438911223425826</v>
      </c>
      <c r="AS285" s="31">
        <f t="shared" si="130"/>
        <v>9238.7800000000007</v>
      </c>
      <c r="AU285" s="31">
        <f t="shared" si="128"/>
        <v>0</v>
      </c>
      <c r="AV285" s="177"/>
      <c r="AW285" s="31">
        <f t="shared" si="129"/>
        <v>30</v>
      </c>
    </row>
    <row r="286" spans="1:49">
      <c r="A286" s="102">
        <v>277</v>
      </c>
      <c r="B286" s="7" t="s">
        <v>1982</v>
      </c>
      <c r="C286" s="7">
        <v>1</v>
      </c>
      <c r="D286" s="62">
        <f t="shared" si="105"/>
        <v>27951569.609999992</v>
      </c>
      <c r="E286" s="172">
        <f t="shared" si="106"/>
        <v>20433070</v>
      </c>
      <c r="F286" s="62">
        <f t="shared" si="107"/>
        <v>28503932.0841102</v>
      </c>
      <c r="G286" s="70">
        <f t="shared" si="108"/>
        <v>7316033</v>
      </c>
      <c r="H286" s="62">
        <f t="shared" si="109"/>
        <v>21187899</v>
      </c>
      <c r="I286" s="173">
        <f t="shared" si="110"/>
        <v>754829</v>
      </c>
      <c r="J286" s="174">
        <f>ROUND(100-'Townwide Contributions'!K286,2)</f>
        <v>74.63</v>
      </c>
      <c r="K286" s="70">
        <f t="shared" si="111"/>
        <v>21272485</v>
      </c>
      <c r="L286" s="70">
        <f t="shared" si="112"/>
        <v>0</v>
      </c>
      <c r="M286" s="175">
        <f t="shared" si="113"/>
        <v>0</v>
      </c>
      <c r="N286" s="70"/>
      <c r="O286" s="70"/>
      <c r="P286" s="70"/>
      <c r="Q286" s="62">
        <v>2411</v>
      </c>
      <c r="R286" s="62">
        <f t="shared" si="114"/>
        <v>2380</v>
      </c>
      <c r="S286" s="176"/>
      <c r="T286" s="176"/>
      <c r="U286" s="70"/>
      <c r="V286" s="70"/>
      <c r="W286" s="260"/>
      <c r="X286" s="62">
        <f t="shared" si="115"/>
        <v>1</v>
      </c>
      <c r="Y286" s="70"/>
      <c r="AA286" s="290"/>
      <c r="AB286" s="291"/>
      <c r="AC286" s="62"/>
      <c r="AD286" s="62"/>
      <c r="AE286" s="177">
        <f t="shared" si="116"/>
        <v>71400</v>
      </c>
      <c r="AF286" s="177">
        <f t="shared" si="117"/>
        <v>0</v>
      </c>
      <c r="AG286" s="70">
        <f t="shared" si="118"/>
        <v>21187899</v>
      </c>
      <c r="AH286" s="70">
        <f t="shared" si="119"/>
        <v>0</v>
      </c>
      <c r="AI286" s="587">
        <v>0</v>
      </c>
      <c r="AJ286" s="178">
        <f t="shared" si="120"/>
        <v>21187899</v>
      </c>
      <c r="AK286" s="301">
        <f t="shared" si="121"/>
        <v>74.333249663513641</v>
      </c>
      <c r="AL286" s="70">
        <f t="shared" si="122"/>
        <v>28503932</v>
      </c>
      <c r="AM286" s="179">
        <f t="shared" si="123"/>
        <v>99.999999704917201</v>
      </c>
      <c r="AN286" s="179"/>
      <c r="AO286" s="31">
        <f t="shared" si="124"/>
        <v>552362.47411020845</v>
      </c>
      <c r="AP286" s="31">
        <f t="shared" si="125"/>
        <v>754829</v>
      </c>
      <c r="AQ286" s="31">
        <f t="shared" si="126"/>
        <v>-84585.514371439815</v>
      </c>
      <c r="AR286" s="180">
        <f t="shared" si="127"/>
        <v>-0.29675033648635463</v>
      </c>
      <c r="AS286" s="31">
        <f t="shared" si="130"/>
        <v>11976.44</v>
      </c>
      <c r="AU286" s="31">
        <f t="shared" si="128"/>
        <v>0</v>
      </c>
      <c r="AV286" s="177"/>
      <c r="AW286" s="31">
        <f t="shared" si="129"/>
        <v>317.1550420168067</v>
      </c>
    </row>
    <row r="287" spans="1:49">
      <c r="A287" s="102">
        <v>278</v>
      </c>
      <c r="B287" s="7" t="s">
        <v>1983</v>
      </c>
      <c r="C287" s="7">
        <v>1</v>
      </c>
      <c r="D287" s="62">
        <f t="shared" si="105"/>
        <v>19049378.099999998</v>
      </c>
      <c r="E287" s="172">
        <f t="shared" si="106"/>
        <v>7876784</v>
      </c>
      <c r="F287" s="62">
        <f t="shared" si="107"/>
        <v>19637074.331034068</v>
      </c>
      <c r="G287" s="70">
        <f t="shared" si="108"/>
        <v>12896757</v>
      </c>
      <c r="H287" s="62">
        <f t="shared" si="109"/>
        <v>6740317</v>
      </c>
      <c r="I287" s="173">
        <f t="shared" si="110"/>
        <v>0</v>
      </c>
      <c r="J287" s="174">
        <f>ROUND(100-'Townwide Contributions'!K287,2)</f>
        <v>34.75</v>
      </c>
      <c r="K287" s="70">
        <f t="shared" si="111"/>
        <v>6823883</v>
      </c>
      <c r="L287" s="70">
        <f t="shared" si="112"/>
        <v>0</v>
      </c>
      <c r="M287" s="175">
        <f t="shared" si="113"/>
        <v>0</v>
      </c>
      <c r="N287" s="70"/>
      <c r="O287" s="70"/>
      <c r="P287" s="70"/>
      <c r="Q287" s="62">
        <v>1891</v>
      </c>
      <c r="R287" s="62">
        <f t="shared" si="114"/>
        <v>1900</v>
      </c>
      <c r="S287" s="176"/>
      <c r="T287" s="176"/>
      <c r="U287" s="70"/>
      <c r="V287" s="70"/>
      <c r="W287" s="260"/>
      <c r="X287" s="62">
        <f t="shared" si="115"/>
        <v>0</v>
      </c>
      <c r="Y287" s="70"/>
      <c r="AA287" s="290"/>
      <c r="AB287" s="291"/>
      <c r="AC287" s="62"/>
      <c r="AD287" s="62"/>
      <c r="AE287" s="177">
        <f t="shared" si="116"/>
        <v>57000</v>
      </c>
      <c r="AF287" s="177">
        <f t="shared" si="117"/>
        <v>57000</v>
      </c>
      <c r="AG287" s="70">
        <f t="shared" si="118"/>
        <v>7933784</v>
      </c>
      <c r="AH287" s="70">
        <f t="shared" si="119"/>
        <v>0</v>
      </c>
      <c r="AI287" s="587">
        <v>0</v>
      </c>
      <c r="AJ287" s="178">
        <f t="shared" si="120"/>
        <v>7933784</v>
      </c>
      <c r="AK287" s="301">
        <f t="shared" si="121"/>
        <v>40.402067366326534</v>
      </c>
      <c r="AL287" s="70">
        <f t="shared" si="122"/>
        <v>20830541</v>
      </c>
      <c r="AM287" s="179">
        <f t="shared" si="123"/>
        <v>106.07761955190952</v>
      </c>
      <c r="AN287" s="179"/>
      <c r="AO287" s="31">
        <f t="shared" si="124"/>
        <v>587696.23103407025</v>
      </c>
      <c r="AP287" s="31">
        <f t="shared" si="125"/>
        <v>57000</v>
      </c>
      <c r="AQ287" s="31">
        <f t="shared" si="126"/>
        <v>1109900.6699656621</v>
      </c>
      <c r="AR287" s="180">
        <f t="shared" si="127"/>
        <v>5.6520673663265342</v>
      </c>
      <c r="AS287" s="31">
        <f t="shared" si="130"/>
        <v>10335.299999999999</v>
      </c>
      <c r="AU287" s="31">
        <f t="shared" si="128"/>
        <v>0</v>
      </c>
      <c r="AV287" s="177"/>
      <c r="AW287" s="31">
        <f t="shared" si="129"/>
        <v>30</v>
      </c>
    </row>
    <row r="288" spans="1:49">
      <c r="A288" s="102">
        <v>279</v>
      </c>
      <c r="B288" s="7" t="s">
        <v>1984</v>
      </c>
      <c r="C288" s="7">
        <v>0</v>
      </c>
      <c r="D288" s="62">
        <f t="shared" si="105"/>
        <v>0</v>
      </c>
      <c r="E288" s="172">
        <f t="shared" si="106"/>
        <v>0</v>
      </c>
      <c r="F288" s="62">
        <f t="shared" si="107"/>
        <v>0</v>
      </c>
      <c r="G288" s="70">
        <f t="shared" si="108"/>
        <v>0</v>
      </c>
      <c r="H288" s="62">
        <f t="shared" si="109"/>
        <v>0</v>
      </c>
      <c r="I288" s="173">
        <f t="shared" si="110"/>
        <v>0</v>
      </c>
      <c r="J288" s="174">
        <f>ROUND(100-'Townwide Contributions'!K288,2)</f>
        <v>35.19</v>
      </c>
      <c r="K288" s="70">
        <f t="shared" si="111"/>
        <v>0</v>
      </c>
      <c r="L288" s="70">
        <f t="shared" si="112"/>
        <v>0</v>
      </c>
      <c r="M288" s="175">
        <f t="shared" si="113"/>
        <v>0</v>
      </c>
      <c r="N288" s="70"/>
      <c r="O288" s="70"/>
      <c r="P288" s="70"/>
      <c r="Q288" s="62">
        <v>0</v>
      </c>
      <c r="R288" s="62">
        <f t="shared" si="114"/>
        <v>0</v>
      </c>
      <c r="S288" s="176"/>
      <c r="T288" s="176"/>
      <c r="U288" s="70"/>
      <c r="V288" s="70"/>
      <c r="W288" s="260"/>
      <c r="X288" s="62">
        <f t="shared" si="115"/>
        <v>0</v>
      </c>
      <c r="Y288" s="70"/>
      <c r="AA288" s="290"/>
      <c r="AB288" s="291"/>
      <c r="AC288" s="62"/>
      <c r="AD288" s="62"/>
      <c r="AE288" s="177">
        <f t="shared" si="116"/>
        <v>0</v>
      </c>
      <c r="AF288" s="177">
        <f t="shared" si="117"/>
        <v>0</v>
      </c>
      <c r="AG288" s="70">
        <f t="shared" si="118"/>
        <v>0</v>
      </c>
      <c r="AH288" s="70">
        <f t="shared" si="119"/>
        <v>0</v>
      </c>
      <c r="AI288" s="587">
        <v>0</v>
      </c>
      <c r="AJ288" s="178">
        <f t="shared" si="120"/>
        <v>0</v>
      </c>
      <c r="AK288" s="301">
        <f t="shared" si="121"/>
        <v>0</v>
      </c>
      <c r="AL288" s="70">
        <f t="shared" si="122"/>
        <v>0</v>
      </c>
      <c r="AM288" s="179">
        <f t="shared" si="123"/>
        <v>0</v>
      </c>
      <c r="AN288" s="179"/>
      <c r="AO288" s="31">
        <f t="shared" si="124"/>
        <v>0</v>
      </c>
      <c r="AP288" s="31">
        <f t="shared" si="125"/>
        <v>0</v>
      </c>
      <c r="AQ288" s="31">
        <f t="shared" si="126"/>
        <v>0</v>
      </c>
      <c r="AR288" s="180" t="str">
        <f t="shared" si="127"/>
        <v/>
      </c>
      <c r="AS288" s="31">
        <f t="shared" si="130"/>
        <v>0</v>
      </c>
      <c r="AU288" s="31">
        <f t="shared" si="128"/>
        <v>0</v>
      </c>
      <c r="AV288" s="177"/>
      <c r="AW288" s="31">
        <f t="shared" si="129"/>
        <v>0</v>
      </c>
    </row>
    <row r="289" spans="1:49">
      <c r="A289" s="102">
        <v>280</v>
      </c>
      <c r="B289" s="7" t="s">
        <v>1985</v>
      </c>
      <c r="C289" s="7">
        <v>0</v>
      </c>
      <c r="D289" s="62">
        <f t="shared" si="105"/>
        <v>65854.600000000006</v>
      </c>
      <c r="E289" s="172">
        <f t="shared" si="106"/>
        <v>49601</v>
      </c>
      <c r="F289" s="62">
        <f t="shared" si="107"/>
        <v>53667.33337435819</v>
      </c>
      <c r="G289" s="70">
        <f t="shared" si="108"/>
        <v>23403</v>
      </c>
      <c r="H289" s="62">
        <f t="shared" si="109"/>
        <v>30264</v>
      </c>
      <c r="I289" s="173">
        <f t="shared" si="110"/>
        <v>0</v>
      </c>
      <c r="J289" s="174">
        <f>ROUND(100-'Townwide Contributions'!K289,2)</f>
        <v>54.78</v>
      </c>
      <c r="K289" s="70">
        <f t="shared" si="111"/>
        <v>29399</v>
      </c>
      <c r="L289" s="70">
        <f t="shared" si="112"/>
        <v>0</v>
      </c>
      <c r="M289" s="175">
        <f t="shared" si="113"/>
        <v>0</v>
      </c>
      <c r="N289" s="70"/>
      <c r="O289" s="70"/>
      <c r="P289" s="70"/>
      <c r="Q289" s="62">
        <v>5</v>
      </c>
      <c r="R289" s="62">
        <f t="shared" si="114"/>
        <v>4</v>
      </c>
      <c r="S289" s="176"/>
      <c r="T289" s="176"/>
      <c r="U289" s="70"/>
      <c r="V289" s="70"/>
      <c r="W289" s="260"/>
      <c r="X289" s="62">
        <f t="shared" si="115"/>
        <v>0</v>
      </c>
      <c r="Y289" s="70"/>
      <c r="AA289" s="290"/>
      <c r="AB289" s="291"/>
      <c r="AC289" s="62"/>
      <c r="AD289" s="62"/>
      <c r="AE289" s="177">
        <f t="shared" si="116"/>
        <v>0</v>
      </c>
      <c r="AF289" s="177">
        <f t="shared" si="117"/>
        <v>0</v>
      </c>
      <c r="AG289" s="70">
        <f t="shared" si="118"/>
        <v>49601</v>
      </c>
      <c r="AH289" s="70">
        <f t="shared" si="119"/>
        <v>0</v>
      </c>
      <c r="AI289" s="587">
        <v>0</v>
      </c>
      <c r="AJ289" s="178">
        <f t="shared" si="120"/>
        <v>49601</v>
      </c>
      <c r="AK289" s="301">
        <f t="shared" si="121"/>
        <v>0</v>
      </c>
      <c r="AL289" s="70">
        <f t="shared" si="122"/>
        <v>73004</v>
      </c>
      <c r="AM289" s="179">
        <f t="shared" si="123"/>
        <v>136.03060821143893</v>
      </c>
      <c r="AN289" s="179"/>
      <c r="AO289" s="31">
        <f t="shared" si="124"/>
        <v>-12187.266625641816</v>
      </c>
      <c r="AP289" s="31">
        <f t="shared" si="125"/>
        <v>0</v>
      </c>
      <c r="AQ289" s="31">
        <f t="shared" si="126"/>
        <v>20202.03477752658</v>
      </c>
      <c r="AR289" s="180" t="str">
        <f t="shared" si="127"/>
        <v/>
      </c>
      <c r="AS289" s="31">
        <f t="shared" si="130"/>
        <v>13416.83</v>
      </c>
      <c r="AU289" s="31">
        <f t="shared" si="128"/>
        <v>0</v>
      </c>
      <c r="AV289" s="177"/>
      <c r="AW289" s="31">
        <f t="shared" si="129"/>
        <v>0</v>
      </c>
    </row>
    <row r="290" spans="1:49">
      <c r="A290" s="102">
        <v>281</v>
      </c>
      <c r="B290" s="7" t="s">
        <v>1986</v>
      </c>
      <c r="C290" s="7">
        <v>1</v>
      </c>
      <c r="D290" s="62">
        <f t="shared" si="105"/>
        <v>356553651.79000002</v>
      </c>
      <c r="E290" s="172">
        <f t="shared" si="106"/>
        <v>319871030</v>
      </c>
      <c r="F290" s="62">
        <f t="shared" si="107"/>
        <v>370375982.61382222</v>
      </c>
      <c r="G290" s="70">
        <f t="shared" si="108"/>
        <v>37357582</v>
      </c>
      <c r="H290" s="62">
        <f t="shared" si="109"/>
        <v>333018401</v>
      </c>
      <c r="I290" s="173">
        <f t="shared" si="110"/>
        <v>13147371</v>
      </c>
      <c r="J290" s="174">
        <f>ROUND(100-'Townwide Contributions'!K290,2)</f>
        <v>84.29</v>
      </c>
      <c r="K290" s="70">
        <f t="shared" si="111"/>
        <v>312189916</v>
      </c>
      <c r="L290" s="70">
        <f t="shared" si="112"/>
        <v>0</v>
      </c>
      <c r="M290" s="175">
        <f t="shared" si="113"/>
        <v>0</v>
      </c>
      <c r="N290" s="70"/>
      <c r="O290" s="70"/>
      <c r="P290" s="70"/>
      <c r="Q290" s="62">
        <v>29109</v>
      </c>
      <c r="R290" s="62">
        <f t="shared" si="114"/>
        <v>29533</v>
      </c>
      <c r="S290" s="176"/>
      <c r="T290" s="176"/>
      <c r="U290" s="70"/>
      <c r="V290" s="70"/>
      <c r="W290" s="260"/>
      <c r="X290" s="62">
        <f t="shared" si="115"/>
        <v>1</v>
      </c>
      <c r="Y290" s="70"/>
      <c r="AA290" s="290"/>
      <c r="AB290" s="291"/>
      <c r="AC290" s="62"/>
      <c r="AD290" s="62"/>
      <c r="AE290" s="177">
        <f t="shared" si="116"/>
        <v>885990</v>
      </c>
      <c r="AF290" s="177">
        <f t="shared" si="117"/>
        <v>0</v>
      </c>
      <c r="AG290" s="70">
        <f t="shared" si="118"/>
        <v>333018401</v>
      </c>
      <c r="AH290" s="70">
        <f t="shared" si="119"/>
        <v>0</v>
      </c>
      <c r="AI290" s="587">
        <v>0</v>
      </c>
      <c r="AJ290" s="178">
        <f t="shared" si="120"/>
        <v>333018401</v>
      </c>
      <c r="AK290" s="301">
        <f t="shared" si="121"/>
        <v>89.913605803977404</v>
      </c>
      <c r="AL290" s="70">
        <f t="shared" si="122"/>
        <v>370375983</v>
      </c>
      <c r="AM290" s="179">
        <f t="shared" si="123"/>
        <v>100.00000010426642</v>
      </c>
      <c r="AN290" s="179"/>
      <c r="AO290" s="31">
        <f t="shared" si="124"/>
        <v>13822330.8238222</v>
      </c>
      <c r="AP290" s="31">
        <f t="shared" si="125"/>
        <v>13147371</v>
      </c>
      <c r="AQ290" s="31">
        <f t="shared" si="126"/>
        <v>20828485.254809201</v>
      </c>
      <c r="AR290" s="180">
        <f t="shared" si="127"/>
        <v>5.623605803977398</v>
      </c>
      <c r="AS290" s="31">
        <f t="shared" si="130"/>
        <v>12541.09</v>
      </c>
      <c r="AU290" s="31">
        <f t="shared" si="128"/>
        <v>0</v>
      </c>
      <c r="AV290" s="177"/>
      <c r="AW290" s="31">
        <f t="shared" si="129"/>
        <v>445.17560017607423</v>
      </c>
    </row>
    <row r="291" spans="1:49">
      <c r="A291" s="102">
        <v>282</v>
      </c>
      <c r="B291" s="7" t="s">
        <v>1987</v>
      </c>
      <c r="C291" s="7">
        <v>0</v>
      </c>
      <c r="D291" s="62">
        <f t="shared" si="105"/>
        <v>0</v>
      </c>
      <c r="E291" s="172">
        <f t="shared" si="106"/>
        <v>0</v>
      </c>
      <c r="F291" s="62">
        <f t="shared" si="107"/>
        <v>0</v>
      </c>
      <c r="G291" s="70">
        <f t="shared" si="108"/>
        <v>0</v>
      </c>
      <c r="H291" s="62">
        <f t="shared" si="109"/>
        <v>0</v>
      </c>
      <c r="I291" s="173">
        <f t="shared" si="110"/>
        <v>0</v>
      </c>
      <c r="J291" s="174">
        <f>ROUND(100-'Townwide Contributions'!K291,2)</f>
        <v>24.56</v>
      </c>
      <c r="K291" s="70">
        <f t="shared" si="111"/>
        <v>0</v>
      </c>
      <c r="L291" s="70">
        <f t="shared" si="112"/>
        <v>0</v>
      </c>
      <c r="M291" s="175">
        <f t="shared" si="113"/>
        <v>0</v>
      </c>
      <c r="N291" s="70"/>
      <c r="O291" s="70"/>
      <c r="P291" s="70"/>
      <c r="Q291" s="62">
        <v>0</v>
      </c>
      <c r="R291" s="62">
        <f t="shared" si="114"/>
        <v>0</v>
      </c>
      <c r="S291" s="176"/>
      <c r="T291" s="176"/>
      <c r="U291" s="70"/>
      <c r="V291" s="70"/>
      <c r="W291" s="260"/>
      <c r="X291" s="62">
        <f t="shared" si="115"/>
        <v>0</v>
      </c>
      <c r="Y291" s="70"/>
      <c r="AA291" s="290"/>
      <c r="AB291" s="291"/>
      <c r="AC291" s="62"/>
      <c r="AD291" s="62"/>
      <c r="AE291" s="177">
        <f t="shared" si="116"/>
        <v>0</v>
      </c>
      <c r="AF291" s="177">
        <f t="shared" si="117"/>
        <v>0</v>
      </c>
      <c r="AG291" s="70">
        <f t="shared" si="118"/>
        <v>0</v>
      </c>
      <c r="AH291" s="70">
        <f t="shared" si="119"/>
        <v>0</v>
      </c>
      <c r="AI291" s="587">
        <v>0</v>
      </c>
      <c r="AJ291" s="178">
        <f t="shared" si="120"/>
        <v>0</v>
      </c>
      <c r="AK291" s="301">
        <f t="shared" si="121"/>
        <v>0</v>
      </c>
      <c r="AL291" s="70">
        <f t="shared" si="122"/>
        <v>0</v>
      </c>
      <c r="AM291" s="179">
        <f t="shared" si="123"/>
        <v>0</v>
      </c>
      <c r="AN291" s="179"/>
      <c r="AO291" s="31">
        <f t="shared" si="124"/>
        <v>0</v>
      </c>
      <c r="AP291" s="31">
        <f t="shared" si="125"/>
        <v>0</v>
      </c>
      <c r="AQ291" s="31">
        <f t="shared" si="126"/>
        <v>0</v>
      </c>
      <c r="AR291" s="180" t="str">
        <f t="shared" si="127"/>
        <v/>
      </c>
      <c r="AS291" s="31">
        <f t="shared" si="130"/>
        <v>0</v>
      </c>
      <c r="AU291" s="31">
        <f t="shared" si="128"/>
        <v>0</v>
      </c>
      <c r="AV291" s="177"/>
      <c r="AW291" s="31">
        <f t="shared" si="129"/>
        <v>0</v>
      </c>
    </row>
    <row r="292" spans="1:49">
      <c r="A292" s="102">
        <v>283</v>
      </c>
      <c r="B292" s="7" t="s">
        <v>1988</v>
      </c>
      <c r="C292" s="7">
        <v>0</v>
      </c>
      <c r="D292" s="62">
        <f t="shared" si="105"/>
        <v>0</v>
      </c>
      <c r="E292" s="172">
        <f t="shared" si="106"/>
        <v>0</v>
      </c>
      <c r="F292" s="62">
        <f t="shared" si="107"/>
        <v>0</v>
      </c>
      <c r="G292" s="70">
        <f t="shared" si="108"/>
        <v>0</v>
      </c>
      <c r="H292" s="62">
        <f t="shared" si="109"/>
        <v>0</v>
      </c>
      <c r="I292" s="173">
        <f t="shared" si="110"/>
        <v>0</v>
      </c>
      <c r="J292" s="174">
        <f>ROUND(100-'Townwide Contributions'!K292,2)</f>
        <v>17.5</v>
      </c>
      <c r="K292" s="70">
        <f t="shared" si="111"/>
        <v>0</v>
      </c>
      <c r="L292" s="70">
        <f t="shared" si="112"/>
        <v>0</v>
      </c>
      <c r="M292" s="175">
        <f t="shared" si="113"/>
        <v>0</v>
      </c>
      <c r="N292" s="70"/>
      <c r="O292" s="70"/>
      <c r="P292" s="70"/>
      <c r="Q292" s="62">
        <v>0</v>
      </c>
      <c r="R292" s="62">
        <f t="shared" si="114"/>
        <v>0</v>
      </c>
      <c r="S292" s="176"/>
      <c r="T292" s="176"/>
      <c r="U292" s="70"/>
      <c r="V292" s="70"/>
      <c r="W292" s="260"/>
      <c r="X292" s="62">
        <f t="shared" si="115"/>
        <v>0</v>
      </c>
      <c r="Y292" s="70"/>
      <c r="AA292" s="290"/>
      <c r="AB292" s="291"/>
      <c r="AC292" s="62"/>
      <c r="AD292" s="62"/>
      <c r="AE292" s="177">
        <f t="shared" si="116"/>
        <v>0</v>
      </c>
      <c r="AF292" s="177">
        <f t="shared" si="117"/>
        <v>0</v>
      </c>
      <c r="AG292" s="70">
        <f t="shared" si="118"/>
        <v>0</v>
      </c>
      <c r="AH292" s="70">
        <f t="shared" si="119"/>
        <v>0</v>
      </c>
      <c r="AI292" s="587">
        <v>0</v>
      </c>
      <c r="AJ292" s="178">
        <f t="shared" si="120"/>
        <v>0</v>
      </c>
      <c r="AK292" s="301">
        <f t="shared" si="121"/>
        <v>0</v>
      </c>
      <c r="AL292" s="70">
        <f t="shared" si="122"/>
        <v>0</v>
      </c>
      <c r="AM292" s="179">
        <f t="shared" si="123"/>
        <v>0</v>
      </c>
      <c r="AN292" s="179"/>
      <c r="AO292" s="31">
        <f t="shared" si="124"/>
        <v>0</v>
      </c>
      <c r="AP292" s="31">
        <f t="shared" si="125"/>
        <v>0</v>
      </c>
      <c r="AQ292" s="31">
        <f t="shared" si="126"/>
        <v>0</v>
      </c>
      <c r="AR292" s="180" t="str">
        <f t="shared" si="127"/>
        <v/>
      </c>
      <c r="AS292" s="31">
        <f t="shared" si="130"/>
        <v>0</v>
      </c>
      <c r="AU292" s="31">
        <f t="shared" si="128"/>
        <v>0</v>
      </c>
      <c r="AV292" s="177"/>
      <c r="AW292" s="31">
        <f t="shared" si="129"/>
        <v>0</v>
      </c>
    </row>
    <row r="293" spans="1:49">
      <c r="A293" s="102">
        <v>284</v>
      </c>
      <c r="B293" s="7" t="s">
        <v>1989</v>
      </c>
      <c r="C293" s="7">
        <v>1</v>
      </c>
      <c r="D293" s="62">
        <f t="shared" si="105"/>
        <v>23858093.313949995</v>
      </c>
      <c r="E293" s="172">
        <f t="shared" si="106"/>
        <v>4059406</v>
      </c>
      <c r="F293" s="62">
        <f t="shared" si="107"/>
        <v>24538424.857372392</v>
      </c>
      <c r="G293" s="70">
        <f t="shared" si="108"/>
        <v>20290210</v>
      </c>
      <c r="H293" s="62">
        <f t="shared" si="109"/>
        <v>4248215</v>
      </c>
      <c r="I293" s="173">
        <f t="shared" si="110"/>
        <v>188809</v>
      </c>
      <c r="J293" s="174">
        <f>ROUND(100-'Townwide Contributions'!K293,2)</f>
        <v>17.5</v>
      </c>
      <c r="K293" s="70">
        <f t="shared" si="111"/>
        <v>4294224</v>
      </c>
      <c r="L293" s="70">
        <f t="shared" si="112"/>
        <v>0</v>
      </c>
      <c r="M293" s="175">
        <f t="shared" si="113"/>
        <v>0</v>
      </c>
      <c r="N293" s="70"/>
      <c r="O293" s="70"/>
      <c r="P293" s="70"/>
      <c r="Q293" s="62">
        <v>2415</v>
      </c>
      <c r="R293" s="62">
        <f t="shared" si="114"/>
        <v>2425</v>
      </c>
      <c r="S293" s="176"/>
      <c r="T293" s="176"/>
      <c r="U293" s="70"/>
      <c r="V293" s="70"/>
      <c r="W293" s="260"/>
      <c r="X293" s="62">
        <f t="shared" si="115"/>
        <v>1</v>
      </c>
      <c r="Y293" s="70"/>
      <c r="AA293" s="290"/>
      <c r="AB293" s="291"/>
      <c r="AC293" s="62"/>
      <c r="AD293" s="62"/>
      <c r="AE293" s="177">
        <f t="shared" si="116"/>
        <v>72750</v>
      </c>
      <c r="AF293" s="177">
        <f t="shared" si="117"/>
        <v>0</v>
      </c>
      <c r="AG293" s="70">
        <f t="shared" si="118"/>
        <v>4248215</v>
      </c>
      <c r="AH293" s="70">
        <f t="shared" si="119"/>
        <v>0</v>
      </c>
      <c r="AI293" s="587">
        <v>21592</v>
      </c>
      <c r="AJ293" s="178">
        <f t="shared" si="120"/>
        <v>4269807</v>
      </c>
      <c r="AK293" s="301">
        <f t="shared" si="121"/>
        <v>17.400493409083538</v>
      </c>
      <c r="AL293" s="70">
        <f t="shared" si="122"/>
        <v>24560017</v>
      </c>
      <c r="AM293" s="179">
        <f t="shared" si="123"/>
        <v>100.08799318926586</v>
      </c>
      <c r="AN293" s="179"/>
      <c r="AO293" s="31">
        <f t="shared" si="124"/>
        <v>680331.54342239723</v>
      </c>
      <c r="AP293" s="31">
        <f t="shared" si="125"/>
        <v>210401</v>
      </c>
      <c r="AQ293" s="31">
        <f t="shared" si="126"/>
        <v>-24417.350040168501</v>
      </c>
      <c r="AR293" s="180">
        <f t="shared" si="127"/>
        <v>-9.9506590916462301E-2</v>
      </c>
      <c r="AS293" s="31">
        <f t="shared" si="130"/>
        <v>10118.94</v>
      </c>
      <c r="AU293" s="31">
        <f t="shared" si="128"/>
        <v>0</v>
      </c>
      <c r="AV293" s="177"/>
      <c r="AW293" s="31">
        <f t="shared" si="129"/>
        <v>86.763298969072167</v>
      </c>
    </row>
    <row r="294" spans="1:49">
      <c r="A294" s="102">
        <v>285</v>
      </c>
      <c r="B294" s="7" t="s">
        <v>1990</v>
      </c>
      <c r="C294" s="7">
        <v>1</v>
      </c>
      <c r="D294" s="62">
        <f t="shared" si="105"/>
        <v>38325837.797450006</v>
      </c>
      <c r="E294" s="172">
        <f t="shared" si="106"/>
        <v>15330032</v>
      </c>
      <c r="F294" s="62">
        <f t="shared" si="107"/>
        <v>38830414.515473194</v>
      </c>
      <c r="G294" s="70">
        <f t="shared" si="108"/>
        <v>23973760</v>
      </c>
      <c r="H294" s="62">
        <f t="shared" si="109"/>
        <v>14856655</v>
      </c>
      <c r="I294" s="173">
        <f t="shared" si="110"/>
        <v>0</v>
      </c>
      <c r="J294" s="174">
        <f>ROUND(100-'Townwide Contributions'!K294,2)</f>
        <v>38.35</v>
      </c>
      <c r="K294" s="70">
        <f t="shared" si="111"/>
        <v>14891464</v>
      </c>
      <c r="L294" s="70">
        <f t="shared" si="112"/>
        <v>0</v>
      </c>
      <c r="M294" s="175">
        <f t="shared" si="113"/>
        <v>0</v>
      </c>
      <c r="N294" s="70"/>
      <c r="O294" s="70"/>
      <c r="P294" s="70"/>
      <c r="Q294" s="62">
        <v>3684</v>
      </c>
      <c r="R294" s="62">
        <f t="shared" si="114"/>
        <v>3651</v>
      </c>
      <c r="S294" s="176"/>
      <c r="T294" s="176"/>
      <c r="U294" s="70"/>
      <c r="V294" s="70"/>
      <c r="W294" s="260"/>
      <c r="X294" s="62">
        <f t="shared" si="115"/>
        <v>0</v>
      </c>
      <c r="Y294" s="70"/>
      <c r="AA294" s="290"/>
      <c r="AB294" s="291"/>
      <c r="AC294" s="62"/>
      <c r="AD294" s="62"/>
      <c r="AE294" s="177">
        <f t="shared" si="116"/>
        <v>109530</v>
      </c>
      <c r="AF294" s="177">
        <f t="shared" si="117"/>
        <v>109530</v>
      </c>
      <c r="AG294" s="70">
        <f t="shared" si="118"/>
        <v>15439562</v>
      </c>
      <c r="AH294" s="70">
        <f t="shared" si="119"/>
        <v>0</v>
      </c>
      <c r="AI294" s="587">
        <v>0</v>
      </c>
      <c r="AJ294" s="178">
        <f t="shared" si="120"/>
        <v>15439562</v>
      </c>
      <c r="AK294" s="301">
        <f t="shared" si="121"/>
        <v>39.761517338033109</v>
      </c>
      <c r="AL294" s="70">
        <f t="shared" si="122"/>
        <v>39413322</v>
      </c>
      <c r="AM294" s="179">
        <f t="shared" si="123"/>
        <v>101.50116214776571</v>
      </c>
      <c r="AN294" s="179"/>
      <c r="AO294" s="31">
        <f t="shared" si="124"/>
        <v>504576.71802318841</v>
      </c>
      <c r="AP294" s="31">
        <f t="shared" si="125"/>
        <v>109530</v>
      </c>
      <c r="AQ294" s="31">
        <f t="shared" si="126"/>
        <v>548098.03331602924</v>
      </c>
      <c r="AR294" s="180">
        <f t="shared" si="127"/>
        <v>1.4115173380331072</v>
      </c>
      <c r="AS294" s="31">
        <f t="shared" si="130"/>
        <v>10635.56</v>
      </c>
      <c r="AU294" s="31">
        <f t="shared" si="128"/>
        <v>0</v>
      </c>
      <c r="AV294" s="177"/>
      <c r="AW294" s="31">
        <f t="shared" si="129"/>
        <v>30</v>
      </c>
    </row>
    <row r="295" spans="1:49">
      <c r="A295" s="102">
        <v>286</v>
      </c>
      <c r="B295" s="7" t="s">
        <v>1991</v>
      </c>
      <c r="C295" s="7">
        <v>0</v>
      </c>
      <c r="D295" s="62">
        <f t="shared" si="105"/>
        <v>13669.092180000001</v>
      </c>
      <c r="E295" s="172">
        <f t="shared" si="106"/>
        <v>2257</v>
      </c>
      <c r="F295" s="62">
        <f t="shared" si="107"/>
        <v>27906.769627179092</v>
      </c>
      <c r="G295" s="70">
        <f t="shared" si="108"/>
        <v>23174</v>
      </c>
      <c r="H295" s="62">
        <f t="shared" si="109"/>
        <v>4733</v>
      </c>
      <c r="I295" s="173">
        <f t="shared" si="110"/>
        <v>2476</v>
      </c>
      <c r="J295" s="174">
        <f>ROUND(100-'Townwide Contributions'!K295,2)</f>
        <v>17.5</v>
      </c>
      <c r="K295" s="70">
        <f t="shared" si="111"/>
        <v>4884</v>
      </c>
      <c r="L295" s="70">
        <f t="shared" si="112"/>
        <v>0</v>
      </c>
      <c r="M295" s="175">
        <f t="shared" si="113"/>
        <v>0</v>
      </c>
      <c r="N295" s="70"/>
      <c r="O295" s="70"/>
      <c r="P295" s="70"/>
      <c r="Q295" s="62">
        <v>1</v>
      </c>
      <c r="R295" s="62">
        <f t="shared" si="114"/>
        <v>2</v>
      </c>
      <c r="S295" s="176"/>
      <c r="T295" s="176"/>
      <c r="U295" s="70"/>
      <c r="V295" s="70"/>
      <c r="W295" s="260"/>
      <c r="X295" s="62">
        <f t="shared" si="115"/>
        <v>0</v>
      </c>
      <c r="Y295" s="70"/>
      <c r="AA295" s="290"/>
      <c r="AB295" s="291"/>
      <c r="AC295" s="62"/>
      <c r="AD295" s="62"/>
      <c r="AE295" s="177">
        <f t="shared" si="116"/>
        <v>0</v>
      </c>
      <c r="AF295" s="177">
        <f t="shared" si="117"/>
        <v>0</v>
      </c>
      <c r="AG295" s="70">
        <f t="shared" si="118"/>
        <v>4733</v>
      </c>
      <c r="AH295" s="70">
        <f t="shared" si="119"/>
        <v>0</v>
      </c>
      <c r="AI295" s="587">
        <v>0</v>
      </c>
      <c r="AJ295" s="178">
        <f t="shared" si="120"/>
        <v>4733</v>
      </c>
      <c r="AK295" s="301">
        <f t="shared" si="121"/>
        <v>0</v>
      </c>
      <c r="AL295" s="70">
        <f t="shared" si="122"/>
        <v>27907</v>
      </c>
      <c r="AM295" s="179">
        <f t="shared" si="123"/>
        <v>100.00082550873492</v>
      </c>
      <c r="AN295" s="179"/>
      <c r="AO295" s="31">
        <f t="shared" si="124"/>
        <v>14237.67744717909</v>
      </c>
      <c r="AP295" s="31">
        <f t="shared" si="125"/>
        <v>2476</v>
      </c>
      <c r="AQ295" s="31">
        <f t="shared" si="126"/>
        <v>-150.68468475634108</v>
      </c>
      <c r="AR295" s="180" t="str">
        <f t="shared" si="127"/>
        <v/>
      </c>
      <c r="AS295" s="31">
        <f t="shared" si="130"/>
        <v>13953.38</v>
      </c>
      <c r="AU295" s="31">
        <f t="shared" si="128"/>
        <v>0</v>
      </c>
      <c r="AV295" s="177"/>
      <c r="AW295" s="31">
        <f t="shared" si="129"/>
        <v>1238</v>
      </c>
    </row>
    <row r="296" spans="1:49">
      <c r="A296" s="102">
        <v>287</v>
      </c>
      <c r="B296" s="7" t="s">
        <v>1992</v>
      </c>
      <c r="C296" s="7">
        <v>1</v>
      </c>
      <c r="D296" s="62">
        <f t="shared" si="105"/>
        <v>8568351.209999999</v>
      </c>
      <c r="E296" s="172">
        <f t="shared" si="106"/>
        <v>3769084</v>
      </c>
      <c r="F296" s="62">
        <f t="shared" si="107"/>
        <v>8170415.9676968697</v>
      </c>
      <c r="G296" s="70">
        <f t="shared" si="108"/>
        <v>4697967</v>
      </c>
      <c r="H296" s="62">
        <f t="shared" si="109"/>
        <v>3472449</v>
      </c>
      <c r="I296" s="173">
        <f t="shared" si="110"/>
        <v>0</v>
      </c>
      <c r="J296" s="174">
        <f>ROUND(100-'Townwide Contributions'!K296,2)</f>
        <v>42.73</v>
      </c>
      <c r="K296" s="70">
        <f t="shared" si="111"/>
        <v>3491219</v>
      </c>
      <c r="L296" s="70">
        <f t="shared" si="112"/>
        <v>0</v>
      </c>
      <c r="M296" s="175">
        <f t="shared" si="113"/>
        <v>0</v>
      </c>
      <c r="N296" s="70"/>
      <c r="O296" s="70"/>
      <c r="P296" s="70"/>
      <c r="Q296" s="62">
        <v>933</v>
      </c>
      <c r="R296" s="62">
        <f t="shared" si="114"/>
        <v>871</v>
      </c>
      <c r="S296" s="176"/>
      <c r="T296" s="176"/>
      <c r="U296" s="70"/>
      <c r="V296" s="70"/>
      <c r="W296" s="260"/>
      <c r="X296" s="62">
        <f t="shared" si="115"/>
        <v>0</v>
      </c>
      <c r="Y296" s="70"/>
      <c r="AA296" s="290"/>
      <c r="AB296" s="291"/>
      <c r="AC296" s="62"/>
      <c r="AD296" s="62"/>
      <c r="AE296" s="177">
        <f t="shared" si="116"/>
        <v>26130</v>
      </c>
      <c r="AF296" s="177">
        <f t="shared" si="117"/>
        <v>26130</v>
      </c>
      <c r="AG296" s="70">
        <f t="shared" si="118"/>
        <v>3795214</v>
      </c>
      <c r="AH296" s="70">
        <f t="shared" si="119"/>
        <v>0</v>
      </c>
      <c r="AI296" s="587">
        <v>0</v>
      </c>
      <c r="AJ296" s="178">
        <f t="shared" si="120"/>
        <v>3795214</v>
      </c>
      <c r="AK296" s="301">
        <f t="shared" si="121"/>
        <v>46.45068274375533</v>
      </c>
      <c r="AL296" s="70">
        <f t="shared" si="122"/>
        <v>8493181</v>
      </c>
      <c r="AM296" s="179">
        <f t="shared" si="123"/>
        <v>103.95041125909913</v>
      </c>
      <c r="AN296" s="179"/>
      <c r="AO296" s="31">
        <f t="shared" si="124"/>
        <v>-397935.24230312929</v>
      </c>
      <c r="AP296" s="31">
        <f t="shared" si="125"/>
        <v>26130</v>
      </c>
      <c r="AQ296" s="31">
        <f t="shared" si="126"/>
        <v>303995.25700312806</v>
      </c>
      <c r="AR296" s="180">
        <f t="shared" si="127"/>
        <v>3.7206827437553329</v>
      </c>
      <c r="AS296" s="31">
        <f t="shared" si="130"/>
        <v>9380.5</v>
      </c>
      <c r="AU296" s="31">
        <f t="shared" si="128"/>
        <v>0</v>
      </c>
      <c r="AV296" s="177"/>
      <c r="AW296" s="31">
        <f t="shared" si="129"/>
        <v>30</v>
      </c>
    </row>
    <row r="297" spans="1:49">
      <c r="A297" s="102">
        <v>288</v>
      </c>
      <c r="B297" s="7" t="s">
        <v>1993</v>
      </c>
      <c r="C297" s="7">
        <v>1</v>
      </c>
      <c r="D297" s="62">
        <f t="shared" si="105"/>
        <v>25153175.96328</v>
      </c>
      <c r="E297" s="172">
        <f t="shared" si="106"/>
        <v>4745538</v>
      </c>
      <c r="F297" s="62">
        <f t="shared" si="107"/>
        <v>25474395.707632355</v>
      </c>
      <c r="G297" s="70">
        <f t="shared" si="108"/>
        <v>21173624</v>
      </c>
      <c r="H297" s="62">
        <f t="shared" si="109"/>
        <v>4300772</v>
      </c>
      <c r="I297" s="173">
        <f t="shared" si="110"/>
        <v>0</v>
      </c>
      <c r="J297" s="174">
        <f>ROUND(100-'Townwide Contributions'!K297,2)</f>
        <v>17.5</v>
      </c>
      <c r="K297" s="70">
        <f t="shared" si="111"/>
        <v>4458019</v>
      </c>
      <c r="L297" s="70">
        <f t="shared" si="112"/>
        <v>0</v>
      </c>
      <c r="M297" s="175">
        <f t="shared" si="113"/>
        <v>0</v>
      </c>
      <c r="N297" s="70"/>
      <c r="O297" s="70"/>
      <c r="P297" s="70"/>
      <c r="Q297" s="62">
        <v>2803</v>
      </c>
      <c r="R297" s="62">
        <f t="shared" si="114"/>
        <v>2788</v>
      </c>
      <c r="S297" s="176"/>
      <c r="T297" s="176"/>
      <c r="U297" s="70"/>
      <c r="V297" s="70"/>
      <c r="W297" s="260"/>
      <c r="X297" s="62">
        <f t="shared" si="115"/>
        <v>0</v>
      </c>
      <c r="Y297" s="70"/>
      <c r="AA297" s="290"/>
      <c r="AB297" s="291"/>
      <c r="AC297" s="62"/>
      <c r="AD297" s="62"/>
      <c r="AE297" s="177">
        <f t="shared" si="116"/>
        <v>83640</v>
      </c>
      <c r="AF297" s="177">
        <f t="shared" si="117"/>
        <v>83640</v>
      </c>
      <c r="AG297" s="70">
        <f t="shared" si="118"/>
        <v>4829178</v>
      </c>
      <c r="AH297" s="70">
        <f t="shared" si="119"/>
        <v>0</v>
      </c>
      <c r="AI297" s="587">
        <v>0</v>
      </c>
      <c r="AJ297" s="178">
        <f t="shared" si="120"/>
        <v>4829178</v>
      </c>
      <c r="AK297" s="301">
        <f t="shared" si="121"/>
        <v>18.956987460759024</v>
      </c>
      <c r="AL297" s="70">
        <f t="shared" si="122"/>
        <v>26002802</v>
      </c>
      <c r="AM297" s="179">
        <f t="shared" si="123"/>
        <v>102.07426428650996</v>
      </c>
      <c r="AN297" s="179"/>
      <c r="AO297" s="31">
        <f t="shared" si="124"/>
        <v>321219.7443523556</v>
      </c>
      <c r="AP297" s="31">
        <f t="shared" si="125"/>
        <v>83640</v>
      </c>
      <c r="AQ297" s="31">
        <f t="shared" si="126"/>
        <v>371158.75116433855</v>
      </c>
      <c r="AR297" s="180">
        <f t="shared" si="127"/>
        <v>1.4569874607590236</v>
      </c>
      <c r="AS297" s="31">
        <f t="shared" si="130"/>
        <v>9137.16</v>
      </c>
      <c r="AU297" s="31">
        <f t="shared" si="128"/>
        <v>0</v>
      </c>
      <c r="AV297" s="177"/>
      <c r="AW297" s="31">
        <f t="shared" si="129"/>
        <v>30</v>
      </c>
    </row>
    <row r="298" spans="1:49">
      <c r="A298" s="102">
        <v>289</v>
      </c>
      <c r="B298" s="7" t="s">
        <v>1994</v>
      </c>
      <c r="C298" s="7">
        <v>1</v>
      </c>
      <c r="D298" s="62">
        <f t="shared" si="105"/>
        <v>1863761.3099999998</v>
      </c>
      <c r="E298" s="172">
        <f t="shared" si="106"/>
        <v>855618</v>
      </c>
      <c r="F298" s="62">
        <f t="shared" si="107"/>
        <v>2030461.9982605327</v>
      </c>
      <c r="G298" s="70">
        <f t="shared" si="108"/>
        <v>1547169</v>
      </c>
      <c r="H298" s="62">
        <f t="shared" si="109"/>
        <v>483293</v>
      </c>
      <c r="I298" s="173">
        <f t="shared" si="110"/>
        <v>0</v>
      </c>
      <c r="J298" s="174">
        <f>ROUND(100-'Townwide Contributions'!K298,2)</f>
        <v>24.49</v>
      </c>
      <c r="K298" s="70">
        <f t="shared" si="111"/>
        <v>497260</v>
      </c>
      <c r="L298" s="70">
        <f t="shared" si="112"/>
        <v>0</v>
      </c>
      <c r="M298" s="175">
        <f t="shared" si="113"/>
        <v>0</v>
      </c>
      <c r="N298" s="70"/>
      <c r="O298" s="70"/>
      <c r="P298" s="70"/>
      <c r="Q298" s="62">
        <v>181</v>
      </c>
      <c r="R298" s="62">
        <f t="shared" si="114"/>
        <v>197</v>
      </c>
      <c r="S298" s="176"/>
      <c r="T298" s="176"/>
      <c r="U298" s="70"/>
      <c r="V298" s="70"/>
      <c r="W298" s="260"/>
      <c r="X298" s="62">
        <f t="shared" si="115"/>
        <v>0</v>
      </c>
      <c r="Y298" s="70"/>
      <c r="AA298" s="290"/>
      <c r="AB298" s="291"/>
      <c r="AC298" s="62"/>
      <c r="AD298" s="62"/>
      <c r="AE298" s="177">
        <f t="shared" si="116"/>
        <v>5910</v>
      </c>
      <c r="AF298" s="177">
        <f t="shared" si="117"/>
        <v>5910</v>
      </c>
      <c r="AG298" s="70">
        <f t="shared" si="118"/>
        <v>861528</v>
      </c>
      <c r="AH298" s="70">
        <f t="shared" si="119"/>
        <v>0</v>
      </c>
      <c r="AI298" s="587">
        <v>0</v>
      </c>
      <c r="AJ298" s="178">
        <f t="shared" si="120"/>
        <v>861528</v>
      </c>
      <c r="AK298" s="301">
        <f t="shared" si="121"/>
        <v>42.430146475928069</v>
      </c>
      <c r="AL298" s="70">
        <f t="shared" si="122"/>
        <v>2408697</v>
      </c>
      <c r="AM298" s="179">
        <f t="shared" si="123"/>
        <v>118.62802662957965</v>
      </c>
      <c r="AN298" s="179"/>
      <c r="AO298" s="31">
        <f t="shared" si="124"/>
        <v>166700.68826053292</v>
      </c>
      <c r="AP298" s="31">
        <f t="shared" si="125"/>
        <v>5910</v>
      </c>
      <c r="AQ298" s="31">
        <f t="shared" si="126"/>
        <v>364267.8566259956</v>
      </c>
      <c r="AR298" s="180">
        <f t="shared" si="127"/>
        <v>17.940146475928071</v>
      </c>
      <c r="AS298" s="31">
        <f t="shared" si="130"/>
        <v>10306.91</v>
      </c>
      <c r="AU298" s="31">
        <f t="shared" si="128"/>
        <v>0</v>
      </c>
      <c r="AV298" s="177"/>
      <c r="AW298" s="31">
        <f t="shared" si="129"/>
        <v>30</v>
      </c>
    </row>
    <row r="299" spans="1:49">
      <c r="A299" s="102">
        <v>290</v>
      </c>
      <c r="B299" s="7" t="s">
        <v>1995</v>
      </c>
      <c r="C299" s="7">
        <v>1</v>
      </c>
      <c r="D299" s="62">
        <f t="shared" si="105"/>
        <v>13322264.810000002</v>
      </c>
      <c r="E299" s="172">
        <f t="shared" si="106"/>
        <v>5355735</v>
      </c>
      <c r="F299" s="62">
        <f t="shared" si="107"/>
        <v>13414412.031556375</v>
      </c>
      <c r="G299" s="70">
        <f t="shared" si="108"/>
        <v>9713548</v>
      </c>
      <c r="H299" s="62">
        <f t="shared" si="109"/>
        <v>3700864</v>
      </c>
      <c r="I299" s="173">
        <f t="shared" si="110"/>
        <v>0</v>
      </c>
      <c r="J299" s="174">
        <f>ROUND(100-'Townwide Contributions'!K299,2)</f>
        <v>28.22</v>
      </c>
      <c r="K299" s="70">
        <f t="shared" si="111"/>
        <v>3785547</v>
      </c>
      <c r="L299" s="70">
        <f t="shared" si="112"/>
        <v>0</v>
      </c>
      <c r="M299" s="175">
        <f t="shared" si="113"/>
        <v>0</v>
      </c>
      <c r="N299" s="70"/>
      <c r="O299" s="70"/>
      <c r="P299" s="70"/>
      <c r="Q299" s="62">
        <v>1441</v>
      </c>
      <c r="R299" s="62">
        <f t="shared" si="114"/>
        <v>1422</v>
      </c>
      <c r="S299" s="176"/>
      <c r="T299" s="176"/>
      <c r="U299" s="70"/>
      <c r="V299" s="70"/>
      <c r="W299" s="260"/>
      <c r="X299" s="62">
        <f t="shared" si="115"/>
        <v>0</v>
      </c>
      <c r="Y299" s="70"/>
      <c r="AA299" s="290"/>
      <c r="AB299" s="291"/>
      <c r="AC299" s="62"/>
      <c r="AD299" s="62"/>
      <c r="AE299" s="177">
        <f t="shared" si="116"/>
        <v>42660</v>
      </c>
      <c r="AF299" s="177">
        <f t="shared" si="117"/>
        <v>42660</v>
      </c>
      <c r="AG299" s="70">
        <f t="shared" si="118"/>
        <v>5398395</v>
      </c>
      <c r="AH299" s="70">
        <f t="shared" si="119"/>
        <v>0</v>
      </c>
      <c r="AI299" s="587">
        <v>0</v>
      </c>
      <c r="AJ299" s="178">
        <f t="shared" si="120"/>
        <v>5398395</v>
      </c>
      <c r="AK299" s="301">
        <f t="shared" si="121"/>
        <v>40.243247242597661</v>
      </c>
      <c r="AL299" s="70">
        <f t="shared" si="122"/>
        <v>15111943</v>
      </c>
      <c r="AM299" s="179">
        <f t="shared" si="123"/>
        <v>112.65453129403147</v>
      </c>
      <c r="AN299" s="179"/>
      <c r="AO299" s="31">
        <f t="shared" si="124"/>
        <v>92147.221556372941</v>
      </c>
      <c r="AP299" s="31">
        <f t="shared" si="125"/>
        <v>42660</v>
      </c>
      <c r="AQ299" s="31">
        <f t="shared" si="126"/>
        <v>1612847.924694791</v>
      </c>
      <c r="AR299" s="180">
        <f t="shared" si="127"/>
        <v>12.023247242597662</v>
      </c>
      <c r="AS299" s="31">
        <f t="shared" si="130"/>
        <v>9433.48</v>
      </c>
      <c r="AU299" s="31">
        <f t="shared" si="128"/>
        <v>0</v>
      </c>
      <c r="AV299" s="177"/>
      <c r="AW299" s="31">
        <f t="shared" si="129"/>
        <v>30</v>
      </c>
    </row>
    <row r="300" spans="1:49">
      <c r="A300" s="102">
        <v>291</v>
      </c>
      <c r="B300" s="7" t="s">
        <v>1996</v>
      </c>
      <c r="C300" s="7">
        <v>1</v>
      </c>
      <c r="D300" s="62">
        <f t="shared" si="105"/>
        <v>20368467.029999997</v>
      </c>
      <c r="E300" s="172">
        <f t="shared" si="106"/>
        <v>3392987</v>
      </c>
      <c r="F300" s="62">
        <f t="shared" si="107"/>
        <v>20655963.815009337</v>
      </c>
      <c r="G300" s="70">
        <f t="shared" si="108"/>
        <v>17159833</v>
      </c>
      <c r="H300" s="62">
        <f t="shared" si="109"/>
        <v>3496131</v>
      </c>
      <c r="I300" s="173">
        <f t="shared" si="110"/>
        <v>103144</v>
      </c>
      <c r="J300" s="174">
        <f>ROUND(100-'Townwide Contributions'!K300,2)</f>
        <v>17.5</v>
      </c>
      <c r="K300" s="70">
        <f t="shared" si="111"/>
        <v>3614794</v>
      </c>
      <c r="L300" s="70">
        <f t="shared" si="112"/>
        <v>0</v>
      </c>
      <c r="M300" s="175">
        <f t="shared" si="113"/>
        <v>0</v>
      </c>
      <c r="N300" s="70"/>
      <c r="O300" s="70"/>
      <c r="P300" s="70"/>
      <c r="Q300" s="62">
        <v>2134</v>
      </c>
      <c r="R300" s="62">
        <f t="shared" si="114"/>
        <v>2119</v>
      </c>
      <c r="S300" s="176"/>
      <c r="T300" s="176"/>
      <c r="U300" s="70"/>
      <c r="V300" s="70"/>
      <c r="W300" s="260"/>
      <c r="X300" s="62">
        <f t="shared" si="115"/>
        <v>1</v>
      </c>
      <c r="Y300" s="70"/>
      <c r="AA300" s="290"/>
      <c r="AB300" s="291"/>
      <c r="AC300" s="62"/>
      <c r="AD300" s="62"/>
      <c r="AE300" s="177">
        <f t="shared" si="116"/>
        <v>63570</v>
      </c>
      <c r="AF300" s="177">
        <f t="shared" si="117"/>
        <v>0</v>
      </c>
      <c r="AG300" s="70">
        <f t="shared" si="118"/>
        <v>3496131</v>
      </c>
      <c r="AH300" s="70">
        <f t="shared" si="119"/>
        <v>0</v>
      </c>
      <c r="AI300" s="587">
        <v>0</v>
      </c>
      <c r="AJ300" s="178">
        <f t="shared" si="120"/>
        <v>3496131</v>
      </c>
      <c r="AK300" s="301">
        <f t="shared" si="121"/>
        <v>16.925528294446327</v>
      </c>
      <c r="AL300" s="70">
        <f t="shared" si="122"/>
        <v>20655964</v>
      </c>
      <c r="AM300" s="179">
        <f t="shared" si="123"/>
        <v>100.00000089557992</v>
      </c>
      <c r="AN300" s="179"/>
      <c r="AO300" s="31">
        <f t="shared" si="124"/>
        <v>287496.78500933945</v>
      </c>
      <c r="AP300" s="31">
        <f t="shared" si="125"/>
        <v>103144</v>
      </c>
      <c r="AQ300" s="31">
        <f t="shared" si="126"/>
        <v>-118662.66762663377</v>
      </c>
      <c r="AR300" s="180">
        <f t="shared" si="127"/>
        <v>-0.57447170555367322</v>
      </c>
      <c r="AS300" s="31">
        <f t="shared" si="130"/>
        <v>9747.98</v>
      </c>
      <c r="AU300" s="31">
        <f t="shared" si="128"/>
        <v>0</v>
      </c>
      <c r="AV300" s="177"/>
      <c r="AW300" s="31">
        <f t="shared" si="129"/>
        <v>48.675790467201509</v>
      </c>
    </row>
    <row r="301" spans="1:49">
      <c r="A301" s="102">
        <v>292</v>
      </c>
      <c r="B301" s="7" t="s">
        <v>1997</v>
      </c>
      <c r="C301" s="7">
        <v>1</v>
      </c>
      <c r="D301" s="62">
        <f t="shared" si="105"/>
        <v>19920849.289999999</v>
      </c>
      <c r="E301" s="172">
        <f t="shared" si="106"/>
        <v>7327857</v>
      </c>
      <c r="F301" s="62">
        <f t="shared" si="107"/>
        <v>20221515.14252951</v>
      </c>
      <c r="G301" s="70">
        <f t="shared" si="108"/>
        <v>12930499</v>
      </c>
      <c r="H301" s="62">
        <f t="shared" si="109"/>
        <v>7291016</v>
      </c>
      <c r="I301" s="173">
        <f t="shared" si="110"/>
        <v>0</v>
      </c>
      <c r="J301" s="174">
        <f>ROUND(100-'Townwide Contributions'!K301,2)</f>
        <v>36.270000000000003</v>
      </c>
      <c r="K301" s="70">
        <f t="shared" si="111"/>
        <v>7334344</v>
      </c>
      <c r="L301" s="70">
        <f t="shared" si="112"/>
        <v>0</v>
      </c>
      <c r="M301" s="175">
        <f t="shared" si="113"/>
        <v>0</v>
      </c>
      <c r="N301" s="70"/>
      <c r="O301" s="70"/>
      <c r="P301" s="70"/>
      <c r="Q301" s="62">
        <v>2035</v>
      </c>
      <c r="R301" s="62">
        <f t="shared" si="114"/>
        <v>2049</v>
      </c>
      <c r="S301" s="176"/>
      <c r="T301" s="176"/>
      <c r="U301" s="70"/>
      <c r="V301" s="70"/>
      <c r="W301" s="260"/>
      <c r="X301" s="62">
        <f t="shared" si="115"/>
        <v>0</v>
      </c>
      <c r="Y301" s="70"/>
      <c r="AA301" s="290"/>
      <c r="AB301" s="291"/>
      <c r="AC301" s="62"/>
      <c r="AD301" s="62"/>
      <c r="AE301" s="177">
        <f t="shared" si="116"/>
        <v>61470</v>
      </c>
      <c r="AF301" s="177">
        <f t="shared" si="117"/>
        <v>61470</v>
      </c>
      <c r="AG301" s="70">
        <f t="shared" si="118"/>
        <v>7389327</v>
      </c>
      <c r="AH301" s="70">
        <f t="shared" si="119"/>
        <v>0</v>
      </c>
      <c r="AI301" s="587">
        <v>327537</v>
      </c>
      <c r="AJ301" s="178">
        <f t="shared" si="120"/>
        <v>7716864</v>
      </c>
      <c r="AK301" s="301">
        <f t="shared" si="121"/>
        <v>38.161650823928802</v>
      </c>
      <c r="AL301" s="70">
        <f t="shared" si="122"/>
        <v>20647363</v>
      </c>
      <c r="AM301" s="179">
        <f t="shared" si="123"/>
        <v>102.10591468774194</v>
      </c>
      <c r="AN301" s="179"/>
      <c r="AO301" s="31">
        <f t="shared" si="124"/>
        <v>300665.85252951086</v>
      </c>
      <c r="AP301" s="31">
        <f t="shared" si="125"/>
        <v>389007</v>
      </c>
      <c r="AQ301" s="31">
        <f t="shared" si="126"/>
        <v>382520.45780454669</v>
      </c>
      <c r="AR301" s="180">
        <f t="shared" si="127"/>
        <v>1.8916508239287992</v>
      </c>
      <c r="AS301" s="31">
        <f t="shared" si="130"/>
        <v>9868.9699999999993</v>
      </c>
      <c r="AU301" s="31">
        <f t="shared" si="128"/>
        <v>0</v>
      </c>
      <c r="AV301" s="177"/>
      <c r="AW301" s="31">
        <f t="shared" si="129"/>
        <v>189.85212298682285</v>
      </c>
    </row>
    <row r="302" spans="1:49">
      <c r="A302" s="102">
        <v>293</v>
      </c>
      <c r="B302" s="7" t="s">
        <v>1998</v>
      </c>
      <c r="C302" s="7">
        <v>1</v>
      </c>
      <c r="D302" s="62">
        <f t="shared" si="105"/>
        <v>89152710</v>
      </c>
      <c r="E302" s="172">
        <f t="shared" si="106"/>
        <v>55809496</v>
      </c>
      <c r="F302" s="62">
        <f>SUMIF(dist1755,A302,found1755)</f>
        <v>91224275.812842891</v>
      </c>
      <c r="G302" s="70">
        <f t="shared" si="108"/>
        <v>33052858</v>
      </c>
      <c r="H302" s="62">
        <f t="shared" si="109"/>
        <v>58171418</v>
      </c>
      <c r="I302" s="173">
        <f t="shared" si="110"/>
        <v>2361922</v>
      </c>
      <c r="J302" s="174">
        <f>ROUND(100-'Townwide Contributions'!K302,2)</f>
        <v>64.12</v>
      </c>
      <c r="K302" s="70">
        <f t="shared" si="111"/>
        <v>58493006</v>
      </c>
      <c r="L302" s="70">
        <f t="shared" si="112"/>
        <v>0</v>
      </c>
      <c r="M302" s="175">
        <f t="shared" si="113"/>
        <v>0</v>
      </c>
      <c r="N302" s="70"/>
      <c r="O302" s="70"/>
      <c r="P302" s="70"/>
      <c r="Q302" s="62">
        <v>8061</v>
      </c>
      <c r="R302" s="62">
        <f t="shared" si="114"/>
        <v>8012</v>
      </c>
      <c r="S302" s="176"/>
      <c r="T302" s="176"/>
      <c r="U302" s="70"/>
      <c r="V302" s="70"/>
      <c r="W302" s="260"/>
      <c r="X302" s="62">
        <f t="shared" si="115"/>
        <v>1</v>
      </c>
      <c r="Y302" s="70"/>
      <c r="AA302" s="290"/>
      <c r="AB302" s="291"/>
      <c r="AC302" s="62"/>
      <c r="AD302" s="62"/>
      <c r="AE302" s="177">
        <f t="shared" si="116"/>
        <v>240360</v>
      </c>
      <c r="AF302" s="177">
        <f t="shared" si="117"/>
        <v>0</v>
      </c>
      <c r="AG302" s="70">
        <f t="shared" si="118"/>
        <v>58171418</v>
      </c>
      <c r="AH302" s="70">
        <f t="shared" si="119"/>
        <v>0</v>
      </c>
      <c r="AI302" s="587">
        <v>0</v>
      </c>
      <c r="AJ302" s="178">
        <f t="shared" si="120"/>
        <v>58171418</v>
      </c>
      <c r="AK302" s="301">
        <f t="shared" si="121"/>
        <v>63.767475797062353</v>
      </c>
      <c r="AL302" s="70">
        <f t="shared" si="122"/>
        <v>91224276</v>
      </c>
      <c r="AM302" s="179">
        <f t="shared" si="123"/>
        <v>100.00000020516151</v>
      </c>
      <c r="AN302" s="179"/>
      <c r="AO302" s="31">
        <f t="shared" si="124"/>
        <v>2071565.8128428906</v>
      </c>
      <c r="AP302" s="31">
        <f t="shared" si="125"/>
        <v>2361922</v>
      </c>
      <c r="AQ302" s="31">
        <f t="shared" si="126"/>
        <v>-321587.65119486302</v>
      </c>
      <c r="AR302" s="180">
        <f t="shared" si="127"/>
        <v>-0.35252420293765141</v>
      </c>
      <c r="AS302" s="31">
        <f t="shared" si="130"/>
        <v>11385.96</v>
      </c>
      <c r="AU302" s="31">
        <f t="shared" si="128"/>
        <v>0</v>
      </c>
      <c r="AV302" s="177"/>
      <c r="AW302" s="31">
        <f t="shared" si="129"/>
        <v>294.79805292061906</v>
      </c>
    </row>
    <row r="303" spans="1:49">
      <c r="A303" s="102">
        <v>294</v>
      </c>
      <c r="B303" s="7" t="s">
        <v>1999</v>
      </c>
      <c r="C303" s="7">
        <v>0</v>
      </c>
      <c r="D303" s="62">
        <f t="shared" si="105"/>
        <v>13170.920000000002</v>
      </c>
      <c r="E303" s="172">
        <f t="shared" si="106"/>
        <v>8256</v>
      </c>
      <c r="F303" s="62">
        <f t="shared" si="107"/>
        <v>13416.833343589547</v>
      </c>
      <c r="G303" s="70">
        <f t="shared" si="108"/>
        <v>5085</v>
      </c>
      <c r="H303" s="62">
        <f t="shared" si="109"/>
        <v>8332</v>
      </c>
      <c r="I303" s="173">
        <f t="shared" si="110"/>
        <v>76</v>
      </c>
      <c r="J303" s="174">
        <f>ROUND(100-'Townwide Contributions'!K303,2)</f>
        <v>61.8</v>
      </c>
      <c r="K303" s="70">
        <f t="shared" si="111"/>
        <v>8292</v>
      </c>
      <c r="L303" s="70">
        <f t="shared" si="112"/>
        <v>0</v>
      </c>
      <c r="M303" s="175">
        <f t="shared" si="113"/>
        <v>0</v>
      </c>
      <c r="N303" s="70"/>
      <c r="O303" s="70"/>
      <c r="P303" s="70"/>
      <c r="Q303" s="62">
        <v>1</v>
      </c>
      <c r="R303" s="62">
        <f t="shared" si="114"/>
        <v>1</v>
      </c>
      <c r="S303" s="176"/>
      <c r="T303" s="176"/>
      <c r="U303" s="70"/>
      <c r="V303" s="70"/>
      <c r="W303" s="260"/>
      <c r="X303" s="62">
        <f t="shared" si="115"/>
        <v>0</v>
      </c>
      <c r="Y303" s="70"/>
      <c r="AA303" s="290"/>
      <c r="AB303" s="291"/>
      <c r="AC303" s="62"/>
      <c r="AD303" s="62"/>
      <c r="AE303" s="177">
        <f t="shared" si="116"/>
        <v>0</v>
      </c>
      <c r="AF303" s="177">
        <f t="shared" si="117"/>
        <v>0</v>
      </c>
      <c r="AG303" s="70">
        <f t="shared" si="118"/>
        <v>8332</v>
      </c>
      <c r="AH303" s="70">
        <f t="shared" si="119"/>
        <v>0</v>
      </c>
      <c r="AI303" s="587">
        <v>0</v>
      </c>
      <c r="AJ303" s="178">
        <f t="shared" si="120"/>
        <v>8332</v>
      </c>
      <c r="AK303" s="301">
        <f t="shared" si="121"/>
        <v>0</v>
      </c>
      <c r="AL303" s="70">
        <f t="shared" si="122"/>
        <v>13417</v>
      </c>
      <c r="AM303" s="179">
        <f t="shared" si="123"/>
        <v>100.0012421441497</v>
      </c>
      <c r="AN303" s="179"/>
      <c r="AO303" s="31">
        <f t="shared" si="124"/>
        <v>245.91334358954555</v>
      </c>
      <c r="AP303" s="31">
        <f t="shared" si="125"/>
        <v>76</v>
      </c>
      <c r="AQ303" s="31">
        <f t="shared" si="126"/>
        <v>40.396993661659508</v>
      </c>
      <c r="AR303" s="180" t="str">
        <f t="shared" si="127"/>
        <v/>
      </c>
      <c r="AS303" s="31">
        <f t="shared" si="130"/>
        <v>13416.83</v>
      </c>
      <c r="AU303" s="31">
        <f t="shared" si="128"/>
        <v>0</v>
      </c>
      <c r="AV303" s="177"/>
      <c r="AW303" s="31">
        <f t="shared" si="129"/>
        <v>76</v>
      </c>
    </row>
    <row r="304" spans="1:49">
      <c r="A304" s="102">
        <v>295</v>
      </c>
      <c r="B304" s="7" t="s">
        <v>2000</v>
      </c>
      <c r="C304" s="7">
        <v>1</v>
      </c>
      <c r="D304" s="62">
        <f t="shared" si="105"/>
        <v>33549032.422599997</v>
      </c>
      <c r="E304" s="172">
        <f t="shared" si="106"/>
        <v>13012055</v>
      </c>
      <c r="F304" s="62">
        <f t="shared" si="107"/>
        <v>34900617.062578723</v>
      </c>
      <c r="G304" s="70">
        <f t="shared" si="108"/>
        <v>27764062</v>
      </c>
      <c r="H304" s="62">
        <f t="shared" si="109"/>
        <v>7136555</v>
      </c>
      <c r="I304" s="173">
        <f t="shared" si="110"/>
        <v>0</v>
      </c>
      <c r="J304" s="174">
        <f>ROUND(100-'Townwide Contributions'!K304,2)</f>
        <v>20.68</v>
      </c>
      <c r="K304" s="70">
        <f t="shared" si="111"/>
        <v>7217448</v>
      </c>
      <c r="L304" s="70">
        <f t="shared" si="112"/>
        <v>0</v>
      </c>
      <c r="M304" s="175">
        <f t="shared" si="113"/>
        <v>0</v>
      </c>
      <c r="N304" s="70"/>
      <c r="O304" s="70"/>
      <c r="P304" s="70"/>
      <c r="Q304" s="62">
        <v>3523</v>
      </c>
      <c r="R304" s="62">
        <f t="shared" si="114"/>
        <v>3595</v>
      </c>
      <c r="S304" s="176"/>
      <c r="T304" s="176"/>
      <c r="U304" s="70"/>
      <c r="V304" s="70"/>
      <c r="W304" s="260"/>
      <c r="X304" s="62">
        <f t="shared" si="115"/>
        <v>0</v>
      </c>
      <c r="Y304" s="70"/>
      <c r="AA304" s="290"/>
      <c r="AB304" s="291"/>
      <c r="AC304" s="62"/>
      <c r="AD304" s="62"/>
      <c r="AE304" s="177">
        <f t="shared" si="116"/>
        <v>107850</v>
      </c>
      <c r="AF304" s="177">
        <f t="shared" si="117"/>
        <v>107850</v>
      </c>
      <c r="AG304" s="70">
        <f t="shared" si="118"/>
        <v>13119905</v>
      </c>
      <c r="AH304" s="70">
        <f t="shared" si="119"/>
        <v>0</v>
      </c>
      <c r="AI304" s="587">
        <v>0</v>
      </c>
      <c r="AJ304" s="178">
        <f t="shared" si="120"/>
        <v>13119905</v>
      </c>
      <c r="AK304" s="301">
        <f t="shared" si="121"/>
        <v>37.592186340073269</v>
      </c>
      <c r="AL304" s="70">
        <f t="shared" si="122"/>
        <v>40883967</v>
      </c>
      <c r="AM304" s="179">
        <f t="shared" si="123"/>
        <v>117.14396604132472</v>
      </c>
      <c r="AN304" s="179"/>
      <c r="AO304" s="31">
        <f t="shared" si="124"/>
        <v>1351584.6399787255</v>
      </c>
      <c r="AP304" s="31">
        <f t="shared" si="125"/>
        <v>107850</v>
      </c>
      <c r="AQ304" s="31">
        <f t="shared" si="126"/>
        <v>5902457.3914587209</v>
      </c>
      <c r="AR304" s="180">
        <f t="shared" si="127"/>
        <v>16.912186340073269</v>
      </c>
      <c r="AS304" s="31">
        <f t="shared" si="130"/>
        <v>9708.1</v>
      </c>
      <c r="AU304" s="31">
        <f t="shared" si="128"/>
        <v>0</v>
      </c>
      <c r="AV304" s="177"/>
      <c r="AW304" s="31">
        <f t="shared" si="129"/>
        <v>30</v>
      </c>
    </row>
    <row r="305" spans="1:49">
      <c r="A305" s="102">
        <v>296</v>
      </c>
      <c r="B305" s="7" t="s">
        <v>2001</v>
      </c>
      <c r="C305" s="7">
        <v>1</v>
      </c>
      <c r="D305" s="62">
        <f t="shared" si="105"/>
        <v>3769019.7499999991</v>
      </c>
      <c r="E305" s="172">
        <f t="shared" si="106"/>
        <v>635297</v>
      </c>
      <c r="F305" s="62">
        <f t="shared" si="107"/>
        <v>3760490.3019716195</v>
      </c>
      <c r="G305" s="70">
        <f t="shared" si="108"/>
        <v>3062266</v>
      </c>
      <c r="H305" s="62">
        <f t="shared" si="109"/>
        <v>698224</v>
      </c>
      <c r="I305" s="173">
        <f t="shared" si="110"/>
        <v>62927</v>
      </c>
      <c r="J305" s="174">
        <f>ROUND(100-'Townwide Contributions'!K305,2)</f>
        <v>17.5</v>
      </c>
      <c r="K305" s="70">
        <f t="shared" si="111"/>
        <v>658086</v>
      </c>
      <c r="L305" s="70">
        <f t="shared" si="112"/>
        <v>0</v>
      </c>
      <c r="M305" s="175">
        <f t="shared" si="113"/>
        <v>0</v>
      </c>
      <c r="N305" s="70"/>
      <c r="O305" s="70"/>
      <c r="P305" s="70"/>
      <c r="Q305" s="62">
        <v>373</v>
      </c>
      <c r="R305" s="62">
        <f t="shared" si="114"/>
        <v>365</v>
      </c>
      <c r="S305" s="176"/>
      <c r="T305" s="176"/>
      <c r="U305" s="70"/>
      <c r="V305" s="70"/>
      <c r="W305" s="260"/>
      <c r="X305" s="62">
        <f t="shared" si="115"/>
        <v>1</v>
      </c>
      <c r="Y305" s="70"/>
      <c r="AA305" s="290"/>
      <c r="AB305" s="291"/>
      <c r="AC305" s="62"/>
      <c r="AD305" s="62"/>
      <c r="AE305" s="177">
        <f t="shared" si="116"/>
        <v>10950</v>
      </c>
      <c r="AF305" s="177">
        <f t="shared" si="117"/>
        <v>0</v>
      </c>
      <c r="AG305" s="70">
        <f t="shared" si="118"/>
        <v>698224</v>
      </c>
      <c r="AH305" s="70">
        <f t="shared" si="119"/>
        <v>0</v>
      </c>
      <c r="AI305" s="587">
        <v>0</v>
      </c>
      <c r="AJ305" s="178">
        <f t="shared" si="120"/>
        <v>698224</v>
      </c>
      <c r="AK305" s="301">
        <f t="shared" si="121"/>
        <v>18.567366059524794</v>
      </c>
      <c r="AL305" s="70">
        <f t="shared" si="122"/>
        <v>3760490</v>
      </c>
      <c r="AM305" s="179">
        <f t="shared" si="123"/>
        <v>99.999991969887034</v>
      </c>
      <c r="AN305" s="179"/>
      <c r="AO305" s="31">
        <f t="shared" si="124"/>
        <v>-8529.4480283795856</v>
      </c>
      <c r="AP305" s="31">
        <f t="shared" si="125"/>
        <v>62927</v>
      </c>
      <c r="AQ305" s="31">
        <f t="shared" si="126"/>
        <v>40138.197154966649</v>
      </c>
      <c r="AR305" s="180">
        <f t="shared" si="127"/>
        <v>1.0673660595247938</v>
      </c>
      <c r="AS305" s="31">
        <f t="shared" si="130"/>
        <v>10302.709999999999</v>
      </c>
      <c r="AU305" s="31">
        <f t="shared" si="128"/>
        <v>0</v>
      </c>
      <c r="AV305" s="177"/>
      <c r="AW305" s="31">
        <f t="shared" si="129"/>
        <v>172.40273972602739</v>
      </c>
    </row>
    <row r="306" spans="1:49">
      <c r="A306" s="102">
        <v>297</v>
      </c>
      <c r="B306" s="7" t="s">
        <v>2002</v>
      </c>
      <c r="C306" s="7">
        <v>0</v>
      </c>
      <c r="D306" s="62">
        <f t="shared" si="105"/>
        <v>0</v>
      </c>
      <c r="E306" s="172">
        <f t="shared" si="106"/>
        <v>0</v>
      </c>
      <c r="F306" s="62">
        <f t="shared" si="107"/>
        <v>0</v>
      </c>
      <c r="G306" s="70">
        <f t="shared" si="108"/>
        <v>0</v>
      </c>
      <c r="H306" s="62">
        <f t="shared" si="109"/>
        <v>0</v>
      </c>
      <c r="I306" s="173">
        <f t="shared" si="110"/>
        <v>0</v>
      </c>
      <c r="J306" s="174">
        <f>ROUND(100-'Townwide Contributions'!K306,2)</f>
        <v>17.5</v>
      </c>
      <c r="K306" s="70">
        <f t="shared" si="111"/>
        <v>0</v>
      </c>
      <c r="L306" s="70">
        <f t="shared" si="112"/>
        <v>0</v>
      </c>
      <c r="M306" s="175">
        <f t="shared" si="113"/>
        <v>0</v>
      </c>
      <c r="N306" s="70"/>
      <c r="O306" s="70"/>
      <c r="P306" s="70"/>
      <c r="Q306" s="62">
        <v>0</v>
      </c>
      <c r="R306" s="62">
        <f t="shared" si="114"/>
        <v>0</v>
      </c>
      <c r="S306" s="176"/>
      <c r="T306" s="176"/>
      <c r="U306" s="70"/>
      <c r="V306" s="70"/>
      <c r="W306" s="260"/>
      <c r="X306" s="62">
        <f t="shared" si="115"/>
        <v>0</v>
      </c>
      <c r="Y306" s="70"/>
      <c r="AA306" s="290"/>
      <c r="AB306" s="291"/>
      <c r="AC306" s="62"/>
      <c r="AD306" s="62"/>
      <c r="AE306" s="177">
        <f t="shared" si="116"/>
        <v>0</v>
      </c>
      <c r="AF306" s="177">
        <f t="shared" si="117"/>
        <v>0</v>
      </c>
      <c r="AG306" s="70">
        <f t="shared" si="118"/>
        <v>0</v>
      </c>
      <c r="AH306" s="70">
        <f t="shared" si="119"/>
        <v>0</v>
      </c>
      <c r="AI306" s="587">
        <v>0</v>
      </c>
      <c r="AJ306" s="178">
        <f t="shared" si="120"/>
        <v>0</v>
      </c>
      <c r="AK306" s="301">
        <f t="shared" si="121"/>
        <v>0</v>
      </c>
      <c r="AL306" s="70">
        <f t="shared" si="122"/>
        <v>0</v>
      </c>
      <c r="AM306" s="179">
        <f t="shared" si="123"/>
        <v>0</v>
      </c>
      <c r="AN306" s="179"/>
      <c r="AO306" s="31">
        <f t="shared" si="124"/>
        <v>0</v>
      </c>
      <c r="AP306" s="31">
        <f t="shared" si="125"/>
        <v>0</v>
      </c>
      <c r="AQ306" s="31">
        <f t="shared" si="126"/>
        <v>0</v>
      </c>
      <c r="AR306" s="180" t="str">
        <f t="shared" si="127"/>
        <v/>
      </c>
      <c r="AS306" s="31">
        <f t="shared" si="130"/>
        <v>0</v>
      </c>
      <c r="AU306" s="31">
        <f t="shared" si="128"/>
        <v>0</v>
      </c>
      <c r="AV306" s="177"/>
      <c r="AW306" s="31">
        <f t="shared" si="129"/>
        <v>0</v>
      </c>
    </row>
    <row r="307" spans="1:49">
      <c r="A307" s="102">
        <v>298</v>
      </c>
      <c r="B307" s="7" t="s">
        <v>2003</v>
      </c>
      <c r="C307" s="7">
        <v>1</v>
      </c>
      <c r="D307" s="62">
        <f t="shared" si="105"/>
        <v>5219302.4780799998</v>
      </c>
      <c r="E307" s="172">
        <f t="shared" si="106"/>
        <v>1140038</v>
      </c>
      <c r="F307" s="62">
        <f t="shared" si="107"/>
        <v>5307497.2466114936</v>
      </c>
      <c r="G307" s="70">
        <f t="shared" si="108"/>
        <v>4411689</v>
      </c>
      <c r="H307" s="62">
        <f t="shared" si="109"/>
        <v>895808</v>
      </c>
      <c r="I307" s="173">
        <f t="shared" si="110"/>
        <v>0</v>
      </c>
      <c r="J307" s="174">
        <f>ROUND(100-'Townwide Contributions'!K307,2)</f>
        <v>17.5</v>
      </c>
      <c r="K307" s="70">
        <f t="shared" si="111"/>
        <v>928812</v>
      </c>
      <c r="L307" s="70">
        <f t="shared" si="112"/>
        <v>0</v>
      </c>
      <c r="M307" s="175">
        <f t="shared" si="113"/>
        <v>0</v>
      </c>
      <c r="N307" s="70"/>
      <c r="O307" s="70"/>
      <c r="P307" s="70"/>
      <c r="Q307" s="62">
        <v>586</v>
      </c>
      <c r="R307" s="62">
        <f t="shared" si="114"/>
        <v>576</v>
      </c>
      <c r="S307" s="176"/>
      <c r="T307" s="176"/>
      <c r="U307" s="70"/>
      <c r="V307" s="70"/>
      <c r="W307" s="260"/>
      <c r="X307" s="62">
        <f t="shared" si="115"/>
        <v>0</v>
      </c>
      <c r="Y307" s="70"/>
      <c r="AA307" s="290"/>
      <c r="AB307" s="291"/>
      <c r="AC307" s="62"/>
      <c r="AD307" s="62"/>
      <c r="AE307" s="177">
        <f t="shared" si="116"/>
        <v>17280</v>
      </c>
      <c r="AF307" s="177">
        <f t="shared" si="117"/>
        <v>17280</v>
      </c>
      <c r="AG307" s="70">
        <f t="shared" si="118"/>
        <v>1157318</v>
      </c>
      <c r="AH307" s="70">
        <f t="shared" si="119"/>
        <v>0</v>
      </c>
      <c r="AI307" s="587">
        <v>0</v>
      </c>
      <c r="AJ307" s="178">
        <f t="shared" si="120"/>
        <v>1157318</v>
      </c>
      <c r="AK307" s="301">
        <f t="shared" si="121"/>
        <v>21.805343389275905</v>
      </c>
      <c r="AL307" s="70">
        <f t="shared" si="122"/>
        <v>5569007</v>
      </c>
      <c r="AM307" s="179">
        <f t="shared" si="123"/>
        <v>104.9271764305759</v>
      </c>
      <c r="AN307" s="179"/>
      <c r="AO307" s="31">
        <f t="shared" si="124"/>
        <v>88194.768531493843</v>
      </c>
      <c r="AP307" s="31">
        <f t="shared" si="125"/>
        <v>17280</v>
      </c>
      <c r="AQ307" s="31">
        <f t="shared" si="126"/>
        <v>228505.98184298864</v>
      </c>
      <c r="AR307" s="180">
        <f t="shared" si="127"/>
        <v>4.3053433892759045</v>
      </c>
      <c r="AS307" s="31">
        <f t="shared" si="130"/>
        <v>9214.4</v>
      </c>
      <c r="AU307" s="31">
        <f t="shared" si="128"/>
        <v>0</v>
      </c>
      <c r="AV307" s="177"/>
      <c r="AW307" s="31">
        <f t="shared" si="129"/>
        <v>30</v>
      </c>
    </row>
    <row r="308" spans="1:49">
      <c r="A308" s="102">
        <v>299</v>
      </c>
      <c r="B308" s="7" t="s">
        <v>2004</v>
      </c>
      <c r="C308" s="7">
        <v>0</v>
      </c>
      <c r="D308" s="62">
        <f t="shared" si="105"/>
        <v>0</v>
      </c>
      <c r="E308" s="172">
        <f t="shared" si="106"/>
        <v>0</v>
      </c>
      <c r="F308" s="62">
        <f t="shared" si="107"/>
        <v>0</v>
      </c>
      <c r="G308" s="70">
        <f t="shared" si="108"/>
        <v>0</v>
      </c>
      <c r="H308" s="62">
        <f t="shared" si="109"/>
        <v>0</v>
      </c>
      <c r="I308" s="173">
        <f t="shared" si="110"/>
        <v>0</v>
      </c>
      <c r="J308" s="174">
        <f>ROUND(100-'Townwide Contributions'!K308,2)</f>
        <v>46.86</v>
      </c>
      <c r="K308" s="70">
        <f t="shared" si="111"/>
        <v>0</v>
      </c>
      <c r="L308" s="70">
        <f t="shared" si="112"/>
        <v>0</v>
      </c>
      <c r="M308" s="175">
        <f t="shared" si="113"/>
        <v>0</v>
      </c>
      <c r="N308" s="70"/>
      <c r="O308" s="70"/>
      <c r="P308" s="70"/>
      <c r="Q308" s="62">
        <v>0</v>
      </c>
      <c r="R308" s="62">
        <f t="shared" si="114"/>
        <v>0</v>
      </c>
      <c r="S308" s="176"/>
      <c r="T308" s="176"/>
      <c r="U308" s="70"/>
      <c r="V308" s="70"/>
      <c r="W308" s="260"/>
      <c r="X308" s="62">
        <f t="shared" si="115"/>
        <v>0</v>
      </c>
      <c r="Y308" s="70"/>
      <c r="AA308" s="290"/>
      <c r="AB308" s="291"/>
      <c r="AC308" s="62"/>
      <c r="AD308" s="62"/>
      <c r="AE308" s="177">
        <f t="shared" si="116"/>
        <v>0</v>
      </c>
      <c r="AF308" s="177">
        <f t="shared" si="117"/>
        <v>0</v>
      </c>
      <c r="AG308" s="70">
        <f t="shared" si="118"/>
        <v>0</v>
      </c>
      <c r="AH308" s="70">
        <f t="shared" si="119"/>
        <v>0</v>
      </c>
      <c r="AI308" s="587">
        <v>0</v>
      </c>
      <c r="AJ308" s="178">
        <f t="shared" si="120"/>
        <v>0</v>
      </c>
      <c r="AK308" s="301">
        <f t="shared" si="121"/>
        <v>0</v>
      </c>
      <c r="AL308" s="70">
        <f t="shared" si="122"/>
        <v>0</v>
      </c>
      <c r="AM308" s="179">
        <f t="shared" si="123"/>
        <v>0</v>
      </c>
      <c r="AN308" s="179"/>
      <c r="AO308" s="31">
        <f t="shared" si="124"/>
        <v>0</v>
      </c>
      <c r="AP308" s="31">
        <f t="shared" si="125"/>
        <v>0</v>
      </c>
      <c r="AQ308" s="31">
        <f t="shared" si="126"/>
        <v>0</v>
      </c>
      <c r="AR308" s="180" t="str">
        <f t="shared" si="127"/>
        <v/>
      </c>
      <c r="AS308" s="31">
        <f t="shared" si="130"/>
        <v>0</v>
      </c>
      <c r="AU308" s="31">
        <f t="shared" si="128"/>
        <v>0</v>
      </c>
      <c r="AV308" s="177"/>
      <c r="AW308" s="31">
        <f t="shared" si="129"/>
        <v>0</v>
      </c>
    </row>
    <row r="309" spans="1:49">
      <c r="A309" s="102">
        <v>300</v>
      </c>
      <c r="B309" s="7" t="s">
        <v>2005</v>
      </c>
      <c r="C309" s="7">
        <v>1</v>
      </c>
      <c r="D309" s="62">
        <f t="shared" si="105"/>
        <v>1912666.2499999995</v>
      </c>
      <c r="E309" s="172">
        <f t="shared" si="106"/>
        <v>315880</v>
      </c>
      <c r="F309" s="62">
        <f t="shared" si="107"/>
        <v>2003679.8419243183</v>
      </c>
      <c r="G309" s="70">
        <f t="shared" si="108"/>
        <v>1618203</v>
      </c>
      <c r="H309" s="62">
        <f t="shared" si="109"/>
        <v>385477</v>
      </c>
      <c r="I309" s="173">
        <f t="shared" si="110"/>
        <v>69597</v>
      </c>
      <c r="J309" s="174">
        <f>ROUND(100-'Townwide Contributions'!K309,2)</f>
        <v>17.5</v>
      </c>
      <c r="K309" s="70">
        <f t="shared" si="111"/>
        <v>350644</v>
      </c>
      <c r="L309" s="70">
        <f t="shared" si="112"/>
        <v>0</v>
      </c>
      <c r="M309" s="175">
        <f t="shared" si="113"/>
        <v>0</v>
      </c>
      <c r="N309" s="70"/>
      <c r="O309" s="70"/>
      <c r="P309" s="70"/>
      <c r="Q309" s="62">
        <v>199</v>
      </c>
      <c r="R309" s="62">
        <f t="shared" si="114"/>
        <v>209</v>
      </c>
      <c r="S309" s="176"/>
      <c r="T309" s="176"/>
      <c r="U309" s="70"/>
      <c r="V309" s="70"/>
      <c r="W309" s="260"/>
      <c r="X309" s="62">
        <f t="shared" si="115"/>
        <v>1</v>
      </c>
      <c r="Y309" s="70"/>
      <c r="AA309" s="290"/>
      <c r="AB309" s="291"/>
      <c r="AC309" s="62"/>
      <c r="AD309" s="62"/>
      <c r="AE309" s="177">
        <f t="shared" si="116"/>
        <v>6270</v>
      </c>
      <c r="AF309" s="177">
        <f t="shared" si="117"/>
        <v>0</v>
      </c>
      <c r="AG309" s="70">
        <f t="shared" si="118"/>
        <v>385477</v>
      </c>
      <c r="AH309" s="70">
        <f t="shared" si="119"/>
        <v>0</v>
      </c>
      <c r="AI309" s="587">
        <v>9182</v>
      </c>
      <c r="AJ309" s="178">
        <f t="shared" si="120"/>
        <v>394659</v>
      </c>
      <c r="AK309" s="301">
        <f t="shared" si="121"/>
        <v>19.696709611100975</v>
      </c>
      <c r="AL309" s="70">
        <f t="shared" si="122"/>
        <v>2012862</v>
      </c>
      <c r="AM309" s="179">
        <f t="shared" si="123"/>
        <v>100.45826473289581</v>
      </c>
      <c r="AN309" s="179"/>
      <c r="AO309" s="31">
        <f t="shared" si="124"/>
        <v>91013.591924318811</v>
      </c>
      <c r="AP309" s="31">
        <f t="shared" si="125"/>
        <v>78779</v>
      </c>
      <c r="AQ309" s="31">
        <f t="shared" si="126"/>
        <v>44015.027663244284</v>
      </c>
      <c r="AR309" s="180">
        <f t="shared" si="127"/>
        <v>2.1967096111009745</v>
      </c>
      <c r="AS309" s="31">
        <f t="shared" si="130"/>
        <v>9586.98</v>
      </c>
      <c r="AU309" s="31">
        <f t="shared" si="128"/>
        <v>0</v>
      </c>
      <c r="AV309" s="177"/>
      <c r="AW309" s="31">
        <f t="shared" si="129"/>
        <v>376.93301435406698</v>
      </c>
    </row>
    <row r="310" spans="1:49">
      <c r="A310" s="102">
        <v>301</v>
      </c>
      <c r="B310" s="7" t="s">
        <v>2006</v>
      </c>
      <c r="C310" s="7">
        <v>1</v>
      </c>
      <c r="D310" s="62">
        <f t="shared" si="105"/>
        <v>15994837.789999999</v>
      </c>
      <c r="E310" s="172">
        <f t="shared" si="106"/>
        <v>7262434</v>
      </c>
      <c r="F310" s="62">
        <f t="shared" si="107"/>
        <v>16426722.369211081</v>
      </c>
      <c r="G310" s="70">
        <f t="shared" si="108"/>
        <v>11396682</v>
      </c>
      <c r="H310" s="62">
        <f t="shared" si="109"/>
        <v>5030040</v>
      </c>
      <c r="I310" s="173">
        <f t="shared" si="110"/>
        <v>0</v>
      </c>
      <c r="J310" s="174">
        <f>ROUND(100-'Townwide Contributions'!K310,2)</f>
        <v>30.71</v>
      </c>
      <c r="K310" s="70">
        <f t="shared" si="111"/>
        <v>5044646</v>
      </c>
      <c r="L310" s="70">
        <f t="shared" si="112"/>
        <v>0</v>
      </c>
      <c r="M310" s="175">
        <f t="shared" si="113"/>
        <v>0</v>
      </c>
      <c r="N310" s="70"/>
      <c r="O310" s="70"/>
      <c r="P310" s="70"/>
      <c r="Q310" s="62">
        <v>1692</v>
      </c>
      <c r="R310" s="62">
        <f t="shared" si="114"/>
        <v>1678</v>
      </c>
      <c r="S310" s="176"/>
      <c r="T310" s="176"/>
      <c r="U310" s="70"/>
      <c r="V310" s="70"/>
      <c r="W310" s="260"/>
      <c r="X310" s="62">
        <f t="shared" si="115"/>
        <v>0</v>
      </c>
      <c r="Y310" s="70"/>
      <c r="AA310" s="290"/>
      <c r="AB310" s="291"/>
      <c r="AC310" s="62"/>
      <c r="AD310" s="62"/>
      <c r="AE310" s="177">
        <f t="shared" si="116"/>
        <v>50340</v>
      </c>
      <c r="AF310" s="177">
        <f t="shared" si="117"/>
        <v>50340</v>
      </c>
      <c r="AG310" s="70">
        <f t="shared" si="118"/>
        <v>7312774</v>
      </c>
      <c r="AH310" s="70">
        <f t="shared" si="119"/>
        <v>0</v>
      </c>
      <c r="AI310" s="587">
        <v>0</v>
      </c>
      <c r="AJ310" s="178">
        <f t="shared" si="120"/>
        <v>7312774</v>
      </c>
      <c r="AK310" s="301">
        <f t="shared" si="121"/>
        <v>44.517547905396341</v>
      </c>
      <c r="AL310" s="70">
        <f t="shared" si="122"/>
        <v>18709456</v>
      </c>
      <c r="AM310" s="179">
        <f t="shared" si="123"/>
        <v>113.8964644283968</v>
      </c>
      <c r="AN310" s="179"/>
      <c r="AO310" s="31">
        <f t="shared" si="124"/>
        <v>431884.57921108231</v>
      </c>
      <c r="AP310" s="31">
        <f t="shared" si="125"/>
        <v>50340</v>
      </c>
      <c r="AQ310" s="31">
        <f t="shared" si="126"/>
        <v>2268127.5604152773</v>
      </c>
      <c r="AR310" s="180">
        <f t="shared" si="127"/>
        <v>13.807547905396341</v>
      </c>
      <c r="AS310" s="31">
        <f t="shared" si="130"/>
        <v>9789.4699999999993</v>
      </c>
      <c r="AU310" s="31">
        <f t="shared" si="128"/>
        <v>0</v>
      </c>
      <c r="AV310" s="177"/>
      <c r="AW310" s="31">
        <f t="shared" si="129"/>
        <v>30</v>
      </c>
    </row>
    <row r="311" spans="1:49">
      <c r="A311" s="102">
        <v>302</v>
      </c>
      <c r="B311" s="7" t="s">
        <v>2007</v>
      </c>
      <c r="C311" s="7">
        <v>0</v>
      </c>
      <c r="D311" s="62">
        <f t="shared" si="105"/>
        <v>225957.46000000002</v>
      </c>
      <c r="E311" s="172">
        <f t="shared" si="106"/>
        <v>38498</v>
      </c>
      <c r="F311" s="62">
        <f t="shared" si="107"/>
        <v>234931.13370609152</v>
      </c>
      <c r="G311" s="70">
        <f t="shared" si="108"/>
        <v>194462</v>
      </c>
      <c r="H311" s="62">
        <f t="shared" si="109"/>
        <v>40469</v>
      </c>
      <c r="I311" s="173">
        <f t="shared" si="110"/>
        <v>1971</v>
      </c>
      <c r="J311" s="174">
        <f>ROUND(100-'Townwide Contributions'!K311,2)</f>
        <v>17.5</v>
      </c>
      <c r="K311" s="70">
        <f t="shared" si="111"/>
        <v>41113</v>
      </c>
      <c r="L311" s="70">
        <f t="shared" si="112"/>
        <v>0</v>
      </c>
      <c r="M311" s="175">
        <f t="shared" si="113"/>
        <v>0</v>
      </c>
      <c r="N311" s="70"/>
      <c r="O311" s="70"/>
      <c r="P311" s="70"/>
      <c r="Q311" s="62">
        <v>26</v>
      </c>
      <c r="R311" s="62">
        <f t="shared" si="114"/>
        <v>27</v>
      </c>
      <c r="S311" s="176"/>
      <c r="T311" s="176"/>
      <c r="U311" s="70"/>
      <c r="V311" s="70"/>
      <c r="W311" s="260"/>
      <c r="X311" s="62">
        <f t="shared" si="115"/>
        <v>0</v>
      </c>
      <c r="Y311" s="70"/>
      <c r="AA311" s="290"/>
      <c r="AB311" s="291"/>
      <c r="AC311" s="62"/>
      <c r="AD311" s="62"/>
      <c r="AE311" s="177">
        <f t="shared" si="116"/>
        <v>0</v>
      </c>
      <c r="AF311" s="177">
        <f t="shared" si="117"/>
        <v>0</v>
      </c>
      <c r="AG311" s="70">
        <f t="shared" si="118"/>
        <v>40469</v>
      </c>
      <c r="AH311" s="70">
        <f t="shared" si="119"/>
        <v>0</v>
      </c>
      <c r="AI311" s="587">
        <v>0</v>
      </c>
      <c r="AJ311" s="178">
        <f t="shared" si="120"/>
        <v>40469</v>
      </c>
      <c r="AK311" s="301">
        <f t="shared" si="121"/>
        <v>0</v>
      </c>
      <c r="AL311" s="70">
        <f t="shared" si="122"/>
        <v>234931</v>
      </c>
      <c r="AM311" s="179">
        <f t="shared" si="123"/>
        <v>99.999943087112626</v>
      </c>
      <c r="AN311" s="179"/>
      <c r="AO311" s="31">
        <f t="shared" si="124"/>
        <v>8973.6737060915038</v>
      </c>
      <c r="AP311" s="31">
        <f t="shared" si="125"/>
        <v>1971</v>
      </c>
      <c r="AQ311" s="31">
        <f t="shared" si="126"/>
        <v>-643.94839856601175</v>
      </c>
      <c r="AR311" s="180" t="str">
        <f t="shared" si="127"/>
        <v/>
      </c>
      <c r="AS311" s="31">
        <f t="shared" si="130"/>
        <v>8701.15</v>
      </c>
      <c r="AU311" s="31">
        <f t="shared" si="128"/>
        <v>0</v>
      </c>
      <c r="AV311" s="177"/>
      <c r="AW311" s="31">
        <f t="shared" si="129"/>
        <v>73</v>
      </c>
    </row>
    <row r="312" spans="1:49">
      <c r="A312" s="102">
        <v>303</v>
      </c>
      <c r="B312" s="7" t="s">
        <v>2008</v>
      </c>
      <c r="C312" s="7">
        <v>0</v>
      </c>
      <c r="D312" s="62">
        <f t="shared" si="105"/>
        <v>52683.680000000008</v>
      </c>
      <c r="E312" s="172">
        <f t="shared" si="106"/>
        <v>19248</v>
      </c>
      <c r="F312" s="62">
        <f t="shared" si="107"/>
        <v>53667.33337435819</v>
      </c>
      <c r="G312" s="70">
        <f t="shared" si="108"/>
        <v>35821</v>
      </c>
      <c r="H312" s="62">
        <f t="shared" si="109"/>
        <v>17846</v>
      </c>
      <c r="I312" s="173">
        <f t="shared" si="110"/>
        <v>0</v>
      </c>
      <c r="J312" s="174">
        <f>ROUND(100-'Townwide Contributions'!K312,2)</f>
        <v>29.19</v>
      </c>
      <c r="K312" s="70">
        <f t="shared" si="111"/>
        <v>15665</v>
      </c>
      <c r="L312" s="70">
        <f t="shared" si="112"/>
        <v>0</v>
      </c>
      <c r="M312" s="175">
        <f t="shared" si="113"/>
        <v>0</v>
      </c>
      <c r="N312" s="70"/>
      <c r="O312" s="70"/>
      <c r="P312" s="70"/>
      <c r="Q312" s="62">
        <v>4</v>
      </c>
      <c r="R312" s="62">
        <f t="shared" si="114"/>
        <v>4</v>
      </c>
      <c r="S312" s="176"/>
      <c r="T312" s="176"/>
      <c r="U312" s="70"/>
      <c r="V312" s="70"/>
      <c r="W312" s="260"/>
      <c r="X312" s="62">
        <f t="shared" si="115"/>
        <v>0</v>
      </c>
      <c r="Y312" s="70"/>
      <c r="AA312" s="290"/>
      <c r="AB312" s="291"/>
      <c r="AC312" s="62"/>
      <c r="AD312" s="62"/>
      <c r="AE312" s="177">
        <f t="shared" si="116"/>
        <v>0</v>
      </c>
      <c r="AF312" s="177">
        <f t="shared" si="117"/>
        <v>0</v>
      </c>
      <c r="AG312" s="70">
        <f t="shared" si="118"/>
        <v>19248</v>
      </c>
      <c r="AH312" s="70">
        <f t="shared" si="119"/>
        <v>0</v>
      </c>
      <c r="AI312" s="587">
        <v>0</v>
      </c>
      <c r="AJ312" s="178">
        <f t="shared" si="120"/>
        <v>19248</v>
      </c>
      <c r="AK312" s="301">
        <f t="shared" si="121"/>
        <v>0</v>
      </c>
      <c r="AL312" s="70">
        <f t="shared" si="122"/>
        <v>55069</v>
      </c>
      <c r="AM312" s="179">
        <f t="shared" si="123"/>
        <v>102.61176871946374</v>
      </c>
      <c r="AN312" s="179"/>
      <c r="AO312" s="31">
        <f t="shared" si="124"/>
        <v>983.65337435818219</v>
      </c>
      <c r="AP312" s="31">
        <f t="shared" si="125"/>
        <v>0</v>
      </c>
      <c r="AQ312" s="31">
        <f t="shared" si="126"/>
        <v>3582.5053880248452</v>
      </c>
      <c r="AR312" s="180" t="str">
        <f t="shared" si="127"/>
        <v/>
      </c>
      <c r="AS312" s="31">
        <f t="shared" si="130"/>
        <v>13416.83</v>
      </c>
      <c r="AU312" s="31">
        <f t="shared" si="128"/>
        <v>0</v>
      </c>
      <c r="AV312" s="177"/>
      <c r="AW312" s="31">
        <f t="shared" si="129"/>
        <v>0</v>
      </c>
    </row>
    <row r="313" spans="1:49">
      <c r="A313" s="102">
        <v>304</v>
      </c>
      <c r="B313" s="7" t="s">
        <v>2009</v>
      </c>
      <c r="C313" s="7">
        <v>1</v>
      </c>
      <c r="D313" s="62">
        <f t="shared" si="105"/>
        <v>18410939.780000005</v>
      </c>
      <c r="E313" s="172">
        <f t="shared" si="106"/>
        <v>9275834</v>
      </c>
      <c r="F313" s="62">
        <f t="shared" si="107"/>
        <v>18455125.454438496</v>
      </c>
      <c r="G313" s="70">
        <f t="shared" si="108"/>
        <v>11060991</v>
      </c>
      <c r="H313" s="62">
        <f t="shared" si="109"/>
        <v>7394134</v>
      </c>
      <c r="I313" s="173">
        <f t="shared" si="110"/>
        <v>0</v>
      </c>
      <c r="J313" s="174">
        <f>ROUND(100-'Townwide Contributions'!K313,2)</f>
        <v>40.32</v>
      </c>
      <c r="K313" s="70">
        <f t="shared" si="111"/>
        <v>7441107</v>
      </c>
      <c r="L313" s="70">
        <f t="shared" si="112"/>
        <v>0</v>
      </c>
      <c r="M313" s="175">
        <f t="shared" si="113"/>
        <v>0</v>
      </c>
      <c r="N313" s="70"/>
      <c r="O313" s="70"/>
      <c r="P313" s="70"/>
      <c r="Q313" s="62">
        <v>1904</v>
      </c>
      <c r="R313" s="62">
        <f t="shared" si="114"/>
        <v>1869</v>
      </c>
      <c r="S313" s="176"/>
      <c r="T313" s="176"/>
      <c r="U313" s="70"/>
      <c r="V313" s="70"/>
      <c r="W313" s="260"/>
      <c r="X313" s="62">
        <f t="shared" si="115"/>
        <v>0</v>
      </c>
      <c r="Y313" s="70"/>
      <c r="AA313" s="290"/>
      <c r="AB313" s="291"/>
      <c r="AC313" s="62"/>
      <c r="AD313" s="62"/>
      <c r="AE313" s="177">
        <f t="shared" si="116"/>
        <v>56070</v>
      </c>
      <c r="AF313" s="177">
        <f t="shared" si="117"/>
        <v>56070</v>
      </c>
      <c r="AG313" s="70">
        <f t="shared" si="118"/>
        <v>9331904</v>
      </c>
      <c r="AH313" s="70">
        <f t="shared" si="119"/>
        <v>0</v>
      </c>
      <c r="AI313" s="587">
        <v>0</v>
      </c>
      <c r="AJ313" s="178">
        <f t="shared" si="120"/>
        <v>9331904</v>
      </c>
      <c r="AK313" s="301">
        <f t="shared" si="121"/>
        <v>50.565378290374383</v>
      </c>
      <c r="AL313" s="70">
        <f t="shared" si="122"/>
        <v>20392895</v>
      </c>
      <c r="AM313" s="179">
        <f t="shared" si="123"/>
        <v>110.499899067852</v>
      </c>
      <c r="AN313" s="179"/>
      <c r="AO313" s="31">
        <f t="shared" si="124"/>
        <v>44185.674438491464</v>
      </c>
      <c r="AP313" s="31">
        <f t="shared" si="125"/>
        <v>56070</v>
      </c>
      <c r="AQ313" s="31">
        <f t="shared" si="126"/>
        <v>1890797.4167703986</v>
      </c>
      <c r="AR313" s="180">
        <f t="shared" si="127"/>
        <v>10.245378290374383</v>
      </c>
      <c r="AS313" s="31">
        <f t="shared" si="130"/>
        <v>9874.33</v>
      </c>
      <c r="AU313" s="31">
        <f t="shared" si="128"/>
        <v>0</v>
      </c>
      <c r="AV313" s="177"/>
      <c r="AW313" s="31">
        <f t="shared" si="129"/>
        <v>30</v>
      </c>
    </row>
    <row r="314" spans="1:49">
      <c r="A314" s="102">
        <v>305</v>
      </c>
      <c r="B314" s="7" t="s">
        <v>2010</v>
      </c>
      <c r="C314" s="7">
        <v>1</v>
      </c>
      <c r="D314" s="62">
        <f t="shared" si="105"/>
        <v>34230683.749200001</v>
      </c>
      <c r="E314" s="172">
        <f t="shared" si="106"/>
        <v>5844577</v>
      </c>
      <c r="F314" s="62">
        <f t="shared" si="107"/>
        <v>35673992.74237927</v>
      </c>
      <c r="G314" s="70">
        <f t="shared" si="108"/>
        <v>29443005</v>
      </c>
      <c r="H314" s="62">
        <f t="shared" si="109"/>
        <v>6230988</v>
      </c>
      <c r="I314" s="173">
        <f t="shared" si="110"/>
        <v>386411</v>
      </c>
      <c r="J314" s="174">
        <f>ROUND(100-'Townwide Contributions'!K314,2)</f>
        <v>17.5</v>
      </c>
      <c r="K314" s="70">
        <f t="shared" si="111"/>
        <v>6242949</v>
      </c>
      <c r="L314" s="70">
        <f t="shared" si="112"/>
        <v>0</v>
      </c>
      <c r="M314" s="175">
        <f t="shared" si="113"/>
        <v>0</v>
      </c>
      <c r="N314" s="70"/>
      <c r="O314" s="70"/>
      <c r="P314" s="70"/>
      <c r="Q314" s="62">
        <v>3477</v>
      </c>
      <c r="R314" s="62">
        <f t="shared" si="114"/>
        <v>3535</v>
      </c>
      <c r="S314" s="176"/>
      <c r="T314" s="176"/>
      <c r="U314" s="70"/>
      <c r="V314" s="70"/>
      <c r="W314" s="260"/>
      <c r="X314" s="62">
        <f t="shared" si="115"/>
        <v>1</v>
      </c>
      <c r="Y314" s="70"/>
      <c r="AA314" s="290"/>
      <c r="AB314" s="291"/>
      <c r="AC314" s="62"/>
      <c r="AD314" s="62"/>
      <c r="AE314" s="177">
        <f t="shared" si="116"/>
        <v>106050</v>
      </c>
      <c r="AF314" s="177">
        <f t="shared" si="117"/>
        <v>0</v>
      </c>
      <c r="AG314" s="70">
        <f t="shared" si="118"/>
        <v>6230988</v>
      </c>
      <c r="AH314" s="70">
        <f t="shared" si="119"/>
        <v>0</v>
      </c>
      <c r="AI314" s="587">
        <v>0</v>
      </c>
      <c r="AJ314" s="178">
        <f t="shared" si="120"/>
        <v>6230988</v>
      </c>
      <c r="AK314" s="301">
        <f t="shared" si="121"/>
        <v>17.466472129983469</v>
      </c>
      <c r="AL314" s="70">
        <f t="shared" si="122"/>
        <v>35673993</v>
      </c>
      <c r="AM314" s="179">
        <f t="shared" si="123"/>
        <v>100.00000072215278</v>
      </c>
      <c r="AN314" s="179"/>
      <c r="AO314" s="31">
        <f t="shared" si="124"/>
        <v>1443308.9931792691</v>
      </c>
      <c r="AP314" s="31">
        <f t="shared" si="125"/>
        <v>386411</v>
      </c>
      <c r="AQ314" s="31">
        <f t="shared" si="126"/>
        <v>-11960.729916372336</v>
      </c>
      <c r="AR314" s="180">
        <f t="shared" si="127"/>
        <v>-3.3527870016531125E-2</v>
      </c>
      <c r="AS314" s="31">
        <f t="shared" si="130"/>
        <v>10091.65</v>
      </c>
      <c r="AU314" s="31">
        <f t="shared" si="128"/>
        <v>0</v>
      </c>
      <c r="AV314" s="177"/>
      <c r="AW314" s="31">
        <f t="shared" si="129"/>
        <v>109.31004243281471</v>
      </c>
    </row>
    <row r="315" spans="1:49">
      <c r="A315" s="102">
        <v>306</v>
      </c>
      <c r="B315" s="7" t="s">
        <v>2011</v>
      </c>
      <c r="C315" s="7">
        <v>1</v>
      </c>
      <c r="D315" s="62">
        <f t="shared" si="105"/>
        <v>1585577.72</v>
      </c>
      <c r="E315" s="172">
        <f t="shared" si="106"/>
        <v>938888</v>
      </c>
      <c r="F315" s="62">
        <f t="shared" si="107"/>
        <v>1580013.0996064784</v>
      </c>
      <c r="G315" s="70">
        <f t="shared" si="108"/>
        <v>594640</v>
      </c>
      <c r="H315" s="62">
        <f t="shared" si="109"/>
        <v>985373</v>
      </c>
      <c r="I315" s="173">
        <f t="shared" si="110"/>
        <v>46485</v>
      </c>
      <c r="J315" s="174">
        <f>ROUND(100-'Townwide Contributions'!K315,2)</f>
        <v>62.87</v>
      </c>
      <c r="K315" s="70">
        <f t="shared" si="111"/>
        <v>993354</v>
      </c>
      <c r="L315" s="70">
        <f t="shared" si="112"/>
        <v>0</v>
      </c>
      <c r="M315" s="175">
        <f t="shared" si="113"/>
        <v>0</v>
      </c>
      <c r="N315" s="70"/>
      <c r="O315" s="70"/>
      <c r="P315" s="70"/>
      <c r="Q315" s="62">
        <v>156</v>
      </c>
      <c r="R315" s="62">
        <f t="shared" si="114"/>
        <v>157</v>
      </c>
      <c r="S315" s="176"/>
      <c r="T315" s="176"/>
      <c r="U315" s="70"/>
      <c r="V315" s="70"/>
      <c r="W315" s="260"/>
      <c r="X315" s="62">
        <f t="shared" si="115"/>
        <v>1</v>
      </c>
      <c r="Y315" s="70"/>
      <c r="AA315" s="290"/>
      <c r="AB315" s="291"/>
      <c r="AC315" s="62"/>
      <c r="AD315" s="62"/>
      <c r="AE315" s="177">
        <f t="shared" si="116"/>
        <v>4710</v>
      </c>
      <c r="AF315" s="177">
        <f t="shared" si="117"/>
        <v>0</v>
      </c>
      <c r="AG315" s="70">
        <f t="shared" si="118"/>
        <v>985373</v>
      </c>
      <c r="AH315" s="70">
        <f t="shared" si="119"/>
        <v>0</v>
      </c>
      <c r="AI315" s="587">
        <v>0</v>
      </c>
      <c r="AJ315" s="178">
        <f t="shared" si="120"/>
        <v>985373</v>
      </c>
      <c r="AK315" s="301">
        <f t="shared" si="121"/>
        <v>62.364862686608056</v>
      </c>
      <c r="AL315" s="70">
        <f t="shared" si="122"/>
        <v>1580013</v>
      </c>
      <c r="AM315" s="179">
        <f t="shared" si="123"/>
        <v>99.999993695844779</v>
      </c>
      <c r="AN315" s="179"/>
      <c r="AO315" s="31">
        <f t="shared" si="124"/>
        <v>-5564.6203935216181</v>
      </c>
      <c r="AP315" s="31">
        <f t="shared" si="125"/>
        <v>46485</v>
      </c>
      <c r="AQ315" s="31">
        <f t="shared" si="126"/>
        <v>-7981.235722592799</v>
      </c>
      <c r="AR315" s="180">
        <f t="shared" si="127"/>
        <v>-0.50513731339194123</v>
      </c>
      <c r="AS315" s="31">
        <f t="shared" si="130"/>
        <v>10063.780000000001</v>
      </c>
      <c r="AU315" s="31">
        <f t="shared" si="128"/>
        <v>0</v>
      </c>
      <c r="AV315" s="177"/>
      <c r="AW315" s="31">
        <f t="shared" si="129"/>
        <v>296.08280254777071</v>
      </c>
    </row>
    <row r="316" spans="1:49">
      <c r="A316" s="102">
        <v>307</v>
      </c>
      <c r="B316" s="7" t="s">
        <v>2012</v>
      </c>
      <c r="C316" s="7">
        <v>1</v>
      </c>
      <c r="D316" s="62">
        <f t="shared" si="105"/>
        <v>36843723.371769994</v>
      </c>
      <c r="E316" s="172">
        <f t="shared" si="106"/>
        <v>7848820.7103260532</v>
      </c>
      <c r="F316" s="62">
        <f t="shared" si="107"/>
        <v>36969856.911350518</v>
      </c>
      <c r="G316" s="70">
        <f t="shared" si="108"/>
        <v>30718767</v>
      </c>
      <c r="H316" s="62">
        <f t="shared" si="109"/>
        <v>6251090</v>
      </c>
      <c r="I316" s="173">
        <f t="shared" si="110"/>
        <v>0</v>
      </c>
      <c r="J316" s="174">
        <f>ROUND(100-'Townwide Contributions'!K316,2)</f>
        <v>17.5</v>
      </c>
      <c r="K316" s="70">
        <f t="shared" si="111"/>
        <v>6469725</v>
      </c>
      <c r="L316" s="70">
        <f t="shared" si="112"/>
        <v>0</v>
      </c>
      <c r="M316" s="175">
        <f t="shared" si="113"/>
        <v>0</v>
      </c>
      <c r="N316" s="70"/>
      <c r="O316" s="70"/>
      <c r="P316" s="70"/>
      <c r="Q316" s="62">
        <v>3818</v>
      </c>
      <c r="R316" s="62">
        <f t="shared" si="114"/>
        <v>3744</v>
      </c>
      <c r="S316" s="176"/>
      <c r="T316" s="176"/>
      <c r="U316" s="70"/>
      <c r="V316" s="70"/>
      <c r="W316" s="260"/>
      <c r="X316" s="62">
        <f t="shared" si="115"/>
        <v>0</v>
      </c>
      <c r="Y316" s="70"/>
      <c r="AA316" s="290"/>
      <c r="AB316" s="291"/>
      <c r="AC316" s="62"/>
      <c r="AD316" s="62"/>
      <c r="AE316" s="177">
        <f t="shared" si="116"/>
        <v>112320</v>
      </c>
      <c r="AF316" s="177">
        <f t="shared" si="117"/>
        <v>112320</v>
      </c>
      <c r="AG316" s="70">
        <f t="shared" si="118"/>
        <v>7961140.7103260532</v>
      </c>
      <c r="AH316" s="70">
        <f t="shared" si="119"/>
        <v>0</v>
      </c>
      <c r="AI316" s="587">
        <v>0</v>
      </c>
      <c r="AJ316" s="178">
        <f t="shared" si="120"/>
        <v>7961140.7103260532</v>
      </c>
      <c r="AK316" s="301">
        <f t="shared" si="121"/>
        <v>21.534139905967059</v>
      </c>
      <c r="AL316" s="70">
        <f t="shared" si="122"/>
        <v>38679907.710326053</v>
      </c>
      <c r="AM316" s="179">
        <f t="shared" si="123"/>
        <v>104.62552723175543</v>
      </c>
      <c r="AN316" s="179"/>
      <c r="AO316" s="31">
        <f t="shared" si="124"/>
        <v>126133.53958052397</v>
      </c>
      <c r="AP316" s="31">
        <f t="shared" si="125"/>
        <v>112320</v>
      </c>
      <c r="AQ316" s="31">
        <f t="shared" si="126"/>
        <v>1491415.750839713</v>
      </c>
      <c r="AR316" s="180">
        <f t="shared" si="127"/>
        <v>4.0341399059670593</v>
      </c>
      <c r="AS316" s="31">
        <f t="shared" si="130"/>
        <v>9874.43</v>
      </c>
      <c r="AU316" s="31">
        <f t="shared" si="128"/>
        <v>0</v>
      </c>
      <c r="AV316" s="177"/>
      <c r="AW316" s="31">
        <f t="shared" si="129"/>
        <v>30</v>
      </c>
    </row>
    <row r="317" spans="1:49">
      <c r="A317" s="102">
        <v>308</v>
      </c>
      <c r="B317" s="7" t="s">
        <v>2013</v>
      </c>
      <c r="C317" s="7">
        <v>1</v>
      </c>
      <c r="D317" s="62">
        <f t="shared" si="105"/>
        <v>62274785.537900016</v>
      </c>
      <c r="E317" s="172">
        <f t="shared" si="106"/>
        <v>10863166</v>
      </c>
      <c r="F317" s="62">
        <f t="shared" si="107"/>
        <v>65721454.701030053</v>
      </c>
      <c r="G317" s="70">
        <f t="shared" si="108"/>
        <v>54285104</v>
      </c>
      <c r="H317" s="62">
        <f t="shared" si="109"/>
        <v>11436351</v>
      </c>
      <c r="I317" s="173">
        <f t="shared" si="110"/>
        <v>573185</v>
      </c>
      <c r="J317" s="174">
        <f>ROUND(100-'Townwide Contributions'!K317,2)</f>
        <v>17.5</v>
      </c>
      <c r="K317" s="70">
        <f t="shared" si="111"/>
        <v>11501255</v>
      </c>
      <c r="L317" s="70">
        <f t="shared" si="112"/>
        <v>0</v>
      </c>
      <c r="M317" s="175">
        <f t="shared" si="113"/>
        <v>0</v>
      </c>
      <c r="N317" s="70"/>
      <c r="O317" s="70"/>
      <c r="P317" s="70"/>
      <c r="Q317" s="62">
        <v>5432</v>
      </c>
      <c r="R317" s="62">
        <f t="shared" si="114"/>
        <v>5498</v>
      </c>
      <c r="S317" s="176"/>
      <c r="T317" s="176"/>
      <c r="U317" s="70"/>
      <c r="V317" s="70"/>
      <c r="W317" s="260"/>
      <c r="X317" s="62">
        <f t="shared" si="115"/>
        <v>1</v>
      </c>
      <c r="Y317" s="70"/>
      <c r="AA317" s="290"/>
      <c r="AB317" s="291"/>
      <c r="AC317" s="62"/>
      <c r="AD317" s="62"/>
      <c r="AE317" s="177">
        <f t="shared" si="116"/>
        <v>164940</v>
      </c>
      <c r="AF317" s="177">
        <f t="shared" si="117"/>
        <v>0</v>
      </c>
      <c r="AG317" s="70">
        <f t="shared" si="118"/>
        <v>11436351</v>
      </c>
      <c r="AH317" s="70">
        <f t="shared" si="119"/>
        <v>0</v>
      </c>
      <c r="AI317" s="587">
        <v>595234</v>
      </c>
      <c r="AJ317" s="178">
        <f t="shared" si="120"/>
        <v>12031585</v>
      </c>
      <c r="AK317" s="301">
        <f t="shared" si="121"/>
        <v>18.306936531962414</v>
      </c>
      <c r="AL317" s="70">
        <f t="shared" si="122"/>
        <v>66316689</v>
      </c>
      <c r="AM317" s="179">
        <f t="shared" si="123"/>
        <v>100.90569251955499</v>
      </c>
      <c r="AN317" s="179"/>
      <c r="AO317" s="31">
        <f t="shared" si="124"/>
        <v>3446669.1631300375</v>
      </c>
      <c r="AP317" s="31">
        <f t="shared" si="125"/>
        <v>1168419</v>
      </c>
      <c r="AQ317" s="31">
        <f t="shared" si="126"/>
        <v>530330.42731974088</v>
      </c>
      <c r="AR317" s="180">
        <f t="shared" si="127"/>
        <v>0.80693653196241399</v>
      </c>
      <c r="AS317" s="31">
        <f t="shared" si="130"/>
        <v>11953.7</v>
      </c>
      <c r="AU317" s="31">
        <f t="shared" si="128"/>
        <v>0</v>
      </c>
      <c r="AV317" s="177"/>
      <c r="AW317" s="31">
        <f t="shared" si="129"/>
        <v>212.51709712622772</v>
      </c>
    </row>
    <row r="318" spans="1:49">
      <c r="A318" s="102">
        <v>309</v>
      </c>
      <c r="B318" s="7" t="s">
        <v>2014</v>
      </c>
      <c r="C318" s="7">
        <v>1</v>
      </c>
      <c r="D318" s="62">
        <f t="shared" si="105"/>
        <v>14839037.079999998</v>
      </c>
      <c r="E318" s="172">
        <f t="shared" si="106"/>
        <v>9369357</v>
      </c>
      <c r="F318" s="62">
        <f t="shared" si="107"/>
        <v>14617553.305294422</v>
      </c>
      <c r="G318" s="70">
        <f t="shared" si="108"/>
        <v>5149596</v>
      </c>
      <c r="H318" s="62">
        <f t="shared" si="109"/>
        <v>9467957</v>
      </c>
      <c r="I318" s="173">
        <f t="shared" si="110"/>
        <v>98600</v>
      </c>
      <c r="J318" s="174">
        <f>ROUND(100-'Townwide Contributions'!K318,2)</f>
        <v>65.23</v>
      </c>
      <c r="K318" s="70">
        <f t="shared" si="111"/>
        <v>9535030</v>
      </c>
      <c r="L318" s="70">
        <f t="shared" si="112"/>
        <v>0</v>
      </c>
      <c r="M318" s="175">
        <f t="shared" si="113"/>
        <v>0</v>
      </c>
      <c r="N318" s="70"/>
      <c r="O318" s="70"/>
      <c r="P318" s="70"/>
      <c r="Q318" s="62">
        <v>1393</v>
      </c>
      <c r="R318" s="62">
        <f t="shared" si="114"/>
        <v>1341</v>
      </c>
      <c r="S318" s="176"/>
      <c r="T318" s="176"/>
      <c r="U318" s="70"/>
      <c r="V318" s="70"/>
      <c r="W318" s="260"/>
      <c r="X318" s="62">
        <f t="shared" si="115"/>
        <v>1</v>
      </c>
      <c r="Y318" s="70"/>
      <c r="AA318" s="290"/>
      <c r="AB318" s="291"/>
      <c r="AC318" s="62"/>
      <c r="AD318" s="62"/>
      <c r="AE318" s="177">
        <f t="shared" si="116"/>
        <v>40230</v>
      </c>
      <c r="AF318" s="177">
        <f t="shared" si="117"/>
        <v>0</v>
      </c>
      <c r="AG318" s="70">
        <f t="shared" si="118"/>
        <v>9467957</v>
      </c>
      <c r="AH318" s="70">
        <f t="shared" si="119"/>
        <v>0</v>
      </c>
      <c r="AI318" s="587">
        <v>0</v>
      </c>
      <c r="AJ318" s="178">
        <f t="shared" si="120"/>
        <v>9467957</v>
      </c>
      <c r="AK318" s="301">
        <f t="shared" si="121"/>
        <v>64.771147416105151</v>
      </c>
      <c r="AL318" s="70">
        <f t="shared" si="122"/>
        <v>14617553</v>
      </c>
      <c r="AM318" s="179">
        <f t="shared" si="123"/>
        <v>99.999997911453335</v>
      </c>
      <c r="AN318" s="179"/>
      <c r="AO318" s="31">
        <f t="shared" si="124"/>
        <v>-221483.77470557578</v>
      </c>
      <c r="AP318" s="31">
        <f t="shared" si="125"/>
        <v>98600</v>
      </c>
      <c r="AQ318" s="31">
        <f t="shared" si="126"/>
        <v>-67073.021043552086</v>
      </c>
      <c r="AR318" s="180">
        <f t="shared" si="127"/>
        <v>-0.45885258389485273</v>
      </c>
      <c r="AS318" s="31">
        <f t="shared" si="130"/>
        <v>10900.49</v>
      </c>
      <c r="AU318" s="31">
        <f t="shared" si="128"/>
        <v>0</v>
      </c>
      <c r="AV318" s="177"/>
      <c r="AW318" s="31">
        <f t="shared" si="129"/>
        <v>73.527218493661451</v>
      </c>
    </row>
    <row r="319" spans="1:49">
      <c r="A319" s="102">
        <v>310</v>
      </c>
      <c r="B319" s="7" t="s">
        <v>2015</v>
      </c>
      <c r="C319" s="7">
        <v>1</v>
      </c>
      <c r="D319" s="62">
        <f t="shared" si="105"/>
        <v>29850414.400000002</v>
      </c>
      <c r="E319" s="172">
        <f t="shared" si="106"/>
        <v>12708042.138633749</v>
      </c>
      <c r="F319" s="62">
        <f t="shared" si="107"/>
        <v>30448305.403478537</v>
      </c>
      <c r="G319" s="70">
        <f t="shared" si="108"/>
        <v>17216125</v>
      </c>
      <c r="H319" s="62">
        <f t="shared" si="109"/>
        <v>13232180</v>
      </c>
      <c r="I319" s="173">
        <f t="shared" si="110"/>
        <v>524137.86136625148</v>
      </c>
      <c r="J319" s="174">
        <f>ROUND(100-'Townwide Contributions'!K319,2)</f>
        <v>43.95</v>
      </c>
      <c r="K319" s="70">
        <f t="shared" si="111"/>
        <v>13382030</v>
      </c>
      <c r="L319" s="70">
        <f t="shared" si="112"/>
        <v>0</v>
      </c>
      <c r="M319" s="175">
        <f t="shared" si="113"/>
        <v>0</v>
      </c>
      <c r="N319" s="70"/>
      <c r="O319" s="70"/>
      <c r="P319" s="70"/>
      <c r="Q319" s="62">
        <v>2717</v>
      </c>
      <c r="R319" s="62">
        <f t="shared" si="114"/>
        <v>2680</v>
      </c>
      <c r="S319" s="176"/>
      <c r="T319" s="176"/>
      <c r="U319" s="70"/>
      <c r="V319" s="70"/>
      <c r="W319" s="260"/>
      <c r="X319" s="62">
        <f t="shared" si="115"/>
        <v>1</v>
      </c>
      <c r="Y319" s="70"/>
      <c r="AA319" s="290"/>
      <c r="AB319" s="291"/>
      <c r="AC319" s="62"/>
      <c r="AD319" s="62"/>
      <c r="AE319" s="177">
        <f t="shared" si="116"/>
        <v>80400</v>
      </c>
      <c r="AF319" s="177">
        <f t="shared" si="117"/>
        <v>0</v>
      </c>
      <c r="AG319" s="70">
        <f t="shared" si="118"/>
        <v>13232180</v>
      </c>
      <c r="AH319" s="70">
        <f t="shared" si="119"/>
        <v>0</v>
      </c>
      <c r="AI319" s="587">
        <v>0</v>
      </c>
      <c r="AJ319" s="178">
        <f t="shared" si="120"/>
        <v>13232180</v>
      </c>
      <c r="AK319" s="301">
        <f t="shared" si="121"/>
        <v>43.457853646227228</v>
      </c>
      <c r="AL319" s="70">
        <f t="shared" si="122"/>
        <v>30448305</v>
      </c>
      <c r="AM319" s="179">
        <f t="shared" si="123"/>
        <v>99.999998674873595</v>
      </c>
      <c r="AN319" s="179"/>
      <c r="AO319" s="31">
        <f t="shared" si="124"/>
        <v>597891.00347853452</v>
      </c>
      <c r="AP319" s="31">
        <f t="shared" si="125"/>
        <v>524137.86136625148</v>
      </c>
      <c r="AQ319" s="31">
        <f t="shared" si="126"/>
        <v>-149850.22482881695</v>
      </c>
      <c r="AR319" s="180">
        <f t="shared" si="127"/>
        <v>-0.4921463537727746</v>
      </c>
      <c r="AS319" s="31">
        <f t="shared" si="130"/>
        <v>11361.31</v>
      </c>
      <c r="AU319" s="31">
        <f t="shared" si="128"/>
        <v>0</v>
      </c>
      <c r="AV319" s="177"/>
      <c r="AW319" s="31">
        <f t="shared" si="129"/>
        <v>195.57382886800428</v>
      </c>
    </row>
    <row r="320" spans="1:49">
      <c r="A320" s="102">
        <v>311</v>
      </c>
      <c r="B320" s="7" t="s">
        <v>2016</v>
      </c>
      <c r="C320" s="7">
        <v>0</v>
      </c>
      <c r="D320" s="62">
        <f t="shared" si="105"/>
        <v>0</v>
      </c>
      <c r="E320" s="172">
        <f t="shared" si="106"/>
        <v>0</v>
      </c>
      <c r="F320" s="62">
        <f t="shared" si="107"/>
        <v>0</v>
      </c>
      <c r="G320" s="70">
        <f t="shared" si="108"/>
        <v>0</v>
      </c>
      <c r="H320" s="62">
        <f t="shared" si="109"/>
        <v>0</v>
      </c>
      <c r="I320" s="173">
        <f t="shared" si="110"/>
        <v>0</v>
      </c>
      <c r="J320" s="174">
        <f>ROUND(100-'Townwide Contributions'!K320,2)</f>
        <v>73.08</v>
      </c>
      <c r="K320" s="70">
        <f t="shared" si="111"/>
        <v>0</v>
      </c>
      <c r="L320" s="70">
        <f t="shared" si="112"/>
        <v>0</v>
      </c>
      <c r="M320" s="175">
        <f t="shared" si="113"/>
        <v>0</v>
      </c>
      <c r="N320" s="70"/>
      <c r="O320" s="70"/>
      <c r="P320" s="70"/>
      <c r="Q320" s="62">
        <v>0</v>
      </c>
      <c r="R320" s="62">
        <f t="shared" si="114"/>
        <v>0</v>
      </c>
      <c r="S320" s="176"/>
      <c r="T320" s="176"/>
      <c r="U320" s="70"/>
      <c r="V320" s="70"/>
      <c r="W320" s="260"/>
      <c r="X320" s="62">
        <f t="shared" si="115"/>
        <v>0</v>
      </c>
      <c r="Y320" s="70"/>
      <c r="AA320" s="290"/>
      <c r="AB320" s="291"/>
      <c r="AC320" s="62"/>
      <c r="AD320" s="62"/>
      <c r="AE320" s="177">
        <f t="shared" si="116"/>
        <v>0</v>
      </c>
      <c r="AF320" s="177">
        <f t="shared" si="117"/>
        <v>0</v>
      </c>
      <c r="AG320" s="70">
        <f t="shared" si="118"/>
        <v>0</v>
      </c>
      <c r="AH320" s="70">
        <f t="shared" si="119"/>
        <v>0</v>
      </c>
      <c r="AI320" s="587">
        <v>0</v>
      </c>
      <c r="AJ320" s="178">
        <f t="shared" si="120"/>
        <v>0</v>
      </c>
      <c r="AK320" s="301">
        <f t="shared" si="121"/>
        <v>0</v>
      </c>
      <c r="AL320" s="70">
        <f t="shared" si="122"/>
        <v>0</v>
      </c>
      <c r="AM320" s="179">
        <f t="shared" si="123"/>
        <v>0</v>
      </c>
      <c r="AN320" s="179"/>
      <c r="AO320" s="31">
        <f t="shared" si="124"/>
        <v>0</v>
      </c>
      <c r="AP320" s="31">
        <f t="shared" si="125"/>
        <v>0</v>
      </c>
      <c r="AQ320" s="31">
        <f t="shared" si="126"/>
        <v>0</v>
      </c>
      <c r="AR320" s="180" t="str">
        <f t="shared" si="127"/>
        <v/>
      </c>
      <c r="AS320" s="31">
        <f t="shared" si="130"/>
        <v>0</v>
      </c>
      <c r="AU320" s="31">
        <f t="shared" si="128"/>
        <v>0</v>
      </c>
      <c r="AV320" s="177"/>
      <c r="AW320" s="31">
        <f t="shared" si="129"/>
        <v>0</v>
      </c>
    </row>
    <row r="321" spans="1:49">
      <c r="A321" s="102">
        <v>312</v>
      </c>
      <c r="B321" s="7" t="s">
        <v>2017</v>
      </c>
      <c r="C321" s="7">
        <v>0</v>
      </c>
      <c r="D321" s="62">
        <f t="shared" si="105"/>
        <v>0</v>
      </c>
      <c r="E321" s="172">
        <f t="shared" si="106"/>
        <v>0</v>
      </c>
      <c r="F321" s="62">
        <f t="shared" si="107"/>
        <v>0</v>
      </c>
      <c r="G321" s="70">
        <f t="shared" si="108"/>
        <v>0</v>
      </c>
      <c r="H321" s="62">
        <f t="shared" si="109"/>
        <v>0</v>
      </c>
      <c r="I321" s="173">
        <f t="shared" si="110"/>
        <v>0</v>
      </c>
      <c r="J321" s="174">
        <f>ROUND(100-'Townwide Contributions'!K321,2)</f>
        <v>45.66</v>
      </c>
      <c r="K321" s="70">
        <f t="shared" si="111"/>
        <v>0</v>
      </c>
      <c r="L321" s="70">
        <f t="shared" si="112"/>
        <v>0</v>
      </c>
      <c r="M321" s="175">
        <f t="shared" si="113"/>
        <v>0</v>
      </c>
      <c r="N321" s="70"/>
      <c r="O321" s="70"/>
      <c r="P321" s="70"/>
      <c r="Q321" s="62">
        <v>0</v>
      </c>
      <c r="R321" s="62">
        <f t="shared" si="114"/>
        <v>0</v>
      </c>
      <c r="S321" s="176"/>
      <c r="T321" s="176"/>
      <c r="U321" s="70"/>
      <c r="V321" s="70"/>
      <c r="W321" s="260"/>
      <c r="X321" s="62">
        <f t="shared" si="115"/>
        <v>0</v>
      </c>
      <c r="Y321" s="70"/>
      <c r="AA321" s="290"/>
      <c r="AB321" s="291"/>
      <c r="AC321" s="62"/>
      <c r="AD321" s="62"/>
      <c r="AE321" s="177">
        <f t="shared" si="116"/>
        <v>0</v>
      </c>
      <c r="AF321" s="177">
        <f t="shared" si="117"/>
        <v>0</v>
      </c>
      <c r="AG321" s="70">
        <f t="shared" si="118"/>
        <v>0</v>
      </c>
      <c r="AH321" s="70">
        <f t="shared" si="119"/>
        <v>0</v>
      </c>
      <c r="AI321" s="587">
        <v>0</v>
      </c>
      <c r="AJ321" s="178">
        <f t="shared" si="120"/>
        <v>0</v>
      </c>
      <c r="AK321" s="301">
        <f t="shared" si="121"/>
        <v>0</v>
      </c>
      <c r="AL321" s="70">
        <f t="shared" si="122"/>
        <v>0</v>
      </c>
      <c r="AM321" s="179">
        <f t="shared" si="123"/>
        <v>0</v>
      </c>
      <c r="AN321" s="179"/>
      <c r="AO321" s="31">
        <f t="shared" si="124"/>
        <v>0</v>
      </c>
      <c r="AP321" s="31">
        <f t="shared" si="125"/>
        <v>0</v>
      </c>
      <c r="AQ321" s="31">
        <f t="shared" si="126"/>
        <v>0</v>
      </c>
      <c r="AR321" s="180" t="str">
        <f t="shared" si="127"/>
        <v/>
      </c>
      <c r="AS321" s="31">
        <f t="shared" si="130"/>
        <v>0</v>
      </c>
      <c r="AU321" s="31">
        <f t="shared" si="128"/>
        <v>0</v>
      </c>
      <c r="AV321" s="177"/>
      <c r="AW321" s="31">
        <f t="shared" si="129"/>
        <v>0</v>
      </c>
    </row>
    <row r="322" spans="1:49">
      <c r="A322" s="102">
        <v>313</v>
      </c>
      <c r="B322" s="7" t="s">
        <v>2018</v>
      </c>
      <c r="C322" s="7">
        <v>0</v>
      </c>
      <c r="D322" s="62">
        <f t="shared" si="105"/>
        <v>13170.920000000002</v>
      </c>
      <c r="E322" s="172">
        <f t="shared" si="106"/>
        <v>3051</v>
      </c>
      <c r="F322" s="62">
        <f t="shared" si="107"/>
        <v>26833.666687179095</v>
      </c>
      <c r="G322" s="70">
        <f t="shared" si="108"/>
        <v>22444</v>
      </c>
      <c r="H322" s="62">
        <f t="shared" si="109"/>
        <v>4390</v>
      </c>
      <c r="I322" s="173">
        <f t="shared" si="110"/>
        <v>1339</v>
      </c>
      <c r="J322" s="174">
        <f>ROUND(100-'Townwide Contributions'!K322,2)</f>
        <v>17.5</v>
      </c>
      <c r="K322" s="70">
        <f t="shared" si="111"/>
        <v>4696</v>
      </c>
      <c r="L322" s="70">
        <f t="shared" si="112"/>
        <v>0</v>
      </c>
      <c r="M322" s="175">
        <f t="shared" si="113"/>
        <v>0</v>
      </c>
      <c r="N322" s="70"/>
      <c r="O322" s="70"/>
      <c r="P322" s="70"/>
      <c r="Q322" s="62">
        <v>1</v>
      </c>
      <c r="R322" s="62">
        <f t="shared" si="114"/>
        <v>2</v>
      </c>
      <c r="S322" s="176"/>
      <c r="T322" s="176"/>
      <c r="U322" s="70"/>
      <c r="V322" s="70"/>
      <c r="W322" s="260"/>
      <c r="X322" s="62">
        <f t="shared" si="115"/>
        <v>0</v>
      </c>
      <c r="Y322" s="70"/>
      <c r="AA322" s="290"/>
      <c r="AB322" s="291"/>
      <c r="AC322" s="62"/>
      <c r="AD322" s="62"/>
      <c r="AE322" s="177">
        <f t="shared" si="116"/>
        <v>0</v>
      </c>
      <c r="AF322" s="177">
        <f t="shared" si="117"/>
        <v>0</v>
      </c>
      <c r="AG322" s="70">
        <f t="shared" si="118"/>
        <v>4390</v>
      </c>
      <c r="AH322" s="70">
        <f t="shared" si="119"/>
        <v>0</v>
      </c>
      <c r="AI322" s="587">
        <v>0</v>
      </c>
      <c r="AJ322" s="178">
        <f t="shared" si="120"/>
        <v>4390</v>
      </c>
      <c r="AK322" s="301">
        <f t="shared" si="121"/>
        <v>0</v>
      </c>
      <c r="AL322" s="70">
        <f t="shared" si="122"/>
        <v>26834</v>
      </c>
      <c r="AM322" s="179">
        <f t="shared" si="123"/>
        <v>100.0012421441497</v>
      </c>
      <c r="AN322" s="179"/>
      <c r="AO322" s="31">
        <f t="shared" si="124"/>
        <v>13662.746687179093</v>
      </c>
      <c r="AP322" s="31">
        <f t="shared" si="125"/>
        <v>1339</v>
      </c>
      <c r="AQ322" s="31">
        <f t="shared" si="126"/>
        <v>-305.89167025634106</v>
      </c>
      <c r="AR322" s="180" t="str">
        <f t="shared" si="127"/>
        <v/>
      </c>
      <c r="AS322" s="31">
        <f t="shared" si="130"/>
        <v>13416.83</v>
      </c>
      <c r="AU322" s="31">
        <f t="shared" si="128"/>
        <v>0</v>
      </c>
      <c r="AV322" s="177"/>
      <c r="AW322" s="31">
        <f t="shared" si="129"/>
        <v>669.5</v>
      </c>
    </row>
    <row r="323" spans="1:49">
      <c r="A323" s="102">
        <v>314</v>
      </c>
      <c r="B323" s="7" t="s">
        <v>2019</v>
      </c>
      <c r="C323" s="7">
        <v>1</v>
      </c>
      <c r="D323" s="62">
        <f t="shared" si="105"/>
        <v>27574866.376769997</v>
      </c>
      <c r="E323" s="172">
        <f t="shared" si="106"/>
        <v>4540881</v>
      </c>
      <c r="F323" s="62">
        <f t="shared" si="107"/>
        <v>28658582.599711496</v>
      </c>
      <c r="G323" s="70">
        <f t="shared" si="108"/>
        <v>23755394</v>
      </c>
      <c r="H323" s="62">
        <f t="shared" si="109"/>
        <v>4903189</v>
      </c>
      <c r="I323" s="173">
        <f t="shared" si="110"/>
        <v>362308</v>
      </c>
      <c r="J323" s="174">
        <f>ROUND(100-'Townwide Contributions'!K323,2)</f>
        <v>17.5</v>
      </c>
      <c r="K323" s="70">
        <f t="shared" si="111"/>
        <v>5015252</v>
      </c>
      <c r="L323" s="70">
        <f t="shared" si="112"/>
        <v>0</v>
      </c>
      <c r="M323" s="175">
        <f t="shared" si="113"/>
        <v>0</v>
      </c>
      <c r="N323" s="70"/>
      <c r="O323" s="70"/>
      <c r="P323" s="70"/>
      <c r="Q323" s="62">
        <v>2570</v>
      </c>
      <c r="R323" s="62">
        <f t="shared" si="114"/>
        <v>2634</v>
      </c>
      <c r="S323" s="176"/>
      <c r="T323" s="176"/>
      <c r="U323" s="70"/>
      <c r="V323" s="70"/>
      <c r="W323" s="260"/>
      <c r="X323" s="62">
        <f t="shared" si="115"/>
        <v>1</v>
      </c>
      <c r="Y323" s="70"/>
      <c r="AA323" s="290"/>
      <c r="AB323" s="291"/>
      <c r="AC323" s="62"/>
      <c r="AD323" s="62"/>
      <c r="AE323" s="177">
        <f t="shared" si="116"/>
        <v>79020</v>
      </c>
      <c r="AF323" s="177">
        <f t="shared" si="117"/>
        <v>0</v>
      </c>
      <c r="AG323" s="70">
        <f t="shared" si="118"/>
        <v>4903189</v>
      </c>
      <c r="AH323" s="70">
        <f t="shared" si="119"/>
        <v>0</v>
      </c>
      <c r="AI323" s="587">
        <v>0</v>
      </c>
      <c r="AJ323" s="178">
        <f t="shared" si="120"/>
        <v>4903189</v>
      </c>
      <c r="AK323" s="301">
        <f t="shared" si="121"/>
        <v>17.108972444608479</v>
      </c>
      <c r="AL323" s="70">
        <f t="shared" si="122"/>
        <v>28658583</v>
      </c>
      <c r="AM323" s="179">
        <f t="shared" si="123"/>
        <v>100.00000139674913</v>
      </c>
      <c r="AN323" s="179"/>
      <c r="AO323" s="31">
        <f t="shared" si="124"/>
        <v>1083716.2229414992</v>
      </c>
      <c r="AP323" s="31">
        <f t="shared" si="125"/>
        <v>362308</v>
      </c>
      <c r="AQ323" s="31">
        <f t="shared" si="126"/>
        <v>-112062.95494951122</v>
      </c>
      <c r="AR323" s="180">
        <f t="shared" si="127"/>
        <v>-0.39102755539152056</v>
      </c>
      <c r="AS323" s="31">
        <f t="shared" si="130"/>
        <v>10880.25</v>
      </c>
      <c r="AU323" s="31">
        <f t="shared" si="128"/>
        <v>0</v>
      </c>
      <c r="AV323" s="177"/>
      <c r="AW323" s="31">
        <f t="shared" si="129"/>
        <v>137.55049354593774</v>
      </c>
    </row>
    <row r="324" spans="1:49">
      <c r="A324" s="102">
        <v>315</v>
      </c>
      <c r="B324" s="7" t="s">
        <v>2020</v>
      </c>
      <c r="C324" s="7">
        <v>1</v>
      </c>
      <c r="D324" s="62">
        <f t="shared" si="105"/>
        <v>24640382.589680005</v>
      </c>
      <c r="E324" s="172">
        <f t="shared" si="106"/>
        <v>4059803</v>
      </c>
      <c r="F324" s="62">
        <f t="shared" si="107"/>
        <v>25043290.042167287</v>
      </c>
      <c r="G324" s="70">
        <f t="shared" si="108"/>
        <v>20778238</v>
      </c>
      <c r="H324" s="62">
        <f t="shared" si="109"/>
        <v>4265052</v>
      </c>
      <c r="I324" s="173">
        <f t="shared" si="110"/>
        <v>205249</v>
      </c>
      <c r="J324" s="174">
        <f>ROUND(100-'Townwide Contributions'!K324,2)</f>
        <v>17.5</v>
      </c>
      <c r="K324" s="70">
        <f t="shared" si="111"/>
        <v>4382576</v>
      </c>
      <c r="L324" s="70">
        <f t="shared" si="112"/>
        <v>0</v>
      </c>
      <c r="M324" s="175">
        <f t="shared" si="113"/>
        <v>0</v>
      </c>
      <c r="N324" s="70"/>
      <c r="O324" s="70"/>
      <c r="P324" s="70"/>
      <c r="Q324" s="62">
        <v>2637</v>
      </c>
      <c r="R324" s="62">
        <f t="shared" si="114"/>
        <v>2602</v>
      </c>
      <c r="S324" s="176"/>
      <c r="T324" s="176"/>
      <c r="U324" s="70"/>
      <c r="V324" s="70"/>
      <c r="W324" s="260"/>
      <c r="X324" s="62">
        <f t="shared" si="115"/>
        <v>1</v>
      </c>
      <c r="Y324" s="70"/>
      <c r="AA324" s="290"/>
      <c r="AB324" s="291"/>
      <c r="AC324" s="62"/>
      <c r="AD324" s="62"/>
      <c r="AE324" s="177">
        <f t="shared" si="116"/>
        <v>78060</v>
      </c>
      <c r="AF324" s="177">
        <f t="shared" si="117"/>
        <v>0</v>
      </c>
      <c r="AG324" s="70">
        <f t="shared" si="118"/>
        <v>4265052</v>
      </c>
      <c r="AH324" s="70">
        <f t="shared" si="119"/>
        <v>0</v>
      </c>
      <c r="AI324" s="587">
        <v>0</v>
      </c>
      <c r="AJ324" s="178">
        <f t="shared" si="120"/>
        <v>4265052</v>
      </c>
      <c r="AK324" s="301">
        <f t="shared" si="121"/>
        <v>17.030717580711674</v>
      </c>
      <c r="AL324" s="70">
        <f t="shared" si="122"/>
        <v>25043290</v>
      </c>
      <c r="AM324" s="179">
        <f t="shared" si="123"/>
        <v>99.999999831622418</v>
      </c>
      <c r="AN324" s="179"/>
      <c r="AO324" s="31">
        <f t="shared" si="124"/>
        <v>402907.45248728245</v>
      </c>
      <c r="AP324" s="31">
        <f t="shared" si="125"/>
        <v>205249</v>
      </c>
      <c r="AQ324" s="31">
        <f t="shared" si="126"/>
        <v>-117523.75737927482</v>
      </c>
      <c r="AR324" s="180">
        <f t="shared" si="127"/>
        <v>-0.46928241928832648</v>
      </c>
      <c r="AS324" s="31">
        <f t="shared" si="130"/>
        <v>9624.6299999999992</v>
      </c>
      <c r="AU324" s="31">
        <f t="shared" si="128"/>
        <v>0</v>
      </c>
      <c r="AV324" s="177"/>
      <c r="AW324" s="31">
        <f t="shared" si="129"/>
        <v>78.881245196003078</v>
      </c>
    </row>
    <row r="325" spans="1:49">
      <c r="A325" s="102">
        <v>316</v>
      </c>
      <c r="B325" s="7" t="s">
        <v>2021</v>
      </c>
      <c r="C325" s="7">
        <v>1</v>
      </c>
      <c r="D325" s="62">
        <f t="shared" si="105"/>
        <v>22136766.249999996</v>
      </c>
      <c r="E325" s="172">
        <f t="shared" si="106"/>
        <v>11989003</v>
      </c>
      <c r="F325" s="62">
        <f t="shared" si="107"/>
        <v>22425991.213709842</v>
      </c>
      <c r="G325" s="70">
        <f t="shared" si="108"/>
        <v>10170354</v>
      </c>
      <c r="H325" s="62">
        <f t="shared" si="109"/>
        <v>12255637</v>
      </c>
      <c r="I325" s="173">
        <f t="shared" si="110"/>
        <v>266634</v>
      </c>
      <c r="J325" s="174">
        <f>ROUND(100-'Townwide Contributions'!K325,2)</f>
        <v>54.91</v>
      </c>
      <c r="K325" s="70">
        <f t="shared" si="111"/>
        <v>12314112</v>
      </c>
      <c r="L325" s="70">
        <f t="shared" si="112"/>
        <v>0</v>
      </c>
      <c r="M325" s="175">
        <f t="shared" si="113"/>
        <v>0</v>
      </c>
      <c r="N325" s="70"/>
      <c r="O325" s="70"/>
      <c r="P325" s="70"/>
      <c r="Q325" s="62">
        <v>2004</v>
      </c>
      <c r="R325" s="62">
        <f t="shared" si="114"/>
        <v>1989</v>
      </c>
      <c r="S325" s="176"/>
      <c r="T325" s="176"/>
      <c r="U325" s="70"/>
      <c r="V325" s="70"/>
      <c r="W325" s="260"/>
      <c r="X325" s="62">
        <f t="shared" si="115"/>
        <v>1</v>
      </c>
      <c r="Y325" s="70"/>
      <c r="AA325" s="290"/>
      <c r="AB325" s="291"/>
      <c r="AC325" s="62"/>
      <c r="AD325" s="62"/>
      <c r="AE325" s="177">
        <f t="shared" si="116"/>
        <v>59670</v>
      </c>
      <c r="AF325" s="177">
        <f t="shared" si="117"/>
        <v>0</v>
      </c>
      <c r="AG325" s="70">
        <f t="shared" si="118"/>
        <v>12255637</v>
      </c>
      <c r="AH325" s="70">
        <f t="shared" si="119"/>
        <v>0</v>
      </c>
      <c r="AI325" s="587">
        <v>0</v>
      </c>
      <c r="AJ325" s="178">
        <f t="shared" si="120"/>
        <v>12255637</v>
      </c>
      <c r="AK325" s="301">
        <f t="shared" si="121"/>
        <v>54.649254444136552</v>
      </c>
      <c r="AL325" s="70">
        <f t="shared" si="122"/>
        <v>22425991</v>
      </c>
      <c r="AM325" s="179">
        <f t="shared" si="123"/>
        <v>99.999999047043943</v>
      </c>
      <c r="AN325" s="179"/>
      <c r="AO325" s="31">
        <f t="shared" si="124"/>
        <v>289224.96370984614</v>
      </c>
      <c r="AP325" s="31">
        <f t="shared" si="125"/>
        <v>266634</v>
      </c>
      <c r="AQ325" s="31">
        <f t="shared" si="126"/>
        <v>-58474.775448072702</v>
      </c>
      <c r="AR325" s="180">
        <f t="shared" si="127"/>
        <v>-0.26074555586344417</v>
      </c>
      <c r="AS325" s="31">
        <f t="shared" si="130"/>
        <v>11275.01</v>
      </c>
      <c r="AU325" s="31">
        <f t="shared" si="128"/>
        <v>0</v>
      </c>
      <c r="AV325" s="177"/>
      <c r="AW325" s="31">
        <f t="shared" si="129"/>
        <v>134.05429864253395</v>
      </c>
    </row>
    <row r="326" spans="1:49">
      <c r="A326" s="102">
        <v>317</v>
      </c>
      <c r="B326" s="7" t="s">
        <v>2022</v>
      </c>
      <c r="C326" s="7">
        <v>1</v>
      </c>
      <c r="D326" s="62">
        <f t="shared" si="105"/>
        <v>49005990.891000003</v>
      </c>
      <c r="E326" s="172">
        <f t="shared" si="106"/>
        <v>8198827</v>
      </c>
      <c r="F326" s="62">
        <f t="shared" si="107"/>
        <v>49446876.963866338</v>
      </c>
      <c r="G326" s="70">
        <f t="shared" si="108"/>
        <v>41046916</v>
      </c>
      <c r="H326" s="62">
        <f t="shared" si="109"/>
        <v>8399961</v>
      </c>
      <c r="I326" s="173">
        <f t="shared" si="110"/>
        <v>201134</v>
      </c>
      <c r="J326" s="174">
        <f>ROUND(100-'Townwide Contributions'!K326,2)</f>
        <v>17.5</v>
      </c>
      <c r="K326" s="70">
        <f t="shared" si="111"/>
        <v>8653203</v>
      </c>
      <c r="L326" s="70">
        <f t="shared" si="112"/>
        <v>0</v>
      </c>
      <c r="M326" s="175">
        <f t="shared" si="113"/>
        <v>0</v>
      </c>
      <c r="N326" s="70"/>
      <c r="O326" s="70"/>
      <c r="P326" s="70"/>
      <c r="Q326" s="62">
        <v>5095</v>
      </c>
      <c r="R326" s="62">
        <f t="shared" si="114"/>
        <v>5030</v>
      </c>
      <c r="S326" s="176"/>
      <c r="T326" s="176"/>
      <c r="U326" s="70"/>
      <c r="V326" s="70"/>
      <c r="W326" s="260"/>
      <c r="X326" s="62">
        <f t="shared" si="115"/>
        <v>1</v>
      </c>
      <c r="Y326" s="70"/>
      <c r="AA326" s="290"/>
      <c r="AB326" s="291"/>
      <c r="AC326" s="62"/>
      <c r="AD326" s="62"/>
      <c r="AE326" s="177">
        <f t="shared" si="116"/>
        <v>150900</v>
      </c>
      <c r="AF326" s="177">
        <f t="shared" si="117"/>
        <v>0</v>
      </c>
      <c r="AG326" s="70">
        <f t="shared" si="118"/>
        <v>8399961</v>
      </c>
      <c r="AH326" s="70">
        <f t="shared" si="119"/>
        <v>0</v>
      </c>
      <c r="AI326" s="587">
        <v>0</v>
      </c>
      <c r="AJ326" s="178">
        <f t="shared" si="120"/>
        <v>8399961</v>
      </c>
      <c r="AK326" s="301">
        <f t="shared" si="121"/>
        <v>16.987849416937557</v>
      </c>
      <c r="AL326" s="70">
        <f t="shared" si="122"/>
        <v>49446877</v>
      </c>
      <c r="AM326" s="179">
        <f t="shared" si="123"/>
        <v>100.00000007307573</v>
      </c>
      <c r="AN326" s="179"/>
      <c r="AO326" s="31">
        <f t="shared" si="124"/>
        <v>440886.07286633551</v>
      </c>
      <c r="AP326" s="31">
        <f t="shared" si="125"/>
        <v>201134</v>
      </c>
      <c r="AQ326" s="31">
        <f t="shared" si="126"/>
        <v>-253242.46867660806</v>
      </c>
      <c r="AR326" s="180">
        <f t="shared" si="127"/>
        <v>-0.51215058306244288</v>
      </c>
      <c r="AS326" s="31">
        <f t="shared" si="130"/>
        <v>9830.39</v>
      </c>
      <c r="AU326" s="31">
        <f t="shared" si="128"/>
        <v>0</v>
      </c>
      <c r="AV326" s="177"/>
      <c r="AW326" s="31">
        <f t="shared" si="129"/>
        <v>39.986878727634192</v>
      </c>
    </row>
    <row r="327" spans="1:49">
      <c r="A327" s="102">
        <v>318</v>
      </c>
      <c r="B327" s="7" t="s">
        <v>2023</v>
      </c>
      <c r="C327" s="7">
        <v>1</v>
      </c>
      <c r="D327" s="62">
        <f t="shared" si="105"/>
        <v>1067714.3400000001</v>
      </c>
      <c r="E327" s="172">
        <f t="shared" si="106"/>
        <v>185664</v>
      </c>
      <c r="F327" s="62">
        <f t="shared" si="107"/>
        <v>1107735.4422992696</v>
      </c>
      <c r="G327" s="70">
        <f t="shared" si="108"/>
        <v>917147</v>
      </c>
      <c r="H327" s="62">
        <f t="shared" si="109"/>
        <v>190588</v>
      </c>
      <c r="I327" s="173">
        <f t="shared" si="110"/>
        <v>4924</v>
      </c>
      <c r="J327" s="174">
        <f>ROUND(100-'Townwide Contributions'!K327,2)</f>
        <v>17.5</v>
      </c>
      <c r="K327" s="70">
        <f t="shared" si="111"/>
        <v>193854</v>
      </c>
      <c r="L327" s="70">
        <f t="shared" si="112"/>
        <v>0</v>
      </c>
      <c r="M327" s="175">
        <f t="shared" si="113"/>
        <v>0</v>
      </c>
      <c r="N327" s="70"/>
      <c r="O327" s="70"/>
      <c r="P327" s="70"/>
      <c r="Q327" s="62">
        <v>108</v>
      </c>
      <c r="R327" s="62">
        <f t="shared" si="114"/>
        <v>110</v>
      </c>
      <c r="S327" s="176"/>
      <c r="T327" s="176"/>
      <c r="U327" s="70"/>
      <c r="V327" s="70"/>
      <c r="W327" s="260"/>
      <c r="X327" s="62">
        <f t="shared" si="115"/>
        <v>1</v>
      </c>
      <c r="Y327" s="70"/>
      <c r="AA327" s="290"/>
      <c r="AB327" s="291"/>
      <c r="AC327" s="62"/>
      <c r="AD327" s="62"/>
      <c r="AE327" s="177">
        <f t="shared" si="116"/>
        <v>3300</v>
      </c>
      <c r="AF327" s="177">
        <f t="shared" si="117"/>
        <v>0</v>
      </c>
      <c r="AG327" s="70">
        <f t="shared" si="118"/>
        <v>190588</v>
      </c>
      <c r="AH327" s="70">
        <f t="shared" si="119"/>
        <v>0</v>
      </c>
      <c r="AI327" s="587">
        <v>0</v>
      </c>
      <c r="AJ327" s="178">
        <f t="shared" si="120"/>
        <v>190588</v>
      </c>
      <c r="AK327" s="301">
        <f t="shared" si="121"/>
        <v>17.205191124372284</v>
      </c>
      <c r="AL327" s="70">
        <f t="shared" si="122"/>
        <v>1107735</v>
      </c>
      <c r="AM327" s="179">
        <f t="shared" si="123"/>
        <v>99.999960071759673</v>
      </c>
      <c r="AN327" s="179"/>
      <c r="AO327" s="31">
        <f t="shared" si="124"/>
        <v>40021.102299269522</v>
      </c>
      <c r="AP327" s="31">
        <f t="shared" si="125"/>
        <v>4924</v>
      </c>
      <c r="AQ327" s="31">
        <f t="shared" si="126"/>
        <v>-3265.7024023721751</v>
      </c>
      <c r="AR327" s="180">
        <f t="shared" si="127"/>
        <v>-0.29480887562771585</v>
      </c>
      <c r="AS327" s="31">
        <f t="shared" si="130"/>
        <v>10070.32</v>
      </c>
      <c r="AU327" s="31">
        <f t="shared" si="128"/>
        <v>0</v>
      </c>
      <c r="AV327" s="177"/>
      <c r="AW327" s="31">
        <f t="shared" si="129"/>
        <v>44.763636363636365</v>
      </c>
    </row>
    <row r="328" spans="1:49">
      <c r="A328" s="102">
        <v>319</v>
      </c>
      <c r="B328" s="7" t="s">
        <v>2024</v>
      </c>
      <c r="C328" s="7">
        <v>0</v>
      </c>
      <c r="D328" s="62">
        <f t="shared" si="105"/>
        <v>0</v>
      </c>
      <c r="E328" s="172">
        <f t="shared" si="106"/>
        <v>0</v>
      </c>
      <c r="F328" s="62">
        <f t="shared" si="107"/>
        <v>0</v>
      </c>
      <c r="G328" s="70">
        <f t="shared" si="108"/>
        <v>0</v>
      </c>
      <c r="H328" s="62">
        <f t="shared" si="109"/>
        <v>0</v>
      </c>
      <c r="I328" s="173">
        <f t="shared" si="110"/>
        <v>0</v>
      </c>
      <c r="J328" s="174">
        <f>ROUND(100-'Townwide Contributions'!K328,2)</f>
        <v>50.39</v>
      </c>
      <c r="K328" s="70">
        <f t="shared" si="111"/>
        <v>0</v>
      </c>
      <c r="L328" s="70">
        <f t="shared" si="112"/>
        <v>0</v>
      </c>
      <c r="M328" s="175">
        <f t="shared" si="113"/>
        <v>0</v>
      </c>
      <c r="N328" s="70"/>
      <c r="O328" s="70"/>
      <c r="P328" s="70"/>
      <c r="Q328" s="62">
        <v>0</v>
      </c>
      <c r="R328" s="62">
        <f t="shared" si="114"/>
        <v>0</v>
      </c>
      <c r="S328" s="176"/>
      <c r="T328" s="176"/>
      <c r="U328" s="70"/>
      <c r="V328" s="70"/>
      <c r="W328" s="260"/>
      <c r="X328" s="62">
        <f t="shared" si="115"/>
        <v>0</v>
      </c>
      <c r="Y328" s="70"/>
      <c r="AA328" s="290"/>
      <c r="AB328" s="291"/>
      <c r="AC328" s="62"/>
      <c r="AD328" s="62"/>
      <c r="AE328" s="177">
        <f t="shared" si="116"/>
        <v>0</v>
      </c>
      <c r="AF328" s="177">
        <f t="shared" si="117"/>
        <v>0</v>
      </c>
      <c r="AG328" s="70">
        <f t="shared" si="118"/>
        <v>0</v>
      </c>
      <c r="AH328" s="70">
        <f t="shared" si="119"/>
        <v>0</v>
      </c>
      <c r="AI328" s="587">
        <v>0</v>
      </c>
      <c r="AJ328" s="178">
        <f t="shared" si="120"/>
        <v>0</v>
      </c>
      <c r="AK328" s="301">
        <f t="shared" si="121"/>
        <v>0</v>
      </c>
      <c r="AL328" s="70">
        <f t="shared" si="122"/>
        <v>0</v>
      </c>
      <c r="AM328" s="179">
        <f t="shared" si="123"/>
        <v>0</v>
      </c>
      <c r="AN328" s="179"/>
      <c r="AO328" s="31">
        <f t="shared" si="124"/>
        <v>0</v>
      </c>
      <c r="AP328" s="31">
        <f t="shared" si="125"/>
        <v>0</v>
      </c>
      <c r="AQ328" s="31">
        <f t="shared" si="126"/>
        <v>0</v>
      </c>
      <c r="AR328" s="180" t="str">
        <f t="shared" si="127"/>
        <v/>
      </c>
      <c r="AS328" s="31">
        <f t="shared" si="130"/>
        <v>0</v>
      </c>
      <c r="AU328" s="31">
        <f t="shared" si="128"/>
        <v>0</v>
      </c>
      <c r="AV328" s="177"/>
      <c r="AW328" s="31">
        <f t="shared" si="129"/>
        <v>0</v>
      </c>
    </row>
    <row r="329" spans="1:49">
      <c r="A329" s="102">
        <v>320</v>
      </c>
      <c r="B329" s="7" t="s">
        <v>2025</v>
      </c>
      <c r="C329" s="7">
        <v>0</v>
      </c>
      <c r="D329" s="62">
        <f t="shared" si="105"/>
        <v>0</v>
      </c>
      <c r="E329" s="172">
        <f t="shared" si="106"/>
        <v>0</v>
      </c>
      <c r="F329" s="62">
        <f t="shared" si="107"/>
        <v>0</v>
      </c>
      <c r="G329" s="70">
        <f t="shared" si="108"/>
        <v>0</v>
      </c>
      <c r="H329" s="62">
        <f t="shared" si="109"/>
        <v>0</v>
      </c>
      <c r="I329" s="173">
        <f t="shared" si="110"/>
        <v>0</v>
      </c>
      <c r="J329" s="174">
        <f>ROUND(100-'Townwide Contributions'!K329,2)</f>
        <v>17.5</v>
      </c>
      <c r="K329" s="70">
        <f t="shared" si="111"/>
        <v>0</v>
      </c>
      <c r="L329" s="70">
        <f t="shared" si="112"/>
        <v>0</v>
      </c>
      <c r="M329" s="175">
        <f t="shared" si="113"/>
        <v>0</v>
      </c>
      <c r="N329" s="70"/>
      <c r="O329" s="70"/>
      <c r="P329" s="70"/>
      <c r="Q329" s="62">
        <v>0</v>
      </c>
      <c r="R329" s="62">
        <f t="shared" si="114"/>
        <v>0</v>
      </c>
      <c r="S329" s="176"/>
      <c r="T329" s="176"/>
      <c r="U329" s="70"/>
      <c r="V329" s="70"/>
      <c r="W329" s="260"/>
      <c r="X329" s="62">
        <f t="shared" si="115"/>
        <v>0</v>
      </c>
      <c r="Y329" s="70"/>
      <c r="AA329" s="290"/>
      <c r="AB329" s="291"/>
      <c r="AC329" s="62"/>
      <c r="AD329" s="62"/>
      <c r="AE329" s="177">
        <f t="shared" si="116"/>
        <v>0</v>
      </c>
      <c r="AF329" s="177">
        <f t="shared" si="117"/>
        <v>0</v>
      </c>
      <c r="AG329" s="70">
        <f t="shared" si="118"/>
        <v>0</v>
      </c>
      <c r="AH329" s="70">
        <f t="shared" si="119"/>
        <v>0</v>
      </c>
      <c r="AI329" s="587">
        <v>0</v>
      </c>
      <c r="AJ329" s="178">
        <f t="shared" si="120"/>
        <v>0</v>
      </c>
      <c r="AK329" s="301">
        <f t="shared" si="121"/>
        <v>0</v>
      </c>
      <c r="AL329" s="70">
        <f t="shared" si="122"/>
        <v>0</v>
      </c>
      <c r="AM329" s="179">
        <f t="shared" si="123"/>
        <v>0</v>
      </c>
      <c r="AN329" s="179"/>
      <c r="AO329" s="31">
        <f t="shared" si="124"/>
        <v>0</v>
      </c>
      <c r="AP329" s="31">
        <f t="shared" si="125"/>
        <v>0</v>
      </c>
      <c r="AQ329" s="31">
        <f t="shared" si="126"/>
        <v>0</v>
      </c>
      <c r="AR329" s="180" t="str">
        <f t="shared" si="127"/>
        <v/>
      </c>
      <c r="AS329" s="31">
        <f t="shared" si="130"/>
        <v>0</v>
      </c>
      <c r="AU329" s="31">
        <f t="shared" si="128"/>
        <v>0</v>
      </c>
      <c r="AV329" s="177"/>
      <c r="AW329" s="31">
        <f t="shared" si="129"/>
        <v>0</v>
      </c>
    </row>
    <row r="330" spans="1:49">
      <c r="A330" s="102">
        <v>321</v>
      </c>
      <c r="B330" s="7" t="s">
        <v>2026</v>
      </c>
      <c r="C330" s="7">
        <v>1</v>
      </c>
      <c r="D330" s="62">
        <f t="shared" ref="D330:D393" si="131">VLOOKUP(A330, disthist, D$2, FALSE)</f>
        <v>33283538.019999992</v>
      </c>
      <c r="E330" s="172">
        <f t="shared" ref="E330:E393" si="132">VLOOKUP(A330, disthist, E$2, FALSE)*(1-$E$6)</f>
        <v>5881737</v>
      </c>
      <c r="F330" s="62">
        <f t="shared" ref="F330:F393" si="133">SUMIF(dist1755,A330,found1755)</f>
        <v>36606246.041138574</v>
      </c>
      <c r="G330" s="70">
        <f t="shared" ref="G330:G393" si="134">SUMIF(dist1755,A330,prelcont1755)</f>
        <v>28766772</v>
      </c>
      <c r="H330" s="62">
        <f t="shared" ref="H330:H393" si="135">ROUND(MAX(found-prelcont436,0),0)</f>
        <v>7839474</v>
      </c>
      <c r="I330" s="173">
        <f t="shared" ref="I330:I393" si="136">IF(foundaid&gt;priorc70,foundaid-priorc70,0)</f>
        <v>1957737</v>
      </c>
      <c r="J330" s="174">
        <f>ROUND(100-'Townwide Contributions'!K330,2)</f>
        <v>21.5</v>
      </c>
      <c r="K330" s="70">
        <f t="shared" ref="K330:K393" si="137">ROUND(J330/100*F330,0)</f>
        <v>7870343</v>
      </c>
      <c r="L330" s="70">
        <f t="shared" ref="L330:L393" si="138">ROUND(IF(K330&gt;priorc70,L$6*(K330-priorc70),0),0)</f>
        <v>0</v>
      </c>
      <c r="M330" s="175">
        <f t="shared" ref="M330:M393" si="139">IF(L330&gt;I330,L330-I330,0)</f>
        <v>0</v>
      </c>
      <c r="N330" s="70"/>
      <c r="O330" s="70"/>
      <c r="P330" s="70"/>
      <c r="Q330" s="62">
        <v>3563</v>
      </c>
      <c r="R330" s="62">
        <f t="shared" ref="R330:R393" si="140">SUMIF(dist1755,A330,enro1755)</f>
        <v>3849</v>
      </c>
      <c r="S330" s="176"/>
      <c r="T330" s="176"/>
      <c r="U330" s="70"/>
      <c r="V330" s="70"/>
      <c r="W330" s="260"/>
      <c r="X330" s="62">
        <f t="shared" ref="X330:X393" si="141">IF(AND(C330=1,I330&gt;0),1,0)</f>
        <v>1</v>
      </c>
      <c r="Y330" s="70"/>
      <c r="AA330" s="290"/>
      <c r="AB330" s="291"/>
      <c r="AC330" s="62"/>
      <c r="AD330" s="62"/>
      <c r="AE330" s="177">
        <f t="shared" ref="AE330:AE393" si="142">IF(nonop=1,enro*$AE$6,0)</f>
        <v>115470</v>
      </c>
      <c r="AF330" s="177">
        <f t="shared" ref="AF330:AF393" si="143">IF((foundinc+downaid)&lt;AE330,AE330-(foundinc+downaid),0)</f>
        <v>0</v>
      </c>
      <c r="AG330" s="70">
        <f t="shared" ref="AG330:AG393" si="144">priorc70+foundinc+downaid+minaid</f>
        <v>7839474</v>
      </c>
      <c r="AH330" s="70">
        <f t="shared" ref="AH330:AH393" si="145">IF(AND(C330=0,AG330&gt;found),AG330-found,0)</f>
        <v>0</v>
      </c>
      <c r="AI330" s="587">
        <v>38681</v>
      </c>
      <c r="AJ330" s="178">
        <f t="shared" ref="AJ330:AJ393" si="146">AG330+AI330-rednonop</f>
        <v>7878155</v>
      </c>
      <c r="AK330" s="301">
        <f t="shared" ref="AK330:AK393" si="147">IF(C330=1, AJ330/F330*100, 0)</f>
        <v>21.52134089670497</v>
      </c>
      <c r="AL330" s="70">
        <f t="shared" ref="AL330:AL393" si="148">prelcont436+chapter70</f>
        <v>36644927</v>
      </c>
      <c r="AM330" s="179">
        <f t="shared" ref="AM330:AM393" si="149">IF(found&gt;0,AL330*100/found,0)</f>
        <v>100.10566764704022</v>
      </c>
      <c r="AN330" s="179"/>
      <c r="AO330" s="31">
        <f t="shared" ref="AO330:AO393" si="150">F330-D330</f>
        <v>3322708.0211385824</v>
      </c>
      <c r="AP330" s="31">
        <f t="shared" ref="AP330:AP393" si="151">AJ330-E330</f>
        <v>1996418</v>
      </c>
      <c r="AQ330" s="31">
        <f t="shared" ref="AQ330:AQ393" si="152">AJ330-((J330/100)*F330)</f>
        <v>7812.1011552065611</v>
      </c>
      <c r="AR330" s="180">
        <f t="shared" ref="AR330:AR393" si="153">IF(C330=1, (AJ330/F330*100)-J330, "")</f>
        <v>2.1340896704970191E-2</v>
      </c>
      <c r="AS330" s="31">
        <f t="shared" si="130"/>
        <v>9510.59</v>
      </c>
      <c r="AU330" s="31">
        <f t="shared" ref="AU330:AU393" si="154">VLOOKUP(A330, disthist, 37, FALSE)*$E$6</f>
        <v>0</v>
      </c>
      <c r="AV330" s="177"/>
      <c r="AW330" s="31">
        <f t="shared" ref="AW330:AW393" si="155">IFERROR(AP330/R330, 0)</f>
        <v>518.68485320862567</v>
      </c>
    </row>
    <row r="331" spans="1:49">
      <c r="A331" s="102">
        <v>322</v>
      </c>
      <c r="B331" s="7" t="s">
        <v>2027</v>
      </c>
      <c r="C331" s="7">
        <v>1</v>
      </c>
      <c r="D331" s="62">
        <f t="shared" si="131"/>
        <v>8692760.0099999998</v>
      </c>
      <c r="E331" s="172">
        <f t="shared" si="132"/>
        <v>2957025</v>
      </c>
      <c r="F331" s="62">
        <f t="shared" si="133"/>
        <v>8877321.1119815204</v>
      </c>
      <c r="G331" s="70">
        <f t="shared" si="134"/>
        <v>6760095</v>
      </c>
      <c r="H331" s="62">
        <f t="shared" si="135"/>
        <v>2117226</v>
      </c>
      <c r="I331" s="173">
        <f t="shared" si="136"/>
        <v>0</v>
      </c>
      <c r="J331" s="174">
        <f>ROUND(100-'Townwide Contributions'!K331,2)</f>
        <v>24.44</v>
      </c>
      <c r="K331" s="70">
        <f t="shared" si="137"/>
        <v>2169617</v>
      </c>
      <c r="L331" s="70">
        <f t="shared" si="138"/>
        <v>0</v>
      </c>
      <c r="M331" s="175">
        <f t="shared" si="139"/>
        <v>0</v>
      </c>
      <c r="N331" s="70"/>
      <c r="O331" s="70"/>
      <c r="P331" s="70"/>
      <c r="Q331" s="62">
        <v>868</v>
      </c>
      <c r="R331" s="62">
        <f t="shared" si="140"/>
        <v>862</v>
      </c>
      <c r="S331" s="176"/>
      <c r="T331" s="176"/>
      <c r="U331" s="70"/>
      <c r="V331" s="70"/>
      <c r="W331" s="260"/>
      <c r="X331" s="62">
        <f t="shared" si="141"/>
        <v>0</v>
      </c>
      <c r="Y331" s="70"/>
      <c r="AA331" s="290"/>
      <c r="AB331" s="291"/>
      <c r="AC331" s="62"/>
      <c r="AD331" s="62"/>
      <c r="AE331" s="177">
        <f t="shared" si="142"/>
        <v>25860</v>
      </c>
      <c r="AF331" s="177">
        <f t="shared" si="143"/>
        <v>25860</v>
      </c>
      <c r="AG331" s="70">
        <f t="shared" si="144"/>
        <v>2982885</v>
      </c>
      <c r="AH331" s="70">
        <f t="shared" si="145"/>
        <v>0</v>
      </c>
      <c r="AI331" s="587">
        <v>0</v>
      </c>
      <c r="AJ331" s="178">
        <f t="shared" si="146"/>
        <v>2982885</v>
      </c>
      <c r="AK331" s="301">
        <f t="shared" si="147"/>
        <v>33.601183987521502</v>
      </c>
      <c r="AL331" s="70">
        <f t="shared" si="148"/>
        <v>9742980</v>
      </c>
      <c r="AM331" s="179">
        <f t="shared" si="149"/>
        <v>109.7513526558155</v>
      </c>
      <c r="AN331" s="179"/>
      <c r="AO331" s="31">
        <f t="shared" si="150"/>
        <v>184561.10198152065</v>
      </c>
      <c r="AP331" s="31">
        <f t="shared" si="151"/>
        <v>25860</v>
      </c>
      <c r="AQ331" s="31">
        <f t="shared" si="152"/>
        <v>813267.72023171652</v>
      </c>
      <c r="AR331" s="180">
        <f t="shared" si="153"/>
        <v>9.1611839875215004</v>
      </c>
      <c r="AS331" s="31">
        <f t="shared" ref="AS331:AS394" si="156">IFERROR(ROUND(F331/R331, 2), 0)</f>
        <v>10298.52</v>
      </c>
      <c r="AU331" s="31">
        <f t="shared" si="154"/>
        <v>0</v>
      </c>
      <c r="AV331" s="177"/>
      <c r="AW331" s="31">
        <f t="shared" si="155"/>
        <v>30</v>
      </c>
    </row>
    <row r="332" spans="1:49">
      <c r="A332" s="102">
        <v>323</v>
      </c>
      <c r="B332" s="7" t="s">
        <v>2028</v>
      </c>
      <c r="C332" s="7">
        <v>1</v>
      </c>
      <c r="D332" s="62">
        <f t="shared" si="131"/>
        <v>10285489.059999999</v>
      </c>
      <c r="E332" s="172">
        <f t="shared" si="132"/>
        <v>3631699</v>
      </c>
      <c r="F332" s="62">
        <f t="shared" si="133"/>
        <v>10346624.462660685</v>
      </c>
      <c r="G332" s="70">
        <f t="shared" si="134"/>
        <v>6795040</v>
      </c>
      <c r="H332" s="62">
        <f t="shared" si="135"/>
        <v>3551584</v>
      </c>
      <c r="I332" s="173">
        <f t="shared" si="136"/>
        <v>0</v>
      </c>
      <c r="J332" s="174">
        <f>ROUND(100-'Townwide Contributions'!K332,2)</f>
        <v>34.54</v>
      </c>
      <c r="K332" s="70">
        <f t="shared" si="137"/>
        <v>3573724</v>
      </c>
      <c r="L332" s="70">
        <f t="shared" si="138"/>
        <v>0</v>
      </c>
      <c r="M332" s="175">
        <f t="shared" si="139"/>
        <v>0</v>
      </c>
      <c r="N332" s="70"/>
      <c r="O332" s="70"/>
      <c r="P332" s="70"/>
      <c r="Q332" s="62">
        <v>1050</v>
      </c>
      <c r="R332" s="62">
        <f t="shared" si="140"/>
        <v>1052</v>
      </c>
      <c r="S332" s="176"/>
      <c r="T332" s="176"/>
      <c r="U332" s="70"/>
      <c r="V332" s="70"/>
      <c r="W332" s="260"/>
      <c r="X332" s="62">
        <f t="shared" si="141"/>
        <v>0</v>
      </c>
      <c r="Y332" s="70"/>
      <c r="AA332" s="290"/>
      <c r="AB332" s="291"/>
      <c r="AC332" s="62"/>
      <c r="AD332" s="62"/>
      <c r="AE332" s="177">
        <f t="shared" si="142"/>
        <v>31560</v>
      </c>
      <c r="AF332" s="177">
        <f t="shared" si="143"/>
        <v>31560</v>
      </c>
      <c r="AG332" s="70">
        <f t="shared" si="144"/>
        <v>3663259</v>
      </c>
      <c r="AH332" s="70">
        <f t="shared" si="145"/>
        <v>0</v>
      </c>
      <c r="AI332" s="587">
        <v>0</v>
      </c>
      <c r="AJ332" s="178">
        <f t="shared" si="146"/>
        <v>3663259</v>
      </c>
      <c r="AK332" s="301">
        <f t="shared" si="147"/>
        <v>35.40535382549271</v>
      </c>
      <c r="AL332" s="70">
        <f t="shared" si="148"/>
        <v>10458299</v>
      </c>
      <c r="AM332" s="179">
        <f t="shared" si="149"/>
        <v>101.07933304955959</v>
      </c>
      <c r="AN332" s="179"/>
      <c r="AO332" s="31">
        <f t="shared" si="150"/>
        <v>61135.402660686523</v>
      </c>
      <c r="AP332" s="31">
        <f t="shared" si="151"/>
        <v>31560</v>
      </c>
      <c r="AQ332" s="31">
        <f t="shared" si="152"/>
        <v>89534.91059699934</v>
      </c>
      <c r="AR332" s="180">
        <f t="shared" si="153"/>
        <v>0.86535382549271134</v>
      </c>
      <c r="AS332" s="31">
        <f t="shared" si="156"/>
        <v>9835.19</v>
      </c>
      <c r="AU332" s="31">
        <f t="shared" si="154"/>
        <v>0</v>
      </c>
      <c r="AV332" s="177"/>
      <c r="AW332" s="31">
        <f t="shared" si="155"/>
        <v>30</v>
      </c>
    </row>
    <row r="333" spans="1:49">
      <c r="A333" s="102">
        <v>324</v>
      </c>
      <c r="B333" s="7" t="s">
        <v>2029</v>
      </c>
      <c r="C333" s="7">
        <v>0</v>
      </c>
      <c r="D333" s="62">
        <f t="shared" si="131"/>
        <v>354549.68000000005</v>
      </c>
      <c r="E333" s="172">
        <f t="shared" si="132"/>
        <v>201348</v>
      </c>
      <c r="F333" s="62">
        <f t="shared" si="133"/>
        <v>507435.69877084321</v>
      </c>
      <c r="G333" s="70">
        <f t="shared" si="134"/>
        <v>254467</v>
      </c>
      <c r="H333" s="62">
        <f t="shared" si="135"/>
        <v>252969</v>
      </c>
      <c r="I333" s="173">
        <f t="shared" si="136"/>
        <v>51621</v>
      </c>
      <c r="J333" s="174">
        <f>ROUND(100-'Townwide Contributions'!K333,2)</f>
        <v>50.11</v>
      </c>
      <c r="K333" s="70">
        <f t="shared" si="137"/>
        <v>254276</v>
      </c>
      <c r="L333" s="70">
        <f t="shared" si="138"/>
        <v>0</v>
      </c>
      <c r="M333" s="175">
        <f t="shared" si="139"/>
        <v>0</v>
      </c>
      <c r="N333" s="70"/>
      <c r="O333" s="70"/>
      <c r="P333" s="70"/>
      <c r="Q333" s="62">
        <v>25</v>
      </c>
      <c r="R333" s="62">
        <f t="shared" si="140"/>
        <v>34</v>
      </c>
      <c r="S333" s="176"/>
      <c r="T333" s="176"/>
      <c r="U333" s="70"/>
      <c r="V333" s="70"/>
      <c r="W333" s="260"/>
      <c r="X333" s="62">
        <f t="shared" si="141"/>
        <v>0</v>
      </c>
      <c r="Y333" s="70"/>
      <c r="AA333" s="290"/>
      <c r="AB333" s="291"/>
      <c r="AC333" s="62"/>
      <c r="AD333" s="62"/>
      <c r="AE333" s="177">
        <f t="shared" si="142"/>
        <v>0</v>
      </c>
      <c r="AF333" s="177">
        <f t="shared" si="143"/>
        <v>0</v>
      </c>
      <c r="AG333" s="70">
        <f t="shared" si="144"/>
        <v>252969</v>
      </c>
      <c r="AH333" s="70">
        <f t="shared" si="145"/>
        <v>0</v>
      </c>
      <c r="AI333" s="587">
        <v>0</v>
      </c>
      <c r="AJ333" s="178">
        <f t="shared" si="146"/>
        <v>252969</v>
      </c>
      <c r="AK333" s="301">
        <f t="shared" si="147"/>
        <v>0</v>
      </c>
      <c r="AL333" s="70">
        <f t="shared" si="148"/>
        <v>507436</v>
      </c>
      <c r="AM333" s="179">
        <f t="shared" si="149"/>
        <v>100.00005936302028</v>
      </c>
      <c r="AN333" s="179"/>
      <c r="AO333" s="31">
        <f t="shared" si="150"/>
        <v>152886.01877084316</v>
      </c>
      <c r="AP333" s="31">
        <f t="shared" si="151"/>
        <v>51621</v>
      </c>
      <c r="AQ333" s="31">
        <f t="shared" si="152"/>
        <v>-1307.0286540695233</v>
      </c>
      <c r="AR333" s="180" t="str">
        <f t="shared" si="153"/>
        <v/>
      </c>
      <c r="AS333" s="31">
        <f t="shared" si="156"/>
        <v>14924.58</v>
      </c>
      <c r="AU333" s="31">
        <f t="shared" si="154"/>
        <v>0</v>
      </c>
      <c r="AV333" s="177"/>
      <c r="AW333" s="31">
        <f t="shared" si="155"/>
        <v>1518.2647058823529</v>
      </c>
    </row>
    <row r="334" spans="1:49">
      <c r="A334" s="102">
        <v>325</v>
      </c>
      <c r="B334" s="7" t="s">
        <v>2030</v>
      </c>
      <c r="C334" s="7">
        <v>1</v>
      </c>
      <c r="D334" s="62">
        <f t="shared" si="131"/>
        <v>59795241.399999999</v>
      </c>
      <c r="E334" s="172">
        <f t="shared" si="132"/>
        <v>33656694.488095999</v>
      </c>
      <c r="F334" s="62">
        <f t="shared" si="133"/>
        <v>60917916.743617475</v>
      </c>
      <c r="G334" s="70">
        <f t="shared" si="134"/>
        <v>26596469</v>
      </c>
      <c r="H334" s="62">
        <f t="shared" si="135"/>
        <v>34321448</v>
      </c>
      <c r="I334" s="173">
        <f t="shared" si="136"/>
        <v>664753.51190400124</v>
      </c>
      <c r="J334" s="174">
        <f>ROUND(100-'Townwide Contributions'!K334,2)</f>
        <v>56.74</v>
      </c>
      <c r="K334" s="70">
        <f t="shared" si="137"/>
        <v>34564826</v>
      </c>
      <c r="L334" s="70">
        <f t="shared" si="138"/>
        <v>0</v>
      </c>
      <c r="M334" s="175">
        <f t="shared" si="139"/>
        <v>0</v>
      </c>
      <c r="N334" s="70"/>
      <c r="O334" s="70"/>
      <c r="P334" s="70"/>
      <c r="Q334" s="62">
        <v>5504</v>
      </c>
      <c r="R334" s="62">
        <f t="shared" si="140"/>
        <v>5474</v>
      </c>
      <c r="S334" s="176"/>
      <c r="T334" s="176"/>
      <c r="U334" s="70"/>
      <c r="V334" s="70"/>
      <c r="W334" s="260"/>
      <c r="X334" s="62">
        <f t="shared" si="141"/>
        <v>1</v>
      </c>
      <c r="Y334" s="70"/>
      <c r="AA334" s="290"/>
      <c r="AB334" s="291"/>
      <c r="AC334" s="62"/>
      <c r="AD334" s="62"/>
      <c r="AE334" s="177">
        <f t="shared" si="142"/>
        <v>164220</v>
      </c>
      <c r="AF334" s="177">
        <f t="shared" si="143"/>
        <v>0</v>
      </c>
      <c r="AG334" s="70">
        <f t="shared" si="144"/>
        <v>34321448</v>
      </c>
      <c r="AH334" s="70">
        <f t="shared" si="145"/>
        <v>0</v>
      </c>
      <c r="AI334" s="587">
        <v>0</v>
      </c>
      <c r="AJ334" s="178">
        <f t="shared" si="146"/>
        <v>34321448</v>
      </c>
      <c r="AK334" s="301">
        <f t="shared" si="147"/>
        <v>56.34048213507883</v>
      </c>
      <c r="AL334" s="70">
        <f t="shared" si="148"/>
        <v>60917917</v>
      </c>
      <c r="AM334" s="179">
        <f t="shared" si="149"/>
        <v>100.00000042086555</v>
      </c>
      <c r="AN334" s="179"/>
      <c r="AO334" s="31">
        <f t="shared" si="150"/>
        <v>1122675.3436174765</v>
      </c>
      <c r="AP334" s="31">
        <f t="shared" si="151"/>
        <v>664753.51190400124</v>
      </c>
      <c r="AQ334" s="31">
        <f t="shared" si="152"/>
        <v>-243377.9603285566</v>
      </c>
      <c r="AR334" s="180">
        <f t="shared" si="153"/>
        <v>-0.39951786492117236</v>
      </c>
      <c r="AS334" s="31">
        <f t="shared" si="156"/>
        <v>11128.59</v>
      </c>
      <c r="AU334" s="31">
        <f t="shared" si="154"/>
        <v>0</v>
      </c>
      <c r="AV334" s="177"/>
      <c r="AW334" s="31">
        <f t="shared" si="155"/>
        <v>121.43834707782266</v>
      </c>
    </row>
    <row r="335" spans="1:49">
      <c r="A335" s="102">
        <v>326</v>
      </c>
      <c r="B335" s="7" t="s">
        <v>2031</v>
      </c>
      <c r="C335" s="7">
        <v>1</v>
      </c>
      <c r="D335" s="62">
        <f t="shared" si="131"/>
        <v>45233495.410999998</v>
      </c>
      <c r="E335" s="172">
        <f t="shared" si="132"/>
        <v>16706565</v>
      </c>
      <c r="F335" s="62">
        <f t="shared" si="133"/>
        <v>46319271.278671294</v>
      </c>
      <c r="G335" s="70">
        <f t="shared" si="134"/>
        <v>35059135</v>
      </c>
      <c r="H335" s="62">
        <f t="shared" si="135"/>
        <v>11260136</v>
      </c>
      <c r="I335" s="173">
        <f t="shared" si="136"/>
        <v>0</v>
      </c>
      <c r="J335" s="174">
        <f>ROUND(100-'Townwide Contributions'!K335,2)</f>
        <v>24.31</v>
      </c>
      <c r="K335" s="70">
        <f t="shared" si="137"/>
        <v>11260215</v>
      </c>
      <c r="L335" s="70">
        <f t="shared" si="138"/>
        <v>0</v>
      </c>
      <c r="M335" s="175">
        <f t="shared" si="139"/>
        <v>0</v>
      </c>
      <c r="N335" s="70"/>
      <c r="O335" s="70"/>
      <c r="P335" s="70"/>
      <c r="Q335" s="62">
        <v>4908</v>
      </c>
      <c r="R335" s="62">
        <f t="shared" si="140"/>
        <v>4883</v>
      </c>
      <c r="S335" s="176"/>
      <c r="T335" s="176"/>
      <c r="U335" s="70"/>
      <c r="V335" s="70"/>
      <c r="W335" s="260"/>
      <c r="X335" s="62">
        <f t="shared" si="141"/>
        <v>0</v>
      </c>
      <c r="Y335" s="70"/>
      <c r="AA335" s="290"/>
      <c r="AB335" s="291"/>
      <c r="AC335" s="62"/>
      <c r="AD335" s="62"/>
      <c r="AE335" s="177">
        <f t="shared" si="142"/>
        <v>146490</v>
      </c>
      <c r="AF335" s="177">
        <f t="shared" si="143"/>
        <v>146490</v>
      </c>
      <c r="AG335" s="70">
        <f t="shared" si="144"/>
        <v>16853055</v>
      </c>
      <c r="AH335" s="70">
        <f t="shared" si="145"/>
        <v>0</v>
      </c>
      <c r="AI335" s="587">
        <v>0</v>
      </c>
      <c r="AJ335" s="178">
        <f t="shared" si="146"/>
        <v>16853055</v>
      </c>
      <c r="AK335" s="301">
        <f t="shared" si="147"/>
        <v>36.384542620730628</v>
      </c>
      <c r="AL335" s="70">
        <f t="shared" si="148"/>
        <v>51912190</v>
      </c>
      <c r="AM335" s="179">
        <f t="shared" si="149"/>
        <v>112.07471224596766</v>
      </c>
      <c r="AN335" s="179"/>
      <c r="AO335" s="31">
        <f t="shared" si="150"/>
        <v>1085775.867671296</v>
      </c>
      <c r="AP335" s="31">
        <f t="shared" si="151"/>
        <v>146490</v>
      </c>
      <c r="AQ335" s="31">
        <f t="shared" si="152"/>
        <v>5592840.15215501</v>
      </c>
      <c r="AR335" s="180">
        <f t="shared" si="153"/>
        <v>12.074542620730629</v>
      </c>
      <c r="AS335" s="31">
        <f t="shared" si="156"/>
        <v>9485.82</v>
      </c>
      <c r="AU335" s="31">
        <f t="shared" si="154"/>
        <v>0</v>
      </c>
      <c r="AV335" s="177"/>
      <c r="AW335" s="31">
        <f t="shared" si="155"/>
        <v>30</v>
      </c>
    </row>
    <row r="336" spans="1:49">
      <c r="A336" s="102">
        <v>327</v>
      </c>
      <c r="B336" s="7" t="s">
        <v>2032</v>
      </c>
      <c r="C336" s="7">
        <v>1</v>
      </c>
      <c r="D336" s="62">
        <f t="shared" si="131"/>
        <v>1360673</v>
      </c>
      <c r="E336" s="172">
        <f t="shared" si="132"/>
        <v>465470</v>
      </c>
      <c r="F336" s="62">
        <f t="shared" si="133"/>
        <v>1297572.8942240474</v>
      </c>
      <c r="G336" s="70">
        <f t="shared" si="134"/>
        <v>918872</v>
      </c>
      <c r="H336" s="62">
        <f t="shared" si="135"/>
        <v>378701</v>
      </c>
      <c r="I336" s="173">
        <f t="shared" si="136"/>
        <v>0</v>
      </c>
      <c r="J336" s="174">
        <f>ROUND(100-'Townwide Contributions'!K336,2)</f>
        <v>29.88</v>
      </c>
      <c r="K336" s="70">
        <f t="shared" si="137"/>
        <v>387715</v>
      </c>
      <c r="L336" s="70">
        <f t="shared" si="138"/>
        <v>0</v>
      </c>
      <c r="M336" s="175">
        <f t="shared" si="139"/>
        <v>0</v>
      </c>
      <c r="N336" s="70"/>
      <c r="O336" s="70"/>
      <c r="P336" s="70"/>
      <c r="Q336" s="62">
        <v>140</v>
      </c>
      <c r="R336" s="62">
        <f t="shared" si="140"/>
        <v>131</v>
      </c>
      <c r="S336" s="176"/>
      <c r="T336" s="176"/>
      <c r="U336" s="70"/>
      <c r="V336" s="70"/>
      <c r="W336" s="260"/>
      <c r="X336" s="62">
        <f t="shared" si="141"/>
        <v>0</v>
      </c>
      <c r="Y336" s="70"/>
      <c r="AA336" s="290"/>
      <c r="AB336" s="291"/>
      <c r="AC336" s="62"/>
      <c r="AD336" s="62"/>
      <c r="AE336" s="177">
        <f t="shared" si="142"/>
        <v>3930</v>
      </c>
      <c r="AF336" s="177">
        <f t="shared" si="143"/>
        <v>3930</v>
      </c>
      <c r="AG336" s="70">
        <f t="shared" si="144"/>
        <v>469400</v>
      </c>
      <c r="AH336" s="70">
        <f t="shared" si="145"/>
        <v>0</v>
      </c>
      <c r="AI336" s="587">
        <v>0</v>
      </c>
      <c r="AJ336" s="178">
        <f t="shared" si="146"/>
        <v>469400</v>
      </c>
      <c r="AK336" s="301">
        <f t="shared" si="147"/>
        <v>36.17523162586582</v>
      </c>
      <c r="AL336" s="70">
        <f t="shared" si="148"/>
        <v>1388272</v>
      </c>
      <c r="AM336" s="179">
        <f t="shared" si="149"/>
        <v>106.98990447316572</v>
      </c>
      <c r="AN336" s="179"/>
      <c r="AO336" s="31">
        <f t="shared" si="150"/>
        <v>-63100.105775952572</v>
      </c>
      <c r="AP336" s="31">
        <f t="shared" si="151"/>
        <v>3930</v>
      </c>
      <c r="AQ336" s="31">
        <f t="shared" si="152"/>
        <v>81685.219205854635</v>
      </c>
      <c r="AR336" s="180">
        <f t="shared" si="153"/>
        <v>6.2952316258658207</v>
      </c>
      <c r="AS336" s="31">
        <f t="shared" si="156"/>
        <v>9905.14</v>
      </c>
      <c r="AU336" s="31">
        <f t="shared" si="154"/>
        <v>0</v>
      </c>
      <c r="AV336" s="177"/>
      <c r="AW336" s="31">
        <f t="shared" si="155"/>
        <v>30</v>
      </c>
    </row>
    <row r="337" spans="1:49">
      <c r="A337" s="102">
        <v>328</v>
      </c>
      <c r="B337" s="7" t="s">
        <v>2033</v>
      </c>
      <c r="C337" s="7">
        <v>0</v>
      </c>
      <c r="D337" s="62">
        <f t="shared" si="131"/>
        <v>0</v>
      </c>
      <c r="E337" s="172">
        <f t="shared" si="132"/>
        <v>0</v>
      </c>
      <c r="F337" s="62">
        <f t="shared" si="133"/>
        <v>0</v>
      </c>
      <c r="G337" s="70">
        <f t="shared" si="134"/>
        <v>0</v>
      </c>
      <c r="H337" s="62">
        <f t="shared" si="135"/>
        <v>0</v>
      </c>
      <c r="I337" s="173">
        <f t="shared" si="136"/>
        <v>0</v>
      </c>
      <c r="J337" s="174">
        <f>ROUND(100-'Townwide Contributions'!K337,2)</f>
        <v>40.24</v>
      </c>
      <c r="K337" s="70">
        <f t="shared" si="137"/>
        <v>0</v>
      </c>
      <c r="L337" s="70">
        <f t="shared" si="138"/>
        <v>0</v>
      </c>
      <c r="M337" s="175">
        <f t="shared" si="139"/>
        <v>0</v>
      </c>
      <c r="N337" s="70"/>
      <c r="O337" s="70"/>
      <c r="P337" s="70"/>
      <c r="Q337" s="62">
        <v>0</v>
      </c>
      <c r="R337" s="62">
        <f t="shared" si="140"/>
        <v>0</v>
      </c>
      <c r="S337" s="176"/>
      <c r="T337" s="176"/>
      <c r="U337" s="70"/>
      <c r="V337" s="70"/>
      <c r="W337" s="260"/>
      <c r="X337" s="62">
        <f t="shared" si="141"/>
        <v>0</v>
      </c>
      <c r="Y337" s="70"/>
      <c r="AA337" s="290"/>
      <c r="AB337" s="291"/>
      <c r="AC337" s="62"/>
      <c r="AD337" s="62"/>
      <c r="AE337" s="177">
        <f t="shared" si="142"/>
        <v>0</v>
      </c>
      <c r="AF337" s="177">
        <f t="shared" si="143"/>
        <v>0</v>
      </c>
      <c r="AG337" s="70">
        <f t="shared" si="144"/>
        <v>0</v>
      </c>
      <c r="AH337" s="70">
        <f t="shared" si="145"/>
        <v>0</v>
      </c>
      <c r="AI337" s="587">
        <v>0</v>
      </c>
      <c r="AJ337" s="178">
        <f t="shared" si="146"/>
        <v>0</v>
      </c>
      <c r="AK337" s="301">
        <f t="shared" si="147"/>
        <v>0</v>
      </c>
      <c r="AL337" s="70">
        <f t="shared" si="148"/>
        <v>0</v>
      </c>
      <c r="AM337" s="179">
        <f t="shared" si="149"/>
        <v>0</v>
      </c>
      <c r="AN337" s="179"/>
      <c r="AO337" s="31">
        <f t="shared" si="150"/>
        <v>0</v>
      </c>
      <c r="AP337" s="31">
        <f t="shared" si="151"/>
        <v>0</v>
      </c>
      <c r="AQ337" s="31">
        <f t="shared" si="152"/>
        <v>0</v>
      </c>
      <c r="AR337" s="180" t="str">
        <f t="shared" si="153"/>
        <v/>
      </c>
      <c r="AS337" s="31">
        <f t="shared" si="156"/>
        <v>0</v>
      </c>
      <c r="AU337" s="31">
        <f t="shared" si="154"/>
        <v>0</v>
      </c>
      <c r="AV337" s="177"/>
      <c r="AW337" s="31">
        <f t="shared" si="155"/>
        <v>0</v>
      </c>
    </row>
    <row r="338" spans="1:49">
      <c r="A338" s="102">
        <v>329</v>
      </c>
      <c r="B338" s="7" t="s">
        <v>2034</v>
      </c>
      <c r="C338" s="7">
        <v>0</v>
      </c>
      <c r="D338" s="62">
        <f t="shared" si="131"/>
        <v>0</v>
      </c>
      <c r="E338" s="172">
        <f t="shared" si="132"/>
        <v>0</v>
      </c>
      <c r="F338" s="62">
        <f t="shared" si="133"/>
        <v>13416.833343589547</v>
      </c>
      <c r="G338" s="70">
        <f t="shared" si="134"/>
        <v>11105</v>
      </c>
      <c r="H338" s="62">
        <f t="shared" si="135"/>
        <v>2312</v>
      </c>
      <c r="I338" s="173">
        <f t="shared" si="136"/>
        <v>2312</v>
      </c>
      <c r="J338" s="174">
        <f>ROUND(100-'Townwide Contributions'!K338,2)</f>
        <v>17.5</v>
      </c>
      <c r="K338" s="70">
        <f t="shared" si="137"/>
        <v>2348</v>
      </c>
      <c r="L338" s="70">
        <f t="shared" si="138"/>
        <v>0</v>
      </c>
      <c r="M338" s="175">
        <f t="shared" si="139"/>
        <v>0</v>
      </c>
      <c r="N338" s="70"/>
      <c r="O338" s="70"/>
      <c r="P338" s="70"/>
      <c r="Q338" s="62">
        <v>0</v>
      </c>
      <c r="R338" s="62">
        <f t="shared" si="140"/>
        <v>1</v>
      </c>
      <c r="S338" s="176"/>
      <c r="T338" s="176"/>
      <c r="U338" s="70"/>
      <c r="V338" s="70"/>
      <c r="W338" s="260"/>
      <c r="X338" s="62">
        <f t="shared" si="141"/>
        <v>0</v>
      </c>
      <c r="Y338" s="70"/>
      <c r="AA338" s="290"/>
      <c r="AB338" s="291"/>
      <c r="AC338" s="62"/>
      <c r="AD338" s="62"/>
      <c r="AE338" s="177">
        <f t="shared" si="142"/>
        <v>0</v>
      </c>
      <c r="AF338" s="177">
        <f t="shared" si="143"/>
        <v>0</v>
      </c>
      <c r="AG338" s="70">
        <f t="shared" si="144"/>
        <v>2312</v>
      </c>
      <c r="AH338" s="70">
        <f t="shared" si="145"/>
        <v>0</v>
      </c>
      <c r="AI338" s="587">
        <v>0</v>
      </c>
      <c r="AJ338" s="178">
        <f t="shared" si="146"/>
        <v>2312</v>
      </c>
      <c r="AK338" s="301">
        <f t="shared" si="147"/>
        <v>0</v>
      </c>
      <c r="AL338" s="70">
        <f t="shared" si="148"/>
        <v>13417</v>
      </c>
      <c r="AM338" s="179">
        <f t="shared" si="149"/>
        <v>100.0012421441497</v>
      </c>
      <c r="AN338" s="179"/>
      <c r="AO338" s="31">
        <f t="shared" si="150"/>
        <v>13416.833343589547</v>
      </c>
      <c r="AP338" s="31">
        <f t="shared" si="151"/>
        <v>2312</v>
      </c>
      <c r="AQ338" s="31">
        <f t="shared" si="152"/>
        <v>-35.945835128170529</v>
      </c>
      <c r="AR338" s="180" t="str">
        <f t="shared" si="153"/>
        <v/>
      </c>
      <c r="AS338" s="31">
        <f t="shared" si="156"/>
        <v>13416.83</v>
      </c>
      <c r="AU338" s="31">
        <f t="shared" si="154"/>
        <v>0</v>
      </c>
      <c r="AV338" s="177"/>
      <c r="AW338" s="31">
        <f t="shared" si="155"/>
        <v>2312</v>
      </c>
    </row>
    <row r="339" spans="1:49">
      <c r="A339" s="102">
        <v>330</v>
      </c>
      <c r="B339" s="7" t="s">
        <v>2035</v>
      </c>
      <c r="C339" s="7">
        <v>1</v>
      </c>
      <c r="D339" s="62">
        <f t="shared" si="131"/>
        <v>20900052.866529997</v>
      </c>
      <c r="E339" s="172">
        <f t="shared" si="132"/>
        <v>3317129</v>
      </c>
      <c r="F339" s="62">
        <f t="shared" si="133"/>
        <v>21251738.294267315</v>
      </c>
      <c r="G339" s="70">
        <f t="shared" si="134"/>
        <v>17672626</v>
      </c>
      <c r="H339" s="62">
        <f t="shared" si="135"/>
        <v>3579112</v>
      </c>
      <c r="I339" s="173">
        <f t="shared" si="136"/>
        <v>261983</v>
      </c>
      <c r="J339" s="174">
        <f>ROUND(100-'Townwide Contributions'!K339,2)</f>
        <v>17.5</v>
      </c>
      <c r="K339" s="70">
        <f t="shared" si="137"/>
        <v>3719054</v>
      </c>
      <c r="L339" s="70">
        <f t="shared" si="138"/>
        <v>0</v>
      </c>
      <c r="M339" s="175">
        <f t="shared" si="139"/>
        <v>0</v>
      </c>
      <c r="N339" s="70"/>
      <c r="O339" s="70"/>
      <c r="P339" s="70"/>
      <c r="Q339" s="62">
        <v>2181</v>
      </c>
      <c r="R339" s="62">
        <f t="shared" si="140"/>
        <v>2159</v>
      </c>
      <c r="S339" s="176"/>
      <c r="T339" s="176"/>
      <c r="U339" s="70"/>
      <c r="V339" s="70"/>
      <c r="W339" s="260"/>
      <c r="X339" s="62">
        <f t="shared" si="141"/>
        <v>1</v>
      </c>
      <c r="Y339" s="70"/>
      <c r="AA339" s="290"/>
      <c r="AB339" s="291"/>
      <c r="AC339" s="62"/>
      <c r="AD339" s="62"/>
      <c r="AE339" s="177">
        <f t="shared" si="142"/>
        <v>64770</v>
      </c>
      <c r="AF339" s="177">
        <f t="shared" si="143"/>
        <v>0</v>
      </c>
      <c r="AG339" s="70">
        <f t="shared" si="144"/>
        <v>3579112</v>
      </c>
      <c r="AH339" s="70">
        <f t="shared" si="145"/>
        <v>0</v>
      </c>
      <c r="AI339" s="587">
        <v>0</v>
      </c>
      <c r="AJ339" s="178">
        <f t="shared" si="146"/>
        <v>3579112</v>
      </c>
      <c r="AK339" s="301">
        <f t="shared" si="147"/>
        <v>16.84150233002573</v>
      </c>
      <c r="AL339" s="70">
        <f t="shared" si="148"/>
        <v>21251738</v>
      </c>
      <c r="AM339" s="179">
        <f t="shared" si="149"/>
        <v>99.999998615325907</v>
      </c>
      <c r="AN339" s="179"/>
      <c r="AO339" s="31">
        <f t="shared" si="150"/>
        <v>351685.42773731798</v>
      </c>
      <c r="AP339" s="31">
        <f t="shared" si="151"/>
        <v>261983</v>
      </c>
      <c r="AQ339" s="31">
        <f t="shared" si="152"/>
        <v>-139942.20149677992</v>
      </c>
      <c r="AR339" s="180">
        <f t="shared" si="153"/>
        <v>-0.65849766997427039</v>
      </c>
      <c r="AS339" s="31">
        <f t="shared" si="156"/>
        <v>9843.32</v>
      </c>
      <c r="AU339" s="31">
        <f t="shared" si="154"/>
        <v>0</v>
      </c>
      <c r="AV339" s="177"/>
      <c r="AW339" s="31">
        <f t="shared" si="155"/>
        <v>121.34460398332561</v>
      </c>
    </row>
    <row r="340" spans="1:49">
      <c r="A340" s="102">
        <v>331</v>
      </c>
      <c r="B340" s="7" t="s">
        <v>2036</v>
      </c>
      <c r="C340" s="7">
        <v>1</v>
      </c>
      <c r="D340" s="62">
        <f t="shared" si="131"/>
        <v>14911266.000000002</v>
      </c>
      <c r="E340" s="172">
        <f t="shared" si="132"/>
        <v>4425482</v>
      </c>
      <c r="F340" s="62">
        <f t="shared" si="133"/>
        <v>14885291.294271678</v>
      </c>
      <c r="G340" s="70">
        <f t="shared" si="134"/>
        <v>12354601</v>
      </c>
      <c r="H340" s="62">
        <f t="shared" si="135"/>
        <v>2530690</v>
      </c>
      <c r="I340" s="173">
        <f t="shared" si="136"/>
        <v>0</v>
      </c>
      <c r="J340" s="174">
        <f>ROUND(100-'Townwide Contributions'!K340,2)</f>
        <v>17.5</v>
      </c>
      <c r="K340" s="70">
        <f t="shared" si="137"/>
        <v>2604926</v>
      </c>
      <c r="L340" s="70">
        <f t="shared" si="138"/>
        <v>0</v>
      </c>
      <c r="M340" s="175">
        <f t="shared" si="139"/>
        <v>0</v>
      </c>
      <c r="N340" s="70"/>
      <c r="O340" s="70"/>
      <c r="P340" s="70"/>
      <c r="Q340" s="62">
        <v>1522</v>
      </c>
      <c r="R340" s="62">
        <f t="shared" si="140"/>
        <v>1491</v>
      </c>
      <c r="S340" s="176"/>
      <c r="T340" s="176"/>
      <c r="U340" s="70"/>
      <c r="V340" s="70"/>
      <c r="W340" s="260"/>
      <c r="X340" s="62">
        <f t="shared" si="141"/>
        <v>0</v>
      </c>
      <c r="Y340" s="70"/>
      <c r="AA340" s="290"/>
      <c r="AB340" s="291"/>
      <c r="AC340" s="62"/>
      <c r="AD340" s="62"/>
      <c r="AE340" s="177">
        <f t="shared" si="142"/>
        <v>44730</v>
      </c>
      <c r="AF340" s="177">
        <f t="shared" si="143"/>
        <v>44730</v>
      </c>
      <c r="AG340" s="70">
        <f t="shared" si="144"/>
        <v>4470212</v>
      </c>
      <c r="AH340" s="70">
        <f t="shared" si="145"/>
        <v>0</v>
      </c>
      <c r="AI340" s="587">
        <v>0</v>
      </c>
      <c r="AJ340" s="178">
        <f t="shared" si="146"/>
        <v>4470212</v>
      </c>
      <c r="AK340" s="301">
        <f t="shared" si="147"/>
        <v>30.031068332000171</v>
      </c>
      <c r="AL340" s="70">
        <f t="shared" si="148"/>
        <v>16824813</v>
      </c>
      <c r="AM340" s="179">
        <f t="shared" si="149"/>
        <v>113.02978670276147</v>
      </c>
      <c r="AN340" s="179"/>
      <c r="AO340" s="31">
        <f t="shared" si="150"/>
        <v>-25974.70572832413</v>
      </c>
      <c r="AP340" s="31">
        <f t="shared" si="151"/>
        <v>44730</v>
      </c>
      <c r="AQ340" s="31">
        <f t="shared" si="152"/>
        <v>1865286.0235024565</v>
      </c>
      <c r="AR340" s="180">
        <f t="shared" si="153"/>
        <v>12.531068332000171</v>
      </c>
      <c r="AS340" s="31">
        <f t="shared" si="156"/>
        <v>9983.43</v>
      </c>
      <c r="AU340" s="31">
        <f t="shared" si="154"/>
        <v>0</v>
      </c>
      <c r="AV340" s="177"/>
      <c r="AW340" s="31">
        <f t="shared" si="155"/>
        <v>30</v>
      </c>
    </row>
    <row r="341" spans="1:49">
      <c r="A341" s="102">
        <v>332</v>
      </c>
      <c r="B341" s="7" t="s">
        <v>2037</v>
      </c>
      <c r="C341" s="7">
        <v>1</v>
      </c>
      <c r="D341" s="62">
        <f t="shared" si="131"/>
        <v>44295065.429999992</v>
      </c>
      <c r="E341" s="172">
        <f t="shared" si="132"/>
        <v>24082496</v>
      </c>
      <c r="F341" s="62">
        <f t="shared" si="133"/>
        <v>46379224.347272687</v>
      </c>
      <c r="G341" s="70">
        <f t="shared" si="134"/>
        <v>20257037</v>
      </c>
      <c r="H341" s="62">
        <f t="shared" si="135"/>
        <v>26122187</v>
      </c>
      <c r="I341" s="173">
        <f t="shared" si="136"/>
        <v>2039691</v>
      </c>
      <c r="J341" s="174">
        <f>ROUND(100-'Townwide Contributions'!K341,2)</f>
        <v>56.17</v>
      </c>
      <c r="K341" s="70">
        <f t="shared" si="137"/>
        <v>26051210</v>
      </c>
      <c r="L341" s="70">
        <f t="shared" si="138"/>
        <v>0</v>
      </c>
      <c r="M341" s="175">
        <f t="shared" si="139"/>
        <v>0</v>
      </c>
      <c r="N341" s="70"/>
      <c r="O341" s="70"/>
      <c r="P341" s="70"/>
      <c r="Q341" s="62">
        <v>3980</v>
      </c>
      <c r="R341" s="62">
        <f t="shared" si="140"/>
        <v>4082</v>
      </c>
      <c r="S341" s="176"/>
      <c r="T341" s="176"/>
      <c r="U341" s="70"/>
      <c r="V341" s="70"/>
      <c r="W341" s="260"/>
      <c r="X341" s="62">
        <f t="shared" si="141"/>
        <v>1</v>
      </c>
      <c r="Y341" s="70"/>
      <c r="AA341" s="290"/>
      <c r="AB341" s="291"/>
      <c r="AC341" s="62"/>
      <c r="AD341" s="62"/>
      <c r="AE341" s="177">
        <f t="shared" si="142"/>
        <v>122460</v>
      </c>
      <c r="AF341" s="177">
        <f t="shared" si="143"/>
        <v>0</v>
      </c>
      <c r="AG341" s="70">
        <f t="shared" si="144"/>
        <v>26122187</v>
      </c>
      <c r="AH341" s="70">
        <f t="shared" si="145"/>
        <v>0</v>
      </c>
      <c r="AI341" s="587">
        <v>0</v>
      </c>
      <c r="AJ341" s="178">
        <f t="shared" si="146"/>
        <v>26122187</v>
      </c>
      <c r="AK341" s="301">
        <f t="shared" si="147"/>
        <v>56.323035513499498</v>
      </c>
      <c r="AL341" s="70">
        <f t="shared" si="148"/>
        <v>46379224</v>
      </c>
      <c r="AM341" s="179">
        <f t="shared" si="149"/>
        <v>99.999999251232225</v>
      </c>
      <c r="AN341" s="179"/>
      <c r="AO341" s="31">
        <f t="shared" si="150"/>
        <v>2084158.9172726944</v>
      </c>
      <c r="AP341" s="31">
        <f t="shared" si="151"/>
        <v>2039691</v>
      </c>
      <c r="AQ341" s="31">
        <f t="shared" si="152"/>
        <v>70976.684136934578</v>
      </c>
      <c r="AR341" s="180">
        <f t="shared" si="153"/>
        <v>0.15303551349949629</v>
      </c>
      <c r="AS341" s="31">
        <f t="shared" si="156"/>
        <v>11361.89</v>
      </c>
      <c r="AU341" s="31">
        <f t="shared" si="154"/>
        <v>0</v>
      </c>
      <c r="AV341" s="177"/>
      <c r="AW341" s="31">
        <f t="shared" si="155"/>
        <v>499.67932386085255</v>
      </c>
    </row>
    <row r="342" spans="1:49">
      <c r="A342" s="102">
        <v>333</v>
      </c>
      <c r="B342" s="7" t="s">
        <v>2038</v>
      </c>
      <c r="C342" s="7">
        <v>0</v>
      </c>
      <c r="D342" s="62">
        <f t="shared" si="131"/>
        <v>0</v>
      </c>
      <c r="E342" s="172">
        <f t="shared" si="132"/>
        <v>0</v>
      </c>
      <c r="F342" s="62">
        <f t="shared" si="133"/>
        <v>0</v>
      </c>
      <c r="G342" s="70">
        <f t="shared" si="134"/>
        <v>0</v>
      </c>
      <c r="H342" s="62">
        <f t="shared" si="135"/>
        <v>0</v>
      </c>
      <c r="I342" s="173">
        <f t="shared" si="136"/>
        <v>0</v>
      </c>
      <c r="J342" s="174">
        <f>ROUND(100-'Townwide Contributions'!K342,2)</f>
        <v>17.5</v>
      </c>
      <c r="K342" s="70">
        <f t="shared" si="137"/>
        <v>0</v>
      </c>
      <c r="L342" s="70">
        <f t="shared" si="138"/>
        <v>0</v>
      </c>
      <c r="M342" s="175">
        <f t="shared" si="139"/>
        <v>0</v>
      </c>
      <c r="N342" s="70"/>
      <c r="O342" s="70"/>
      <c r="P342" s="70"/>
      <c r="Q342" s="62">
        <v>0</v>
      </c>
      <c r="R342" s="62">
        <f t="shared" si="140"/>
        <v>0</v>
      </c>
      <c r="S342" s="176"/>
      <c r="T342" s="176"/>
      <c r="U342" s="70"/>
      <c r="V342" s="70"/>
      <c r="W342" s="260"/>
      <c r="X342" s="62">
        <f t="shared" si="141"/>
        <v>0</v>
      </c>
      <c r="Y342" s="70"/>
      <c r="AA342" s="290"/>
      <c r="AB342" s="291"/>
      <c r="AC342" s="62"/>
      <c r="AD342" s="62"/>
      <c r="AE342" s="177">
        <f t="shared" si="142"/>
        <v>0</v>
      </c>
      <c r="AF342" s="177">
        <f t="shared" si="143"/>
        <v>0</v>
      </c>
      <c r="AG342" s="70">
        <f t="shared" si="144"/>
        <v>0</v>
      </c>
      <c r="AH342" s="70">
        <f t="shared" si="145"/>
        <v>0</v>
      </c>
      <c r="AI342" s="587">
        <v>0</v>
      </c>
      <c r="AJ342" s="178">
        <f t="shared" si="146"/>
        <v>0</v>
      </c>
      <c r="AK342" s="301">
        <f t="shared" si="147"/>
        <v>0</v>
      </c>
      <c r="AL342" s="70">
        <f t="shared" si="148"/>
        <v>0</v>
      </c>
      <c r="AM342" s="179">
        <f t="shared" si="149"/>
        <v>0</v>
      </c>
      <c r="AN342" s="179"/>
      <c r="AO342" s="31">
        <f t="shared" si="150"/>
        <v>0</v>
      </c>
      <c r="AP342" s="31">
        <f t="shared" si="151"/>
        <v>0</v>
      </c>
      <c r="AQ342" s="31">
        <f t="shared" si="152"/>
        <v>0</v>
      </c>
      <c r="AR342" s="180" t="str">
        <f t="shared" si="153"/>
        <v/>
      </c>
      <c r="AS342" s="31">
        <f t="shared" si="156"/>
        <v>0</v>
      </c>
      <c r="AU342" s="31">
        <f t="shared" si="154"/>
        <v>0</v>
      </c>
      <c r="AV342" s="177"/>
      <c r="AW342" s="31">
        <f t="shared" si="155"/>
        <v>0</v>
      </c>
    </row>
    <row r="343" spans="1:49">
      <c r="A343" s="102">
        <v>334</v>
      </c>
      <c r="B343" s="7" t="s">
        <v>2039</v>
      </c>
      <c r="C343" s="7">
        <v>0</v>
      </c>
      <c r="D343" s="62">
        <f t="shared" si="131"/>
        <v>0</v>
      </c>
      <c r="E343" s="172">
        <f t="shared" si="132"/>
        <v>0</v>
      </c>
      <c r="F343" s="62">
        <f t="shared" si="133"/>
        <v>0</v>
      </c>
      <c r="G343" s="70">
        <f t="shared" si="134"/>
        <v>0</v>
      </c>
      <c r="H343" s="62">
        <f t="shared" si="135"/>
        <v>0</v>
      </c>
      <c r="I343" s="173">
        <f t="shared" si="136"/>
        <v>0</v>
      </c>
      <c r="J343" s="174">
        <f>ROUND(100-'Townwide Contributions'!K343,2)</f>
        <v>17.5</v>
      </c>
      <c r="K343" s="70">
        <f t="shared" si="137"/>
        <v>0</v>
      </c>
      <c r="L343" s="70">
        <f t="shared" si="138"/>
        <v>0</v>
      </c>
      <c r="M343" s="175">
        <f t="shared" si="139"/>
        <v>0</v>
      </c>
      <c r="N343" s="70"/>
      <c r="O343" s="70"/>
      <c r="P343" s="70"/>
      <c r="Q343" s="62">
        <v>0</v>
      </c>
      <c r="R343" s="62">
        <f t="shared" si="140"/>
        <v>0</v>
      </c>
      <c r="S343" s="176"/>
      <c r="T343" s="176"/>
      <c r="U343" s="70"/>
      <c r="V343" s="70"/>
      <c r="W343" s="260"/>
      <c r="X343" s="62">
        <f t="shared" si="141"/>
        <v>0</v>
      </c>
      <c r="Y343" s="70"/>
      <c r="AA343" s="290"/>
      <c r="AB343" s="291"/>
      <c r="AC343" s="62"/>
      <c r="AD343" s="62"/>
      <c r="AE343" s="177">
        <f t="shared" si="142"/>
        <v>0</v>
      </c>
      <c r="AF343" s="177">
        <f t="shared" si="143"/>
        <v>0</v>
      </c>
      <c r="AG343" s="70">
        <f t="shared" si="144"/>
        <v>0</v>
      </c>
      <c r="AH343" s="70">
        <f t="shared" si="145"/>
        <v>0</v>
      </c>
      <c r="AI343" s="587">
        <v>0</v>
      </c>
      <c r="AJ343" s="178">
        <f t="shared" si="146"/>
        <v>0</v>
      </c>
      <c r="AK343" s="301">
        <f t="shared" si="147"/>
        <v>0</v>
      </c>
      <c r="AL343" s="70">
        <f t="shared" si="148"/>
        <v>0</v>
      </c>
      <c r="AM343" s="179">
        <f t="shared" si="149"/>
        <v>0</v>
      </c>
      <c r="AN343" s="179"/>
      <c r="AO343" s="31">
        <f t="shared" si="150"/>
        <v>0</v>
      </c>
      <c r="AP343" s="31">
        <f t="shared" si="151"/>
        <v>0</v>
      </c>
      <c r="AQ343" s="31">
        <f t="shared" si="152"/>
        <v>0</v>
      </c>
      <c r="AR343" s="180" t="str">
        <f t="shared" si="153"/>
        <v/>
      </c>
      <c r="AS343" s="31">
        <f t="shared" si="156"/>
        <v>0</v>
      </c>
      <c r="AU343" s="31">
        <f t="shared" si="154"/>
        <v>0</v>
      </c>
      <c r="AV343" s="177"/>
      <c r="AW343" s="31">
        <f t="shared" si="155"/>
        <v>0</v>
      </c>
    </row>
    <row r="344" spans="1:49">
      <c r="A344" s="102">
        <v>335</v>
      </c>
      <c r="B344" s="7" t="s">
        <v>2040</v>
      </c>
      <c r="C344" s="7">
        <v>1</v>
      </c>
      <c r="D344" s="62">
        <f t="shared" si="131"/>
        <v>29301469.672719996</v>
      </c>
      <c r="E344" s="172">
        <f t="shared" si="132"/>
        <v>4971877.9092836883</v>
      </c>
      <c r="F344" s="62">
        <f t="shared" si="133"/>
        <v>30014821.710917722</v>
      </c>
      <c r="G344" s="70">
        <f t="shared" si="134"/>
        <v>24903789</v>
      </c>
      <c r="H344" s="62">
        <f t="shared" si="135"/>
        <v>5111033</v>
      </c>
      <c r="I344" s="173">
        <f t="shared" si="136"/>
        <v>139155.09071631171</v>
      </c>
      <c r="J344" s="174">
        <f>ROUND(100-'Townwide Contributions'!K344,2)</f>
        <v>17.5</v>
      </c>
      <c r="K344" s="70">
        <f t="shared" si="137"/>
        <v>5252594</v>
      </c>
      <c r="L344" s="70">
        <f t="shared" si="138"/>
        <v>0</v>
      </c>
      <c r="M344" s="175">
        <f t="shared" si="139"/>
        <v>0</v>
      </c>
      <c r="N344" s="70"/>
      <c r="O344" s="70"/>
      <c r="P344" s="70"/>
      <c r="Q344" s="62">
        <v>3063</v>
      </c>
      <c r="R344" s="62">
        <f t="shared" si="140"/>
        <v>3077</v>
      </c>
      <c r="S344" s="176"/>
      <c r="T344" s="176"/>
      <c r="U344" s="70"/>
      <c r="V344" s="70"/>
      <c r="W344" s="260"/>
      <c r="X344" s="62">
        <f t="shared" si="141"/>
        <v>1</v>
      </c>
      <c r="Y344" s="70"/>
      <c r="AA344" s="290"/>
      <c r="AB344" s="291"/>
      <c r="AC344" s="62"/>
      <c r="AD344" s="62"/>
      <c r="AE344" s="177">
        <f t="shared" si="142"/>
        <v>92310</v>
      </c>
      <c r="AF344" s="177">
        <f t="shared" si="143"/>
        <v>0</v>
      </c>
      <c r="AG344" s="70">
        <f t="shared" si="144"/>
        <v>5111033</v>
      </c>
      <c r="AH344" s="70">
        <f t="shared" si="145"/>
        <v>0</v>
      </c>
      <c r="AI344" s="587">
        <v>0</v>
      </c>
      <c r="AJ344" s="178">
        <f t="shared" si="146"/>
        <v>5111033</v>
      </c>
      <c r="AK344" s="301">
        <f t="shared" si="147"/>
        <v>17.028363683869195</v>
      </c>
      <c r="AL344" s="70">
        <f t="shared" si="148"/>
        <v>30014822</v>
      </c>
      <c r="AM344" s="179">
        <f t="shared" si="149"/>
        <v>100.00000096313175</v>
      </c>
      <c r="AN344" s="179"/>
      <c r="AO344" s="31">
        <f t="shared" si="150"/>
        <v>713352.03819772601</v>
      </c>
      <c r="AP344" s="31">
        <f t="shared" si="151"/>
        <v>139155.09071631171</v>
      </c>
      <c r="AQ344" s="31">
        <f t="shared" si="152"/>
        <v>-141560.79941060115</v>
      </c>
      <c r="AR344" s="180">
        <f t="shared" si="153"/>
        <v>-0.47163631613080526</v>
      </c>
      <c r="AS344" s="31">
        <f t="shared" si="156"/>
        <v>9754.57</v>
      </c>
      <c r="AU344" s="31">
        <f t="shared" si="154"/>
        <v>0</v>
      </c>
      <c r="AV344" s="177"/>
      <c r="AW344" s="31">
        <f t="shared" si="155"/>
        <v>45.22427387595441</v>
      </c>
    </row>
    <row r="345" spans="1:49">
      <c r="A345" s="102">
        <v>336</v>
      </c>
      <c r="B345" s="7" t="s">
        <v>2041</v>
      </c>
      <c r="C345" s="7">
        <v>1</v>
      </c>
      <c r="D345" s="62">
        <f t="shared" si="131"/>
        <v>69159899.607649997</v>
      </c>
      <c r="E345" s="172">
        <f t="shared" si="132"/>
        <v>27883625</v>
      </c>
      <c r="F345" s="62">
        <f t="shared" si="133"/>
        <v>69172635.260738254</v>
      </c>
      <c r="G345" s="70">
        <f t="shared" si="134"/>
        <v>49020130</v>
      </c>
      <c r="H345" s="62">
        <f t="shared" si="135"/>
        <v>20152505</v>
      </c>
      <c r="I345" s="173">
        <f t="shared" si="136"/>
        <v>0</v>
      </c>
      <c r="J345" s="174">
        <f>ROUND(100-'Townwide Contributions'!K345,2)</f>
        <v>27.52</v>
      </c>
      <c r="K345" s="70">
        <f t="shared" si="137"/>
        <v>19036309</v>
      </c>
      <c r="L345" s="70">
        <f t="shared" si="138"/>
        <v>0</v>
      </c>
      <c r="M345" s="175">
        <f t="shared" si="139"/>
        <v>0</v>
      </c>
      <c r="N345" s="70"/>
      <c r="O345" s="70"/>
      <c r="P345" s="70"/>
      <c r="Q345" s="62">
        <v>6428</v>
      </c>
      <c r="R345" s="62">
        <f t="shared" si="140"/>
        <v>6263</v>
      </c>
      <c r="S345" s="176"/>
      <c r="T345" s="176"/>
      <c r="U345" s="70"/>
      <c r="V345" s="70"/>
      <c r="W345" s="260"/>
      <c r="X345" s="62">
        <f t="shared" si="141"/>
        <v>0</v>
      </c>
      <c r="Y345" s="70"/>
      <c r="AA345" s="290"/>
      <c r="AB345" s="291"/>
      <c r="AC345" s="62"/>
      <c r="AD345" s="62"/>
      <c r="AE345" s="177">
        <f t="shared" si="142"/>
        <v>187890</v>
      </c>
      <c r="AF345" s="177">
        <f t="shared" si="143"/>
        <v>187890</v>
      </c>
      <c r="AG345" s="70">
        <f t="shared" si="144"/>
        <v>28071515</v>
      </c>
      <c r="AH345" s="70">
        <f t="shared" si="145"/>
        <v>0</v>
      </c>
      <c r="AI345" s="587">
        <v>0</v>
      </c>
      <c r="AJ345" s="178">
        <f t="shared" si="146"/>
        <v>28071515</v>
      </c>
      <c r="AK345" s="301">
        <f t="shared" si="147"/>
        <v>40.581820967478933</v>
      </c>
      <c r="AL345" s="70">
        <f t="shared" si="148"/>
        <v>77091645</v>
      </c>
      <c r="AM345" s="179">
        <f t="shared" si="149"/>
        <v>111.44818281017047</v>
      </c>
      <c r="AN345" s="179"/>
      <c r="AO345" s="31">
        <f t="shared" si="150"/>
        <v>12735.653088256717</v>
      </c>
      <c r="AP345" s="31">
        <f t="shared" si="151"/>
        <v>187890</v>
      </c>
      <c r="AQ345" s="31">
        <f t="shared" si="152"/>
        <v>9035205.7762448341</v>
      </c>
      <c r="AR345" s="180">
        <f t="shared" si="153"/>
        <v>13.061820967478933</v>
      </c>
      <c r="AS345" s="31">
        <f t="shared" si="156"/>
        <v>11044.65</v>
      </c>
      <c r="AU345" s="31">
        <f t="shared" si="154"/>
        <v>0</v>
      </c>
      <c r="AV345" s="177"/>
      <c r="AW345" s="31">
        <f t="shared" si="155"/>
        <v>30</v>
      </c>
    </row>
    <row r="346" spans="1:49">
      <c r="A346" s="102">
        <v>337</v>
      </c>
      <c r="B346" s="7" t="s">
        <v>2042</v>
      </c>
      <c r="C346" s="7">
        <v>1</v>
      </c>
      <c r="D346" s="62">
        <f t="shared" si="131"/>
        <v>852415.71000000008</v>
      </c>
      <c r="E346" s="172">
        <f t="shared" si="132"/>
        <v>256850.0875275</v>
      </c>
      <c r="F346" s="62">
        <f t="shared" si="133"/>
        <v>869184.11954740097</v>
      </c>
      <c r="G346" s="70">
        <f t="shared" si="134"/>
        <v>720991</v>
      </c>
      <c r="H346" s="62">
        <f t="shared" si="135"/>
        <v>148193</v>
      </c>
      <c r="I346" s="173">
        <f t="shared" si="136"/>
        <v>0</v>
      </c>
      <c r="J346" s="174">
        <f>ROUND(100-'Townwide Contributions'!K346,2)</f>
        <v>17.5</v>
      </c>
      <c r="K346" s="70">
        <f t="shared" si="137"/>
        <v>152107</v>
      </c>
      <c r="L346" s="70">
        <f t="shared" si="138"/>
        <v>0</v>
      </c>
      <c r="M346" s="175">
        <f t="shared" si="139"/>
        <v>0</v>
      </c>
      <c r="N346" s="70"/>
      <c r="O346" s="70"/>
      <c r="P346" s="70"/>
      <c r="Q346" s="62">
        <v>82</v>
      </c>
      <c r="R346" s="62">
        <f t="shared" si="140"/>
        <v>83</v>
      </c>
      <c r="S346" s="176"/>
      <c r="T346" s="176"/>
      <c r="U346" s="70"/>
      <c r="V346" s="70"/>
      <c r="W346" s="260"/>
      <c r="X346" s="62">
        <f t="shared" si="141"/>
        <v>0</v>
      </c>
      <c r="Y346" s="70"/>
      <c r="AA346" s="290"/>
      <c r="AB346" s="291"/>
      <c r="AC346" s="62"/>
      <c r="AD346" s="62"/>
      <c r="AE346" s="177">
        <f t="shared" si="142"/>
        <v>2490</v>
      </c>
      <c r="AF346" s="177">
        <f t="shared" si="143"/>
        <v>2490</v>
      </c>
      <c r="AG346" s="70">
        <f t="shared" si="144"/>
        <v>259340.0875275</v>
      </c>
      <c r="AH346" s="70">
        <f t="shared" si="145"/>
        <v>0</v>
      </c>
      <c r="AI346" s="587">
        <v>0</v>
      </c>
      <c r="AJ346" s="178">
        <f t="shared" si="146"/>
        <v>259340.0875275</v>
      </c>
      <c r="AK346" s="301">
        <f t="shared" si="147"/>
        <v>29.837186586260088</v>
      </c>
      <c r="AL346" s="70">
        <f t="shared" si="148"/>
        <v>980331.0875275</v>
      </c>
      <c r="AM346" s="179">
        <f t="shared" si="149"/>
        <v>112.78750560214735</v>
      </c>
      <c r="AN346" s="179"/>
      <c r="AO346" s="31">
        <f t="shared" si="150"/>
        <v>16768.409547400894</v>
      </c>
      <c r="AP346" s="31">
        <f t="shared" si="151"/>
        <v>2490</v>
      </c>
      <c r="AQ346" s="31">
        <f t="shared" si="152"/>
        <v>107232.86660670483</v>
      </c>
      <c r="AR346" s="180">
        <f t="shared" si="153"/>
        <v>12.337186586260088</v>
      </c>
      <c r="AS346" s="31">
        <f t="shared" si="156"/>
        <v>10472.1</v>
      </c>
      <c r="AU346" s="31">
        <f t="shared" si="154"/>
        <v>0</v>
      </c>
      <c r="AV346" s="177"/>
      <c r="AW346" s="31">
        <f t="shared" si="155"/>
        <v>30</v>
      </c>
    </row>
    <row r="347" spans="1:49">
      <c r="A347" s="102">
        <v>338</v>
      </c>
      <c r="B347" s="7" t="s">
        <v>2043</v>
      </c>
      <c r="C347" s="7">
        <v>0</v>
      </c>
      <c r="D347" s="62">
        <f t="shared" si="131"/>
        <v>118538.28</v>
      </c>
      <c r="E347" s="172">
        <f t="shared" si="132"/>
        <v>78029.39999999998</v>
      </c>
      <c r="F347" s="62">
        <f t="shared" si="133"/>
        <v>120751.50009230593</v>
      </c>
      <c r="G347" s="70">
        <f t="shared" si="134"/>
        <v>51831</v>
      </c>
      <c r="H347" s="62">
        <f t="shared" si="135"/>
        <v>68921</v>
      </c>
      <c r="I347" s="173">
        <f t="shared" si="136"/>
        <v>0</v>
      </c>
      <c r="J347" s="174">
        <f>ROUND(100-'Townwide Contributions'!K347,2)</f>
        <v>54.72</v>
      </c>
      <c r="K347" s="70">
        <f t="shared" si="137"/>
        <v>66075</v>
      </c>
      <c r="L347" s="70">
        <f t="shared" si="138"/>
        <v>0</v>
      </c>
      <c r="M347" s="175">
        <f t="shared" si="139"/>
        <v>0</v>
      </c>
      <c r="N347" s="70"/>
      <c r="O347" s="70"/>
      <c r="P347" s="70"/>
      <c r="Q347" s="62">
        <v>9</v>
      </c>
      <c r="R347" s="62">
        <f t="shared" si="140"/>
        <v>9</v>
      </c>
      <c r="S347" s="176"/>
      <c r="T347" s="176"/>
      <c r="U347" s="70"/>
      <c r="V347" s="70"/>
      <c r="W347" s="260"/>
      <c r="X347" s="62">
        <f t="shared" si="141"/>
        <v>0</v>
      </c>
      <c r="Y347" s="70"/>
      <c r="AA347" s="290"/>
      <c r="AB347" s="291"/>
      <c r="AC347" s="62"/>
      <c r="AD347" s="62"/>
      <c r="AE347" s="177">
        <f t="shared" si="142"/>
        <v>0</v>
      </c>
      <c r="AF347" s="177">
        <f t="shared" si="143"/>
        <v>0</v>
      </c>
      <c r="AG347" s="70">
        <f t="shared" si="144"/>
        <v>78029.39999999998</v>
      </c>
      <c r="AH347" s="70">
        <f t="shared" si="145"/>
        <v>0</v>
      </c>
      <c r="AI347" s="587">
        <v>0</v>
      </c>
      <c r="AJ347" s="178">
        <f t="shared" si="146"/>
        <v>78029.39999999998</v>
      </c>
      <c r="AK347" s="301">
        <f t="shared" si="147"/>
        <v>0</v>
      </c>
      <c r="AL347" s="70">
        <f t="shared" si="148"/>
        <v>129860.39999999998</v>
      </c>
      <c r="AM347" s="179">
        <f t="shared" si="149"/>
        <v>107.54350869407912</v>
      </c>
      <c r="AN347" s="179"/>
      <c r="AO347" s="31">
        <f t="shared" si="150"/>
        <v>2213.2200923059281</v>
      </c>
      <c r="AP347" s="31">
        <f t="shared" si="151"/>
        <v>0</v>
      </c>
      <c r="AQ347" s="31">
        <f t="shared" si="152"/>
        <v>11954.17914949017</v>
      </c>
      <c r="AR347" s="180" t="str">
        <f t="shared" si="153"/>
        <v/>
      </c>
      <c r="AS347" s="31">
        <f t="shared" si="156"/>
        <v>13416.83</v>
      </c>
      <c r="AU347" s="31">
        <f t="shared" si="154"/>
        <v>0</v>
      </c>
      <c r="AV347" s="177"/>
      <c r="AW347" s="31">
        <f t="shared" si="155"/>
        <v>0</v>
      </c>
    </row>
    <row r="348" spans="1:49">
      <c r="A348" s="102">
        <v>339</v>
      </c>
      <c r="B348" s="7" t="s">
        <v>2044</v>
      </c>
      <c r="C348" s="7">
        <v>0</v>
      </c>
      <c r="D348" s="62">
        <f t="shared" si="131"/>
        <v>0</v>
      </c>
      <c r="E348" s="172">
        <f t="shared" si="132"/>
        <v>0</v>
      </c>
      <c r="F348" s="62">
        <f t="shared" si="133"/>
        <v>0</v>
      </c>
      <c r="G348" s="70">
        <f t="shared" si="134"/>
        <v>0</v>
      </c>
      <c r="H348" s="62">
        <f t="shared" si="135"/>
        <v>0</v>
      </c>
      <c r="I348" s="173">
        <f t="shared" si="136"/>
        <v>0</v>
      </c>
      <c r="J348" s="174">
        <f>ROUND(100-'Townwide Contributions'!K348,2)</f>
        <v>31.88</v>
      </c>
      <c r="K348" s="70">
        <f t="shared" si="137"/>
        <v>0</v>
      </c>
      <c r="L348" s="70">
        <f t="shared" si="138"/>
        <v>0</v>
      </c>
      <c r="M348" s="175">
        <f t="shared" si="139"/>
        <v>0</v>
      </c>
      <c r="N348" s="70"/>
      <c r="O348" s="70"/>
      <c r="P348" s="70"/>
      <c r="Q348" s="62">
        <v>0</v>
      </c>
      <c r="R348" s="62">
        <f t="shared" si="140"/>
        <v>0</v>
      </c>
      <c r="S348" s="176"/>
      <c r="T348" s="176"/>
      <c r="U348" s="70"/>
      <c r="V348" s="70"/>
      <c r="W348" s="260"/>
      <c r="X348" s="62">
        <f t="shared" si="141"/>
        <v>0</v>
      </c>
      <c r="Y348" s="70"/>
      <c r="AA348" s="290"/>
      <c r="AB348" s="291"/>
      <c r="AC348" s="62"/>
      <c r="AD348" s="62"/>
      <c r="AE348" s="177">
        <f t="shared" si="142"/>
        <v>0</v>
      </c>
      <c r="AF348" s="177">
        <f t="shared" si="143"/>
        <v>0</v>
      </c>
      <c r="AG348" s="70">
        <f t="shared" si="144"/>
        <v>0</v>
      </c>
      <c r="AH348" s="70">
        <f t="shared" si="145"/>
        <v>0</v>
      </c>
      <c r="AI348" s="587">
        <v>0</v>
      </c>
      <c r="AJ348" s="178">
        <f t="shared" si="146"/>
        <v>0</v>
      </c>
      <c r="AK348" s="301">
        <f t="shared" si="147"/>
        <v>0</v>
      </c>
      <c r="AL348" s="70">
        <f t="shared" si="148"/>
        <v>0</v>
      </c>
      <c r="AM348" s="179">
        <f t="shared" si="149"/>
        <v>0</v>
      </c>
      <c r="AN348" s="179"/>
      <c r="AO348" s="31">
        <f t="shared" si="150"/>
        <v>0</v>
      </c>
      <c r="AP348" s="31">
        <f t="shared" si="151"/>
        <v>0</v>
      </c>
      <c r="AQ348" s="31">
        <f t="shared" si="152"/>
        <v>0</v>
      </c>
      <c r="AR348" s="180" t="str">
        <f t="shared" si="153"/>
        <v/>
      </c>
      <c r="AS348" s="31">
        <f t="shared" si="156"/>
        <v>0</v>
      </c>
      <c r="AU348" s="31">
        <f t="shared" si="154"/>
        <v>0</v>
      </c>
      <c r="AV348" s="177"/>
      <c r="AW348" s="31">
        <f t="shared" si="155"/>
        <v>0</v>
      </c>
    </row>
    <row r="349" spans="1:49">
      <c r="A349" s="102">
        <v>340</v>
      </c>
      <c r="B349" s="7" t="s">
        <v>2045</v>
      </c>
      <c r="C349" s="7">
        <v>1</v>
      </c>
      <c r="D349" s="62">
        <f t="shared" si="131"/>
        <v>1665309.4700000002</v>
      </c>
      <c r="E349" s="172">
        <f t="shared" si="132"/>
        <v>528925.14508649998</v>
      </c>
      <c r="F349" s="62">
        <f t="shared" si="133"/>
        <v>1640814.868103652</v>
      </c>
      <c r="G349" s="70">
        <f t="shared" si="134"/>
        <v>1224301</v>
      </c>
      <c r="H349" s="62">
        <f t="shared" si="135"/>
        <v>416514</v>
      </c>
      <c r="I349" s="173">
        <f t="shared" si="136"/>
        <v>0</v>
      </c>
      <c r="J349" s="174">
        <f>ROUND(100-'Townwide Contributions'!K349,2)</f>
        <v>26.47</v>
      </c>
      <c r="K349" s="70">
        <f t="shared" si="137"/>
        <v>434324</v>
      </c>
      <c r="L349" s="70">
        <f t="shared" si="138"/>
        <v>0</v>
      </c>
      <c r="M349" s="175">
        <f t="shared" si="139"/>
        <v>0</v>
      </c>
      <c r="N349" s="70"/>
      <c r="O349" s="70"/>
      <c r="P349" s="70"/>
      <c r="Q349" s="62">
        <v>176</v>
      </c>
      <c r="R349" s="62">
        <f t="shared" si="140"/>
        <v>171</v>
      </c>
      <c r="S349" s="176"/>
      <c r="T349" s="176"/>
      <c r="U349" s="70"/>
      <c r="V349" s="70"/>
      <c r="W349" s="260"/>
      <c r="X349" s="62">
        <f t="shared" si="141"/>
        <v>0</v>
      </c>
      <c r="Y349" s="70"/>
      <c r="AA349" s="290"/>
      <c r="AB349" s="291"/>
      <c r="AC349" s="62"/>
      <c r="AD349" s="62"/>
      <c r="AE349" s="177">
        <f t="shared" si="142"/>
        <v>5130</v>
      </c>
      <c r="AF349" s="177">
        <f t="shared" si="143"/>
        <v>5130</v>
      </c>
      <c r="AG349" s="70">
        <f t="shared" si="144"/>
        <v>534055.14508649998</v>
      </c>
      <c r="AH349" s="70">
        <f t="shared" si="145"/>
        <v>0</v>
      </c>
      <c r="AI349" s="587">
        <v>0</v>
      </c>
      <c r="AJ349" s="178">
        <f t="shared" si="146"/>
        <v>534055.14508649998</v>
      </c>
      <c r="AK349" s="301">
        <f t="shared" si="147"/>
        <v>32.548165881975855</v>
      </c>
      <c r="AL349" s="70">
        <f t="shared" si="148"/>
        <v>1758356.1450864999</v>
      </c>
      <c r="AM349" s="179">
        <f t="shared" si="149"/>
        <v>107.16359165605894</v>
      </c>
      <c r="AN349" s="179"/>
      <c r="AO349" s="31">
        <f t="shared" si="150"/>
        <v>-24494.601896348177</v>
      </c>
      <c r="AP349" s="31">
        <f t="shared" si="151"/>
        <v>5130</v>
      </c>
      <c r="AQ349" s="31">
        <f t="shared" si="152"/>
        <v>99731.449499463313</v>
      </c>
      <c r="AR349" s="180">
        <f t="shared" si="153"/>
        <v>6.0781658819758562</v>
      </c>
      <c r="AS349" s="31">
        <f t="shared" si="156"/>
        <v>9595.41</v>
      </c>
      <c r="AU349" s="31">
        <f t="shared" si="154"/>
        <v>0</v>
      </c>
      <c r="AV349" s="177"/>
      <c r="AW349" s="31">
        <f t="shared" si="155"/>
        <v>30</v>
      </c>
    </row>
    <row r="350" spans="1:49">
      <c r="A350" s="102">
        <v>341</v>
      </c>
      <c r="B350" s="7" t="s">
        <v>2046</v>
      </c>
      <c r="C350" s="7">
        <v>1</v>
      </c>
      <c r="D350" s="62">
        <f t="shared" si="131"/>
        <v>3780882.2300000004</v>
      </c>
      <c r="E350" s="172">
        <f t="shared" si="132"/>
        <v>960921</v>
      </c>
      <c r="F350" s="62">
        <f t="shared" si="133"/>
        <v>3766818.1625702963</v>
      </c>
      <c r="G350" s="70">
        <f t="shared" si="134"/>
        <v>3122141</v>
      </c>
      <c r="H350" s="62">
        <f t="shared" si="135"/>
        <v>644677</v>
      </c>
      <c r="I350" s="173">
        <f t="shared" si="136"/>
        <v>0</v>
      </c>
      <c r="J350" s="174">
        <f>ROUND(100-'Townwide Contributions'!K350,2)</f>
        <v>17.5</v>
      </c>
      <c r="K350" s="70">
        <f t="shared" si="137"/>
        <v>659193</v>
      </c>
      <c r="L350" s="70">
        <f t="shared" si="138"/>
        <v>0</v>
      </c>
      <c r="M350" s="175">
        <f t="shared" si="139"/>
        <v>0</v>
      </c>
      <c r="N350" s="70"/>
      <c r="O350" s="70"/>
      <c r="P350" s="70"/>
      <c r="Q350" s="62">
        <v>404</v>
      </c>
      <c r="R350" s="62">
        <f t="shared" si="140"/>
        <v>394</v>
      </c>
      <c r="S350" s="176"/>
      <c r="T350" s="176"/>
      <c r="U350" s="70"/>
      <c r="V350" s="70"/>
      <c r="W350" s="260"/>
      <c r="X350" s="62">
        <f t="shared" si="141"/>
        <v>0</v>
      </c>
      <c r="Y350" s="70"/>
      <c r="AA350" s="290"/>
      <c r="AB350" s="291"/>
      <c r="AC350" s="62"/>
      <c r="AD350" s="62"/>
      <c r="AE350" s="177">
        <f t="shared" si="142"/>
        <v>11820</v>
      </c>
      <c r="AF350" s="177">
        <f t="shared" si="143"/>
        <v>11820</v>
      </c>
      <c r="AG350" s="70">
        <f t="shared" si="144"/>
        <v>972741</v>
      </c>
      <c r="AH350" s="70">
        <f t="shared" si="145"/>
        <v>0</v>
      </c>
      <c r="AI350" s="587">
        <v>0</v>
      </c>
      <c r="AJ350" s="178">
        <f t="shared" si="146"/>
        <v>972741</v>
      </c>
      <c r="AK350" s="301">
        <f t="shared" si="147"/>
        <v>25.823943657961131</v>
      </c>
      <c r="AL350" s="70">
        <f t="shared" si="148"/>
        <v>4094882</v>
      </c>
      <c r="AM350" s="179">
        <f t="shared" si="149"/>
        <v>108.70930911105751</v>
      </c>
      <c r="AN350" s="179"/>
      <c r="AO350" s="31">
        <f t="shared" si="150"/>
        <v>-14064.067429704126</v>
      </c>
      <c r="AP350" s="31">
        <f t="shared" si="151"/>
        <v>11820</v>
      </c>
      <c r="AQ350" s="31">
        <f t="shared" si="152"/>
        <v>313547.82155019813</v>
      </c>
      <c r="AR350" s="180">
        <f t="shared" si="153"/>
        <v>8.3239436579611308</v>
      </c>
      <c r="AS350" s="31">
        <f t="shared" si="156"/>
        <v>9560.4500000000007</v>
      </c>
      <c r="AU350" s="31">
        <f t="shared" si="154"/>
        <v>0</v>
      </c>
      <c r="AV350" s="177"/>
      <c r="AW350" s="31">
        <f t="shared" si="155"/>
        <v>30</v>
      </c>
    </row>
    <row r="351" spans="1:49">
      <c r="A351" s="102">
        <v>342</v>
      </c>
      <c r="B351" s="7" t="s">
        <v>2047</v>
      </c>
      <c r="C351" s="7">
        <v>1</v>
      </c>
      <c r="D351" s="62">
        <f t="shared" si="131"/>
        <v>33396838.325240005</v>
      </c>
      <c r="E351" s="172">
        <f t="shared" si="132"/>
        <v>11167159.755806601</v>
      </c>
      <c r="F351" s="62">
        <f t="shared" si="133"/>
        <v>34239954.195590727</v>
      </c>
      <c r="G351" s="70">
        <f t="shared" si="134"/>
        <v>25512508</v>
      </c>
      <c r="H351" s="62">
        <f t="shared" si="135"/>
        <v>8727446</v>
      </c>
      <c r="I351" s="173">
        <f t="shared" si="136"/>
        <v>0</v>
      </c>
      <c r="J351" s="174">
        <f>ROUND(100-'Townwide Contributions'!K351,2)</f>
        <v>25.67</v>
      </c>
      <c r="K351" s="70">
        <f t="shared" si="137"/>
        <v>8789396</v>
      </c>
      <c r="L351" s="70">
        <f t="shared" si="138"/>
        <v>0</v>
      </c>
      <c r="M351" s="175">
        <f t="shared" si="139"/>
        <v>0</v>
      </c>
      <c r="N351" s="70"/>
      <c r="O351" s="70"/>
      <c r="P351" s="70"/>
      <c r="Q351" s="62">
        <v>3426</v>
      </c>
      <c r="R351" s="62">
        <f t="shared" si="140"/>
        <v>3439</v>
      </c>
      <c r="S351" s="176"/>
      <c r="T351" s="176"/>
      <c r="U351" s="70"/>
      <c r="V351" s="70"/>
      <c r="W351" s="260"/>
      <c r="X351" s="62">
        <f t="shared" si="141"/>
        <v>0</v>
      </c>
      <c r="Y351" s="70"/>
      <c r="AA351" s="290"/>
      <c r="AB351" s="291"/>
      <c r="AC351" s="62"/>
      <c r="AD351" s="62"/>
      <c r="AE351" s="177">
        <f t="shared" si="142"/>
        <v>103170</v>
      </c>
      <c r="AF351" s="177">
        <f t="shared" si="143"/>
        <v>103170</v>
      </c>
      <c r="AG351" s="70">
        <f t="shared" si="144"/>
        <v>11270329.755806601</v>
      </c>
      <c r="AH351" s="70">
        <f t="shared" si="145"/>
        <v>0</v>
      </c>
      <c r="AI351" s="587">
        <v>0</v>
      </c>
      <c r="AJ351" s="178">
        <f t="shared" si="146"/>
        <v>11270329.755806601</v>
      </c>
      <c r="AK351" s="301">
        <f t="shared" si="147"/>
        <v>32.915726730901831</v>
      </c>
      <c r="AL351" s="70">
        <f t="shared" si="148"/>
        <v>36782837.755806603</v>
      </c>
      <c r="AM351" s="179">
        <f t="shared" si="149"/>
        <v>107.4266558468216</v>
      </c>
      <c r="AN351" s="179"/>
      <c r="AO351" s="31">
        <f t="shared" si="150"/>
        <v>843115.87035072222</v>
      </c>
      <c r="AP351" s="31">
        <f t="shared" si="151"/>
        <v>103170</v>
      </c>
      <c r="AQ351" s="31">
        <f t="shared" si="152"/>
        <v>2480933.5137984604</v>
      </c>
      <c r="AR351" s="180">
        <f t="shared" si="153"/>
        <v>7.2457267309018292</v>
      </c>
      <c r="AS351" s="31">
        <f t="shared" si="156"/>
        <v>9956.3700000000008</v>
      </c>
      <c r="AU351" s="31">
        <f t="shared" si="154"/>
        <v>0</v>
      </c>
      <c r="AV351" s="177"/>
      <c r="AW351" s="31">
        <f t="shared" si="155"/>
        <v>30</v>
      </c>
    </row>
    <row r="352" spans="1:49">
      <c r="A352" s="102">
        <v>343</v>
      </c>
      <c r="B352" s="7" t="s">
        <v>2048</v>
      </c>
      <c r="C352" s="7">
        <v>1</v>
      </c>
      <c r="D352" s="62">
        <f t="shared" si="131"/>
        <v>14883842.210000001</v>
      </c>
      <c r="E352" s="172">
        <f t="shared" si="132"/>
        <v>11366930</v>
      </c>
      <c r="F352" s="62">
        <f t="shared" si="133"/>
        <v>14578929.593496464</v>
      </c>
      <c r="G352" s="70">
        <f t="shared" si="134"/>
        <v>4751326</v>
      </c>
      <c r="H352" s="62">
        <f t="shared" si="135"/>
        <v>9827604</v>
      </c>
      <c r="I352" s="173">
        <f t="shared" si="136"/>
        <v>0</v>
      </c>
      <c r="J352" s="174">
        <f>ROUND(100-'Townwide Contributions'!K352,2)</f>
        <v>67.63</v>
      </c>
      <c r="K352" s="70">
        <f t="shared" si="137"/>
        <v>9859730</v>
      </c>
      <c r="L352" s="70">
        <f t="shared" si="138"/>
        <v>0</v>
      </c>
      <c r="M352" s="175">
        <f t="shared" si="139"/>
        <v>0</v>
      </c>
      <c r="N352" s="70"/>
      <c r="O352" s="70"/>
      <c r="P352" s="70"/>
      <c r="Q352" s="62">
        <v>1429</v>
      </c>
      <c r="R352" s="62">
        <f t="shared" si="140"/>
        <v>1373</v>
      </c>
      <c r="S352" s="176"/>
      <c r="T352" s="176"/>
      <c r="U352" s="70"/>
      <c r="V352" s="70"/>
      <c r="W352" s="260"/>
      <c r="X352" s="62">
        <f t="shared" si="141"/>
        <v>0</v>
      </c>
      <c r="Y352" s="70"/>
      <c r="AA352" s="290"/>
      <c r="AB352" s="291"/>
      <c r="AC352" s="62"/>
      <c r="AD352" s="62"/>
      <c r="AE352" s="177">
        <f t="shared" si="142"/>
        <v>41190</v>
      </c>
      <c r="AF352" s="177">
        <f t="shared" si="143"/>
        <v>41190</v>
      </c>
      <c r="AG352" s="70">
        <f t="shared" si="144"/>
        <v>11408120</v>
      </c>
      <c r="AH352" s="70">
        <f t="shared" si="145"/>
        <v>0</v>
      </c>
      <c r="AI352" s="587">
        <v>0</v>
      </c>
      <c r="AJ352" s="178">
        <f t="shared" si="146"/>
        <v>11408120</v>
      </c>
      <c r="AK352" s="301">
        <f t="shared" si="147"/>
        <v>78.250738004037444</v>
      </c>
      <c r="AL352" s="70">
        <f t="shared" si="148"/>
        <v>16159446</v>
      </c>
      <c r="AM352" s="179">
        <f t="shared" si="149"/>
        <v>110.84110048249764</v>
      </c>
      <c r="AN352" s="179"/>
      <c r="AO352" s="31">
        <f t="shared" si="150"/>
        <v>-304912.6165035367</v>
      </c>
      <c r="AP352" s="31">
        <f t="shared" si="151"/>
        <v>41190</v>
      </c>
      <c r="AQ352" s="31">
        <f t="shared" si="152"/>
        <v>1548389.9159183428</v>
      </c>
      <c r="AR352" s="180">
        <f t="shared" si="153"/>
        <v>10.620738004037449</v>
      </c>
      <c r="AS352" s="31">
        <f t="shared" si="156"/>
        <v>10618.3</v>
      </c>
      <c r="AU352" s="31">
        <f t="shared" si="154"/>
        <v>0</v>
      </c>
      <c r="AV352" s="177"/>
      <c r="AW352" s="31">
        <f t="shared" si="155"/>
        <v>30</v>
      </c>
    </row>
    <row r="353" spans="1:49">
      <c r="A353" s="102">
        <v>344</v>
      </c>
      <c r="B353" s="7" t="s">
        <v>2049</v>
      </c>
      <c r="C353" s="7">
        <v>1</v>
      </c>
      <c r="D353" s="62">
        <f t="shared" si="131"/>
        <v>41694755.431160003</v>
      </c>
      <c r="E353" s="172">
        <f t="shared" si="132"/>
        <v>7924363</v>
      </c>
      <c r="F353" s="62">
        <f t="shared" si="133"/>
        <v>43175541.000589445</v>
      </c>
      <c r="G353" s="70">
        <f t="shared" si="134"/>
        <v>35662566</v>
      </c>
      <c r="H353" s="62">
        <f t="shared" si="135"/>
        <v>7512975</v>
      </c>
      <c r="I353" s="173">
        <f t="shared" si="136"/>
        <v>0</v>
      </c>
      <c r="J353" s="174">
        <f>ROUND(100-'Townwide Contributions'!K353,2)</f>
        <v>17.5</v>
      </c>
      <c r="K353" s="70">
        <f t="shared" si="137"/>
        <v>7555720</v>
      </c>
      <c r="L353" s="70">
        <f t="shared" si="138"/>
        <v>0</v>
      </c>
      <c r="M353" s="175">
        <f t="shared" si="139"/>
        <v>0</v>
      </c>
      <c r="N353" s="70"/>
      <c r="O353" s="70"/>
      <c r="P353" s="70"/>
      <c r="Q353" s="62">
        <v>4433</v>
      </c>
      <c r="R353" s="62">
        <f t="shared" si="140"/>
        <v>4484</v>
      </c>
      <c r="S353" s="176"/>
      <c r="T353" s="176"/>
      <c r="U353" s="70"/>
      <c r="V353" s="70"/>
      <c r="W353" s="260"/>
      <c r="X353" s="62">
        <f t="shared" si="141"/>
        <v>0</v>
      </c>
      <c r="Y353" s="70"/>
      <c r="AA353" s="290"/>
      <c r="AB353" s="291"/>
      <c r="AC353" s="62"/>
      <c r="AD353" s="62"/>
      <c r="AE353" s="177">
        <f t="shared" si="142"/>
        <v>134520</v>
      </c>
      <c r="AF353" s="177">
        <f t="shared" si="143"/>
        <v>134520</v>
      </c>
      <c r="AG353" s="70">
        <f t="shared" si="144"/>
        <v>8058883</v>
      </c>
      <c r="AH353" s="70">
        <f t="shared" si="145"/>
        <v>0</v>
      </c>
      <c r="AI353" s="587">
        <v>0</v>
      </c>
      <c r="AJ353" s="178">
        <f t="shared" si="146"/>
        <v>8058883</v>
      </c>
      <c r="AK353" s="301">
        <f t="shared" si="147"/>
        <v>18.665389739737083</v>
      </c>
      <c r="AL353" s="70">
        <f t="shared" si="148"/>
        <v>43721449</v>
      </c>
      <c r="AM353" s="179">
        <f t="shared" si="149"/>
        <v>101.26439179859518</v>
      </c>
      <c r="AN353" s="179"/>
      <c r="AO353" s="31">
        <f t="shared" si="150"/>
        <v>1480785.5694294423</v>
      </c>
      <c r="AP353" s="31">
        <f t="shared" si="151"/>
        <v>134520</v>
      </c>
      <c r="AQ353" s="31">
        <f t="shared" si="152"/>
        <v>503163.32489684783</v>
      </c>
      <c r="AR353" s="180">
        <f t="shared" si="153"/>
        <v>1.1653897397370834</v>
      </c>
      <c r="AS353" s="31">
        <f t="shared" si="156"/>
        <v>9628.7999999999993</v>
      </c>
      <c r="AU353" s="31">
        <f t="shared" si="154"/>
        <v>0</v>
      </c>
      <c r="AV353" s="177"/>
      <c r="AW353" s="31">
        <f t="shared" si="155"/>
        <v>30</v>
      </c>
    </row>
    <row r="354" spans="1:49">
      <c r="A354" s="102">
        <v>345</v>
      </c>
      <c r="B354" s="7" t="s">
        <v>2050</v>
      </c>
      <c r="C354" s="7">
        <v>0</v>
      </c>
      <c r="D354" s="62">
        <f t="shared" si="131"/>
        <v>26341.840000000004</v>
      </c>
      <c r="E354" s="172">
        <f t="shared" si="132"/>
        <v>26341.840000000004</v>
      </c>
      <c r="F354" s="62">
        <f t="shared" si="133"/>
        <v>26833.666687179095</v>
      </c>
      <c r="G354" s="70">
        <f t="shared" si="134"/>
        <v>22290</v>
      </c>
      <c r="H354" s="62">
        <f t="shared" si="135"/>
        <v>4544</v>
      </c>
      <c r="I354" s="173">
        <f t="shared" si="136"/>
        <v>0</v>
      </c>
      <c r="J354" s="174">
        <f>ROUND(100-'Townwide Contributions'!K354,2)</f>
        <v>17.5</v>
      </c>
      <c r="K354" s="70">
        <f t="shared" si="137"/>
        <v>4696</v>
      </c>
      <c r="L354" s="70">
        <f t="shared" si="138"/>
        <v>0</v>
      </c>
      <c r="M354" s="175">
        <f t="shared" si="139"/>
        <v>0</v>
      </c>
      <c r="N354" s="70"/>
      <c r="O354" s="70"/>
      <c r="P354" s="70"/>
      <c r="Q354" s="62">
        <v>2</v>
      </c>
      <c r="R354" s="62">
        <f t="shared" si="140"/>
        <v>2</v>
      </c>
      <c r="S354" s="176"/>
      <c r="T354" s="176"/>
      <c r="U354" s="70"/>
      <c r="V354" s="70"/>
      <c r="W354" s="260"/>
      <c r="X354" s="62">
        <f t="shared" si="141"/>
        <v>0</v>
      </c>
      <c r="Y354" s="70"/>
      <c r="AA354" s="290"/>
      <c r="AB354" s="291"/>
      <c r="AC354" s="62"/>
      <c r="AD354" s="62"/>
      <c r="AE354" s="177">
        <f t="shared" si="142"/>
        <v>0</v>
      </c>
      <c r="AF354" s="177">
        <f t="shared" si="143"/>
        <v>0</v>
      </c>
      <c r="AG354" s="70">
        <f t="shared" si="144"/>
        <v>26341.840000000004</v>
      </c>
      <c r="AH354" s="70">
        <f t="shared" si="145"/>
        <v>0</v>
      </c>
      <c r="AI354" s="587">
        <v>0</v>
      </c>
      <c r="AJ354" s="178">
        <f t="shared" si="146"/>
        <v>26341.840000000004</v>
      </c>
      <c r="AK354" s="301">
        <f t="shared" si="147"/>
        <v>0</v>
      </c>
      <c r="AL354" s="70">
        <f t="shared" si="148"/>
        <v>48631.840000000004</v>
      </c>
      <c r="AM354" s="179">
        <f t="shared" si="149"/>
        <v>181.23441930966479</v>
      </c>
      <c r="AN354" s="179"/>
      <c r="AO354" s="31">
        <f t="shared" si="150"/>
        <v>491.8266871790911</v>
      </c>
      <c r="AP354" s="31">
        <f t="shared" si="151"/>
        <v>0</v>
      </c>
      <c r="AQ354" s="31">
        <f t="shared" si="152"/>
        <v>21645.948329743664</v>
      </c>
      <c r="AR354" s="180" t="str">
        <f t="shared" si="153"/>
        <v/>
      </c>
      <c r="AS354" s="31">
        <f t="shared" si="156"/>
        <v>13416.83</v>
      </c>
      <c r="AU354" s="31">
        <f t="shared" si="154"/>
        <v>0</v>
      </c>
      <c r="AV354" s="177"/>
      <c r="AW354" s="31">
        <f t="shared" si="155"/>
        <v>0</v>
      </c>
    </row>
    <row r="355" spans="1:49">
      <c r="A355" s="102">
        <v>346</v>
      </c>
      <c r="B355" s="7" t="s">
        <v>2051</v>
      </c>
      <c r="C355" s="7">
        <v>1</v>
      </c>
      <c r="D355" s="62">
        <f t="shared" si="131"/>
        <v>19355380.740320001</v>
      </c>
      <c r="E355" s="172">
        <f t="shared" si="132"/>
        <v>6450815</v>
      </c>
      <c r="F355" s="62">
        <f t="shared" si="133"/>
        <v>20873787.706656512</v>
      </c>
      <c r="G355" s="70">
        <f t="shared" si="134"/>
        <v>14619405</v>
      </c>
      <c r="H355" s="62">
        <f t="shared" si="135"/>
        <v>6254383</v>
      </c>
      <c r="I355" s="173">
        <f t="shared" si="136"/>
        <v>0</v>
      </c>
      <c r="J355" s="174">
        <f>ROUND(100-'Townwide Contributions'!K355,2)</f>
        <v>29.73</v>
      </c>
      <c r="K355" s="70">
        <f t="shared" si="137"/>
        <v>6205777</v>
      </c>
      <c r="L355" s="70">
        <f t="shared" si="138"/>
        <v>0</v>
      </c>
      <c r="M355" s="175">
        <f t="shared" si="139"/>
        <v>0</v>
      </c>
      <c r="N355" s="70"/>
      <c r="O355" s="70"/>
      <c r="P355" s="70"/>
      <c r="Q355" s="62">
        <v>1888</v>
      </c>
      <c r="R355" s="62">
        <f t="shared" si="140"/>
        <v>1968</v>
      </c>
      <c r="S355" s="176"/>
      <c r="T355" s="176"/>
      <c r="U355" s="70"/>
      <c r="V355" s="70"/>
      <c r="W355" s="260"/>
      <c r="X355" s="62">
        <f t="shared" si="141"/>
        <v>0</v>
      </c>
      <c r="Y355" s="70"/>
      <c r="AA355" s="290"/>
      <c r="AB355" s="291"/>
      <c r="AC355" s="62"/>
      <c r="AD355" s="62"/>
      <c r="AE355" s="177">
        <f t="shared" si="142"/>
        <v>59040</v>
      </c>
      <c r="AF355" s="177">
        <f t="shared" si="143"/>
        <v>59040</v>
      </c>
      <c r="AG355" s="70">
        <f t="shared" si="144"/>
        <v>6509855</v>
      </c>
      <c r="AH355" s="70">
        <f t="shared" si="145"/>
        <v>0</v>
      </c>
      <c r="AI355" s="587">
        <v>0</v>
      </c>
      <c r="AJ355" s="178">
        <f t="shared" si="146"/>
        <v>6509855</v>
      </c>
      <c r="AK355" s="301">
        <f t="shared" si="147"/>
        <v>31.186745268679967</v>
      </c>
      <c r="AL355" s="70">
        <f t="shared" si="148"/>
        <v>21129260</v>
      </c>
      <c r="AM355" s="179">
        <f t="shared" si="149"/>
        <v>101.22389044544138</v>
      </c>
      <c r="AN355" s="179"/>
      <c r="AO355" s="31">
        <f t="shared" si="150"/>
        <v>1518406.9663365111</v>
      </c>
      <c r="AP355" s="31">
        <f t="shared" si="151"/>
        <v>59040</v>
      </c>
      <c r="AQ355" s="31">
        <f t="shared" si="152"/>
        <v>304077.91481101885</v>
      </c>
      <c r="AR355" s="180">
        <f t="shared" si="153"/>
        <v>1.4567452686799669</v>
      </c>
      <c r="AS355" s="31">
        <f t="shared" si="156"/>
        <v>10606.6</v>
      </c>
      <c r="AU355" s="31">
        <f t="shared" si="154"/>
        <v>0</v>
      </c>
      <c r="AV355" s="177"/>
      <c r="AW355" s="31">
        <f t="shared" si="155"/>
        <v>30</v>
      </c>
    </row>
    <row r="356" spans="1:49">
      <c r="A356" s="102">
        <v>347</v>
      </c>
      <c r="B356" s="7" t="s">
        <v>1613</v>
      </c>
      <c r="C356" s="7">
        <v>1</v>
      </c>
      <c r="D356" s="62">
        <f t="shared" si="131"/>
        <v>49930543.991250016</v>
      </c>
      <c r="E356" s="172">
        <f t="shared" si="132"/>
        <v>8583684.03757165</v>
      </c>
      <c r="F356" s="62">
        <f t="shared" si="133"/>
        <v>50380963.059562519</v>
      </c>
      <c r="G356" s="70">
        <f t="shared" si="134"/>
        <v>41884963</v>
      </c>
      <c r="H356" s="62">
        <f t="shared" si="135"/>
        <v>8496000</v>
      </c>
      <c r="I356" s="173">
        <f t="shared" si="136"/>
        <v>0</v>
      </c>
      <c r="J356" s="174">
        <f>ROUND(100-'Townwide Contributions'!K356,2)</f>
        <v>17.5</v>
      </c>
      <c r="K356" s="70">
        <f t="shared" si="137"/>
        <v>8816669</v>
      </c>
      <c r="L356" s="70">
        <f t="shared" si="138"/>
        <v>0</v>
      </c>
      <c r="M356" s="175">
        <f t="shared" si="139"/>
        <v>0</v>
      </c>
      <c r="N356" s="70"/>
      <c r="O356" s="70"/>
      <c r="P356" s="70"/>
      <c r="Q356" s="62">
        <v>4758</v>
      </c>
      <c r="R356" s="62">
        <f t="shared" si="140"/>
        <v>4685</v>
      </c>
      <c r="S356" s="176"/>
      <c r="T356" s="176"/>
      <c r="U356" s="70"/>
      <c r="V356" s="70"/>
      <c r="W356" s="260"/>
      <c r="X356" s="62">
        <f t="shared" si="141"/>
        <v>0</v>
      </c>
      <c r="Y356" s="70"/>
      <c r="AA356" s="290"/>
      <c r="AB356" s="291"/>
      <c r="AC356" s="62"/>
      <c r="AD356" s="62"/>
      <c r="AE356" s="177">
        <f t="shared" si="142"/>
        <v>140550</v>
      </c>
      <c r="AF356" s="177">
        <f t="shared" si="143"/>
        <v>140550</v>
      </c>
      <c r="AG356" s="70">
        <f t="shared" si="144"/>
        <v>8724234.03757165</v>
      </c>
      <c r="AH356" s="70">
        <f t="shared" si="145"/>
        <v>0</v>
      </c>
      <c r="AI356" s="587">
        <v>0</v>
      </c>
      <c r="AJ356" s="178">
        <f t="shared" si="146"/>
        <v>8724234.03757165</v>
      </c>
      <c r="AK356" s="301">
        <f t="shared" si="147"/>
        <v>17.316528918388261</v>
      </c>
      <c r="AL356" s="70">
        <f t="shared" si="148"/>
        <v>50609197.037571654</v>
      </c>
      <c r="AM356" s="179">
        <f t="shared" si="149"/>
        <v>100.45301630645548</v>
      </c>
      <c r="AN356" s="179"/>
      <c r="AO356" s="31">
        <f t="shared" si="150"/>
        <v>450419.0683125034</v>
      </c>
      <c r="AP356" s="31">
        <f t="shared" si="151"/>
        <v>140550</v>
      </c>
      <c r="AQ356" s="31">
        <f t="shared" si="152"/>
        <v>-92434.49785179086</v>
      </c>
      <c r="AR356" s="180">
        <f t="shared" si="153"/>
        <v>-0.18347108161173864</v>
      </c>
      <c r="AS356" s="31">
        <f t="shared" si="156"/>
        <v>10753.67</v>
      </c>
      <c r="AU356" s="31">
        <f t="shared" si="154"/>
        <v>0</v>
      </c>
      <c r="AV356" s="177"/>
      <c r="AW356" s="31">
        <f t="shared" si="155"/>
        <v>30</v>
      </c>
    </row>
    <row r="357" spans="1:49">
      <c r="A357" s="102">
        <v>348</v>
      </c>
      <c r="B357" s="7" t="s">
        <v>2052</v>
      </c>
      <c r="C357" s="7">
        <v>1</v>
      </c>
      <c r="D357" s="62">
        <f t="shared" si="131"/>
        <v>332590291.94999999</v>
      </c>
      <c r="E357" s="172">
        <f t="shared" si="132"/>
        <v>235402233</v>
      </c>
      <c r="F357" s="62">
        <f t="shared" si="133"/>
        <v>342886580.84977067</v>
      </c>
      <c r="G357" s="70">
        <f t="shared" si="134"/>
        <v>97679398</v>
      </c>
      <c r="H357" s="62">
        <f t="shared" si="135"/>
        <v>245207183</v>
      </c>
      <c r="I357" s="173">
        <f t="shared" si="136"/>
        <v>9804950</v>
      </c>
      <c r="J357" s="174">
        <f>ROUND(100-'Townwide Contributions'!K357,2)</f>
        <v>71.7</v>
      </c>
      <c r="K357" s="70">
        <f t="shared" si="137"/>
        <v>245849678</v>
      </c>
      <c r="L357" s="70">
        <f t="shared" si="138"/>
        <v>0</v>
      </c>
      <c r="M357" s="175">
        <f t="shared" si="139"/>
        <v>0</v>
      </c>
      <c r="N357" s="70"/>
      <c r="O357" s="70"/>
      <c r="P357" s="70"/>
      <c r="Q357" s="62">
        <v>27381</v>
      </c>
      <c r="R357" s="62">
        <f t="shared" si="140"/>
        <v>27751</v>
      </c>
      <c r="S357" s="176"/>
      <c r="T357" s="176"/>
      <c r="U357" s="70"/>
      <c r="V357" s="70"/>
      <c r="W357" s="260"/>
      <c r="X357" s="62">
        <f t="shared" si="141"/>
        <v>1</v>
      </c>
      <c r="Y357" s="70"/>
      <c r="AA357" s="290"/>
      <c r="AB357" s="291"/>
      <c r="AC357" s="62"/>
      <c r="AD357" s="62"/>
      <c r="AE357" s="177">
        <f t="shared" si="142"/>
        <v>832530</v>
      </c>
      <c r="AF357" s="177">
        <f t="shared" si="143"/>
        <v>0</v>
      </c>
      <c r="AG357" s="70">
        <f t="shared" si="144"/>
        <v>245207183</v>
      </c>
      <c r="AH357" s="70">
        <f t="shared" si="145"/>
        <v>0</v>
      </c>
      <c r="AI357" s="587">
        <v>0</v>
      </c>
      <c r="AJ357" s="178">
        <f t="shared" si="146"/>
        <v>245207183</v>
      </c>
      <c r="AK357" s="301">
        <f t="shared" si="147"/>
        <v>71.5126215765886</v>
      </c>
      <c r="AL357" s="70">
        <f t="shared" si="148"/>
        <v>342886581</v>
      </c>
      <c r="AM357" s="179">
        <f t="shared" si="149"/>
        <v>100.00000004381313</v>
      </c>
      <c r="AN357" s="179"/>
      <c r="AO357" s="31">
        <f t="shared" si="150"/>
        <v>10296288.899770677</v>
      </c>
      <c r="AP357" s="31">
        <f t="shared" si="151"/>
        <v>9804950</v>
      </c>
      <c r="AQ357" s="31">
        <f t="shared" si="152"/>
        <v>-642495.46928560734</v>
      </c>
      <c r="AR357" s="180">
        <f t="shared" si="153"/>
        <v>-0.18737842341140265</v>
      </c>
      <c r="AS357" s="31">
        <f t="shared" si="156"/>
        <v>12355.83</v>
      </c>
      <c r="AU357" s="31">
        <f t="shared" si="154"/>
        <v>0</v>
      </c>
      <c r="AV357" s="177"/>
      <c r="AW357" s="31">
        <f t="shared" si="155"/>
        <v>353.31879932254691</v>
      </c>
    </row>
    <row r="358" spans="1:49">
      <c r="A358" s="102">
        <v>349</v>
      </c>
      <c r="B358" s="7" t="s">
        <v>2053</v>
      </c>
      <c r="C358" s="7">
        <v>1</v>
      </c>
      <c r="D358" s="62">
        <f t="shared" si="131"/>
        <v>1206120.8500000003</v>
      </c>
      <c r="E358" s="172">
        <f t="shared" si="132"/>
        <v>237091</v>
      </c>
      <c r="F358" s="62">
        <f t="shared" si="133"/>
        <v>1160346.2789760442</v>
      </c>
      <c r="G358" s="70">
        <f t="shared" si="134"/>
        <v>967158</v>
      </c>
      <c r="H358" s="62">
        <f t="shared" si="135"/>
        <v>193188</v>
      </c>
      <c r="I358" s="173">
        <f t="shared" si="136"/>
        <v>0</v>
      </c>
      <c r="J358" s="174">
        <f>ROUND(100-'Townwide Contributions'!K358,2)</f>
        <v>17.5</v>
      </c>
      <c r="K358" s="70">
        <f t="shared" si="137"/>
        <v>203061</v>
      </c>
      <c r="L358" s="70">
        <f t="shared" si="138"/>
        <v>0</v>
      </c>
      <c r="M358" s="175">
        <f t="shared" si="139"/>
        <v>0</v>
      </c>
      <c r="N358" s="70"/>
      <c r="O358" s="70"/>
      <c r="P358" s="70"/>
      <c r="Q358" s="62">
        <v>122</v>
      </c>
      <c r="R358" s="62">
        <f t="shared" si="140"/>
        <v>109</v>
      </c>
      <c r="S358" s="176"/>
      <c r="T358" s="176"/>
      <c r="U358" s="70"/>
      <c r="V358" s="70"/>
      <c r="W358" s="260"/>
      <c r="X358" s="62">
        <f t="shared" si="141"/>
        <v>0</v>
      </c>
      <c r="Y358" s="70"/>
      <c r="AA358" s="290"/>
      <c r="AB358" s="291"/>
      <c r="AC358" s="62"/>
      <c r="AD358" s="62"/>
      <c r="AE358" s="177">
        <f t="shared" si="142"/>
        <v>3270</v>
      </c>
      <c r="AF358" s="177">
        <f t="shared" si="143"/>
        <v>3270</v>
      </c>
      <c r="AG358" s="70">
        <f t="shared" si="144"/>
        <v>240361</v>
      </c>
      <c r="AH358" s="70">
        <f t="shared" si="145"/>
        <v>0</v>
      </c>
      <c r="AI358" s="587">
        <v>0</v>
      </c>
      <c r="AJ358" s="178">
        <f t="shared" si="146"/>
        <v>240361</v>
      </c>
      <c r="AK358" s="301">
        <f t="shared" si="147"/>
        <v>20.714592217429118</v>
      </c>
      <c r="AL358" s="70">
        <f t="shared" si="148"/>
        <v>1207519</v>
      </c>
      <c r="AM358" s="179">
        <f t="shared" si="149"/>
        <v>104.06540029288358</v>
      </c>
      <c r="AN358" s="179"/>
      <c r="AO358" s="31">
        <f t="shared" si="150"/>
        <v>-45774.571023956174</v>
      </c>
      <c r="AP358" s="31">
        <f t="shared" si="151"/>
        <v>3270</v>
      </c>
      <c r="AQ358" s="31">
        <f t="shared" si="152"/>
        <v>37300.401179192297</v>
      </c>
      <c r="AR358" s="180">
        <f t="shared" si="153"/>
        <v>3.2145922174291179</v>
      </c>
      <c r="AS358" s="31">
        <f t="shared" si="156"/>
        <v>10645.38</v>
      </c>
      <c r="AU358" s="31">
        <f t="shared" si="154"/>
        <v>0</v>
      </c>
      <c r="AV358" s="177"/>
      <c r="AW358" s="31">
        <f t="shared" si="155"/>
        <v>30</v>
      </c>
    </row>
    <row r="359" spans="1:49">
      <c r="A359" s="102">
        <v>350</v>
      </c>
      <c r="B359" s="7" t="s">
        <v>2054</v>
      </c>
      <c r="C359" s="7">
        <v>1</v>
      </c>
      <c r="D359" s="62">
        <f t="shared" si="131"/>
        <v>8711771.7903999984</v>
      </c>
      <c r="E359" s="172">
        <f t="shared" si="132"/>
        <v>3709903</v>
      </c>
      <c r="F359" s="62">
        <f t="shared" si="133"/>
        <v>8596118.8600556906</v>
      </c>
      <c r="G359" s="70">
        <f t="shared" si="134"/>
        <v>7106012</v>
      </c>
      <c r="H359" s="62">
        <f t="shared" si="135"/>
        <v>1490107</v>
      </c>
      <c r="I359" s="173">
        <f t="shared" si="136"/>
        <v>0</v>
      </c>
      <c r="J359" s="174">
        <f>ROUND(100-'Townwide Contributions'!K359,2)</f>
        <v>17.5</v>
      </c>
      <c r="K359" s="70">
        <f t="shared" si="137"/>
        <v>1504321</v>
      </c>
      <c r="L359" s="70">
        <f t="shared" si="138"/>
        <v>0</v>
      </c>
      <c r="M359" s="175">
        <f t="shared" si="139"/>
        <v>0</v>
      </c>
      <c r="N359" s="70"/>
      <c r="O359" s="70"/>
      <c r="P359" s="70"/>
      <c r="Q359" s="62">
        <v>966</v>
      </c>
      <c r="R359" s="62">
        <f t="shared" si="140"/>
        <v>923</v>
      </c>
      <c r="S359" s="176"/>
      <c r="T359" s="176"/>
      <c r="U359" s="70"/>
      <c r="V359" s="70"/>
      <c r="W359" s="260"/>
      <c r="X359" s="62">
        <f t="shared" si="141"/>
        <v>0</v>
      </c>
      <c r="Y359" s="70"/>
      <c r="AA359" s="290"/>
      <c r="AB359" s="291"/>
      <c r="AC359" s="62"/>
      <c r="AD359" s="62"/>
      <c r="AE359" s="177">
        <f t="shared" si="142"/>
        <v>27690</v>
      </c>
      <c r="AF359" s="177">
        <f t="shared" si="143"/>
        <v>27690</v>
      </c>
      <c r="AG359" s="70">
        <f t="shared" si="144"/>
        <v>3737593</v>
      </c>
      <c r="AH359" s="70">
        <f t="shared" si="145"/>
        <v>0</v>
      </c>
      <c r="AI359" s="587">
        <v>0</v>
      </c>
      <c r="AJ359" s="178">
        <f t="shared" si="146"/>
        <v>3737593</v>
      </c>
      <c r="AK359" s="301">
        <f t="shared" si="147"/>
        <v>43.480006045144258</v>
      </c>
      <c r="AL359" s="70">
        <f t="shared" si="148"/>
        <v>10843605</v>
      </c>
      <c r="AM359" s="179">
        <f t="shared" si="149"/>
        <v>126.14535904555592</v>
      </c>
      <c r="AN359" s="179"/>
      <c r="AO359" s="31">
        <f t="shared" si="150"/>
        <v>-115652.9303443078</v>
      </c>
      <c r="AP359" s="31">
        <f t="shared" si="151"/>
        <v>27690</v>
      </c>
      <c r="AQ359" s="31">
        <f t="shared" si="152"/>
        <v>2233272.1994902543</v>
      </c>
      <c r="AR359" s="180">
        <f t="shared" si="153"/>
        <v>25.980006045144258</v>
      </c>
      <c r="AS359" s="31">
        <f t="shared" si="156"/>
        <v>9313.24</v>
      </c>
      <c r="AU359" s="31">
        <f t="shared" si="154"/>
        <v>0</v>
      </c>
      <c r="AV359" s="177"/>
      <c r="AW359" s="31">
        <f t="shared" si="155"/>
        <v>30</v>
      </c>
    </row>
    <row r="360" spans="1:49">
      <c r="A360" s="102">
        <v>351</v>
      </c>
      <c r="B360" s="7" t="s">
        <v>2055</v>
      </c>
      <c r="C360" s="7">
        <v>0</v>
      </c>
      <c r="D360" s="62">
        <f t="shared" si="131"/>
        <v>0</v>
      </c>
      <c r="E360" s="172">
        <f t="shared" si="132"/>
        <v>0</v>
      </c>
      <c r="F360" s="62">
        <f t="shared" si="133"/>
        <v>0</v>
      </c>
      <c r="G360" s="70">
        <f t="shared" si="134"/>
        <v>0</v>
      </c>
      <c r="H360" s="62">
        <f t="shared" si="135"/>
        <v>0</v>
      </c>
      <c r="I360" s="173">
        <f t="shared" si="136"/>
        <v>0</v>
      </c>
      <c r="J360" s="174">
        <f>ROUND(100-'Townwide Contributions'!K360,2)</f>
        <v>17.5</v>
      </c>
      <c r="K360" s="70">
        <f t="shared" si="137"/>
        <v>0</v>
      </c>
      <c r="L360" s="70">
        <f t="shared" si="138"/>
        <v>0</v>
      </c>
      <c r="M360" s="175">
        <f t="shared" si="139"/>
        <v>0</v>
      </c>
      <c r="N360" s="70"/>
      <c r="O360" s="70"/>
      <c r="P360" s="70"/>
      <c r="Q360" s="62">
        <v>0</v>
      </c>
      <c r="R360" s="62">
        <f t="shared" si="140"/>
        <v>0</v>
      </c>
      <c r="S360" s="176"/>
      <c r="T360" s="176"/>
      <c r="U360" s="70"/>
      <c r="V360" s="70"/>
      <c r="W360" s="260"/>
      <c r="X360" s="62">
        <f t="shared" si="141"/>
        <v>0</v>
      </c>
      <c r="Y360" s="70"/>
      <c r="AA360" s="290"/>
      <c r="AB360" s="291"/>
      <c r="AC360" s="62"/>
      <c r="AD360" s="62"/>
      <c r="AE360" s="177">
        <f t="shared" si="142"/>
        <v>0</v>
      </c>
      <c r="AF360" s="177">
        <f t="shared" si="143"/>
        <v>0</v>
      </c>
      <c r="AG360" s="70">
        <f t="shared" si="144"/>
        <v>0</v>
      </c>
      <c r="AH360" s="70">
        <f t="shared" si="145"/>
        <v>0</v>
      </c>
      <c r="AI360" s="587">
        <v>0</v>
      </c>
      <c r="AJ360" s="178">
        <f t="shared" si="146"/>
        <v>0</v>
      </c>
      <c r="AK360" s="301">
        <f t="shared" si="147"/>
        <v>0</v>
      </c>
      <c r="AL360" s="70">
        <f t="shared" si="148"/>
        <v>0</v>
      </c>
      <c r="AM360" s="179">
        <f t="shared" si="149"/>
        <v>0</v>
      </c>
      <c r="AN360" s="179"/>
      <c r="AO360" s="31">
        <f t="shared" si="150"/>
        <v>0</v>
      </c>
      <c r="AP360" s="31">
        <f t="shared" si="151"/>
        <v>0</v>
      </c>
      <c r="AQ360" s="31">
        <f t="shared" si="152"/>
        <v>0</v>
      </c>
      <c r="AR360" s="180" t="str">
        <f t="shared" si="153"/>
        <v/>
      </c>
      <c r="AS360" s="31">
        <f t="shared" si="156"/>
        <v>0</v>
      </c>
      <c r="AU360" s="31">
        <f t="shared" si="154"/>
        <v>0</v>
      </c>
      <c r="AV360" s="177"/>
      <c r="AW360" s="31">
        <f t="shared" si="155"/>
        <v>0</v>
      </c>
    </row>
    <row r="361" spans="1:49">
      <c r="A361" s="102">
        <v>406</v>
      </c>
      <c r="B361" s="7" t="s">
        <v>2056</v>
      </c>
      <c r="C361" s="7">
        <v>1</v>
      </c>
      <c r="D361" s="62">
        <f t="shared" si="131"/>
        <v>2177668</v>
      </c>
      <c r="E361" s="172">
        <f t="shared" si="132"/>
        <v>903575</v>
      </c>
      <c r="F361" s="62">
        <f t="shared" si="133"/>
        <v>2248554.7171424888</v>
      </c>
      <c r="G361" s="70">
        <f t="shared" si="134"/>
        <v>1863952</v>
      </c>
      <c r="H361" s="62">
        <f t="shared" si="135"/>
        <v>384603</v>
      </c>
      <c r="I361" s="173">
        <f t="shared" si="136"/>
        <v>0</v>
      </c>
      <c r="J361" s="174">
        <f t="shared" ref="J361:J392" ca="1" si="157">ROUND(100-SUMIF(fraclea,A361,memeffpct),2)</f>
        <v>17.5</v>
      </c>
      <c r="K361" s="70">
        <f t="shared" ca="1" si="137"/>
        <v>393497</v>
      </c>
      <c r="L361" s="70">
        <f t="shared" ca="1" si="138"/>
        <v>0</v>
      </c>
      <c r="M361" s="175">
        <f t="shared" ca="1" si="139"/>
        <v>0</v>
      </c>
      <c r="N361" s="70"/>
      <c r="O361" s="70"/>
      <c r="P361" s="70"/>
      <c r="Q361" s="62">
        <v>103</v>
      </c>
      <c r="R361" s="62">
        <f t="shared" si="140"/>
        <v>106</v>
      </c>
      <c r="S361" s="176"/>
      <c r="T361" s="176"/>
      <c r="U361" s="70"/>
      <c r="V361" s="70"/>
      <c r="W361" s="260"/>
      <c r="X361" s="62">
        <f t="shared" si="141"/>
        <v>0</v>
      </c>
      <c r="Y361" s="70"/>
      <c r="AA361" s="290"/>
      <c r="AB361" s="291"/>
      <c r="AC361" s="62"/>
      <c r="AD361" s="62"/>
      <c r="AE361" s="177">
        <f t="shared" si="142"/>
        <v>3180</v>
      </c>
      <c r="AF361" s="177">
        <f t="shared" ca="1" si="143"/>
        <v>3180</v>
      </c>
      <c r="AG361" s="70">
        <f t="shared" ca="1" si="144"/>
        <v>906755</v>
      </c>
      <c r="AH361" s="70">
        <f t="shared" ca="1" si="145"/>
        <v>0</v>
      </c>
      <c r="AI361" s="587">
        <v>0</v>
      </c>
      <c r="AJ361" s="178">
        <f t="shared" ca="1" si="146"/>
        <v>906755</v>
      </c>
      <c r="AK361" s="301">
        <f t="shared" ca="1" si="147"/>
        <v>40.326125625811926</v>
      </c>
      <c r="AL361" s="70">
        <f t="shared" ca="1" si="148"/>
        <v>2770707</v>
      </c>
      <c r="AM361" s="179">
        <f t="shared" ca="1" si="149"/>
        <v>123.22168452814319</v>
      </c>
      <c r="AN361" s="179"/>
      <c r="AO361" s="31">
        <f t="shared" si="150"/>
        <v>70886.717142488807</v>
      </c>
      <c r="AP361" s="31">
        <f t="shared" ca="1" si="151"/>
        <v>3180</v>
      </c>
      <c r="AQ361" s="31">
        <f t="shared" ca="1" si="152"/>
        <v>513257.92450006446</v>
      </c>
      <c r="AR361" s="180">
        <f t="shared" ca="1" si="153"/>
        <v>22.826125625811926</v>
      </c>
      <c r="AS361" s="31">
        <f t="shared" si="156"/>
        <v>21212.78</v>
      </c>
      <c r="AU361" s="31">
        <f t="shared" si="154"/>
        <v>0</v>
      </c>
      <c r="AV361" s="177"/>
      <c r="AW361" s="31">
        <f t="shared" ca="1" si="155"/>
        <v>30</v>
      </c>
    </row>
    <row r="362" spans="1:49">
      <c r="A362" s="102">
        <v>600</v>
      </c>
      <c r="B362" s="7" t="s">
        <v>2057</v>
      </c>
      <c r="C362" s="7">
        <v>1</v>
      </c>
      <c r="D362" s="62">
        <f t="shared" si="131"/>
        <v>52547574</v>
      </c>
      <c r="E362" s="172">
        <f t="shared" si="132"/>
        <v>14696070.561999999</v>
      </c>
      <c r="F362" s="62">
        <f t="shared" si="133"/>
        <v>53421566.907991789</v>
      </c>
      <c r="G362" s="70">
        <f t="shared" si="134"/>
        <v>42045809</v>
      </c>
      <c r="H362" s="62">
        <f t="shared" si="135"/>
        <v>11375758</v>
      </c>
      <c r="I362" s="173">
        <f t="shared" si="136"/>
        <v>0</v>
      </c>
      <c r="J362" s="174">
        <f t="shared" ca="1" si="157"/>
        <v>21.41</v>
      </c>
      <c r="K362" s="70">
        <f t="shared" ca="1" si="137"/>
        <v>11437557</v>
      </c>
      <c r="L362" s="70">
        <f t="shared" ca="1" si="138"/>
        <v>0</v>
      </c>
      <c r="M362" s="175">
        <f t="shared" ca="1" si="139"/>
        <v>0</v>
      </c>
      <c r="N362" s="70"/>
      <c r="O362" s="70"/>
      <c r="P362" s="70"/>
      <c r="Q362" s="62">
        <v>5509</v>
      </c>
      <c r="R362" s="62">
        <f t="shared" si="140"/>
        <v>5443</v>
      </c>
      <c r="S362" s="176"/>
      <c r="T362" s="176"/>
      <c r="U362" s="70"/>
      <c r="V362" s="70"/>
      <c r="W362" s="260"/>
      <c r="X362" s="62">
        <f t="shared" si="141"/>
        <v>0</v>
      </c>
      <c r="Y362" s="70"/>
      <c r="AA362" s="290"/>
      <c r="AB362" s="291"/>
      <c r="AC362" s="62"/>
      <c r="AD362" s="62"/>
      <c r="AE362" s="177">
        <f t="shared" si="142"/>
        <v>163290</v>
      </c>
      <c r="AF362" s="177">
        <f t="shared" ca="1" si="143"/>
        <v>163290</v>
      </c>
      <c r="AG362" s="70">
        <f t="shared" ca="1" si="144"/>
        <v>14859360.561999999</v>
      </c>
      <c r="AH362" s="70">
        <f t="shared" ca="1" si="145"/>
        <v>0</v>
      </c>
      <c r="AI362" s="587">
        <v>0</v>
      </c>
      <c r="AJ362" s="178">
        <f t="shared" ca="1" si="146"/>
        <v>14859360.561999999</v>
      </c>
      <c r="AK362" s="301">
        <f t="shared" ca="1" si="147"/>
        <v>27.815284017393843</v>
      </c>
      <c r="AL362" s="70">
        <f t="shared" ca="1" si="148"/>
        <v>56905169.561999999</v>
      </c>
      <c r="AM362" s="179">
        <f t="shared" ca="1" si="149"/>
        <v>106.52096682227243</v>
      </c>
      <c r="AN362" s="179"/>
      <c r="AO362" s="31">
        <f t="shared" si="150"/>
        <v>873992.90799178928</v>
      </c>
      <c r="AP362" s="31">
        <f t="shared" ca="1" si="151"/>
        <v>163290</v>
      </c>
      <c r="AQ362" s="31">
        <f t="shared" ca="1" si="152"/>
        <v>3421803.0869989563</v>
      </c>
      <c r="AR362" s="180">
        <f t="shared" ca="1" si="153"/>
        <v>6.4052840173938428</v>
      </c>
      <c r="AS362" s="31">
        <f t="shared" si="156"/>
        <v>9814.73</v>
      </c>
      <c r="AU362" s="31">
        <f t="shared" si="154"/>
        <v>0</v>
      </c>
      <c r="AV362" s="177"/>
      <c r="AW362" s="31">
        <f t="shared" ca="1" si="155"/>
        <v>30</v>
      </c>
    </row>
    <row r="363" spans="1:49">
      <c r="A363" s="102">
        <v>603</v>
      </c>
      <c r="B363" s="7" t="s">
        <v>2058</v>
      </c>
      <c r="C363" s="7">
        <v>1</v>
      </c>
      <c r="D363" s="62">
        <f t="shared" si="131"/>
        <v>15296780</v>
      </c>
      <c r="E363" s="172">
        <f t="shared" si="132"/>
        <v>10234243</v>
      </c>
      <c r="F363" s="62">
        <f t="shared" si="133"/>
        <v>15055572.515187521</v>
      </c>
      <c r="G363" s="70">
        <f t="shared" si="134"/>
        <v>5538278</v>
      </c>
      <c r="H363" s="62">
        <f t="shared" si="135"/>
        <v>9517295</v>
      </c>
      <c r="I363" s="173">
        <f t="shared" si="136"/>
        <v>0</v>
      </c>
      <c r="J363" s="174">
        <f t="shared" ca="1" si="157"/>
        <v>63.21</v>
      </c>
      <c r="K363" s="70">
        <f t="shared" ca="1" si="137"/>
        <v>9516627</v>
      </c>
      <c r="L363" s="70">
        <f t="shared" ca="1" si="138"/>
        <v>0</v>
      </c>
      <c r="M363" s="175">
        <f t="shared" ca="1" si="139"/>
        <v>0</v>
      </c>
      <c r="N363" s="70"/>
      <c r="O363" s="70"/>
      <c r="P363" s="70"/>
      <c r="Q363" s="62">
        <v>1415</v>
      </c>
      <c r="R363" s="62">
        <f t="shared" si="140"/>
        <v>1377</v>
      </c>
      <c r="S363" s="176"/>
      <c r="T363" s="176"/>
      <c r="U363" s="70"/>
      <c r="V363" s="70"/>
      <c r="W363" s="260"/>
      <c r="X363" s="62">
        <f t="shared" si="141"/>
        <v>0</v>
      </c>
      <c r="Y363" s="70"/>
      <c r="AA363" s="290"/>
      <c r="AB363" s="291"/>
      <c r="AC363" s="62"/>
      <c r="AD363" s="62"/>
      <c r="AE363" s="177">
        <f t="shared" si="142"/>
        <v>41310</v>
      </c>
      <c r="AF363" s="177">
        <f t="shared" ca="1" si="143"/>
        <v>41310</v>
      </c>
      <c r="AG363" s="70">
        <f t="shared" ca="1" si="144"/>
        <v>10275553</v>
      </c>
      <c r="AH363" s="70">
        <f t="shared" ca="1" si="145"/>
        <v>0</v>
      </c>
      <c r="AI363" s="587">
        <v>0</v>
      </c>
      <c r="AJ363" s="178">
        <f t="shared" ca="1" si="146"/>
        <v>10275553</v>
      </c>
      <c r="AK363" s="301">
        <f t="shared" ca="1" si="147"/>
        <v>68.250828652543049</v>
      </c>
      <c r="AL363" s="70">
        <f t="shared" ca="1" si="148"/>
        <v>15813831</v>
      </c>
      <c r="AM363" s="179">
        <f t="shared" ca="1" si="149"/>
        <v>105.03639754680584</v>
      </c>
      <c r="AN363" s="179"/>
      <c r="AO363" s="31">
        <f t="shared" si="150"/>
        <v>-241207.48481247947</v>
      </c>
      <c r="AP363" s="31">
        <f t="shared" ca="1" si="151"/>
        <v>41310</v>
      </c>
      <c r="AQ363" s="31">
        <f t="shared" ca="1" si="152"/>
        <v>758925.61314996891</v>
      </c>
      <c r="AR363" s="180">
        <f t="shared" ca="1" si="153"/>
        <v>5.0408286525430483</v>
      </c>
      <c r="AS363" s="31">
        <f t="shared" si="156"/>
        <v>10933.6</v>
      </c>
      <c r="AU363" s="31">
        <f t="shared" si="154"/>
        <v>0</v>
      </c>
      <c r="AV363" s="177"/>
      <c r="AW363" s="31">
        <f t="shared" ca="1" si="155"/>
        <v>30</v>
      </c>
    </row>
    <row r="364" spans="1:49">
      <c r="A364" s="102">
        <v>605</v>
      </c>
      <c r="B364" s="7" t="s">
        <v>2059</v>
      </c>
      <c r="C364" s="7">
        <v>1</v>
      </c>
      <c r="D364" s="62">
        <f t="shared" si="131"/>
        <v>15535447</v>
      </c>
      <c r="E364" s="172">
        <f t="shared" si="132"/>
        <v>9431797</v>
      </c>
      <c r="F364" s="62">
        <f t="shared" si="133"/>
        <v>15847416.836753655</v>
      </c>
      <c r="G364" s="70">
        <f t="shared" si="134"/>
        <v>11645169</v>
      </c>
      <c r="H364" s="62">
        <f t="shared" si="135"/>
        <v>4202248</v>
      </c>
      <c r="I364" s="173">
        <f t="shared" si="136"/>
        <v>0</v>
      </c>
      <c r="J364" s="174">
        <f t="shared" ca="1" si="157"/>
        <v>26.54</v>
      </c>
      <c r="K364" s="70">
        <f t="shared" ca="1" si="137"/>
        <v>4205904</v>
      </c>
      <c r="L364" s="70">
        <f t="shared" ca="1" si="138"/>
        <v>0</v>
      </c>
      <c r="M364" s="175">
        <f t="shared" ca="1" si="139"/>
        <v>0</v>
      </c>
      <c r="N364" s="70"/>
      <c r="O364" s="70"/>
      <c r="P364" s="70"/>
      <c r="Q364" s="62">
        <v>1496</v>
      </c>
      <c r="R364" s="62">
        <f t="shared" si="140"/>
        <v>1489.9999999851</v>
      </c>
      <c r="S364" s="176"/>
      <c r="T364" s="176"/>
      <c r="U364" s="70"/>
      <c r="V364" s="70"/>
      <c r="W364" s="260"/>
      <c r="X364" s="62">
        <f t="shared" si="141"/>
        <v>0</v>
      </c>
      <c r="Y364" s="70"/>
      <c r="AA364" s="290"/>
      <c r="AB364" s="291"/>
      <c r="AC364" s="62"/>
      <c r="AD364" s="62"/>
      <c r="AE364" s="177">
        <f t="shared" si="142"/>
        <v>44699.999999553002</v>
      </c>
      <c r="AF364" s="177">
        <f t="shared" ca="1" si="143"/>
        <v>44699.999999553002</v>
      </c>
      <c r="AG364" s="70">
        <f t="shared" ca="1" si="144"/>
        <v>9476496.999999553</v>
      </c>
      <c r="AH364" s="70">
        <f t="shared" ca="1" si="145"/>
        <v>0</v>
      </c>
      <c r="AI364" s="587">
        <v>0</v>
      </c>
      <c r="AJ364" s="178">
        <f t="shared" ca="1" si="146"/>
        <v>9476496.999999553</v>
      </c>
      <c r="AK364" s="301">
        <f t="shared" ca="1" si="147"/>
        <v>59.798370280899448</v>
      </c>
      <c r="AL364" s="70">
        <f t="shared" ca="1" si="148"/>
        <v>21121665.999999553</v>
      </c>
      <c r="AM364" s="179">
        <f t="shared" ca="1" si="149"/>
        <v>133.28144402066681</v>
      </c>
      <c r="AN364" s="179"/>
      <c r="AO364" s="31">
        <f t="shared" si="150"/>
        <v>311969.83675365523</v>
      </c>
      <c r="AP364" s="31">
        <f t="shared" ca="1" si="151"/>
        <v>44699.999999552965</v>
      </c>
      <c r="AQ364" s="31">
        <f t="shared" ca="1" si="152"/>
        <v>5270592.5715251332</v>
      </c>
      <c r="AR364" s="180">
        <f t="shared" ca="1" si="153"/>
        <v>33.258370280899449</v>
      </c>
      <c r="AS364" s="31">
        <f t="shared" si="156"/>
        <v>10635.85</v>
      </c>
      <c r="AU364" s="31">
        <f t="shared" si="154"/>
        <v>0</v>
      </c>
      <c r="AV364" s="177"/>
      <c r="AW364" s="31">
        <f t="shared" ca="1" si="155"/>
        <v>29.999999999999979</v>
      </c>
    </row>
    <row r="365" spans="1:49">
      <c r="A365" s="102">
        <v>610</v>
      </c>
      <c r="B365" s="7" t="s">
        <v>2060</v>
      </c>
      <c r="C365" s="7">
        <v>1</v>
      </c>
      <c r="D365" s="62">
        <f t="shared" si="131"/>
        <v>21190453</v>
      </c>
      <c r="E365" s="172">
        <f t="shared" si="132"/>
        <v>10675483</v>
      </c>
      <c r="F365" s="62">
        <f t="shared" si="133"/>
        <v>21596182.828853481</v>
      </c>
      <c r="G365" s="70">
        <f t="shared" si="134"/>
        <v>11367955</v>
      </c>
      <c r="H365" s="62">
        <f t="shared" si="135"/>
        <v>10228228</v>
      </c>
      <c r="I365" s="173">
        <f t="shared" si="136"/>
        <v>0</v>
      </c>
      <c r="J365" s="174">
        <f t="shared" ca="1" si="157"/>
        <v>47.55</v>
      </c>
      <c r="K365" s="70">
        <f t="shared" ca="1" si="137"/>
        <v>10268985</v>
      </c>
      <c r="L365" s="70">
        <f t="shared" ca="1" si="138"/>
        <v>0</v>
      </c>
      <c r="M365" s="175">
        <f t="shared" ca="1" si="139"/>
        <v>0</v>
      </c>
      <c r="N365" s="70"/>
      <c r="O365" s="70"/>
      <c r="P365" s="70"/>
      <c r="Q365" s="62">
        <v>2206</v>
      </c>
      <c r="R365" s="62">
        <f t="shared" si="140"/>
        <v>2208</v>
      </c>
      <c r="S365" s="176"/>
      <c r="T365" s="176"/>
      <c r="U365" s="70"/>
      <c r="V365" s="70"/>
      <c r="W365" s="260"/>
      <c r="X365" s="62">
        <f t="shared" si="141"/>
        <v>0</v>
      </c>
      <c r="Y365" s="70"/>
      <c r="AA365" s="290"/>
      <c r="AB365" s="291"/>
      <c r="AC365" s="62"/>
      <c r="AD365" s="62"/>
      <c r="AE365" s="177">
        <f t="shared" si="142"/>
        <v>66240</v>
      </c>
      <c r="AF365" s="177">
        <f t="shared" ca="1" si="143"/>
        <v>66240</v>
      </c>
      <c r="AG365" s="70">
        <f t="shared" ca="1" si="144"/>
        <v>10741723</v>
      </c>
      <c r="AH365" s="70">
        <f t="shared" ca="1" si="145"/>
        <v>0</v>
      </c>
      <c r="AI365" s="587">
        <v>0</v>
      </c>
      <c r="AJ365" s="178">
        <f t="shared" ca="1" si="146"/>
        <v>10741723</v>
      </c>
      <c r="AK365" s="301">
        <f t="shared" ca="1" si="147"/>
        <v>49.738988992298076</v>
      </c>
      <c r="AL365" s="70">
        <f t="shared" ca="1" si="148"/>
        <v>22109678</v>
      </c>
      <c r="AM365" s="179">
        <f t="shared" ca="1" si="149"/>
        <v>102.37771265049889</v>
      </c>
      <c r="AN365" s="179"/>
      <c r="AO365" s="31">
        <f t="shared" si="150"/>
        <v>405729.82885348052</v>
      </c>
      <c r="AP365" s="31">
        <f t="shared" ca="1" si="151"/>
        <v>66240</v>
      </c>
      <c r="AQ365" s="31">
        <f t="shared" ca="1" si="152"/>
        <v>472738.06488016993</v>
      </c>
      <c r="AR365" s="180">
        <f t="shared" ca="1" si="153"/>
        <v>2.1889889922980785</v>
      </c>
      <c r="AS365" s="31">
        <f t="shared" si="156"/>
        <v>9780.8799999999992</v>
      </c>
      <c r="AU365" s="31">
        <f t="shared" si="154"/>
        <v>0</v>
      </c>
      <c r="AV365" s="177"/>
      <c r="AW365" s="31">
        <f t="shared" ca="1" si="155"/>
        <v>30</v>
      </c>
    </row>
    <row r="366" spans="1:49">
      <c r="A366" s="102">
        <v>615</v>
      </c>
      <c r="B366" s="7" t="s">
        <v>2061</v>
      </c>
      <c r="C366" s="7">
        <v>1</v>
      </c>
      <c r="D366" s="62">
        <f t="shared" si="131"/>
        <v>18244828</v>
      </c>
      <c r="E366" s="172">
        <f t="shared" si="132"/>
        <v>17267570</v>
      </c>
      <c r="F366" s="62">
        <f t="shared" si="133"/>
        <v>18603786.772762485</v>
      </c>
      <c r="G366" s="70">
        <f t="shared" si="134"/>
        <v>3090653</v>
      </c>
      <c r="H366" s="62">
        <f t="shared" si="135"/>
        <v>15513134</v>
      </c>
      <c r="I366" s="173">
        <f t="shared" si="136"/>
        <v>0</v>
      </c>
      <c r="J366" s="174">
        <f t="shared" ca="1" si="157"/>
        <v>68.38</v>
      </c>
      <c r="K366" s="70">
        <f t="shared" ca="1" si="137"/>
        <v>12721269</v>
      </c>
      <c r="L366" s="70">
        <f t="shared" ca="1" si="138"/>
        <v>0</v>
      </c>
      <c r="M366" s="175">
        <f t="shared" ca="1" si="139"/>
        <v>0</v>
      </c>
      <c r="N366" s="70"/>
      <c r="O366" s="70"/>
      <c r="P366" s="70"/>
      <c r="Q366" s="62">
        <v>1726</v>
      </c>
      <c r="R366" s="62">
        <f t="shared" si="140"/>
        <v>1729.0000000000002</v>
      </c>
      <c r="S366" s="176"/>
      <c r="T366" s="176"/>
      <c r="U366" s="70"/>
      <c r="V366" s="70"/>
      <c r="W366" s="260"/>
      <c r="X366" s="62">
        <f t="shared" si="141"/>
        <v>0</v>
      </c>
      <c r="Y366" s="70"/>
      <c r="AA366" s="290"/>
      <c r="AB366" s="291"/>
      <c r="AC366" s="62"/>
      <c r="AD366" s="62"/>
      <c r="AE366" s="177">
        <f t="shared" si="142"/>
        <v>51870.000000000007</v>
      </c>
      <c r="AF366" s="177">
        <f t="shared" ca="1" si="143"/>
        <v>51870.000000000007</v>
      </c>
      <c r="AG366" s="70">
        <f t="shared" ca="1" si="144"/>
        <v>17319440</v>
      </c>
      <c r="AH366" s="70">
        <f t="shared" ca="1" si="145"/>
        <v>0</v>
      </c>
      <c r="AI366" s="587">
        <v>0</v>
      </c>
      <c r="AJ366" s="178">
        <f t="shared" ca="1" si="146"/>
        <v>17319440</v>
      </c>
      <c r="AK366" s="301">
        <f t="shared" ca="1" si="147"/>
        <v>93.096315344557297</v>
      </c>
      <c r="AL366" s="70">
        <f t="shared" ca="1" si="148"/>
        <v>20410093</v>
      </c>
      <c r="AM366" s="179">
        <f t="shared" ca="1" si="149"/>
        <v>109.70934707702682</v>
      </c>
      <c r="AN366" s="179"/>
      <c r="AO366" s="31">
        <f t="shared" si="150"/>
        <v>358958.77276248485</v>
      </c>
      <c r="AP366" s="31">
        <f t="shared" ca="1" si="151"/>
        <v>51870</v>
      </c>
      <c r="AQ366" s="31">
        <f t="shared" ca="1" si="152"/>
        <v>4598170.6047850139</v>
      </c>
      <c r="AR366" s="180">
        <f t="shared" ca="1" si="153"/>
        <v>24.716315344557302</v>
      </c>
      <c r="AS366" s="31">
        <f t="shared" si="156"/>
        <v>10759.85</v>
      </c>
      <c r="AU366" s="31">
        <f t="shared" si="154"/>
        <v>0</v>
      </c>
      <c r="AV366" s="177"/>
      <c r="AW366" s="31">
        <f t="shared" ca="1" si="155"/>
        <v>29.999999999999996</v>
      </c>
    </row>
    <row r="367" spans="1:49">
      <c r="A367" s="102">
        <v>616</v>
      </c>
      <c r="B367" s="7" t="s">
        <v>1626</v>
      </c>
      <c r="C367" s="7">
        <v>1</v>
      </c>
      <c r="D367" s="62">
        <f t="shared" si="131"/>
        <v>17539418</v>
      </c>
      <c r="E367" s="172">
        <f t="shared" si="132"/>
        <v>8144051</v>
      </c>
      <c r="F367" s="62">
        <f t="shared" si="133"/>
        <v>17859764.734966867</v>
      </c>
      <c r="G367" s="70">
        <f t="shared" si="134"/>
        <v>11291639</v>
      </c>
      <c r="H367" s="62">
        <f t="shared" si="135"/>
        <v>6568126</v>
      </c>
      <c r="I367" s="173">
        <f t="shared" si="136"/>
        <v>0</v>
      </c>
      <c r="J367" s="174">
        <f t="shared" ca="1" si="157"/>
        <v>37.11</v>
      </c>
      <c r="K367" s="70">
        <f t="shared" ca="1" si="137"/>
        <v>6627759</v>
      </c>
      <c r="L367" s="70">
        <f t="shared" ca="1" si="138"/>
        <v>0</v>
      </c>
      <c r="M367" s="175">
        <f t="shared" ca="1" si="139"/>
        <v>0</v>
      </c>
      <c r="N367" s="70"/>
      <c r="O367" s="70"/>
      <c r="P367" s="70"/>
      <c r="Q367" s="62">
        <v>1758</v>
      </c>
      <c r="R367" s="62">
        <f t="shared" si="140"/>
        <v>1771</v>
      </c>
      <c r="S367" s="176"/>
      <c r="T367" s="176"/>
      <c r="U367" s="70"/>
      <c r="V367" s="70"/>
      <c r="W367" s="260"/>
      <c r="X367" s="62">
        <f t="shared" si="141"/>
        <v>0</v>
      </c>
      <c r="Y367" s="70"/>
      <c r="AA367" s="290"/>
      <c r="AB367" s="291"/>
      <c r="AC367" s="62"/>
      <c r="AD367" s="62"/>
      <c r="AE367" s="177">
        <f t="shared" si="142"/>
        <v>53130</v>
      </c>
      <c r="AF367" s="177">
        <f t="shared" ca="1" si="143"/>
        <v>53130</v>
      </c>
      <c r="AG367" s="70">
        <f t="shared" ca="1" si="144"/>
        <v>8197181</v>
      </c>
      <c r="AH367" s="70">
        <f t="shared" ca="1" si="145"/>
        <v>0</v>
      </c>
      <c r="AI367" s="587">
        <v>0</v>
      </c>
      <c r="AJ367" s="178">
        <f t="shared" ca="1" si="146"/>
        <v>8197181</v>
      </c>
      <c r="AK367" s="301">
        <f t="shared" ca="1" si="147"/>
        <v>45.897474696019323</v>
      </c>
      <c r="AL367" s="70">
        <f t="shared" ca="1" si="148"/>
        <v>19488820</v>
      </c>
      <c r="AM367" s="179">
        <f t="shared" ca="1" si="149"/>
        <v>109.12137023755793</v>
      </c>
      <c r="AN367" s="179"/>
      <c r="AO367" s="31">
        <f t="shared" si="150"/>
        <v>320346.73496686667</v>
      </c>
      <c r="AP367" s="31">
        <f t="shared" ca="1" si="151"/>
        <v>53130</v>
      </c>
      <c r="AQ367" s="31">
        <f t="shared" ca="1" si="152"/>
        <v>1569422.3068537964</v>
      </c>
      <c r="AR367" s="180">
        <f t="shared" ca="1" si="153"/>
        <v>8.7874746960193235</v>
      </c>
      <c r="AS367" s="31">
        <f t="shared" si="156"/>
        <v>10084.57</v>
      </c>
      <c r="AU367" s="31">
        <f t="shared" si="154"/>
        <v>0</v>
      </c>
      <c r="AV367" s="177"/>
      <c r="AW367" s="31">
        <f t="shared" ca="1" si="155"/>
        <v>30</v>
      </c>
    </row>
    <row r="368" spans="1:49">
      <c r="A368" s="102">
        <v>618</v>
      </c>
      <c r="B368" s="7" t="s">
        <v>2062</v>
      </c>
      <c r="C368" s="7">
        <v>1</v>
      </c>
      <c r="D368" s="62">
        <f t="shared" si="131"/>
        <v>11414759</v>
      </c>
      <c r="E368" s="172">
        <f t="shared" si="132"/>
        <v>2839128</v>
      </c>
      <c r="F368" s="62">
        <f t="shared" si="133"/>
        <v>11592012.389038036</v>
      </c>
      <c r="G368" s="70">
        <f t="shared" si="134"/>
        <v>9603359</v>
      </c>
      <c r="H368" s="62">
        <f t="shared" si="135"/>
        <v>1988653</v>
      </c>
      <c r="I368" s="173">
        <f t="shared" si="136"/>
        <v>0</v>
      </c>
      <c r="J368" s="174">
        <f t="shared" ca="1" si="157"/>
        <v>17.5</v>
      </c>
      <c r="K368" s="70">
        <f t="shared" ca="1" si="137"/>
        <v>2028602</v>
      </c>
      <c r="L368" s="70">
        <f t="shared" ca="1" si="138"/>
        <v>0</v>
      </c>
      <c r="M368" s="175">
        <f t="shared" ca="1" si="139"/>
        <v>0</v>
      </c>
      <c r="N368" s="70"/>
      <c r="O368" s="70"/>
      <c r="P368" s="70"/>
      <c r="Q368" s="62">
        <v>1063</v>
      </c>
      <c r="R368" s="62">
        <f t="shared" si="140"/>
        <v>1079</v>
      </c>
      <c r="S368" s="176"/>
      <c r="T368" s="176"/>
      <c r="U368" s="70"/>
      <c r="V368" s="70"/>
      <c r="W368" s="260"/>
      <c r="X368" s="62">
        <f t="shared" si="141"/>
        <v>0</v>
      </c>
      <c r="Y368" s="70"/>
      <c r="AA368" s="290"/>
      <c r="AB368" s="291"/>
      <c r="AC368" s="62"/>
      <c r="AD368" s="62"/>
      <c r="AE368" s="177">
        <f t="shared" si="142"/>
        <v>32370</v>
      </c>
      <c r="AF368" s="177">
        <f t="shared" ca="1" si="143"/>
        <v>32370</v>
      </c>
      <c r="AG368" s="70">
        <f t="shared" ca="1" si="144"/>
        <v>2871498</v>
      </c>
      <c r="AH368" s="70">
        <f t="shared" ca="1" si="145"/>
        <v>0</v>
      </c>
      <c r="AI368" s="587">
        <v>0</v>
      </c>
      <c r="AJ368" s="178">
        <f t="shared" ca="1" si="146"/>
        <v>2871498</v>
      </c>
      <c r="AK368" s="301">
        <f t="shared" ca="1" si="147"/>
        <v>24.771350337025407</v>
      </c>
      <c r="AL368" s="70">
        <f t="shared" ca="1" si="148"/>
        <v>12474857</v>
      </c>
      <c r="AM368" s="179">
        <f t="shared" ca="1" si="149"/>
        <v>107.61597366646041</v>
      </c>
      <c r="AN368" s="179"/>
      <c r="AO368" s="31">
        <f t="shared" si="150"/>
        <v>177253.38903803565</v>
      </c>
      <c r="AP368" s="31">
        <f t="shared" ca="1" si="151"/>
        <v>32370</v>
      </c>
      <c r="AQ368" s="31">
        <f t="shared" ca="1" si="152"/>
        <v>842895.8319183439</v>
      </c>
      <c r="AR368" s="180">
        <f t="shared" ca="1" si="153"/>
        <v>7.2713503370254067</v>
      </c>
      <c r="AS368" s="31">
        <f t="shared" si="156"/>
        <v>10743.29</v>
      </c>
      <c r="AU368" s="31">
        <f t="shared" si="154"/>
        <v>0</v>
      </c>
      <c r="AV368" s="177"/>
      <c r="AW368" s="31">
        <f t="shared" ca="1" si="155"/>
        <v>30</v>
      </c>
    </row>
    <row r="369" spans="1:49">
      <c r="A369" s="102">
        <v>620</v>
      </c>
      <c r="B369" s="7" t="s">
        <v>2063</v>
      </c>
      <c r="C369" s="7">
        <v>1</v>
      </c>
      <c r="D369" s="62">
        <f t="shared" si="131"/>
        <v>5023757</v>
      </c>
      <c r="E369" s="172">
        <f t="shared" si="132"/>
        <v>1091688</v>
      </c>
      <c r="F369" s="62">
        <f t="shared" si="133"/>
        <v>5247616.0529560801</v>
      </c>
      <c r="G369" s="70">
        <f t="shared" si="134"/>
        <v>4352079</v>
      </c>
      <c r="H369" s="62">
        <f t="shared" si="135"/>
        <v>895537</v>
      </c>
      <c r="I369" s="173">
        <f t="shared" si="136"/>
        <v>0</v>
      </c>
      <c r="J369" s="174">
        <f t="shared" ca="1" si="157"/>
        <v>17.5</v>
      </c>
      <c r="K369" s="70">
        <f t="shared" ca="1" si="137"/>
        <v>918333</v>
      </c>
      <c r="L369" s="70">
        <f t="shared" ca="1" si="138"/>
        <v>0</v>
      </c>
      <c r="M369" s="175">
        <f t="shared" ca="1" si="139"/>
        <v>0</v>
      </c>
      <c r="N369" s="70"/>
      <c r="O369" s="70"/>
      <c r="P369" s="70"/>
      <c r="Q369" s="62">
        <v>528</v>
      </c>
      <c r="R369" s="62">
        <f t="shared" si="140"/>
        <v>540</v>
      </c>
      <c r="S369" s="176"/>
      <c r="T369" s="176"/>
      <c r="U369" s="70"/>
      <c r="V369" s="70"/>
      <c r="W369" s="260"/>
      <c r="X369" s="62">
        <f t="shared" si="141"/>
        <v>0</v>
      </c>
      <c r="Y369" s="70"/>
      <c r="AA369" s="290"/>
      <c r="AB369" s="291"/>
      <c r="AC369" s="62"/>
      <c r="AD369" s="62"/>
      <c r="AE369" s="177">
        <f t="shared" si="142"/>
        <v>16200</v>
      </c>
      <c r="AF369" s="177">
        <f t="shared" ca="1" si="143"/>
        <v>16200</v>
      </c>
      <c r="AG369" s="70">
        <f t="shared" ca="1" si="144"/>
        <v>1107888</v>
      </c>
      <c r="AH369" s="70">
        <f t="shared" ca="1" si="145"/>
        <v>0</v>
      </c>
      <c r="AI369" s="587">
        <v>0</v>
      </c>
      <c r="AJ369" s="178">
        <f t="shared" ca="1" si="146"/>
        <v>1107888</v>
      </c>
      <c r="AK369" s="301">
        <f t="shared" ca="1" si="147"/>
        <v>21.11221531491249</v>
      </c>
      <c r="AL369" s="70">
        <f t="shared" ca="1" si="148"/>
        <v>5459967</v>
      </c>
      <c r="AM369" s="179">
        <f t="shared" ca="1" si="149"/>
        <v>104.04661745259162</v>
      </c>
      <c r="AN369" s="179"/>
      <c r="AO369" s="31">
        <f t="shared" si="150"/>
        <v>223859.05295608006</v>
      </c>
      <c r="AP369" s="31">
        <f t="shared" ca="1" si="151"/>
        <v>16200</v>
      </c>
      <c r="AQ369" s="31">
        <f t="shared" ca="1" si="152"/>
        <v>189555.19073268608</v>
      </c>
      <c r="AR369" s="180">
        <f t="shared" ca="1" si="153"/>
        <v>3.6122153149124898</v>
      </c>
      <c r="AS369" s="31">
        <f t="shared" si="156"/>
        <v>9717.81</v>
      </c>
      <c r="AU369" s="31">
        <f t="shared" si="154"/>
        <v>0</v>
      </c>
      <c r="AV369" s="177"/>
      <c r="AW369" s="31">
        <f t="shared" ca="1" si="155"/>
        <v>30</v>
      </c>
    </row>
    <row r="370" spans="1:49">
      <c r="A370" s="102">
        <v>622</v>
      </c>
      <c r="B370" s="7" t="s">
        <v>2064</v>
      </c>
      <c r="C370" s="7">
        <v>1</v>
      </c>
      <c r="D370" s="62">
        <f t="shared" si="131"/>
        <v>17055908</v>
      </c>
      <c r="E370" s="172">
        <f t="shared" si="132"/>
        <v>10826779</v>
      </c>
      <c r="F370" s="62">
        <f t="shared" si="133"/>
        <v>17728142.592629228</v>
      </c>
      <c r="G370" s="70">
        <f t="shared" si="134"/>
        <v>8280761</v>
      </c>
      <c r="H370" s="62">
        <f t="shared" si="135"/>
        <v>9447382</v>
      </c>
      <c r="I370" s="173">
        <f t="shared" si="136"/>
        <v>0</v>
      </c>
      <c r="J370" s="174">
        <f t="shared" ca="1" si="157"/>
        <v>53.3</v>
      </c>
      <c r="K370" s="70">
        <f t="shared" ca="1" si="137"/>
        <v>9449100</v>
      </c>
      <c r="L370" s="70">
        <f t="shared" ca="1" si="138"/>
        <v>0</v>
      </c>
      <c r="M370" s="175">
        <f t="shared" ca="1" si="139"/>
        <v>0</v>
      </c>
      <c r="N370" s="70"/>
      <c r="O370" s="70"/>
      <c r="P370" s="70"/>
      <c r="Q370" s="62">
        <v>1767</v>
      </c>
      <c r="R370" s="62">
        <f t="shared" si="140"/>
        <v>1783</v>
      </c>
      <c r="S370" s="176"/>
      <c r="T370" s="176"/>
      <c r="U370" s="70"/>
      <c r="V370" s="70"/>
      <c r="W370" s="260"/>
      <c r="X370" s="62">
        <f t="shared" si="141"/>
        <v>0</v>
      </c>
      <c r="Y370" s="70"/>
      <c r="AA370" s="290"/>
      <c r="AB370" s="291"/>
      <c r="AC370" s="62"/>
      <c r="AD370" s="62"/>
      <c r="AE370" s="177">
        <f t="shared" si="142"/>
        <v>53490</v>
      </c>
      <c r="AF370" s="177">
        <f t="shared" ca="1" si="143"/>
        <v>53490</v>
      </c>
      <c r="AG370" s="70">
        <f t="shared" ca="1" si="144"/>
        <v>10880269</v>
      </c>
      <c r="AH370" s="70">
        <f t="shared" ca="1" si="145"/>
        <v>0</v>
      </c>
      <c r="AI370" s="587">
        <v>0</v>
      </c>
      <c r="AJ370" s="178">
        <f t="shared" ca="1" si="146"/>
        <v>10880269</v>
      </c>
      <c r="AK370" s="301">
        <f t="shared" ca="1" si="147"/>
        <v>61.372864885031184</v>
      </c>
      <c r="AL370" s="70">
        <f t="shared" ca="1" si="148"/>
        <v>19161030</v>
      </c>
      <c r="AM370" s="179">
        <f t="shared" ca="1" si="149"/>
        <v>108.0825579999933</v>
      </c>
      <c r="AN370" s="179"/>
      <c r="AO370" s="31">
        <f t="shared" si="150"/>
        <v>672234.59262922779</v>
      </c>
      <c r="AP370" s="31">
        <f t="shared" ca="1" si="151"/>
        <v>53490</v>
      </c>
      <c r="AQ370" s="31">
        <f t="shared" ca="1" si="152"/>
        <v>1431168.9981286228</v>
      </c>
      <c r="AR370" s="180">
        <f t="shared" ca="1" si="153"/>
        <v>8.072864885031187</v>
      </c>
      <c r="AS370" s="31">
        <f t="shared" si="156"/>
        <v>9942.8700000000008</v>
      </c>
      <c r="AU370" s="31">
        <f t="shared" si="154"/>
        <v>0</v>
      </c>
      <c r="AV370" s="177"/>
      <c r="AW370" s="31">
        <f t="shared" ca="1" si="155"/>
        <v>30</v>
      </c>
    </row>
    <row r="371" spans="1:49">
      <c r="A371" s="102">
        <v>625</v>
      </c>
      <c r="B371" s="7" t="s">
        <v>2065</v>
      </c>
      <c r="C371" s="7">
        <v>1</v>
      </c>
      <c r="D371" s="62">
        <f t="shared" si="131"/>
        <v>51178987</v>
      </c>
      <c r="E371" s="172">
        <f t="shared" si="132"/>
        <v>20968661</v>
      </c>
      <c r="F371" s="62">
        <f t="shared" si="133"/>
        <v>52866849.261870295</v>
      </c>
      <c r="G371" s="70">
        <f t="shared" si="134"/>
        <v>32583398</v>
      </c>
      <c r="H371" s="62">
        <f t="shared" si="135"/>
        <v>20283451</v>
      </c>
      <c r="I371" s="173">
        <f t="shared" si="136"/>
        <v>0</v>
      </c>
      <c r="J371" s="174">
        <f t="shared" ca="1" si="157"/>
        <v>38.67</v>
      </c>
      <c r="K371" s="70">
        <f t="shared" ca="1" si="137"/>
        <v>20443611</v>
      </c>
      <c r="L371" s="70">
        <f t="shared" ca="1" si="138"/>
        <v>0</v>
      </c>
      <c r="M371" s="175">
        <f t="shared" ca="1" si="139"/>
        <v>0</v>
      </c>
      <c r="N371" s="70"/>
      <c r="O371" s="70"/>
      <c r="P371" s="70"/>
      <c r="Q371" s="62">
        <v>5398</v>
      </c>
      <c r="R371" s="62">
        <f t="shared" si="140"/>
        <v>5445</v>
      </c>
      <c r="S371" s="176"/>
      <c r="T371" s="176"/>
      <c r="U371" s="70"/>
      <c r="V371" s="70"/>
      <c r="W371" s="260"/>
      <c r="X371" s="62">
        <f t="shared" si="141"/>
        <v>0</v>
      </c>
      <c r="Y371" s="70"/>
      <c r="AA371" s="290"/>
      <c r="AB371" s="291"/>
      <c r="AC371" s="62"/>
      <c r="AD371" s="62"/>
      <c r="AE371" s="177">
        <f t="shared" si="142"/>
        <v>163350</v>
      </c>
      <c r="AF371" s="177">
        <f t="shared" ca="1" si="143"/>
        <v>163350</v>
      </c>
      <c r="AG371" s="70">
        <f t="shared" ca="1" si="144"/>
        <v>21132011</v>
      </c>
      <c r="AH371" s="70">
        <f t="shared" ca="1" si="145"/>
        <v>0</v>
      </c>
      <c r="AI371" s="587">
        <v>0</v>
      </c>
      <c r="AJ371" s="178">
        <f t="shared" ca="1" si="146"/>
        <v>21132011</v>
      </c>
      <c r="AK371" s="301">
        <f t="shared" ca="1" si="147"/>
        <v>39.97213999897145</v>
      </c>
      <c r="AL371" s="70">
        <f t="shared" ca="1" si="148"/>
        <v>53715409</v>
      </c>
      <c r="AM371" s="179">
        <f t="shared" ca="1" si="149"/>
        <v>101.6050885384269</v>
      </c>
      <c r="AN371" s="179"/>
      <c r="AO371" s="31">
        <f t="shared" si="150"/>
        <v>1687862.2618702948</v>
      </c>
      <c r="AP371" s="31">
        <f t="shared" ca="1" si="151"/>
        <v>163350</v>
      </c>
      <c r="AQ371" s="31">
        <f t="shared" ca="1" si="152"/>
        <v>688400.39043475315</v>
      </c>
      <c r="AR371" s="180">
        <f t="shared" ca="1" si="153"/>
        <v>1.3021399989714482</v>
      </c>
      <c r="AS371" s="31">
        <f t="shared" si="156"/>
        <v>9709.25</v>
      </c>
      <c r="AU371" s="31">
        <f t="shared" si="154"/>
        <v>0</v>
      </c>
      <c r="AV371" s="177"/>
      <c r="AW371" s="31">
        <f t="shared" ca="1" si="155"/>
        <v>30</v>
      </c>
    </row>
    <row r="372" spans="1:49">
      <c r="A372" s="102">
        <v>632</v>
      </c>
      <c r="B372" s="7" t="s">
        <v>1631</v>
      </c>
      <c r="C372" s="7">
        <v>1</v>
      </c>
      <c r="D372" s="62">
        <f t="shared" si="131"/>
        <v>1239669</v>
      </c>
      <c r="E372" s="172">
        <f t="shared" si="132"/>
        <v>741100</v>
      </c>
      <c r="F372" s="62">
        <f t="shared" si="133"/>
        <v>1195139.8127151553</v>
      </c>
      <c r="G372" s="70">
        <f t="shared" si="134"/>
        <v>763068</v>
      </c>
      <c r="H372" s="62">
        <f t="shared" si="135"/>
        <v>432072</v>
      </c>
      <c r="I372" s="173">
        <f t="shared" si="136"/>
        <v>0</v>
      </c>
      <c r="J372" s="174">
        <f t="shared" ca="1" si="157"/>
        <v>36.75</v>
      </c>
      <c r="K372" s="70">
        <f t="shared" ca="1" si="137"/>
        <v>439214</v>
      </c>
      <c r="L372" s="70">
        <f t="shared" ca="1" si="138"/>
        <v>0</v>
      </c>
      <c r="M372" s="175">
        <f t="shared" ca="1" si="139"/>
        <v>0</v>
      </c>
      <c r="N372" s="70"/>
      <c r="O372" s="70"/>
      <c r="P372" s="70"/>
      <c r="Q372" s="62">
        <v>124</v>
      </c>
      <c r="R372" s="62">
        <f t="shared" si="140"/>
        <v>122</v>
      </c>
      <c r="S372" s="176"/>
      <c r="T372" s="176"/>
      <c r="U372" s="70"/>
      <c r="V372" s="70"/>
      <c r="W372" s="260"/>
      <c r="X372" s="62">
        <f t="shared" si="141"/>
        <v>0</v>
      </c>
      <c r="Y372" s="70"/>
      <c r="AA372" s="290"/>
      <c r="AB372" s="291"/>
      <c r="AC372" s="62"/>
      <c r="AD372" s="62"/>
      <c r="AE372" s="177">
        <f t="shared" si="142"/>
        <v>3660</v>
      </c>
      <c r="AF372" s="177">
        <f t="shared" ca="1" si="143"/>
        <v>3660</v>
      </c>
      <c r="AG372" s="70">
        <f t="shared" ca="1" si="144"/>
        <v>744760</v>
      </c>
      <c r="AH372" s="70">
        <f t="shared" ca="1" si="145"/>
        <v>0</v>
      </c>
      <c r="AI372" s="587">
        <v>0</v>
      </c>
      <c r="AJ372" s="178">
        <f t="shared" ca="1" si="146"/>
        <v>744760</v>
      </c>
      <c r="AK372" s="301">
        <f t="shared" ca="1" si="147"/>
        <v>62.315721732006516</v>
      </c>
      <c r="AL372" s="70">
        <f t="shared" ca="1" si="148"/>
        <v>1507828</v>
      </c>
      <c r="AM372" s="179">
        <f t="shared" ca="1" si="149"/>
        <v>126.16331444724196</v>
      </c>
      <c r="AN372" s="179"/>
      <c r="AO372" s="31">
        <f t="shared" si="150"/>
        <v>-44529.187284844695</v>
      </c>
      <c r="AP372" s="31">
        <f t="shared" ca="1" si="151"/>
        <v>3660</v>
      </c>
      <c r="AQ372" s="31">
        <f t="shared" ca="1" si="152"/>
        <v>305546.11882718041</v>
      </c>
      <c r="AR372" s="180">
        <f t="shared" ca="1" si="153"/>
        <v>25.565721732006516</v>
      </c>
      <c r="AS372" s="31">
        <f t="shared" si="156"/>
        <v>9796.23</v>
      </c>
      <c r="AU372" s="31">
        <f t="shared" si="154"/>
        <v>0</v>
      </c>
      <c r="AV372" s="177"/>
      <c r="AW372" s="31">
        <f t="shared" ca="1" si="155"/>
        <v>30</v>
      </c>
    </row>
    <row r="373" spans="1:49">
      <c r="A373" s="102">
        <v>635</v>
      </c>
      <c r="B373" s="7" t="s">
        <v>2066</v>
      </c>
      <c r="C373" s="7">
        <v>1</v>
      </c>
      <c r="D373" s="62">
        <f t="shared" si="131"/>
        <v>16389265</v>
      </c>
      <c r="E373" s="172">
        <f t="shared" si="132"/>
        <v>8629219</v>
      </c>
      <c r="F373" s="62">
        <f t="shared" si="133"/>
        <v>16770478.528573444</v>
      </c>
      <c r="G373" s="70">
        <f t="shared" si="134"/>
        <v>10582972</v>
      </c>
      <c r="H373" s="62">
        <f t="shared" si="135"/>
        <v>6187507</v>
      </c>
      <c r="I373" s="173">
        <f t="shared" si="136"/>
        <v>0</v>
      </c>
      <c r="J373" s="174">
        <f t="shared" ca="1" si="157"/>
        <v>36.35</v>
      </c>
      <c r="K373" s="70">
        <f t="shared" ca="1" si="137"/>
        <v>6096069</v>
      </c>
      <c r="L373" s="70">
        <f t="shared" ca="1" si="138"/>
        <v>0</v>
      </c>
      <c r="M373" s="175">
        <f t="shared" ca="1" si="139"/>
        <v>0</v>
      </c>
      <c r="N373" s="70"/>
      <c r="O373" s="70"/>
      <c r="P373" s="70"/>
      <c r="Q373" s="62">
        <v>1612</v>
      </c>
      <c r="R373" s="62">
        <f t="shared" si="140"/>
        <v>1622.9999999999998</v>
      </c>
      <c r="S373" s="176"/>
      <c r="T373" s="176"/>
      <c r="U373" s="70"/>
      <c r="V373" s="70"/>
      <c r="W373" s="260"/>
      <c r="X373" s="62">
        <f t="shared" si="141"/>
        <v>0</v>
      </c>
      <c r="Y373" s="70"/>
      <c r="AA373" s="290"/>
      <c r="AB373" s="291"/>
      <c r="AC373" s="62"/>
      <c r="AD373" s="62"/>
      <c r="AE373" s="177">
        <f t="shared" si="142"/>
        <v>48689.999999999993</v>
      </c>
      <c r="AF373" s="177">
        <f t="shared" ca="1" si="143"/>
        <v>48689.999999999993</v>
      </c>
      <c r="AG373" s="70">
        <f t="shared" ca="1" si="144"/>
        <v>8677909</v>
      </c>
      <c r="AH373" s="70">
        <f t="shared" ca="1" si="145"/>
        <v>0</v>
      </c>
      <c r="AI373" s="587">
        <v>0</v>
      </c>
      <c r="AJ373" s="178">
        <f t="shared" ca="1" si="146"/>
        <v>8677909</v>
      </c>
      <c r="AK373" s="301">
        <f t="shared" ca="1" si="147"/>
        <v>51.745148388071506</v>
      </c>
      <c r="AL373" s="70">
        <f t="shared" ca="1" si="148"/>
        <v>19260881</v>
      </c>
      <c r="AM373" s="179">
        <f t="shared" ca="1" si="149"/>
        <v>114.84991896434811</v>
      </c>
      <c r="AN373" s="179"/>
      <c r="AO373" s="31">
        <f t="shared" si="150"/>
        <v>381213.52857344411</v>
      </c>
      <c r="AP373" s="31">
        <f t="shared" ca="1" si="151"/>
        <v>48690</v>
      </c>
      <c r="AQ373" s="31">
        <f t="shared" ca="1" si="152"/>
        <v>2581840.0548635535</v>
      </c>
      <c r="AR373" s="180">
        <f t="shared" ca="1" si="153"/>
        <v>15.395148388071505</v>
      </c>
      <c r="AS373" s="31">
        <f t="shared" si="156"/>
        <v>10333.01</v>
      </c>
      <c r="AU373" s="31">
        <f t="shared" si="154"/>
        <v>0</v>
      </c>
      <c r="AV373" s="177"/>
      <c r="AW373" s="31">
        <f t="shared" ca="1" si="155"/>
        <v>30.000000000000004</v>
      </c>
    </row>
    <row r="374" spans="1:49">
      <c r="A374" s="102">
        <v>640</v>
      </c>
      <c r="B374" s="7" t="s">
        <v>2067</v>
      </c>
      <c r="C374" s="7">
        <v>1</v>
      </c>
      <c r="D374" s="62">
        <f t="shared" si="131"/>
        <v>14101517</v>
      </c>
      <c r="E374" s="172">
        <f t="shared" si="132"/>
        <v>2321678</v>
      </c>
      <c r="F374" s="62">
        <f t="shared" si="133"/>
        <v>14235386.188628448</v>
      </c>
      <c r="G374" s="70">
        <f t="shared" si="134"/>
        <v>11805585</v>
      </c>
      <c r="H374" s="62">
        <f t="shared" si="135"/>
        <v>2429801</v>
      </c>
      <c r="I374" s="173">
        <f t="shared" si="136"/>
        <v>108123</v>
      </c>
      <c r="J374" s="174">
        <f t="shared" ca="1" si="157"/>
        <v>17.5</v>
      </c>
      <c r="K374" s="70">
        <f t="shared" ca="1" si="137"/>
        <v>2491193</v>
      </c>
      <c r="L374" s="70">
        <f t="shared" ca="1" si="138"/>
        <v>0</v>
      </c>
      <c r="M374" s="175">
        <f t="shared" ca="1" si="139"/>
        <v>0</v>
      </c>
      <c r="N374" s="70"/>
      <c r="O374" s="70"/>
      <c r="P374" s="70"/>
      <c r="Q374" s="62">
        <v>1340</v>
      </c>
      <c r="R374" s="62">
        <f t="shared" si="140"/>
        <v>1321</v>
      </c>
      <c r="S374" s="176"/>
      <c r="T374" s="176"/>
      <c r="U374" s="70"/>
      <c r="V374" s="70"/>
      <c r="W374" s="260"/>
      <c r="X374" s="62">
        <f t="shared" si="141"/>
        <v>1</v>
      </c>
      <c r="Y374" s="70"/>
      <c r="AA374" s="290"/>
      <c r="AB374" s="291"/>
      <c r="AC374" s="62"/>
      <c r="AD374" s="62"/>
      <c r="AE374" s="177">
        <f t="shared" si="142"/>
        <v>39630</v>
      </c>
      <c r="AF374" s="177">
        <f t="shared" ca="1" si="143"/>
        <v>0</v>
      </c>
      <c r="AG374" s="70">
        <f t="shared" ca="1" si="144"/>
        <v>2429801</v>
      </c>
      <c r="AH374" s="70">
        <f t="shared" ca="1" si="145"/>
        <v>0</v>
      </c>
      <c r="AI374" s="587">
        <v>0</v>
      </c>
      <c r="AJ374" s="178">
        <f t="shared" ca="1" si="146"/>
        <v>2429801</v>
      </c>
      <c r="AK374" s="301">
        <f t="shared" ca="1" si="147"/>
        <v>17.068739602870629</v>
      </c>
      <c r="AL374" s="70">
        <f t="shared" ca="1" si="148"/>
        <v>14235386</v>
      </c>
      <c r="AM374" s="179">
        <f t="shared" ca="1" si="149"/>
        <v>99.999998674932698</v>
      </c>
      <c r="AN374" s="179"/>
      <c r="AO374" s="31">
        <f t="shared" si="150"/>
        <v>133869.18862844817</v>
      </c>
      <c r="AP374" s="31">
        <f t="shared" ca="1" si="151"/>
        <v>108123</v>
      </c>
      <c r="AQ374" s="31">
        <f t="shared" ca="1" si="152"/>
        <v>-61391.583009978291</v>
      </c>
      <c r="AR374" s="180">
        <f t="shared" ca="1" si="153"/>
        <v>-0.43126039712937114</v>
      </c>
      <c r="AS374" s="31">
        <f t="shared" si="156"/>
        <v>10776.22</v>
      </c>
      <c r="AU374" s="31">
        <f t="shared" si="154"/>
        <v>0</v>
      </c>
      <c r="AV374" s="177"/>
      <c r="AW374" s="31">
        <f t="shared" ca="1" si="155"/>
        <v>81.84935654806965</v>
      </c>
    </row>
    <row r="375" spans="1:49">
      <c r="A375" s="102">
        <v>645</v>
      </c>
      <c r="B375" s="7" t="s">
        <v>2068</v>
      </c>
      <c r="C375" s="7">
        <v>1</v>
      </c>
      <c r="D375" s="62">
        <f t="shared" si="131"/>
        <v>36706251</v>
      </c>
      <c r="E375" s="172">
        <f t="shared" si="132"/>
        <v>6993814</v>
      </c>
      <c r="F375" s="62">
        <f t="shared" si="133"/>
        <v>36833288.857110716</v>
      </c>
      <c r="G375" s="70">
        <f t="shared" si="134"/>
        <v>30597193</v>
      </c>
      <c r="H375" s="62">
        <f t="shared" si="135"/>
        <v>6236096</v>
      </c>
      <c r="I375" s="173">
        <f t="shared" si="136"/>
        <v>0</v>
      </c>
      <c r="J375" s="174">
        <f t="shared" ca="1" si="157"/>
        <v>17.5</v>
      </c>
      <c r="K375" s="70">
        <f t="shared" ca="1" si="137"/>
        <v>6445826</v>
      </c>
      <c r="L375" s="70">
        <f t="shared" ca="1" si="138"/>
        <v>0</v>
      </c>
      <c r="M375" s="175">
        <f t="shared" ca="1" si="139"/>
        <v>0</v>
      </c>
      <c r="N375" s="70"/>
      <c r="O375" s="70"/>
      <c r="P375" s="70"/>
      <c r="Q375" s="62">
        <v>3465</v>
      </c>
      <c r="R375" s="62">
        <f t="shared" si="140"/>
        <v>3395</v>
      </c>
      <c r="S375" s="176"/>
      <c r="T375" s="176"/>
      <c r="U375" s="70"/>
      <c r="V375" s="70"/>
      <c r="W375" s="260"/>
      <c r="X375" s="62">
        <f t="shared" si="141"/>
        <v>0</v>
      </c>
      <c r="Y375" s="70"/>
      <c r="AA375" s="290"/>
      <c r="AB375" s="291"/>
      <c r="AC375" s="62"/>
      <c r="AD375" s="62"/>
      <c r="AE375" s="177">
        <f t="shared" si="142"/>
        <v>101850</v>
      </c>
      <c r="AF375" s="177">
        <f t="shared" ca="1" si="143"/>
        <v>101850</v>
      </c>
      <c r="AG375" s="70">
        <f t="shared" ca="1" si="144"/>
        <v>7095664</v>
      </c>
      <c r="AH375" s="70">
        <f t="shared" ca="1" si="145"/>
        <v>0</v>
      </c>
      <c r="AI375" s="587">
        <v>0</v>
      </c>
      <c r="AJ375" s="178">
        <f t="shared" ca="1" si="146"/>
        <v>7095664</v>
      </c>
      <c r="AK375" s="301">
        <f t="shared" ca="1" si="147"/>
        <v>19.264269415437152</v>
      </c>
      <c r="AL375" s="70">
        <f t="shared" ca="1" si="148"/>
        <v>37692857</v>
      </c>
      <c r="AM375" s="179">
        <f t="shared" ca="1" si="149"/>
        <v>102.33367198412243</v>
      </c>
      <c r="AN375" s="179"/>
      <c r="AO375" s="31">
        <f t="shared" si="150"/>
        <v>127037.8571107164</v>
      </c>
      <c r="AP375" s="31">
        <f t="shared" ca="1" si="151"/>
        <v>101850</v>
      </c>
      <c r="AQ375" s="31">
        <f t="shared" ca="1" si="152"/>
        <v>649838.45000562537</v>
      </c>
      <c r="AR375" s="180">
        <f t="shared" ca="1" si="153"/>
        <v>1.7642694154371519</v>
      </c>
      <c r="AS375" s="31">
        <f t="shared" si="156"/>
        <v>10849.28</v>
      </c>
      <c r="AU375" s="31">
        <f t="shared" si="154"/>
        <v>0</v>
      </c>
      <c r="AV375" s="177"/>
      <c r="AW375" s="31">
        <f t="shared" ca="1" si="155"/>
        <v>30</v>
      </c>
    </row>
    <row r="376" spans="1:49">
      <c r="A376" s="102">
        <v>650</v>
      </c>
      <c r="B376" s="7" t="s">
        <v>2069</v>
      </c>
      <c r="C376" s="7">
        <v>1</v>
      </c>
      <c r="D376" s="62">
        <f t="shared" si="131"/>
        <v>29000399</v>
      </c>
      <c r="E376" s="172">
        <f t="shared" si="132"/>
        <v>12696956</v>
      </c>
      <c r="F376" s="62">
        <f t="shared" si="133"/>
        <v>28781591.615531329</v>
      </c>
      <c r="G376" s="70">
        <f t="shared" si="134"/>
        <v>18150262</v>
      </c>
      <c r="H376" s="62">
        <f t="shared" si="135"/>
        <v>10631330</v>
      </c>
      <c r="I376" s="173">
        <f t="shared" si="136"/>
        <v>0</v>
      </c>
      <c r="J376" s="174">
        <f t="shared" ca="1" si="157"/>
        <v>35.97</v>
      </c>
      <c r="K376" s="70">
        <f t="shared" ca="1" si="137"/>
        <v>10352739</v>
      </c>
      <c r="L376" s="70">
        <f t="shared" ca="1" si="138"/>
        <v>0</v>
      </c>
      <c r="M376" s="175">
        <f t="shared" ca="1" si="139"/>
        <v>0</v>
      </c>
      <c r="N376" s="70"/>
      <c r="O376" s="70"/>
      <c r="P376" s="70"/>
      <c r="Q376" s="62">
        <v>2922</v>
      </c>
      <c r="R376" s="62">
        <f t="shared" si="140"/>
        <v>2877</v>
      </c>
      <c r="S376" s="176"/>
      <c r="T376" s="176"/>
      <c r="U376" s="70"/>
      <c r="V376" s="70"/>
      <c r="W376" s="260"/>
      <c r="X376" s="62">
        <f t="shared" si="141"/>
        <v>0</v>
      </c>
      <c r="Y376" s="70"/>
      <c r="AA376" s="290"/>
      <c r="AB376" s="291"/>
      <c r="AC376" s="62"/>
      <c r="AD376" s="62"/>
      <c r="AE376" s="177">
        <f t="shared" si="142"/>
        <v>86310</v>
      </c>
      <c r="AF376" s="177">
        <f t="shared" ca="1" si="143"/>
        <v>86310</v>
      </c>
      <c r="AG376" s="70">
        <f t="shared" ca="1" si="144"/>
        <v>12783266</v>
      </c>
      <c r="AH376" s="70">
        <f t="shared" ca="1" si="145"/>
        <v>0</v>
      </c>
      <c r="AI376" s="587">
        <v>0</v>
      </c>
      <c r="AJ376" s="178">
        <f t="shared" ca="1" si="146"/>
        <v>12783266</v>
      </c>
      <c r="AK376" s="301">
        <f t="shared" ca="1" si="147"/>
        <v>44.414729285165045</v>
      </c>
      <c r="AL376" s="70">
        <f t="shared" ca="1" si="148"/>
        <v>30933528</v>
      </c>
      <c r="AM376" s="179">
        <f t="shared" ca="1" si="149"/>
        <v>107.47678034354232</v>
      </c>
      <c r="AN376" s="179"/>
      <c r="AO376" s="31">
        <f t="shared" si="150"/>
        <v>-218807.38446867093</v>
      </c>
      <c r="AP376" s="31">
        <f t="shared" ca="1" si="151"/>
        <v>86310</v>
      </c>
      <c r="AQ376" s="31">
        <f t="shared" ca="1" si="152"/>
        <v>2430527.4958933815</v>
      </c>
      <c r="AR376" s="180">
        <f t="shared" ca="1" si="153"/>
        <v>8.444729285165046</v>
      </c>
      <c r="AS376" s="31">
        <f t="shared" si="156"/>
        <v>10004.030000000001</v>
      </c>
      <c r="AU376" s="31">
        <f t="shared" si="154"/>
        <v>0</v>
      </c>
      <c r="AV376" s="177"/>
      <c r="AW376" s="31">
        <f t="shared" ca="1" si="155"/>
        <v>30</v>
      </c>
    </row>
    <row r="377" spans="1:49">
      <c r="A377" s="102">
        <v>655</v>
      </c>
      <c r="B377" s="7" t="s">
        <v>2070</v>
      </c>
      <c r="C377" s="7">
        <v>1</v>
      </c>
      <c r="D377" s="62">
        <f t="shared" si="131"/>
        <v>11702650</v>
      </c>
      <c r="E377" s="172">
        <f t="shared" si="132"/>
        <v>1908294</v>
      </c>
      <c r="F377" s="62">
        <f t="shared" si="133"/>
        <v>11848628.162153138</v>
      </c>
      <c r="G377" s="70">
        <f t="shared" si="134"/>
        <v>9800905</v>
      </c>
      <c r="H377" s="62">
        <f t="shared" si="135"/>
        <v>2047723</v>
      </c>
      <c r="I377" s="173">
        <f t="shared" si="136"/>
        <v>139429</v>
      </c>
      <c r="J377" s="174">
        <f t="shared" ca="1" si="157"/>
        <v>17.5</v>
      </c>
      <c r="K377" s="70">
        <f t="shared" ca="1" si="137"/>
        <v>2073510</v>
      </c>
      <c r="L377" s="70">
        <f t="shared" ca="1" si="138"/>
        <v>0</v>
      </c>
      <c r="M377" s="175">
        <f t="shared" ca="1" si="139"/>
        <v>0</v>
      </c>
      <c r="N377" s="70"/>
      <c r="O377" s="70"/>
      <c r="P377" s="70"/>
      <c r="Q377" s="62">
        <v>1213</v>
      </c>
      <c r="R377" s="62">
        <f t="shared" si="140"/>
        <v>1207</v>
      </c>
      <c r="S377" s="176"/>
      <c r="T377" s="176"/>
      <c r="U377" s="70"/>
      <c r="V377" s="70"/>
      <c r="W377" s="260"/>
      <c r="X377" s="62">
        <f t="shared" si="141"/>
        <v>1</v>
      </c>
      <c r="Y377" s="70"/>
      <c r="AA377" s="290"/>
      <c r="AB377" s="291"/>
      <c r="AC377" s="62"/>
      <c r="AD377" s="62"/>
      <c r="AE377" s="177">
        <f t="shared" si="142"/>
        <v>36210</v>
      </c>
      <c r="AF377" s="177">
        <f t="shared" ca="1" si="143"/>
        <v>0</v>
      </c>
      <c r="AG377" s="70">
        <f t="shared" ca="1" si="144"/>
        <v>2047723</v>
      </c>
      <c r="AH377" s="70">
        <f t="shared" ca="1" si="145"/>
        <v>0</v>
      </c>
      <c r="AI377" s="587">
        <v>0</v>
      </c>
      <c r="AJ377" s="178">
        <f t="shared" ca="1" si="146"/>
        <v>2047723</v>
      </c>
      <c r="AK377" s="301">
        <f t="shared" ca="1" si="147"/>
        <v>17.282363594975767</v>
      </c>
      <c r="AL377" s="70">
        <f t="shared" ca="1" si="148"/>
        <v>11848628</v>
      </c>
      <c r="AM377" s="179">
        <f t="shared" ca="1" si="149"/>
        <v>99.999998631460656</v>
      </c>
      <c r="AN377" s="179"/>
      <c r="AO377" s="31">
        <f t="shared" si="150"/>
        <v>145978.16215313785</v>
      </c>
      <c r="AP377" s="31">
        <f t="shared" ca="1" si="151"/>
        <v>139429</v>
      </c>
      <c r="AQ377" s="31">
        <f t="shared" ca="1" si="152"/>
        <v>-25786.928376798984</v>
      </c>
      <c r="AR377" s="180">
        <f t="shared" ca="1" si="153"/>
        <v>-0.21763640502423343</v>
      </c>
      <c r="AS377" s="31">
        <f t="shared" si="156"/>
        <v>9816.59</v>
      </c>
      <c r="AU377" s="31">
        <f t="shared" si="154"/>
        <v>0</v>
      </c>
      <c r="AV377" s="177"/>
      <c r="AW377" s="31">
        <f t="shared" ca="1" si="155"/>
        <v>115.51698425849213</v>
      </c>
    </row>
    <row r="378" spans="1:49">
      <c r="A378" s="102">
        <v>658</v>
      </c>
      <c r="B378" s="7" t="s">
        <v>2071</v>
      </c>
      <c r="C378" s="7">
        <v>1</v>
      </c>
      <c r="D378" s="62">
        <f t="shared" si="131"/>
        <v>37500027</v>
      </c>
      <c r="E378" s="172">
        <f t="shared" si="132"/>
        <v>24151183</v>
      </c>
      <c r="F378" s="62">
        <f t="shared" si="133"/>
        <v>37720695.5316194</v>
      </c>
      <c r="G378" s="70">
        <f t="shared" si="134"/>
        <v>16113609</v>
      </c>
      <c r="H378" s="62">
        <f t="shared" si="135"/>
        <v>21607087</v>
      </c>
      <c r="I378" s="173">
        <f t="shared" si="136"/>
        <v>0</v>
      </c>
      <c r="J378" s="174">
        <f t="shared" ca="1" si="157"/>
        <v>54.47</v>
      </c>
      <c r="K378" s="70">
        <f t="shared" ca="1" si="137"/>
        <v>20546463</v>
      </c>
      <c r="L378" s="70">
        <f t="shared" ca="1" si="138"/>
        <v>0</v>
      </c>
      <c r="M378" s="175">
        <f t="shared" ca="1" si="139"/>
        <v>0</v>
      </c>
      <c r="N378" s="70"/>
      <c r="O378" s="70"/>
      <c r="P378" s="70"/>
      <c r="Q378" s="62">
        <v>3862</v>
      </c>
      <c r="R378" s="62">
        <f t="shared" si="140"/>
        <v>3802</v>
      </c>
      <c r="S378" s="176"/>
      <c r="T378" s="176"/>
      <c r="U378" s="70"/>
      <c r="V378" s="70"/>
      <c r="W378" s="260"/>
      <c r="X378" s="62">
        <f t="shared" si="141"/>
        <v>0</v>
      </c>
      <c r="Y378" s="70"/>
      <c r="AA378" s="290"/>
      <c r="AB378" s="291"/>
      <c r="AC378" s="62"/>
      <c r="AD378" s="62"/>
      <c r="AE378" s="177">
        <f t="shared" si="142"/>
        <v>114060</v>
      </c>
      <c r="AF378" s="177">
        <f t="shared" ca="1" si="143"/>
        <v>114060</v>
      </c>
      <c r="AG378" s="70">
        <f t="shared" ca="1" si="144"/>
        <v>24265243</v>
      </c>
      <c r="AH378" s="70">
        <f t="shared" ca="1" si="145"/>
        <v>0</v>
      </c>
      <c r="AI378" s="587">
        <v>0</v>
      </c>
      <c r="AJ378" s="178">
        <f t="shared" ca="1" si="146"/>
        <v>24265243</v>
      </c>
      <c r="AK378" s="301">
        <f t="shared" ca="1" si="147"/>
        <v>64.328726334485651</v>
      </c>
      <c r="AL378" s="70">
        <f t="shared" ca="1" si="148"/>
        <v>40378852</v>
      </c>
      <c r="AM378" s="179">
        <f t="shared" ca="1" si="149"/>
        <v>107.04694447151007</v>
      </c>
      <c r="AN378" s="179"/>
      <c r="AO378" s="31">
        <f t="shared" si="150"/>
        <v>220668.53161939979</v>
      </c>
      <c r="AP378" s="31">
        <f t="shared" ca="1" si="151"/>
        <v>114060</v>
      </c>
      <c r="AQ378" s="31">
        <f t="shared" ca="1" si="152"/>
        <v>3718780.1439269148</v>
      </c>
      <c r="AR378" s="180">
        <f t="shared" ca="1" si="153"/>
        <v>9.8587263344856524</v>
      </c>
      <c r="AS378" s="31">
        <f t="shared" si="156"/>
        <v>9921.2800000000007</v>
      </c>
      <c r="AU378" s="31">
        <f t="shared" si="154"/>
        <v>0</v>
      </c>
      <c r="AV378" s="177"/>
      <c r="AW378" s="31">
        <f t="shared" ca="1" si="155"/>
        <v>30</v>
      </c>
    </row>
    <row r="379" spans="1:49">
      <c r="A379" s="102">
        <v>660</v>
      </c>
      <c r="B379" s="7" t="s">
        <v>2072</v>
      </c>
      <c r="C379" s="7">
        <v>1</v>
      </c>
      <c r="D379" s="62">
        <f t="shared" si="131"/>
        <v>12935106</v>
      </c>
      <c r="E379" s="172">
        <f t="shared" si="132"/>
        <v>3421279</v>
      </c>
      <c r="F379" s="62">
        <f t="shared" si="133"/>
        <v>12490516.601979394</v>
      </c>
      <c r="G379" s="70">
        <f t="shared" si="134"/>
        <v>10380459</v>
      </c>
      <c r="H379" s="62">
        <f t="shared" si="135"/>
        <v>2110058</v>
      </c>
      <c r="I379" s="173">
        <f t="shared" si="136"/>
        <v>0</v>
      </c>
      <c r="J379" s="174">
        <f t="shared" ca="1" si="157"/>
        <v>17.5</v>
      </c>
      <c r="K379" s="70">
        <f t="shared" ca="1" si="137"/>
        <v>2185840</v>
      </c>
      <c r="L379" s="70">
        <f t="shared" ca="1" si="138"/>
        <v>0</v>
      </c>
      <c r="M379" s="175">
        <f t="shared" ca="1" si="139"/>
        <v>0</v>
      </c>
      <c r="N379" s="70"/>
      <c r="O379" s="70"/>
      <c r="P379" s="70"/>
      <c r="Q379" s="62">
        <v>1235</v>
      </c>
      <c r="R379" s="62">
        <f t="shared" si="140"/>
        <v>1183.00000001183</v>
      </c>
      <c r="S379" s="176"/>
      <c r="T379" s="176"/>
      <c r="U379" s="70"/>
      <c r="V379" s="70"/>
      <c r="W379" s="260"/>
      <c r="X379" s="62">
        <f t="shared" si="141"/>
        <v>0</v>
      </c>
      <c r="Y379" s="70"/>
      <c r="AA379" s="290"/>
      <c r="AB379" s="291"/>
      <c r="AC379" s="62"/>
      <c r="AD379" s="62"/>
      <c r="AE379" s="177">
        <f t="shared" si="142"/>
        <v>35490.000000354899</v>
      </c>
      <c r="AF379" s="177">
        <f t="shared" ca="1" si="143"/>
        <v>35490.000000354899</v>
      </c>
      <c r="AG379" s="70">
        <f t="shared" ca="1" si="144"/>
        <v>3456769.0000003548</v>
      </c>
      <c r="AH379" s="70">
        <f t="shared" ca="1" si="145"/>
        <v>0</v>
      </c>
      <c r="AI379" s="587">
        <v>0</v>
      </c>
      <c r="AJ379" s="178">
        <f t="shared" ca="1" si="146"/>
        <v>3456769.0000003548</v>
      </c>
      <c r="AK379" s="301">
        <f t="shared" ca="1" si="147"/>
        <v>27.67514835577381</v>
      </c>
      <c r="AL379" s="70">
        <f t="shared" ca="1" si="148"/>
        <v>13837228.000000354</v>
      </c>
      <c r="AM379" s="179">
        <f t="shared" ca="1" si="149"/>
        <v>110.78187108616103</v>
      </c>
      <c r="AN379" s="179"/>
      <c r="AO379" s="31">
        <f t="shared" si="150"/>
        <v>-444589.39802060649</v>
      </c>
      <c r="AP379" s="31">
        <f t="shared" ca="1" si="151"/>
        <v>35490.000000354834</v>
      </c>
      <c r="AQ379" s="31">
        <f t="shared" ca="1" si="152"/>
        <v>1270928.5946539612</v>
      </c>
      <c r="AR379" s="180">
        <f t="shared" ca="1" si="153"/>
        <v>10.17514835577381</v>
      </c>
      <c r="AS379" s="31">
        <f t="shared" si="156"/>
        <v>10558.34</v>
      </c>
      <c r="AU379" s="31">
        <f t="shared" si="154"/>
        <v>0</v>
      </c>
      <c r="AV379" s="177"/>
      <c r="AW379" s="31">
        <f t="shared" ca="1" si="155"/>
        <v>29.999999999999943</v>
      </c>
    </row>
    <row r="380" spans="1:49">
      <c r="A380" s="102">
        <v>662</v>
      </c>
      <c r="B380" s="7" t="s">
        <v>1639</v>
      </c>
      <c r="C380" s="7">
        <v>1</v>
      </c>
      <c r="D380" s="62">
        <f t="shared" si="131"/>
        <v>2464478</v>
      </c>
      <c r="E380" s="172">
        <f t="shared" si="132"/>
        <v>427060</v>
      </c>
      <c r="F380" s="62">
        <f t="shared" si="133"/>
        <v>2368941.0110670594</v>
      </c>
      <c r="G380" s="70">
        <f t="shared" si="134"/>
        <v>1978521</v>
      </c>
      <c r="H380" s="62">
        <f t="shared" si="135"/>
        <v>390420</v>
      </c>
      <c r="I380" s="173">
        <f t="shared" si="136"/>
        <v>0</v>
      </c>
      <c r="J380" s="174">
        <f t="shared" ca="1" si="157"/>
        <v>17.5</v>
      </c>
      <c r="K380" s="70">
        <f t="shared" ca="1" si="137"/>
        <v>414565</v>
      </c>
      <c r="L380" s="70">
        <f t="shared" ca="1" si="138"/>
        <v>0</v>
      </c>
      <c r="M380" s="175">
        <f t="shared" ca="1" si="139"/>
        <v>0</v>
      </c>
      <c r="N380" s="70"/>
      <c r="O380" s="70"/>
      <c r="P380" s="70"/>
      <c r="Q380" s="62">
        <v>248</v>
      </c>
      <c r="R380" s="62">
        <f t="shared" si="140"/>
        <v>238</v>
      </c>
      <c r="S380" s="176"/>
      <c r="T380" s="176"/>
      <c r="U380" s="70"/>
      <c r="V380" s="70"/>
      <c r="W380" s="260"/>
      <c r="X380" s="62">
        <f t="shared" si="141"/>
        <v>0</v>
      </c>
      <c r="Y380" s="70"/>
      <c r="AA380" s="290"/>
      <c r="AB380" s="291"/>
      <c r="AC380" s="62"/>
      <c r="AD380" s="62"/>
      <c r="AE380" s="177">
        <f t="shared" si="142"/>
        <v>7140</v>
      </c>
      <c r="AF380" s="177">
        <f t="shared" ca="1" si="143"/>
        <v>7140</v>
      </c>
      <c r="AG380" s="70">
        <f t="shared" ca="1" si="144"/>
        <v>434200</v>
      </c>
      <c r="AH380" s="70">
        <f t="shared" ca="1" si="145"/>
        <v>0</v>
      </c>
      <c r="AI380" s="587">
        <v>0</v>
      </c>
      <c r="AJ380" s="178">
        <f t="shared" ca="1" si="146"/>
        <v>434200</v>
      </c>
      <c r="AK380" s="301">
        <f t="shared" ca="1" si="147"/>
        <v>18.328865006411458</v>
      </c>
      <c r="AL380" s="70">
        <f t="shared" ca="1" si="148"/>
        <v>2412721</v>
      </c>
      <c r="AM380" s="179">
        <f t="shared" ca="1" si="149"/>
        <v>101.84808269722261</v>
      </c>
      <c r="AN380" s="179"/>
      <c r="AO380" s="31">
        <f t="shared" si="150"/>
        <v>-95536.988932940643</v>
      </c>
      <c r="AP380" s="31">
        <f t="shared" ca="1" si="151"/>
        <v>7140</v>
      </c>
      <c r="AQ380" s="31">
        <f t="shared" ca="1" si="152"/>
        <v>19635.323063264659</v>
      </c>
      <c r="AR380" s="180">
        <f t="shared" ca="1" si="153"/>
        <v>0.82886500641145844</v>
      </c>
      <c r="AS380" s="31">
        <f t="shared" si="156"/>
        <v>9953.5300000000007</v>
      </c>
      <c r="AU380" s="31">
        <f t="shared" si="154"/>
        <v>0</v>
      </c>
      <c r="AV380" s="177"/>
      <c r="AW380" s="31">
        <f t="shared" ca="1" si="155"/>
        <v>30</v>
      </c>
    </row>
    <row r="381" spans="1:49">
      <c r="A381" s="102">
        <v>665</v>
      </c>
      <c r="B381" s="7" t="s">
        <v>2073</v>
      </c>
      <c r="C381" s="7">
        <v>1</v>
      </c>
      <c r="D381" s="62">
        <f t="shared" si="131"/>
        <v>27153763</v>
      </c>
      <c r="E381" s="172">
        <f t="shared" si="132"/>
        <v>10849513</v>
      </c>
      <c r="F381" s="62">
        <f t="shared" si="133"/>
        <v>26949047.128918782</v>
      </c>
      <c r="G381" s="70">
        <f t="shared" si="134"/>
        <v>17944798</v>
      </c>
      <c r="H381" s="62">
        <f t="shared" si="135"/>
        <v>9004249</v>
      </c>
      <c r="I381" s="173">
        <f t="shared" si="136"/>
        <v>0</v>
      </c>
      <c r="J381" s="174">
        <f t="shared" ca="1" si="157"/>
        <v>33.9</v>
      </c>
      <c r="K381" s="70">
        <f t="shared" ca="1" si="137"/>
        <v>9135727</v>
      </c>
      <c r="L381" s="70">
        <f t="shared" ca="1" si="138"/>
        <v>0</v>
      </c>
      <c r="M381" s="175">
        <f t="shared" ca="1" si="139"/>
        <v>0</v>
      </c>
      <c r="N381" s="70"/>
      <c r="O381" s="70"/>
      <c r="P381" s="70"/>
      <c r="Q381" s="62">
        <v>2855</v>
      </c>
      <c r="R381" s="62">
        <f t="shared" si="140"/>
        <v>2788</v>
      </c>
      <c r="S381" s="176"/>
      <c r="T381" s="176"/>
      <c r="U381" s="70"/>
      <c r="V381" s="70"/>
      <c r="W381" s="260"/>
      <c r="X381" s="62">
        <f t="shared" si="141"/>
        <v>0</v>
      </c>
      <c r="Y381" s="70"/>
      <c r="AA381" s="290"/>
      <c r="AB381" s="291"/>
      <c r="AC381" s="62"/>
      <c r="AD381" s="62"/>
      <c r="AE381" s="177">
        <f t="shared" si="142"/>
        <v>83640</v>
      </c>
      <c r="AF381" s="177">
        <f t="shared" ca="1" si="143"/>
        <v>83640</v>
      </c>
      <c r="AG381" s="70">
        <f t="shared" ca="1" si="144"/>
        <v>10933153</v>
      </c>
      <c r="AH381" s="70">
        <f t="shared" ca="1" si="145"/>
        <v>0</v>
      </c>
      <c r="AI381" s="587">
        <v>0</v>
      </c>
      <c r="AJ381" s="178">
        <f t="shared" ca="1" si="146"/>
        <v>10933153</v>
      </c>
      <c r="AK381" s="301">
        <f t="shared" ca="1" si="147"/>
        <v>40.569720137777082</v>
      </c>
      <c r="AL381" s="70">
        <f t="shared" ca="1" si="148"/>
        <v>28877951</v>
      </c>
      <c r="AM381" s="179">
        <f t="shared" ca="1" si="149"/>
        <v>107.15759582093472</v>
      </c>
      <c r="AN381" s="179"/>
      <c r="AO381" s="31">
        <f t="shared" si="150"/>
        <v>-204715.87108121812</v>
      </c>
      <c r="AP381" s="31">
        <f t="shared" ca="1" si="151"/>
        <v>83640</v>
      </c>
      <c r="AQ381" s="31">
        <f t="shared" ca="1" si="152"/>
        <v>1797426.0232965332</v>
      </c>
      <c r="AR381" s="180">
        <f t="shared" ca="1" si="153"/>
        <v>6.6697201377770838</v>
      </c>
      <c r="AS381" s="31">
        <f t="shared" si="156"/>
        <v>9666.09</v>
      </c>
      <c r="AU381" s="31">
        <f t="shared" si="154"/>
        <v>0</v>
      </c>
      <c r="AV381" s="177"/>
      <c r="AW381" s="31">
        <f t="shared" ca="1" si="155"/>
        <v>30</v>
      </c>
    </row>
    <row r="382" spans="1:49">
      <c r="A382" s="102">
        <v>670</v>
      </c>
      <c r="B382" s="7" t="s">
        <v>2074</v>
      </c>
      <c r="C382" s="7">
        <v>1</v>
      </c>
      <c r="D382" s="62">
        <f t="shared" si="131"/>
        <v>5886720</v>
      </c>
      <c r="E382" s="172">
        <f t="shared" si="132"/>
        <v>2804715</v>
      </c>
      <c r="F382" s="62">
        <f t="shared" si="133"/>
        <v>5732224.0889145313</v>
      </c>
      <c r="G382" s="70">
        <f t="shared" si="134"/>
        <v>4635171</v>
      </c>
      <c r="H382" s="62">
        <f t="shared" si="135"/>
        <v>1097053</v>
      </c>
      <c r="I382" s="173">
        <f t="shared" si="136"/>
        <v>0</v>
      </c>
      <c r="J382" s="174">
        <f t="shared" ca="1" si="157"/>
        <v>19.850000000000001</v>
      </c>
      <c r="K382" s="70">
        <f t="shared" ca="1" si="137"/>
        <v>1137846</v>
      </c>
      <c r="L382" s="70">
        <f t="shared" ca="1" si="138"/>
        <v>0</v>
      </c>
      <c r="M382" s="175">
        <f t="shared" ca="1" si="139"/>
        <v>0</v>
      </c>
      <c r="N382" s="70"/>
      <c r="O382" s="70"/>
      <c r="P382" s="70"/>
      <c r="Q382" s="62">
        <v>584</v>
      </c>
      <c r="R382" s="62">
        <f t="shared" si="140"/>
        <v>550.99999999449005</v>
      </c>
      <c r="S382" s="176"/>
      <c r="T382" s="176"/>
      <c r="U382" s="70"/>
      <c r="V382" s="70"/>
      <c r="W382" s="260"/>
      <c r="X382" s="62">
        <f t="shared" si="141"/>
        <v>0</v>
      </c>
      <c r="Y382" s="70"/>
      <c r="AA382" s="290"/>
      <c r="AB382" s="291"/>
      <c r="AC382" s="62"/>
      <c r="AD382" s="62"/>
      <c r="AE382" s="177">
        <f t="shared" si="142"/>
        <v>16529.999999834701</v>
      </c>
      <c r="AF382" s="177">
        <f t="shared" ca="1" si="143"/>
        <v>16529.999999834701</v>
      </c>
      <c r="AG382" s="70">
        <f t="shared" ca="1" si="144"/>
        <v>2821244.9999998347</v>
      </c>
      <c r="AH382" s="70">
        <f t="shared" ca="1" si="145"/>
        <v>0</v>
      </c>
      <c r="AI382" s="587">
        <v>0</v>
      </c>
      <c r="AJ382" s="178">
        <f t="shared" ca="1" si="146"/>
        <v>2821244.9999998347</v>
      </c>
      <c r="AK382" s="301">
        <f t="shared" ca="1" si="147"/>
        <v>49.217283836753715</v>
      </c>
      <c r="AL382" s="70">
        <f t="shared" ca="1" si="148"/>
        <v>7456415.9999998342</v>
      </c>
      <c r="AM382" s="179">
        <f t="shared" ca="1" si="149"/>
        <v>130.07893418576734</v>
      </c>
      <c r="AN382" s="179"/>
      <c r="AO382" s="31">
        <f t="shared" si="150"/>
        <v>-154495.91108546872</v>
      </c>
      <c r="AP382" s="31">
        <f t="shared" ca="1" si="151"/>
        <v>16529.99999983469</v>
      </c>
      <c r="AQ382" s="31">
        <f t="shared" ca="1" si="152"/>
        <v>1683398.5183503001</v>
      </c>
      <c r="AR382" s="180">
        <f t="shared" ca="1" si="153"/>
        <v>29.367283836753714</v>
      </c>
      <c r="AS382" s="31">
        <f t="shared" si="156"/>
        <v>10403.31</v>
      </c>
      <c r="AU382" s="31">
        <f t="shared" si="154"/>
        <v>0</v>
      </c>
      <c r="AV382" s="177"/>
      <c r="AW382" s="31">
        <f t="shared" ca="1" si="155"/>
        <v>29.999999999999979</v>
      </c>
    </row>
    <row r="383" spans="1:49">
      <c r="A383" s="102">
        <v>672</v>
      </c>
      <c r="B383" s="7" t="s">
        <v>2075</v>
      </c>
      <c r="C383" s="7">
        <v>1</v>
      </c>
      <c r="D383" s="62">
        <f t="shared" si="131"/>
        <v>9151021</v>
      </c>
      <c r="E383" s="172">
        <f t="shared" si="132"/>
        <v>5580489</v>
      </c>
      <c r="F383" s="62">
        <f t="shared" si="133"/>
        <v>9186465.9257388338</v>
      </c>
      <c r="G383" s="70">
        <f t="shared" si="134"/>
        <v>5185242</v>
      </c>
      <c r="H383" s="62">
        <f t="shared" si="135"/>
        <v>4001224</v>
      </c>
      <c r="I383" s="173">
        <f t="shared" si="136"/>
        <v>0</v>
      </c>
      <c r="J383" s="174">
        <f t="shared" ca="1" si="157"/>
        <v>44.36</v>
      </c>
      <c r="K383" s="70">
        <f t="shared" ca="1" si="137"/>
        <v>4075116</v>
      </c>
      <c r="L383" s="70">
        <f t="shared" ca="1" si="138"/>
        <v>0</v>
      </c>
      <c r="M383" s="175">
        <f t="shared" ca="1" si="139"/>
        <v>0</v>
      </c>
      <c r="N383" s="70"/>
      <c r="O383" s="70"/>
      <c r="P383" s="70"/>
      <c r="Q383" s="62">
        <v>893</v>
      </c>
      <c r="R383" s="62">
        <f t="shared" si="140"/>
        <v>880.00000000000011</v>
      </c>
      <c r="S383" s="176"/>
      <c r="T383" s="176"/>
      <c r="U383" s="70"/>
      <c r="V383" s="70"/>
      <c r="W383" s="260"/>
      <c r="X383" s="62">
        <f t="shared" si="141"/>
        <v>0</v>
      </c>
      <c r="Y383" s="70"/>
      <c r="AA383" s="290"/>
      <c r="AB383" s="291"/>
      <c r="AC383" s="62"/>
      <c r="AD383" s="62"/>
      <c r="AE383" s="177">
        <f t="shared" si="142"/>
        <v>26400.000000000004</v>
      </c>
      <c r="AF383" s="177">
        <f t="shared" ca="1" si="143"/>
        <v>26400.000000000004</v>
      </c>
      <c r="AG383" s="70">
        <f t="shared" ca="1" si="144"/>
        <v>5606889</v>
      </c>
      <c r="AH383" s="70">
        <f t="shared" ca="1" si="145"/>
        <v>0</v>
      </c>
      <c r="AI383" s="587">
        <v>0</v>
      </c>
      <c r="AJ383" s="178">
        <f t="shared" ca="1" si="146"/>
        <v>5606889</v>
      </c>
      <c r="AK383" s="301">
        <f t="shared" ca="1" si="147"/>
        <v>61.034232808620125</v>
      </c>
      <c r="AL383" s="70">
        <f t="shared" ca="1" si="148"/>
        <v>10792131</v>
      </c>
      <c r="AM383" s="179">
        <f t="shared" ca="1" si="149"/>
        <v>117.47859391458014</v>
      </c>
      <c r="AN383" s="179"/>
      <c r="AO383" s="31">
        <f t="shared" si="150"/>
        <v>35444.925738833845</v>
      </c>
      <c r="AP383" s="31">
        <f t="shared" ca="1" si="151"/>
        <v>26400</v>
      </c>
      <c r="AQ383" s="31">
        <f t="shared" ca="1" si="152"/>
        <v>1531772.7153422534</v>
      </c>
      <c r="AR383" s="180">
        <f t="shared" ca="1" si="153"/>
        <v>16.674232808620125</v>
      </c>
      <c r="AS383" s="31">
        <f t="shared" si="156"/>
        <v>10439.17</v>
      </c>
      <c r="AU383" s="31">
        <f t="shared" si="154"/>
        <v>0</v>
      </c>
      <c r="AV383" s="177"/>
      <c r="AW383" s="31">
        <f t="shared" ca="1" si="155"/>
        <v>29.999999999999996</v>
      </c>
    </row>
    <row r="384" spans="1:49">
      <c r="A384" s="102">
        <v>673</v>
      </c>
      <c r="B384" s="7" t="s">
        <v>2076</v>
      </c>
      <c r="C384" s="7">
        <v>1</v>
      </c>
      <c r="D384" s="62">
        <f t="shared" si="131"/>
        <v>21908747</v>
      </c>
      <c r="E384" s="172">
        <f t="shared" si="132"/>
        <v>10706573</v>
      </c>
      <c r="F384" s="62">
        <f t="shared" si="133"/>
        <v>22374529.724943254</v>
      </c>
      <c r="G384" s="70">
        <f t="shared" si="134"/>
        <v>18540836</v>
      </c>
      <c r="H384" s="62">
        <f t="shared" si="135"/>
        <v>3833694</v>
      </c>
      <c r="I384" s="173">
        <f t="shared" si="136"/>
        <v>0</v>
      </c>
      <c r="J384" s="174">
        <f t="shared" ca="1" si="157"/>
        <v>17.600000000000001</v>
      </c>
      <c r="K384" s="70">
        <f t="shared" ca="1" si="137"/>
        <v>3937917</v>
      </c>
      <c r="L384" s="70">
        <f t="shared" ca="1" si="138"/>
        <v>0</v>
      </c>
      <c r="M384" s="175">
        <f t="shared" ca="1" si="139"/>
        <v>0</v>
      </c>
      <c r="N384" s="70"/>
      <c r="O384" s="70"/>
      <c r="P384" s="70"/>
      <c r="Q384" s="62">
        <v>2380</v>
      </c>
      <c r="R384" s="62">
        <f t="shared" si="140"/>
        <v>2385</v>
      </c>
      <c r="S384" s="176"/>
      <c r="T384" s="176"/>
      <c r="U384" s="70"/>
      <c r="V384" s="70"/>
      <c r="W384" s="260"/>
      <c r="X384" s="62">
        <f t="shared" si="141"/>
        <v>0</v>
      </c>
      <c r="Y384" s="70"/>
      <c r="AA384" s="290"/>
      <c r="AB384" s="291"/>
      <c r="AC384" s="62"/>
      <c r="AD384" s="62"/>
      <c r="AE384" s="177">
        <f t="shared" si="142"/>
        <v>71550</v>
      </c>
      <c r="AF384" s="177">
        <f t="shared" ca="1" si="143"/>
        <v>71550</v>
      </c>
      <c r="AG384" s="70">
        <f t="shared" ca="1" si="144"/>
        <v>10778123</v>
      </c>
      <c r="AH384" s="70">
        <f t="shared" ca="1" si="145"/>
        <v>0</v>
      </c>
      <c r="AI384" s="587">
        <v>0</v>
      </c>
      <c r="AJ384" s="178">
        <f t="shared" ca="1" si="146"/>
        <v>10778123</v>
      </c>
      <c r="AK384" s="301">
        <f t="shared" ca="1" si="147"/>
        <v>48.171394583478047</v>
      </c>
      <c r="AL384" s="70">
        <f t="shared" ca="1" si="148"/>
        <v>29318959</v>
      </c>
      <c r="AM384" s="179">
        <f t="shared" ca="1" si="149"/>
        <v>131.03720775554473</v>
      </c>
      <c r="AN384" s="179"/>
      <c r="AO384" s="31">
        <f t="shared" si="150"/>
        <v>465782.72494325414</v>
      </c>
      <c r="AP384" s="31">
        <f t="shared" ca="1" si="151"/>
        <v>71550</v>
      </c>
      <c r="AQ384" s="31">
        <f t="shared" ca="1" si="152"/>
        <v>6840205.768409987</v>
      </c>
      <c r="AR384" s="180">
        <f t="shared" ca="1" si="153"/>
        <v>30.571394583478046</v>
      </c>
      <c r="AS384" s="31">
        <f t="shared" si="156"/>
        <v>9381.35</v>
      </c>
      <c r="AU384" s="31">
        <f t="shared" si="154"/>
        <v>0</v>
      </c>
      <c r="AV384" s="177"/>
      <c r="AW384" s="31">
        <f t="shared" ca="1" si="155"/>
        <v>30</v>
      </c>
    </row>
    <row r="385" spans="1:49">
      <c r="A385" s="102">
        <v>674</v>
      </c>
      <c r="B385" s="7" t="s">
        <v>2077</v>
      </c>
      <c r="C385" s="7">
        <v>1</v>
      </c>
      <c r="D385" s="62">
        <f t="shared" si="131"/>
        <v>11388880</v>
      </c>
      <c r="E385" s="172">
        <f t="shared" si="132"/>
        <v>6152674</v>
      </c>
      <c r="F385" s="62">
        <f t="shared" si="133"/>
        <v>11605184.313327502</v>
      </c>
      <c r="G385" s="70">
        <f t="shared" si="134"/>
        <v>6037197</v>
      </c>
      <c r="H385" s="62">
        <f t="shared" si="135"/>
        <v>5567987</v>
      </c>
      <c r="I385" s="173">
        <f t="shared" si="136"/>
        <v>0</v>
      </c>
      <c r="J385" s="174">
        <f t="shared" ca="1" si="157"/>
        <v>48.3</v>
      </c>
      <c r="K385" s="70">
        <f t="shared" ca="1" si="137"/>
        <v>5605304</v>
      </c>
      <c r="L385" s="70">
        <f t="shared" ca="1" si="138"/>
        <v>0</v>
      </c>
      <c r="M385" s="175">
        <f t="shared" ca="1" si="139"/>
        <v>0</v>
      </c>
      <c r="N385" s="70"/>
      <c r="O385" s="70"/>
      <c r="P385" s="70"/>
      <c r="Q385" s="62">
        <v>1091</v>
      </c>
      <c r="R385" s="62">
        <f t="shared" si="140"/>
        <v>1078</v>
      </c>
      <c r="S385" s="176"/>
      <c r="T385" s="176"/>
      <c r="U385" s="70"/>
      <c r="V385" s="70"/>
      <c r="W385" s="260"/>
      <c r="X385" s="62">
        <f t="shared" si="141"/>
        <v>0</v>
      </c>
      <c r="Y385" s="70"/>
      <c r="AA385" s="290"/>
      <c r="AB385" s="291"/>
      <c r="AC385" s="62"/>
      <c r="AD385" s="62"/>
      <c r="AE385" s="177">
        <f t="shared" si="142"/>
        <v>32340</v>
      </c>
      <c r="AF385" s="177">
        <f t="shared" ca="1" si="143"/>
        <v>32340</v>
      </c>
      <c r="AG385" s="70">
        <f t="shared" ca="1" si="144"/>
        <v>6185014</v>
      </c>
      <c r="AH385" s="70">
        <f t="shared" ca="1" si="145"/>
        <v>0</v>
      </c>
      <c r="AI385" s="587">
        <v>0</v>
      </c>
      <c r="AJ385" s="178">
        <f t="shared" ca="1" si="146"/>
        <v>6185014</v>
      </c>
      <c r="AK385" s="301">
        <f t="shared" ca="1" si="147"/>
        <v>53.295267296160667</v>
      </c>
      <c r="AL385" s="70">
        <f t="shared" ca="1" si="148"/>
        <v>12222211</v>
      </c>
      <c r="AM385" s="179">
        <f t="shared" ca="1" si="149"/>
        <v>105.31681936291092</v>
      </c>
      <c r="AN385" s="179"/>
      <c r="AO385" s="31">
        <f t="shared" si="150"/>
        <v>216304.31332750246</v>
      </c>
      <c r="AP385" s="31">
        <f t="shared" ca="1" si="151"/>
        <v>32340</v>
      </c>
      <c r="AQ385" s="31">
        <f t="shared" ca="1" si="152"/>
        <v>579709.97666281648</v>
      </c>
      <c r="AR385" s="180">
        <f t="shared" ca="1" si="153"/>
        <v>4.9952672961606694</v>
      </c>
      <c r="AS385" s="31">
        <f t="shared" si="156"/>
        <v>10765.48</v>
      </c>
      <c r="AU385" s="31">
        <f t="shared" si="154"/>
        <v>0</v>
      </c>
      <c r="AV385" s="177"/>
      <c r="AW385" s="31">
        <f t="shared" ca="1" si="155"/>
        <v>30</v>
      </c>
    </row>
    <row r="386" spans="1:49">
      <c r="A386" s="102">
        <v>675</v>
      </c>
      <c r="B386" s="7" t="s">
        <v>2078</v>
      </c>
      <c r="C386" s="7">
        <v>1</v>
      </c>
      <c r="D386" s="62">
        <f t="shared" si="131"/>
        <v>16651753</v>
      </c>
      <c r="E386" s="172">
        <f t="shared" si="132"/>
        <v>3554656</v>
      </c>
      <c r="F386" s="62">
        <f t="shared" si="133"/>
        <v>16696408.934955347</v>
      </c>
      <c r="G386" s="70">
        <f t="shared" si="134"/>
        <v>13868580</v>
      </c>
      <c r="H386" s="62">
        <f t="shared" si="135"/>
        <v>2827829</v>
      </c>
      <c r="I386" s="173">
        <f t="shared" si="136"/>
        <v>0</v>
      </c>
      <c r="J386" s="174">
        <f t="shared" ca="1" si="157"/>
        <v>17.5</v>
      </c>
      <c r="K386" s="70">
        <f t="shared" ca="1" si="137"/>
        <v>2921872</v>
      </c>
      <c r="L386" s="70">
        <f t="shared" ca="1" si="138"/>
        <v>0</v>
      </c>
      <c r="M386" s="175">
        <f t="shared" ca="1" si="139"/>
        <v>0</v>
      </c>
      <c r="N386" s="70"/>
      <c r="O386" s="70"/>
      <c r="P386" s="70"/>
      <c r="Q386" s="62">
        <v>1758</v>
      </c>
      <c r="R386" s="62">
        <f t="shared" si="140"/>
        <v>1735</v>
      </c>
      <c r="S386" s="176"/>
      <c r="T386" s="176"/>
      <c r="U386" s="70"/>
      <c r="V386" s="70"/>
      <c r="W386" s="260"/>
      <c r="X386" s="62">
        <f t="shared" si="141"/>
        <v>0</v>
      </c>
      <c r="Y386" s="70"/>
      <c r="AA386" s="290"/>
      <c r="AB386" s="291"/>
      <c r="AC386" s="62"/>
      <c r="AD386" s="62"/>
      <c r="AE386" s="177">
        <f t="shared" si="142"/>
        <v>52050</v>
      </c>
      <c r="AF386" s="177">
        <f t="shared" ca="1" si="143"/>
        <v>52050</v>
      </c>
      <c r="AG386" s="70">
        <f t="shared" ca="1" si="144"/>
        <v>3606706</v>
      </c>
      <c r="AH386" s="70">
        <f t="shared" ca="1" si="145"/>
        <v>0</v>
      </c>
      <c r="AI386" s="587">
        <v>0</v>
      </c>
      <c r="AJ386" s="178">
        <f t="shared" ca="1" si="146"/>
        <v>3606706</v>
      </c>
      <c r="AK386" s="301">
        <f t="shared" ca="1" si="147"/>
        <v>21.601687009768042</v>
      </c>
      <c r="AL386" s="70">
        <f t="shared" ca="1" si="148"/>
        <v>17475286</v>
      </c>
      <c r="AM386" s="179">
        <f t="shared" ca="1" si="149"/>
        <v>104.66493764065642</v>
      </c>
      <c r="AN386" s="179"/>
      <c r="AO386" s="31">
        <f t="shared" si="150"/>
        <v>44655.934955347329</v>
      </c>
      <c r="AP386" s="31">
        <f t="shared" ca="1" si="151"/>
        <v>52050</v>
      </c>
      <c r="AQ386" s="31">
        <f t="shared" ca="1" si="152"/>
        <v>684834.43638281431</v>
      </c>
      <c r="AR386" s="180">
        <f t="shared" ca="1" si="153"/>
        <v>4.1016870097680425</v>
      </c>
      <c r="AS386" s="31">
        <f t="shared" si="156"/>
        <v>9623.2900000000009</v>
      </c>
      <c r="AU386" s="31">
        <f t="shared" si="154"/>
        <v>0</v>
      </c>
      <c r="AV386" s="177"/>
      <c r="AW386" s="31">
        <f t="shared" ca="1" si="155"/>
        <v>30</v>
      </c>
    </row>
    <row r="387" spans="1:49">
      <c r="A387" s="102">
        <v>680</v>
      </c>
      <c r="B387" s="7" t="s">
        <v>2079</v>
      </c>
      <c r="C387" s="7">
        <v>1</v>
      </c>
      <c r="D387" s="62">
        <f t="shared" si="131"/>
        <v>29402188</v>
      </c>
      <c r="E387" s="172">
        <f t="shared" si="132"/>
        <v>11651894</v>
      </c>
      <c r="F387" s="62">
        <f t="shared" si="133"/>
        <v>29683317.843047649</v>
      </c>
      <c r="G387" s="70">
        <f t="shared" si="134"/>
        <v>20807570</v>
      </c>
      <c r="H387" s="62">
        <f t="shared" si="135"/>
        <v>8875748</v>
      </c>
      <c r="I387" s="173">
        <f t="shared" si="136"/>
        <v>0</v>
      </c>
      <c r="J387" s="174">
        <f t="shared" ca="1" si="157"/>
        <v>30.17</v>
      </c>
      <c r="K387" s="70">
        <f t="shared" ca="1" si="137"/>
        <v>8955457</v>
      </c>
      <c r="L387" s="70">
        <f t="shared" ca="1" si="138"/>
        <v>0</v>
      </c>
      <c r="M387" s="175">
        <f t="shared" ca="1" si="139"/>
        <v>0</v>
      </c>
      <c r="N387" s="70"/>
      <c r="O387" s="70"/>
      <c r="P387" s="70"/>
      <c r="Q387" s="62">
        <v>3056</v>
      </c>
      <c r="R387" s="62">
        <f t="shared" si="140"/>
        <v>3016</v>
      </c>
      <c r="S387" s="176"/>
      <c r="T387" s="176"/>
      <c r="U387" s="70"/>
      <c r="V387" s="70"/>
      <c r="W387" s="260"/>
      <c r="X387" s="62">
        <f t="shared" si="141"/>
        <v>0</v>
      </c>
      <c r="Y387" s="70"/>
      <c r="AA387" s="290"/>
      <c r="AB387" s="291"/>
      <c r="AC387" s="62"/>
      <c r="AD387" s="62"/>
      <c r="AE387" s="177">
        <f t="shared" si="142"/>
        <v>90480</v>
      </c>
      <c r="AF387" s="177">
        <f t="shared" ca="1" si="143"/>
        <v>90480</v>
      </c>
      <c r="AG387" s="70">
        <f t="shared" ca="1" si="144"/>
        <v>11742374</v>
      </c>
      <c r="AH387" s="70">
        <f t="shared" ca="1" si="145"/>
        <v>0</v>
      </c>
      <c r="AI387" s="587">
        <v>0</v>
      </c>
      <c r="AJ387" s="178">
        <f t="shared" ca="1" si="146"/>
        <v>11742374</v>
      </c>
      <c r="AK387" s="301">
        <f t="shared" ca="1" si="147"/>
        <v>39.558832547252699</v>
      </c>
      <c r="AL387" s="70">
        <f t="shared" ca="1" si="148"/>
        <v>32549944</v>
      </c>
      <c r="AM387" s="179">
        <f t="shared" ca="1" si="149"/>
        <v>109.65736435566203</v>
      </c>
      <c r="AN387" s="179"/>
      <c r="AO387" s="31">
        <f t="shared" si="150"/>
        <v>281129.84304764867</v>
      </c>
      <c r="AP387" s="31">
        <f t="shared" ca="1" si="151"/>
        <v>90480</v>
      </c>
      <c r="AQ387" s="31">
        <f t="shared" ca="1" si="152"/>
        <v>2786917.0067525245</v>
      </c>
      <c r="AR387" s="180">
        <f t="shared" ca="1" si="153"/>
        <v>9.3888325472526972</v>
      </c>
      <c r="AS387" s="31">
        <f t="shared" si="156"/>
        <v>9841.9500000000007</v>
      </c>
      <c r="AU387" s="31">
        <f t="shared" si="154"/>
        <v>0</v>
      </c>
      <c r="AV387" s="177"/>
      <c r="AW387" s="31">
        <f t="shared" ca="1" si="155"/>
        <v>30</v>
      </c>
    </row>
    <row r="388" spans="1:49">
      <c r="A388" s="102">
        <v>683</v>
      </c>
      <c r="B388" s="7" t="s">
        <v>2080</v>
      </c>
      <c r="C388" s="7">
        <v>1</v>
      </c>
      <c r="D388" s="62">
        <f t="shared" si="131"/>
        <v>7226816</v>
      </c>
      <c r="E388" s="172">
        <f t="shared" si="132"/>
        <v>3210153</v>
      </c>
      <c r="F388" s="62">
        <f t="shared" si="133"/>
        <v>7135055.1371439751</v>
      </c>
      <c r="G388" s="70">
        <f t="shared" si="134"/>
        <v>4768992</v>
      </c>
      <c r="H388" s="62">
        <f t="shared" si="135"/>
        <v>2366063</v>
      </c>
      <c r="I388" s="173">
        <f t="shared" si="136"/>
        <v>0</v>
      </c>
      <c r="J388" s="174">
        <f t="shared" ca="1" si="157"/>
        <v>33.78</v>
      </c>
      <c r="K388" s="70">
        <f t="shared" ca="1" si="137"/>
        <v>2410222</v>
      </c>
      <c r="L388" s="70">
        <f t="shared" ca="1" si="138"/>
        <v>0</v>
      </c>
      <c r="M388" s="175">
        <f t="shared" ca="1" si="139"/>
        <v>0</v>
      </c>
      <c r="N388" s="70"/>
      <c r="O388" s="70"/>
      <c r="P388" s="70"/>
      <c r="Q388" s="62">
        <v>724</v>
      </c>
      <c r="R388" s="62">
        <f t="shared" si="140"/>
        <v>704.00000000704006</v>
      </c>
      <c r="S388" s="176"/>
      <c r="T388" s="176"/>
      <c r="U388" s="70"/>
      <c r="V388" s="70"/>
      <c r="W388" s="260"/>
      <c r="X388" s="62">
        <f t="shared" si="141"/>
        <v>0</v>
      </c>
      <c r="Y388" s="70"/>
      <c r="AA388" s="290"/>
      <c r="AB388" s="291"/>
      <c r="AC388" s="62"/>
      <c r="AD388" s="62"/>
      <c r="AE388" s="177">
        <f t="shared" si="142"/>
        <v>21120.000000211203</v>
      </c>
      <c r="AF388" s="177">
        <f t="shared" ca="1" si="143"/>
        <v>21120.000000211203</v>
      </c>
      <c r="AG388" s="70">
        <f t="shared" ca="1" si="144"/>
        <v>3231273.0000002114</v>
      </c>
      <c r="AH388" s="70">
        <f t="shared" ca="1" si="145"/>
        <v>0</v>
      </c>
      <c r="AI388" s="587">
        <v>0</v>
      </c>
      <c r="AJ388" s="178">
        <f t="shared" ca="1" si="146"/>
        <v>3231273.0000002114</v>
      </c>
      <c r="AK388" s="301">
        <f t="shared" ca="1" si="147"/>
        <v>45.287288435638182</v>
      </c>
      <c r="AL388" s="70">
        <f t="shared" ca="1" si="148"/>
        <v>8000265.0000002114</v>
      </c>
      <c r="AM388" s="179">
        <f t="shared" ca="1" si="149"/>
        <v>112.12618327715633</v>
      </c>
      <c r="AN388" s="179"/>
      <c r="AO388" s="31">
        <f t="shared" si="150"/>
        <v>-91760.862856024876</v>
      </c>
      <c r="AP388" s="31">
        <f t="shared" ca="1" si="151"/>
        <v>21120.00000021141</v>
      </c>
      <c r="AQ388" s="31">
        <f t="shared" ca="1" si="152"/>
        <v>821051.37467297679</v>
      </c>
      <c r="AR388" s="180">
        <f t="shared" ca="1" si="153"/>
        <v>11.507288435638181</v>
      </c>
      <c r="AS388" s="31">
        <f t="shared" si="156"/>
        <v>10135.02</v>
      </c>
      <c r="AU388" s="31">
        <f t="shared" si="154"/>
        <v>0</v>
      </c>
      <c r="AV388" s="177"/>
      <c r="AW388" s="31">
        <f t="shared" ca="1" si="155"/>
        <v>30.000000000000295</v>
      </c>
    </row>
    <row r="389" spans="1:49">
      <c r="A389" s="102">
        <v>685</v>
      </c>
      <c r="B389" s="7" t="s">
        <v>2081</v>
      </c>
      <c r="C389" s="7">
        <v>1</v>
      </c>
      <c r="D389" s="62">
        <f t="shared" si="131"/>
        <v>966196</v>
      </c>
      <c r="E389" s="172">
        <f t="shared" si="132"/>
        <v>619422</v>
      </c>
      <c r="F389" s="62">
        <f t="shared" si="133"/>
        <v>948610.29681259417</v>
      </c>
      <c r="G389" s="70">
        <f t="shared" si="134"/>
        <v>528435</v>
      </c>
      <c r="H389" s="62">
        <f t="shared" si="135"/>
        <v>420175</v>
      </c>
      <c r="I389" s="173">
        <f t="shared" si="136"/>
        <v>0</v>
      </c>
      <c r="J389" s="174">
        <f t="shared" ca="1" si="157"/>
        <v>44.55</v>
      </c>
      <c r="K389" s="70">
        <f t="shared" ca="1" si="137"/>
        <v>422606</v>
      </c>
      <c r="L389" s="70">
        <f t="shared" ca="1" si="138"/>
        <v>0</v>
      </c>
      <c r="M389" s="175">
        <f t="shared" ca="1" si="139"/>
        <v>0</v>
      </c>
      <c r="N389" s="70"/>
      <c r="O389" s="70"/>
      <c r="P389" s="70"/>
      <c r="Q389" s="62">
        <v>89</v>
      </c>
      <c r="R389" s="62">
        <f t="shared" si="140"/>
        <v>82</v>
      </c>
      <c r="S389" s="176"/>
      <c r="T389" s="176"/>
      <c r="U389" s="70"/>
      <c r="V389" s="70"/>
      <c r="W389" s="260"/>
      <c r="X389" s="62">
        <f t="shared" si="141"/>
        <v>0</v>
      </c>
      <c r="Y389" s="70"/>
      <c r="AA389" s="290"/>
      <c r="AB389" s="291"/>
      <c r="AC389" s="62"/>
      <c r="AD389" s="62"/>
      <c r="AE389" s="177">
        <f t="shared" si="142"/>
        <v>2460</v>
      </c>
      <c r="AF389" s="177">
        <f t="shared" ca="1" si="143"/>
        <v>2460</v>
      </c>
      <c r="AG389" s="70">
        <f t="shared" ca="1" si="144"/>
        <v>621882</v>
      </c>
      <c r="AH389" s="70">
        <f t="shared" ca="1" si="145"/>
        <v>0</v>
      </c>
      <c r="AI389" s="587">
        <v>0</v>
      </c>
      <c r="AJ389" s="178">
        <f t="shared" ca="1" si="146"/>
        <v>621882</v>
      </c>
      <c r="AK389" s="301">
        <f t="shared" ca="1" si="147"/>
        <v>65.557163156416593</v>
      </c>
      <c r="AL389" s="70">
        <f t="shared" ca="1" si="148"/>
        <v>1150317</v>
      </c>
      <c r="AM389" s="179">
        <f t="shared" ca="1" si="149"/>
        <v>121.2633895989909</v>
      </c>
      <c r="AN389" s="179"/>
      <c r="AO389" s="31">
        <f t="shared" si="150"/>
        <v>-17585.70318740583</v>
      </c>
      <c r="AP389" s="31">
        <f t="shared" ca="1" si="151"/>
        <v>2460</v>
      </c>
      <c r="AQ389" s="31">
        <f t="shared" ca="1" si="152"/>
        <v>199276.11276998936</v>
      </c>
      <c r="AR389" s="180">
        <f t="shared" ca="1" si="153"/>
        <v>21.007163156416595</v>
      </c>
      <c r="AS389" s="31">
        <f t="shared" si="156"/>
        <v>11568.42</v>
      </c>
      <c r="AU389" s="31">
        <f t="shared" si="154"/>
        <v>0</v>
      </c>
      <c r="AV389" s="177"/>
      <c r="AW389" s="31">
        <f t="shared" ca="1" si="155"/>
        <v>30</v>
      </c>
    </row>
    <row r="390" spans="1:49">
      <c r="A390" s="102">
        <v>690</v>
      </c>
      <c r="B390" s="7" t="s">
        <v>2082</v>
      </c>
      <c r="C390" s="7">
        <v>1</v>
      </c>
      <c r="D390" s="62">
        <f t="shared" si="131"/>
        <v>21464344</v>
      </c>
      <c r="E390" s="172">
        <f t="shared" si="132"/>
        <v>7399780</v>
      </c>
      <c r="F390" s="62">
        <f t="shared" si="133"/>
        <v>21686949.863603115</v>
      </c>
      <c r="G390" s="70">
        <f t="shared" si="134"/>
        <v>17288364</v>
      </c>
      <c r="H390" s="62">
        <f t="shared" si="135"/>
        <v>4398586</v>
      </c>
      <c r="I390" s="173">
        <f t="shared" si="136"/>
        <v>0</v>
      </c>
      <c r="J390" s="174">
        <f t="shared" ca="1" si="157"/>
        <v>20.54</v>
      </c>
      <c r="K390" s="70">
        <f t="shared" ca="1" si="137"/>
        <v>4454500</v>
      </c>
      <c r="L390" s="70">
        <f t="shared" ca="1" si="138"/>
        <v>0</v>
      </c>
      <c r="M390" s="175">
        <f t="shared" ca="1" si="139"/>
        <v>0</v>
      </c>
      <c r="N390" s="70"/>
      <c r="O390" s="70"/>
      <c r="P390" s="70"/>
      <c r="Q390" s="62">
        <v>2206</v>
      </c>
      <c r="R390" s="62">
        <f t="shared" si="140"/>
        <v>2175.9999999782399</v>
      </c>
      <c r="S390" s="176"/>
      <c r="T390" s="176"/>
      <c r="U390" s="70"/>
      <c r="V390" s="70"/>
      <c r="W390" s="260"/>
      <c r="X390" s="62">
        <f t="shared" si="141"/>
        <v>0</v>
      </c>
      <c r="Y390" s="70"/>
      <c r="AA390" s="290"/>
      <c r="AB390" s="291"/>
      <c r="AC390" s="62"/>
      <c r="AD390" s="62"/>
      <c r="AE390" s="177">
        <f t="shared" si="142"/>
        <v>65279.999999347194</v>
      </c>
      <c r="AF390" s="177">
        <f t="shared" ca="1" si="143"/>
        <v>65279.999999347194</v>
      </c>
      <c r="AG390" s="70">
        <f t="shared" ca="1" si="144"/>
        <v>7465059.9999993471</v>
      </c>
      <c r="AH390" s="70">
        <f t="shared" ca="1" si="145"/>
        <v>0</v>
      </c>
      <c r="AI390" s="587">
        <v>0</v>
      </c>
      <c r="AJ390" s="178">
        <f t="shared" ca="1" si="146"/>
        <v>7465059.9999993471</v>
      </c>
      <c r="AK390" s="301">
        <f t="shared" ca="1" si="147"/>
        <v>34.42189910037947</v>
      </c>
      <c r="AL390" s="70">
        <f t="shared" ca="1" si="148"/>
        <v>24753423.999999348</v>
      </c>
      <c r="AM390" s="179">
        <f t="shared" ca="1" si="149"/>
        <v>114.1397206877056</v>
      </c>
      <c r="AN390" s="179"/>
      <c r="AO390" s="31">
        <f t="shared" si="150"/>
        <v>222605.86360311508</v>
      </c>
      <c r="AP390" s="31">
        <f t="shared" ca="1" si="151"/>
        <v>65279.999999347143</v>
      </c>
      <c r="AQ390" s="31">
        <f t="shared" ca="1" si="152"/>
        <v>3010560.4980152678</v>
      </c>
      <c r="AR390" s="180">
        <f t="shared" ca="1" si="153"/>
        <v>13.881899100379471</v>
      </c>
      <c r="AS390" s="31">
        <f t="shared" si="156"/>
        <v>9966.43</v>
      </c>
      <c r="AU390" s="31">
        <f t="shared" si="154"/>
        <v>0</v>
      </c>
      <c r="AV390" s="177"/>
      <c r="AW390" s="31">
        <f t="shared" ca="1" si="155"/>
        <v>29.999999999999975</v>
      </c>
    </row>
    <row r="391" spans="1:49">
      <c r="A391" s="102">
        <v>695</v>
      </c>
      <c r="B391" s="7" t="s">
        <v>2083</v>
      </c>
      <c r="C391" s="7">
        <v>1</v>
      </c>
      <c r="D391" s="62">
        <f t="shared" si="131"/>
        <v>17527242</v>
      </c>
      <c r="E391" s="172">
        <f t="shared" si="132"/>
        <v>2953706.1578124999</v>
      </c>
      <c r="F391" s="62">
        <f t="shared" si="133"/>
        <v>17315388.091420949</v>
      </c>
      <c r="G391" s="70">
        <f t="shared" si="134"/>
        <v>14392659</v>
      </c>
      <c r="H391" s="62">
        <f t="shared" si="135"/>
        <v>2922729</v>
      </c>
      <c r="I391" s="173">
        <f t="shared" si="136"/>
        <v>0</v>
      </c>
      <c r="J391" s="174">
        <f t="shared" ca="1" si="157"/>
        <v>17.5</v>
      </c>
      <c r="K391" s="70">
        <f t="shared" ca="1" si="137"/>
        <v>3030193</v>
      </c>
      <c r="L391" s="70">
        <f t="shared" ca="1" si="138"/>
        <v>0</v>
      </c>
      <c r="M391" s="175">
        <f t="shared" ca="1" si="139"/>
        <v>0</v>
      </c>
      <c r="N391" s="70"/>
      <c r="O391" s="70"/>
      <c r="P391" s="70"/>
      <c r="Q391" s="62">
        <v>1667</v>
      </c>
      <c r="R391" s="62">
        <f t="shared" si="140"/>
        <v>1633</v>
      </c>
      <c r="S391" s="176"/>
      <c r="T391" s="176"/>
      <c r="U391" s="70"/>
      <c r="V391" s="70"/>
      <c r="W391" s="260"/>
      <c r="X391" s="62">
        <f t="shared" si="141"/>
        <v>0</v>
      </c>
      <c r="Y391" s="70"/>
      <c r="AA391" s="290"/>
      <c r="AB391" s="291"/>
      <c r="AC391" s="62"/>
      <c r="AD391" s="62"/>
      <c r="AE391" s="177">
        <f t="shared" si="142"/>
        <v>48990</v>
      </c>
      <c r="AF391" s="177">
        <f t="shared" ca="1" si="143"/>
        <v>48990</v>
      </c>
      <c r="AG391" s="70">
        <f t="shared" ca="1" si="144"/>
        <v>3002696.1578124999</v>
      </c>
      <c r="AH391" s="70">
        <f t="shared" ca="1" si="145"/>
        <v>0</v>
      </c>
      <c r="AI391" s="587">
        <v>0</v>
      </c>
      <c r="AJ391" s="178">
        <f t="shared" ca="1" si="146"/>
        <v>3002696.1578124999</v>
      </c>
      <c r="AK391" s="301">
        <f t="shared" ca="1" si="147"/>
        <v>17.341200451061276</v>
      </c>
      <c r="AL391" s="70">
        <f t="shared" ca="1" si="148"/>
        <v>17395355.157812499</v>
      </c>
      <c r="AM391" s="179">
        <f t="shared" ca="1" si="149"/>
        <v>100.46182659013672</v>
      </c>
      <c r="AN391" s="179"/>
      <c r="AO391" s="31">
        <f t="shared" si="150"/>
        <v>-211853.90857905149</v>
      </c>
      <c r="AP391" s="31">
        <f t="shared" ca="1" si="151"/>
        <v>48990</v>
      </c>
      <c r="AQ391" s="31">
        <f t="shared" ca="1" si="152"/>
        <v>-27496.758186165709</v>
      </c>
      <c r="AR391" s="180">
        <f t="shared" ca="1" si="153"/>
        <v>-0.15879954893872394</v>
      </c>
      <c r="AS391" s="31">
        <f t="shared" si="156"/>
        <v>10603.42</v>
      </c>
      <c r="AU391" s="31">
        <f t="shared" si="154"/>
        <v>0</v>
      </c>
      <c r="AV391" s="177"/>
      <c r="AW391" s="31">
        <f t="shared" ca="1" si="155"/>
        <v>30</v>
      </c>
    </row>
    <row r="392" spans="1:49">
      <c r="A392" s="102">
        <v>698</v>
      </c>
      <c r="B392" s="7" t="s">
        <v>1651</v>
      </c>
      <c r="C392" s="7">
        <v>1</v>
      </c>
      <c r="D392" s="62">
        <f t="shared" si="131"/>
        <v>13222782</v>
      </c>
      <c r="E392" s="172">
        <f t="shared" si="132"/>
        <v>2926838</v>
      </c>
      <c r="F392" s="62">
        <f t="shared" si="133"/>
        <v>13044522.634690613</v>
      </c>
      <c r="G392" s="70">
        <f t="shared" si="134"/>
        <v>10860009</v>
      </c>
      <c r="H392" s="62">
        <f t="shared" si="135"/>
        <v>2184514</v>
      </c>
      <c r="I392" s="173">
        <f t="shared" si="136"/>
        <v>0</v>
      </c>
      <c r="J392" s="174">
        <f t="shared" ca="1" si="157"/>
        <v>17.5</v>
      </c>
      <c r="K392" s="70">
        <f t="shared" ca="1" si="137"/>
        <v>2282791</v>
      </c>
      <c r="L392" s="70">
        <f t="shared" ca="1" si="138"/>
        <v>0</v>
      </c>
      <c r="M392" s="175">
        <f t="shared" ca="1" si="139"/>
        <v>0</v>
      </c>
      <c r="N392" s="70"/>
      <c r="O392" s="70"/>
      <c r="P392" s="70"/>
      <c r="Q392" s="62">
        <v>1394</v>
      </c>
      <c r="R392" s="62">
        <f t="shared" si="140"/>
        <v>1351</v>
      </c>
      <c r="S392" s="176"/>
      <c r="T392" s="176"/>
      <c r="U392" s="70"/>
      <c r="V392" s="70"/>
      <c r="W392" s="260"/>
      <c r="X392" s="62">
        <f t="shared" si="141"/>
        <v>0</v>
      </c>
      <c r="Y392" s="70"/>
      <c r="AA392" s="290"/>
      <c r="AB392" s="291"/>
      <c r="AC392" s="62"/>
      <c r="AD392" s="62"/>
      <c r="AE392" s="177">
        <f t="shared" si="142"/>
        <v>40530</v>
      </c>
      <c r="AF392" s="177">
        <f t="shared" ca="1" si="143"/>
        <v>40530</v>
      </c>
      <c r="AG392" s="70">
        <f t="shared" ca="1" si="144"/>
        <v>2967368</v>
      </c>
      <c r="AH392" s="70">
        <f t="shared" ca="1" si="145"/>
        <v>0</v>
      </c>
      <c r="AI392" s="587">
        <v>0</v>
      </c>
      <c r="AJ392" s="178">
        <f t="shared" ca="1" si="146"/>
        <v>2967368</v>
      </c>
      <c r="AK392" s="301">
        <f t="shared" ca="1" si="147"/>
        <v>22.747999931469927</v>
      </c>
      <c r="AL392" s="70">
        <f t="shared" ca="1" si="148"/>
        <v>13827377</v>
      </c>
      <c r="AM392" s="179">
        <f t="shared" ca="1" si="149"/>
        <v>106.00140294308251</v>
      </c>
      <c r="AN392" s="179"/>
      <c r="AO392" s="31">
        <f t="shared" si="150"/>
        <v>-178259.36530938745</v>
      </c>
      <c r="AP392" s="31">
        <f t="shared" ca="1" si="151"/>
        <v>40530</v>
      </c>
      <c r="AQ392" s="31">
        <f t="shared" ca="1" si="152"/>
        <v>684576.53892914299</v>
      </c>
      <c r="AR392" s="180">
        <f t="shared" ca="1" si="153"/>
        <v>5.247999931469927</v>
      </c>
      <c r="AS392" s="31">
        <f t="shared" si="156"/>
        <v>9655.4599999999991</v>
      </c>
      <c r="AU392" s="31">
        <f t="shared" si="154"/>
        <v>0</v>
      </c>
      <c r="AV392" s="177"/>
      <c r="AW392" s="31">
        <f t="shared" ca="1" si="155"/>
        <v>30</v>
      </c>
    </row>
    <row r="393" spans="1:49">
      <c r="A393" s="102">
        <v>700</v>
      </c>
      <c r="B393" s="7" t="s">
        <v>2084</v>
      </c>
      <c r="C393" s="7">
        <v>1</v>
      </c>
      <c r="D393" s="62">
        <f t="shared" si="131"/>
        <v>8366347</v>
      </c>
      <c r="E393" s="172">
        <f t="shared" si="132"/>
        <v>2814000</v>
      </c>
      <c r="F393" s="62">
        <f t="shared" si="133"/>
        <v>8775465.4854839947</v>
      </c>
      <c r="G393" s="70">
        <f t="shared" si="134"/>
        <v>7160292</v>
      </c>
      <c r="H393" s="62">
        <f t="shared" si="135"/>
        <v>1615173</v>
      </c>
      <c r="I393" s="173">
        <f t="shared" si="136"/>
        <v>0</v>
      </c>
      <c r="J393" s="174">
        <f t="shared" ref="J393:J424" ca="1" si="158">ROUND(100-SUMIF(fraclea,A393,memeffpct),2)</f>
        <v>17.5</v>
      </c>
      <c r="K393" s="70">
        <f t="shared" ca="1" si="137"/>
        <v>1535706</v>
      </c>
      <c r="L393" s="70">
        <f t="shared" ca="1" si="138"/>
        <v>0</v>
      </c>
      <c r="M393" s="175">
        <f t="shared" ca="1" si="139"/>
        <v>0</v>
      </c>
      <c r="N393" s="70"/>
      <c r="O393" s="70"/>
      <c r="P393" s="70"/>
      <c r="Q393" s="62">
        <v>705</v>
      </c>
      <c r="R393" s="62">
        <f t="shared" si="140"/>
        <v>704</v>
      </c>
      <c r="S393" s="176"/>
      <c r="T393" s="176"/>
      <c r="U393" s="70"/>
      <c r="V393" s="70"/>
      <c r="W393" s="260"/>
      <c r="X393" s="62">
        <f t="shared" si="141"/>
        <v>0</v>
      </c>
      <c r="Y393" s="70"/>
      <c r="AA393" s="290"/>
      <c r="AB393" s="291"/>
      <c r="AC393" s="62"/>
      <c r="AD393" s="62"/>
      <c r="AE393" s="177">
        <f t="shared" si="142"/>
        <v>21120</v>
      </c>
      <c r="AF393" s="177">
        <f t="shared" ca="1" si="143"/>
        <v>21120</v>
      </c>
      <c r="AG393" s="70">
        <f t="shared" ca="1" si="144"/>
        <v>2835120</v>
      </c>
      <c r="AH393" s="70">
        <f t="shared" ca="1" si="145"/>
        <v>0</v>
      </c>
      <c r="AI393" s="587">
        <v>0</v>
      </c>
      <c r="AJ393" s="178">
        <f t="shared" ca="1" si="146"/>
        <v>2835120</v>
      </c>
      <c r="AK393" s="301">
        <f t="shared" ca="1" si="147"/>
        <v>32.30734602842135</v>
      </c>
      <c r="AL393" s="70">
        <f t="shared" ca="1" si="148"/>
        <v>9995412</v>
      </c>
      <c r="AM393" s="179">
        <f t="shared" ca="1" si="149"/>
        <v>113.90178693693217</v>
      </c>
      <c r="AN393" s="179"/>
      <c r="AO393" s="31">
        <f t="shared" si="150"/>
        <v>409118.48548399471</v>
      </c>
      <c r="AP393" s="31">
        <f t="shared" ca="1" si="151"/>
        <v>21120</v>
      </c>
      <c r="AQ393" s="31">
        <f t="shared" ca="1" si="152"/>
        <v>1299413.5400403009</v>
      </c>
      <c r="AR393" s="180">
        <f t="shared" ca="1" si="153"/>
        <v>14.80734602842135</v>
      </c>
      <c r="AS393" s="31">
        <f t="shared" si="156"/>
        <v>12465.15</v>
      </c>
      <c r="AU393" s="31">
        <f t="shared" si="154"/>
        <v>0</v>
      </c>
      <c r="AV393" s="177"/>
      <c r="AW393" s="31">
        <f t="shared" ca="1" si="155"/>
        <v>30</v>
      </c>
    </row>
    <row r="394" spans="1:49">
      <c r="A394" s="102">
        <v>705</v>
      </c>
      <c r="B394" s="7" t="s">
        <v>2085</v>
      </c>
      <c r="C394" s="7">
        <v>1</v>
      </c>
      <c r="D394" s="62">
        <f t="shared" ref="D394:D448" si="159">VLOOKUP(A394, disthist, D$2, FALSE)</f>
        <v>19430987</v>
      </c>
      <c r="E394" s="172">
        <f t="shared" ref="E394:E448" si="160">VLOOKUP(A394, disthist, E$2, FALSE)*(1-$E$6)</f>
        <v>5034459</v>
      </c>
      <c r="F394" s="62">
        <f t="shared" ref="F394:F447" si="161">SUMIF(dist1755,A394,found1755)</f>
        <v>18987857.036568414</v>
      </c>
      <c r="G394" s="70">
        <f t="shared" ref="G394:G448" si="162">SUMIF(dist1755,A394,prelcont1755)</f>
        <v>15814213</v>
      </c>
      <c r="H394" s="62">
        <f t="shared" ref="H394:H447" si="163">ROUND(MAX(found-prelcont436,0),0)</f>
        <v>3173644</v>
      </c>
      <c r="I394" s="173">
        <f t="shared" ref="I394:I447" si="164">IF(foundaid&gt;priorc70,foundaid-priorc70,0)</f>
        <v>0</v>
      </c>
      <c r="J394" s="174">
        <f t="shared" ca="1" si="158"/>
        <v>17.5</v>
      </c>
      <c r="K394" s="70">
        <f t="shared" ref="K394:K447" ca="1" si="165">ROUND(J394/100*F394,0)</f>
        <v>3322875</v>
      </c>
      <c r="L394" s="70">
        <f t="shared" ref="L394:L447" ca="1" si="166">ROUND(IF(K394&gt;priorc70,L$6*(K394-priorc70),0),0)</f>
        <v>0</v>
      </c>
      <c r="M394" s="175">
        <f t="shared" ref="M394:M447" ca="1" si="167">IF(L394&gt;I394,L394-I394,0)</f>
        <v>0</v>
      </c>
      <c r="N394" s="70"/>
      <c r="O394" s="70"/>
      <c r="P394" s="70"/>
      <c r="Q394" s="62">
        <v>1977</v>
      </c>
      <c r="R394" s="62">
        <f t="shared" ref="R394:R447" si="168">SUMIF(dist1755,A394,enro1755)</f>
        <v>1882</v>
      </c>
      <c r="S394" s="176"/>
      <c r="T394" s="176"/>
      <c r="U394" s="70"/>
      <c r="V394" s="70"/>
      <c r="W394" s="260"/>
      <c r="X394" s="62">
        <f t="shared" ref="X394:X447" si="169">IF(AND(C394=1,I394&gt;0),1,0)</f>
        <v>0</v>
      </c>
      <c r="Y394" s="70"/>
      <c r="AA394" s="290"/>
      <c r="AB394" s="291"/>
      <c r="AC394" s="62"/>
      <c r="AD394" s="62"/>
      <c r="AE394" s="177">
        <f t="shared" ref="AE394:AE447" si="170">IF(nonop=1,enro*$AE$6,0)</f>
        <v>56460</v>
      </c>
      <c r="AF394" s="177">
        <f t="shared" ref="AF394:AF447" ca="1" si="171">IF((foundinc+downaid)&lt;AE394,AE394-(foundinc+downaid),0)</f>
        <v>56460</v>
      </c>
      <c r="AG394" s="70">
        <f t="shared" ref="AG394:AG447" ca="1" si="172">priorc70+foundinc+downaid+minaid</f>
        <v>5090919</v>
      </c>
      <c r="AH394" s="70">
        <f t="shared" ref="AH394:AH447" ca="1" si="173">IF(AND(C394=0,AG394&gt;found),AG394-found,0)</f>
        <v>0</v>
      </c>
      <c r="AI394" s="587">
        <v>0</v>
      </c>
      <c r="AJ394" s="178">
        <f t="shared" ref="AJ394:AJ447" ca="1" si="174">AG394+AI394-rednonop</f>
        <v>5090919</v>
      </c>
      <c r="AK394" s="301">
        <f t="shared" ref="AK394:AK448" ca="1" si="175">IF(C394=1, AJ394/F394*100, 0)</f>
        <v>26.811445810843633</v>
      </c>
      <c r="AL394" s="70">
        <f t="shared" ref="AL394:AL447" ca="1" si="176">prelcont436+chapter70</f>
        <v>20905132</v>
      </c>
      <c r="AM394" s="179">
        <f t="shared" ref="AM394:AM448" ca="1" si="177">IF(found&gt;0,AL394*100/found,0)</f>
        <v>110.09737412568009</v>
      </c>
      <c r="AN394" s="179"/>
      <c r="AO394" s="31">
        <f t="shared" ref="AO394:AO447" si="178">F394-D394</f>
        <v>-443129.96343158558</v>
      </c>
      <c r="AP394" s="31">
        <f t="shared" ref="AP394:AP447" ca="1" si="179">AJ394-E394</f>
        <v>56460</v>
      </c>
      <c r="AQ394" s="31">
        <f t="shared" ref="AQ394:AQ447" ca="1" si="180">AJ394-((J394/100)*F394)</f>
        <v>1768044.0186005277</v>
      </c>
      <c r="AR394" s="180">
        <f t="shared" ref="AR394:AR447" ca="1" si="181">IF(C394=1, (AJ394/F394*100)-J394, "")</f>
        <v>9.3114458108436331</v>
      </c>
      <c r="AS394" s="31">
        <f t="shared" si="156"/>
        <v>10089.19</v>
      </c>
      <c r="AU394" s="31">
        <f t="shared" ref="AU394:AU447" si="182">VLOOKUP(A394, disthist, 37, FALSE)*$E$6</f>
        <v>0</v>
      </c>
      <c r="AV394" s="177"/>
      <c r="AW394" s="31">
        <f t="shared" ref="AW394:AW447" ca="1" si="183">IFERROR(AP394/R394, 0)</f>
        <v>30</v>
      </c>
    </row>
    <row r="395" spans="1:49">
      <c r="A395" s="102">
        <v>710</v>
      </c>
      <c r="B395" s="7" t="s">
        <v>2086</v>
      </c>
      <c r="C395" s="7">
        <v>1</v>
      </c>
      <c r="D395" s="62">
        <f t="shared" si="159"/>
        <v>20452434</v>
      </c>
      <c r="E395" s="172">
        <f t="shared" si="160"/>
        <v>12253186</v>
      </c>
      <c r="F395" s="62">
        <f t="shared" si="161"/>
        <v>20207384.356621977</v>
      </c>
      <c r="G395" s="70">
        <f t="shared" si="162"/>
        <v>13867755</v>
      </c>
      <c r="H395" s="62">
        <f t="shared" si="163"/>
        <v>6339629</v>
      </c>
      <c r="I395" s="173">
        <f t="shared" si="164"/>
        <v>0</v>
      </c>
      <c r="J395" s="174">
        <f t="shared" ca="1" si="158"/>
        <v>28.05</v>
      </c>
      <c r="K395" s="70">
        <f t="shared" ca="1" si="165"/>
        <v>5668171</v>
      </c>
      <c r="L395" s="70">
        <f t="shared" ca="1" si="166"/>
        <v>0</v>
      </c>
      <c r="M395" s="175">
        <f t="shared" ca="1" si="167"/>
        <v>0</v>
      </c>
      <c r="N395" s="70"/>
      <c r="O395" s="70"/>
      <c r="P395" s="70"/>
      <c r="Q395" s="62">
        <v>2211</v>
      </c>
      <c r="R395" s="62">
        <f t="shared" si="168"/>
        <v>2143</v>
      </c>
      <c r="S395" s="176"/>
      <c r="T395" s="176"/>
      <c r="U395" s="70"/>
      <c r="V395" s="70"/>
      <c r="W395" s="260"/>
      <c r="X395" s="62">
        <f t="shared" si="169"/>
        <v>0</v>
      </c>
      <c r="Y395" s="70"/>
      <c r="AA395" s="290"/>
      <c r="AB395" s="291"/>
      <c r="AC395" s="62"/>
      <c r="AD395" s="62"/>
      <c r="AE395" s="177">
        <f t="shared" si="170"/>
        <v>64290</v>
      </c>
      <c r="AF395" s="177">
        <f t="shared" ca="1" si="171"/>
        <v>64290</v>
      </c>
      <c r="AG395" s="70">
        <f t="shared" ca="1" si="172"/>
        <v>12317476</v>
      </c>
      <c r="AH395" s="70">
        <f t="shared" ca="1" si="173"/>
        <v>0</v>
      </c>
      <c r="AI395" s="587">
        <v>0</v>
      </c>
      <c r="AJ395" s="178">
        <f t="shared" ca="1" si="174"/>
        <v>12317476</v>
      </c>
      <c r="AK395" s="301">
        <f t="shared" ca="1" si="175"/>
        <v>60.955320998600946</v>
      </c>
      <c r="AL395" s="70">
        <f t="shared" ca="1" si="176"/>
        <v>26185231</v>
      </c>
      <c r="AM395" s="179">
        <f t="shared" ca="1" si="177"/>
        <v>129.58248597582138</v>
      </c>
      <c r="AN395" s="179"/>
      <c r="AO395" s="31">
        <f t="shared" si="178"/>
        <v>-245049.64337802306</v>
      </c>
      <c r="AP395" s="31">
        <f t="shared" ca="1" si="179"/>
        <v>64290</v>
      </c>
      <c r="AQ395" s="31">
        <f t="shared" ca="1" si="180"/>
        <v>6649304.6879675351</v>
      </c>
      <c r="AR395" s="180">
        <f t="shared" ca="1" si="181"/>
        <v>32.905320998600942</v>
      </c>
      <c r="AS395" s="31">
        <f t="shared" ref="AS395:AS447" si="184">IFERROR(ROUND(F395/R395, 2), 0)</f>
        <v>9429.48</v>
      </c>
      <c r="AU395" s="31">
        <f t="shared" si="182"/>
        <v>0</v>
      </c>
      <c r="AV395" s="177"/>
      <c r="AW395" s="31">
        <f t="shared" ca="1" si="183"/>
        <v>30</v>
      </c>
    </row>
    <row r="396" spans="1:49">
      <c r="A396" s="102">
        <v>712</v>
      </c>
      <c r="B396" s="7" t="s">
        <v>1655</v>
      </c>
      <c r="C396" s="7">
        <v>1</v>
      </c>
      <c r="D396" s="62">
        <f t="shared" si="159"/>
        <v>19086298</v>
      </c>
      <c r="E396" s="172">
        <f t="shared" si="160"/>
        <v>3244363</v>
      </c>
      <c r="F396" s="62">
        <f t="shared" si="161"/>
        <v>19283171.949603103</v>
      </c>
      <c r="G396" s="70">
        <f t="shared" si="162"/>
        <v>15996456</v>
      </c>
      <c r="H396" s="62">
        <f t="shared" si="163"/>
        <v>3286716</v>
      </c>
      <c r="I396" s="173">
        <f t="shared" si="164"/>
        <v>42353</v>
      </c>
      <c r="J396" s="174">
        <f t="shared" ca="1" si="158"/>
        <v>17.5</v>
      </c>
      <c r="K396" s="70">
        <f t="shared" ca="1" si="165"/>
        <v>3374555</v>
      </c>
      <c r="L396" s="70">
        <f t="shared" ca="1" si="166"/>
        <v>0</v>
      </c>
      <c r="M396" s="175">
        <f t="shared" ca="1" si="167"/>
        <v>0</v>
      </c>
      <c r="N396" s="70"/>
      <c r="O396" s="70"/>
      <c r="P396" s="70"/>
      <c r="Q396" s="62">
        <v>1881</v>
      </c>
      <c r="R396" s="62">
        <f t="shared" si="168"/>
        <v>1867</v>
      </c>
      <c r="S396" s="176"/>
      <c r="T396" s="176"/>
      <c r="U396" s="70"/>
      <c r="V396" s="70"/>
      <c r="W396" s="260"/>
      <c r="X396" s="62">
        <f t="shared" si="169"/>
        <v>1</v>
      </c>
      <c r="Y396" s="70"/>
      <c r="AA396" s="290"/>
      <c r="AB396" s="291"/>
      <c r="AC396" s="62"/>
      <c r="AD396" s="62"/>
      <c r="AE396" s="177">
        <f t="shared" si="170"/>
        <v>56010</v>
      </c>
      <c r="AF396" s="177">
        <f t="shared" ca="1" si="171"/>
        <v>13657</v>
      </c>
      <c r="AG396" s="70">
        <f t="shared" ca="1" si="172"/>
        <v>3300373</v>
      </c>
      <c r="AH396" s="70">
        <f t="shared" ca="1" si="173"/>
        <v>0</v>
      </c>
      <c r="AI396" s="587">
        <v>0</v>
      </c>
      <c r="AJ396" s="178">
        <f t="shared" ca="1" si="174"/>
        <v>3300373</v>
      </c>
      <c r="AK396" s="301">
        <f t="shared" ca="1" si="175"/>
        <v>17.115301406975888</v>
      </c>
      <c r="AL396" s="70">
        <f t="shared" ca="1" si="176"/>
        <v>19296829</v>
      </c>
      <c r="AM396" s="179">
        <f t="shared" ca="1" si="177"/>
        <v>100.07082367171019</v>
      </c>
      <c r="AN396" s="179"/>
      <c r="AO396" s="31">
        <f t="shared" si="178"/>
        <v>196873.9496031031</v>
      </c>
      <c r="AP396" s="31">
        <f t="shared" ca="1" si="179"/>
        <v>56010</v>
      </c>
      <c r="AQ396" s="31">
        <f t="shared" ca="1" si="180"/>
        <v>-74182.09118054295</v>
      </c>
      <c r="AR396" s="180">
        <f t="shared" ca="1" si="181"/>
        <v>-0.3846985930241118</v>
      </c>
      <c r="AS396" s="31">
        <f t="shared" si="184"/>
        <v>10328.43</v>
      </c>
      <c r="AU396" s="31">
        <f t="shared" si="182"/>
        <v>0</v>
      </c>
      <c r="AV396" s="177"/>
      <c r="AW396" s="31">
        <f t="shared" ca="1" si="183"/>
        <v>30</v>
      </c>
    </row>
    <row r="397" spans="1:49">
      <c r="A397" s="102">
        <v>715</v>
      </c>
      <c r="B397" s="7" t="s">
        <v>2087</v>
      </c>
      <c r="C397" s="7">
        <v>1</v>
      </c>
      <c r="D397" s="62">
        <f t="shared" si="159"/>
        <v>4960436</v>
      </c>
      <c r="E397" s="172">
        <f t="shared" si="160"/>
        <v>1733153</v>
      </c>
      <c r="F397" s="62">
        <f t="shared" si="161"/>
        <v>5175933.9315482499</v>
      </c>
      <c r="G397" s="70">
        <f t="shared" si="162"/>
        <v>3845508</v>
      </c>
      <c r="H397" s="62">
        <f t="shared" si="163"/>
        <v>1330426</v>
      </c>
      <c r="I397" s="173">
        <f t="shared" si="164"/>
        <v>0</v>
      </c>
      <c r="J397" s="174">
        <f t="shared" ca="1" si="158"/>
        <v>26.25</v>
      </c>
      <c r="K397" s="70">
        <f t="shared" ca="1" si="165"/>
        <v>1358683</v>
      </c>
      <c r="L397" s="70">
        <f t="shared" ca="1" si="166"/>
        <v>0</v>
      </c>
      <c r="M397" s="175">
        <f t="shared" ca="1" si="167"/>
        <v>0</v>
      </c>
      <c r="N397" s="70"/>
      <c r="O397" s="70"/>
      <c r="P397" s="70"/>
      <c r="Q397" s="62">
        <v>494</v>
      </c>
      <c r="R397" s="62">
        <f t="shared" si="168"/>
        <v>500</v>
      </c>
      <c r="S397" s="176"/>
      <c r="T397" s="176"/>
      <c r="U397" s="70"/>
      <c r="V397" s="70"/>
      <c r="W397" s="260"/>
      <c r="X397" s="62">
        <f t="shared" si="169"/>
        <v>0</v>
      </c>
      <c r="Y397" s="70"/>
      <c r="AA397" s="290"/>
      <c r="AB397" s="291"/>
      <c r="AC397" s="62"/>
      <c r="AD397" s="62"/>
      <c r="AE397" s="177">
        <f t="shared" si="170"/>
        <v>15000</v>
      </c>
      <c r="AF397" s="177">
        <f t="shared" ca="1" si="171"/>
        <v>15000</v>
      </c>
      <c r="AG397" s="70">
        <f t="shared" ca="1" si="172"/>
        <v>1748153</v>
      </c>
      <c r="AH397" s="70">
        <f t="shared" ca="1" si="173"/>
        <v>0</v>
      </c>
      <c r="AI397" s="587">
        <v>0</v>
      </c>
      <c r="AJ397" s="178">
        <f t="shared" ca="1" si="174"/>
        <v>1748153</v>
      </c>
      <c r="AK397" s="301">
        <f t="shared" ca="1" si="175"/>
        <v>33.774638994997453</v>
      </c>
      <c r="AL397" s="70">
        <f t="shared" ca="1" si="176"/>
        <v>5593661</v>
      </c>
      <c r="AM397" s="179">
        <f t="shared" ca="1" si="177"/>
        <v>108.07056415279237</v>
      </c>
      <c r="AN397" s="179"/>
      <c r="AO397" s="31">
        <f t="shared" si="178"/>
        <v>215497.93154824991</v>
      </c>
      <c r="AP397" s="31">
        <f t="shared" ca="1" si="179"/>
        <v>15000</v>
      </c>
      <c r="AQ397" s="31">
        <f t="shared" ca="1" si="180"/>
        <v>389470.34296858427</v>
      </c>
      <c r="AR397" s="180">
        <f t="shared" ca="1" si="181"/>
        <v>7.5246389949974528</v>
      </c>
      <c r="AS397" s="31">
        <f t="shared" si="184"/>
        <v>10351.870000000001</v>
      </c>
      <c r="AU397" s="31">
        <f t="shared" si="182"/>
        <v>0</v>
      </c>
      <c r="AV397" s="177"/>
      <c r="AW397" s="31">
        <f t="shared" ca="1" si="183"/>
        <v>30</v>
      </c>
    </row>
    <row r="398" spans="1:49">
      <c r="A398" s="102">
        <v>717</v>
      </c>
      <c r="B398" s="7" t="s">
        <v>2088</v>
      </c>
      <c r="C398" s="7">
        <v>1</v>
      </c>
      <c r="D398" s="62">
        <f t="shared" si="159"/>
        <v>9915353</v>
      </c>
      <c r="E398" s="172">
        <f t="shared" si="160"/>
        <v>5973434</v>
      </c>
      <c r="F398" s="62">
        <f t="shared" si="161"/>
        <v>9838051.3509327304</v>
      </c>
      <c r="G398" s="70">
        <f t="shared" si="162"/>
        <v>6364738</v>
      </c>
      <c r="H398" s="62">
        <f t="shared" si="163"/>
        <v>3473313</v>
      </c>
      <c r="I398" s="173">
        <f t="shared" si="164"/>
        <v>0</v>
      </c>
      <c r="J398" s="174">
        <f t="shared" ca="1" si="158"/>
        <v>36.01</v>
      </c>
      <c r="K398" s="70">
        <f t="shared" ca="1" si="165"/>
        <v>3542682</v>
      </c>
      <c r="L398" s="70">
        <f t="shared" ca="1" si="166"/>
        <v>0</v>
      </c>
      <c r="M398" s="175">
        <f t="shared" ca="1" si="167"/>
        <v>0</v>
      </c>
      <c r="N398" s="70"/>
      <c r="O398" s="70"/>
      <c r="P398" s="70"/>
      <c r="Q398" s="62">
        <v>948</v>
      </c>
      <c r="R398" s="62">
        <f t="shared" si="168"/>
        <v>934</v>
      </c>
      <c r="S398" s="176"/>
      <c r="T398" s="176"/>
      <c r="U398" s="70"/>
      <c r="V398" s="70"/>
      <c r="W398" s="260"/>
      <c r="X398" s="62">
        <f t="shared" si="169"/>
        <v>0</v>
      </c>
      <c r="Y398" s="70"/>
      <c r="AA398" s="290"/>
      <c r="AB398" s="291"/>
      <c r="AC398" s="62"/>
      <c r="AD398" s="62"/>
      <c r="AE398" s="177">
        <f t="shared" si="170"/>
        <v>28020</v>
      </c>
      <c r="AF398" s="177">
        <f t="shared" ca="1" si="171"/>
        <v>28020</v>
      </c>
      <c r="AG398" s="70">
        <f t="shared" ca="1" si="172"/>
        <v>6001454</v>
      </c>
      <c r="AH398" s="70">
        <f t="shared" ca="1" si="173"/>
        <v>0</v>
      </c>
      <c r="AI398" s="587">
        <v>0</v>
      </c>
      <c r="AJ398" s="178">
        <f t="shared" ca="1" si="174"/>
        <v>6001454</v>
      </c>
      <c r="AK398" s="301">
        <f t="shared" ca="1" si="175"/>
        <v>61.002466707301863</v>
      </c>
      <c r="AL398" s="70">
        <f t="shared" ca="1" si="176"/>
        <v>12366192</v>
      </c>
      <c r="AM398" s="179">
        <f t="shared" ca="1" si="177"/>
        <v>125.69757525028146</v>
      </c>
      <c r="AN398" s="179"/>
      <c r="AO398" s="31">
        <f t="shared" si="178"/>
        <v>-77301.649067269638</v>
      </c>
      <c r="AP398" s="31">
        <f t="shared" ca="1" si="179"/>
        <v>28020</v>
      </c>
      <c r="AQ398" s="31">
        <f t="shared" ca="1" si="180"/>
        <v>2458771.708529124</v>
      </c>
      <c r="AR398" s="180">
        <f t="shared" ca="1" si="181"/>
        <v>24.992466707301865</v>
      </c>
      <c r="AS398" s="31">
        <f t="shared" si="184"/>
        <v>10533.25</v>
      </c>
      <c r="AU398" s="31">
        <f t="shared" si="182"/>
        <v>0</v>
      </c>
      <c r="AV398" s="177"/>
      <c r="AW398" s="31">
        <f t="shared" ca="1" si="183"/>
        <v>30</v>
      </c>
    </row>
    <row r="399" spans="1:49">
      <c r="A399" s="102">
        <v>720</v>
      </c>
      <c r="B399" s="7" t="s">
        <v>2089</v>
      </c>
      <c r="C399" s="7">
        <v>1</v>
      </c>
      <c r="D399" s="62">
        <f t="shared" si="159"/>
        <v>13256830</v>
      </c>
      <c r="E399" s="172">
        <f t="shared" si="160"/>
        <v>9834774</v>
      </c>
      <c r="F399" s="62">
        <f t="shared" si="161"/>
        <v>13504485.349651586</v>
      </c>
      <c r="G399" s="70">
        <f t="shared" si="162"/>
        <v>5366791</v>
      </c>
      <c r="H399" s="62">
        <f t="shared" si="163"/>
        <v>8137694</v>
      </c>
      <c r="I399" s="173">
        <f t="shared" si="164"/>
        <v>0</v>
      </c>
      <c r="J399" s="174">
        <f t="shared" ca="1" si="158"/>
        <v>60.09</v>
      </c>
      <c r="K399" s="70">
        <f t="shared" ca="1" si="165"/>
        <v>8114845</v>
      </c>
      <c r="L399" s="70">
        <f t="shared" ca="1" si="166"/>
        <v>0</v>
      </c>
      <c r="M399" s="175">
        <f t="shared" ca="1" si="167"/>
        <v>0</v>
      </c>
      <c r="N399" s="70"/>
      <c r="O399" s="70"/>
      <c r="P399" s="70"/>
      <c r="Q399" s="62">
        <v>1286</v>
      </c>
      <c r="R399" s="62">
        <f t="shared" si="168"/>
        <v>1304</v>
      </c>
      <c r="S399" s="176"/>
      <c r="T399" s="176"/>
      <c r="U399" s="70"/>
      <c r="V399" s="70"/>
      <c r="W399" s="260"/>
      <c r="X399" s="62">
        <f t="shared" si="169"/>
        <v>0</v>
      </c>
      <c r="Y399" s="70"/>
      <c r="AA399" s="290"/>
      <c r="AB399" s="291"/>
      <c r="AC399" s="62"/>
      <c r="AD399" s="62"/>
      <c r="AE399" s="177">
        <f t="shared" si="170"/>
        <v>39120</v>
      </c>
      <c r="AF399" s="177">
        <f t="shared" ca="1" si="171"/>
        <v>39120</v>
      </c>
      <c r="AG399" s="70">
        <f t="shared" ca="1" si="172"/>
        <v>9873894</v>
      </c>
      <c r="AH399" s="70">
        <f t="shared" ca="1" si="173"/>
        <v>0</v>
      </c>
      <c r="AI399" s="587">
        <v>0</v>
      </c>
      <c r="AJ399" s="178">
        <f t="shared" ca="1" si="174"/>
        <v>9873894</v>
      </c>
      <c r="AK399" s="301">
        <f t="shared" ca="1" si="175"/>
        <v>73.115663013805602</v>
      </c>
      <c r="AL399" s="70">
        <f t="shared" ca="1" si="176"/>
        <v>15240685</v>
      </c>
      <c r="AM399" s="179">
        <f t="shared" ca="1" si="177"/>
        <v>112.85646661383662</v>
      </c>
      <c r="AN399" s="179"/>
      <c r="AO399" s="31">
        <f t="shared" si="178"/>
        <v>247655.34965158626</v>
      </c>
      <c r="AP399" s="31">
        <f t="shared" ca="1" si="179"/>
        <v>39120</v>
      </c>
      <c r="AQ399" s="31">
        <f t="shared" ca="1" si="180"/>
        <v>1759048.7533943616</v>
      </c>
      <c r="AR399" s="180">
        <f t="shared" ca="1" si="181"/>
        <v>13.025663013805598</v>
      </c>
      <c r="AS399" s="31">
        <f t="shared" si="184"/>
        <v>10356.200000000001</v>
      </c>
      <c r="AU399" s="31">
        <f t="shared" si="182"/>
        <v>0</v>
      </c>
      <c r="AV399" s="177"/>
      <c r="AW399" s="31">
        <f t="shared" ca="1" si="183"/>
        <v>30</v>
      </c>
    </row>
    <row r="400" spans="1:49">
      <c r="A400" s="102">
        <v>725</v>
      </c>
      <c r="B400" s="7" t="s">
        <v>2090</v>
      </c>
      <c r="C400" s="7">
        <v>1</v>
      </c>
      <c r="D400" s="62">
        <f t="shared" si="159"/>
        <v>31260414</v>
      </c>
      <c r="E400" s="172">
        <f t="shared" si="160"/>
        <v>6756060.0653249994</v>
      </c>
      <c r="F400" s="62">
        <f t="shared" si="161"/>
        <v>31083245.77955449</v>
      </c>
      <c r="G400" s="70">
        <f t="shared" si="162"/>
        <v>24524720</v>
      </c>
      <c r="H400" s="62">
        <f t="shared" si="163"/>
        <v>6558526</v>
      </c>
      <c r="I400" s="173">
        <f t="shared" si="164"/>
        <v>0</v>
      </c>
      <c r="J400" s="174">
        <f t="shared" ca="1" si="158"/>
        <v>21.64</v>
      </c>
      <c r="K400" s="70">
        <f t="shared" ca="1" si="165"/>
        <v>6726414</v>
      </c>
      <c r="L400" s="70">
        <f t="shared" ca="1" si="166"/>
        <v>0</v>
      </c>
      <c r="M400" s="175">
        <f t="shared" ca="1" si="167"/>
        <v>0</v>
      </c>
      <c r="N400" s="70"/>
      <c r="O400" s="70"/>
      <c r="P400" s="70"/>
      <c r="Q400" s="62">
        <v>3306</v>
      </c>
      <c r="R400" s="62">
        <f t="shared" si="168"/>
        <v>3203</v>
      </c>
      <c r="S400" s="176"/>
      <c r="T400" s="176"/>
      <c r="U400" s="70"/>
      <c r="V400" s="70"/>
      <c r="W400" s="260"/>
      <c r="X400" s="62">
        <f t="shared" si="169"/>
        <v>0</v>
      </c>
      <c r="Y400" s="70"/>
      <c r="AA400" s="290"/>
      <c r="AB400" s="291"/>
      <c r="AC400" s="62"/>
      <c r="AD400" s="62"/>
      <c r="AE400" s="177">
        <f t="shared" si="170"/>
        <v>96090</v>
      </c>
      <c r="AF400" s="177">
        <f t="shared" ca="1" si="171"/>
        <v>96090</v>
      </c>
      <c r="AG400" s="70">
        <f t="shared" ca="1" si="172"/>
        <v>6852150.0653249994</v>
      </c>
      <c r="AH400" s="70">
        <f t="shared" ca="1" si="173"/>
        <v>0</v>
      </c>
      <c r="AI400" s="587">
        <v>0</v>
      </c>
      <c r="AJ400" s="178">
        <f t="shared" ca="1" si="174"/>
        <v>6852150.0653249994</v>
      </c>
      <c r="AK400" s="301">
        <f t="shared" ca="1" si="175"/>
        <v>22.044512706044721</v>
      </c>
      <c r="AL400" s="70">
        <f t="shared" ca="1" si="176"/>
        <v>31376870.065324999</v>
      </c>
      <c r="AM400" s="179">
        <f t="shared" ca="1" si="177"/>
        <v>100.94463843272005</v>
      </c>
      <c r="AN400" s="179"/>
      <c r="AO400" s="31">
        <f t="shared" si="178"/>
        <v>-177168.22044551</v>
      </c>
      <c r="AP400" s="31">
        <f t="shared" ca="1" si="179"/>
        <v>96090</v>
      </c>
      <c r="AQ400" s="31">
        <f t="shared" ca="1" si="180"/>
        <v>125735.67862940766</v>
      </c>
      <c r="AR400" s="180">
        <f t="shared" ca="1" si="181"/>
        <v>0.40451270604472001</v>
      </c>
      <c r="AS400" s="31">
        <f t="shared" si="184"/>
        <v>9704.42</v>
      </c>
      <c r="AU400" s="31">
        <f t="shared" si="182"/>
        <v>0</v>
      </c>
      <c r="AV400" s="177"/>
      <c r="AW400" s="31">
        <f t="shared" ca="1" si="183"/>
        <v>30</v>
      </c>
    </row>
    <row r="401" spans="1:49">
      <c r="A401" s="102">
        <v>728</v>
      </c>
      <c r="B401" s="7" t="s">
        <v>2091</v>
      </c>
      <c r="C401" s="7">
        <v>1</v>
      </c>
      <c r="D401" s="62">
        <f t="shared" si="159"/>
        <v>1416772</v>
      </c>
      <c r="E401" s="172">
        <f t="shared" si="160"/>
        <v>677181</v>
      </c>
      <c r="F401" s="62">
        <f t="shared" si="161"/>
        <v>1424931.186973576</v>
      </c>
      <c r="G401" s="70">
        <f t="shared" si="162"/>
        <v>745274</v>
      </c>
      <c r="H401" s="62">
        <f t="shared" si="163"/>
        <v>679657</v>
      </c>
      <c r="I401" s="173">
        <f t="shared" si="164"/>
        <v>2476</v>
      </c>
      <c r="J401" s="174">
        <f t="shared" ca="1" si="158"/>
        <v>48.2</v>
      </c>
      <c r="K401" s="70">
        <f t="shared" ca="1" si="165"/>
        <v>686817</v>
      </c>
      <c r="L401" s="70">
        <f t="shared" ca="1" si="166"/>
        <v>0</v>
      </c>
      <c r="M401" s="175">
        <f t="shared" ca="1" si="167"/>
        <v>0</v>
      </c>
      <c r="N401" s="70"/>
      <c r="O401" s="70"/>
      <c r="P401" s="70"/>
      <c r="Q401" s="62">
        <v>135</v>
      </c>
      <c r="R401" s="62">
        <f t="shared" si="168"/>
        <v>137</v>
      </c>
      <c r="S401" s="176"/>
      <c r="T401" s="176"/>
      <c r="U401" s="70"/>
      <c r="V401" s="70"/>
      <c r="W401" s="260"/>
      <c r="X401" s="62">
        <f t="shared" si="169"/>
        <v>1</v>
      </c>
      <c r="Y401" s="70"/>
      <c r="AA401" s="290"/>
      <c r="AB401" s="291"/>
      <c r="AC401" s="62"/>
      <c r="AD401" s="62"/>
      <c r="AE401" s="177">
        <f t="shared" si="170"/>
        <v>4110</v>
      </c>
      <c r="AF401" s="177">
        <f t="shared" ca="1" si="171"/>
        <v>1634</v>
      </c>
      <c r="AG401" s="70">
        <f t="shared" ca="1" si="172"/>
        <v>681291</v>
      </c>
      <c r="AH401" s="70">
        <f t="shared" ca="1" si="173"/>
        <v>0</v>
      </c>
      <c r="AI401" s="587">
        <v>13670</v>
      </c>
      <c r="AJ401" s="178">
        <f t="shared" ca="1" si="174"/>
        <v>694961</v>
      </c>
      <c r="AK401" s="301">
        <f t="shared" ca="1" si="175"/>
        <v>48.771548152864405</v>
      </c>
      <c r="AL401" s="70">
        <f t="shared" ca="1" si="176"/>
        <v>1440235</v>
      </c>
      <c r="AM401" s="179">
        <f t="shared" ca="1" si="177"/>
        <v>101.07400365479599</v>
      </c>
      <c r="AN401" s="179"/>
      <c r="AO401" s="31">
        <f t="shared" si="178"/>
        <v>8159.1869735759683</v>
      </c>
      <c r="AP401" s="31">
        <f t="shared" ca="1" si="179"/>
        <v>17780</v>
      </c>
      <c r="AQ401" s="31">
        <f t="shared" ca="1" si="180"/>
        <v>8144.1678787362762</v>
      </c>
      <c r="AR401" s="180">
        <f t="shared" ca="1" si="181"/>
        <v>0.57154815286440197</v>
      </c>
      <c r="AS401" s="31">
        <f t="shared" si="184"/>
        <v>10400.959999999999</v>
      </c>
      <c r="AU401" s="31">
        <f t="shared" si="182"/>
        <v>0</v>
      </c>
      <c r="AV401" s="177"/>
      <c r="AW401" s="31">
        <f t="shared" ca="1" si="183"/>
        <v>129.78102189781021</v>
      </c>
    </row>
    <row r="402" spans="1:49">
      <c r="A402" s="102">
        <v>730</v>
      </c>
      <c r="B402" s="7" t="s">
        <v>2092</v>
      </c>
      <c r="C402" s="7">
        <v>1</v>
      </c>
      <c r="D402" s="62">
        <f t="shared" si="159"/>
        <v>15182003</v>
      </c>
      <c r="E402" s="172">
        <f t="shared" si="160"/>
        <v>3034083.6458749999</v>
      </c>
      <c r="F402" s="62">
        <f t="shared" si="161"/>
        <v>15250791.830538824</v>
      </c>
      <c r="G402" s="70">
        <f t="shared" si="162"/>
        <v>12690623</v>
      </c>
      <c r="H402" s="62">
        <f t="shared" si="163"/>
        <v>2560169</v>
      </c>
      <c r="I402" s="173">
        <f t="shared" si="164"/>
        <v>0</v>
      </c>
      <c r="J402" s="174">
        <f t="shared" ca="1" si="158"/>
        <v>17.5</v>
      </c>
      <c r="K402" s="70">
        <f t="shared" ca="1" si="165"/>
        <v>2668889</v>
      </c>
      <c r="L402" s="70">
        <f t="shared" ca="1" si="166"/>
        <v>0</v>
      </c>
      <c r="M402" s="175">
        <f t="shared" ca="1" si="167"/>
        <v>0</v>
      </c>
      <c r="N402" s="70"/>
      <c r="O402" s="70"/>
      <c r="P402" s="70"/>
      <c r="Q402" s="62">
        <v>1494</v>
      </c>
      <c r="R402" s="62">
        <f t="shared" si="168"/>
        <v>1473</v>
      </c>
      <c r="S402" s="176"/>
      <c r="T402" s="176"/>
      <c r="U402" s="70"/>
      <c r="V402" s="70"/>
      <c r="W402" s="260"/>
      <c r="X402" s="62">
        <f t="shared" si="169"/>
        <v>0</v>
      </c>
      <c r="Y402" s="70"/>
      <c r="AA402" s="290"/>
      <c r="AB402" s="291"/>
      <c r="AC402" s="62"/>
      <c r="AD402" s="62"/>
      <c r="AE402" s="177">
        <f t="shared" si="170"/>
        <v>44190</v>
      </c>
      <c r="AF402" s="177">
        <f t="shared" ca="1" si="171"/>
        <v>44190</v>
      </c>
      <c r="AG402" s="70">
        <f t="shared" ca="1" si="172"/>
        <v>3078273.6458749999</v>
      </c>
      <c r="AH402" s="70">
        <f t="shared" ca="1" si="173"/>
        <v>0</v>
      </c>
      <c r="AI402" s="587">
        <v>0</v>
      </c>
      <c r="AJ402" s="178">
        <f t="shared" ca="1" si="174"/>
        <v>3078273.6458749999</v>
      </c>
      <c r="AK402" s="301">
        <f t="shared" ca="1" si="175"/>
        <v>20.184352918062494</v>
      </c>
      <c r="AL402" s="70">
        <f t="shared" ca="1" si="176"/>
        <v>15768896.645874999</v>
      </c>
      <c r="AM402" s="179">
        <f t="shared" ca="1" si="177"/>
        <v>103.39723222959938</v>
      </c>
      <c r="AN402" s="179"/>
      <c r="AO402" s="31">
        <f t="shared" si="178"/>
        <v>68788.830538824201</v>
      </c>
      <c r="AP402" s="31">
        <f t="shared" ca="1" si="179"/>
        <v>44190</v>
      </c>
      <c r="AQ402" s="31">
        <f t="shared" ca="1" si="180"/>
        <v>409385.07553070597</v>
      </c>
      <c r="AR402" s="180">
        <f t="shared" ca="1" si="181"/>
        <v>2.6843529180624941</v>
      </c>
      <c r="AS402" s="31">
        <f t="shared" si="184"/>
        <v>10353.56</v>
      </c>
      <c r="AU402" s="31">
        <f t="shared" si="182"/>
        <v>0</v>
      </c>
      <c r="AV402" s="177"/>
      <c r="AW402" s="31">
        <f t="shared" ca="1" si="183"/>
        <v>30</v>
      </c>
    </row>
    <row r="403" spans="1:49">
      <c r="A403" s="102">
        <v>735</v>
      </c>
      <c r="B403" s="7" t="s">
        <v>2093</v>
      </c>
      <c r="C403" s="7">
        <v>1</v>
      </c>
      <c r="D403" s="62">
        <f t="shared" si="159"/>
        <v>31685058</v>
      </c>
      <c r="E403" s="172">
        <f t="shared" si="160"/>
        <v>20107493</v>
      </c>
      <c r="F403" s="62">
        <f t="shared" si="161"/>
        <v>31435627.826777488</v>
      </c>
      <c r="G403" s="70">
        <f t="shared" si="162"/>
        <v>17200693</v>
      </c>
      <c r="H403" s="62">
        <f t="shared" si="163"/>
        <v>14234935</v>
      </c>
      <c r="I403" s="173">
        <f t="shared" si="164"/>
        <v>0</v>
      </c>
      <c r="J403" s="174">
        <f t="shared" ca="1" si="158"/>
        <v>45.38</v>
      </c>
      <c r="K403" s="70">
        <f t="shared" ca="1" si="165"/>
        <v>14265488</v>
      </c>
      <c r="L403" s="70">
        <f t="shared" ca="1" si="166"/>
        <v>0</v>
      </c>
      <c r="M403" s="175">
        <f t="shared" ca="1" si="167"/>
        <v>0</v>
      </c>
      <c r="N403" s="70"/>
      <c r="O403" s="70"/>
      <c r="P403" s="70"/>
      <c r="Q403" s="62">
        <v>3300</v>
      </c>
      <c r="R403" s="62">
        <f t="shared" si="168"/>
        <v>3208.0000000320797</v>
      </c>
      <c r="S403" s="176"/>
      <c r="T403" s="176"/>
      <c r="U403" s="70"/>
      <c r="V403" s="70"/>
      <c r="W403" s="260"/>
      <c r="X403" s="62">
        <f t="shared" si="169"/>
        <v>0</v>
      </c>
      <c r="Y403" s="70"/>
      <c r="AA403" s="290"/>
      <c r="AB403" s="291"/>
      <c r="AC403" s="62"/>
      <c r="AD403" s="62"/>
      <c r="AE403" s="177">
        <f t="shared" si="170"/>
        <v>96240.000000962391</v>
      </c>
      <c r="AF403" s="177">
        <f t="shared" ca="1" si="171"/>
        <v>96240.000000962391</v>
      </c>
      <c r="AG403" s="70">
        <f t="shared" ca="1" si="172"/>
        <v>20203733.000000961</v>
      </c>
      <c r="AH403" s="70">
        <f t="shared" ca="1" si="173"/>
        <v>0</v>
      </c>
      <c r="AI403" s="587">
        <v>0</v>
      </c>
      <c r="AJ403" s="178">
        <f t="shared" ca="1" si="174"/>
        <v>20203733.000000961</v>
      </c>
      <c r="AK403" s="301">
        <f t="shared" ca="1" si="175"/>
        <v>64.270174947137605</v>
      </c>
      <c r="AL403" s="70">
        <f t="shared" ca="1" si="176"/>
        <v>37404426.000000961</v>
      </c>
      <c r="AM403" s="179">
        <f t="shared" ca="1" si="177"/>
        <v>118.98736747398165</v>
      </c>
      <c r="AN403" s="179"/>
      <c r="AO403" s="31">
        <f t="shared" si="178"/>
        <v>-249430.17322251201</v>
      </c>
      <c r="AP403" s="31">
        <f t="shared" ca="1" si="179"/>
        <v>96240.000000961125</v>
      </c>
      <c r="AQ403" s="31">
        <f t="shared" ca="1" si="180"/>
        <v>5938245.0922093354</v>
      </c>
      <c r="AR403" s="180">
        <f t="shared" ca="1" si="181"/>
        <v>18.890174947137602</v>
      </c>
      <c r="AS403" s="31">
        <f t="shared" si="184"/>
        <v>9799.14</v>
      </c>
      <c r="AU403" s="31">
        <f t="shared" si="182"/>
        <v>0</v>
      </c>
      <c r="AV403" s="177"/>
      <c r="AW403" s="31">
        <f t="shared" ca="1" si="183"/>
        <v>29.999999999999606</v>
      </c>
    </row>
    <row r="404" spans="1:49">
      <c r="A404" s="102">
        <v>740</v>
      </c>
      <c r="B404" s="7" t="s">
        <v>2094</v>
      </c>
      <c r="C404" s="7">
        <v>1</v>
      </c>
      <c r="D404" s="62">
        <f t="shared" si="159"/>
        <v>11377043</v>
      </c>
      <c r="E404" s="172">
        <f t="shared" si="160"/>
        <v>2819494</v>
      </c>
      <c r="F404" s="62">
        <f t="shared" si="161"/>
        <v>11640017.384192124</v>
      </c>
      <c r="G404" s="70">
        <f t="shared" si="162"/>
        <v>8739091</v>
      </c>
      <c r="H404" s="62">
        <f t="shared" si="163"/>
        <v>2900926</v>
      </c>
      <c r="I404" s="173">
        <f t="shared" si="164"/>
        <v>81432</v>
      </c>
      <c r="J404" s="174">
        <f t="shared" ca="1" si="158"/>
        <v>24.87</v>
      </c>
      <c r="K404" s="70">
        <f t="shared" ca="1" si="165"/>
        <v>2894872</v>
      </c>
      <c r="L404" s="70">
        <f t="shared" ca="1" si="166"/>
        <v>0</v>
      </c>
      <c r="M404" s="175">
        <f t="shared" ca="1" si="167"/>
        <v>0</v>
      </c>
      <c r="N404" s="70"/>
      <c r="O404" s="70"/>
      <c r="P404" s="70"/>
      <c r="Q404" s="62">
        <v>1171</v>
      </c>
      <c r="R404" s="62">
        <f t="shared" si="168"/>
        <v>1179.9999999882</v>
      </c>
      <c r="S404" s="176"/>
      <c r="T404" s="176"/>
      <c r="U404" s="70"/>
      <c r="V404" s="70"/>
      <c r="W404" s="260"/>
      <c r="X404" s="62">
        <f t="shared" si="169"/>
        <v>1</v>
      </c>
      <c r="Y404" s="70"/>
      <c r="AA404" s="290"/>
      <c r="AB404" s="291"/>
      <c r="AC404" s="62"/>
      <c r="AD404" s="62"/>
      <c r="AE404" s="177">
        <f t="shared" si="170"/>
        <v>35399.999999646003</v>
      </c>
      <c r="AF404" s="177">
        <f t="shared" ca="1" si="171"/>
        <v>0</v>
      </c>
      <c r="AG404" s="70">
        <f t="shared" ca="1" si="172"/>
        <v>2900926</v>
      </c>
      <c r="AH404" s="70">
        <f t="shared" ca="1" si="173"/>
        <v>0</v>
      </c>
      <c r="AI404" s="587">
        <v>0</v>
      </c>
      <c r="AJ404" s="178">
        <f t="shared" ca="1" si="174"/>
        <v>2900926</v>
      </c>
      <c r="AK404" s="301">
        <f t="shared" ca="1" si="175"/>
        <v>24.922007452837999</v>
      </c>
      <c r="AL404" s="70">
        <f t="shared" ca="1" si="176"/>
        <v>11640017</v>
      </c>
      <c r="AM404" s="179">
        <f t="shared" ca="1" si="177"/>
        <v>99.999996699385306</v>
      </c>
      <c r="AN404" s="179"/>
      <c r="AO404" s="31">
        <f t="shared" si="178"/>
        <v>262974.38419212401</v>
      </c>
      <c r="AP404" s="31">
        <f t="shared" ca="1" si="179"/>
        <v>81432</v>
      </c>
      <c r="AQ404" s="31">
        <f t="shared" ca="1" si="180"/>
        <v>6053.6765514188446</v>
      </c>
      <c r="AR404" s="180">
        <f t="shared" ca="1" si="181"/>
        <v>5.2007452837997903E-2</v>
      </c>
      <c r="AS404" s="31">
        <f t="shared" si="184"/>
        <v>9864.42</v>
      </c>
      <c r="AU404" s="31">
        <f t="shared" si="182"/>
        <v>0</v>
      </c>
      <c r="AV404" s="177"/>
      <c r="AW404" s="31">
        <f t="shared" ca="1" si="183"/>
        <v>69.010169492215525</v>
      </c>
    </row>
    <row r="405" spans="1:49">
      <c r="A405" s="102">
        <v>745</v>
      </c>
      <c r="B405" s="7" t="s">
        <v>2095</v>
      </c>
      <c r="C405" s="7">
        <v>1</v>
      </c>
      <c r="D405" s="62">
        <f t="shared" si="159"/>
        <v>22548383</v>
      </c>
      <c r="E405" s="172">
        <f t="shared" si="160"/>
        <v>12968282</v>
      </c>
      <c r="F405" s="62">
        <f t="shared" si="161"/>
        <v>22740652.535892259</v>
      </c>
      <c r="G405" s="70">
        <f t="shared" si="162"/>
        <v>15945385</v>
      </c>
      <c r="H405" s="62">
        <f t="shared" si="163"/>
        <v>6795268</v>
      </c>
      <c r="I405" s="173">
        <f t="shared" si="164"/>
        <v>0</v>
      </c>
      <c r="J405" s="174">
        <f t="shared" ca="1" si="158"/>
        <v>30.19</v>
      </c>
      <c r="K405" s="70">
        <f t="shared" ca="1" si="165"/>
        <v>6865403</v>
      </c>
      <c r="L405" s="70">
        <f t="shared" ca="1" si="166"/>
        <v>0</v>
      </c>
      <c r="M405" s="175">
        <f t="shared" ca="1" si="167"/>
        <v>0</v>
      </c>
      <c r="N405" s="70"/>
      <c r="O405" s="70"/>
      <c r="P405" s="70"/>
      <c r="Q405" s="62">
        <v>2426</v>
      </c>
      <c r="R405" s="62">
        <f t="shared" si="168"/>
        <v>2394.0000000239402</v>
      </c>
      <c r="S405" s="176"/>
      <c r="T405" s="176"/>
      <c r="U405" s="70"/>
      <c r="V405" s="70"/>
      <c r="W405" s="260"/>
      <c r="X405" s="62">
        <f t="shared" si="169"/>
        <v>0</v>
      </c>
      <c r="Y405" s="70"/>
      <c r="AA405" s="290"/>
      <c r="AB405" s="291"/>
      <c r="AC405" s="62"/>
      <c r="AD405" s="62"/>
      <c r="AE405" s="177">
        <f t="shared" si="170"/>
        <v>71820.00000071821</v>
      </c>
      <c r="AF405" s="177">
        <f t="shared" ca="1" si="171"/>
        <v>71820.00000071821</v>
      </c>
      <c r="AG405" s="70">
        <f t="shared" ca="1" si="172"/>
        <v>13040102.000000719</v>
      </c>
      <c r="AH405" s="70">
        <f t="shared" ca="1" si="173"/>
        <v>0</v>
      </c>
      <c r="AI405" s="587">
        <v>0</v>
      </c>
      <c r="AJ405" s="178">
        <f t="shared" ca="1" si="174"/>
        <v>13040102.000000719</v>
      </c>
      <c r="AK405" s="301">
        <f t="shared" ca="1" si="175"/>
        <v>57.342690494123381</v>
      </c>
      <c r="AL405" s="70">
        <f t="shared" ca="1" si="176"/>
        <v>28985487.000000719</v>
      </c>
      <c r="AM405" s="179">
        <f t="shared" ca="1" si="177"/>
        <v>127.46110497160119</v>
      </c>
      <c r="AN405" s="179"/>
      <c r="AO405" s="31">
        <f t="shared" si="178"/>
        <v>192269.53589225933</v>
      </c>
      <c r="AP405" s="31">
        <f t="shared" ca="1" si="179"/>
        <v>71820.000000718981</v>
      </c>
      <c r="AQ405" s="31">
        <f t="shared" ca="1" si="180"/>
        <v>6174698.9994148463</v>
      </c>
      <c r="AR405" s="180">
        <f t="shared" ca="1" si="181"/>
        <v>27.15269049412338</v>
      </c>
      <c r="AS405" s="31">
        <f t="shared" si="184"/>
        <v>9499.02</v>
      </c>
      <c r="AU405" s="31">
        <f t="shared" si="182"/>
        <v>0</v>
      </c>
      <c r="AV405" s="177"/>
      <c r="AW405" s="31">
        <f t="shared" ca="1" si="183"/>
        <v>30.000000000000323</v>
      </c>
    </row>
    <row r="406" spans="1:49">
      <c r="A406" s="102">
        <v>750</v>
      </c>
      <c r="B406" s="7" t="s">
        <v>2096</v>
      </c>
      <c r="C406" s="7">
        <v>1</v>
      </c>
      <c r="D406" s="62">
        <f t="shared" si="159"/>
        <v>7219392</v>
      </c>
      <c r="E406" s="172">
        <f t="shared" si="160"/>
        <v>4107161</v>
      </c>
      <c r="F406" s="62">
        <f t="shared" si="161"/>
        <v>7406666.4166055983</v>
      </c>
      <c r="G406" s="70">
        <f t="shared" si="162"/>
        <v>4744769</v>
      </c>
      <c r="H406" s="62">
        <f t="shared" si="163"/>
        <v>2661897</v>
      </c>
      <c r="I406" s="173">
        <f t="shared" si="164"/>
        <v>0</v>
      </c>
      <c r="J406" s="174">
        <f t="shared" ca="1" si="158"/>
        <v>36.590000000000003</v>
      </c>
      <c r="K406" s="70">
        <f t="shared" ca="1" si="165"/>
        <v>2710099</v>
      </c>
      <c r="L406" s="70">
        <f t="shared" ca="1" si="166"/>
        <v>0</v>
      </c>
      <c r="M406" s="175">
        <f t="shared" ca="1" si="167"/>
        <v>0</v>
      </c>
      <c r="N406" s="70"/>
      <c r="O406" s="70"/>
      <c r="P406" s="70"/>
      <c r="Q406" s="62">
        <v>720</v>
      </c>
      <c r="R406" s="62">
        <f t="shared" si="168"/>
        <v>723.99999999275997</v>
      </c>
      <c r="S406" s="176"/>
      <c r="T406" s="176"/>
      <c r="U406" s="70"/>
      <c r="V406" s="70"/>
      <c r="W406" s="260"/>
      <c r="X406" s="62">
        <f t="shared" si="169"/>
        <v>0</v>
      </c>
      <c r="Y406" s="70"/>
      <c r="AA406" s="290"/>
      <c r="AB406" s="291"/>
      <c r="AC406" s="62"/>
      <c r="AD406" s="62"/>
      <c r="AE406" s="177">
        <f t="shared" si="170"/>
        <v>21719.999999782798</v>
      </c>
      <c r="AF406" s="177">
        <f t="shared" ca="1" si="171"/>
        <v>21719.999999782798</v>
      </c>
      <c r="AG406" s="70">
        <f t="shared" ca="1" si="172"/>
        <v>4128880.999999783</v>
      </c>
      <c r="AH406" s="70">
        <f t="shared" ca="1" si="173"/>
        <v>0</v>
      </c>
      <c r="AI406" s="587">
        <v>0</v>
      </c>
      <c r="AJ406" s="178">
        <f t="shared" ca="1" si="174"/>
        <v>4128880.999999783</v>
      </c>
      <c r="AK406" s="301">
        <f t="shared" ca="1" si="175"/>
        <v>55.745469928859151</v>
      </c>
      <c r="AL406" s="70">
        <f t="shared" ca="1" si="176"/>
        <v>8873649.9999997839</v>
      </c>
      <c r="AM406" s="179">
        <f t="shared" ca="1" si="177"/>
        <v>119.8062596704131</v>
      </c>
      <c r="AN406" s="179"/>
      <c r="AO406" s="31">
        <f t="shared" si="178"/>
        <v>187274.41660559829</v>
      </c>
      <c r="AP406" s="31">
        <f t="shared" ca="1" si="179"/>
        <v>21719.999999783002</v>
      </c>
      <c r="AQ406" s="31">
        <f t="shared" ca="1" si="180"/>
        <v>1418781.7581637939</v>
      </c>
      <c r="AR406" s="180">
        <f t="shared" ca="1" si="181"/>
        <v>19.155469928859148</v>
      </c>
      <c r="AS406" s="31">
        <f t="shared" si="184"/>
        <v>10230.200000000001</v>
      </c>
      <c r="AU406" s="31">
        <f t="shared" si="182"/>
        <v>0</v>
      </c>
      <c r="AV406" s="177"/>
      <c r="AW406" s="31">
        <f t="shared" ca="1" si="183"/>
        <v>30.000000000000281</v>
      </c>
    </row>
    <row r="407" spans="1:49">
      <c r="A407" s="102">
        <v>753</v>
      </c>
      <c r="B407" s="7" t="s">
        <v>2097</v>
      </c>
      <c r="C407" s="7">
        <v>1</v>
      </c>
      <c r="D407" s="62">
        <f t="shared" si="159"/>
        <v>22002910</v>
      </c>
      <c r="E407" s="172">
        <f t="shared" si="160"/>
        <v>16463038</v>
      </c>
      <c r="F407" s="62">
        <f t="shared" si="161"/>
        <v>21204474.702048939</v>
      </c>
      <c r="G407" s="70">
        <f t="shared" si="162"/>
        <v>9931036</v>
      </c>
      <c r="H407" s="62">
        <f t="shared" si="163"/>
        <v>11273439</v>
      </c>
      <c r="I407" s="173">
        <f t="shared" si="164"/>
        <v>0</v>
      </c>
      <c r="J407" s="174">
        <f t="shared" ca="1" si="158"/>
        <v>53.42</v>
      </c>
      <c r="K407" s="70">
        <f t="shared" ca="1" si="165"/>
        <v>11327430</v>
      </c>
      <c r="L407" s="70">
        <f t="shared" ca="1" si="166"/>
        <v>0</v>
      </c>
      <c r="M407" s="175">
        <f t="shared" ca="1" si="167"/>
        <v>0</v>
      </c>
      <c r="N407" s="70"/>
      <c r="O407" s="70"/>
      <c r="P407" s="70"/>
      <c r="Q407" s="62">
        <v>2200</v>
      </c>
      <c r="R407" s="62">
        <f t="shared" si="168"/>
        <v>2073.9999999792603</v>
      </c>
      <c r="S407" s="176"/>
      <c r="T407" s="176"/>
      <c r="U407" s="70"/>
      <c r="V407" s="70"/>
      <c r="W407" s="260"/>
      <c r="X407" s="62">
        <f t="shared" si="169"/>
        <v>0</v>
      </c>
      <c r="Y407" s="70"/>
      <c r="AA407" s="290"/>
      <c r="AB407" s="291"/>
      <c r="AC407" s="62"/>
      <c r="AD407" s="62"/>
      <c r="AE407" s="177">
        <f t="shared" si="170"/>
        <v>62219.999999377811</v>
      </c>
      <c r="AF407" s="177">
        <f t="shared" ca="1" si="171"/>
        <v>62219.999999377811</v>
      </c>
      <c r="AG407" s="70">
        <f t="shared" ca="1" si="172"/>
        <v>16525257.999999378</v>
      </c>
      <c r="AH407" s="70">
        <f t="shared" ca="1" si="173"/>
        <v>0</v>
      </c>
      <c r="AI407" s="587">
        <v>0</v>
      </c>
      <c r="AJ407" s="178">
        <f t="shared" ca="1" si="174"/>
        <v>16525257.999999378</v>
      </c>
      <c r="AK407" s="301">
        <f t="shared" ca="1" si="175"/>
        <v>77.932880829170372</v>
      </c>
      <c r="AL407" s="70">
        <f t="shared" ca="1" si="176"/>
        <v>26456293.999999378</v>
      </c>
      <c r="AM407" s="179">
        <f t="shared" ca="1" si="177"/>
        <v>124.76750483916949</v>
      </c>
      <c r="AN407" s="179"/>
      <c r="AO407" s="31">
        <f t="shared" si="178"/>
        <v>-798435.29795106128</v>
      </c>
      <c r="AP407" s="31">
        <f t="shared" ca="1" si="179"/>
        <v>62219.999999377877</v>
      </c>
      <c r="AQ407" s="31">
        <f t="shared" ca="1" si="180"/>
        <v>5197827.6141648348</v>
      </c>
      <c r="AR407" s="180">
        <f t="shared" ca="1" si="181"/>
        <v>24.512880829170371</v>
      </c>
      <c r="AS407" s="31">
        <f t="shared" si="184"/>
        <v>10223.950000000001</v>
      </c>
      <c r="AU407" s="31">
        <f t="shared" si="182"/>
        <v>0</v>
      </c>
      <c r="AV407" s="177"/>
      <c r="AW407" s="31">
        <f t="shared" ca="1" si="183"/>
        <v>30.000000000000032</v>
      </c>
    </row>
    <row r="408" spans="1:49">
      <c r="A408" s="102">
        <v>755</v>
      </c>
      <c r="B408" s="7" t="s">
        <v>2098</v>
      </c>
      <c r="C408" s="7">
        <v>1</v>
      </c>
      <c r="D408" s="62">
        <f t="shared" si="159"/>
        <v>7427448</v>
      </c>
      <c r="E408" s="172">
        <f t="shared" si="160"/>
        <v>5375880</v>
      </c>
      <c r="F408" s="62">
        <f t="shared" si="161"/>
        <v>7313027.7024783818</v>
      </c>
      <c r="G408" s="70">
        <f t="shared" si="162"/>
        <v>2601573</v>
      </c>
      <c r="H408" s="62">
        <f t="shared" si="163"/>
        <v>4711455</v>
      </c>
      <c r="I408" s="173">
        <f t="shared" si="164"/>
        <v>0</v>
      </c>
      <c r="J408" s="174">
        <f t="shared" ca="1" si="158"/>
        <v>64.790000000000006</v>
      </c>
      <c r="K408" s="70">
        <f t="shared" ca="1" si="165"/>
        <v>4738111</v>
      </c>
      <c r="L408" s="70">
        <f t="shared" ca="1" si="166"/>
        <v>0</v>
      </c>
      <c r="M408" s="175">
        <f t="shared" ca="1" si="167"/>
        <v>0</v>
      </c>
      <c r="N408" s="70"/>
      <c r="O408" s="70"/>
      <c r="P408" s="70"/>
      <c r="Q408" s="62">
        <v>658</v>
      </c>
      <c r="R408" s="62">
        <f t="shared" si="168"/>
        <v>637</v>
      </c>
      <c r="S408" s="176"/>
      <c r="T408" s="176"/>
      <c r="U408" s="70"/>
      <c r="V408" s="70"/>
      <c r="W408" s="260"/>
      <c r="X408" s="62">
        <f t="shared" si="169"/>
        <v>0</v>
      </c>
      <c r="Y408" s="70"/>
      <c r="AA408" s="290"/>
      <c r="AB408" s="291"/>
      <c r="AC408" s="62"/>
      <c r="AD408" s="62"/>
      <c r="AE408" s="177">
        <f t="shared" si="170"/>
        <v>19110</v>
      </c>
      <c r="AF408" s="177">
        <f t="shared" ca="1" si="171"/>
        <v>19110</v>
      </c>
      <c r="AG408" s="70">
        <f t="shared" ca="1" si="172"/>
        <v>5394990</v>
      </c>
      <c r="AH408" s="70">
        <f t="shared" ca="1" si="173"/>
        <v>0</v>
      </c>
      <c r="AI408" s="587">
        <v>0</v>
      </c>
      <c r="AJ408" s="178">
        <f t="shared" ca="1" si="174"/>
        <v>5394990</v>
      </c>
      <c r="AK408" s="301">
        <f t="shared" ca="1" si="175"/>
        <v>73.772317287566679</v>
      </c>
      <c r="AL408" s="70">
        <f t="shared" ca="1" si="176"/>
        <v>7996563</v>
      </c>
      <c r="AM408" s="179">
        <f t="shared" ca="1" si="177"/>
        <v>109.34681674034913</v>
      </c>
      <c r="AN408" s="179"/>
      <c r="AO408" s="31">
        <f t="shared" si="178"/>
        <v>-114420.29752161819</v>
      </c>
      <c r="AP408" s="31">
        <f t="shared" ca="1" si="179"/>
        <v>19110</v>
      </c>
      <c r="AQ408" s="31">
        <f t="shared" ca="1" si="180"/>
        <v>656879.35156425647</v>
      </c>
      <c r="AR408" s="180">
        <f t="shared" ca="1" si="181"/>
        <v>8.9823172875666728</v>
      </c>
      <c r="AS408" s="31">
        <f t="shared" si="184"/>
        <v>11480.42</v>
      </c>
      <c r="AU408" s="31">
        <f t="shared" si="182"/>
        <v>0</v>
      </c>
      <c r="AV408" s="177"/>
      <c r="AW408" s="31">
        <f t="shared" ca="1" si="183"/>
        <v>30</v>
      </c>
    </row>
    <row r="409" spans="1:49">
      <c r="A409" s="102">
        <v>760</v>
      </c>
      <c r="B409" s="7" t="s">
        <v>2099</v>
      </c>
      <c r="C409" s="7">
        <v>1</v>
      </c>
      <c r="D409" s="62">
        <f t="shared" si="159"/>
        <v>20069649</v>
      </c>
      <c r="E409" s="172">
        <f t="shared" si="160"/>
        <v>7980074</v>
      </c>
      <c r="F409" s="62">
        <f t="shared" si="161"/>
        <v>20138841.102995191</v>
      </c>
      <c r="G409" s="70">
        <f t="shared" si="162"/>
        <v>12153382</v>
      </c>
      <c r="H409" s="62">
        <f t="shared" si="163"/>
        <v>7985459</v>
      </c>
      <c r="I409" s="173">
        <f t="shared" si="164"/>
        <v>5385</v>
      </c>
      <c r="J409" s="174">
        <f t="shared" ca="1" si="158"/>
        <v>40</v>
      </c>
      <c r="K409" s="70">
        <f t="shared" ca="1" si="165"/>
        <v>8055536</v>
      </c>
      <c r="L409" s="70">
        <f t="shared" ca="1" si="166"/>
        <v>0</v>
      </c>
      <c r="M409" s="175">
        <f t="shared" ca="1" si="167"/>
        <v>0</v>
      </c>
      <c r="N409" s="70"/>
      <c r="O409" s="70"/>
      <c r="P409" s="70"/>
      <c r="Q409" s="62">
        <v>1867</v>
      </c>
      <c r="R409" s="62">
        <f t="shared" si="168"/>
        <v>1833</v>
      </c>
      <c r="S409" s="176"/>
      <c r="T409" s="176"/>
      <c r="U409" s="70"/>
      <c r="V409" s="70"/>
      <c r="W409" s="260"/>
      <c r="X409" s="62">
        <f t="shared" si="169"/>
        <v>1</v>
      </c>
      <c r="Y409" s="70"/>
      <c r="AA409" s="290"/>
      <c r="AB409" s="291"/>
      <c r="AC409" s="62"/>
      <c r="AD409" s="62"/>
      <c r="AE409" s="177">
        <f t="shared" si="170"/>
        <v>54990</v>
      </c>
      <c r="AF409" s="177">
        <f t="shared" ca="1" si="171"/>
        <v>49605</v>
      </c>
      <c r="AG409" s="70">
        <f t="shared" ca="1" si="172"/>
        <v>8035064</v>
      </c>
      <c r="AH409" s="70">
        <f t="shared" ca="1" si="173"/>
        <v>0</v>
      </c>
      <c r="AI409" s="587">
        <v>0</v>
      </c>
      <c r="AJ409" s="178">
        <f t="shared" ca="1" si="174"/>
        <v>8035064</v>
      </c>
      <c r="AK409" s="301">
        <f t="shared" ca="1" si="175"/>
        <v>39.898343499045573</v>
      </c>
      <c r="AL409" s="70">
        <f t="shared" ca="1" si="176"/>
        <v>20188446</v>
      </c>
      <c r="AM409" s="179">
        <f t="shared" ca="1" si="177"/>
        <v>100.24631455579353</v>
      </c>
      <c r="AN409" s="179"/>
      <c r="AO409" s="31">
        <f t="shared" si="178"/>
        <v>69192.102995190769</v>
      </c>
      <c r="AP409" s="31">
        <f t="shared" ca="1" si="179"/>
        <v>54990</v>
      </c>
      <c r="AQ409" s="31">
        <f t="shared" ca="1" si="180"/>
        <v>-20472.441198077053</v>
      </c>
      <c r="AR409" s="180">
        <f t="shared" ca="1" si="181"/>
        <v>-0.10165650095442658</v>
      </c>
      <c r="AS409" s="31">
        <f t="shared" si="184"/>
        <v>10986.82</v>
      </c>
      <c r="AU409" s="31">
        <f t="shared" si="182"/>
        <v>0</v>
      </c>
      <c r="AV409" s="177"/>
      <c r="AW409" s="31">
        <f t="shared" ca="1" si="183"/>
        <v>30</v>
      </c>
    </row>
    <row r="410" spans="1:49">
      <c r="A410" s="102">
        <v>763</v>
      </c>
      <c r="B410" s="7" t="s">
        <v>1669</v>
      </c>
      <c r="C410" s="7">
        <v>1</v>
      </c>
      <c r="D410" s="62">
        <f t="shared" si="159"/>
        <v>10019595</v>
      </c>
      <c r="E410" s="172">
        <f t="shared" si="160"/>
        <v>4137139</v>
      </c>
      <c r="F410" s="62">
        <f t="shared" si="161"/>
        <v>10632804.845514916</v>
      </c>
      <c r="G410" s="70">
        <f t="shared" si="162"/>
        <v>5777303</v>
      </c>
      <c r="H410" s="62">
        <f t="shared" si="163"/>
        <v>4855502</v>
      </c>
      <c r="I410" s="173">
        <f t="shared" si="164"/>
        <v>718363</v>
      </c>
      <c r="J410" s="174">
        <f t="shared" ca="1" si="158"/>
        <v>46.22</v>
      </c>
      <c r="K410" s="70">
        <f t="shared" ca="1" si="165"/>
        <v>4914482</v>
      </c>
      <c r="L410" s="70">
        <f t="shared" ca="1" si="166"/>
        <v>0</v>
      </c>
      <c r="M410" s="175">
        <f t="shared" ca="1" si="167"/>
        <v>0</v>
      </c>
      <c r="N410" s="70"/>
      <c r="O410" s="70"/>
      <c r="P410" s="70"/>
      <c r="Q410" s="62">
        <v>928</v>
      </c>
      <c r="R410" s="62">
        <f t="shared" si="168"/>
        <v>979</v>
      </c>
      <c r="S410" s="176"/>
      <c r="T410" s="176"/>
      <c r="U410" s="70"/>
      <c r="V410" s="70"/>
      <c r="W410" s="260"/>
      <c r="X410" s="62">
        <f t="shared" si="169"/>
        <v>1</v>
      </c>
      <c r="Y410" s="70"/>
      <c r="AA410" s="290"/>
      <c r="AB410" s="291"/>
      <c r="AC410" s="62"/>
      <c r="AD410" s="62"/>
      <c r="AE410" s="177">
        <f t="shared" si="170"/>
        <v>29370</v>
      </c>
      <c r="AF410" s="177">
        <f t="shared" ca="1" si="171"/>
        <v>0</v>
      </c>
      <c r="AG410" s="70">
        <f t="shared" ca="1" si="172"/>
        <v>4855502</v>
      </c>
      <c r="AH410" s="70">
        <f t="shared" ca="1" si="173"/>
        <v>0</v>
      </c>
      <c r="AI410" s="587">
        <v>0</v>
      </c>
      <c r="AJ410" s="178">
        <f t="shared" ca="1" si="174"/>
        <v>4855502</v>
      </c>
      <c r="AK410" s="301">
        <f t="shared" ca="1" si="175"/>
        <v>45.665297826359783</v>
      </c>
      <c r="AL410" s="70">
        <f t="shared" ca="1" si="176"/>
        <v>10632805</v>
      </c>
      <c r="AM410" s="179">
        <f t="shared" ca="1" si="177"/>
        <v>100.00000145291</v>
      </c>
      <c r="AN410" s="179"/>
      <c r="AO410" s="31">
        <f t="shared" si="178"/>
        <v>613209.84551491588</v>
      </c>
      <c r="AP410" s="31">
        <f t="shared" ca="1" si="179"/>
        <v>718363</v>
      </c>
      <c r="AQ410" s="31">
        <f t="shared" ca="1" si="180"/>
        <v>-58980.399596993811</v>
      </c>
      <c r="AR410" s="180">
        <f t="shared" ca="1" si="181"/>
        <v>-0.55470217364021579</v>
      </c>
      <c r="AS410" s="31">
        <f t="shared" si="184"/>
        <v>10860.88</v>
      </c>
      <c r="AU410" s="31">
        <f t="shared" si="182"/>
        <v>0</v>
      </c>
      <c r="AV410" s="177"/>
      <c r="AW410" s="31">
        <f t="shared" ca="1" si="183"/>
        <v>733.77221654749746</v>
      </c>
    </row>
    <row r="411" spans="1:49">
      <c r="A411" s="102">
        <v>765</v>
      </c>
      <c r="B411" s="7" t="s">
        <v>2100</v>
      </c>
      <c r="C411" s="7">
        <v>1</v>
      </c>
      <c r="D411" s="62">
        <f t="shared" si="159"/>
        <v>7411694</v>
      </c>
      <c r="E411" s="172">
        <f t="shared" si="160"/>
        <v>1927571</v>
      </c>
      <c r="F411" s="62">
        <f t="shared" si="161"/>
        <v>7039960.838086525</v>
      </c>
      <c r="G411" s="70">
        <f t="shared" si="162"/>
        <v>5901594</v>
      </c>
      <c r="H411" s="62">
        <f t="shared" si="163"/>
        <v>1138367</v>
      </c>
      <c r="I411" s="173">
        <f t="shared" si="164"/>
        <v>0</v>
      </c>
      <c r="J411" s="174">
        <f t="shared" ca="1" si="158"/>
        <v>17.5</v>
      </c>
      <c r="K411" s="70">
        <f t="shared" ca="1" si="165"/>
        <v>1231993</v>
      </c>
      <c r="L411" s="70">
        <f t="shared" ca="1" si="166"/>
        <v>0</v>
      </c>
      <c r="M411" s="175">
        <f t="shared" ca="1" si="167"/>
        <v>0</v>
      </c>
      <c r="N411" s="70"/>
      <c r="O411" s="70"/>
      <c r="P411" s="70"/>
      <c r="Q411" s="62">
        <v>715</v>
      </c>
      <c r="R411" s="62">
        <f t="shared" si="168"/>
        <v>662.00000000661998</v>
      </c>
      <c r="S411" s="176"/>
      <c r="T411" s="176"/>
      <c r="U411" s="70"/>
      <c r="V411" s="70"/>
      <c r="W411" s="260"/>
      <c r="X411" s="62">
        <f t="shared" si="169"/>
        <v>0</v>
      </c>
      <c r="Y411" s="70"/>
      <c r="AA411" s="290"/>
      <c r="AB411" s="291"/>
      <c r="AC411" s="62"/>
      <c r="AD411" s="62"/>
      <c r="AE411" s="177">
        <f t="shared" si="170"/>
        <v>19860.000000198601</v>
      </c>
      <c r="AF411" s="177">
        <f t="shared" ca="1" si="171"/>
        <v>19860.000000198601</v>
      </c>
      <c r="AG411" s="70">
        <f t="shared" ca="1" si="172"/>
        <v>1947431.0000001986</v>
      </c>
      <c r="AH411" s="70">
        <f t="shared" ca="1" si="173"/>
        <v>0</v>
      </c>
      <c r="AI411" s="587">
        <v>0</v>
      </c>
      <c r="AJ411" s="178">
        <f t="shared" ca="1" si="174"/>
        <v>1947431.0000001986</v>
      </c>
      <c r="AK411" s="301">
        <f t="shared" ca="1" si="175"/>
        <v>27.66252603941351</v>
      </c>
      <c r="AL411" s="70">
        <f t="shared" ca="1" si="176"/>
        <v>7849025.0000001984</v>
      </c>
      <c r="AM411" s="179">
        <f t="shared" ca="1" si="177"/>
        <v>111.49245259343769</v>
      </c>
      <c r="AN411" s="179"/>
      <c r="AO411" s="31">
        <f t="shared" si="178"/>
        <v>-371733.16191347502</v>
      </c>
      <c r="AP411" s="31">
        <f t="shared" ca="1" si="179"/>
        <v>19860.000000198605</v>
      </c>
      <c r="AQ411" s="31">
        <f t="shared" ca="1" si="180"/>
        <v>715437.85333505692</v>
      </c>
      <c r="AR411" s="180">
        <f t="shared" ca="1" si="181"/>
        <v>10.16252603941351</v>
      </c>
      <c r="AS411" s="31">
        <f t="shared" si="184"/>
        <v>10634.38</v>
      </c>
      <c r="AU411" s="31">
        <f t="shared" si="182"/>
        <v>0</v>
      </c>
      <c r="AV411" s="177"/>
      <c r="AW411" s="31">
        <f t="shared" ca="1" si="183"/>
        <v>30.000000000000007</v>
      </c>
    </row>
    <row r="412" spans="1:49">
      <c r="A412" s="102">
        <v>766</v>
      </c>
      <c r="B412" s="7" t="s">
        <v>1671</v>
      </c>
      <c r="C412" s="7">
        <v>1</v>
      </c>
      <c r="D412" s="62">
        <f t="shared" si="159"/>
        <v>16154792</v>
      </c>
      <c r="E412" s="172">
        <f t="shared" si="160"/>
        <v>9715578</v>
      </c>
      <c r="F412" s="62">
        <f t="shared" si="161"/>
        <v>15643746.01680854</v>
      </c>
      <c r="G412" s="70">
        <f t="shared" si="162"/>
        <v>10452364</v>
      </c>
      <c r="H412" s="62">
        <f t="shared" si="163"/>
        <v>5191382</v>
      </c>
      <c r="I412" s="173">
        <f t="shared" si="164"/>
        <v>0</v>
      </c>
      <c r="J412" s="174">
        <f t="shared" ca="1" si="158"/>
        <v>33.47</v>
      </c>
      <c r="K412" s="70">
        <f t="shared" ca="1" si="165"/>
        <v>5235962</v>
      </c>
      <c r="L412" s="70">
        <f t="shared" ca="1" si="166"/>
        <v>0</v>
      </c>
      <c r="M412" s="175">
        <f t="shared" ca="1" si="167"/>
        <v>0</v>
      </c>
      <c r="N412" s="70"/>
      <c r="O412" s="70"/>
      <c r="P412" s="70"/>
      <c r="Q412" s="62">
        <v>1576</v>
      </c>
      <c r="R412" s="62">
        <f t="shared" si="168"/>
        <v>1484.00000001484</v>
      </c>
      <c r="S412" s="176"/>
      <c r="T412" s="176"/>
      <c r="U412" s="70"/>
      <c r="V412" s="70"/>
      <c r="W412" s="260"/>
      <c r="X412" s="62">
        <f t="shared" si="169"/>
        <v>0</v>
      </c>
      <c r="Y412" s="70"/>
      <c r="AA412" s="290"/>
      <c r="AB412" s="291"/>
      <c r="AC412" s="62"/>
      <c r="AD412" s="62"/>
      <c r="AE412" s="177">
        <f t="shared" si="170"/>
        <v>44520.000000445201</v>
      </c>
      <c r="AF412" s="177">
        <f t="shared" ca="1" si="171"/>
        <v>44520.000000445201</v>
      </c>
      <c r="AG412" s="70">
        <f t="shared" ca="1" si="172"/>
        <v>9760098.0000004452</v>
      </c>
      <c r="AH412" s="70">
        <f t="shared" ca="1" si="173"/>
        <v>0</v>
      </c>
      <c r="AI412" s="587">
        <v>0</v>
      </c>
      <c r="AJ412" s="178">
        <f t="shared" ca="1" si="174"/>
        <v>9760098.0000004452</v>
      </c>
      <c r="AK412" s="301">
        <f t="shared" ca="1" si="175"/>
        <v>62.38977537422069</v>
      </c>
      <c r="AL412" s="70">
        <f t="shared" ca="1" si="176"/>
        <v>20212462.000000447</v>
      </c>
      <c r="AM412" s="179">
        <f t="shared" ca="1" si="177"/>
        <v>129.20474404457229</v>
      </c>
      <c r="AN412" s="179"/>
      <c r="AO412" s="31">
        <f t="shared" si="178"/>
        <v>-511045.98319146037</v>
      </c>
      <c r="AP412" s="31">
        <f t="shared" ca="1" si="179"/>
        <v>44520.000000445172</v>
      </c>
      <c r="AQ412" s="31">
        <f t="shared" ca="1" si="180"/>
        <v>4524136.2081746273</v>
      </c>
      <c r="AR412" s="180">
        <f t="shared" ca="1" si="181"/>
        <v>28.919775374220691</v>
      </c>
      <c r="AS412" s="31">
        <f t="shared" si="184"/>
        <v>10541.61</v>
      </c>
      <c r="AU412" s="31">
        <f t="shared" si="182"/>
        <v>0</v>
      </c>
      <c r="AV412" s="177"/>
      <c r="AW412" s="31">
        <f t="shared" ca="1" si="183"/>
        <v>29.999999999999982</v>
      </c>
    </row>
    <row r="413" spans="1:49">
      <c r="A413" s="102">
        <v>767</v>
      </c>
      <c r="B413" s="7" t="s">
        <v>2101</v>
      </c>
      <c r="C413" s="7">
        <v>1</v>
      </c>
      <c r="D413" s="62">
        <f t="shared" si="159"/>
        <v>18292027</v>
      </c>
      <c r="E413" s="172">
        <f t="shared" si="160"/>
        <v>13553834</v>
      </c>
      <c r="F413" s="62">
        <f t="shared" si="161"/>
        <v>17851020.249539986</v>
      </c>
      <c r="G413" s="70">
        <f t="shared" si="162"/>
        <v>7818739</v>
      </c>
      <c r="H413" s="62">
        <f t="shared" si="163"/>
        <v>10032281</v>
      </c>
      <c r="I413" s="173">
        <f t="shared" si="164"/>
        <v>0</v>
      </c>
      <c r="J413" s="174">
        <f t="shared" ca="1" si="158"/>
        <v>54.36</v>
      </c>
      <c r="K413" s="70">
        <f t="shared" ca="1" si="165"/>
        <v>9703815</v>
      </c>
      <c r="L413" s="70">
        <f t="shared" ca="1" si="166"/>
        <v>0</v>
      </c>
      <c r="M413" s="175">
        <f t="shared" ca="1" si="167"/>
        <v>0</v>
      </c>
      <c r="N413" s="70"/>
      <c r="O413" s="70"/>
      <c r="P413" s="70"/>
      <c r="Q413" s="62">
        <v>1749</v>
      </c>
      <c r="R413" s="62">
        <f t="shared" si="168"/>
        <v>1592</v>
      </c>
      <c r="S413" s="176"/>
      <c r="T413" s="176"/>
      <c r="U413" s="70"/>
      <c r="V413" s="70"/>
      <c r="W413" s="260"/>
      <c r="X413" s="62">
        <f t="shared" si="169"/>
        <v>0</v>
      </c>
      <c r="Y413" s="70"/>
      <c r="AA413" s="290"/>
      <c r="AB413" s="291"/>
      <c r="AC413" s="62"/>
      <c r="AD413" s="62"/>
      <c r="AE413" s="177">
        <f t="shared" si="170"/>
        <v>47760</v>
      </c>
      <c r="AF413" s="177">
        <f t="shared" ca="1" si="171"/>
        <v>47760</v>
      </c>
      <c r="AG413" s="70">
        <f t="shared" ca="1" si="172"/>
        <v>13601594</v>
      </c>
      <c r="AH413" s="70">
        <f t="shared" ca="1" si="173"/>
        <v>0</v>
      </c>
      <c r="AI413" s="587">
        <v>0</v>
      </c>
      <c r="AJ413" s="178">
        <f t="shared" ca="1" si="174"/>
        <v>13601594</v>
      </c>
      <c r="AK413" s="301">
        <f t="shared" ca="1" si="175"/>
        <v>76.195051094351356</v>
      </c>
      <c r="AL413" s="70">
        <f t="shared" ca="1" si="176"/>
        <v>21420333</v>
      </c>
      <c r="AM413" s="179">
        <f t="shared" ca="1" si="177"/>
        <v>119.99500701116506</v>
      </c>
      <c r="AN413" s="179"/>
      <c r="AO413" s="31">
        <f t="shared" si="178"/>
        <v>-441006.75046001375</v>
      </c>
      <c r="AP413" s="31">
        <f t="shared" ca="1" si="179"/>
        <v>47760</v>
      </c>
      <c r="AQ413" s="31">
        <f t="shared" ca="1" si="180"/>
        <v>3897779.3923500646</v>
      </c>
      <c r="AR413" s="180">
        <f t="shared" ca="1" si="181"/>
        <v>21.835051094351357</v>
      </c>
      <c r="AS413" s="31">
        <f t="shared" si="184"/>
        <v>11212.95</v>
      </c>
      <c r="AU413" s="31">
        <f t="shared" si="182"/>
        <v>0</v>
      </c>
      <c r="AV413" s="177"/>
      <c r="AW413" s="31">
        <f t="shared" ca="1" si="183"/>
        <v>30</v>
      </c>
    </row>
    <row r="414" spans="1:49">
      <c r="A414" s="102">
        <v>770</v>
      </c>
      <c r="B414" s="7" t="s">
        <v>2102</v>
      </c>
      <c r="C414" s="7">
        <v>1</v>
      </c>
      <c r="D414" s="62">
        <f t="shared" si="159"/>
        <v>18521079</v>
      </c>
      <c r="E414" s="172">
        <f t="shared" si="160"/>
        <v>8545571</v>
      </c>
      <c r="F414" s="62">
        <f t="shared" si="161"/>
        <v>18792623.115065213</v>
      </c>
      <c r="G414" s="70">
        <f t="shared" si="162"/>
        <v>10112568</v>
      </c>
      <c r="H414" s="62">
        <f t="shared" si="163"/>
        <v>8680055</v>
      </c>
      <c r="I414" s="173">
        <f t="shared" si="164"/>
        <v>134484</v>
      </c>
      <c r="J414" s="174">
        <f t="shared" ca="1" si="158"/>
        <v>46.56</v>
      </c>
      <c r="K414" s="70">
        <f t="shared" ca="1" si="165"/>
        <v>8749845</v>
      </c>
      <c r="L414" s="70">
        <f t="shared" ca="1" si="166"/>
        <v>0</v>
      </c>
      <c r="M414" s="175">
        <f t="shared" ca="1" si="167"/>
        <v>0</v>
      </c>
      <c r="N414" s="70"/>
      <c r="O414" s="70"/>
      <c r="P414" s="70"/>
      <c r="Q414" s="62">
        <v>1624</v>
      </c>
      <c r="R414" s="62">
        <f t="shared" si="168"/>
        <v>1631.0000000163102</v>
      </c>
      <c r="S414" s="176"/>
      <c r="T414" s="176"/>
      <c r="U414" s="70"/>
      <c r="V414" s="70"/>
      <c r="W414" s="260"/>
      <c r="X414" s="62">
        <f t="shared" si="169"/>
        <v>1</v>
      </c>
      <c r="Y414" s="70"/>
      <c r="AA414" s="290"/>
      <c r="AB414" s="291"/>
      <c r="AC414" s="62"/>
      <c r="AD414" s="62"/>
      <c r="AE414" s="177">
        <f t="shared" si="170"/>
        <v>48930.000000489308</v>
      </c>
      <c r="AF414" s="177">
        <f t="shared" ca="1" si="171"/>
        <v>0</v>
      </c>
      <c r="AG414" s="70">
        <f t="shared" ca="1" si="172"/>
        <v>8680055</v>
      </c>
      <c r="AH414" s="70">
        <f t="shared" ca="1" si="173"/>
        <v>0</v>
      </c>
      <c r="AI414" s="587">
        <v>0</v>
      </c>
      <c r="AJ414" s="178">
        <f t="shared" ca="1" si="174"/>
        <v>8680055</v>
      </c>
      <c r="AK414" s="301">
        <f t="shared" ca="1" si="175"/>
        <v>46.188629159713123</v>
      </c>
      <c r="AL414" s="70">
        <f t="shared" ca="1" si="176"/>
        <v>18792623</v>
      </c>
      <c r="AM414" s="179">
        <f t="shared" ca="1" si="177"/>
        <v>99.999999387710744</v>
      </c>
      <c r="AN414" s="179"/>
      <c r="AO414" s="31">
        <f t="shared" si="178"/>
        <v>271544.11506521329</v>
      </c>
      <c r="AP414" s="31">
        <f t="shared" ca="1" si="179"/>
        <v>134484</v>
      </c>
      <c r="AQ414" s="31">
        <f t="shared" ca="1" si="180"/>
        <v>-69790.322374364361</v>
      </c>
      <c r="AR414" s="180">
        <f t="shared" ca="1" si="181"/>
        <v>-0.37137084028687894</v>
      </c>
      <c r="AS414" s="31">
        <f t="shared" si="184"/>
        <v>11522.15</v>
      </c>
      <c r="AU414" s="31">
        <f t="shared" si="182"/>
        <v>0</v>
      </c>
      <c r="AV414" s="177"/>
      <c r="AW414" s="31">
        <f t="shared" ca="1" si="183"/>
        <v>82.454935621493036</v>
      </c>
    </row>
    <row r="415" spans="1:49">
      <c r="A415" s="102">
        <v>773</v>
      </c>
      <c r="B415" s="7" t="s">
        <v>2103</v>
      </c>
      <c r="C415" s="7">
        <v>1</v>
      </c>
      <c r="D415" s="62">
        <f t="shared" si="159"/>
        <v>24821868</v>
      </c>
      <c r="E415" s="172">
        <f t="shared" si="160"/>
        <v>8564841</v>
      </c>
      <c r="F415" s="62">
        <f t="shared" si="161"/>
        <v>24376762.312073089</v>
      </c>
      <c r="G415" s="70">
        <f t="shared" si="162"/>
        <v>20355041</v>
      </c>
      <c r="H415" s="62">
        <f t="shared" si="163"/>
        <v>4021721</v>
      </c>
      <c r="I415" s="173">
        <f t="shared" si="164"/>
        <v>0</v>
      </c>
      <c r="J415" s="174">
        <f t="shared" ca="1" si="158"/>
        <v>17.5</v>
      </c>
      <c r="K415" s="70">
        <f t="shared" ca="1" si="165"/>
        <v>4265933</v>
      </c>
      <c r="L415" s="70">
        <f t="shared" ca="1" si="166"/>
        <v>0</v>
      </c>
      <c r="M415" s="175">
        <f t="shared" ca="1" si="167"/>
        <v>0</v>
      </c>
      <c r="N415" s="70"/>
      <c r="O415" s="70"/>
      <c r="P415" s="70"/>
      <c r="Q415" s="62">
        <v>2484</v>
      </c>
      <c r="R415" s="62">
        <f t="shared" si="168"/>
        <v>2390</v>
      </c>
      <c r="S415" s="176"/>
      <c r="T415" s="176"/>
      <c r="U415" s="70"/>
      <c r="V415" s="70"/>
      <c r="W415" s="260"/>
      <c r="X415" s="62">
        <f t="shared" si="169"/>
        <v>0</v>
      </c>
      <c r="Y415" s="70"/>
      <c r="AA415" s="290"/>
      <c r="AB415" s="291"/>
      <c r="AC415" s="62"/>
      <c r="AD415" s="62"/>
      <c r="AE415" s="177">
        <f t="shared" si="170"/>
        <v>71700</v>
      </c>
      <c r="AF415" s="177">
        <f t="shared" ca="1" si="171"/>
        <v>71700</v>
      </c>
      <c r="AG415" s="70">
        <f t="shared" ca="1" si="172"/>
        <v>8636541</v>
      </c>
      <c r="AH415" s="70">
        <f t="shared" ca="1" si="173"/>
        <v>0</v>
      </c>
      <c r="AI415" s="587">
        <v>0</v>
      </c>
      <c r="AJ415" s="178">
        <f t="shared" ca="1" si="174"/>
        <v>8636541</v>
      </c>
      <c r="AK415" s="301">
        <f t="shared" ca="1" si="175"/>
        <v>35.42940153181285</v>
      </c>
      <c r="AL415" s="70">
        <f t="shared" ca="1" si="176"/>
        <v>28991582</v>
      </c>
      <c r="AM415" s="179">
        <f t="shared" ca="1" si="177"/>
        <v>118.9312248642689</v>
      </c>
      <c r="AN415" s="179"/>
      <c r="AO415" s="31">
        <f t="shared" si="178"/>
        <v>-445105.68792691082</v>
      </c>
      <c r="AP415" s="31">
        <f t="shared" ca="1" si="179"/>
        <v>71700</v>
      </c>
      <c r="AQ415" s="31">
        <f t="shared" ca="1" si="180"/>
        <v>4370607.5953872092</v>
      </c>
      <c r="AR415" s="180">
        <f t="shared" ca="1" si="181"/>
        <v>17.92940153181285</v>
      </c>
      <c r="AS415" s="31">
        <f t="shared" si="184"/>
        <v>10199.48</v>
      </c>
      <c r="AU415" s="31">
        <f t="shared" si="182"/>
        <v>0</v>
      </c>
      <c r="AV415" s="177"/>
      <c r="AW415" s="31">
        <f t="shared" ca="1" si="183"/>
        <v>30</v>
      </c>
    </row>
    <row r="416" spans="1:49">
      <c r="A416" s="102">
        <v>774</v>
      </c>
      <c r="B416" s="7" t="s">
        <v>1675</v>
      </c>
      <c r="C416" s="7">
        <v>1</v>
      </c>
      <c r="D416" s="62">
        <f t="shared" si="159"/>
        <v>3590852</v>
      </c>
      <c r="E416" s="172">
        <f t="shared" si="160"/>
        <v>842602</v>
      </c>
      <c r="F416" s="62">
        <f t="shared" si="161"/>
        <v>3842627.4814848243</v>
      </c>
      <c r="G416" s="70">
        <f t="shared" si="162"/>
        <v>3031561</v>
      </c>
      <c r="H416" s="62">
        <f t="shared" si="163"/>
        <v>811066</v>
      </c>
      <c r="I416" s="173">
        <f t="shared" si="164"/>
        <v>0</v>
      </c>
      <c r="J416" s="174">
        <f t="shared" ca="1" si="158"/>
        <v>17.5</v>
      </c>
      <c r="K416" s="70">
        <f t="shared" ca="1" si="165"/>
        <v>672460</v>
      </c>
      <c r="L416" s="70">
        <f t="shared" ca="1" si="166"/>
        <v>0</v>
      </c>
      <c r="M416" s="175">
        <f t="shared" ca="1" si="167"/>
        <v>0</v>
      </c>
      <c r="N416" s="70"/>
      <c r="O416" s="70"/>
      <c r="P416" s="70"/>
      <c r="Q416" s="62">
        <v>376</v>
      </c>
      <c r="R416" s="62">
        <f t="shared" si="168"/>
        <v>392</v>
      </c>
      <c r="S416" s="176"/>
      <c r="T416" s="176"/>
      <c r="U416" s="70"/>
      <c r="V416" s="70"/>
      <c r="W416" s="260"/>
      <c r="X416" s="62">
        <f t="shared" si="169"/>
        <v>0</v>
      </c>
      <c r="Y416" s="70"/>
      <c r="AA416" s="290"/>
      <c r="AB416" s="291"/>
      <c r="AC416" s="62"/>
      <c r="AD416" s="62"/>
      <c r="AE416" s="177">
        <f t="shared" si="170"/>
        <v>11760</v>
      </c>
      <c r="AF416" s="177">
        <f t="shared" ca="1" si="171"/>
        <v>11760</v>
      </c>
      <c r="AG416" s="70">
        <f t="shared" ca="1" si="172"/>
        <v>854362</v>
      </c>
      <c r="AH416" s="70">
        <f t="shared" ca="1" si="173"/>
        <v>0</v>
      </c>
      <c r="AI416" s="587">
        <v>0</v>
      </c>
      <c r="AJ416" s="178">
        <f t="shared" ca="1" si="174"/>
        <v>854362</v>
      </c>
      <c r="AK416" s="301">
        <f t="shared" ca="1" si="175"/>
        <v>22.23379716396207</v>
      </c>
      <c r="AL416" s="70">
        <f t="shared" ca="1" si="176"/>
        <v>3885923</v>
      </c>
      <c r="AM416" s="179">
        <f t="shared" ca="1" si="177"/>
        <v>101.126716516857</v>
      </c>
      <c r="AN416" s="179"/>
      <c r="AO416" s="31">
        <f t="shared" si="178"/>
        <v>251775.48148482433</v>
      </c>
      <c r="AP416" s="31">
        <f t="shared" ca="1" si="179"/>
        <v>11760</v>
      </c>
      <c r="AQ416" s="31">
        <f t="shared" ca="1" si="180"/>
        <v>181902.19074015575</v>
      </c>
      <c r="AR416" s="180">
        <f t="shared" ca="1" si="181"/>
        <v>4.7337971639620697</v>
      </c>
      <c r="AS416" s="31">
        <f t="shared" si="184"/>
        <v>9802.6200000000008</v>
      </c>
      <c r="AU416" s="31">
        <f t="shared" si="182"/>
        <v>0</v>
      </c>
      <c r="AV416" s="177"/>
      <c r="AW416" s="31">
        <f t="shared" ca="1" si="183"/>
        <v>30</v>
      </c>
    </row>
    <row r="417" spans="1:49">
      <c r="A417" s="102">
        <v>775</v>
      </c>
      <c r="B417" s="7" t="s">
        <v>2104</v>
      </c>
      <c r="C417" s="7">
        <v>1</v>
      </c>
      <c r="D417" s="62">
        <f t="shared" si="159"/>
        <v>65958496</v>
      </c>
      <c r="E417" s="172">
        <f t="shared" si="160"/>
        <v>26385616</v>
      </c>
      <c r="F417" s="62">
        <f t="shared" si="161"/>
        <v>67325906.778581902</v>
      </c>
      <c r="G417" s="70">
        <f t="shared" si="162"/>
        <v>40480754</v>
      </c>
      <c r="H417" s="62">
        <f t="shared" si="163"/>
        <v>26845153</v>
      </c>
      <c r="I417" s="173">
        <f t="shared" si="164"/>
        <v>459537</v>
      </c>
      <c r="J417" s="174">
        <f t="shared" ca="1" si="158"/>
        <v>40.11</v>
      </c>
      <c r="K417" s="70">
        <f t="shared" ca="1" si="165"/>
        <v>27004421</v>
      </c>
      <c r="L417" s="70">
        <f t="shared" ca="1" si="166"/>
        <v>0</v>
      </c>
      <c r="M417" s="175">
        <f t="shared" ca="1" si="167"/>
        <v>0</v>
      </c>
      <c r="N417" s="70"/>
      <c r="O417" s="70"/>
      <c r="P417" s="70"/>
      <c r="Q417" s="62">
        <v>7100</v>
      </c>
      <c r="R417" s="62">
        <f t="shared" si="168"/>
        <v>7066</v>
      </c>
      <c r="S417" s="176"/>
      <c r="T417" s="176"/>
      <c r="U417" s="70"/>
      <c r="V417" s="70"/>
      <c r="W417" s="260"/>
      <c r="X417" s="62">
        <f t="shared" si="169"/>
        <v>1</v>
      </c>
      <c r="Y417" s="70"/>
      <c r="AA417" s="290"/>
      <c r="AB417" s="291"/>
      <c r="AC417" s="62"/>
      <c r="AD417" s="62"/>
      <c r="AE417" s="177">
        <f t="shared" si="170"/>
        <v>211980</v>
      </c>
      <c r="AF417" s="177">
        <f t="shared" ca="1" si="171"/>
        <v>0</v>
      </c>
      <c r="AG417" s="70">
        <f t="shared" ca="1" si="172"/>
        <v>26845153</v>
      </c>
      <c r="AH417" s="70">
        <f t="shared" ca="1" si="173"/>
        <v>0</v>
      </c>
      <c r="AI417" s="587">
        <v>0</v>
      </c>
      <c r="AJ417" s="178">
        <f t="shared" ca="1" si="174"/>
        <v>26845153</v>
      </c>
      <c r="AK417" s="301">
        <f t="shared" ca="1" si="175"/>
        <v>39.873436964298165</v>
      </c>
      <c r="AL417" s="70">
        <f t="shared" ca="1" si="176"/>
        <v>67325907</v>
      </c>
      <c r="AM417" s="179">
        <f t="shared" ca="1" si="177"/>
        <v>100.00000032887503</v>
      </c>
      <c r="AN417" s="179"/>
      <c r="AO417" s="31">
        <f t="shared" si="178"/>
        <v>1367410.7785819024</v>
      </c>
      <c r="AP417" s="31">
        <f t="shared" ca="1" si="179"/>
        <v>459537</v>
      </c>
      <c r="AQ417" s="31">
        <f t="shared" ca="1" si="180"/>
        <v>-159268.20888920128</v>
      </c>
      <c r="AR417" s="180">
        <f t="shared" ca="1" si="181"/>
        <v>-0.23656303570183468</v>
      </c>
      <c r="AS417" s="31">
        <f t="shared" si="184"/>
        <v>9528.15</v>
      </c>
      <c r="AU417" s="31">
        <f t="shared" si="182"/>
        <v>0</v>
      </c>
      <c r="AV417" s="177"/>
      <c r="AW417" s="31">
        <f t="shared" ca="1" si="183"/>
        <v>65.034956127936596</v>
      </c>
    </row>
    <row r="418" spans="1:49">
      <c r="A418" s="102">
        <v>778</v>
      </c>
      <c r="B418" s="7" t="s">
        <v>1677</v>
      </c>
      <c r="C418" s="7">
        <v>1</v>
      </c>
      <c r="D418" s="62">
        <f t="shared" si="159"/>
        <v>13599319</v>
      </c>
      <c r="E418" s="172">
        <f t="shared" si="160"/>
        <v>8615171</v>
      </c>
      <c r="F418" s="62">
        <f t="shared" si="161"/>
        <v>14168290.710392267</v>
      </c>
      <c r="G418" s="70">
        <f t="shared" si="162"/>
        <v>5082901</v>
      </c>
      <c r="H418" s="62">
        <f t="shared" si="163"/>
        <v>9085390</v>
      </c>
      <c r="I418" s="173">
        <f t="shared" si="164"/>
        <v>470219</v>
      </c>
      <c r="J418" s="174">
        <f t="shared" ca="1" si="158"/>
        <v>64.3</v>
      </c>
      <c r="K418" s="70">
        <f t="shared" ca="1" si="165"/>
        <v>9110211</v>
      </c>
      <c r="L418" s="70">
        <f t="shared" ca="1" si="166"/>
        <v>0</v>
      </c>
      <c r="M418" s="175">
        <f t="shared" ca="1" si="167"/>
        <v>0</v>
      </c>
      <c r="N418" s="70"/>
      <c r="O418" s="70"/>
      <c r="P418" s="70"/>
      <c r="Q418" s="62">
        <v>1292</v>
      </c>
      <c r="R418" s="62">
        <f t="shared" si="168"/>
        <v>1307</v>
      </c>
      <c r="S418" s="176"/>
      <c r="T418" s="176"/>
      <c r="U418" s="70"/>
      <c r="V418" s="70"/>
      <c r="W418" s="260"/>
      <c r="X418" s="62">
        <f t="shared" si="169"/>
        <v>1</v>
      </c>
      <c r="Y418" s="70"/>
      <c r="AA418" s="290"/>
      <c r="AB418" s="291"/>
      <c r="AC418" s="62"/>
      <c r="AD418" s="62"/>
      <c r="AE418" s="177">
        <f t="shared" si="170"/>
        <v>39210</v>
      </c>
      <c r="AF418" s="177">
        <f t="shared" ca="1" si="171"/>
        <v>0</v>
      </c>
      <c r="AG418" s="70">
        <f t="shared" ca="1" si="172"/>
        <v>9085390</v>
      </c>
      <c r="AH418" s="70">
        <f t="shared" ca="1" si="173"/>
        <v>0</v>
      </c>
      <c r="AI418" s="587">
        <v>0</v>
      </c>
      <c r="AJ418" s="178">
        <f t="shared" ca="1" si="174"/>
        <v>9085390</v>
      </c>
      <c r="AK418" s="301">
        <f t="shared" ca="1" si="175"/>
        <v>64.124813541099769</v>
      </c>
      <c r="AL418" s="70">
        <f t="shared" ca="1" si="176"/>
        <v>14168291</v>
      </c>
      <c r="AM418" s="179">
        <f t="shared" ca="1" si="177"/>
        <v>100.00000204405556</v>
      </c>
      <c r="AN418" s="179"/>
      <c r="AO418" s="31">
        <f t="shared" si="178"/>
        <v>568971.71039226651</v>
      </c>
      <c r="AP418" s="31">
        <f t="shared" ca="1" si="179"/>
        <v>470219</v>
      </c>
      <c r="AQ418" s="31">
        <f t="shared" ca="1" si="180"/>
        <v>-24820.926782228053</v>
      </c>
      <c r="AR418" s="180">
        <f t="shared" ca="1" si="181"/>
        <v>-0.1751864589002281</v>
      </c>
      <c r="AS418" s="31">
        <f t="shared" si="184"/>
        <v>10840.31</v>
      </c>
      <c r="AU418" s="31">
        <f t="shared" si="182"/>
        <v>0</v>
      </c>
      <c r="AV418" s="177"/>
      <c r="AW418" s="31">
        <f t="shared" ca="1" si="183"/>
        <v>359.76970160673295</v>
      </c>
    </row>
    <row r="419" spans="1:49">
      <c r="A419" s="102">
        <v>780</v>
      </c>
      <c r="B419" s="7" t="s">
        <v>2105</v>
      </c>
      <c r="C419" s="7">
        <v>1</v>
      </c>
      <c r="D419" s="62">
        <f t="shared" si="159"/>
        <v>38333512</v>
      </c>
      <c r="E419" s="172">
        <f t="shared" si="160"/>
        <v>24436230</v>
      </c>
      <c r="F419" s="62">
        <f t="shared" si="161"/>
        <v>38233603.852514476</v>
      </c>
      <c r="G419" s="70">
        <f t="shared" si="162"/>
        <v>17627386</v>
      </c>
      <c r="H419" s="62">
        <f t="shared" si="163"/>
        <v>20606218</v>
      </c>
      <c r="I419" s="173">
        <f t="shared" si="164"/>
        <v>0</v>
      </c>
      <c r="J419" s="174">
        <f t="shared" ca="1" si="158"/>
        <v>50.82</v>
      </c>
      <c r="K419" s="70">
        <f t="shared" ca="1" si="165"/>
        <v>19430317</v>
      </c>
      <c r="L419" s="70">
        <f t="shared" ca="1" si="166"/>
        <v>0</v>
      </c>
      <c r="M419" s="175">
        <f t="shared" ca="1" si="167"/>
        <v>0</v>
      </c>
      <c r="N419" s="70"/>
      <c r="O419" s="70"/>
      <c r="P419" s="70"/>
      <c r="Q419" s="62">
        <v>3939</v>
      </c>
      <c r="R419" s="62">
        <f t="shared" si="168"/>
        <v>3860</v>
      </c>
      <c r="S419" s="176"/>
      <c r="T419" s="176"/>
      <c r="U419" s="70"/>
      <c r="V419" s="70"/>
      <c r="W419" s="260"/>
      <c r="X419" s="62">
        <f t="shared" si="169"/>
        <v>0</v>
      </c>
      <c r="Y419" s="70"/>
      <c r="AA419" s="290"/>
      <c r="AB419" s="291"/>
      <c r="AC419" s="62"/>
      <c r="AD419" s="62"/>
      <c r="AE419" s="177">
        <f t="shared" si="170"/>
        <v>115800</v>
      </c>
      <c r="AF419" s="177">
        <f t="shared" ca="1" si="171"/>
        <v>115800</v>
      </c>
      <c r="AG419" s="70">
        <f t="shared" ca="1" si="172"/>
        <v>24552030</v>
      </c>
      <c r="AH419" s="70">
        <f t="shared" ca="1" si="173"/>
        <v>0</v>
      </c>
      <c r="AI419" s="587">
        <v>0</v>
      </c>
      <c r="AJ419" s="178">
        <f t="shared" ca="1" si="174"/>
        <v>24552030</v>
      </c>
      <c r="AK419" s="301">
        <f t="shared" ca="1" si="175"/>
        <v>64.215840323891697</v>
      </c>
      <c r="AL419" s="70">
        <f t="shared" ca="1" si="176"/>
        <v>42179416</v>
      </c>
      <c r="AM419" s="179">
        <f t="shared" ca="1" si="177"/>
        <v>110.3202726133441</v>
      </c>
      <c r="AN419" s="179"/>
      <c r="AO419" s="31">
        <f t="shared" si="178"/>
        <v>-99908.147485524416</v>
      </c>
      <c r="AP419" s="31">
        <f t="shared" ca="1" si="179"/>
        <v>115800</v>
      </c>
      <c r="AQ419" s="31">
        <f t="shared" ca="1" si="180"/>
        <v>5121712.5221521445</v>
      </c>
      <c r="AR419" s="180">
        <f t="shared" ca="1" si="181"/>
        <v>13.395840323891697</v>
      </c>
      <c r="AS419" s="31">
        <f t="shared" si="184"/>
        <v>9905.08</v>
      </c>
      <c r="AU419" s="31">
        <f t="shared" si="182"/>
        <v>0</v>
      </c>
      <c r="AV419" s="177"/>
      <c r="AW419" s="31">
        <f t="shared" ca="1" si="183"/>
        <v>30</v>
      </c>
    </row>
    <row r="420" spans="1:49">
      <c r="A420" s="102">
        <v>801</v>
      </c>
      <c r="B420" s="7" t="s">
        <v>2106</v>
      </c>
      <c r="C420" s="7">
        <v>1</v>
      </c>
      <c r="D420" s="62">
        <f t="shared" si="159"/>
        <v>12802558</v>
      </c>
      <c r="E420" s="172">
        <f t="shared" si="160"/>
        <v>4744172</v>
      </c>
      <c r="F420" s="62">
        <f t="shared" si="161"/>
        <v>13483457.122205222</v>
      </c>
      <c r="G420" s="70">
        <f t="shared" si="162"/>
        <v>8363523</v>
      </c>
      <c r="H420" s="62">
        <f t="shared" si="163"/>
        <v>5119934</v>
      </c>
      <c r="I420" s="173">
        <f t="shared" si="164"/>
        <v>375762</v>
      </c>
      <c r="J420" s="174">
        <f t="shared" ca="1" si="158"/>
        <v>36.96</v>
      </c>
      <c r="K420" s="70">
        <f t="shared" ca="1" si="165"/>
        <v>4983486</v>
      </c>
      <c r="L420" s="70">
        <f t="shared" ca="1" si="166"/>
        <v>0</v>
      </c>
      <c r="M420" s="175">
        <f t="shared" ca="1" si="167"/>
        <v>0</v>
      </c>
      <c r="N420" s="70"/>
      <c r="O420" s="70"/>
      <c r="P420" s="70"/>
      <c r="Q420" s="62">
        <v>759</v>
      </c>
      <c r="R420" s="62">
        <f t="shared" si="168"/>
        <v>798.99999999999989</v>
      </c>
      <c r="S420" s="176"/>
      <c r="T420" s="176"/>
      <c r="U420" s="70"/>
      <c r="V420" s="70"/>
      <c r="W420" s="260"/>
      <c r="X420" s="62">
        <f t="shared" si="169"/>
        <v>1</v>
      </c>
      <c r="Y420" s="70"/>
      <c r="AA420" s="290"/>
      <c r="AB420" s="291"/>
      <c r="AC420" s="62"/>
      <c r="AD420" s="62"/>
      <c r="AE420" s="177">
        <f t="shared" si="170"/>
        <v>23969.999999999996</v>
      </c>
      <c r="AF420" s="177">
        <f t="shared" ca="1" si="171"/>
        <v>0</v>
      </c>
      <c r="AG420" s="70">
        <f t="shared" ca="1" si="172"/>
        <v>5119934</v>
      </c>
      <c r="AH420" s="70">
        <f t="shared" ca="1" si="173"/>
        <v>0</v>
      </c>
      <c r="AI420" s="587">
        <v>0</v>
      </c>
      <c r="AJ420" s="178">
        <f t="shared" ca="1" si="174"/>
        <v>5119934</v>
      </c>
      <c r="AK420" s="301">
        <f t="shared" ca="1" si="175"/>
        <v>37.971967823951026</v>
      </c>
      <c r="AL420" s="70">
        <f t="shared" ca="1" si="176"/>
        <v>13483457</v>
      </c>
      <c r="AM420" s="179">
        <f t="shared" ca="1" si="177"/>
        <v>99.999999093665508</v>
      </c>
      <c r="AN420" s="179"/>
      <c r="AO420" s="31">
        <f t="shared" si="178"/>
        <v>680899.12220522203</v>
      </c>
      <c r="AP420" s="31">
        <f t="shared" ca="1" si="179"/>
        <v>375762</v>
      </c>
      <c r="AQ420" s="31">
        <f t="shared" ca="1" si="180"/>
        <v>136448.24763295054</v>
      </c>
      <c r="AR420" s="180">
        <f t="shared" ca="1" si="181"/>
        <v>1.011967823951025</v>
      </c>
      <c r="AS420" s="31">
        <f t="shared" si="184"/>
        <v>16875.419999999998</v>
      </c>
      <c r="AU420" s="31">
        <f t="shared" si="182"/>
        <v>0</v>
      </c>
      <c r="AV420" s="177"/>
      <c r="AW420" s="31">
        <f t="shared" ca="1" si="183"/>
        <v>470.29036295369218</v>
      </c>
    </row>
    <row r="421" spans="1:49">
      <c r="A421" s="102">
        <v>805</v>
      </c>
      <c r="B421" s="7" t="s">
        <v>2107</v>
      </c>
      <c r="C421" s="7">
        <v>1</v>
      </c>
      <c r="D421" s="62">
        <f t="shared" si="159"/>
        <v>18149119</v>
      </c>
      <c r="E421" s="172">
        <f t="shared" si="160"/>
        <v>8153324</v>
      </c>
      <c r="F421" s="62">
        <f t="shared" si="161"/>
        <v>18527694.600344807</v>
      </c>
      <c r="G421" s="70">
        <f t="shared" si="162"/>
        <v>10824531</v>
      </c>
      <c r="H421" s="62">
        <f t="shared" si="163"/>
        <v>7703164</v>
      </c>
      <c r="I421" s="173">
        <f t="shared" si="164"/>
        <v>0</v>
      </c>
      <c r="J421" s="174">
        <f t="shared" ca="1" si="158"/>
        <v>40.98</v>
      </c>
      <c r="K421" s="70">
        <f t="shared" ca="1" si="165"/>
        <v>7592649</v>
      </c>
      <c r="L421" s="70">
        <f t="shared" ca="1" si="166"/>
        <v>0</v>
      </c>
      <c r="M421" s="175">
        <f t="shared" ca="1" si="167"/>
        <v>0</v>
      </c>
      <c r="N421" s="70"/>
      <c r="O421" s="70"/>
      <c r="P421" s="70"/>
      <c r="Q421" s="62">
        <v>1221</v>
      </c>
      <c r="R421" s="62">
        <f t="shared" si="168"/>
        <v>1227.0000000122702</v>
      </c>
      <c r="S421" s="176"/>
      <c r="T421" s="176"/>
      <c r="U421" s="70"/>
      <c r="V421" s="70"/>
      <c r="W421" s="260"/>
      <c r="X421" s="62">
        <f t="shared" si="169"/>
        <v>0</v>
      </c>
      <c r="Y421" s="70"/>
      <c r="AA421" s="290"/>
      <c r="AB421" s="291"/>
      <c r="AC421" s="62"/>
      <c r="AD421" s="62"/>
      <c r="AE421" s="177">
        <f t="shared" si="170"/>
        <v>36810.000000368105</v>
      </c>
      <c r="AF421" s="177">
        <f t="shared" ca="1" si="171"/>
        <v>36810.000000368105</v>
      </c>
      <c r="AG421" s="70">
        <f t="shared" ca="1" si="172"/>
        <v>8190134.0000003679</v>
      </c>
      <c r="AH421" s="70">
        <f t="shared" ca="1" si="173"/>
        <v>0</v>
      </c>
      <c r="AI421" s="587">
        <v>0</v>
      </c>
      <c r="AJ421" s="178">
        <f t="shared" ca="1" si="174"/>
        <v>8190134.0000003679</v>
      </c>
      <c r="AK421" s="301">
        <f t="shared" ca="1" si="175"/>
        <v>44.204819739677411</v>
      </c>
      <c r="AL421" s="70">
        <f t="shared" ca="1" si="176"/>
        <v>19014665.000000369</v>
      </c>
      <c r="AM421" s="179">
        <f t="shared" ca="1" si="177"/>
        <v>102.62833779463583</v>
      </c>
      <c r="AN421" s="179"/>
      <c r="AO421" s="31">
        <f t="shared" si="178"/>
        <v>378575.60034480691</v>
      </c>
      <c r="AP421" s="31">
        <f t="shared" ca="1" si="179"/>
        <v>36810.000000367872</v>
      </c>
      <c r="AQ421" s="31">
        <f t="shared" ca="1" si="180"/>
        <v>597484.75277906749</v>
      </c>
      <c r="AR421" s="180">
        <f t="shared" ca="1" si="181"/>
        <v>3.2248197396774145</v>
      </c>
      <c r="AS421" s="31">
        <f t="shared" si="184"/>
        <v>15100</v>
      </c>
      <c r="AU421" s="31">
        <f t="shared" si="182"/>
        <v>0</v>
      </c>
      <c r="AV421" s="177"/>
      <c r="AW421" s="31">
        <f t="shared" ca="1" si="183"/>
        <v>29.999999999999808</v>
      </c>
    </row>
    <row r="422" spans="1:49">
      <c r="A422" s="102">
        <v>806</v>
      </c>
      <c r="B422" s="7" t="s">
        <v>2108</v>
      </c>
      <c r="C422" s="7">
        <v>1</v>
      </c>
      <c r="D422" s="62">
        <f t="shared" si="159"/>
        <v>14501647</v>
      </c>
      <c r="E422" s="172">
        <f t="shared" si="160"/>
        <v>4689160</v>
      </c>
      <c r="F422" s="62">
        <f t="shared" si="161"/>
        <v>14512296.336987162</v>
      </c>
      <c r="G422" s="70">
        <f t="shared" si="162"/>
        <v>9777318</v>
      </c>
      <c r="H422" s="62">
        <f t="shared" si="163"/>
        <v>4734978</v>
      </c>
      <c r="I422" s="173">
        <f t="shared" si="164"/>
        <v>45818</v>
      </c>
      <c r="J422" s="174">
        <f t="shared" ca="1" si="158"/>
        <v>32.74</v>
      </c>
      <c r="K422" s="70">
        <f t="shared" ca="1" si="165"/>
        <v>4751326</v>
      </c>
      <c r="L422" s="70">
        <f t="shared" ca="1" si="166"/>
        <v>0</v>
      </c>
      <c r="M422" s="175">
        <f t="shared" ca="1" si="167"/>
        <v>0</v>
      </c>
      <c r="N422" s="70"/>
      <c r="O422" s="70"/>
      <c r="P422" s="70"/>
      <c r="Q422" s="62">
        <v>896</v>
      </c>
      <c r="R422" s="62">
        <f t="shared" si="168"/>
        <v>881</v>
      </c>
      <c r="S422" s="176"/>
      <c r="T422" s="176"/>
      <c r="U422" s="70"/>
      <c r="V422" s="70"/>
      <c r="W422" s="260"/>
      <c r="X422" s="62">
        <f t="shared" si="169"/>
        <v>1</v>
      </c>
      <c r="Y422" s="70"/>
      <c r="AA422" s="290"/>
      <c r="AB422" s="291"/>
      <c r="AC422" s="62"/>
      <c r="AD422" s="62"/>
      <c r="AE422" s="177">
        <f t="shared" si="170"/>
        <v>26430</v>
      </c>
      <c r="AF422" s="177">
        <f t="shared" ca="1" si="171"/>
        <v>0</v>
      </c>
      <c r="AG422" s="70">
        <f t="shared" ca="1" si="172"/>
        <v>4734978</v>
      </c>
      <c r="AH422" s="70">
        <f t="shared" ca="1" si="173"/>
        <v>0</v>
      </c>
      <c r="AI422" s="587">
        <v>0</v>
      </c>
      <c r="AJ422" s="178">
        <f t="shared" ca="1" si="174"/>
        <v>4734978</v>
      </c>
      <c r="AK422" s="301">
        <f t="shared" ca="1" si="175"/>
        <v>32.627351936936876</v>
      </c>
      <c r="AL422" s="70">
        <f t="shared" ca="1" si="176"/>
        <v>14512296</v>
      </c>
      <c r="AM422" s="179">
        <f t="shared" ca="1" si="177"/>
        <v>99.999997677919779</v>
      </c>
      <c r="AN422" s="179"/>
      <c r="AO422" s="31">
        <f t="shared" si="178"/>
        <v>10649.336987162009</v>
      </c>
      <c r="AP422" s="31">
        <f t="shared" ca="1" si="179"/>
        <v>45818</v>
      </c>
      <c r="AQ422" s="31">
        <f t="shared" ca="1" si="180"/>
        <v>-16347.820729597472</v>
      </c>
      <c r="AR422" s="180">
        <f t="shared" ca="1" si="181"/>
        <v>-0.11264806306312636</v>
      </c>
      <c r="AS422" s="31">
        <f t="shared" si="184"/>
        <v>16472.53</v>
      </c>
      <c r="AU422" s="31">
        <f t="shared" si="182"/>
        <v>0</v>
      </c>
      <c r="AV422" s="177"/>
      <c r="AW422" s="31">
        <f t="shared" ca="1" si="183"/>
        <v>52.006810442678777</v>
      </c>
    </row>
    <row r="423" spans="1:49">
      <c r="A423" s="102">
        <v>810</v>
      </c>
      <c r="B423" s="7" t="s">
        <v>2109</v>
      </c>
      <c r="C423" s="7">
        <v>1</v>
      </c>
      <c r="D423" s="62">
        <f t="shared" si="159"/>
        <v>20622505</v>
      </c>
      <c r="E423" s="172">
        <f t="shared" si="160"/>
        <v>10847624</v>
      </c>
      <c r="F423" s="62">
        <f t="shared" si="161"/>
        <v>21211911.426807255</v>
      </c>
      <c r="G423" s="70">
        <f t="shared" si="162"/>
        <v>10210686</v>
      </c>
      <c r="H423" s="62">
        <f t="shared" si="163"/>
        <v>11001225</v>
      </c>
      <c r="I423" s="173">
        <f t="shared" si="164"/>
        <v>153601</v>
      </c>
      <c r="J423" s="174">
        <f t="shared" ca="1" si="158"/>
        <v>52.12</v>
      </c>
      <c r="K423" s="70">
        <f t="shared" ca="1" si="165"/>
        <v>11055648</v>
      </c>
      <c r="L423" s="70">
        <f t="shared" ca="1" si="166"/>
        <v>0</v>
      </c>
      <c r="M423" s="175">
        <f t="shared" ca="1" si="167"/>
        <v>0</v>
      </c>
      <c r="N423" s="70"/>
      <c r="O423" s="70"/>
      <c r="P423" s="70"/>
      <c r="Q423" s="62">
        <v>1335</v>
      </c>
      <c r="R423" s="62">
        <f t="shared" si="168"/>
        <v>1341.00000001341</v>
      </c>
      <c r="S423" s="176"/>
      <c r="T423" s="176"/>
      <c r="U423" s="70"/>
      <c r="V423" s="70"/>
      <c r="W423" s="260"/>
      <c r="X423" s="62">
        <f t="shared" si="169"/>
        <v>1</v>
      </c>
      <c r="Y423" s="70"/>
      <c r="AA423" s="292"/>
      <c r="AB423" s="291"/>
      <c r="AC423" s="62"/>
      <c r="AD423" s="62"/>
      <c r="AE423" s="177">
        <f t="shared" si="170"/>
        <v>40230.000000402302</v>
      </c>
      <c r="AF423" s="177">
        <f t="shared" ca="1" si="171"/>
        <v>0</v>
      </c>
      <c r="AG423" s="70">
        <f t="shared" ca="1" si="172"/>
        <v>11001225</v>
      </c>
      <c r="AH423" s="70">
        <f t="shared" ca="1" si="173"/>
        <v>0</v>
      </c>
      <c r="AI423" s="587">
        <v>0</v>
      </c>
      <c r="AJ423" s="178">
        <f t="shared" ca="1" si="174"/>
        <v>11001225</v>
      </c>
      <c r="AK423" s="301">
        <f t="shared" ca="1" si="175"/>
        <v>51.863430780202293</v>
      </c>
      <c r="AL423" s="70">
        <f t="shared" ca="1" si="176"/>
        <v>21211911</v>
      </c>
      <c r="AM423" s="179">
        <f t="shared" ca="1" si="177"/>
        <v>99.999997987888761</v>
      </c>
      <c r="AN423" s="179"/>
      <c r="AO423" s="31">
        <f t="shared" si="178"/>
        <v>589406.42680725455</v>
      </c>
      <c r="AP423" s="31">
        <f t="shared" ca="1" si="179"/>
        <v>153601</v>
      </c>
      <c r="AQ423" s="31">
        <f t="shared" ca="1" si="180"/>
        <v>-54423.235651940107</v>
      </c>
      <c r="AR423" s="180">
        <f t="shared" ca="1" si="181"/>
        <v>-0.25656921979770431</v>
      </c>
      <c r="AS423" s="31">
        <f t="shared" si="184"/>
        <v>15817.98</v>
      </c>
      <c r="AU423" s="31">
        <f t="shared" si="182"/>
        <v>0</v>
      </c>
      <c r="AV423" s="177"/>
      <c r="AW423" s="31">
        <f t="shared" ca="1" si="183"/>
        <v>114.54213273561818</v>
      </c>
    </row>
    <row r="424" spans="1:49">
      <c r="A424" s="102">
        <v>815</v>
      </c>
      <c r="B424" s="7" t="s">
        <v>2110</v>
      </c>
      <c r="C424" s="7">
        <v>1</v>
      </c>
      <c r="D424" s="62">
        <f t="shared" si="159"/>
        <v>9867056</v>
      </c>
      <c r="E424" s="172">
        <f t="shared" si="160"/>
        <v>2130477</v>
      </c>
      <c r="F424" s="62">
        <f t="shared" si="161"/>
        <v>10216575.999388266</v>
      </c>
      <c r="G424" s="70">
        <f t="shared" si="162"/>
        <v>8480852</v>
      </c>
      <c r="H424" s="62">
        <f t="shared" si="163"/>
        <v>1735724</v>
      </c>
      <c r="I424" s="173">
        <f t="shared" si="164"/>
        <v>0</v>
      </c>
      <c r="J424" s="174">
        <f t="shared" ca="1" si="158"/>
        <v>17.510000000000002</v>
      </c>
      <c r="K424" s="70">
        <f t="shared" ca="1" si="165"/>
        <v>1788922</v>
      </c>
      <c r="L424" s="70">
        <f t="shared" ca="1" si="166"/>
        <v>0</v>
      </c>
      <c r="M424" s="175">
        <f t="shared" ca="1" si="167"/>
        <v>0</v>
      </c>
      <c r="N424" s="70"/>
      <c r="O424" s="70"/>
      <c r="P424" s="70"/>
      <c r="Q424" s="62">
        <v>618</v>
      </c>
      <c r="R424" s="62">
        <f t="shared" si="168"/>
        <v>623</v>
      </c>
      <c r="S424" s="176"/>
      <c r="T424" s="176"/>
      <c r="U424" s="70"/>
      <c r="V424" s="70"/>
      <c r="W424" s="260"/>
      <c r="X424" s="62">
        <f t="shared" si="169"/>
        <v>0</v>
      </c>
      <c r="Y424" s="70"/>
      <c r="AA424" s="290"/>
      <c r="AB424" s="291"/>
      <c r="AC424" s="62"/>
      <c r="AD424" s="62"/>
      <c r="AE424" s="177">
        <f t="shared" si="170"/>
        <v>18690</v>
      </c>
      <c r="AF424" s="177">
        <f t="shared" ca="1" si="171"/>
        <v>18690</v>
      </c>
      <c r="AG424" s="70">
        <f t="shared" ca="1" si="172"/>
        <v>2149167</v>
      </c>
      <c r="AH424" s="70">
        <f t="shared" ca="1" si="173"/>
        <v>0</v>
      </c>
      <c r="AI424" s="587">
        <v>0</v>
      </c>
      <c r="AJ424" s="178">
        <f t="shared" ca="1" si="174"/>
        <v>2149167</v>
      </c>
      <c r="AK424" s="301">
        <f t="shared" ca="1" si="175"/>
        <v>21.03607901638166</v>
      </c>
      <c r="AL424" s="70">
        <f t="shared" ca="1" si="176"/>
        <v>10630019</v>
      </c>
      <c r="AM424" s="179">
        <f t="shared" ca="1" si="177"/>
        <v>104.0467863268133</v>
      </c>
      <c r="AN424" s="179"/>
      <c r="AO424" s="31">
        <f t="shared" si="178"/>
        <v>349519.99938826635</v>
      </c>
      <c r="AP424" s="31">
        <f t="shared" ca="1" si="179"/>
        <v>18690</v>
      </c>
      <c r="AQ424" s="31">
        <f t="shared" ca="1" si="180"/>
        <v>360244.54250711459</v>
      </c>
      <c r="AR424" s="180">
        <f t="shared" ca="1" si="181"/>
        <v>3.526079016381658</v>
      </c>
      <c r="AS424" s="31">
        <f t="shared" si="184"/>
        <v>16399</v>
      </c>
      <c r="AU424" s="31">
        <f t="shared" si="182"/>
        <v>0</v>
      </c>
      <c r="AV424" s="177"/>
      <c r="AW424" s="31">
        <f t="shared" ca="1" si="183"/>
        <v>30</v>
      </c>
    </row>
    <row r="425" spans="1:49">
      <c r="A425" s="102">
        <v>817</v>
      </c>
      <c r="B425" s="7" t="s">
        <v>1684</v>
      </c>
      <c r="C425" s="7">
        <v>1</v>
      </c>
      <c r="D425" s="62">
        <f t="shared" si="159"/>
        <v>14380155</v>
      </c>
      <c r="E425" s="172">
        <f t="shared" si="160"/>
        <v>3454325</v>
      </c>
      <c r="F425" s="62">
        <f t="shared" si="161"/>
        <v>16129989.412692271</v>
      </c>
      <c r="G425" s="70">
        <f t="shared" si="162"/>
        <v>12242834</v>
      </c>
      <c r="H425" s="62">
        <f t="shared" si="163"/>
        <v>3887155</v>
      </c>
      <c r="I425" s="173">
        <f t="shared" si="164"/>
        <v>432830</v>
      </c>
      <c r="J425" s="174">
        <f t="shared" ref="J425:J447" ca="1" si="185">ROUND(100-SUMIF(fraclea,A425,memeffpct),2)</f>
        <v>24.45</v>
      </c>
      <c r="K425" s="70">
        <f t="shared" ca="1" si="165"/>
        <v>3943782</v>
      </c>
      <c r="L425" s="70">
        <f t="shared" ca="1" si="166"/>
        <v>0</v>
      </c>
      <c r="M425" s="175">
        <f t="shared" ca="1" si="167"/>
        <v>0</v>
      </c>
      <c r="N425" s="70"/>
      <c r="O425" s="70"/>
      <c r="P425" s="70"/>
      <c r="Q425" s="62">
        <v>912</v>
      </c>
      <c r="R425" s="62">
        <f t="shared" si="168"/>
        <v>1014.0000000101398</v>
      </c>
      <c r="S425" s="176"/>
      <c r="T425" s="176"/>
      <c r="U425" s="70"/>
      <c r="V425" s="70"/>
      <c r="W425" s="260"/>
      <c r="X425" s="62">
        <f t="shared" si="169"/>
        <v>1</v>
      </c>
      <c r="Y425" s="70"/>
      <c r="AA425" s="290"/>
      <c r="AB425" s="291"/>
      <c r="AC425" s="62"/>
      <c r="AD425" s="62"/>
      <c r="AE425" s="177">
        <f t="shared" si="170"/>
        <v>30420.000000304197</v>
      </c>
      <c r="AF425" s="177">
        <f t="shared" ca="1" si="171"/>
        <v>0</v>
      </c>
      <c r="AG425" s="70">
        <f t="shared" ca="1" si="172"/>
        <v>3887155</v>
      </c>
      <c r="AH425" s="70">
        <f t="shared" ca="1" si="173"/>
        <v>0</v>
      </c>
      <c r="AI425" s="587">
        <v>0</v>
      </c>
      <c r="AJ425" s="178">
        <f t="shared" ca="1" si="174"/>
        <v>3887155</v>
      </c>
      <c r="AK425" s="301">
        <f t="shared" ca="1" si="175"/>
        <v>24.098930883000445</v>
      </c>
      <c r="AL425" s="70">
        <f t="shared" ca="1" si="176"/>
        <v>16129989</v>
      </c>
      <c r="AM425" s="179">
        <f t="shared" ca="1" si="177"/>
        <v>99.999997441459755</v>
      </c>
      <c r="AN425" s="179"/>
      <c r="AO425" s="31">
        <f t="shared" si="178"/>
        <v>1749834.4126922712</v>
      </c>
      <c r="AP425" s="31">
        <f t="shared" ca="1" si="179"/>
        <v>432830</v>
      </c>
      <c r="AQ425" s="31">
        <f t="shared" ca="1" si="180"/>
        <v>-56627.411403260194</v>
      </c>
      <c r="AR425" s="180">
        <f t="shared" ca="1" si="181"/>
        <v>-0.3510691169995539</v>
      </c>
      <c r="AS425" s="31">
        <f t="shared" si="184"/>
        <v>15907.29</v>
      </c>
      <c r="AU425" s="31">
        <f t="shared" si="182"/>
        <v>0</v>
      </c>
      <c r="AV425" s="177"/>
      <c r="AW425" s="31">
        <f t="shared" ca="1" si="183"/>
        <v>426.85404338823645</v>
      </c>
    </row>
    <row r="426" spans="1:49">
      <c r="A426" s="102">
        <v>818</v>
      </c>
      <c r="B426" s="7" t="s">
        <v>2111</v>
      </c>
      <c r="C426" s="7">
        <v>1</v>
      </c>
      <c r="D426" s="62">
        <f t="shared" si="159"/>
        <v>7510077</v>
      </c>
      <c r="E426" s="172">
        <f t="shared" si="160"/>
        <v>3475025.8843999999</v>
      </c>
      <c r="F426" s="62">
        <f t="shared" si="161"/>
        <v>7241932.8547982732</v>
      </c>
      <c r="G426" s="70">
        <f t="shared" si="162"/>
        <v>3955977</v>
      </c>
      <c r="H426" s="62">
        <f t="shared" si="163"/>
        <v>3285956</v>
      </c>
      <c r="I426" s="173">
        <f t="shared" si="164"/>
        <v>0</v>
      </c>
      <c r="J426" s="174">
        <f t="shared" ca="1" si="185"/>
        <v>45.87</v>
      </c>
      <c r="K426" s="70">
        <f t="shared" ca="1" si="165"/>
        <v>3321875</v>
      </c>
      <c r="L426" s="70">
        <f t="shared" ca="1" si="166"/>
        <v>0</v>
      </c>
      <c r="M426" s="175">
        <f t="shared" ca="1" si="167"/>
        <v>0</v>
      </c>
      <c r="N426" s="70"/>
      <c r="O426" s="70"/>
      <c r="P426" s="70"/>
      <c r="Q426" s="62">
        <v>463</v>
      </c>
      <c r="R426" s="62">
        <f t="shared" si="168"/>
        <v>437.00000001310997</v>
      </c>
      <c r="S426" s="176"/>
      <c r="T426" s="176"/>
      <c r="U426" s="70"/>
      <c r="V426" s="70"/>
      <c r="W426" s="260"/>
      <c r="X426" s="62">
        <f t="shared" si="169"/>
        <v>0</v>
      </c>
      <c r="Y426" s="70"/>
      <c r="AA426" s="292"/>
      <c r="AB426" s="291"/>
      <c r="AC426" s="62"/>
      <c r="AD426" s="62"/>
      <c r="AE426" s="177">
        <f t="shared" si="170"/>
        <v>13110.000000393298</v>
      </c>
      <c r="AF426" s="177">
        <f t="shared" ca="1" si="171"/>
        <v>13110.000000393298</v>
      </c>
      <c r="AG426" s="70">
        <f t="shared" ca="1" si="172"/>
        <v>3488135.8844003933</v>
      </c>
      <c r="AH426" s="70">
        <f t="shared" ca="1" si="173"/>
        <v>0</v>
      </c>
      <c r="AI426" s="587">
        <v>0</v>
      </c>
      <c r="AJ426" s="178">
        <f t="shared" ca="1" si="174"/>
        <v>3488135.8844003933</v>
      </c>
      <c r="AK426" s="301">
        <f t="shared" ca="1" si="175"/>
        <v>48.165813662429443</v>
      </c>
      <c r="AL426" s="70">
        <f t="shared" ca="1" si="176"/>
        <v>7444112.8844003938</v>
      </c>
      <c r="AM426" s="179">
        <f t="shared" ca="1" si="177"/>
        <v>102.79179652250107</v>
      </c>
      <c r="AN426" s="179"/>
      <c r="AO426" s="31">
        <f t="shared" si="178"/>
        <v>-268144.14520172682</v>
      </c>
      <c r="AP426" s="31">
        <f t="shared" ca="1" si="179"/>
        <v>13110.000000393484</v>
      </c>
      <c r="AQ426" s="31">
        <f t="shared" ca="1" si="180"/>
        <v>166261.28390442533</v>
      </c>
      <c r="AR426" s="180">
        <f t="shared" ca="1" si="181"/>
        <v>2.2958136624294454</v>
      </c>
      <c r="AS426" s="31">
        <f t="shared" si="184"/>
        <v>16571.93</v>
      </c>
      <c r="AU426" s="31">
        <f t="shared" si="182"/>
        <v>0</v>
      </c>
      <c r="AV426" s="177"/>
      <c r="AW426" s="31">
        <f t="shared" ca="1" si="183"/>
        <v>30.000000000000423</v>
      </c>
    </row>
    <row r="427" spans="1:49">
      <c r="A427" s="102">
        <v>821</v>
      </c>
      <c r="B427" s="7" t="s">
        <v>2112</v>
      </c>
      <c r="C427" s="7">
        <v>1</v>
      </c>
      <c r="D427" s="62">
        <f t="shared" si="159"/>
        <v>23332972</v>
      </c>
      <c r="E427" s="172">
        <f t="shared" si="160"/>
        <v>15901659</v>
      </c>
      <c r="F427" s="62">
        <f t="shared" si="161"/>
        <v>23441355.209892597</v>
      </c>
      <c r="G427" s="70">
        <f t="shared" si="162"/>
        <v>7581869</v>
      </c>
      <c r="H427" s="62">
        <f t="shared" si="163"/>
        <v>15859486</v>
      </c>
      <c r="I427" s="173">
        <f t="shared" si="164"/>
        <v>0</v>
      </c>
      <c r="J427" s="174">
        <f t="shared" ca="1" si="185"/>
        <v>64.040000000000006</v>
      </c>
      <c r="K427" s="70">
        <f t="shared" ca="1" si="165"/>
        <v>15011844</v>
      </c>
      <c r="L427" s="70">
        <f t="shared" ca="1" si="166"/>
        <v>0</v>
      </c>
      <c r="M427" s="175">
        <f t="shared" ca="1" si="167"/>
        <v>0</v>
      </c>
      <c r="N427" s="70"/>
      <c r="O427" s="70"/>
      <c r="P427" s="70"/>
      <c r="Q427" s="62">
        <v>1480</v>
      </c>
      <c r="R427" s="62">
        <f t="shared" si="168"/>
        <v>1447</v>
      </c>
      <c r="S427" s="176"/>
      <c r="T427" s="176"/>
      <c r="U427" s="70"/>
      <c r="V427" s="70"/>
      <c r="W427" s="260"/>
      <c r="X427" s="62">
        <f t="shared" si="169"/>
        <v>0</v>
      </c>
      <c r="Y427" s="70"/>
      <c r="AA427" s="290"/>
      <c r="AB427" s="291"/>
      <c r="AC427" s="62"/>
      <c r="AD427" s="62"/>
      <c r="AE427" s="177">
        <f t="shared" si="170"/>
        <v>43410</v>
      </c>
      <c r="AF427" s="177">
        <f t="shared" ca="1" si="171"/>
        <v>43410</v>
      </c>
      <c r="AG427" s="70">
        <f t="shared" ca="1" si="172"/>
        <v>15945069</v>
      </c>
      <c r="AH427" s="70">
        <f t="shared" ca="1" si="173"/>
        <v>0</v>
      </c>
      <c r="AI427" s="587">
        <v>0</v>
      </c>
      <c r="AJ427" s="178">
        <f t="shared" ca="1" si="174"/>
        <v>15945069</v>
      </c>
      <c r="AK427" s="301">
        <f t="shared" ca="1" si="175"/>
        <v>68.021105679380454</v>
      </c>
      <c r="AL427" s="70">
        <f t="shared" ca="1" si="176"/>
        <v>23526938</v>
      </c>
      <c r="AM427" s="179">
        <f t="shared" ca="1" si="177"/>
        <v>100.36509318399511</v>
      </c>
      <c r="AN427" s="179"/>
      <c r="AO427" s="31">
        <f t="shared" si="178"/>
        <v>108383.20989259705</v>
      </c>
      <c r="AP427" s="31">
        <f t="shared" ca="1" si="179"/>
        <v>43410</v>
      </c>
      <c r="AQ427" s="31">
        <f t="shared" ca="1" si="180"/>
        <v>933225.12358477898</v>
      </c>
      <c r="AR427" s="180">
        <f t="shared" ca="1" si="181"/>
        <v>3.9811056793804482</v>
      </c>
      <c r="AS427" s="31">
        <f t="shared" si="184"/>
        <v>16199.97</v>
      </c>
      <c r="AU427" s="31">
        <f t="shared" si="182"/>
        <v>0</v>
      </c>
      <c r="AV427" s="177"/>
      <c r="AW427" s="31">
        <f t="shared" ca="1" si="183"/>
        <v>30</v>
      </c>
    </row>
    <row r="428" spans="1:49">
      <c r="A428" s="102">
        <v>823</v>
      </c>
      <c r="B428" s="7" t="s">
        <v>2113</v>
      </c>
      <c r="C428" s="7">
        <v>1</v>
      </c>
      <c r="D428" s="62">
        <f t="shared" si="159"/>
        <v>27130809</v>
      </c>
      <c r="E428" s="172">
        <f t="shared" si="160"/>
        <v>22517145</v>
      </c>
      <c r="F428" s="62">
        <f t="shared" si="161"/>
        <v>28198339.274539281</v>
      </c>
      <c r="G428" s="70">
        <f t="shared" si="162"/>
        <v>4675584</v>
      </c>
      <c r="H428" s="62">
        <f t="shared" si="163"/>
        <v>23522755</v>
      </c>
      <c r="I428" s="173">
        <f t="shared" si="164"/>
        <v>1005610</v>
      </c>
      <c r="J428" s="174">
        <f t="shared" ca="1" si="185"/>
        <v>77.040000000000006</v>
      </c>
      <c r="K428" s="70">
        <f t="shared" ca="1" si="165"/>
        <v>21724001</v>
      </c>
      <c r="L428" s="70">
        <f t="shared" ca="1" si="166"/>
        <v>0</v>
      </c>
      <c r="M428" s="175">
        <f t="shared" ca="1" si="167"/>
        <v>0</v>
      </c>
      <c r="N428" s="70"/>
      <c r="O428" s="70"/>
      <c r="P428" s="70"/>
      <c r="Q428" s="62">
        <v>1518</v>
      </c>
      <c r="R428" s="62">
        <f t="shared" si="168"/>
        <v>1555.0000000155501</v>
      </c>
      <c r="S428" s="176"/>
      <c r="T428" s="176"/>
      <c r="U428" s="70"/>
      <c r="V428" s="70"/>
      <c r="W428" s="260"/>
      <c r="X428" s="62">
        <f t="shared" si="169"/>
        <v>1</v>
      </c>
      <c r="Y428" s="70"/>
      <c r="AA428" s="290"/>
      <c r="AB428" s="291"/>
      <c r="AC428" s="62"/>
      <c r="AD428" s="62"/>
      <c r="AE428" s="177">
        <f t="shared" si="170"/>
        <v>46650.000000466505</v>
      </c>
      <c r="AF428" s="177">
        <f t="shared" ca="1" si="171"/>
        <v>0</v>
      </c>
      <c r="AG428" s="70">
        <f t="shared" ca="1" si="172"/>
        <v>23522755</v>
      </c>
      <c r="AH428" s="70">
        <f t="shared" ca="1" si="173"/>
        <v>0</v>
      </c>
      <c r="AI428" s="587">
        <v>0</v>
      </c>
      <c r="AJ428" s="178">
        <f t="shared" ca="1" si="174"/>
        <v>23522755</v>
      </c>
      <c r="AK428" s="301">
        <f t="shared" ca="1" si="175"/>
        <v>83.418937445153247</v>
      </c>
      <c r="AL428" s="70">
        <f t="shared" ca="1" si="176"/>
        <v>28198339</v>
      </c>
      <c r="AM428" s="179">
        <f t="shared" ca="1" si="177"/>
        <v>99.999999026399109</v>
      </c>
      <c r="AN428" s="179"/>
      <c r="AO428" s="31">
        <f t="shared" si="178"/>
        <v>1067530.2745392807</v>
      </c>
      <c r="AP428" s="31">
        <f t="shared" ca="1" si="179"/>
        <v>1005610</v>
      </c>
      <c r="AQ428" s="31">
        <f t="shared" ca="1" si="180"/>
        <v>1798754.4228949361</v>
      </c>
      <c r="AR428" s="180">
        <f t="shared" ca="1" si="181"/>
        <v>6.378937445153241</v>
      </c>
      <c r="AS428" s="31">
        <f t="shared" si="184"/>
        <v>18133.98</v>
      </c>
      <c r="AU428" s="31">
        <f t="shared" si="182"/>
        <v>0</v>
      </c>
      <c r="AV428" s="177"/>
      <c r="AW428" s="31">
        <f t="shared" ca="1" si="183"/>
        <v>646.6945337555909</v>
      </c>
    </row>
    <row r="429" spans="1:49">
      <c r="A429" s="102">
        <v>825</v>
      </c>
      <c r="B429" s="7" t="s">
        <v>2114</v>
      </c>
      <c r="C429" s="7">
        <v>1</v>
      </c>
      <c r="D429" s="62">
        <f t="shared" si="159"/>
        <v>34911179</v>
      </c>
      <c r="E429" s="172">
        <f t="shared" si="160"/>
        <v>24808344</v>
      </c>
      <c r="F429" s="62">
        <f t="shared" si="161"/>
        <v>35334771.991298027</v>
      </c>
      <c r="G429" s="70">
        <f t="shared" si="162"/>
        <v>10506130</v>
      </c>
      <c r="H429" s="62">
        <f t="shared" si="163"/>
        <v>24828642</v>
      </c>
      <c r="I429" s="173">
        <f t="shared" si="164"/>
        <v>20298</v>
      </c>
      <c r="J429" s="174">
        <f t="shared" ca="1" si="185"/>
        <v>66.28</v>
      </c>
      <c r="K429" s="70">
        <f t="shared" ca="1" si="165"/>
        <v>23419887</v>
      </c>
      <c r="L429" s="70">
        <f t="shared" ca="1" si="166"/>
        <v>0</v>
      </c>
      <c r="M429" s="175">
        <f t="shared" ca="1" si="167"/>
        <v>0</v>
      </c>
      <c r="N429" s="70"/>
      <c r="O429" s="70"/>
      <c r="P429" s="70"/>
      <c r="Q429" s="62">
        <v>2175</v>
      </c>
      <c r="R429" s="62">
        <f t="shared" si="168"/>
        <v>2156.99999997843</v>
      </c>
      <c r="S429" s="176"/>
      <c r="T429" s="176"/>
      <c r="U429" s="70"/>
      <c r="V429" s="70"/>
      <c r="W429" s="260"/>
      <c r="X429" s="62">
        <f t="shared" si="169"/>
        <v>1</v>
      </c>
      <c r="Y429" s="70"/>
      <c r="AA429" s="290"/>
      <c r="AB429" s="291"/>
      <c r="AC429" s="62"/>
      <c r="AD429" s="62"/>
      <c r="AE429" s="177">
        <f t="shared" si="170"/>
        <v>64709.999999352898</v>
      </c>
      <c r="AF429" s="177">
        <f t="shared" ca="1" si="171"/>
        <v>44411.999999352898</v>
      </c>
      <c r="AG429" s="70">
        <f t="shared" ca="1" si="172"/>
        <v>24873053.999999352</v>
      </c>
      <c r="AH429" s="70">
        <f t="shared" ca="1" si="173"/>
        <v>0</v>
      </c>
      <c r="AI429" s="587">
        <v>0</v>
      </c>
      <c r="AJ429" s="178">
        <f t="shared" ca="1" si="174"/>
        <v>24873053.999999352</v>
      </c>
      <c r="AK429" s="301">
        <f t="shared" ca="1" si="175"/>
        <v>70.392569693459166</v>
      </c>
      <c r="AL429" s="70">
        <f t="shared" ca="1" si="176"/>
        <v>35379183.999999352</v>
      </c>
      <c r="AM429" s="179">
        <f t="shared" ca="1" si="177"/>
        <v>100.12568924659331</v>
      </c>
      <c r="AN429" s="179"/>
      <c r="AO429" s="31">
        <f t="shared" si="178"/>
        <v>423592.99129802734</v>
      </c>
      <c r="AP429" s="31">
        <f t="shared" ca="1" si="179"/>
        <v>64709.999999351799</v>
      </c>
      <c r="AQ429" s="31">
        <f t="shared" ca="1" si="180"/>
        <v>1453167.1241670176</v>
      </c>
      <c r="AR429" s="180">
        <f t="shared" ca="1" si="181"/>
        <v>4.1125696934591645</v>
      </c>
      <c r="AS429" s="31">
        <f t="shared" si="184"/>
        <v>16381.44</v>
      </c>
      <c r="AU429" s="31">
        <f t="shared" si="182"/>
        <v>0</v>
      </c>
      <c r="AV429" s="177"/>
      <c r="AW429" s="31">
        <f t="shared" ca="1" si="183"/>
        <v>29.999999999999492</v>
      </c>
    </row>
    <row r="430" spans="1:49">
      <c r="A430" s="102">
        <v>828</v>
      </c>
      <c r="B430" s="7" t="s">
        <v>2115</v>
      </c>
      <c r="C430" s="7">
        <v>1</v>
      </c>
      <c r="D430" s="62">
        <f t="shared" si="159"/>
        <v>35531900</v>
      </c>
      <c r="E430" s="172">
        <f t="shared" si="160"/>
        <v>23860787</v>
      </c>
      <c r="F430" s="62">
        <f t="shared" si="161"/>
        <v>37509502.791465104</v>
      </c>
      <c r="G430" s="70">
        <f t="shared" si="162"/>
        <v>12482002</v>
      </c>
      <c r="H430" s="62">
        <f t="shared" si="163"/>
        <v>25027501</v>
      </c>
      <c r="I430" s="173">
        <f t="shared" si="164"/>
        <v>1166714</v>
      </c>
      <c r="J430" s="174">
        <f t="shared" ca="1" si="185"/>
        <v>65.42</v>
      </c>
      <c r="K430" s="70">
        <f t="shared" ca="1" si="165"/>
        <v>24538717</v>
      </c>
      <c r="L430" s="70">
        <f t="shared" ca="1" si="166"/>
        <v>0</v>
      </c>
      <c r="M430" s="175">
        <f t="shared" ca="1" si="167"/>
        <v>0</v>
      </c>
      <c r="N430" s="70"/>
      <c r="O430" s="70"/>
      <c r="P430" s="70"/>
      <c r="Q430" s="62">
        <v>2187</v>
      </c>
      <c r="R430" s="62">
        <f t="shared" si="168"/>
        <v>2252</v>
      </c>
      <c r="S430" s="176"/>
      <c r="T430" s="176"/>
      <c r="U430" s="70"/>
      <c r="V430" s="70"/>
      <c r="W430" s="260"/>
      <c r="X430" s="62">
        <f t="shared" si="169"/>
        <v>1</v>
      </c>
      <c r="Y430" s="70"/>
      <c r="AA430" s="290"/>
      <c r="AB430" s="291"/>
      <c r="AC430" s="62"/>
      <c r="AD430" s="62"/>
      <c r="AE430" s="177">
        <f t="shared" si="170"/>
        <v>67560</v>
      </c>
      <c r="AF430" s="177">
        <f t="shared" ca="1" si="171"/>
        <v>0</v>
      </c>
      <c r="AG430" s="70">
        <f t="shared" ca="1" si="172"/>
        <v>25027501</v>
      </c>
      <c r="AH430" s="70">
        <f t="shared" ca="1" si="173"/>
        <v>0</v>
      </c>
      <c r="AI430" s="587">
        <v>0</v>
      </c>
      <c r="AJ430" s="178">
        <f t="shared" ca="1" si="174"/>
        <v>25027501</v>
      </c>
      <c r="AK430" s="301">
        <f t="shared" ca="1" si="175"/>
        <v>66.723094515917566</v>
      </c>
      <c r="AL430" s="70">
        <f t="shared" ca="1" si="176"/>
        <v>37509503</v>
      </c>
      <c r="AM430" s="179">
        <f t="shared" ca="1" si="177"/>
        <v>100.00000055595217</v>
      </c>
      <c r="AN430" s="179"/>
      <c r="AO430" s="31">
        <f t="shared" si="178"/>
        <v>1977602.7914651036</v>
      </c>
      <c r="AP430" s="31">
        <f t="shared" ca="1" si="179"/>
        <v>1166714</v>
      </c>
      <c r="AQ430" s="31">
        <f t="shared" ca="1" si="180"/>
        <v>488784.27382352948</v>
      </c>
      <c r="AR430" s="180">
        <f t="shared" ca="1" si="181"/>
        <v>1.3030945159175644</v>
      </c>
      <c r="AS430" s="31">
        <f t="shared" si="184"/>
        <v>16656.080000000002</v>
      </c>
      <c r="AU430" s="31">
        <f t="shared" si="182"/>
        <v>0</v>
      </c>
      <c r="AV430" s="177"/>
      <c r="AW430" s="31">
        <f t="shared" ca="1" si="183"/>
        <v>518.07904085257553</v>
      </c>
    </row>
    <row r="431" spans="1:49">
      <c r="A431" s="102">
        <v>829</v>
      </c>
      <c r="B431" s="7" t="s">
        <v>2116</v>
      </c>
      <c r="C431" s="7">
        <v>1</v>
      </c>
      <c r="D431" s="62">
        <f t="shared" si="159"/>
        <v>11942604</v>
      </c>
      <c r="E431" s="172">
        <f t="shared" si="160"/>
        <v>4386161</v>
      </c>
      <c r="F431" s="62">
        <f t="shared" si="161"/>
        <v>12170547.123704944</v>
      </c>
      <c r="G431" s="70">
        <f t="shared" si="162"/>
        <v>7850604</v>
      </c>
      <c r="H431" s="62">
        <f t="shared" si="163"/>
        <v>4319943</v>
      </c>
      <c r="I431" s="173">
        <f t="shared" si="164"/>
        <v>0</v>
      </c>
      <c r="J431" s="174">
        <f t="shared" ca="1" si="185"/>
        <v>33.82</v>
      </c>
      <c r="K431" s="70">
        <f t="shared" ca="1" si="165"/>
        <v>4116079</v>
      </c>
      <c r="L431" s="70">
        <f t="shared" ca="1" si="166"/>
        <v>0</v>
      </c>
      <c r="M431" s="175">
        <f t="shared" ca="1" si="167"/>
        <v>0</v>
      </c>
      <c r="N431" s="70"/>
      <c r="O431" s="70"/>
      <c r="P431" s="70"/>
      <c r="Q431" s="62">
        <v>707</v>
      </c>
      <c r="R431" s="62">
        <f t="shared" si="168"/>
        <v>716.00000000716</v>
      </c>
      <c r="S431" s="176"/>
      <c r="T431" s="176"/>
      <c r="U431" s="70"/>
      <c r="V431" s="70"/>
      <c r="W431" s="260"/>
      <c r="X431" s="62">
        <f t="shared" si="169"/>
        <v>0</v>
      </c>
      <c r="Y431" s="70"/>
      <c r="AA431" s="290"/>
      <c r="AB431" s="291"/>
      <c r="AC431" s="62"/>
      <c r="AD431" s="62"/>
      <c r="AE431" s="177">
        <f t="shared" si="170"/>
        <v>21480.000000214801</v>
      </c>
      <c r="AF431" s="177">
        <f t="shared" ca="1" si="171"/>
        <v>21480.000000214801</v>
      </c>
      <c r="AG431" s="70">
        <f t="shared" ca="1" si="172"/>
        <v>4407641.0000002151</v>
      </c>
      <c r="AH431" s="70">
        <f t="shared" ca="1" si="173"/>
        <v>0</v>
      </c>
      <c r="AI431" s="587">
        <v>0</v>
      </c>
      <c r="AJ431" s="178">
        <f t="shared" ca="1" si="174"/>
        <v>4407641.0000002151</v>
      </c>
      <c r="AK431" s="301">
        <f t="shared" ca="1" si="175"/>
        <v>36.215635625906408</v>
      </c>
      <c r="AL431" s="70">
        <f t="shared" ca="1" si="176"/>
        <v>12258245.000000216</v>
      </c>
      <c r="AM431" s="179">
        <f t="shared" ca="1" si="177"/>
        <v>100.72057464141822</v>
      </c>
      <c r="AN431" s="179"/>
      <c r="AO431" s="31">
        <f t="shared" si="178"/>
        <v>227943.12370494381</v>
      </c>
      <c r="AP431" s="31">
        <f t="shared" ca="1" si="179"/>
        <v>21480.000000215136</v>
      </c>
      <c r="AQ431" s="31">
        <f t="shared" ca="1" si="180"/>
        <v>291561.96276320331</v>
      </c>
      <c r="AR431" s="180">
        <f t="shared" ca="1" si="181"/>
        <v>2.395635625906408</v>
      </c>
      <c r="AS431" s="31">
        <f t="shared" si="184"/>
        <v>16997.97</v>
      </c>
      <c r="AU431" s="31">
        <f t="shared" si="182"/>
        <v>0</v>
      </c>
      <c r="AV431" s="177"/>
      <c r="AW431" s="31">
        <f t="shared" ca="1" si="183"/>
        <v>30.000000000000469</v>
      </c>
    </row>
    <row r="432" spans="1:49">
      <c r="A432" s="102">
        <v>830</v>
      </c>
      <c r="B432" s="7" t="s">
        <v>2117</v>
      </c>
      <c r="C432" s="7">
        <v>1</v>
      </c>
      <c r="D432" s="62">
        <f t="shared" si="159"/>
        <v>6744963</v>
      </c>
      <c r="E432" s="172">
        <f t="shared" si="160"/>
        <v>2064483</v>
      </c>
      <c r="F432" s="62">
        <f t="shared" si="161"/>
        <v>6331977.4709823718</v>
      </c>
      <c r="G432" s="70">
        <f t="shared" si="162"/>
        <v>5038148</v>
      </c>
      <c r="H432" s="62">
        <f t="shared" si="163"/>
        <v>1293829</v>
      </c>
      <c r="I432" s="173">
        <f t="shared" si="164"/>
        <v>0</v>
      </c>
      <c r="J432" s="174">
        <f t="shared" ca="1" si="185"/>
        <v>19.57</v>
      </c>
      <c r="K432" s="70">
        <f t="shared" ca="1" si="165"/>
        <v>1239168</v>
      </c>
      <c r="L432" s="70">
        <f t="shared" ca="1" si="166"/>
        <v>0</v>
      </c>
      <c r="M432" s="175">
        <f t="shared" ca="1" si="167"/>
        <v>0</v>
      </c>
      <c r="N432" s="70"/>
      <c r="O432" s="70"/>
      <c r="P432" s="70"/>
      <c r="Q432" s="62">
        <v>386</v>
      </c>
      <c r="R432" s="62">
        <f t="shared" si="168"/>
        <v>346</v>
      </c>
      <c r="S432" s="176"/>
      <c r="T432" s="176"/>
      <c r="U432" s="70"/>
      <c r="V432" s="70"/>
      <c r="W432" s="260"/>
      <c r="X432" s="62">
        <f t="shared" si="169"/>
        <v>0</v>
      </c>
      <c r="Y432" s="70"/>
      <c r="AA432" s="290"/>
      <c r="AB432" s="291"/>
      <c r="AC432" s="62"/>
      <c r="AD432" s="62"/>
      <c r="AE432" s="177">
        <f t="shared" si="170"/>
        <v>10380</v>
      </c>
      <c r="AF432" s="177">
        <f t="shared" ca="1" si="171"/>
        <v>10380</v>
      </c>
      <c r="AG432" s="70">
        <f t="shared" ca="1" si="172"/>
        <v>2074863</v>
      </c>
      <c r="AH432" s="70">
        <f t="shared" ca="1" si="173"/>
        <v>0</v>
      </c>
      <c r="AI432" s="587">
        <v>0</v>
      </c>
      <c r="AJ432" s="178">
        <f t="shared" ca="1" si="174"/>
        <v>2074863</v>
      </c>
      <c r="AK432" s="301">
        <f t="shared" ca="1" si="175"/>
        <v>32.768009828027644</v>
      </c>
      <c r="AL432" s="70">
        <f t="shared" ca="1" si="176"/>
        <v>7113011</v>
      </c>
      <c r="AM432" s="179">
        <f t="shared" ca="1" si="177"/>
        <v>112.33474901951057</v>
      </c>
      <c r="AN432" s="179"/>
      <c r="AO432" s="31">
        <f t="shared" si="178"/>
        <v>-412985.52901762817</v>
      </c>
      <c r="AP432" s="31">
        <f t="shared" ca="1" si="179"/>
        <v>10380</v>
      </c>
      <c r="AQ432" s="31">
        <f t="shared" ca="1" si="180"/>
        <v>835695.00892874971</v>
      </c>
      <c r="AR432" s="180">
        <f t="shared" ca="1" si="181"/>
        <v>13.198009828027644</v>
      </c>
      <c r="AS432" s="31">
        <f t="shared" si="184"/>
        <v>18300.509999999998</v>
      </c>
      <c r="AU432" s="31">
        <f t="shared" si="182"/>
        <v>0</v>
      </c>
      <c r="AV432" s="177"/>
      <c r="AW432" s="31">
        <f t="shared" ca="1" si="183"/>
        <v>30</v>
      </c>
    </row>
    <row r="433" spans="1:53">
      <c r="A433" s="102">
        <v>832</v>
      </c>
      <c r="B433" s="7" t="s">
        <v>2118</v>
      </c>
      <c r="C433" s="7">
        <v>1</v>
      </c>
      <c r="D433" s="62">
        <f t="shared" si="159"/>
        <v>22983366</v>
      </c>
      <c r="E433" s="172">
        <f t="shared" si="160"/>
        <v>13920325</v>
      </c>
      <c r="F433" s="62">
        <f t="shared" si="161"/>
        <v>23339671.662662312</v>
      </c>
      <c r="G433" s="70">
        <f t="shared" si="162"/>
        <v>9194861</v>
      </c>
      <c r="H433" s="62">
        <f t="shared" si="163"/>
        <v>14144811</v>
      </c>
      <c r="I433" s="173">
        <f t="shared" si="164"/>
        <v>224486</v>
      </c>
      <c r="J433" s="174">
        <f t="shared" ca="1" si="185"/>
        <v>59.61</v>
      </c>
      <c r="K433" s="70">
        <f t="shared" ca="1" si="165"/>
        <v>13912778</v>
      </c>
      <c r="L433" s="70">
        <f t="shared" ca="1" si="166"/>
        <v>0</v>
      </c>
      <c r="M433" s="175">
        <f t="shared" ca="1" si="167"/>
        <v>0</v>
      </c>
      <c r="N433" s="70"/>
      <c r="O433" s="70"/>
      <c r="P433" s="70"/>
      <c r="Q433" s="62">
        <v>1500</v>
      </c>
      <c r="R433" s="62">
        <f t="shared" si="168"/>
        <v>1496</v>
      </c>
      <c r="S433" s="176"/>
      <c r="T433" s="176"/>
      <c r="U433" s="70"/>
      <c r="V433" s="70"/>
      <c r="W433" s="260"/>
      <c r="X433" s="62">
        <f t="shared" si="169"/>
        <v>1</v>
      </c>
      <c r="Y433" s="70"/>
      <c r="AA433" s="290"/>
      <c r="AB433" s="291"/>
      <c r="AC433" s="62"/>
      <c r="AD433" s="62"/>
      <c r="AE433" s="177">
        <f t="shared" si="170"/>
        <v>44880</v>
      </c>
      <c r="AF433" s="177">
        <f t="shared" ca="1" si="171"/>
        <v>0</v>
      </c>
      <c r="AG433" s="70">
        <f t="shared" ca="1" si="172"/>
        <v>14144811</v>
      </c>
      <c r="AH433" s="70">
        <f t="shared" ca="1" si="173"/>
        <v>0</v>
      </c>
      <c r="AI433" s="587">
        <v>0</v>
      </c>
      <c r="AJ433" s="178">
        <f t="shared" ca="1" si="174"/>
        <v>14144811</v>
      </c>
      <c r="AK433" s="301">
        <f t="shared" ca="1" si="175"/>
        <v>60.604155895766908</v>
      </c>
      <c r="AL433" s="70">
        <f t="shared" ca="1" si="176"/>
        <v>23339672</v>
      </c>
      <c r="AM433" s="179">
        <f t="shared" ca="1" si="177"/>
        <v>100.00000144534033</v>
      </c>
      <c r="AN433" s="179"/>
      <c r="AO433" s="31">
        <f t="shared" si="178"/>
        <v>356305.66266231239</v>
      </c>
      <c r="AP433" s="31">
        <f t="shared" ca="1" si="179"/>
        <v>224486</v>
      </c>
      <c r="AQ433" s="31">
        <f t="shared" ca="1" si="180"/>
        <v>232032.72188699618</v>
      </c>
      <c r="AR433" s="180">
        <f t="shared" ca="1" si="181"/>
        <v>0.99415589576690877</v>
      </c>
      <c r="AS433" s="31">
        <f t="shared" si="184"/>
        <v>15601.38</v>
      </c>
      <c r="AU433" s="31">
        <f t="shared" si="182"/>
        <v>0</v>
      </c>
      <c r="AV433" s="177"/>
      <c r="AW433" s="31">
        <f t="shared" ca="1" si="183"/>
        <v>150.05748663101605</v>
      </c>
    </row>
    <row r="434" spans="1:53">
      <c r="A434" s="102">
        <v>851</v>
      </c>
      <c r="B434" s="7" t="s">
        <v>2119</v>
      </c>
      <c r="C434" s="7">
        <v>1</v>
      </c>
      <c r="D434" s="62">
        <f t="shared" si="159"/>
        <v>7221555</v>
      </c>
      <c r="E434" s="172">
        <f t="shared" si="160"/>
        <v>4666196</v>
      </c>
      <c r="F434" s="62">
        <f t="shared" si="161"/>
        <v>7333874.6106536184</v>
      </c>
      <c r="G434" s="70">
        <f t="shared" si="162"/>
        <v>2825783</v>
      </c>
      <c r="H434" s="62">
        <f t="shared" si="163"/>
        <v>4508092</v>
      </c>
      <c r="I434" s="173">
        <f t="shared" si="164"/>
        <v>0</v>
      </c>
      <c r="J434" s="174">
        <f t="shared" ca="1" si="185"/>
        <v>61.56</v>
      </c>
      <c r="K434" s="70">
        <f t="shared" ca="1" si="165"/>
        <v>4514733</v>
      </c>
      <c r="L434" s="70">
        <f t="shared" ca="1" si="166"/>
        <v>0</v>
      </c>
      <c r="M434" s="175">
        <f t="shared" ca="1" si="167"/>
        <v>0</v>
      </c>
      <c r="N434" s="70"/>
      <c r="O434" s="70"/>
      <c r="P434" s="70"/>
      <c r="Q434" s="62">
        <v>456</v>
      </c>
      <c r="R434" s="62">
        <f t="shared" si="168"/>
        <v>456</v>
      </c>
      <c r="S434" s="176"/>
      <c r="T434" s="176"/>
      <c r="U434" s="70"/>
      <c r="V434" s="70"/>
      <c r="W434" s="260"/>
      <c r="X434" s="62">
        <f t="shared" si="169"/>
        <v>0</v>
      </c>
      <c r="Y434" s="70"/>
      <c r="AA434" s="290"/>
      <c r="AB434" s="291"/>
      <c r="AC434" s="62"/>
      <c r="AD434" s="62"/>
      <c r="AE434" s="177">
        <f t="shared" si="170"/>
        <v>13680</v>
      </c>
      <c r="AF434" s="177">
        <f t="shared" ca="1" si="171"/>
        <v>13680</v>
      </c>
      <c r="AG434" s="70">
        <f t="shared" ca="1" si="172"/>
        <v>4679876</v>
      </c>
      <c r="AH434" s="70">
        <f t="shared" ca="1" si="173"/>
        <v>0</v>
      </c>
      <c r="AI434" s="587">
        <v>0</v>
      </c>
      <c r="AJ434" s="178">
        <f t="shared" ca="1" si="174"/>
        <v>4679876</v>
      </c>
      <c r="AK434" s="301">
        <f t="shared" ca="1" si="175"/>
        <v>63.811780926847817</v>
      </c>
      <c r="AL434" s="70">
        <f t="shared" ca="1" si="176"/>
        <v>7505659</v>
      </c>
      <c r="AM434" s="179">
        <f t="shared" ca="1" si="177"/>
        <v>102.34234151067756</v>
      </c>
      <c r="AN434" s="179"/>
      <c r="AO434" s="31">
        <f t="shared" si="178"/>
        <v>112319.61065361835</v>
      </c>
      <c r="AP434" s="31">
        <f t="shared" ca="1" si="179"/>
        <v>13680</v>
      </c>
      <c r="AQ434" s="31">
        <f t="shared" ca="1" si="180"/>
        <v>165142.78968163207</v>
      </c>
      <c r="AR434" s="180">
        <f t="shared" ca="1" si="181"/>
        <v>2.2517809268478146</v>
      </c>
      <c r="AS434" s="31">
        <f t="shared" si="184"/>
        <v>16083.06</v>
      </c>
      <c r="AU434" s="31">
        <f t="shared" si="182"/>
        <v>0</v>
      </c>
      <c r="AV434" s="177"/>
      <c r="AW434" s="31">
        <f t="shared" ca="1" si="183"/>
        <v>30</v>
      </c>
    </row>
    <row r="435" spans="1:53">
      <c r="A435" s="102">
        <v>852</v>
      </c>
      <c r="B435" s="7" t="s">
        <v>2120</v>
      </c>
      <c r="C435" s="7">
        <v>1</v>
      </c>
      <c r="D435" s="62">
        <f t="shared" si="159"/>
        <v>10716963</v>
      </c>
      <c r="E435" s="172">
        <f t="shared" si="160"/>
        <v>3658183.8408499998</v>
      </c>
      <c r="F435" s="62">
        <f t="shared" si="161"/>
        <v>10765279.843473723</v>
      </c>
      <c r="G435" s="70">
        <f t="shared" si="162"/>
        <v>7259409</v>
      </c>
      <c r="H435" s="62">
        <f t="shared" si="163"/>
        <v>3505871</v>
      </c>
      <c r="I435" s="173">
        <f t="shared" si="164"/>
        <v>0</v>
      </c>
      <c r="J435" s="174">
        <f t="shared" ca="1" si="185"/>
        <v>32.81</v>
      </c>
      <c r="K435" s="70">
        <f t="shared" ca="1" si="165"/>
        <v>3532088</v>
      </c>
      <c r="L435" s="70">
        <f t="shared" ca="1" si="166"/>
        <v>0</v>
      </c>
      <c r="M435" s="175">
        <f t="shared" ca="1" si="167"/>
        <v>0</v>
      </c>
      <c r="N435" s="70"/>
      <c r="O435" s="70"/>
      <c r="P435" s="70"/>
      <c r="Q435" s="62">
        <v>686</v>
      </c>
      <c r="R435" s="62">
        <f t="shared" si="168"/>
        <v>675</v>
      </c>
      <c r="S435" s="176"/>
      <c r="T435" s="176"/>
      <c r="U435" s="70"/>
      <c r="V435" s="70"/>
      <c r="W435" s="260"/>
      <c r="X435" s="62">
        <f t="shared" si="169"/>
        <v>0</v>
      </c>
      <c r="Y435" s="70"/>
      <c r="AA435" s="290"/>
      <c r="AB435" s="291"/>
      <c r="AC435" s="62"/>
      <c r="AD435" s="62"/>
      <c r="AE435" s="177">
        <f t="shared" si="170"/>
        <v>20250</v>
      </c>
      <c r="AF435" s="177">
        <f t="shared" ca="1" si="171"/>
        <v>20250</v>
      </c>
      <c r="AG435" s="70">
        <f t="shared" ca="1" si="172"/>
        <v>3678433.8408499998</v>
      </c>
      <c r="AH435" s="70">
        <f t="shared" ca="1" si="173"/>
        <v>0</v>
      </c>
      <c r="AI435" s="587">
        <v>0</v>
      </c>
      <c r="AJ435" s="178">
        <f t="shared" ca="1" si="174"/>
        <v>3678433.8408499998</v>
      </c>
      <c r="AK435" s="301">
        <f t="shared" ca="1" si="175"/>
        <v>34.169421458003164</v>
      </c>
      <c r="AL435" s="70">
        <f t="shared" ca="1" si="176"/>
        <v>10937842.840849999</v>
      </c>
      <c r="AM435" s="179">
        <f t="shared" ca="1" si="177"/>
        <v>101.60295877009543</v>
      </c>
      <c r="AN435" s="179"/>
      <c r="AO435" s="31">
        <f t="shared" si="178"/>
        <v>48316.843473723158</v>
      </c>
      <c r="AP435" s="31">
        <f t="shared" ca="1" si="179"/>
        <v>20250</v>
      </c>
      <c r="AQ435" s="31">
        <f t="shared" ca="1" si="180"/>
        <v>146345.5242062714</v>
      </c>
      <c r="AR435" s="180">
        <f t="shared" ca="1" si="181"/>
        <v>1.3594214580031618</v>
      </c>
      <c r="AS435" s="31">
        <f t="shared" si="184"/>
        <v>15948.56</v>
      </c>
      <c r="AU435" s="31">
        <f t="shared" si="182"/>
        <v>0</v>
      </c>
      <c r="AV435" s="177"/>
      <c r="AW435" s="31">
        <f t="shared" ca="1" si="183"/>
        <v>30</v>
      </c>
    </row>
    <row r="436" spans="1:53">
      <c r="A436" s="102">
        <v>853</v>
      </c>
      <c r="B436" s="7" t="s">
        <v>2121</v>
      </c>
      <c r="C436" s="7">
        <v>1</v>
      </c>
      <c r="D436" s="62">
        <f t="shared" si="159"/>
        <v>20458840</v>
      </c>
      <c r="E436" s="172">
        <f t="shared" si="160"/>
        <v>8818904</v>
      </c>
      <c r="F436" s="62">
        <f t="shared" si="161"/>
        <v>21001845.715027004</v>
      </c>
      <c r="G436" s="70">
        <f t="shared" si="162"/>
        <v>11813188</v>
      </c>
      <c r="H436" s="62">
        <f t="shared" si="163"/>
        <v>9188658</v>
      </c>
      <c r="I436" s="173">
        <f t="shared" si="164"/>
        <v>369754</v>
      </c>
      <c r="J436" s="174">
        <f ca="1">ROUND(100-SUMIF(fraclea,A436,memeffpct),2)</f>
        <v>42.83</v>
      </c>
      <c r="K436" s="70">
        <f t="shared" ca="1" si="165"/>
        <v>8995091</v>
      </c>
      <c r="L436" s="70">
        <f t="shared" ca="1" si="166"/>
        <v>0</v>
      </c>
      <c r="M436" s="175">
        <f t="shared" ca="1" si="167"/>
        <v>0</v>
      </c>
      <c r="N436" s="70"/>
      <c r="O436" s="70"/>
      <c r="P436" s="70"/>
      <c r="Q436" s="62">
        <v>1231</v>
      </c>
      <c r="R436" s="62">
        <f t="shared" si="168"/>
        <v>1239</v>
      </c>
      <c r="S436" s="176"/>
      <c r="T436" s="176"/>
      <c r="U436" s="70"/>
      <c r="V436" s="70"/>
      <c r="W436" s="260"/>
      <c r="X436" s="62">
        <f t="shared" si="169"/>
        <v>1</v>
      </c>
      <c r="Y436" s="70"/>
      <c r="AA436" s="292"/>
      <c r="AB436" s="291"/>
      <c r="AC436" s="62"/>
      <c r="AD436" s="62"/>
      <c r="AE436" s="177">
        <f t="shared" si="170"/>
        <v>37170</v>
      </c>
      <c r="AF436" s="177">
        <f t="shared" ca="1" si="171"/>
        <v>0</v>
      </c>
      <c r="AG436" s="70">
        <f t="shared" ca="1" si="172"/>
        <v>9188658</v>
      </c>
      <c r="AH436" s="70">
        <f t="shared" ca="1" si="173"/>
        <v>0</v>
      </c>
      <c r="AI436" s="587">
        <v>0</v>
      </c>
      <c r="AJ436" s="178">
        <f t="shared" ca="1" si="174"/>
        <v>9188658</v>
      </c>
      <c r="AK436" s="301">
        <f t="shared" ca="1" si="175"/>
        <v>43.751668899393138</v>
      </c>
      <c r="AL436" s="70">
        <f t="shared" ca="1" si="176"/>
        <v>21001846</v>
      </c>
      <c r="AM436" s="179">
        <f t="shared" ca="1" si="177"/>
        <v>100.00000135689501</v>
      </c>
      <c r="AN436" s="179"/>
      <c r="AO436" s="31">
        <f t="shared" si="178"/>
        <v>543005.71502700448</v>
      </c>
      <c r="AP436" s="31">
        <f t="shared" ca="1" si="179"/>
        <v>369754</v>
      </c>
      <c r="AQ436" s="31">
        <f t="shared" ca="1" si="180"/>
        <v>193567.48025393486</v>
      </c>
      <c r="AR436" s="180">
        <f t="shared" ca="1" si="181"/>
        <v>0.9216688993931399</v>
      </c>
      <c r="AS436" s="31">
        <f t="shared" si="184"/>
        <v>16950.64</v>
      </c>
      <c r="AU436" s="31">
        <f t="shared" si="182"/>
        <v>0</v>
      </c>
      <c r="AV436" s="177"/>
      <c r="AW436" s="31">
        <f t="shared" ca="1" si="183"/>
        <v>298.42937853107344</v>
      </c>
    </row>
    <row r="437" spans="1:53">
      <c r="A437" s="102">
        <v>855</v>
      </c>
      <c r="B437" s="7" t="s">
        <v>2122</v>
      </c>
      <c r="C437" s="7">
        <v>1</v>
      </c>
      <c r="D437" s="62">
        <f t="shared" si="159"/>
        <v>7070588</v>
      </c>
      <c r="E437" s="172">
        <f t="shared" si="160"/>
        <v>3240924</v>
      </c>
      <c r="F437" s="62">
        <f t="shared" si="161"/>
        <v>7132027.5606843857</v>
      </c>
      <c r="G437" s="70">
        <f t="shared" si="162"/>
        <v>4376933</v>
      </c>
      <c r="H437" s="62">
        <f t="shared" si="163"/>
        <v>2755095</v>
      </c>
      <c r="I437" s="173">
        <f t="shared" si="164"/>
        <v>0</v>
      </c>
      <c r="J437" s="174">
        <f t="shared" ca="1" si="185"/>
        <v>39.049999999999997</v>
      </c>
      <c r="K437" s="70">
        <f t="shared" ca="1" si="165"/>
        <v>2785057</v>
      </c>
      <c r="L437" s="70">
        <f t="shared" ca="1" si="166"/>
        <v>0</v>
      </c>
      <c r="M437" s="175">
        <f t="shared" ca="1" si="167"/>
        <v>0</v>
      </c>
      <c r="N437" s="70"/>
      <c r="O437" s="70"/>
      <c r="P437" s="70"/>
      <c r="Q437" s="62">
        <v>459</v>
      </c>
      <c r="R437" s="62">
        <f t="shared" si="168"/>
        <v>459</v>
      </c>
      <c r="S437" s="176"/>
      <c r="T437" s="176"/>
      <c r="U437" s="70"/>
      <c r="V437" s="70"/>
      <c r="W437" s="260"/>
      <c r="X437" s="62">
        <f t="shared" si="169"/>
        <v>0</v>
      </c>
      <c r="Y437" s="70"/>
      <c r="AA437" s="290"/>
      <c r="AB437" s="291"/>
      <c r="AC437" s="62"/>
      <c r="AD437" s="62"/>
      <c r="AE437" s="177">
        <f t="shared" si="170"/>
        <v>13770</v>
      </c>
      <c r="AF437" s="177">
        <f t="shared" ca="1" si="171"/>
        <v>13770</v>
      </c>
      <c r="AG437" s="70">
        <f t="shared" ca="1" si="172"/>
        <v>3254694</v>
      </c>
      <c r="AH437" s="70">
        <f t="shared" ca="1" si="173"/>
        <v>0</v>
      </c>
      <c r="AI437" s="587">
        <v>0</v>
      </c>
      <c r="AJ437" s="178">
        <f t="shared" ca="1" si="174"/>
        <v>3254694</v>
      </c>
      <c r="AK437" s="301">
        <f t="shared" ca="1" si="175"/>
        <v>45.634904973469865</v>
      </c>
      <c r="AL437" s="70">
        <f t="shared" ca="1" si="176"/>
        <v>7631627</v>
      </c>
      <c r="AM437" s="179">
        <f t="shared" ca="1" si="177"/>
        <v>107.00501274097255</v>
      </c>
      <c r="AN437" s="179"/>
      <c r="AO437" s="31">
        <f t="shared" si="178"/>
        <v>61439.560684385709</v>
      </c>
      <c r="AP437" s="31">
        <f t="shared" ca="1" si="179"/>
        <v>13770</v>
      </c>
      <c r="AQ437" s="31">
        <f t="shared" ca="1" si="180"/>
        <v>469637.2375527476</v>
      </c>
      <c r="AR437" s="180">
        <f t="shared" ca="1" si="181"/>
        <v>6.5849049734698681</v>
      </c>
      <c r="AS437" s="31">
        <f t="shared" si="184"/>
        <v>15538.19</v>
      </c>
      <c r="AU437" s="31">
        <f t="shared" si="182"/>
        <v>0</v>
      </c>
      <c r="AV437" s="177"/>
      <c r="AW437" s="31">
        <f t="shared" ca="1" si="183"/>
        <v>30</v>
      </c>
    </row>
    <row r="438" spans="1:53">
      <c r="A438" s="102">
        <v>860</v>
      </c>
      <c r="B438" s="7" t="s">
        <v>2123</v>
      </c>
      <c r="C438" s="7">
        <v>1</v>
      </c>
      <c r="D438" s="62">
        <f t="shared" si="159"/>
        <v>9305841</v>
      </c>
      <c r="E438" s="172">
        <f t="shared" si="160"/>
        <v>5422744.7480999995</v>
      </c>
      <c r="F438" s="62">
        <f t="shared" si="161"/>
        <v>9526647.0681404825</v>
      </c>
      <c r="G438" s="70">
        <f t="shared" si="162"/>
        <v>4148472</v>
      </c>
      <c r="H438" s="62">
        <f t="shared" si="163"/>
        <v>5378175</v>
      </c>
      <c r="I438" s="173">
        <f t="shared" si="164"/>
        <v>0</v>
      </c>
      <c r="J438" s="174">
        <f t="shared" ca="1" si="185"/>
        <v>56.83</v>
      </c>
      <c r="K438" s="70">
        <f t="shared" ca="1" si="165"/>
        <v>5413994</v>
      </c>
      <c r="L438" s="70">
        <f t="shared" ca="1" si="166"/>
        <v>0</v>
      </c>
      <c r="M438" s="175">
        <f t="shared" ca="1" si="167"/>
        <v>0</v>
      </c>
      <c r="N438" s="70"/>
      <c r="O438" s="70"/>
      <c r="P438" s="70"/>
      <c r="Q438" s="62">
        <v>577</v>
      </c>
      <c r="R438" s="62">
        <f t="shared" si="168"/>
        <v>577.00000001154001</v>
      </c>
      <c r="S438" s="176"/>
      <c r="T438" s="176"/>
      <c r="U438" s="70"/>
      <c r="V438" s="70"/>
      <c r="W438" s="260"/>
      <c r="X438" s="62">
        <f t="shared" si="169"/>
        <v>0</v>
      </c>
      <c r="Y438" s="70"/>
      <c r="AA438" s="292"/>
      <c r="AB438" s="291"/>
      <c r="AC438" s="62"/>
      <c r="AD438" s="62"/>
      <c r="AE438" s="177">
        <f t="shared" si="170"/>
        <v>17310.000000346201</v>
      </c>
      <c r="AF438" s="177">
        <f t="shared" ca="1" si="171"/>
        <v>17310.000000346201</v>
      </c>
      <c r="AG438" s="70">
        <f t="shared" ca="1" si="172"/>
        <v>5440054.748100346</v>
      </c>
      <c r="AH438" s="70">
        <f t="shared" ca="1" si="173"/>
        <v>0</v>
      </c>
      <c r="AI438" s="587">
        <v>0</v>
      </c>
      <c r="AJ438" s="178">
        <f t="shared" ca="1" si="174"/>
        <v>5440054.748100346</v>
      </c>
      <c r="AK438" s="301">
        <f t="shared" ca="1" si="175"/>
        <v>57.103561296956883</v>
      </c>
      <c r="AL438" s="70">
        <f t="shared" ca="1" si="176"/>
        <v>9588526.748100346</v>
      </c>
      <c r="AM438" s="179">
        <f t="shared" ca="1" si="177"/>
        <v>100.64954311330379</v>
      </c>
      <c r="AN438" s="179"/>
      <c r="AO438" s="31">
        <f t="shared" si="178"/>
        <v>220806.06814048253</v>
      </c>
      <c r="AP438" s="31">
        <f t="shared" ca="1" si="179"/>
        <v>17310.000000346452</v>
      </c>
      <c r="AQ438" s="31">
        <f t="shared" ca="1" si="180"/>
        <v>26061.21927610971</v>
      </c>
      <c r="AR438" s="180">
        <f t="shared" ca="1" si="181"/>
        <v>0.2735612969568848</v>
      </c>
      <c r="AS438" s="31">
        <f t="shared" si="184"/>
        <v>16510.650000000001</v>
      </c>
      <c r="AU438" s="31">
        <f t="shared" si="182"/>
        <v>0</v>
      </c>
      <c r="AV438" s="177"/>
      <c r="AW438" s="31">
        <f t="shared" ca="1" si="183"/>
        <v>30.000000000000437</v>
      </c>
    </row>
    <row r="439" spans="1:53">
      <c r="A439" s="102">
        <v>871</v>
      </c>
      <c r="B439" s="7" t="s">
        <v>2124</v>
      </c>
      <c r="C439" s="7">
        <v>1</v>
      </c>
      <c r="D439" s="62">
        <f t="shared" si="159"/>
        <v>20610764</v>
      </c>
      <c r="E439" s="172">
        <f t="shared" si="160"/>
        <v>6350690.7275124993</v>
      </c>
      <c r="F439" s="62">
        <f t="shared" si="161"/>
        <v>20779974.22357462</v>
      </c>
      <c r="G439" s="70">
        <f t="shared" si="162"/>
        <v>15673209</v>
      </c>
      <c r="H439" s="62">
        <f t="shared" si="163"/>
        <v>5106765</v>
      </c>
      <c r="I439" s="173">
        <f t="shared" si="164"/>
        <v>0</v>
      </c>
      <c r="J439" s="174">
        <f t="shared" ca="1" si="185"/>
        <v>24.87</v>
      </c>
      <c r="K439" s="70">
        <f t="shared" ca="1" si="165"/>
        <v>5167980</v>
      </c>
      <c r="L439" s="70">
        <f t="shared" ca="1" si="166"/>
        <v>0</v>
      </c>
      <c r="M439" s="175">
        <f t="shared" ca="1" si="167"/>
        <v>0</v>
      </c>
      <c r="N439" s="70"/>
      <c r="O439" s="70"/>
      <c r="P439" s="70"/>
      <c r="Q439" s="62">
        <v>1361</v>
      </c>
      <c r="R439" s="62">
        <f t="shared" si="168"/>
        <v>1351.9999999999998</v>
      </c>
      <c r="S439" s="176"/>
      <c r="T439" s="176"/>
      <c r="U439" s="70"/>
      <c r="V439" s="70"/>
      <c r="W439" s="260"/>
      <c r="X439" s="62">
        <f t="shared" si="169"/>
        <v>0</v>
      </c>
      <c r="Y439" s="70"/>
      <c r="AA439" s="290"/>
      <c r="AB439" s="291"/>
      <c r="AC439" s="62"/>
      <c r="AD439" s="62"/>
      <c r="AE439" s="177">
        <f t="shared" si="170"/>
        <v>40559.999999999993</v>
      </c>
      <c r="AF439" s="177">
        <f t="shared" ca="1" si="171"/>
        <v>40559.999999999993</v>
      </c>
      <c r="AG439" s="70">
        <f t="shared" ca="1" si="172"/>
        <v>6391250.7275124993</v>
      </c>
      <c r="AH439" s="70">
        <f t="shared" ca="1" si="173"/>
        <v>0</v>
      </c>
      <c r="AI439" s="587">
        <v>0</v>
      </c>
      <c r="AJ439" s="178">
        <f t="shared" ca="1" si="174"/>
        <v>6391250.7275124993</v>
      </c>
      <c r="AK439" s="301">
        <f t="shared" ca="1" si="175"/>
        <v>30.756778900436295</v>
      </c>
      <c r="AL439" s="70">
        <f t="shared" ca="1" si="176"/>
        <v>22064459.727512501</v>
      </c>
      <c r="AM439" s="179">
        <f t="shared" ca="1" si="177"/>
        <v>106.18136235453387</v>
      </c>
      <c r="AN439" s="179"/>
      <c r="AO439" s="31">
        <f t="shared" si="178"/>
        <v>169210.22357461974</v>
      </c>
      <c r="AP439" s="31">
        <f t="shared" ca="1" si="179"/>
        <v>40560</v>
      </c>
      <c r="AQ439" s="31">
        <f t="shared" ca="1" si="180"/>
        <v>1223271.1381094912</v>
      </c>
      <c r="AR439" s="180">
        <f t="shared" ca="1" si="181"/>
        <v>5.886778900436294</v>
      </c>
      <c r="AS439" s="31">
        <f t="shared" si="184"/>
        <v>15369.8</v>
      </c>
      <c r="AU439" s="31">
        <f t="shared" si="182"/>
        <v>0</v>
      </c>
      <c r="AV439" s="177"/>
      <c r="AW439" s="31">
        <f t="shared" ca="1" si="183"/>
        <v>30.000000000000004</v>
      </c>
    </row>
    <row r="440" spans="1:53">
      <c r="A440" s="102">
        <v>872</v>
      </c>
      <c r="B440" s="7" t="s">
        <v>2125</v>
      </c>
      <c r="C440" s="7">
        <v>1</v>
      </c>
      <c r="D440" s="62">
        <f t="shared" si="159"/>
        <v>23532615</v>
      </c>
      <c r="E440" s="172">
        <f t="shared" si="160"/>
        <v>14945909</v>
      </c>
      <c r="F440" s="62">
        <f t="shared" si="161"/>
        <v>24658561.658426791</v>
      </c>
      <c r="G440" s="70">
        <f t="shared" si="162"/>
        <v>9068356</v>
      </c>
      <c r="H440" s="62">
        <f t="shared" si="163"/>
        <v>15590206</v>
      </c>
      <c r="I440" s="173">
        <f t="shared" si="164"/>
        <v>644297</v>
      </c>
      <c r="J440" s="174">
        <f t="shared" ca="1" si="185"/>
        <v>62.22</v>
      </c>
      <c r="K440" s="70">
        <f t="shared" ca="1" si="165"/>
        <v>15342557</v>
      </c>
      <c r="L440" s="70">
        <f t="shared" ca="1" si="166"/>
        <v>0</v>
      </c>
      <c r="M440" s="175">
        <f t="shared" ca="1" si="167"/>
        <v>0</v>
      </c>
      <c r="N440" s="70"/>
      <c r="O440" s="70"/>
      <c r="P440" s="70"/>
      <c r="Q440" s="62">
        <v>1468</v>
      </c>
      <c r="R440" s="62">
        <f t="shared" si="168"/>
        <v>1508.9999999849099</v>
      </c>
      <c r="S440" s="176"/>
      <c r="T440" s="176"/>
      <c r="U440" s="70"/>
      <c r="V440" s="70"/>
      <c r="W440" s="260"/>
      <c r="X440" s="62">
        <f t="shared" si="169"/>
        <v>1</v>
      </c>
      <c r="Y440" s="70"/>
      <c r="AA440" s="290"/>
      <c r="AB440" s="291"/>
      <c r="AC440" s="62"/>
      <c r="AD440" s="62"/>
      <c r="AE440" s="177">
        <f t="shared" si="170"/>
        <v>45269.999999547297</v>
      </c>
      <c r="AF440" s="177">
        <f t="shared" ca="1" si="171"/>
        <v>0</v>
      </c>
      <c r="AG440" s="70">
        <f t="shared" ca="1" si="172"/>
        <v>15590206</v>
      </c>
      <c r="AH440" s="70">
        <f t="shared" ca="1" si="173"/>
        <v>0</v>
      </c>
      <c r="AI440" s="587">
        <v>0</v>
      </c>
      <c r="AJ440" s="178">
        <f t="shared" ca="1" si="174"/>
        <v>15590206</v>
      </c>
      <c r="AK440" s="301">
        <f t="shared" ca="1" si="175"/>
        <v>63.224312171801877</v>
      </c>
      <c r="AL440" s="70">
        <f t="shared" ca="1" si="176"/>
        <v>24658562</v>
      </c>
      <c r="AM440" s="179">
        <f t="shared" ca="1" si="177"/>
        <v>100.00000138521141</v>
      </c>
      <c r="AN440" s="179"/>
      <c r="AO440" s="31">
        <f t="shared" si="178"/>
        <v>1125946.6584267914</v>
      </c>
      <c r="AP440" s="31">
        <f t="shared" ca="1" si="179"/>
        <v>644297</v>
      </c>
      <c r="AQ440" s="31">
        <f t="shared" ca="1" si="180"/>
        <v>247648.93612685055</v>
      </c>
      <c r="AR440" s="180">
        <f t="shared" ca="1" si="181"/>
        <v>1.0043121718018782</v>
      </c>
      <c r="AS440" s="31">
        <f t="shared" si="184"/>
        <v>16341</v>
      </c>
      <c r="AU440" s="31">
        <f t="shared" si="182"/>
        <v>0</v>
      </c>
      <c r="AV440" s="177"/>
      <c r="AW440" s="31">
        <f t="shared" ca="1" si="183"/>
        <v>426.96951624018755</v>
      </c>
    </row>
    <row r="441" spans="1:53">
      <c r="A441" s="102">
        <v>873</v>
      </c>
      <c r="B441" s="7" t="s">
        <v>2126</v>
      </c>
      <c r="C441" s="7">
        <v>1</v>
      </c>
      <c r="D441" s="62">
        <f t="shared" si="159"/>
        <v>9836290</v>
      </c>
      <c r="E441" s="172">
        <f t="shared" si="160"/>
        <v>4288630</v>
      </c>
      <c r="F441" s="62">
        <f t="shared" si="161"/>
        <v>10085090.357912248</v>
      </c>
      <c r="G441" s="70">
        <f t="shared" si="162"/>
        <v>5811066</v>
      </c>
      <c r="H441" s="62">
        <f t="shared" si="163"/>
        <v>4274024</v>
      </c>
      <c r="I441" s="173">
        <f t="shared" si="164"/>
        <v>0</v>
      </c>
      <c r="J441" s="174">
        <f t="shared" ca="1" si="185"/>
        <v>41.39</v>
      </c>
      <c r="K441" s="70">
        <f t="shared" ca="1" si="165"/>
        <v>4174219</v>
      </c>
      <c r="L441" s="70">
        <f t="shared" ca="1" si="166"/>
        <v>0</v>
      </c>
      <c r="M441" s="175">
        <f t="shared" ca="1" si="167"/>
        <v>0</v>
      </c>
      <c r="N441" s="70"/>
      <c r="O441" s="70"/>
      <c r="P441" s="70"/>
      <c r="Q441" s="62">
        <v>622</v>
      </c>
      <c r="R441" s="62">
        <f t="shared" si="168"/>
        <v>619.99999999379997</v>
      </c>
      <c r="S441" s="176"/>
      <c r="T441" s="176"/>
      <c r="U441" s="70"/>
      <c r="V441" s="70"/>
      <c r="W441" s="260"/>
      <c r="X441" s="62">
        <f t="shared" si="169"/>
        <v>0</v>
      </c>
      <c r="Y441" s="70"/>
      <c r="AA441" s="290"/>
      <c r="AB441" s="291"/>
      <c r="AC441" s="62"/>
      <c r="AD441" s="62"/>
      <c r="AE441" s="177">
        <f t="shared" si="170"/>
        <v>18599.999999813997</v>
      </c>
      <c r="AF441" s="177">
        <f t="shared" ca="1" si="171"/>
        <v>18599.999999813997</v>
      </c>
      <c r="AG441" s="70">
        <f t="shared" ca="1" si="172"/>
        <v>4307229.9999998137</v>
      </c>
      <c r="AH441" s="70">
        <f t="shared" ca="1" si="173"/>
        <v>0</v>
      </c>
      <c r="AI441" s="587">
        <v>0</v>
      </c>
      <c r="AJ441" s="178">
        <f t="shared" ca="1" si="174"/>
        <v>4307229.9999998137</v>
      </c>
      <c r="AK441" s="301">
        <f t="shared" ca="1" si="175"/>
        <v>42.708888538817909</v>
      </c>
      <c r="AL441" s="70">
        <f t="shared" ca="1" si="176"/>
        <v>10118295.999999814</v>
      </c>
      <c r="AM441" s="179">
        <f t="shared" ca="1" si="177"/>
        <v>100.32925478016679</v>
      </c>
      <c r="AN441" s="179"/>
      <c r="AO441" s="31">
        <f t="shared" si="178"/>
        <v>248800.357912248</v>
      </c>
      <c r="AP441" s="31">
        <f t="shared" ca="1" si="179"/>
        <v>18599.999999813735</v>
      </c>
      <c r="AQ441" s="31">
        <f t="shared" ca="1" si="180"/>
        <v>133011.10085993446</v>
      </c>
      <c r="AR441" s="180">
        <f t="shared" ca="1" si="181"/>
        <v>1.3188885388179088</v>
      </c>
      <c r="AS441" s="31">
        <f t="shared" si="184"/>
        <v>16266.27</v>
      </c>
      <c r="AU441" s="31">
        <f t="shared" si="182"/>
        <v>0</v>
      </c>
      <c r="AV441" s="177"/>
      <c r="AW441" s="31">
        <f t="shared" ca="1" si="183"/>
        <v>29.999999999999574</v>
      </c>
    </row>
    <row r="442" spans="1:53">
      <c r="A442" s="102">
        <v>876</v>
      </c>
      <c r="B442" s="7" t="s">
        <v>2127</v>
      </c>
      <c r="C442" s="7">
        <v>1</v>
      </c>
      <c r="D442" s="62">
        <f t="shared" si="159"/>
        <v>17712277</v>
      </c>
      <c r="E442" s="172">
        <f t="shared" si="160"/>
        <v>10147042</v>
      </c>
      <c r="F442" s="62">
        <f t="shared" si="161"/>
        <v>18134754.555626247</v>
      </c>
      <c r="G442" s="70">
        <f t="shared" si="162"/>
        <v>7810739</v>
      </c>
      <c r="H442" s="62">
        <f t="shared" si="163"/>
        <v>10324016</v>
      </c>
      <c r="I442" s="173">
        <f t="shared" si="164"/>
        <v>176974</v>
      </c>
      <c r="J442" s="174">
        <f t="shared" ca="1" si="185"/>
        <v>56.31</v>
      </c>
      <c r="K442" s="70">
        <f t="shared" ca="1" si="165"/>
        <v>10211680</v>
      </c>
      <c r="L442" s="70">
        <f t="shared" ca="1" si="166"/>
        <v>0</v>
      </c>
      <c r="M442" s="175">
        <f t="shared" ca="1" si="167"/>
        <v>0</v>
      </c>
      <c r="N442" s="70"/>
      <c r="O442" s="70"/>
      <c r="P442" s="70"/>
      <c r="Q442" s="62">
        <v>1136</v>
      </c>
      <c r="R442" s="62">
        <f t="shared" si="168"/>
        <v>1144.9999999885499</v>
      </c>
      <c r="S442" s="176"/>
      <c r="T442" s="176"/>
      <c r="U442" s="70"/>
      <c r="V442" s="70"/>
      <c r="W442" s="260"/>
      <c r="X442" s="62">
        <f t="shared" si="169"/>
        <v>1</v>
      </c>
      <c r="Y442" s="70"/>
      <c r="AA442" s="290"/>
      <c r="AB442" s="291"/>
      <c r="AC442" s="62"/>
      <c r="AD442" s="62"/>
      <c r="AE442" s="177">
        <f t="shared" si="170"/>
        <v>34349.999999656495</v>
      </c>
      <c r="AF442" s="177">
        <f t="shared" ca="1" si="171"/>
        <v>0</v>
      </c>
      <c r="AG442" s="70">
        <f t="shared" ca="1" si="172"/>
        <v>10324016</v>
      </c>
      <c r="AH442" s="70">
        <f t="shared" ca="1" si="173"/>
        <v>0</v>
      </c>
      <c r="AI442" s="587">
        <v>0</v>
      </c>
      <c r="AJ442" s="178">
        <f t="shared" ca="1" si="174"/>
        <v>10324016</v>
      </c>
      <c r="AK442" s="301">
        <f t="shared" ca="1" si="175"/>
        <v>56.929449849085543</v>
      </c>
      <c r="AL442" s="70">
        <f t="shared" ca="1" si="176"/>
        <v>18134755</v>
      </c>
      <c r="AM442" s="179">
        <f t="shared" ca="1" si="177"/>
        <v>100.0000024503985</v>
      </c>
      <c r="AN442" s="179"/>
      <c r="AO442" s="31">
        <f t="shared" si="178"/>
        <v>422477.55562624708</v>
      </c>
      <c r="AP442" s="31">
        <f t="shared" ca="1" si="179"/>
        <v>176974</v>
      </c>
      <c r="AQ442" s="31">
        <f t="shared" ca="1" si="180"/>
        <v>112335.70972685888</v>
      </c>
      <c r="AR442" s="180">
        <f t="shared" ca="1" si="181"/>
        <v>0.6194498490855409</v>
      </c>
      <c r="AS442" s="31">
        <f t="shared" si="184"/>
        <v>15838.21</v>
      </c>
      <c r="AU442" s="31">
        <f t="shared" si="182"/>
        <v>0</v>
      </c>
      <c r="AV442" s="177"/>
      <c r="AW442" s="31">
        <f t="shared" ca="1" si="183"/>
        <v>154.56244541639279</v>
      </c>
    </row>
    <row r="443" spans="1:53">
      <c r="A443" s="102">
        <v>878</v>
      </c>
      <c r="B443" s="7" t="s">
        <v>2128</v>
      </c>
      <c r="C443" s="7">
        <v>1</v>
      </c>
      <c r="D443" s="62">
        <f t="shared" si="159"/>
        <v>15221337</v>
      </c>
      <c r="E443" s="172">
        <f t="shared" si="160"/>
        <v>5630378</v>
      </c>
      <c r="F443" s="62">
        <f t="shared" si="161"/>
        <v>15811834.242360983</v>
      </c>
      <c r="G443" s="70">
        <f t="shared" si="162"/>
        <v>10767622</v>
      </c>
      <c r="H443" s="62">
        <f t="shared" si="163"/>
        <v>5044212</v>
      </c>
      <c r="I443" s="173">
        <f t="shared" si="164"/>
        <v>0</v>
      </c>
      <c r="J443" s="174">
        <f t="shared" ca="1" si="185"/>
        <v>31.79</v>
      </c>
      <c r="K443" s="70">
        <f t="shared" ca="1" si="165"/>
        <v>5026582</v>
      </c>
      <c r="L443" s="70">
        <f t="shared" ca="1" si="166"/>
        <v>0</v>
      </c>
      <c r="M443" s="175">
        <f t="shared" ca="1" si="167"/>
        <v>0</v>
      </c>
      <c r="N443" s="70"/>
      <c r="O443" s="70"/>
      <c r="P443" s="70"/>
      <c r="Q443" s="62">
        <v>957</v>
      </c>
      <c r="R443" s="62">
        <f t="shared" si="168"/>
        <v>962.99999999037004</v>
      </c>
      <c r="S443" s="176"/>
      <c r="T443" s="176"/>
      <c r="U443" s="70"/>
      <c r="V443" s="70"/>
      <c r="W443" s="260"/>
      <c r="X443" s="62">
        <f t="shared" si="169"/>
        <v>0</v>
      </c>
      <c r="Y443" s="70"/>
      <c r="AA443" s="290"/>
      <c r="AB443" s="291"/>
      <c r="AC443" s="62"/>
      <c r="AD443" s="62"/>
      <c r="AE443" s="177">
        <f t="shared" si="170"/>
        <v>28889.999999711101</v>
      </c>
      <c r="AF443" s="177">
        <f t="shared" ca="1" si="171"/>
        <v>28889.999999711101</v>
      </c>
      <c r="AG443" s="70">
        <f t="shared" ca="1" si="172"/>
        <v>5659267.9999997113</v>
      </c>
      <c r="AH443" s="70">
        <f t="shared" ca="1" si="173"/>
        <v>0</v>
      </c>
      <c r="AI443" s="587">
        <v>0</v>
      </c>
      <c r="AJ443" s="178">
        <f t="shared" ca="1" si="174"/>
        <v>5659267.9999997113</v>
      </c>
      <c r="AK443" s="301">
        <f t="shared" ca="1" si="175"/>
        <v>35.791344086052625</v>
      </c>
      <c r="AL443" s="70">
        <f t="shared" ca="1" si="176"/>
        <v>16426889.999999711</v>
      </c>
      <c r="AM443" s="179">
        <f t="shared" ca="1" si="177"/>
        <v>103.88984445581242</v>
      </c>
      <c r="AN443" s="179"/>
      <c r="AO443" s="31">
        <f t="shared" si="178"/>
        <v>590497.24236098304</v>
      </c>
      <c r="AP443" s="31">
        <f t="shared" ca="1" si="179"/>
        <v>28889.99999971129</v>
      </c>
      <c r="AQ443" s="31">
        <f t="shared" ca="1" si="180"/>
        <v>632685.89435315412</v>
      </c>
      <c r="AR443" s="180">
        <f t="shared" ca="1" si="181"/>
        <v>4.0013440860526259</v>
      </c>
      <c r="AS443" s="31">
        <f t="shared" si="184"/>
        <v>16419.349999999999</v>
      </c>
      <c r="AU443" s="31">
        <f t="shared" si="182"/>
        <v>0</v>
      </c>
      <c r="AV443" s="177"/>
      <c r="AW443" s="31">
        <f t="shared" ca="1" si="183"/>
        <v>30.000000000000195</v>
      </c>
    </row>
    <row r="444" spans="1:53">
      <c r="A444" s="102">
        <v>879</v>
      </c>
      <c r="B444" s="7" t="s">
        <v>2129</v>
      </c>
      <c r="C444" s="7">
        <v>1</v>
      </c>
      <c r="D444" s="62">
        <f t="shared" si="159"/>
        <v>11535664</v>
      </c>
      <c r="E444" s="172">
        <f t="shared" si="160"/>
        <v>2968265</v>
      </c>
      <c r="F444" s="62">
        <f t="shared" si="161"/>
        <v>11636066.279966651</v>
      </c>
      <c r="G444" s="70">
        <f t="shared" si="162"/>
        <v>8609575</v>
      </c>
      <c r="H444" s="62">
        <f t="shared" si="163"/>
        <v>3026491</v>
      </c>
      <c r="I444" s="173">
        <f t="shared" si="164"/>
        <v>58226</v>
      </c>
      <c r="J444" s="174">
        <f t="shared" ca="1" si="185"/>
        <v>26.39</v>
      </c>
      <c r="K444" s="70">
        <f t="shared" ca="1" si="165"/>
        <v>3070758</v>
      </c>
      <c r="L444" s="70">
        <f t="shared" ca="1" si="166"/>
        <v>0</v>
      </c>
      <c r="M444" s="175">
        <f t="shared" ca="1" si="167"/>
        <v>0</v>
      </c>
      <c r="N444" s="70"/>
      <c r="O444" s="70"/>
      <c r="P444" s="70"/>
      <c r="Q444" s="62">
        <v>741</v>
      </c>
      <c r="R444" s="62">
        <f t="shared" si="168"/>
        <v>739</v>
      </c>
      <c r="S444" s="176"/>
      <c r="T444" s="176"/>
      <c r="U444" s="70"/>
      <c r="V444" s="70"/>
      <c r="W444" s="260"/>
      <c r="X444" s="62">
        <f t="shared" si="169"/>
        <v>1</v>
      </c>
      <c r="Y444" s="70"/>
      <c r="AA444" s="290"/>
      <c r="AB444" s="291"/>
      <c r="AC444" s="62"/>
      <c r="AD444" s="62"/>
      <c r="AE444" s="177">
        <f t="shared" si="170"/>
        <v>22170</v>
      </c>
      <c r="AF444" s="177">
        <f t="shared" ca="1" si="171"/>
        <v>0</v>
      </c>
      <c r="AG444" s="70">
        <f t="shared" ca="1" si="172"/>
        <v>3026491</v>
      </c>
      <c r="AH444" s="70">
        <f t="shared" ca="1" si="173"/>
        <v>0</v>
      </c>
      <c r="AI444" s="587">
        <v>0</v>
      </c>
      <c r="AJ444" s="178">
        <f t="shared" ca="1" si="174"/>
        <v>3026491</v>
      </c>
      <c r="AK444" s="301">
        <f t="shared" ca="1" si="175"/>
        <v>26.009571681544891</v>
      </c>
      <c r="AL444" s="70">
        <f t="shared" ca="1" si="176"/>
        <v>11636066</v>
      </c>
      <c r="AM444" s="179">
        <f t="shared" ca="1" si="177"/>
        <v>99.99999759397511</v>
      </c>
      <c r="AN444" s="179"/>
      <c r="AO444" s="31">
        <f t="shared" si="178"/>
        <v>100402.27996665053</v>
      </c>
      <c r="AP444" s="31">
        <f t="shared" ca="1" si="179"/>
        <v>58226</v>
      </c>
      <c r="AQ444" s="31">
        <f t="shared" ca="1" si="180"/>
        <v>-44266.891283199191</v>
      </c>
      <c r="AR444" s="180">
        <f t="shared" ca="1" si="181"/>
        <v>-0.3804283184551096</v>
      </c>
      <c r="AS444" s="31">
        <f t="shared" si="184"/>
        <v>15745.69</v>
      </c>
      <c r="AU444" s="31">
        <f t="shared" si="182"/>
        <v>0</v>
      </c>
      <c r="AV444" s="177"/>
      <c r="AW444" s="31">
        <f t="shared" ca="1" si="183"/>
        <v>78.790257104194865</v>
      </c>
    </row>
    <row r="445" spans="1:53">
      <c r="A445" s="102">
        <v>885</v>
      </c>
      <c r="B445" s="7" t="s">
        <v>2130</v>
      </c>
      <c r="C445" s="7">
        <v>1</v>
      </c>
      <c r="D445" s="62">
        <f t="shared" si="159"/>
        <v>19322789</v>
      </c>
      <c r="E445" s="172">
        <f t="shared" si="160"/>
        <v>8938032</v>
      </c>
      <c r="F445" s="62">
        <f t="shared" si="161"/>
        <v>19762413.323503122</v>
      </c>
      <c r="G445" s="70">
        <f t="shared" si="162"/>
        <v>10544137</v>
      </c>
      <c r="H445" s="62">
        <f t="shared" si="163"/>
        <v>9218276</v>
      </c>
      <c r="I445" s="173">
        <f t="shared" si="164"/>
        <v>280244</v>
      </c>
      <c r="J445" s="174">
        <f t="shared" ca="1" si="185"/>
        <v>46.93</v>
      </c>
      <c r="K445" s="70">
        <f t="shared" ca="1" si="165"/>
        <v>9274501</v>
      </c>
      <c r="L445" s="70">
        <f t="shared" ca="1" si="166"/>
        <v>0</v>
      </c>
      <c r="M445" s="175">
        <f t="shared" ca="1" si="167"/>
        <v>0</v>
      </c>
      <c r="N445" s="70"/>
      <c r="O445" s="70"/>
      <c r="P445" s="70"/>
      <c r="Q445" s="62">
        <v>1224</v>
      </c>
      <c r="R445" s="62">
        <f t="shared" si="168"/>
        <v>1227.9999999999998</v>
      </c>
      <c r="S445" s="176"/>
      <c r="T445" s="176"/>
      <c r="U445" s="70"/>
      <c r="V445" s="70"/>
      <c r="W445" s="260"/>
      <c r="X445" s="62">
        <f t="shared" si="169"/>
        <v>1</v>
      </c>
      <c r="Y445" s="70"/>
      <c r="AA445" s="292"/>
      <c r="AB445" s="291"/>
      <c r="AC445" s="62"/>
      <c r="AD445" s="62"/>
      <c r="AE445" s="177">
        <f t="shared" si="170"/>
        <v>36839.999999999993</v>
      </c>
      <c r="AF445" s="177">
        <f t="shared" ca="1" si="171"/>
        <v>0</v>
      </c>
      <c r="AG445" s="70">
        <f t="shared" ca="1" si="172"/>
        <v>9218276</v>
      </c>
      <c r="AH445" s="70">
        <f t="shared" ca="1" si="173"/>
        <v>0</v>
      </c>
      <c r="AI445" s="587">
        <v>0</v>
      </c>
      <c r="AJ445" s="178">
        <f t="shared" ca="1" si="174"/>
        <v>9218276</v>
      </c>
      <c r="AK445" s="301">
        <f t="shared" ca="1" si="175"/>
        <v>46.645497435461749</v>
      </c>
      <c r="AL445" s="70">
        <f t="shared" ca="1" si="176"/>
        <v>19762413</v>
      </c>
      <c r="AM445" s="179">
        <f t="shared" ca="1" si="177"/>
        <v>99.999998363038372</v>
      </c>
      <c r="AN445" s="179"/>
      <c r="AO445" s="31">
        <f t="shared" si="178"/>
        <v>439624.32350312173</v>
      </c>
      <c r="AP445" s="31">
        <f t="shared" ca="1" si="179"/>
        <v>280244</v>
      </c>
      <c r="AQ445" s="31">
        <f t="shared" ca="1" si="180"/>
        <v>-56224.572720015422</v>
      </c>
      <c r="AR445" s="180">
        <f t="shared" ca="1" si="181"/>
        <v>-0.28450256453825062</v>
      </c>
      <c r="AS445" s="31">
        <f t="shared" si="184"/>
        <v>16093.17</v>
      </c>
      <c r="AU445" s="31">
        <f t="shared" si="182"/>
        <v>0</v>
      </c>
      <c r="AV445" s="177"/>
      <c r="AW445" s="31">
        <f t="shared" ca="1" si="183"/>
        <v>228.21172638436485</v>
      </c>
    </row>
    <row r="446" spans="1:53">
      <c r="A446" s="102">
        <v>910</v>
      </c>
      <c r="B446" s="7" t="s">
        <v>2131</v>
      </c>
      <c r="C446" s="7">
        <v>1</v>
      </c>
      <c r="D446" s="62">
        <f t="shared" si="159"/>
        <v>6281807</v>
      </c>
      <c r="E446" s="172">
        <f t="shared" si="160"/>
        <v>3015502</v>
      </c>
      <c r="F446" s="62">
        <f t="shared" si="161"/>
        <v>6434258.3084468814</v>
      </c>
      <c r="G446" s="70">
        <f t="shared" si="162"/>
        <v>3461793</v>
      </c>
      <c r="H446" s="62">
        <f t="shared" si="163"/>
        <v>2972465</v>
      </c>
      <c r="I446" s="173">
        <f t="shared" si="164"/>
        <v>0</v>
      </c>
      <c r="J446" s="174">
        <f t="shared" ca="1" si="185"/>
        <v>45.31</v>
      </c>
      <c r="K446" s="70">
        <f t="shared" ca="1" si="165"/>
        <v>2915362</v>
      </c>
      <c r="L446" s="70">
        <f t="shared" ca="1" si="166"/>
        <v>0</v>
      </c>
      <c r="M446" s="175">
        <f t="shared" ca="1" si="167"/>
        <v>0</v>
      </c>
      <c r="N446" s="70"/>
      <c r="O446" s="70"/>
      <c r="P446" s="70"/>
      <c r="Q446" s="62">
        <v>410</v>
      </c>
      <c r="R446" s="62">
        <f t="shared" si="168"/>
        <v>411.99999999999994</v>
      </c>
      <c r="S446" s="176"/>
      <c r="T446" s="176"/>
      <c r="U446" s="70"/>
      <c r="V446" s="70"/>
      <c r="W446" s="260"/>
      <c r="X446" s="62">
        <f t="shared" si="169"/>
        <v>0</v>
      </c>
      <c r="Y446" s="70"/>
      <c r="AA446" s="290"/>
      <c r="AB446" s="291"/>
      <c r="AC446" s="62"/>
      <c r="AD446" s="62"/>
      <c r="AE446" s="177">
        <f t="shared" si="170"/>
        <v>12359.999999999998</v>
      </c>
      <c r="AF446" s="177">
        <f t="shared" ca="1" si="171"/>
        <v>12359.999999999998</v>
      </c>
      <c r="AG446" s="70">
        <f t="shared" ca="1" si="172"/>
        <v>3027862</v>
      </c>
      <c r="AH446" s="70">
        <f t="shared" ca="1" si="173"/>
        <v>0</v>
      </c>
      <c r="AI446" s="587">
        <v>0</v>
      </c>
      <c r="AJ446" s="178">
        <f t="shared" ca="1" si="174"/>
        <v>3027862</v>
      </c>
      <c r="AK446" s="301">
        <f t="shared" ca="1" si="175"/>
        <v>47.058446441682776</v>
      </c>
      <c r="AL446" s="70">
        <f t="shared" ca="1" si="176"/>
        <v>6489655</v>
      </c>
      <c r="AM446" s="179">
        <f t="shared" ca="1" si="177"/>
        <v>100.86096468151418</v>
      </c>
      <c r="AN446" s="179"/>
      <c r="AO446" s="31">
        <f t="shared" si="178"/>
        <v>152451.30844688136</v>
      </c>
      <c r="AP446" s="31">
        <f t="shared" ca="1" si="179"/>
        <v>12360</v>
      </c>
      <c r="AQ446" s="31">
        <f t="shared" ca="1" si="180"/>
        <v>112499.56044271821</v>
      </c>
      <c r="AR446" s="180">
        <f t="shared" ca="1" si="181"/>
        <v>1.7484464416827734</v>
      </c>
      <c r="AS446" s="31">
        <f t="shared" si="184"/>
        <v>15617.13</v>
      </c>
      <c r="AU446" s="31">
        <f t="shared" si="182"/>
        <v>0</v>
      </c>
      <c r="AV446" s="177"/>
      <c r="AW446" s="31">
        <f t="shared" ca="1" si="183"/>
        <v>30.000000000000004</v>
      </c>
    </row>
    <row r="447" spans="1:53">
      <c r="A447" s="102">
        <v>915</v>
      </c>
      <c r="B447" s="7" t="s">
        <v>2132</v>
      </c>
      <c r="C447" s="7">
        <v>1</v>
      </c>
      <c r="D447" s="62">
        <f t="shared" si="159"/>
        <v>4615273</v>
      </c>
      <c r="E447" s="172">
        <f t="shared" si="160"/>
        <v>1216940</v>
      </c>
      <c r="F447" s="62">
        <f t="shared" si="161"/>
        <v>4595770.9606507998</v>
      </c>
      <c r="G447" s="70">
        <f t="shared" si="162"/>
        <v>3415991</v>
      </c>
      <c r="H447" s="62">
        <f t="shared" si="163"/>
        <v>1179780</v>
      </c>
      <c r="I447" s="173">
        <f t="shared" si="164"/>
        <v>0</v>
      </c>
      <c r="J447" s="174">
        <f t="shared" ca="1" si="185"/>
        <v>25.66</v>
      </c>
      <c r="K447" s="70">
        <f t="shared" ca="1" si="165"/>
        <v>1179275</v>
      </c>
      <c r="L447" s="70">
        <f t="shared" ca="1" si="166"/>
        <v>0</v>
      </c>
      <c r="M447" s="175">
        <f t="shared" ca="1" si="167"/>
        <v>0</v>
      </c>
      <c r="N447" s="70"/>
      <c r="O447" s="70"/>
      <c r="P447" s="70"/>
      <c r="Q447" s="62">
        <v>286</v>
      </c>
      <c r="R447" s="62">
        <f t="shared" si="168"/>
        <v>278.99999999163009</v>
      </c>
      <c r="S447" s="176"/>
      <c r="T447" s="176"/>
      <c r="U447" s="70"/>
      <c r="V447" s="70"/>
      <c r="W447" s="260"/>
      <c r="X447" s="62">
        <f t="shared" si="169"/>
        <v>0</v>
      </c>
      <c r="Y447" s="70"/>
      <c r="AA447" s="290"/>
      <c r="AB447" s="291"/>
      <c r="AC447" s="62"/>
      <c r="AD447" s="62"/>
      <c r="AE447" s="177">
        <f t="shared" si="170"/>
        <v>8369.9999997489031</v>
      </c>
      <c r="AF447" s="177">
        <f t="shared" ca="1" si="171"/>
        <v>8369.9999997489031</v>
      </c>
      <c r="AG447" s="70">
        <f t="shared" ca="1" si="172"/>
        <v>1225309.999999749</v>
      </c>
      <c r="AH447" s="70">
        <f t="shared" ca="1" si="173"/>
        <v>0</v>
      </c>
      <c r="AI447" s="587">
        <v>0</v>
      </c>
      <c r="AJ447" s="178">
        <f t="shared" ca="1" si="174"/>
        <v>1225309.999999749</v>
      </c>
      <c r="AK447" s="301">
        <f t="shared" ca="1" si="175"/>
        <v>26.661685503714374</v>
      </c>
      <c r="AL447" s="70">
        <f t="shared" ca="1" si="176"/>
        <v>4641300.9999997485</v>
      </c>
      <c r="AM447" s="179">
        <f t="shared" ca="1" si="177"/>
        <v>100.99069426520118</v>
      </c>
      <c r="AN447" s="179"/>
      <c r="AO447" s="31">
        <f t="shared" si="178"/>
        <v>-19502.039349200204</v>
      </c>
      <c r="AP447" s="31">
        <f t="shared" ca="1" si="179"/>
        <v>8369.9999997490086</v>
      </c>
      <c r="AQ447" s="31">
        <f t="shared" ca="1" si="180"/>
        <v>46035.171496753814</v>
      </c>
      <c r="AR447" s="180">
        <f t="shared" ca="1" si="181"/>
        <v>1.0016855037143735</v>
      </c>
      <c r="AS447" s="31">
        <f t="shared" si="184"/>
        <v>16472.3</v>
      </c>
      <c r="AU447" s="31">
        <f t="shared" si="182"/>
        <v>0</v>
      </c>
      <c r="AV447" s="177"/>
      <c r="AW447" s="31">
        <f t="shared" ca="1" si="183"/>
        <v>30.00000000000038</v>
      </c>
    </row>
    <row r="448" spans="1:53" s="11" customFormat="1">
      <c r="A448" s="104">
        <v>999</v>
      </c>
      <c r="B448" s="11" t="s">
        <v>868</v>
      </c>
      <c r="C448" s="11">
        <v>1</v>
      </c>
      <c r="D448" s="105">
        <f t="shared" si="159"/>
        <v>10128238382.975546</v>
      </c>
      <c r="E448" s="105">
        <f t="shared" si="160"/>
        <v>4627705061.1446953</v>
      </c>
      <c r="F448" s="105">
        <f>SUM(F10:F447)</f>
        <v>10379173843.167685</v>
      </c>
      <c r="G448" s="105">
        <f t="shared" si="162"/>
        <v>6046916786</v>
      </c>
      <c r="H448" s="134">
        <f>SUM(H10:H447)</f>
        <v>4332257062</v>
      </c>
      <c r="I448" s="134">
        <f>SUM(I10:I447)</f>
        <v>90192516.279435724</v>
      </c>
      <c r="J448" s="282">
        <v>41</v>
      </c>
      <c r="K448" s="105">
        <f t="shared" ref="K448:M448" ca="1" si="186">SUM(K10:K447)</f>
        <v>4255444007</v>
      </c>
      <c r="L448" s="105">
        <f t="shared" ca="1" si="186"/>
        <v>0</v>
      </c>
      <c r="M448" s="105">
        <f t="shared" ca="1" si="186"/>
        <v>0</v>
      </c>
      <c r="N448" s="134"/>
      <c r="O448" s="134"/>
      <c r="P448" s="134"/>
      <c r="Q448" s="105">
        <v>940103</v>
      </c>
      <c r="R448" s="105">
        <f>SUM(R10:R447)</f>
        <v>941303.00000004179</v>
      </c>
      <c r="S448" s="105"/>
      <c r="T448" s="105"/>
      <c r="U448" s="128"/>
      <c r="V448" s="128"/>
      <c r="W448" s="138"/>
      <c r="X448" s="105">
        <f>SUM(X10:X447)</f>
        <v>97</v>
      </c>
      <c r="Y448" s="105"/>
      <c r="AA448" s="106"/>
      <c r="AB448" s="106"/>
      <c r="AC448" s="187"/>
      <c r="AD448" s="187"/>
      <c r="AE448" s="134">
        <f t="shared" ref="AE448:AJ448" si="187">SUM(AE10:AE447)</f>
        <v>28222650.000001252</v>
      </c>
      <c r="AF448" s="134">
        <f t="shared" ca="1" si="187"/>
        <v>16260206.666089678</v>
      </c>
      <c r="AG448" s="134">
        <f t="shared" ca="1" si="187"/>
        <v>4734157784.0902205</v>
      </c>
      <c r="AH448" s="134">
        <f t="shared" ca="1" si="187"/>
        <v>60790.140781089467</v>
      </c>
      <c r="AI448" s="187">
        <f>SUM(AI8:AI447)</f>
        <v>11548162</v>
      </c>
      <c r="AJ448" s="182">
        <f t="shared" ca="1" si="187"/>
        <v>4745645155.949439</v>
      </c>
      <c r="AK448" s="301">
        <f t="shared" ca="1" si="175"/>
        <v>45.722763946895085</v>
      </c>
      <c r="AL448" s="134">
        <f ca="1">SUM(AL10:AL447)</f>
        <v>10792561941.949446</v>
      </c>
      <c r="AM448" s="138">
        <f t="shared" ca="1" si="177"/>
        <v>103.98286130503425</v>
      </c>
      <c r="AN448" s="138"/>
      <c r="AU448" s="91">
        <f>SUM(AU10:AU447)</f>
        <v>0</v>
      </c>
      <c r="AV448" s="187"/>
      <c r="AW448"/>
      <c r="AX448"/>
      <c r="AY448"/>
      <c r="AZ448"/>
      <c r="BA448"/>
    </row>
    <row r="449" spans="1:53" s="11" customFormat="1">
      <c r="A449" s="107"/>
      <c r="D449" s="105"/>
      <c r="E449" s="105"/>
      <c r="F449" s="105"/>
      <c r="G449" s="105"/>
      <c r="H449" s="134"/>
      <c r="I449" s="134"/>
      <c r="J449" s="105"/>
      <c r="K449" s="105"/>
      <c r="L449" s="105"/>
      <c r="M449" s="105"/>
      <c r="N449" s="134"/>
      <c r="O449" s="134"/>
      <c r="P449" s="134"/>
      <c r="Q449" s="105"/>
      <c r="R449" s="105"/>
      <c r="S449" s="105"/>
      <c r="T449" s="105"/>
      <c r="U449" s="105"/>
      <c r="V449" s="128"/>
      <c r="W449" s="138"/>
      <c r="X449" s="105"/>
      <c r="Y449" s="105"/>
      <c r="AA449" s="106"/>
      <c r="AB449" s="106"/>
      <c r="AC449" s="187"/>
      <c r="AD449" s="187"/>
      <c r="AE449" s="134"/>
      <c r="AF449" s="134"/>
      <c r="AG449" s="134"/>
      <c r="AH449" s="105"/>
      <c r="AI449" s="105"/>
      <c r="AJ449" s="105">
        <f ca="1">AJ448+parameters!H13</f>
        <v>4745953713.949439</v>
      </c>
      <c r="AK449" s="105"/>
      <c r="AL449" s="105"/>
      <c r="AM449" s="183"/>
      <c r="AN449" s="183"/>
      <c r="AQ449" s="184">
        <f ca="1">SUMIF(AQ10:AQ447, "&gt;0")</f>
        <v>497403844.94550669</v>
      </c>
      <c r="AV449" s="106"/>
      <c r="AW449"/>
      <c r="AX449"/>
      <c r="AY449"/>
      <c r="AZ449"/>
      <c r="BA449"/>
    </row>
    <row r="450" spans="1:53">
      <c r="A450" s="107"/>
      <c r="B450" s="11"/>
      <c r="C450" s="11"/>
      <c r="D450" s="105"/>
      <c r="E450" s="105"/>
      <c r="F450" s="105"/>
      <c r="G450" s="105"/>
      <c r="H450" s="134"/>
      <c r="I450" s="134"/>
      <c r="J450" s="105"/>
      <c r="K450" s="105"/>
      <c r="L450" s="105"/>
      <c r="M450" s="105"/>
      <c r="N450" s="134"/>
      <c r="O450" s="134"/>
      <c r="P450" s="134"/>
      <c r="Q450" s="105"/>
      <c r="R450" s="105"/>
      <c r="S450" s="105"/>
      <c r="T450" s="105"/>
      <c r="V450" s="134"/>
      <c r="W450" s="138"/>
      <c r="X450" s="105"/>
      <c r="Y450" s="105"/>
      <c r="AG450" s="134"/>
      <c r="AH450" s="105"/>
      <c r="AI450" s="105"/>
      <c r="AL450" s="70"/>
      <c r="AM450" s="183"/>
      <c r="AN450" s="183"/>
      <c r="AQ450" s="184">
        <f ca="1">SUMIF(AQ10:AQ447, "&lt;0")</f>
        <v>-7202688.8360463409</v>
      </c>
    </row>
    <row r="451" spans="1:53">
      <c r="A451" s="107"/>
      <c r="B451" s="11"/>
      <c r="C451" s="11"/>
      <c r="D451" s="105"/>
      <c r="E451" s="105"/>
      <c r="F451" s="105"/>
      <c r="G451" s="105"/>
      <c r="H451" s="134"/>
      <c r="I451" s="105">
        <f>COUNTIF(I10:I447, "&gt;0")</f>
        <v>114</v>
      </c>
      <c r="J451" s="105"/>
      <c r="K451" s="105"/>
      <c r="L451" s="105"/>
      <c r="M451" s="105"/>
      <c r="N451" s="134"/>
      <c r="O451" s="134"/>
      <c r="P451" s="134"/>
      <c r="Q451" s="105"/>
      <c r="R451" s="105"/>
      <c r="S451" s="105"/>
      <c r="T451" s="105"/>
      <c r="V451" s="134"/>
      <c r="W451" s="138"/>
      <c r="X451" s="105"/>
      <c r="Y451" s="105"/>
      <c r="AC451" s="134"/>
      <c r="AF451" s="105">
        <f ca="1">COUNTIF(AF10:AF447, "&gt;0")</f>
        <v>235</v>
      </c>
      <c r="AG451" s="134"/>
      <c r="AH451" s="105"/>
      <c r="AI451" s="105"/>
      <c r="AL451" s="70"/>
      <c r="AM451" s="183"/>
      <c r="AN451" s="183"/>
      <c r="AQ451" s="184"/>
    </row>
    <row r="452" spans="1:53">
      <c r="A452" s="107"/>
      <c r="B452" s="11"/>
      <c r="C452" s="11"/>
      <c r="D452" s="105"/>
      <c r="E452" s="105"/>
      <c r="F452" s="105"/>
      <c r="G452" s="105"/>
      <c r="H452" s="134"/>
      <c r="I452" s="134"/>
      <c r="J452" s="105"/>
      <c r="K452" s="105"/>
      <c r="L452" s="105"/>
      <c r="M452" s="105"/>
      <c r="N452" s="134"/>
      <c r="O452" s="134"/>
      <c r="P452" s="134"/>
      <c r="Q452" s="105"/>
      <c r="R452" s="105"/>
      <c r="S452" s="105"/>
      <c r="T452" s="105"/>
      <c r="V452" s="134"/>
      <c r="W452" s="138"/>
      <c r="X452" s="105"/>
      <c r="Y452" s="105"/>
      <c r="AG452" s="134"/>
      <c r="AH452" s="105"/>
      <c r="AI452" s="105"/>
      <c r="AL452" s="70"/>
      <c r="AM452" s="183"/>
      <c r="AN452" s="183"/>
    </row>
    <row r="453" spans="1:53">
      <c r="A453" s="107"/>
      <c r="B453" s="11"/>
      <c r="C453" s="11"/>
      <c r="D453" s="105"/>
      <c r="E453" s="105"/>
      <c r="F453" s="105"/>
      <c r="G453" s="105"/>
      <c r="H453" s="134"/>
      <c r="I453" s="134"/>
      <c r="J453" s="105"/>
      <c r="K453" s="105"/>
      <c r="L453" s="105"/>
      <c r="M453" s="105"/>
      <c r="N453" s="134"/>
      <c r="O453" s="134"/>
      <c r="P453" s="134"/>
      <c r="Q453" s="105"/>
      <c r="R453" s="105"/>
      <c r="S453" s="105"/>
      <c r="T453" s="105"/>
      <c r="V453" s="134"/>
      <c r="W453" s="138"/>
      <c r="X453" s="105"/>
      <c r="Y453" s="105"/>
      <c r="AG453" s="134"/>
      <c r="AH453" s="105"/>
      <c r="AI453" s="105"/>
      <c r="AL453" s="70"/>
      <c r="AM453" s="183"/>
      <c r="AN453" s="183"/>
    </row>
    <row r="454" spans="1:53" s="11" customFormat="1">
      <c r="N454" s="106"/>
      <c r="O454" s="106"/>
      <c r="P454" s="106"/>
      <c r="R454" s="105"/>
      <c r="V454" s="134">
        <f>V448-V449</f>
        <v>0</v>
      </c>
      <c r="Z454" s="7"/>
      <c r="AA454" s="106"/>
      <c r="AB454" s="106"/>
      <c r="AC454" s="49"/>
      <c r="AD454" s="49"/>
      <c r="AE454" s="185"/>
      <c r="AF454" s="185"/>
      <c r="AJ454" s="185"/>
      <c r="AV454" s="106"/>
      <c r="AW454"/>
      <c r="AX454"/>
      <c r="AY454"/>
      <c r="AZ454"/>
      <c r="BA454"/>
    </row>
    <row r="455" spans="1:53" s="11" customFormat="1">
      <c r="N455" s="106"/>
      <c r="O455" s="106"/>
      <c r="P455" s="106"/>
      <c r="Z455" s="7"/>
      <c r="AA455" s="106"/>
      <c r="AB455" s="106"/>
      <c r="AC455" s="49"/>
      <c r="AD455" s="49"/>
      <c r="AE455" s="106"/>
      <c r="AF455" s="106"/>
      <c r="AJ455" s="106"/>
      <c r="AV455" s="106"/>
      <c r="AW455"/>
      <c r="AX455"/>
      <c r="AY455"/>
      <c r="AZ455"/>
      <c r="BA455"/>
    </row>
    <row r="456" spans="1:53" s="11" customFormat="1">
      <c r="N456" s="106"/>
      <c r="O456" s="106"/>
      <c r="P456" s="106"/>
      <c r="Q456" s="186"/>
      <c r="Z456" s="7"/>
      <c r="AA456" s="106"/>
      <c r="AB456" s="106"/>
      <c r="AC456" s="49"/>
      <c r="AD456" s="49"/>
      <c r="AE456" s="187"/>
      <c r="AF456" s="187"/>
      <c r="AJ456" s="187"/>
      <c r="AV456" s="106"/>
      <c r="AW456"/>
      <c r="AX456"/>
      <c r="AY456"/>
      <c r="AZ456"/>
      <c r="BA456"/>
    </row>
    <row r="457" spans="1:53" s="11" customFormat="1">
      <c r="N457" s="106"/>
      <c r="O457" s="106"/>
      <c r="P457" s="106"/>
      <c r="Z457" s="7"/>
      <c r="AA457" s="106"/>
      <c r="AB457" s="106"/>
      <c r="AC457" s="49"/>
      <c r="AD457" s="49"/>
      <c r="AE457" s="106"/>
      <c r="AF457" s="106"/>
      <c r="AJ457" s="106"/>
      <c r="AV457" s="106"/>
      <c r="AW457"/>
      <c r="AX457"/>
      <c r="AY457"/>
      <c r="AZ457"/>
      <c r="BA457"/>
    </row>
    <row r="458" spans="1:53" s="11" customFormat="1">
      <c r="N458" s="106"/>
      <c r="O458" s="106"/>
      <c r="P458" s="106"/>
      <c r="Z458" s="7"/>
      <c r="AA458" s="106"/>
      <c r="AB458" s="106"/>
      <c r="AC458" s="49"/>
      <c r="AD458" s="49"/>
      <c r="AE458" s="106"/>
      <c r="AF458" s="106"/>
      <c r="AJ458" s="106"/>
      <c r="AV458" s="106"/>
      <c r="AW458"/>
      <c r="AX458"/>
      <c r="AY458"/>
      <c r="AZ458"/>
      <c r="BA458"/>
    </row>
    <row r="459" spans="1:53" s="11" customFormat="1">
      <c r="N459" s="106"/>
      <c r="O459" s="106"/>
      <c r="P459" s="106"/>
      <c r="Z459" s="7"/>
      <c r="AA459" s="106"/>
      <c r="AB459" s="106"/>
      <c r="AC459" s="49"/>
      <c r="AD459" s="49"/>
      <c r="AE459" s="106"/>
      <c r="AF459" s="106"/>
      <c r="AJ459" s="106"/>
      <c r="AV459" s="106"/>
      <c r="AW459"/>
      <c r="AX459"/>
      <c r="AY459"/>
      <c r="AZ459"/>
      <c r="BA459"/>
    </row>
    <row r="460" spans="1:53" s="11" customFormat="1">
      <c r="N460" s="106"/>
      <c r="O460" s="106"/>
      <c r="P460" s="106"/>
      <c r="Z460" s="7"/>
      <c r="AA460" s="106"/>
      <c r="AB460" s="106"/>
      <c r="AC460" s="49"/>
      <c r="AD460" s="49"/>
      <c r="AE460" s="106"/>
      <c r="AF460" s="106"/>
      <c r="AJ460" s="106"/>
      <c r="AV460" s="106"/>
      <c r="AW460"/>
      <c r="AX460"/>
      <c r="AY460"/>
      <c r="AZ460"/>
      <c r="BA460"/>
    </row>
    <row r="461" spans="1:53" s="11" customFormat="1">
      <c r="N461" s="106"/>
      <c r="O461" s="106"/>
      <c r="P461" s="106"/>
      <c r="Z461" s="7"/>
      <c r="AA461" s="106"/>
      <c r="AB461" s="106"/>
      <c r="AC461" s="106"/>
      <c r="AD461" s="106"/>
      <c r="AE461" s="106"/>
      <c r="AF461" s="106"/>
      <c r="AJ461" s="106"/>
      <c r="AV461" s="106"/>
      <c r="AW461"/>
      <c r="AX461"/>
      <c r="AY461"/>
      <c r="AZ461"/>
      <c r="BA461"/>
    </row>
    <row r="462" spans="1:53" s="11" customFormat="1">
      <c r="N462" s="106"/>
      <c r="O462" s="106"/>
      <c r="P462" s="106"/>
      <c r="Z462" s="7"/>
      <c r="AA462" s="106"/>
      <c r="AB462" s="106"/>
      <c r="AC462" s="106"/>
      <c r="AD462" s="106"/>
      <c r="AE462" s="106"/>
      <c r="AF462" s="106"/>
      <c r="AJ462" s="106"/>
      <c r="AV462" s="106"/>
      <c r="AW462"/>
      <c r="AX462"/>
      <c r="AY462"/>
      <c r="AZ462"/>
      <c r="BA462"/>
    </row>
    <row r="463" spans="1:53" s="11" customFormat="1">
      <c r="N463" s="106"/>
      <c r="O463" s="106"/>
      <c r="P463" s="106"/>
      <c r="Z463" s="7"/>
      <c r="AA463" s="106"/>
      <c r="AB463" s="106"/>
      <c r="AC463" s="106"/>
      <c r="AD463" s="106"/>
      <c r="AE463" s="106"/>
      <c r="AF463" s="106"/>
      <c r="AJ463" s="106"/>
      <c r="AV463" s="106"/>
      <c r="AW463"/>
      <c r="AX463"/>
      <c r="AY463"/>
      <c r="AZ463"/>
      <c r="BA463"/>
    </row>
    <row r="464" spans="1:53" s="11" customFormat="1">
      <c r="N464" s="106"/>
      <c r="O464" s="106"/>
      <c r="P464" s="106"/>
      <c r="Z464" s="7"/>
      <c r="AA464" s="106"/>
      <c r="AB464" s="106"/>
      <c r="AC464" s="106"/>
      <c r="AD464" s="106"/>
      <c r="AE464" s="106"/>
      <c r="AF464" s="106"/>
      <c r="AJ464" s="106"/>
      <c r="AV464" s="106"/>
      <c r="AW464"/>
      <c r="AX464"/>
      <c r="AY464"/>
      <c r="AZ464"/>
      <c r="BA464"/>
    </row>
    <row r="465" spans="14:53" s="11" customFormat="1">
      <c r="N465" s="106"/>
      <c r="O465" s="106"/>
      <c r="P465" s="106"/>
      <c r="Z465" s="7"/>
      <c r="AA465" s="106"/>
      <c r="AB465" s="106"/>
      <c r="AC465" s="106"/>
      <c r="AD465" s="106"/>
      <c r="AE465" s="106"/>
      <c r="AF465" s="106"/>
      <c r="AJ465" s="106"/>
      <c r="AV465" s="106"/>
      <c r="AW465"/>
      <c r="AX465"/>
      <c r="AY465"/>
      <c r="AZ465"/>
      <c r="BA465"/>
    </row>
    <row r="466" spans="14:53" s="11" customFormat="1">
      <c r="N466" s="106"/>
      <c r="O466" s="106"/>
      <c r="P466" s="106"/>
      <c r="Z466" s="7"/>
      <c r="AA466" s="106"/>
      <c r="AB466" s="106"/>
      <c r="AC466" s="106"/>
      <c r="AD466" s="106"/>
      <c r="AE466" s="106"/>
      <c r="AF466" s="106"/>
      <c r="AJ466" s="106"/>
      <c r="AV466" s="106"/>
      <c r="AW466"/>
      <c r="AX466"/>
      <c r="AY466"/>
      <c r="AZ466"/>
      <c r="BA466"/>
    </row>
    <row r="467" spans="14:53" s="11" customFormat="1">
      <c r="N467" s="106"/>
      <c r="O467" s="106"/>
      <c r="P467" s="106"/>
      <c r="Z467" s="7"/>
      <c r="AA467" s="106"/>
      <c r="AB467" s="106"/>
      <c r="AC467" s="106"/>
      <c r="AD467" s="106"/>
      <c r="AE467" s="106"/>
      <c r="AF467" s="106"/>
      <c r="AJ467" s="106"/>
      <c r="AV467" s="106"/>
      <c r="AW467"/>
      <c r="AX467"/>
      <c r="AY467"/>
      <c r="AZ467"/>
      <c r="BA467"/>
    </row>
    <row r="468" spans="14:53" s="11" customFormat="1">
      <c r="N468" s="106"/>
      <c r="O468" s="106"/>
      <c r="P468" s="106"/>
      <c r="Z468" s="7"/>
      <c r="AA468" s="106"/>
      <c r="AB468" s="106"/>
      <c r="AC468" s="106"/>
      <c r="AD468" s="106"/>
      <c r="AE468" s="106"/>
      <c r="AF468" s="106"/>
      <c r="AJ468" s="106"/>
      <c r="AV468" s="106"/>
      <c r="AW468"/>
      <c r="AX468"/>
      <c r="AY468"/>
      <c r="AZ468"/>
      <c r="BA468"/>
    </row>
    <row r="469" spans="14:53" s="11" customFormat="1">
      <c r="N469" s="106"/>
      <c r="O469" s="106"/>
      <c r="P469" s="106"/>
      <c r="Z469" s="7"/>
      <c r="AA469" s="106"/>
      <c r="AB469" s="106"/>
      <c r="AC469" s="106"/>
      <c r="AD469" s="106"/>
      <c r="AE469" s="106"/>
      <c r="AF469" s="106"/>
      <c r="AJ469" s="106"/>
      <c r="AV469" s="106"/>
      <c r="AW469"/>
      <c r="AX469"/>
      <c r="AY469"/>
      <c r="AZ469"/>
      <c r="BA469"/>
    </row>
    <row r="470" spans="14:53" s="11" customFormat="1">
      <c r="N470" s="106"/>
      <c r="O470" s="106"/>
      <c r="P470" s="106"/>
      <c r="Z470" s="7"/>
      <c r="AA470" s="106"/>
      <c r="AB470" s="106"/>
      <c r="AC470" s="106"/>
      <c r="AD470" s="106"/>
      <c r="AE470" s="106"/>
      <c r="AF470" s="106"/>
      <c r="AJ470" s="106"/>
      <c r="AV470" s="106"/>
      <c r="AW470"/>
      <c r="AX470"/>
      <c r="AY470"/>
      <c r="AZ470"/>
      <c r="BA470"/>
    </row>
    <row r="471" spans="14:53" s="11" customFormat="1">
      <c r="N471" s="106"/>
      <c r="O471" s="106"/>
      <c r="P471" s="106"/>
      <c r="Z471" s="7"/>
      <c r="AA471" s="106"/>
      <c r="AB471" s="106"/>
      <c r="AC471" s="106"/>
      <c r="AD471" s="106"/>
      <c r="AE471" s="106"/>
      <c r="AF471" s="106"/>
      <c r="AJ471" s="106"/>
      <c r="AV471" s="106"/>
      <c r="AW471"/>
      <c r="AX471"/>
      <c r="AY471"/>
      <c r="AZ471"/>
      <c r="BA471"/>
    </row>
    <row r="472" spans="14:53" s="11" customFormat="1">
      <c r="N472" s="106"/>
      <c r="O472" s="106"/>
      <c r="P472" s="106"/>
      <c r="Z472" s="7"/>
      <c r="AA472" s="106"/>
      <c r="AB472" s="106"/>
      <c r="AC472" s="106"/>
      <c r="AD472" s="106"/>
      <c r="AE472" s="106"/>
      <c r="AF472" s="106"/>
      <c r="AJ472" s="106"/>
      <c r="AV472" s="106"/>
      <c r="AW472"/>
      <c r="AX472"/>
      <c r="AY472"/>
      <c r="AZ472"/>
      <c r="BA472"/>
    </row>
    <row r="473" spans="14:53" s="11" customFormat="1">
      <c r="N473" s="106"/>
      <c r="O473" s="106"/>
      <c r="P473" s="106"/>
      <c r="Z473" s="7"/>
      <c r="AA473" s="106"/>
      <c r="AB473" s="106"/>
      <c r="AC473" s="106"/>
      <c r="AD473" s="106"/>
      <c r="AE473" s="106"/>
      <c r="AF473" s="106"/>
      <c r="AJ473" s="106"/>
      <c r="AV473" s="106"/>
      <c r="AW473"/>
      <c r="AX473"/>
      <c r="AY473"/>
      <c r="AZ473"/>
      <c r="BA473"/>
    </row>
    <row r="474" spans="14:53" s="11" customFormat="1">
      <c r="N474" s="106"/>
      <c r="O474" s="106"/>
      <c r="P474" s="106"/>
      <c r="Z474" s="7"/>
      <c r="AA474" s="106"/>
      <c r="AB474" s="106"/>
      <c r="AC474" s="106"/>
      <c r="AD474" s="106"/>
      <c r="AE474" s="106"/>
      <c r="AF474" s="106"/>
      <c r="AJ474" s="106"/>
      <c r="AV474" s="106"/>
      <c r="AW474"/>
      <c r="AX474"/>
      <c r="AY474"/>
      <c r="AZ474"/>
      <c r="BA474"/>
    </row>
    <row r="475" spans="14:53" s="11" customFormat="1">
      <c r="N475" s="106"/>
      <c r="O475" s="106"/>
      <c r="P475" s="106"/>
      <c r="Z475" s="7"/>
      <c r="AA475" s="106"/>
      <c r="AB475" s="106"/>
      <c r="AC475" s="106"/>
      <c r="AD475" s="106"/>
      <c r="AE475" s="106"/>
      <c r="AF475" s="106"/>
      <c r="AJ475" s="106"/>
      <c r="AV475" s="106"/>
      <c r="AW475"/>
      <c r="AX475"/>
      <c r="AY475"/>
      <c r="AZ475"/>
      <c r="BA475"/>
    </row>
    <row r="476" spans="14:53" s="11" customFormat="1">
      <c r="N476" s="106"/>
      <c r="O476" s="106"/>
      <c r="P476" s="106"/>
      <c r="Z476" s="7"/>
      <c r="AA476" s="106"/>
      <c r="AB476" s="106"/>
      <c r="AC476" s="106"/>
      <c r="AD476" s="106"/>
      <c r="AE476" s="106"/>
      <c r="AF476" s="106"/>
      <c r="AJ476" s="106"/>
      <c r="AV476" s="106"/>
      <c r="AW476"/>
      <c r="AX476"/>
      <c r="AY476"/>
      <c r="AZ476"/>
      <c r="BA476"/>
    </row>
    <row r="477" spans="14:53" s="11" customFormat="1">
      <c r="N477" s="106"/>
      <c r="O477" s="106"/>
      <c r="P477" s="106"/>
      <c r="Z477" s="7"/>
      <c r="AA477" s="106"/>
      <c r="AB477" s="106"/>
      <c r="AC477" s="106"/>
      <c r="AD477" s="106"/>
      <c r="AE477" s="106"/>
      <c r="AF477" s="106"/>
      <c r="AJ477" s="106"/>
      <c r="AV477" s="106"/>
      <c r="AW477"/>
      <c r="AX477"/>
      <c r="AY477"/>
      <c r="AZ477"/>
      <c r="BA477"/>
    </row>
    <row r="478" spans="14:53" s="11" customFormat="1">
      <c r="N478" s="106"/>
      <c r="O478" s="106"/>
      <c r="P478" s="106"/>
      <c r="Z478" s="7"/>
      <c r="AA478" s="106"/>
      <c r="AB478" s="106"/>
      <c r="AC478" s="106"/>
      <c r="AD478" s="106"/>
      <c r="AE478" s="106"/>
      <c r="AF478" s="106"/>
      <c r="AJ478" s="106"/>
      <c r="AV478" s="106"/>
      <c r="AW478"/>
      <c r="AX478"/>
      <c r="AY478"/>
      <c r="AZ478"/>
      <c r="BA478"/>
    </row>
    <row r="479" spans="14:53" s="11" customFormat="1">
      <c r="N479" s="106"/>
      <c r="O479" s="106"/>
      <c r="P479" s="106"/>
      <c r="Z479" s="7"/>
      <c r="AA479" s="106"/>
      <c r="AB479" s="106"/>
      <c r="AC479" s="106"/>
      <c r="AD479" s="106"/>
      <c r="AE479" s="106"/>
      <c r="AF479" s="106"/>
      <c r="AJ479" s="106"/>
      <c r="AV479" s="106"/>
      <c r="AW479"/>
      <c r="AX479"/>
      <c r="AY479"/>
      <c r="AZ479"/>
      <c r="BA479"/>
    </row>
    <row r="480" spans="14:53" s="11" customFormat="1">
      <c r="N480" s="106"/>
      <c r="O480" s="106"/>
      <c r="P480" s="106"/>
      <c r="Z480" s="7"/>
      <c r="AA480" s="106"/>
      <c r="AB480" s="106"/>
      <c r="AC480" s="106"/>
      <c r="AD480" s="106"/>
      <c r="AE480" s="106"/>
      <c r="AF480" s="106"/>
      <c r="AJ480" s="106"/>
      <c r="AV480" s="106"/>
      <c r="AW480"/>
      <c r="AX480"/>
      <c r="AY480"/>
      <c r="AZ480"/>
      <c r="BA480"/>
    </row>
    <row r="481" spans="14:53" s="11" customFormat="1">
      <c r="N481" s="106"/>
      <c r="O481" s="106"/>
      <c r="P481" s="106"/>
      <c r="Z481" s="7"/>
      <c r="AA481" s="106"/>
      <c r="AB481" s="106"/>
      <c r="AC481" s="106"/>
      <c r="AD481" s="106"/>
      <c r="AE481" s="106"/>
      <c r="AF481" s="106"/>
      <c r="AJ481" s="106"/>
      <c r="AV481" s="106"/>
      <c r="AW481"/>
      <c r="AX481"/>
      <c r="AY481"/>
      <c r="AZ481"/>
      <c r="BA481"/>
    </row>
    <row r="482" spans="14:53" s="11" customFormat="1">
      <c r="N482" s="106"/>
      <c r="O482" s="106"/>
      <c r="P482" s="106"/>
      <c r="Z482" s="7"/>
      <c r="AA482" s="106"/>
      <c r="AB482" s="106"/>
      <c r="AC482" s="106"/>
      <c r="AD482" s="106"/>
      <c r="AE482" s="106"/>
      <c r="AF482" s="106"/>
      <c r="AJ482" s="106"/>
      <c r="AV482" s="106"/>
      <c r="AW482"/>
      <c r="AX482"/>
      <c r="AY482"/>
      <c r="AZ482"/>
      <c r="BA482"/>
    </row>
    <row r="483" spans="14:53" s="11" customFormat="1">
      <c r="N483" s="106"/>
      <c r="O483" s="106"/>
      <c r="P483" s="106"/>
      <c r="Z483" s="7"/>
      <c r="AA483" s="106"/>
      <c r="AB483" s="106"/>
      <c r="AC483" s="106"/>
      <c r="AD483" s="106"/>
      <c r="AE483" s="106"/>
      <c r="AF483" s="106"/>
      <c r="AJ483" s="106"/>
      <c r="AV483" s="106"/>
      <c r="AW483"/>
      <c r="AX483"/>
      <c r="AY483"/>
      <c r="AZ483"/>
      <c r="BA483"/>
    </row>
    <row r="484" spans="14:53" s="11" customFormat="1">
      <c r="N484" s="106"/>
      <c r="O484" s="106"/>
      <c r="P484" s="106"/>
      <c r="Z484" s="7"/>
      <c r="AA484" s="106"/>
      <c r="AB484" s="106"/>
      <c r="AC484" s="106"/>
      <c r="AD484" s="106"/>
      <c r="AE484" s="106"/>
      <c r="AF484" s="106"/>
      <c r="AJ484" s="106"/>
      <c r="AV484" s="106"/>
      <c r="AW484"/>
      <c r="AX484"/>
      <c r="AY484"/>
      <c r="AZ484"/>
      <c r="BA484"/>
    </row>
    <row r="485" spans="14:53" s="11" customFormat="1">
      <c r="N485" s="106"/>
      <c r="O485" s="106"/>
      <c r="P485" s="106"/>
      <c r="Z485" s="7"/>
      <c r="AA485" s="106"/>
      <c r="AB485" s="106"/>
      <c r="AC485" s="106"/>
      <c r="AD485" s="106"/>
      <c r="AE485" s="106"/>
      <c r="AF485" s="106"/>
      <c r="AJ485" s="106"/>
      <c r="AV485" s="106"/>
      <c r="AW485"/>
      <c r="AX485"/>
      <c r="AY485"/>
      <c r="AZ485"/>
      <c r="BA485"/>
    </row>
    <row r="486" spans="14:53" s="11" customFormat="1">
      <c r="N486" s="106"/>
      <c r="O486" s="106"/>
      <c r="P486" s="106"/>
      <c r="Z486" s="7"/>
      <c r="AA486" s="106"/>
      <c r="AB486" s="106"/>
      <c r="AC486" s="106"/>
      <c r="AD486" s="106"/>
      <c r="AE486" s="106"/>
      <c r="AF486" s="106"/>
      <c r="AJ486" s="106"/>
      <c r="AV486" s="106"/>
      <c r="AW486"/>
      <c r="AX486"/>
      <c r="AY486"/>
      <c r="AZ486"/>
      <c r="BA486"/>
    </row>
    <row r="487" spans="14:53" s="11" customFormat="1">
      <c r="N487" s="106"/>
      <c r="O487" s="106"/>
      <c r="P487" s="106"/>
      <c r="Z487" s="7"/>
      <c r="AA487" s="106"/>
      <c r="AB487" s="106"/>
      <c r="AC487" s="106"/>
      <c r="AD487" s="106"/>
      <c r="AE487" s="106"/>
      <c r="AF487" s="106"/>
      <c r="AJ487" s="106"/>
      <c r="AV487" s="106"/>
      <c r="AW487"/>
      <c r="AX487"/>
      <c r="AY487"/>
      <c r="AZ487"/>
      <c r="BA487"/>
    </row>
    <row r="488" spans="14:53" s="11" customFormat="1">
      <c r="N488" s="106"/>
      <c r="O488" s="106"/>
      <c r="P488" s="106"/>
      <c r="Z488" s="7"/>
      <c r="AA488" s="106"/>
      <c r="AB488" s="106"/>
      <c r="AC488" s="106"/>
      <c r="AD488" s="106"/>
      <c r="AE488" s="106"/>
      <c r="AF488" s="106"/>
      <c r="AJ488" s="106"/>
      <c r="AV488" s="106"/>
      <c r="AW488"/>
      <c r="AX488"/>
      <c r="AY488"/>
      <c r="AZ488"/>
      <c r="BA488"/>
    </row>
    <row r="489" spans="14:53" s="11" customFormat="1">
      <c r="N489" s="106"/>
      <c r="O489" s="106"/>
      <c r="P489" s="106"/>
      <c r="Z489" s="7"/>
      <c r="AA489" s="106"/>
      <c r="AB489" s="106"/>
      <c r="AC489" s="106"/>
      <c r="AD489" s="106"/>
      <c r="AE489" s="106"/>
      <c r="AF489" s="106"/>
      <c r="AJ489" s="106"/>
      <c r="AV489" s="106"/>
      <c r="AW489"/>
      <c r="AX489"/>
      <c r="AY489"/>
      <c r="AZ489"/>
      <c r="BA489"/>
    </row>
    <row r="490" spans="14:53" s="11" customFormat="1">
      <c r="N490" s="106"/>
      <c r="O490" s="106"/>
      <c r="P490" s="106"/>
      <c r="Z490" s="7"/>
      <c r="AA490" s="106"/>
      <c r="AB490" s="106"/>
      <c r="AC490" s="106"/>
      <c r="AD490" s="106"/>
      <c r="AE490" s="106"/>
      <c r="AF490" s="106"/>
      <c r="AJ490" s="106"/>
      <c r="AV490" s="106"/>
      <c r="AW490"/>
      <c r="AX490"/>
      <c r="AY490"/>
      <c r="AZ490"/>
      <c r="BA490"/>
    </row>
    <row r="491" spans="14:53" s="11" customFormat="1">
      <c r="N491" s="106"/>
      <c r="O491" s="106"/>
      <c r="P491" s="106"/>
      <c r="Z491" s="7"/>
      <c r="AA491" s="106"/>
      <c r="AB491" s="106"/>
      <c r="AC491" s="106"/>
      <c r="AD491" s="106"/>
      <c r="AE491" s="106"/>
      <c r="AF491" s="106"/>
      <c r="AJ491" s="106"/>
      <c r="AV491" s="106"/>
      <c r="AW491"/>
      <c r="AX491"/>
      <c r="AY491"/>
      <c r="AZ491"/>
      <c r="BA491"/>
    </row>
    <row r="492" spans="14:53" s="11" customFormat="1">
      <c r="N492" s="106"/>
      <c r="O492" s="106"/>
      <c r="P492" s="106"/>
      <c r="Z492" s="7"/>
      <c r="AA492" s="106"/>
      <c r="AB492" s="106"/>
      <c r="AC492" s="106"/>
      <c r="AD492" s="106"/>
      <c r="AE492" s="106"/>
      <c r="AF492" s="106"/>
      <c r="AJ492" s="106"/>
      <c r="AV492" s="106"/>
      <c r="AW492"/>
      <c r="AX492"/>
      <c r="AY492"/>
      <c r="AZ492"/>
      <c r="BA492"/>
    </row>
    <row r="493" spans="14:53" s="11" customFormat="1">
      <c r="N493" s="106"/>
      <c r="O493" s="106"/>
      <c r="P493" s="106"/>
      <c r="Z493" s="7"/>
      <c r="AA493" s="106"/>
      <c r="AB493" s="106"/>
      <c r="AC493" s="106"/>
      <c r="AD493" s="106"/>
      <c r="AE493" s="106"/>
      <c r="AF493" s="106"/>
      <c r="AJ493" s="106"/>
      <c r="AV493" s="106"/>
      <c r="AW493"/>
      <c r="AX493"/>
      <c r="AY493"/>
      <c r="AZ493"/>
      <c r="BA493"/>
    </row>
    <row r="494" spans="14:53" s="11" customFormat="1">
      <c r="N494" s="106"/>
      <c r="O494" s="106"/>
      <c r="P494" s="106"/>
      <c r="Z494" s="7"/>
      <c r="AA494" s="106"/>
      <c r="AB494" s="106"/>
      <c r="AC494" s="106"/>
      <c r="AD494" s="106"/>
      <c r="AE494" s="106"/>
      <c r="AF494" s="106"/>
      <c r="AJ494" s="106"/>
      <c r="AV494" s="106"/>
      <c r="AW494"/>
      <c r="AX494"/>
      <c r="AY494"/>
      <c r="AZ494"/>
      <c r="BA494"/>
    </row>
    <row r="495" spans="14:53" s="11" customFormat="1">
      <c r="N495" s="106"/>
      <c r="O495" s="106"/>
      <c r="P495" s="106"/>
      <c r="Z495" s="7"/>
      <c r="AA495" s="106"/>
      <c r="AB495" s="106"/>
      <c r="AC495" s="106"/>
      <c r="AD495" s="106"/>
      <c r="AE495" s="106"/>
      <c r="AF495" s="106"/>
      <c r="AJ495" s="106"/>
      <c r="AV495" s="106"/>
      <c r="AW495"/>
      <c r="AX495"/>
      <c r="AY495"/>
      <c r="AZ495"/>
      <c r="BA495"/>
    </row>
    <row r="496" spans="14:53" s="11" customFormat="1">
      <c r="N496" s="106"/>
      <c r="O496" s="106"/>
      <c r="P496" s="106"/>
      <c r="Z496" s="7"/>
      <c r="AA496" s="106"/>
      <c r="AB496" s="106"/>
      <c r="AC496" s="106"/>
      <c r="AD496" s="106"/>
      <c r="AE496" s="106"/>
      <c r="AF496" s="106"/>
      <c r="AJ496" s="106"/>
      <c r="AV496" s="106"/>
      <c r="AW496"/>
      <c r="AX496"/>
      <c r="AY496"/>
      <c r="AZ496"/>
      <c r="BA496"/>
    </row>
    <row r="497" spans="14:53" s="11" customFormat="1">
      <c r="N497" s="106"/>
      <c r="O497" s="106"/>
      <c r="P497" s="106"/>
      <c r="Z497" s="7"/>
      <c r="AA497" s="106"/>
      <c r="AB497" s="106"/>
      <c r="AC497" s="106"/>
      <c r="AD497" s="106"/>
      <c r="AE497" s="106"/>
      <c r="AF497" s="106"/>
      <c r="AJ497" s="106"/>
      <c r="AV497" s="106"/>
      <c r="AW497"/>
      <c r="AX497"/>
      <c r="AY497"/>
      <c r="AZ497"/>
      <c r="BA497"/>
    </row>
    <row r="498" spans="14:53" s="11" customFormat="1">
      <c r="N498" s="106"/>
      <c r="O498" s="106"/>
      <c r="P498" s="106"/>
      <c r="Z498" s="7"/>
      <c r="AA498" s="106"/>
      <c r="AB498" s="106"/>
      <c r="AC498" s="106"/>
      <c r="AD498" s="106"/>
      <c r="AE498" s="106"/>
      <c r="AF498" s="106"/>
      <c r="AJ498" s="106"/>
      <c r="AV498" s="106"/>
      <c r="AW498"/>
      <c r="AX498"/>
      <c r="AY498"/>
      <c r="AZ498"/>
      <c r="BA498"/>
    </row>
    <row r="499" spans="14:53" s="11" customFormat="1">
      <c r="N499" s="106"/>
      <c r="O499" s="106"/>
      <c r="P499" s="106"/>
      <c r="Z499" s="7"/>
      <c r="AA499" s="106"/>
      <c r="AB499" s="106"/>
      <c r="AC499" s="106"/>
      <c r="AD499" s="106"/>
      <c r="AE499" s="106"/>
      <c r="AF499" s="106"/>
      <c r="AJ499" s="106"/>
      <c r="AV499" s="106"/>
      <c r="AW499"/>
      <c r="AX499"/>
      <c r="AY499"/>
      <c r="AZ499"/>
      <c r="BA499"/>
    </row>
    <row r="500" spans="14:53" s="11" customFormat="1">
      <c r="N500" s="106"/>
      <c r="O500" s="106"/>
      <c r="P500" s="106"/>
      <c r="Z500" s="7"/>
      <c r="AA500" s="106"/>
      <c r="AB500" s="106"/>
      <c r="AC500" s="106"/>
      <c r="AD500" s="106"/>
      <c r="AE500" s="106"/>
      <c r="AF500" s="106"/>
      <c r="AJ500" s="106"/>
      <c r="AV500" s="106"/>
      <c r="AW500"/>
      <c r="AX500"/>
      <c r="AY500"/>
      <c r="AZ500"/>
      <c r="BA500"/>
    </row>
    <row r="501" spans="14:53" s="11" customFormat="1">
      <c r="N501" s="106"/>
      <c r="O501" s="106"/>
      <c r="P501" s="106"/>
      <c r="Z501" s="7"/>
      <c r="AA501" s="106"/>
      <c r="AB501" s="106"/>
      <c r="AC501" s="106"/>
      <c r="AD501" s="106"/>
      <c r="AE501" s="106"/>
      <c r="AF501" s="106"/>
      <c r="AJ501" s="106"/>
      <c r="AV501" s="106"/>
      <c r="AW501"/>
      <c r="AX501"/>
      <c r="AY501"/>
      <c r="AZ501"/>
      <c r="BA501"/>
    </row>
    <row r="502" spans="14:53" s="11" customFormat="1">
      <c r="N502" s="106"/>
      <c r="O502" s="106"/>
      <c r="P502" s="106"/>
      <c r="Z502" s="7"/>
      <c r="AA502" s="106"/>
      <c r="AB502" s="106"/>
      <c r="AC502" s="106"/>
      <c r="AD502" s="106"/>
      <c r="AE502" s="106"/>
      <c r="AF502" s="106"/>
      <c r="AJ502" s="106"/>
      <c r="AV502" s="106"/>
      <c r="AW502"/>
      <c r="AX502"/>
      <c r="AY502"/>
      <c r="AZ502"/>
      <c r="BA502"/>
    </row>
    <row r="503" spans="14:53" s="11" customFormat="1">
      <c r="N503" s="106"/>
      <c r="O503" s="106"/>
      <c r="P503" s="106"/>
      <c r="Z503" s="7"/>
      <c r="AA503" s="106"/>
      <c r="AB503" s="106"/>
      <c r="AC503" s="106"/>
      <c r="AD503" s="106"/>
      <c r="AE503" s="106"/>
      <c r="AF503" s="106"/>
      <c r="AJ503" s="106"/>
      <c r="AV503" s="106"/>
      <c r="AW503"/>
      <c r="AX503"/>
      <c r="AY503"/>
      <c r="AZ503"/>
      <c r="BA503"/>
    </row>
    <row r="504" spans="14:53" s="11" customFormat="1">
      <c r="N504" s="106"/>
      <c r="O504" s="106"/>
      <c r="P504" s="106"/>
      <c r="Z504" s="7"/>
      <c r="AA504" s="106"/>
      <c r="AB504" s="106"/>
      <c r="AC504" s="106"/>
      <c r="AD504" s="106"/>
      <c r="AE504" s="106"/>
      <c r="AF504" s="106"/>
      <c r="AJ504" s="106"/>
      <c r="AV504" s="106"/>
      <c r="AW504"/>
      <c r="AX504"/>
      <c r="AY504"/>
      <c r="AZ504"/>
      <c r="BA504"/>
    </row>
    <row r="505" spans="14:53" s="11" customFormat="1">
      <c r="N505" s="106"/>
      <c r="O505" s="106"/>
      <c r="P505" s="106"/>
      <c r="Z505" s="7"/>
      <c r="AA505" s="106"/>
      <c r="AB505" s="106"/>
      <c r="AC505" s="106"/>
      <c r="AD505" s="106"/>
      <c r="AE505" s="106"/>
      <c r="AF505" s="106"/>
      <c r="AJ505" s="106"/>
      <c r="AV505" s="106"/>
      <c r="AW505"/>
      <c r="AX505"/>
      <c r="AY505"/>
      <c r="AZ505"/>
      <c r="BA505"/>
    </row>
    <row r="506" spans="14:53" s="11" customFormat="1">
      <c r="N506" s="106"/>
      <c r="O506" s="106"/>
      <c r="P506" s="106"/>
      <c r="Z506" s="7"/>
      <c r="AA506" s="106"/>
      <c r="AB506" s="106"/>
      <c r="AC506" s="106"/>
      <c r="AD506" s="106"/>
      <c r="AE506" s="106"/>
      <c r="AF506" s="106"/>
      <c r="AJ506" s="106"/>
      <c r="AV506" s="106"/>
      <c r="AW506"/>
      <c r="AX506"/>
      <c r="AY506"/>
      <c r="AZ506"/>
      <c r="BA506"/>
    </row>
    <row r="507" spans="14:53" s="11" customFormat="1">
      <c r="N507" s="106"/>
      <c r="O507" s="106"/>
      <c r="P507" s="106"/>
      <c r="Z507" s="7"/>
      <c r="AA507" s="106"/>
      <c r="AB507" s="106"/>
      <c r="AC507" s="106"/>
      <c r="AD507" s="106"/>
      <c r="AE507" s="106"/>
      <c r="AF507" s="106"/>
      <c r="AJ507" s="106"/>
      <c r="AV507" s="106"/>
      <c r="AW507"/>
      <c r="AX507"/>
      <c r="AY507"/>
      <c r="AZ507"/>
      <c r="BA507"/>
    </row>
    <row r="508" spans="14:53" s="11" customFormat="1">
      <c r="N508" s="106"/>
      <c r="O508" s="106"/>
      <c r="P508" s="106"/>
      <c r="Z508" s="7"/>
      <c r="AA508" s="106"/>
      <c r="AB508" s="106"/>
      <c r="AC508" s="106"/>
      <c r="AD508" s="106"/>
      <c r="AE508" s="106"/>
      <c r="AF508" s="106"/>
      <c r="AJ508" s="106"/>
      <c r="AV508" s="106"/>
      <c r="AW508"/>
      <c r="AX508"/>
      <c r="AY508"/>
      <c r="AZ508"/>
      <c r="BA508"/>
    </row>
    <row r="509" spans="14:53" s="11" customFormat="1">
      <c r="N509" s="106"/>
      <c r="O509" s="106"/>
      <c r="P509" s="106"/>
      <c r="Z509" s="7"/>
      <c r="AA509" s="106"/>
      <c r="AB509" s="106"/>
      <c r="AC509" s="106"/>
      <c r="AD509" s="106"/>
      <c r="AE509" s="106"/>
      <c r="AF509" s="106"/>
      <c r="AJ509" s="106"/>
      <c r="AV509" s="106"/>
      <c r="AW509"/>
      <c r="AX509"/>
      <c r="AY509"/>
      <c r="AZ509"/>
      <c r="BA509"/>
    </row>
    <row r="510" spans="14:53" s="11" customFormat="1">
      <c r="N510" s="106"/>
      <c r="O510" s="106"/>
      <c r="P510" s="106"/>
      <c r="Z510" s="7"/>
      <c r="AA510" s="106"/>
      <c r="AB510" s="106"/>
      <c r="AC510" s="106"/>
      <c r="AD510" s="106"/>
      <c r="AE510" s="106"/>
      <c r="AF510" s="106"/>
      <c r="AJ510" s="106"/>
      <c r="AV510" s="106"/>
      <c r="AW510"/>
      <c r="AX510"/>
      <c r="AY510"/>
      <c r="AZ510"/>
      <c r="BA510"/>
    </row>
    <row r="511" spans="14:53" s="11" customFormat="1">
      <c r="N511" s="106"/>
      <c r="O511" s="106"/>
      <c r="P511" s="106"/>
      <c r="Z511" s="7"/>
      <c r="AA511" s="106"/>
      <c r="AB511" s="106"/>
      <c r="AC511" s="106"/>
      <c r="AD511" s="106"/>
      <c r="AE511" s="106"/>
      <c r="AF511" s="106"/>
      <c r="AJ511" s="106"/>
      <c r="AV511" s="106"/>
      <c r="AW511"/>
      <c r="AX511"/>
      <c r="AY511"/>
      <c r="AZ511"/>
      <c r="BA511"/>
    </row>
    <row r="512" spans="14:53" s="11" customFormat="1">
      <c r="N512" s="106"/>
      <c r="O512" s="106"/>
      <c r="P512" s="106"/>
      <c r="Z512" s="7"/>
      <c r="AA512" s="106"/>
      <c r="AB512" s="106"/>
      <c r="AC512" s="106"/>
      <c r="AD512" s="106"/>
      <c r="AE512" s="106"/>
      <c r="AF512" s="106"/>
      <c r="AJ512" s="106"/>
      <c r="AV512" s="106"/>
      <c r="AW512"/>
      <c r="AX512"/>
      <c r="AY512"/>
      <c r="AZ512"/>
      <c r="BA512"/>
    </row>
    <row r="513" spans="14:53" s="11" customFormat="1">
      <c r="N513" s="106"/>
      <c r="O513" s="106"/>
      <c r="P513" s="106"/>
      <c r="Z513" s="7"/>
      <c r="AA513" s="106"/>
      <c r="AB513" s="106"/>
      <c r="AC513" s="106"/>
      <c r="AD513" s="106"/>
      <c r="AE513" s="106"/>
      <c r="AF513" s="106"/>
      <c r="AJ513" s="106"/>
      <c r="AV513" s="106"/>
      <c r="AW513"/>
      <c r="AX513"/>
      <c r="AY513"/>
      <c r="AZ513"/>
      <c r="BA513"/>
    </row>
    <row r="514" spans="14:53" s="11" customFormat="1">
      <c r="N514" s="106"/>
      <c r="O514" s="106"/>
      <c r="P514" s="106"/>
      <c r="Z514" s="7"/>
      <c r="AA514" s="106"/>
      <c r="AB514" s="106"/>
      <c r="AC514" s="106"/>
      <c r="AD514" s="106"/>
      <c r="AE514" s="106"/>
      <c r="AF514" s="106"/>
      <c r="AJ514" s="106"/>
      <c r="AV514" s="106"/>
      <c r="AW514"/>
      <c r="AX514"/>
      <c r="AY514"/>
      <c r="AZ514"/>
      <c r="BA514"/>
    </row>
    <row r="515" spans="14:53" s="11" customFormat="1">
      <c r="N515" s="106"/>
      <c r="O515" s="106"/>
      <c r="P515" s="106"/>
      <c r="Z515" s="7"/>
      <c r="AA515" s="106"/>
      <c r="AB515" s="106"/>
      <c r="AC515" s="106"/>
      <c r="AD515" s="106"/>
      <c r="AE515" s="106"/>
      <c r="AF515" s="106"/>
      <c r="AJ515" s="106"/>
      <c r="AV515" s="106"/>
      <c r="AW515"/>
      <c r="AX515"/>
      <c r="AY515"/>
      <c r="AZ515"/>
      <c r="BA515"/>
    </row>
    <row r="516" spans="14:53" s="11" customFormat="1">
      <c r="N516" s="106"/>
      <c r="O516" s="106"/>
      <c r="P516" s="106"/>
      <c r="Z516" s="7"/>
      <c r="AA516" s="106"/>
      <c r="AB516" s="106"/>
      <c r="AC516" s="106"/>
      <c r="AD516" s="106"/>
      <c r="AE516" s="106"/>
      <c r="AF516" s="106"/>
      <c r="AJ516" s="106"/>
      <c r="AV516" s="106"/>
      <c r="AW516"/>
      <c r="AX516"/>
      <c r="AY516"/>
      <c r="AZ516"/>
      <c r="BA516"/>
    </row>
    <row r="517" spans="14:53" s="11" customFormat="1">
      <c r="N517" s="106"/>
      <c r="O517" s="106"/>
      <c r="P517" s="106"/>
      <c r="Z517" s="7"/>
      <c r="AA517" s="106"/>
      <c r="AB517" s="106"/>
      <c r="AC517" s="106"/>
      <c r="AD517" s="106"/>
      <c r="AE517" s="106"/>
      <c r="AF517" s="106"/>
      <c r="AJ517" s="106"/>
      <c r="AV517" s="106"/>
      <c r="AW517"/>
      <c r="AX517"/>
      <c r="AY517"/>
      <c r="AZ517"/>
      <c r="BA517"/>
    </row>
    <row r="518" spans="14:53" s="11" customFormat="1">
      <c r="N518" s="106"/>
      <c r="O518" s="106"/>
      <c r="P518" s="106"/>
      <c r="Z518" s="7"/>
      <c r="AA518" s="106"/>
      <c r="AB518" s="106"/>
      <c r="AC518" s="106"/>
      <c r="AD518" s="106"/>
      <c r="AE518" s="106"/>
      <c r="AF518" s="106"/>
      <c r="AJ518" s="106"/>
      <c r="AV518" s="106"/>
      <c r="AW518"/>
      <c r="AX518"/>
      <c r="AY518"/>
      <c r="AZ518"/>
      <c r="BA518"/>
    </row>
    <row r="519" spans="14:53" s="11" customFormat="1">
      <c r="N519" s="106"/>
      <c r="O519" s="106"/>
      <c r="P519" s="106"/>
      <c r="Z519" s="7"/>
      <c r="AA519" s="106"/>
      <c r="AB519" s="106"/>
      <c r="AC519" s="106"/>
      <c r="AD519" s="106"/>
      <c r="AE519" s="106"/>
      <c r="AF519" s="106"/>
      <c r="AJ519" s="106"/>
      <c r="AV519" s="106"/>
      <c r="AW519"/>
      <c r="AX519"/>
      <c r="AY519"/>
      <c r="AZ519"/>
      <c r="BA519"/>
    </row>
    <row r="520" spans="14:53" s="11" customFormat="1">
      <c r="N520" s="106"/>
      <c r="O520" s="106"/>
      <c r="P520" s="106"/>
      <c r="Z520" s="7"/>
      <c r="AA520" s="106"/>
      <c r="AB520" s="106"/>
      <c r="AC520" s="106"/>
      <c r="AD520" s="106"/>
      <c r="AE520" s="106"/>
      <c r="AF520" s="106"/>
      <c r="AJ520" s="106"/>
      <c r="AV520" s="106"/>
      <c r="AW520"/>
      <c r="AX520"/>
      <c r="AY520"/>
      <c r="AZ520"/>
      <c r="BA520"/>
    </row>
    <row r="521" spans="14:53" s="11" customFormat="1">
      <c r="N521" s="106"/>
      <c r="O521" s="106"/>
      <c r="P521" s="106"/>
      <c r="Z521" s="7"/>
      <c r="AA521" s="106"/>
      <c r="AB521" s="106"/>
      <c r="AC521" s="106"/>
      <c r="AD521" s="106"/>
      <c r="AE521" s="106"/>
      <c r="AF521" s="106"/>
      <c r="AJ521" s="106"/>
      <c r="AV521" s="106"/>
      <c r="AW521"/>
      <c r="AX521"/>
      <c r="AY521"/>
      <c r="AZ521"/>
      <c r="BA521"/>
    </row>
    <row r="522" spans="14:53" s="11" customFormat="1">
      <c r="N522" s="106"/>
      <c r="O522" s="106"/>
      <c r="P522" s="106"/>
      <c r="Z522" s="7"/>
      <c r="AA522" s="106"/>
      <c r="AB522" s="106"/>
      <c r="AC522" s="106"/>
      <c r="AD522" s="106"/>
      <c r="AE522" s="106"/>
      <c r="AF522" s="106"/>
      <c r="AJ522" s="106"/>
      <c r="AV522" s="106"/>
      <c r="AW522"/>
      <c r="AX522"/>
      <c r="AY522"/>
      <c r="AZ522"/>
      <c r="BA522"/>
    </row>
    <row r="523" spans="14:53" s="11" customFormat="1">
      <c r="N523" s="106"/>
      <c r="O523" s="106"/>
      <c r="P523" s="106"/>
      <c r="Z523" s="7"/>
      <c r="AA523" s="106"/>
      <c r="AB523" s="106"/>
      <c r="AC523" s="106"/>
      <c r="AD523" s="106"/>
      <c r="AE523" s="106"/>
      <c r="AF523" s="106"/>
      <c r="AJ523" s="106"/>
      <c r="AV523" s="106"/>
      <c r="AW523"/>
      <c r="AX523"/>
      <c r="AY523"/>
      <c r="AZ523"/>
      <c r="BA523"/>
    </row>
    <row r="524" spans="14:53" s="11" customFormat="1">
      <c r="N524" s="106"/>
      <c r="O524" s="106"/>
      <c r="P524" s="106"/>
      <c r="Z524" s="7"/>
      <c r="AA524" s="106"/>
      <c r="AB524" s="106"/>
      <c r="AC524" s="106"/>
      <c r="AD524" s="106"/>
      <c r="AE524" s="106"/>
      <c r="AF524" s="106"/>
      <c r="AJ524" s="106"/>
      <c r="AV524" s="106"/>
      <c r="AW524"/>
      <c r="AX524"/>
      <c r="AY524"/>
      <c r="AZ524"/>
      <c r="BA524"/>
    </row>
    <row r="525" spans="14:53" s="11" customFormat="1">
      <c r="N525" s="106"/>
      <c r="O525" s="106"/>
      <c r="P525" s="106"/>
      <c r="Z525" s="7"/>
      <c r="AA525" s="106"/>
      <c r="AB525" s="106"/>
      <c r="AC525" s="106"/>
      <c r="AD525" s="106"/>
      <c r="AE525" s="106"/>
      <c r="AF525" s="106"/>
      <c r="AJ525" s="106"/>
      <c r="AV525" s="106"/>
      <c r="AW525"/>
      <c r="AX525"/>
      <c r="AY525"/>
      <c r="AZ525"/>
      <c r="BA525"/>
    </row>
    <row r="526" spans="14:53" s="11" customFormat="1">
      <c r="N526" s="106"/>
      <c r="O526" s="106"/>
      <c r="P526" s="106"/>
      <c r="Z526" s="7"/>
      <c r="AA526" s="106"/>
      <c r="AB526" s="106"/>
      <c r="AC526" s="106"/>
      <c r="AD526" s="106"/>
      <c r="AE526" s="106"/>
      <c r="AF526" s="106"/>
      <c r="AJ526" s="106"/>
      <c r="AV526" s="106"/>
      <c r="AW526"/>
      <c r="AX526"/>
      <c r="AY526"/>
      <c r="AZ526"/>
      <c r="BA526"/>
    </row>
    <row r="527" spans="14:53" s="11" customFormat="1">
      <c r="N527" s="106"/>
      <c r="O527" s="106"/>
      <c r="P527" s="106"/>
      <c r="Z527" s="7"/>
      <c r="AA527" s="106"/>
      <c r="AB527" s="106"/>
      <c r="AC527" s="106"/>
      <c r="AD527" s="106"/>
      <c r="AE527" s="106"/>
      <c r="AF527" s="106"/>
      <c r="AJ527" s="106"/>
      <c r="AV527" s="106"/>
      <c r="AW527"/>
      <c r="AX527"/>
      <c r="AY527"/>
      <c r="AZ527"/>
      <c r="BA527"/>
    </row>
    <row r="528" spans="14:53" s="11" customFormat="1">
      <c r="N528" s="106"/>
      <c r="O528" s="106"/>
      <c r="P528" s="106"/>
      <c r="Z528" s="7"/>
      <c r="AA528" s="106"/>
      <c r="AB528" s="106"/>
      <c r="AC528" s="106"/>
      <c r="AD528" s="106"/>
      <c r="AE528" s="106"/>
      <c r="AF528" s="106"/>
      <c r="AJ528" s="106"/>
      <c r="AV528" s="106"/>
      <c r="AW528"/>
      <c r="AX528"/>
      <c r="AY528"/>
      <c r="AZ528"/>
      <c r="BA528"/>
    </row>
    <row r="529" spans="14:53" s="11" customFormat="1">
      <c r="N529" s="106"/>
      <c r="O529" s="106"/>
      <c r="P529" s="106"/>
      <c r="Z529" s="7"/>
      <c r="AA529" s="106"/>
      <c r="AB529" s="106"/>
      <c r="AC529" s="106"/>
      <c r="AD529" s="106"/>
      <c r="AE529" s="106"/>
      <c r="AF529" s="106"/>
      <c r="AJ529" s="106"/>
      <c r="AV529" s="106"/>
      <c r="AW529"/>
      <c r="AX529"/>
      <c r="AY529"/>
      <c r="AZ529"/>
      <c r="BA529"/>
    </row>
    <row r="530" spans="14:53" s="11" customFormat="1">
      <c r="N530" s="106"/>
      <c r="O530" s="106"/>
      <c r="P530" s="106"/>
      <c r="Z530" s="7"/>
      <c r="AA530" s="106"/>
      <c r="AB530" s="106"/>
      <c r="AC530" s="106"/>
      <c r="AD530" s="106"/>
      <c r="AE530" s="106"/>
      <c r="AF530" s="106"/>
      <c r="AJ530" s="106"/>
      <c r="AV530" s="106"/>
      <c r="AW530"/>
      <c r="AX530"/>
      <c r="AY530"/>
      <c r="AZ530"/>
      <c r="BA530"/>
    </row>
    <row r="531" spans="14:53" s="11" customFormat="1">
      <c r="N531" s="106"/>
      <c r="O531" s="106"/>
      <c r="P531" s="106"/>
      <c r="Z531" s="7"/>
      <c r="AA531" s="106"/>
      <c r="AB531" s="106"/>
      <c r="AC531" s="49"/>
      <c r="AD531" s="49"/>
      <c r="AE531" s="106"/>
      <c r="AF531" s="106"/>
      <c r="AJ531" s="106"/>
      <c r="AV531" s="106"/>
      <c r="AW531"/>
      <c r="AX531"/>
      <c r="AY531"/>
      <c r="AZ531"/>
      <c r="BA531"/>
    </row>
    <row r="532" spans="14:53" s="11" customFormat="1">
      <c r="N532" s="106"/>
      <c r="O532" s="106"/>
      <c r="P532" s="106"/>
      <c r="Z532" s="7"/>
      <c r="AA532" s="106"/>
      <c r="AB532" s="106"/>
      <c r="AC532" s="49"/>
      <c r="AD532" s="49"/>
      <c r="AE532" s="106"/>
      <c r="AF532" s="106"/>
      <c r="AJ532" s="106"/>
      <c r="AV532" s="106"/>
      <c r="AW532"/>
      <c r="AX532"/>
      <c r="AY532"/>
      <c r="AZ532"/>
      <c r="BA532"/>
    </row>
  </sheetData>
  <autoFilter ref="A9:AW451"/>
  <sortState ref="A10:AI448">
    <sortCondition ref="A10:A448"/>
  </sortState>
  <mergeCells count="6">
    <mergeCell ref="AO5:AS5"/>
    <mergeCell ref="AA5:AD5"/>
    <mergeCell ref="AE5:AF5"/>
    <mergeCell ref="F5:I5"/>
    <mergeCell ref="L5:M5"/>
    <mergeCell ref="N5:P5"/>
  </mergeCells>
  <phoneticPr fontId="0" type="noConversion"/>
  <conditionalFormatting sqref="AA10:AA447">
    <cfRule type="cellIs" dxfId="0" priority="2" stopIfTrue="1" operator="greaterThan">
      <formula>$AA$6</formula>
    </cfRule>
  </conditionalFormatting>
  <hyperlinks>
    <hyperlink ref="A5" location="MoreAboutData!A4" display="More about the data"/>
    <hyperlink ref="A4" location="Index!A10" display="Return to Index"/>
  </hyperlinks>
  <printOptions gridLines="1"/>
  <pageMargins left="0.75" right="0.75" top="1" bottom="1" header="0.5" footer="0.5"/>
  <pageSetup scale="11" orientation="portrait" r:id="rId1"/>
  <headerFooter alignWithMargins="0"/>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465"/>
  <sheetViews>
    <sheetView zoomScale="80" zoomScaleNormal="80" workbookViewId="0">
      <pane ySplit="9" topLeftCell="A10" activePane="bottomLeft" state="frozen"/>
      <selection activeCell="B1" sqref="B1"/>
      <selection pane="bottomLeft" activeCell="M1" sqref="M1:O1048576"/>
    </sheetView>
  </sheetViews>
  <sheetFormatPr defaultColWidth="9" defaultRowHeight="12.75"/>
  <cols>
    <col min="1" max="1" width="7.625" style="7" customWidth="1"/>
    <col min="2" max="2" width="6.25" style="7" customWidth="1"/>
    <col min="3" max="3" width="9" style="7"/>
    <col min="4" max="4" width="16.375" style="7" customWidth="1"/>
    <col min="5" max="5" width="5.625" style="7" customWidth="1"/>
    <col min="6" max="6" width="13.75" style="7" customWidth="1"/>
    <col min="7" max="7" width="13.5" style="49" customWidth="1"/>
    <col min="8" max="9" width="10.5" style="49" customWidth="1"/>
    <col min="10" max="10" width="8.125" style="7" customWidth="1"/>
    <col min="11" max="11" width="9" style="7"/>
    <col min="12" max="12" width="3.5" style="7" customWidth="1"/>
    <col min="13" max="13" width="11.5" customWidth="1"/>
    <col min="14" max="15" width="8.875"/>
    <col min="16" max="16" width="11.75" bestFit="1" customWidth="1"/>
    <col min="17" max="16384" width="9" style="7"/>
  </cols>
  <sheetData>
    <row r="1" spans="1:17">
      <c r="A1" s="19"/>
      <c r="G1" s="618" t="s">
        <v>2216</v>
      </c>
      <c r="H1" s="618"/>
      <c r="I1" s="618"/>
      <c r="J1" s="618"/>
      <c r="K1" s="618"/>
    </row>
    <row r="2" spans="1:17">
      <c r="G2" s="619">
        <v>42745</v>
      </c>
      <c r="H2" s="619"/>
      <c r="I2" s="619"/>
      <c r="J2" s="619"/>
      <c r="K2" s="619"/>
    </row>
    <row r="3" spans="1:17">
      <c r="G3" s="64"/>
      <c r="H3" s="64"/>
      <c r="I3" s="64"/>
    </row>
    <row r="4" spans="1:17">
      <c r="A4" s="65" t="s">
        <v>1136</v>
      </c>
      <c r="B4" s="65" t="s">
        <v>1153</v>
      </c>
      <c r="D4" s="13"/>
      <c r="E4" s="65" t="s">
        <v>1135</v>
      </c>
      <c r="F4" s="13"/>
      <c r="G4" s="66"/>
      <c r="H4" s="66"/>
      <c r="I4" s="64"/>
      <c r="J4" s="15"/>
      <c r="K4" s="15" t="s">
        <v>679</v>
      </c>
      <c r="L4" s="15"/>
    </row>
    <row r="5" spans="1:17" ht="15.75">
      <c r="B5" s="67"/>
      <c r="D5" s="13"/>
      <c r="E5" s="67"/>
      <c r="F5" s="13"/>
      <c r="G5" s="66"/>
      <c r="H5" s="66"/>
      <c r="I5" s="66"/>
    </row>
    <row r="6" spans="1:17">
      <c r="D6" s="13"/>
      <c r="E6" s="13"/>
      <c r="F6" s="13"/>
      <c r="G6" s="66"/>
      <c r="H6" s="66"/>
      <c r="I6" s="66"/>
    </row>
    <row r="7" spans="1:17">
      <c r="D7" s="13"/>
      <c r="E7" s="13"/>
      <c r="F7" s="13"/>
      <c r="G7" s="66"/>
      <c r="H7" s="66" t="s">
        <v>2200</v>
      </c>
      <c r="I7" s="66" t="s">
        <v>2200</v>
      </c>
      <c r="J7" s="66" t="s">
        <v>675</v>
      </c>
      <c r="K7" s="66" t="s">
        <v>680</v>
      </c>
      <c r="L7" s="66"/>
    </row>
    <row r="8" spans="1:17">
      <c r="B8" s="13" t="s">
        <v>62</v>
      </c>
      <c r="D8" s="13"/>
      <c r="E8" s="13"/>
      <c r="F8" s="13"/>
      <c r="G8" s="66" t="s">
        <v>1157</v>
      </c>
      <c r="H8" s="66" t="s">
        <v>458</v>
      </c>
      <c r="I8" s="66" t="s">
        <v>210</v>
      </c>
      <c r="J8" s="66" t="s">
        <v>676</v>
      </c>
      <c r="K8" s="66" t="s">
        <v>682</v>
      </c>
      <c r="L8" s="66"/>
    </row>
    <row r="9" spans="1:17">
      <c r="A9" s="13" t="s">
        <v>1136</v>
      </c>
      <c r="B9" s="13" t="s">
        <v>63</v>
      </c>
      <c r="C9" s="13" t="s">
        <v>1144</v>
      </c>
      <c r="D9" s="13" t="s">
        <v>1133</v>
      </c>
      <c r="E9" s="13" t="s">
        <v>1135</v>
      </c>
      <c r="F9" s="13" t="s">
        <v>59</v>
      </c>
      <c r="G9" s="66" t="s">
        <v>61</v>
      </c>
      <c r="H9" s="66" t="s">
        <v>1158</v>
      </c>
      <c r="I9" s="66" t="s">
        <v>1158</v>
      </c>
      <c r="J9" s="66" t="s">
        <v>677</v>
      </c>
      <c r="K9" s="66" t="s">
        <v>681</v>
      </c>
      <c r="L9" s="66"/>
    </row>
    <row r="10" spans="1:17" ht="23.25" customHeight="1">
      <c r="A10" s="10">
        <v>406</v>
      </c>
      <c r="B10" s="7">
        <v>1</v>
      </c>
      <c r="C10" s="7">
        <f t="shared" ref="C10:C72" si="0">A10*1000+E10</f>
        <v>406210</v>
      </c>
      <c r="D10" s="7" t="s">
        <v>955</v>
      </c>
      <c r="E10" s="7">
        <v>210</v>
      </c>
      <c r="F10" s="7" t="s">
        <v>954</v>
      </c>
      <c r="G10" s="269">
        <v>1</v>
      </c>
      <c r="H10" s="10">
        <v>106</v>
      </c>
      <c r="I10" s="10">
        <v>106</v>
      </c>
      <c r="J10" s="68">
        <f t="shared" ref="J10:J72" si="1">ROUND(VLOOKUP(E10,town351,11),2)</f>
        <v>82.5</v>
      </c>
      <c r="K10" s="68">
        <f t="shared" ref="K10:K73" si="2">ROUND(G10*J10,2)</f>
        <v>82.5</v>
      </c>
      <c r="L10" s="68"/>
      <c r="M10" s="408"/>
      <c r="N10" s="10"/>
      <c r="O10" s="269"/>
      <c r="P10" s="269"/>
      <c r="Q10" s="10"/>
    </row>
    <row r="11" spans="1:17">
      <c r="A11" s="10">
        <v>600</v>
      </c>
      <c r="B11" s="7">
        <v>2</v>
      </c>
      <c r="C11" s="7">
        <f t="shared" si="0"/>
        <v>600002</v>
      </c>
      <c r="D11" s="7" t="s">
        <v>1164</v>
      </c>
      <c r="E11" s="7">
        <v>2</v>
      </c>
      <c r="F11" s="7" t="s">
        <v>1163</v>
      </c>
      <c r="G11" s="269">
        <v>0.84753685725000005</v>
      </c>
      <c r="H11" s="10">
        <v>5562</v>
      </c>
      <c r="I11" s="10">
        <v>4714</v>
      </c>
      <c r="J11" s="68">
        <f t="shared" si="1"/>
        <v>77.88</v>
      </c>
      <c r="K11" s="68">
        <f t="shared" si="2"/>
        <v>66.010000000000005</v>
      </c>
      <c r="L11" s="68"/>
      <c r="M11" s="408"/>
      <c r="N11" s="10"/>
      <c r="O11" s="269"/>
      <c r="P11" s="269"/>
      <c r="Q11" s="10"/>
    </row>
    <row r="12" spans="1:17">
      <c r="A12" s="10">
        <v>600</v>
      </c>
      <c r="B12" s="7">
        <v>3</v>
      </c>
      <c r="C12" s="7">
        <f t="shared" si="0"/>
        <v>600037</v>
      </c>
      <c r="D12" s="7" t="s">
        <v>1164</v>
      </c>
      <c r="E12" s="7">
        <v>37</v>
      </c>
      <c r="F12" s="7" t="s">
        <v>690</v>
      </c>
      <c r="G12" s="269">
        <v>0.15246314275</v>
      </c>
      <c r="H12" s="10">
        <v>5562</v>
      </c>
      <c r="I12" s="10">
        <v>848</v>
      </c>
      <c r="J12" s="68">
        <f t="shared" si="1"/>
        <v>82.5</v>
      </c>
      <c r="K12" s="68">
        <f t="shared" si="2"/>
        <v>12.58</v>
      </c>
      <c r="L12" s="68"/>
      <c r="M12" s="408"/>
      <c r="N12" s="10"/>
      <c r="O12" s="269"/>
      <c r="P12" s="269"/>
      <c r="Q12" s="10"/>
    </row>
    <row r="13" spans="1:17">
      <c r="A13" s="10">
        <v>603</v>
      </c>
      <c r="B13" s="7">
        <v>4</v>
      </c>
      <c r="C13" s="7">
        <f t="shared" si="0"/>
        <v>603004</v>
      </c>
      <c r="D13" s="7" t="s">
        <v>1170</v>
      </c>
      <c r="E13" s="7">
        <v>4</v>
      </c>
      <c r="F13" s="7" t="s">
        <v>1169</v>
      </c>
      <c r="G13" s="269">
        <v>0.72159090909000001</v>
      </c>
      <c r="H13" s="10">
        <v>1408</v>
      </c>
      <c r="I13" s="10">
        <v>1016</v>
      </c>
      <c r="J13" s="68">
        <f t="shared" si="1"/>
        <v>32.74</v>
      </c>
      <c r="K13" s="68">
        <f t="shared" si="2"/>
        <v>23.62</v>
      </c>
      <c r="L13" s="68"/>
      <c r="M13" s="408"/>
      <c r="N13" s="10"/>
      <c r="O13" s="269"/>
      <c r="P13" s="269"/>
      <c r="Q13" s="10"/>
    </row>
    <row r="14" spans="1:17">
      <c r="A14" s="10">
        <v>603</v>
      </c>
      <c r="B14" s="7">
        <v>5</v>
      </c>
      <c r="C14" s="7">
        <f t="shared" si="0"/>
        <v>603058</v>
      </c>
      <c r="D14" s="7" t="s">
        <v>1170</v>
      </c>
      <c r="E14" s="7">
        <v>58</v>
      </c>
      <c r="F14" s="7" t="s">
        <v>722</v>
      </c>
      <c r="G14" s="269">
        <v>0.27840909090999999</v>
      </c>
      <c r="H14" s="10">
        <v>1408</v>
      </c>
      <c r="I14" s="10">
        <v>392</v>
      </c>
      <c r="J14" s="68">
        <f t="shared" si="1"/>
        <v>47.32</v>
      </c>
      <c r="K14" s="68">
        <f t="shared" si="2"/>
        <v>13.17</v>
      </c>
      <c r="L14" s="68"/>
      <c r="M14" s="408"/>
      <c r="N14" s="10"/>
      <c r="O14" s="269"/>
      <c r="P14" s="269"/>
      <c r="Q14" s="10"/>
    </row>
    <row r="15" spans="1:17">
      <c r="A15" s="10">
        <v>605</v>
      </c>
      <c r="B15" s="7">
        <v>6</v>
      </c>
      <c r="C15" s="7">
        <f t="shared" si="0"/>
        <v>605008</v>
      </c>
      <c r="D15" s="7" t="s">
        <v>4</v>
      </c>
      <c r="E15" s="7">
        <v>8</v>
      </c>
      <c r="F15" s="7" t="s">
        <v>3</v>
      </c>
      <c r="G15" s="269">
        <v>0.81293463143</v>
      </c>
      <c r="H15" s="10">
        <v>1438</v>
      </c>
      <c r="I15" s="10">
        <v>1169</v>
      </c>
      <c r="J15" s="68">
        <f t="shared" si="1"/>
        <v>73.849999999999994</v>
      </c>
      <c r="K15" s="68">
        <f t="shared" si="2"/>
        <v>60.04</v>
      </c>
      <c r="L15" s="68"/>
      <c r="M15" s="408"/>
      <c r="N15" s="10"/>
      <c r="O15" s="269"/>
      <c r="P15" s="269"/>
      <c r="Q15" s="10"/>
    </row>
    <row r="16" spans="1:17">
      <c r="A16" s="10">
        <v>605</v>
      </c>
      <c r="B16" s="7">
        <v>7</v>
      </c>
      <c r="C16" s="7">
        <f t="shared" si="0"/>
        <v>605154</v>
      </c>
      <c r="D16" s="7" t="s">
        <v>4</v>
      </c>
      <c r="E16" s="7">
        <v>154</v>
      </c>
      <c r="F16" s="7" t="s">
        <v>852</v>
      </c>
      <c r="G16" s="269">
        <v>5.7719054239999998E-2</v>
      </c>
      <c r="H16" s="10">
        <v>1438</v>
      </c>
      <c r="I16" s="10">
        <v>83</v>
      </c>
      <c r="J16" s="68">
        <f t="shared" si="1"/>
        <v>82.5</v>
      </c>
      <c r="K16" s="68">
        <f t="shared" si="2"/>
        <v>4.76</v>
      </c>
      <c r="L16" s="68"/>
      <c r="M16" s="408"/>
      <c r="N16" s="10"/>
      <c r="O16" s="269"/>
      <c r="P16" s="269"/>
      <c r="Q16" s="10"/>
    </row>
    <row r="17" spans="1:17">
      <c r="A17" s="10">
        <v>605</v>
      </c>
      <c r="B17" s="7">
        <v>8</v>
      </c>
      <c r="C17" s="7">
        <f t="shared" si="0"/>
        <v>605230</v>
      </c>
      <c r="D17" s="7" t="s">
        <v>4</v>
      </c>
      <c r="E17" s="7">
        <v>230</v>
      </c>
      <c r="F17" s="7" t="s">
        <v>991</v>
      </c>
      <c r="G17" s="269">
        <v>4.5201668979999998E-2</v>
      </c>
      <c r="H17" s="10">
        <v>1438</v>
      </c>
      <c r="I17" s="10">
        <v>65</v>
      </c>
      <c r="J17" s="68">
        <f t="shared" si="1"/>
        <v>82.5</v>
      </c>
      <c r="K17" s="68">
        <f t="shared" si="2"/>
        <v>3.73</v>
      </c>
      <c r="L17" s="68"/>
      <c r="M17" s="408"/>
      <c r="N17" s="10"/>
      <c r="O17" s="269"/>
      <c r="P17" s="269"/>
      <c r="Q17" s="10"/>
    </row>
    <row r="18" spans="1:17">
      <c r="A18" s="10">
        <v>605</v>
      </c>
      <c r="B18" s="7">
        <v>9</v>
      </c>
      <c r="C18" s="7">
        <f t="shared" si="0"/>
        <v>605272</v>
      </c>
      <c r="D18" s="7" t="s">
        <v>4</v>
      </c>
      <c r="E18" s="7">
        <v>272</v>
      </c>
      <c r="F18" s="7" t="s">
        <v>1042</v>
      </c>
      <c r="G18" s="269">
        <v>8.4144645340000004E-2</v>
      </c>
      <c r="H18" s="10">
        <v>1438</v>
      </c>
      <c r="I18" s="10">
        <v>121</v>
      </c>
      <c r="J18" s="68">
        <f t="shared" si="1"/>
        <v>58.56</v>
      </c>
      <c r="K18" s="68">
        <f t="shared" si="2"/>
        <v>4.93</v>
      </c>
      <c r="L18" s="68"/>
      <c r="M18" s="408"/>
      <c r="N18" s="10"/>
      <c r="O18" s="269"/>
      <c r="P18" s="269"/>
      <c r="Q18" s="10"/>
    </row>
    <row r="19" spans="1:17">
      <c r="A19" s="10">
        <v>610</v>
      </c>
      <c r="B19" s="7">
        <v>10</v>
      </c>
      <c r="C19" s="7">
        <f t="shared" si="0"/>
        <v>610011</v>
      </c>
      <c r="D19" s="7" t="s">
        <v>9</v>
      </c>
      <c r="E19" s="7">
        <v>11</v>
      </c>
      <c r="F19" s="7" t="s">
        <v>8</v>
      </c>
      <c r="G19" s="269">
        <v>0.47561521253</v>
      </c>
      <c r="H19" s="10">
        <v>2235</v>
      </c>
      <c r="I19" s="10">
        <v>1063</v>
      </c>
      <c r="J19" s="68">
        <f t="shared" si="1"/>
        <v>44.38</v>
      </c>
      <c r="K19" s="68">
        <f t="shared" si="2"/>
        <v>21.11</v>
      </c>
      <c r="L19" s="68"/>
      <c r="M19" s="408"/>
      <c r="N19" s="10"/>
      <c r="O19" s="269"/>
      <c r="P19" s="269"/>
      <c r="Q19" s="10"/>
    </row>
    <row r="20" spans="1:17">
      <c r="A20" s="10">
        <v>610</v>
      </c>
      <c r="B20" s="7">
        <v>11</v>
      </c>
      <c r="C20" s="7">
        <f t="shared" si="0"/>
        <v>610328</v>
      </c>
      <c r="D20" s="7" t="s">
        <v>9</v>
      </c>
      <c r="E20" s="7">
        <v>328</v>
      </c>
      <c r="F20" s="7" t="s">
        <v>1106</v>
      </c>
      <c r="G20" s="269">
        <v>0.52438478746999995</v>
      </c>
      <c r="H20" s="10">
        <v>2235</v>
      </c>
      <c r="I20" s="10">
        <v>1172</v>
      </c>
      <c r="J20" s="68">
        <f t="shared" si="1"/>
        <v>59.76</v>
      </c>
      <c r="K20" s="68">
        <f t="shared" si="2"/>
        <v>31.34</v>
      </c>
      <c r="L20" s="68"/>
      <c r="M20" s="408"/>
      <c r="N20" s="10"/>
      <c r="O20" s="269"/>
      <c r="P20" s="269"/>
      <c r="Q20" s="10"/>
    </row>
    <row r="21" spans="1:17">
      <c r="A21" s="10">
        <v>615</v>
      </c>
      <c r="B21" s="7">
        <v>12</v>
      </c>
      <c r="C21" s="7">
        <f t="shared" si="0"/>
        <v>615015</v>
      </c>
      <c r="D21" s="7" t="s">
        <v>18</v>
      </c>
      <c r="E21" s="7">
        <v>15</v>
      </c>
      <c r="F21" s="7" t="s">
        <v>17</v>
      </c>
      <c r="G21" s="269">
        <v>0.92603049125000003</v>
      </c>
      <c r="H21" s="10">
        <v>1771</v>
      </c>
      <c r="I21" s="10">
        <v>1640</v>
      </c>
      <c r="J21" s="68">
        <f t="shared" si="1"/>
        <v>29.73</v>
      </c>
      <c r="K21" s="68">
        <f t="shared" si="2"/>
        <v>27.53</v>
      </c>
      <c r="L21" s="68"/>
      <c r="M21" s="408"/>
      <c r="N21" s="10"/>
      <c r="O21" s="269"/>
      <c r="P21" s="269"/>
      <c r="Q21" s="10"/>
    </row>
    <row r="22" spans="1:17">
      <c r="A22" s="10">
        <v>615</v>
      </c>
      <c r="B22" s="7">
        <v>13</v>
      </c>
      <c r="C22" s="7">
        <f t="shared" si="0"/>
        <v>615255</v>
      </c>
      <c r="D22" s="7" t="s">
        <v>18</v>
      </c>
      <c r="E22" s="7">
        <v>255</v>
      </c>
      <c r="F22" s="7" t="s">
        <v>1025</v>
      </c>
      <c r="G22" s="269">
        <v>7.3969508749999996E-2</v>
      </c>
      <c r="H22" s="10">
        <v>1771</v>
      </c>
      <c r="I22" s="10">
        <v>131</v>
      </c>
      <c r="J22" s="68">
        <f t="shared" si="1"/>
        <v>55.28</v>
      </c>
      <c r="K22" s="68">
        <f t="shared" si="2"/>
        <v>4.09</v>
      </c>
      <c r="L22" s="68"/>
      <c r="M22" s="408"/>
      <c r="N22" s="10"/>
      <c r="O22" s="269"/>
      <c r="P22" s="269"/>
      <c r="Q22" s="10"/>
    </row>
    <row r="23" spans="1:17">
      <c r="A23" s="10">
        <v>616</v>
      </c>
      <c r="B23" s="7">
        <v>14</v>
      </c>
      <c r="C23" s="7">
        <f t="shared" si="0"/>
        <v>616019</v>
      </c>
      <c r="D23" s="7" t="s">
        <v>687</v>
      </c>
      <c r="E23" s="7">
        <v>19</v>
      </c>
      <c r="F23" s="7" t="s">
        <v>127</v>
      </c>
      <c r="G23" s="269">
        <v>0.56393076494000005</v>
      </c>
      <c r="H23" s="10">
        <v>1791</v>
      </c>
      <c r="I23" s="10">
        <v>1010</v>
      </c>
      <c r="J23" s="68">
        <f t="shared" si="1"/>
        <v>67.45</v>
      </c>
      <c r="K23" s="68">
        <f t="shared" si="2"/>
        <v>38.04</v>
      </c>
      <c r="L23" s="68"/>
      <c r="M23" s="408"/>
      <c r="N23" s="10"/>
      <c r="O23" s="269"/>
      <c r="P23" s="269"/>
      <c r="Q23" s="10"/>
    </row>
    <row r="24" spans="1:17">
      <c r="A24" s="10">
        <v>616</v>
      </c>
      <c r="B24" s="7">
        <v>15</v>
      </c>
      <c r="C24" s="7">
        <f t="shared" si="0"/>
        <v>616270</v>
      </c>
      <c r="D24" s="7" t="s">
        <v>687</v>
      </c>
      <c r="E24" s="7">
        <v>270</v>
      </c>
      <c r="F24" s="7" t="s">
        <v>1040</v>
      </c>
      <c r="G24" s="269">
        <v>0.43606923506</v>
      </c>
      <c r="H24" s="10">
        <v>1791</v>
      </c>
      <c r="I24" s="10">
        <v>781</v>
      </c>
      <c r="J24" s="68">
        <f t="shared" si="1"/>
        <v>56.98</v>
      </c>
      <c r="K24" s="68">
        <f t="shared" si="2"/>
        <v>24.85</v>
      </c>
      <c r="L24" s="68"/>
      <c r="M24" s="408"/>
      <c r="N24" s="10"/>
      <c r="O24" s="269"/>
      <c r="P24" s="269"/>
      <c r="Q24" s="10"/>
    </row>
    <row r="25" spans="1:17">
      <c r="A25" s="10">
        <v>618</v>
      </c>
      <c r="B25" s="7">
        <v>16</v>
      </c>
      <c r="C25" s="7">
        <f t="shared" si="0"/>
        <v>618113</v>
      </c>
      <c r="D25" s="7" t="s">
        <v>804</v>
      </c>
      <c r="E25" s="7">
        <v>113</v>
      </c>
      <c r="F25" s="7" t="s">
        <v>803</v>
      </c>
      <c r="G25" s="269">
        <v>0.72140221402000004</v>
      </c>
      <c r="H25" s="10">
        <v>1084</v>
      </c>
      <c r="I25" s="10">
        <v>782</v>
      </c>
      <c r="J25" s="68">
        <f t="shared" si="1"/>
        <v>82.5</v>
      </c>
      <c r="K25" s="68">
        <f t="shared" si="2"/>
        <v>59.52</v>
      </c>
      <c r="L25" s="68"/>
      <c r="M25" s="408"/>
      <c r="N25" s="10"/>
      <c r="O25" s="269"/>
      <c r="P25" s="269"/>
      <c r="Q25" s="10"/>
    </row>
    <row r="26" spans="1:17">
      <c r="A26" s="10">
        <v>618</v>
      </c>
      <c r="B26" s="7">
        <v>17</v>
      </c>
      <c r="C26" s="7">
        <f t="shared" si="0"/>
        <v>618283</v>
      </c>
      <c r="D26" s="7" t="s">
        <v>804</v>
      </c>
      <c r="E26" s="7">
        <v>283</v>
      </c>
      <c r="F26" s="7" t="s">
        <v>1060</v>
      </c>
      <c r="G26" s="269">
        <v>0.14114391143999999</v>
      </c>
      <c r="H26" s="10">
        <v>1084</v>
      </c>
      <c r="I26" s="10">
        <v>153</v>
      </c>
      <c r="J26" s="68">
        <f t="shared" si="1"/>
        <v>82.5</v>
      </c>
      <c r="K26" s="68">
        <f t="shared" si="2"/>
        <v>11.64</v>
      </c>
      <c r="L26" s="68"/>
      <c r="M26" s="408"/>
      <c r="N26" s="10"/>
      <c r="O26" s="269"/>
      <c r="P26" s="269"/>
      <c r="Q26" s="10"/>
    </row>
    <row r="27" spans="1:17">
      <c r="A27" s="10">
        <v>618</v>
      </c>
      <c r="B27" s="7">
        <v>18</v>
      </c>
      <c r="C27" s="7">
        <f t="shared" si="0"/>
        <v>618333</v>
      </c>
      <c r="D27" s="7" t="s">
        <v>804</v>
      </c>
      <c r="E27" s="7">
        <v>333</v>
      </c>
      <c r="F27" s="7" t="s">
        <v>1111</v>
      </c>
      <c r="G27" s="269">
        <v>0.13745387453999999</v>
      </c>
      <c r="H27" s="10">
        <v>1084</v>
      </c>
      <c r="I27" s="10">
        <v>149</v>
      </c>
      <c r="J27" s="68">
        <f t="shared" si="1"/>
        <v>82.5</v>
      </c>
      <c r="K27" s="68">
        <f t="shared" si="2"/>
        <v>11.34</v>
      </c>
      <c r="L27" s="68"/>
      <c r="M27" s="408"/>
      <c r="N27" s="10"/>
      <c r="O27" s="269"/>
      <c r="P27" s="269"/>
      <c r="Q27" s="10"/>
    </row>
    <row r="28" spans="1:17">
      <c r="A28" s="10">
        <v>620</v>
      </c>
      <c r="B28" s="7">
        <v>19</v>
      </c>
      <c r="C28" s="7">
        <f t="shared" si="0"/>
        <v>620028</v>
      </c>
      <c r="D28" s="7" t="s">
        <v>42</v>
      </c>
      <c r="E28" s="7">
        <v>28</v>
      </c>
      <c r="F28" s="7" t="s">
        <v>41</v>
      </c>
      <c r="G28" s="269">
        <v>0.36481481481</v>
      </c>
      <c r="H28" s="10">
        <v>540</v>
      </c>
      <c r="I28" s="10">
        <v>197</v>
      </c>
      <c r="J28" s="68">
        <f t="shared" si="1"/>
        <v>82.5</v>
      </c>
      <c r="K28" s="68">
        <f t="shared" si="2"/>
        <v>30.1</v>
      </c>
      <c r="L28" s="68"/>
      <c r="M28" s="408"/>
      <c r="N28" s="10"/>
      <c r="O28" s="269"/>
      <c r="P28" s="269"/>
      <c r="Q28" s="10"/>
    </row>
    <row r="29" spans="1:17">
      <c r="A29" s="10">
        <v>620</v>
      </c>
      <c r="B29" s="7">
        <v>20</v>
      </c>
      <c r="C29" s="7">
        <f t="shared" si="0"/>
        <v>620039</v>
      </c>
      <c r="D29" s="7" t="s">
        <v>42</v>
      </c>
      <c r="E29" s="7">
        <v>39</v>
      </c>
      <c r="F29" s="7" t="s">
        <v>693</v>
      </c>
      <c r="G29" s="269">
        <v>0.63518518519</v>
      </c>
      <c r="H29" s="10">
        <v>540</v>
      </c>
      <c r="I29" s="10">
        <v>343</v>
      </c>
      <c r="J29" s="68">
        <f t="shared" si="1"/>
        <v>82.5</v>
      </c>
      <c r="K29" s="68">
        <f t="shared" si="2"/>
        <v>52.4</v>
      </c>
      <c r="L29" s="68"/>
      <c r="M29" s="408"/>
      <c r="N29" s="10"/>
      <c r="O29" s="269"/>
      <c r="P29" s="269"/>
      <c r="Q29" s="10"/>
    </row>
    <row r="30" spans="1:17">
      <c r="A30" s="10">
        <v>622</v>
      </c>
      <c r="B30" s="7">
        <v>21</v>
      </c>
      <c r="C30" s="7">
        <f t="shared" si="0"/>
        <v>622032</v>
      </c>
      <c r="D30" s="7" t="s">
        <v>50</v>
      </c>
      <c r="E30" s="7">
        <v>32</v>
      </c>
      <c r="F30" s="7" t="s">
        <v>49</v>
      </c>
      <c r="G30" s="269">
        <v>0.72992299230000002</v>
      </c>
      <c r="H30" s="10">
        <v>1818</v>
      </c>
      <c r="I30" s="10">
        <v>1327</v>
      </c>
      <c r="J30" s="68">
        <f t="shared" si="1"/>
        <v>47.96</v>
      </c>
      <c r="K30" s="68">
        <f t="shared" si="2"/>
        <v>35.01</v>
      </c>
      <c r="L30" s="68"/>
      <c r="M30" s="408"/>
      <c r="N30" s="10"/>
      <c r="O30" s="269"/>
      <c r="P30" s="269"/>
      <c r="Q30" s="10"/>
    </row>
    <row r="31" spans="1:17">
      <c r="A31" s="10">
        <v>622</v>
      </c>
      <c r="B31" s="7">
        <v>22</v>
      </c>
      <c r="C31" s="7">
        <f t="shared" si="0"/>
        <v>622188</v>
      </c>
      <c r="D31" s="7" t="s">
        <v>50</v>
      </c>
      <c r="E31" s="7">
        <v>188</v>
      </c>
      <c r="F31" s="7" t="s">
        <v>927</v>
      </c>
      <c r="G31" s="269">
        <v>0.27007700769999998</v>
      </c>
      <c r="H31" s="10">
        <v>1818</v>
      </c>
      <c r="I31" s="10">
        <v>491</v>
      </c>
      <c r="J31" s="68">
        <f t="shared" si="1"/>
        <v>43.29</v>
      </c>
      <c r="K31" s="68">
        <f t="shared" si="2"/>
        <v>11.69</v>
      </c>
      <c r="L31" s="68"/>
      <c r="M31" s="408"/>
      <c r="N31" s="10"/>
      <c r="O31" s="269"/>
      <c r="P31" s="269"/>
      <c r="Q31" s="10"/>
    </row>
    <row r="32" spans="1:17">
      <c r="A32" s="10">
        <v>625</v>
      </c>
      <c r="B32" s="7">
        <v>23</v>
      </c>
      <c r="C32" s="7">
        <f t="shared" si="0"/>
        <v>625042</v>
      </c>
      <c r="D32" s="7" t="s">
        <v>698</v>
      </c>
      <c r="E32" s="7">
        <v>42</v>
      </c>
      <c r="F32" s="7" t="s">
        <v>697</v>
      </c>
      <c r="G32" s="269">
        <v>0.59949164851000003</v>
      </c>
      <c r="H32" s="10">
        <v>5508</v>
      </c>
      <c r="I32" s="10">
        <v>3302</v>
      </c>
      <c r="J32" s="68">
        <f t="shared" si="1"/>
        <v>61.9</v>
      </c>
      <c r="K32" s="68">
        <f t="shared" si="2"/>
        <v>37.11</v>
      </c>
      <c r="L32" s="68"/>
      <c r="M32" s="408"/>
      <c r="N32" s="10"/>
      <c r="O32" s="269"/>
      <c r="P32" s="269"/>
      <c r="Q32" s="10"/>
    </row>
    <row r="33" spans="1:17">
      <c r="A33" s="10">
        <v>625</v>
      </c>
      <c r="B33" s="7">
        <v>24</v>
      </c>
      <c r="C33" s="7">
        <f t="shared" si="0"/>
        <v>625245</v>
      </c>
      <c r="D33" s="7" t="s">
        <v>698</v>
      </c>
      <c r="E33" s="7">
        <v>245</v>
      </c>
      <c r="F33" s="7" t="s">
        <v>1015</v>
      </c>
      <c r="G33" s="269">
        <v>0.40050835149000003</v>
      </c>
      <c r="H33" s="10">
        <v>5508</v>
      </c>
      <c r="I33" s="10">
        <v>2206</v>
      </c>
      <c r="J33" s="68">
        <f t="shared" si="1"/>
        <v>60.47</v>
      </c>
      <c r="K33" s="68">
        <f t="shared" si="2"/>
        <v>24.22</v>
      </c>
      <c r="L33" s="68"/>
      <c r="M33" s="408"/>
      <c r="N33" s="10"/>
      <c r="O33" s="269"/>
      <c r="P33" s="269"/>
      <c r="Q33" s="10"/>
    </row>
    <row r="34" spans="1:17">
      <c r="A34" s="10">
        <v>632</v>
      </c>
      <c r="B34" s="7">
        <v>25</v>
      </c>
      <c r="C34" s="7">
        <f t="shared" si="0"/>
        <v>632060</v>
      </c>
      <c r="D34" s="7" t="s">
        <v>725</v>
      </c>
      <c r="E34" s="7">
        <v>60</v>
      </c>
      <c r="F34" s="7" t="s">
        <v>724</v>
      </c>
      <c r="G34" s="269">
        <v>0.51612903225999995</v>
      </c>
      <c r="H34" s="10">
        <v>124</v>
      </c>
      <c r="I34" s="10">
        <v>64</v>
      </c>
      <c r="J34" s="68">
        <f t="shared" si="1"/>
        <v>60.17</v>
      </c>
      <c r="K34" s="68">
        <f t="shared" si="2"/>
        <v>31.06</v>
      </c>
      <c r="L34" s="68"/>
      <c r="M34" s="408"/>
      <c r="N34" s="10"/>
      <c r="O34" s="269"/>
      <c r="P34" s="269"/>
      <c r="Q34" s="10"/>
    </row>
    <row r="35" spans="1:17">
      <c r="A35" s="10">
        <v>632</v>
      </c>
      <c r="B35" s="7">
        <v>26</v>
      </c>
      <c r="C35" s="7">
        <f t="shared" si="0"/>
        <v>632108</v>
      </c>
      <c r="D35" s="7" t="s">
        <v>725</v>
      </c>
      <c r="E35" s="7">
        <v>108</v>
      </c>
      <c r="F35" s="7" t="s">
        <v>798</v>
      </c>
      <c r="G35" s="269">
        <v>0.48387096773999999</v>
      </c>
      <c r="H35" s="10">
        <v>124</v>
      </c>
      <c r="I35" s="10">
        <v>60</v>
      </c>
      <c r="J35" s="68">
        <f t="shared" si="1"/>
        <v>66.52</v>
      </c>
      <c r="K35" s="68">
        <f t="shared" si="2"/>
        <v>32.19</v>
      </c>
      <c r="L35" s="68"/>
      <c r="M35" s="408"/>
      <c r="N35" s="10"/>
      <c r="O35" s="269"/>
      <c r="P35" s="269"/>
      <c r="Q35" s="10"/>
    </row>
    <row r="36" spans="1:17">
      <c r="A36" s="10">
        <v>635</v>
      </c>
      <c r="B36" s="7">
        <v>27</v>
      </c>
      <c r="C36" s="7">
        <f t="shared" si="0"/>
        <v>635022</v>
      </c>
      <c r="D36" s="7" t="s">
        <v>31</v>
      </c>
      <c r="E36" s="7">
        <v>22</v>
      </c>
      <c r="F36" s="7" t="s">
        <v>30</v>
      </c>
      <c r="G36" s="269">
        <v>0.12864077669999999</v>
      </c>
      <c r="H36" s="10">
        <v>1648</v>
      </c>
      <c r="I36" s="10">
        <v>212</v>
      </c>
      <c r="J36" s="68">
        <f t="shared" si="1"/>
        <v>82.5</v>
      </c>
      <c r="K36" s="68">
        <f t="shared" si="2"/>
        <v>10.61</v>
      </c>
      <c r="L36" s="68"/>
      <c r="M36" s="408"/>
      <c r="N36" s="10"/>
      <c r="O36" s="269"/>
      <c r="P36" s="269"/>
      <c r="Q36" s="10"/>
    </row>
    <row r="37" spans="1:17">
      <c r="A37" s="10">
        <v>635</v>
      </c>
      <c r="B37" s="7">
        <v>28</v>
      </c>
      <c r="C37" s="7">
        <f t="shared" si="0"/>
        <v>635069</v>
      </c>
      <c r="D37" s="7" t="s">
        <v>31</v>
      </c>
      <c r="E37" s="7">
        <v>69</v>
      </c>
      <c r="F37" s="7" t="s">
        <v>741</v>
      </c>
      <c r="G37" s="269">
        <v>4.7330097090000002E-2</v>
      </c>
      <c r="H37" s="10">
        <v>1648</v>
      </c>
      <c r="I37" s="10">
        <v>78</v>
      </c>
      <c r="J37" s="68">
        <f t="shared" si="1"/>
        <v>82.5</v>
      </c>
      <c r="K37" s="68">
        <f t="shared" si="2"/>
        <v>3.9</v>
      </c>
      <c r="L37" s="68"/>
      <c r="M37" s="408"/>
      <c r="N37" s="10"/>
      <c r="O37" s="269"/>
      <c r="P37" s="269"/>
      <c r="Q37" s="10"/>
    </row>
    <row r="38" spans="1:17">
      <c r="A38" s="10">
        <v>635</v>
      </c>
      <c r="B38" s="7">
        <v>29</v>
      </c>
      <c r="C38" s="7">
        <f t="shared" si="0"/>
        <v>635070</v>
      </c>
      <c r="D38" s="7" t="s">
        <v>31</v>
      </c>
      <c r="E38" s="7">
        <v>70</v>
      </c>
      <c r="F38" s="7" t="s">
        <v>742</v>
      </c>
      <c r="G38" s="269">
        <v>0.55157766990000001</v>
      </c>
      <c r="H38" s="10">
        <v>1648</v>
      </c>
      <c r="I38" s="10">
        <v>909</v>
      </c>
      <c r="J38" s="68">
        <f t="shared" si="1"/>
        <v>52.97</v>
      </c>
      <c r="K38" s="68">
        <f t="shared" si="2"/>
        <v>29.22</v>
      </c>
      <c r="L38" s="68"/>
      <c r="M38" s="408"/>
      <c r="N38" s="10"/>
      <c r="O38" s="269"/>
      <c r="P38" s="269"/>
      <c r="Q38" s="10"/>
    </row>
    <row r="39" spans="1:17">
      <c r="A39" s="10">
        <v>635</v>
      </c>
      <c r="B39" s="7">
        <v>30</v>
      </c>
      <c r="C39" s="7">
        <f t="shared" si="0"/>
        <v>635132</v>
      </c>
      <c r="D39" s="7" t="s">
        <v>31</v>
      </c>
      <c r="E39" s="7">
        <v>132</v>
      </c>
      <c r="F39" s="7" t="s">
        <v>828</v>
      </c>
      <c r="G39" s="269">
        <v>0.12560679612</v>
      </c>
      <c r="H39" s="10">
        <v>1648</v>
      </c>
      <c r="I39" s="10">
        <v>207</v>
      </c>
      <c r="J39" s="68">
        <f t="shared" si="1"/>
        <v>82.39</v>
      </c>
      <c r="K39" s="68">
        <f t="shared" si="2"/>
        <v>10.35</v>
      </c>
      <c r="L39" s="68"/>
      <c r="M39" s="408"/>
      <c r="N39" s="10"/>
      <c r="O39" s="269"/>
      <c r="P39" s="269"/>
      <c r="Q39" s="10"/>
    </row>
    <row r="40" spans="1:17">
      <c r="A40" s="10">
        <v>635</v>
      </c>
      <c r="B40" s="7">
        <v>31</v>
      </c>
      <c r="C40" s="7">
        <f t="shared" si="0"/>
        <v>635233</v>
      </c>
      <c r="D40" s="7" t="s">
        <v>31</v>
      </c>
      <c r="E40" s="7">
        <v>233</v>
      </c>
      <c r="F40" s="7" t="s">
        <v>1002</v>
      </c>
      <c r="G40" s="269">
        <v>6.5533980579999998E-2</v>
      </c>
      <c r="H40" s="10">
        <v>1648</v>
      </c>
      <c r="I40" s="10">
        <v>108</v>
      </c>
      <c r="J40" s="68">
        <f t="shared" si="1"/>
        <v>43.82</v>
      </c>
      <c r="K40" s="68">
        <f t="shared" si="2"/>
        <v>2.87</v>
      </c>
      <c r="L40" s="68"/>
      <c r="M40" s="408"/>
      <c r="N40" s="10"/>
      <c r="O40" s="269"/>
      <c r="P40" s="269"/>
      <c r="Q40" s="10"/>
    </row>
    <row r="41" spans="1:17">
      <c r="A41" s="10">
        <v>635</v>
      </c>
      <c r="B41" s="7">
        <v>32</v>
      </c>
      <c r="C41" s="7">
        <f t="shared" si="0"/>
        <v>635313</v>
      </c>
      <c r="D41" s="7" t="s">
        <v>31</v>
      </c>
      <c r="E41" s="7">
        <v>313</v>
      </c>
      <c r="F41" s="7" t="s">
        <v>1091</v>
      </c>
      <c r="G41" s="269">
        <v>3.1553398060000001E-2</v>
      </c>
      <c r="H41" s="10">
        <v>1648</v>
      </c>
      <c r="I41" s="10">
        <v>52</v>
      </c>
      <c r="J41" s="68">
        <f t="shared" si="1"/>
        <v>82.5</v>
      </c>
      <c r="K41" s="68">
        <f t="shared" si="2"/>
        <v>2.6</v>
      </c>
      <c r="L41" s="68"/>
      <c r="M41" s="408"/>
      <c r="N41" s="10"/>
      <c r="O41" s="269"/>
      <c r="P41" s="269"/>
      <c r="Q41" s="10"/>
    </row>
    <row r="42" spans="1:17">
      <c r="A42" s="10">
        <v>635</v>
      </c>
      <c r="B42" s="7">
        <v>33</v>
      </c>
      <c r="C42" s="7">
        <f t="shared" si="0"/>
        <v>635345</v>
      </c>
      <c r="D42" s="7" t="s">
        <v>31</v>
      </c>
      <c r="E42" s="7">
        <v>345</v>
      </c>
      <c r="F42" s="7" t="s">
        <v>1123</v>
      </c>
      <c r="G42" s="269">
        <v>4.9757281549999997E-2</v>
      </c>
      <c r="H42" s="10">
        <v>1648</v>
      </c>
      <c r="I42" s="10">
        <v>82</v>
      </c>
      <c r="J42" s="68">
        <f t="shared" si="1"/>
        <v>82.5</v>
      </c>
      <c r="K42" s="68">
        <f t="shared" si="2"/>
        <v>4.0999999999999996</v>
      </c>
      <c r="L42" s="68"/>
      <c r="M42" s="408"/>
      <c r="N42" s="10"/>
      <c r="O42" s="269"/>
      <c r="P42" s="269"/>
      <c r="Q42" s="10"/>
    </row>
    <row r="43" spans="1:17">
      <c r="A43" s="10">
        <v>640</v>
      </c>
      <c r="B43" s="7">
        <v>34</v>
      </c>
      <c r="C43" s="7">
        <f t="shared" si="0"/>
        <v>640051</v>
      </c>
      <c r="D43" s="7" t="s">
        <v>710</v>
      </c>
      <c r="E43" s="7">
        <v>51</v>
      </c>
      <c r="F43" s="7" t="s">
        <v>709</v>
      </c>
      <c r="G43" s="269">
        <v>0.2639553429</v>
      </c>
      <c r="H43" s="10">
        <v>1254</v>
      </c>
      <c r="I43" s="10">
        <v>331</v>
      </c>
      <c r="J43" s="68">
        <f t="shared" si="1"/>
        <v>82.5</v>
      </c>
      <c r="K43" s="68">
        <f t="shared" si="2"/>
        <v>21.78</v>
      </c>
      <c r="L43" s="68"/>
      <c r="M43" s="408"/>
      <c r="N43" s="10"/>
      <c r="O43" s="269"/>
      <c r="P43" s="269"/>
      <c r="Q43" s="10"/>
    </row>
    <row r="44" spans="1:17">
      <c r="A44" s="10">
        <v>640</v>
      </c>
      <c r="B44" s="7">
        <v>35</v>
      </c>
      <c r="C44" s="7">
        <f t="shared" si="0"/>
        <v>640067</v>
      </c>
      <c r="D44" s="7" t="s">
        <v>710</v>
      </c>
      <c r="E44" s="7">
        <v>67</v>
      </c>
      <c r="F44" s="7" t="s">
        <v>738</v>
      </c>
      <c r="G44" s="269">
        <v>0.7360446571</v>
      </c>
      <c r="H44" s="10">
        <v>1254</v>
      </c>
      <c r="I44" s="10">
        <v>923</v>
      </c>
      <c r="J44" s="68">
        <f t="shared" si="1"/>
        <v>82.5</v>
      </c>
      <c r="K44" s="68">
        <f t="shared" si="2"/>
        <v>60.72</v>
      </c>
      <c r="L44" s="68"/>
      <c r="M44" s="408"/>
      <c r="N44" s="10"/>
      <c r="O44" s="269"/>
      <c r="P44" s="269"/>
      <c r="Q44" s="10"/>
    </row>
    <row r="45" spans="1:17">
      <c r="A45" s="10">
        <v>645</v>
      </c>
      <c r="B45" s="7">
        <v>36</v>
      </c>
      <c r="C45" s="7">
        <f t="shared" si="0"/>
        <v>645075</v>
      </c>
      <c r="D45" s="7" t="s">
        <v>753</v>
      </c>
      <c r="E45" s="7">
        <v>75</v>
      </c>
      <c r="F45" s="7" t="s">
        <v>752</v>
      </c>
      <c r="G45" s="269">
        <v>0.33860111208999999</v>
      </c>
      <c r="H45" s="10">
        <v>3417</v>
      </c>
      <c r="I45" s="10">
        <v>1157</v>
      </c>
      <c r="J45" s="68">
        <f t="shared" si="1"/>
        <v>82.5</v>
      </c>
      <c r="K45" s="68">
        <f t="shared" si="2"/>
        <v>27.93</v>
      </c>
      <c r="L45" s="68"/>
      <c r="M45" s="408"/>
      <c r="N45" s="10"/>
      <c r="O45" s="269"/>
      <c r="P45" s="269"/>
      <c r="Q45" s="10"/>
    </row>
    <row r="46" spans="1:17">
      <c r="A46" s="10">
        <v>645</v>
      </c>
      <c r="B46" s="7">
        <v>37</v>
      </c>
      <c r="C46" s="7">
        <f t="shared" si="0"/>
        <v>645351</v>
      </c>
      <c r="D46" s="7" t="s">
        <v>753</v>
      </c>
      <c r="E46" s="7">
        <v>351</v>
      </c>
      <c r="F46" s="7" t="s">
        <v>1129</v>
      </c>
      <c r="G46" s="269">
        <v>0.66139888791000001</v>
      </c>
      <c r="H46" s="10">
        <v>3417</v>
      </c>
      <c r="I46" s="10">
        <v>2260</v>
      </c>
      <c r="J46" s="68">
        <f t="shared" si="1"/>
        <v>82.5</v>
      </c>
      <c r="K46" s="68">
        <f t="shared" si="2"/>
        <v>54.57</v>
      </c>
      <c r="L46" s="68"/>
      <c r="M46" s="408"/>
      <c r="N46" s="10"/>
      <c r="O46" s="269"/>
      <c r="P46" s="269"/>
      <c r="Q46" s="10"/>
    </row>
    <row r="47" spans="1:17">
      <c r="A47" s="10">
        <v>650</v>
      </c>
      <c r="B47" s="7">
        <v>38</v>
      </c>
      <c r="C47" s="7">
        <f t="shared" si="0"/>
        <v>650076</v>
      </c>
      <c r="D47" s="7" t="s">
        <v>755</v>
      </c>
      <c r="E47" s="7">
        <v>76</v>
      </c>
      <c r="F47" s="7" t="s">
        <v>754</v>
      </c>
      <c r="G47" s="269">
        <v>0.41938810587999997</v>
      </c>
      <c r="H47" s="10">
        <v>2909</v>
      </c>
      <c r="I47" s="10">
        <v>1220</v>
      </c>
      <c r="J47" s="68">
        <f t="shared" si="1"/>
        <v>48.15</v>
      </c>
      <c r="K47" s="68">
        <f t="shared" si="2"/>
        <v>20.190000000000001</v>
      </c>
      <c r="L47" s="68"/>
      <c r="M47" s="408"/>
      <c r="N47" s="10"/>
      <c r="O47" s="269"/>
      <c r="P47" s="269"/>
      <c r="Q47" s="10"/>
    </row>
    <row r="48" spans="1:17">
      <c r="A48" s="10">
        <v>650</v>
      </c>
      <c r="B48" s="7">
        <v>39</v>
      </c>
      <c r="C48" s="7">
        <f t="shared" si="0"/>
        <v>650247</v>
      </c>
      <c r="D48" s="7" t="s">
        <v>755</v>
      </c>
      <c r="E48" s="7">
        <v>247</v>
      </c>
      <c r="F48" s="7" t="s">
        <v>1017</v>
      </c>
      <c r="G48" s="269">
        <v>0.58061189412000003</v>
      </c>
      <c r="H48" s="10">
        <v>2909</v>
      </c>
      <c r="I48" s="10">
        <v>1689</v>
      </c>
      <c r="J48" s="68">
        <f t="shared" si="1"/>
        <v>75.510000000000005</v>
      </c>
      <c r="K48" s="68">
        <f t="shared" si="2"/>
        <v>43.84</v>
      </c>
      <c r="L48" s="68"/>
      <c r="M48" s="408"/>
      <c r="N48" s="10"/>
      <c r="O48" s="269"/>
      <c r="P48" s="269"/>
      <c r="Q48" s="10"/>
    </row>
    <row r="49" spans="1:17">
      <c r="A49" s="10">
        <v>655</v>
      </c>
      <c r="B49" s="7">
        <v>40</v>
      </c>
      <c r="C49" s="7">
        <f t="shared" si="0"/>
        <v>655078</v>
      </c>
      <c r="D49" s="7" t="s">
        <v>758</v>
      </c>
      <c r="E49" s="7">
        <v>78</v>
      </c>
      <c r="F49" s="7" t="s">
        <v>757</v>
      </c>
      <c r="G49" s="269">
        <v>0.55874894336000003</v>
      </c>
      <c r="H49" s="10">
        <v>1183</v>
      </c>
      <c r="I49" s="10">
        <v>661</v>
      </c>
      <c r="J49" s="68">
        <f t="shared" si="1"/>
        <v>82.5</v>
      </c>
      <c r="K49" s="68">
        <f t="shared" si="2"/>
        <v>46.1</v>
      </c>
      <c r="L49" s="68"/>
      <c r="M49" s="408"/>
      <c r="N49" s="10"/>
      <c r="O49" s="269"/>
      <c r="P49" s="269"/>
      <c r="Q49" s="10"/>
    </row>
    <row r="50" spans="1:17">
      <c r="A50" s="10">
        <v>655</v>
      </c>
      <c r="B50" s="7">
        <v>41</v>
      </c>
      <c r="C50" s="7">
        <f t="shared" si="0"/>
        <v>655269</v>
      </c>
      <c r="D50" s="7" t="s">
        <v>758</v>
      </c>
      <c r="E50" s="7">
        <v>269</v>
      </c>
      <c r="F50" s="7" t="s">
        <v>1039</v>
      </c>
      <c r="G50" s="269">
        <v>0.44125105663999997</v>
      </c>
      <c r="H50" s="10">
        <v>1183</v>
      </c>
      <c r="I50" s="10">
        <v>522</v>
      </c>
      <c r="J50" s="68">
        <f t="shared" si="1"/>
        <v>82.5</v>
      </c>
      <c r="K50" s="68">
        <f t="shared" si="2"/>
        <v>36.4</v>
      </c>
      <c r="L50" s="68"/>
      <c r="M50" s="408"/>
      <c r="N50" s="10"/>
      <c r="O50" s="269"/>
      <c r="P50" s="269"/>
      <c r="Q50" s="10"/>
    </row>
    <row r="51" spans="1:17">
      <c r="A51" s="10">
        <v>658</v>
      </c>
      <c r="B51" s="7">
        <v>42</v>
      </c>
      <c r="C51" s="7">
        <f t="shared" si="0"/>
        <v>658054</v>
      </c>
      <c r="D51" s="7" t="s">
        <v>715</v>
      </c>
      <c r="E51" s="7">
        <v>54</v>
      </c>
      <c r="F51" s="7" t="s">
        <v>714</v>
      </c>
      <c r="G51" s="269">
        <v>0.52577859198999999</v>
      </c>
      <c r="H51" s="10">
        <v>3821</v>
      </c>
      <c r="I51" s="10">
        <v>2009</v>
      </c>
      <c r="J51" s="68">
        <f t="shared" si="1"/>
        <v>51.69</v>
      </c>
      <c r="K51" s="68">
        <f t="shared" si="2"/>
        <v>27.18</v>
      </c>
      <c r="L51" s="68"/>
      <c r="M51" s="408"/>
      <c r="N51" s="10"/>
      <c r="O51" s="269"/>
      <c r="P51" s="269"/>
      <c r="Q51" s="10"/>
    </row>
    <row r="52" spans="1:17">
      <c r="A52" s="10">
        <v>658</v>
      </c>
      <c r="B52" s="7">
        <v>43</v>
      </c>
      <c r="C52" s="7">
        <f t="shared" si="0"/>
        <v>658080</v>
      </c>
      <c r="D52" s="7" t="s">
        <v>715</v>
      </c>
      <c r="E52" s="7">
        <v>80</v>
      </c>
      <c r="F52" s="7" t="s">
        <v>763</v>
      </c>
      <c r="G52" s="269">
        <v>0.47422140801000001</v>
      </c>
      <c r="H52" s="10">
        <v>3821</v>
      </c>
      <c r="I52" s="10">
        <v>1812</v>
      </c>
      <c r="J52" s="68">
        <f t="shared" si="1"/>
        <v>38.69</v>
      </c>
      <c r="K52" s="68">
        <f t="shared" si="2"/>
        <v>18.350000000000001</v>
      </c>
      <c r="L52" s="68"/>
      <c r="M52" s="408"/>
      <c r="N52" s="10"/>
      <c r="O52" s="269"/>
      <c r="P52" s="269"/>
      <c r="Q52" s="10"/>
    </row>
    <row r="53" spans="1:17">
      <c r="A53" s="10">
        <v>660</v>
      </c>
      <c r="B53" s="7">
        <v>44</v>
      </c>
      <c r="C53" s="7">
        <f t="shared" si="0"/>
        <v>660041</v>
      </c>
      <c r="D53" s="7" t="s">
        <v>696</v>
      </c>
      <c r="E53" s="7">
        <v>41</v>
      </c>
      <c r="F53" s="7" t="s">
        <v>695</v>
      </c>
      <c r="G53" s="269">
        <v>0.45808636748999998</v>
      </c>
      <c r="H53" s="10">
        <v>1181</v>
      </c>
      <c r="I53" s="10">
        <v>541</v>
      </c>
      <c r="J53" s="68">
        <f t="shared" si="1"/>
        <v>82.5</v>
      </c>
      <c r="K53" s="68">
        <f t="shared" si="2"/>
        <v>37.79</v>
      </c>
      <c r="L53" s="68"/>
      <c r="M53" s="408"/>
      <c r="N53" s="10"/>
      <c r="O53" s="269"/>
      <c r="P53" s="269"/>
      <c r="Q53" s="10"/>
    </row>
    <row r="54" spans="1:17">
      <c r="A54" s="10">
        <v>660</v>
      </c>
      <c r="B54" s="7">
        <v>45</v>
      </c>
      <c r="C54" s="7">
        <f t="shared" si="0"/>
        <v>660085</v>
      </c>
      <c r="D54" s="7" t="s">
        <v>696</v>
      </c>
      <c r="E54" s="7">
        <v>85</v>
      </c>
      <c r="F54" s="7" t="s">
        <v>770</v>
      </c>
      <c r="G54" s="269">
        <v>0.21253175275</v>
      </c>
      <c r="H54" s="10">
        <v>1181</v>
      </c>
      <c r="I54" s="10">
        <v>251</v>
      </c>
      <c r="J54" s="68">
        <f t="shared" si="1"/>
        <v>82.5</v>
      </c>
      <c r="K54" s="68">
        <f t="shared" si="2"/>
        <v>17.53</v>
      </c>
      <c r="L54" s="68"/>
      <c r="M54" s="408"/>
      <c r="N54" s="10"/>
      <c r="O54" s="269"/>
      <c r="P54" s="269"/>
      <c r="Q54" s="10"/>
    </row>
    <row r="55" spans="1:17">
      <c r="A55" s="10">
        <v>660</v>
      </c>
      <c r="B55" s="7">
        <v>46</v>
      </c>
      <c r="C55" s="7">
        <f t="shared" si="0"/>
        <v>660224</v>
      </c>
      <c r="D55" s="7" t="s">
        <v>696</v>
      </c>
      <c r="E55" s="7">
        <v>224</v>
      </c>
      <c r="F55" s="7" t="s">
        <v>973</v>
      </c>
      <c r="G55" s="269">
        <v>0.19559695174</v>
      </c>
      <c r="H55" s="10">
        <v>1181</v>
      </c>
      <c r="I55" s="10">
        <v>231</v>
      </c>
      <c r="J55" s="68">
        <f t="shared" si="1"/>
        <v>82.5</v>
      </c>
      <c r="K55" s="68">
        <f t="shared" si="2"/>
        <v>16.14</v>
      </c>
      <c r="L55" s="68"/>
      <c r="M55" s="408"/>
      <c r="N55" s="10"/>
      <c r="O55" s="269"/>
      <c r="P55" s="269"/>
      <c r="Q55" s="10"/>
    </row>
    <row r="56" spans="1:17">
      <c r="A56" s="10">
        <v>660</v>
      </c>
      <c r="B56" s="7">
        <v>47</v>
      </c>
      <c r="C56" s="7">
        <f t="shared" si="0"/>
        <v>660318</v>
      </c>
      <c r="D56" s="7" t="s">
        <v>696</v>
      </c>
      <c r="E56" s="7">
        <v>318</v>
      </c>
      <c r="F56" s="7" t="s">
        <v>1096</v>
      </c>
      <c r="G56" s="269">
        <v>0.13378492803</v>
      </c>
      <c r="H56" s="10">
        <v>1181</v>
      </c>
      <c r="I56" s="10">
        <v>158</v>
      </c>
      <c r="J56" s="68">
        <f t="shared" si="1"/>
        <v>82.5</v>
      </c>
      <c r="K56" s="68">
        <f t="shared" si="2"/>
        <v>11.04</v>
      </c>
      <c r="L56" s="68"/>
      <c r="M56" s="408"/>
      <c r="N56" s="10"/>
      <c r="O56" s="269"/>
      <c r="P56" s="269"/>
      <c r="Q56" s="10"/>
    </row>
    <row r="57" spans="1:17">
      <c r="A57" s="10">
        <v>662</v>
      </c>
      <c r="B57" s="7">
        <v>48</v>
      </c>
      <c r="C57" s="7">
        <f t="shared" si="0"/>
        <v>662225</v>
      </c>
      <c r="D57" s="7" t="s">
        <v>984</v>
      </c>
      <c r="E57" s="7">
        <v>225</v>
      </c>
      <c r="F57" s="7" t="s">
        <v>983</v>
      </c>
      <c r="G57" s="269">
        <v>0.63948497853999997</v>
      </c>
      <c r="H57" s="10">
        <v>233</v>
      </c>
      <c r="I57" s="10">
        <v>149</v>
      </c>
      <c r="J57" s="68">
        <f t="shared" si="1"/>
        <v>82.5</v>
      </c>
      <c r="K57" s="68">
        <f t="shared" si="2"/>
        <v>52.76</v>
      </c>
      <c r="L57" s="68"/>
      <c r="M57" s="408"/>
      <c r="N57" s="10"/>
      <c r="O57" s="269"/>
      <c r="P57" s="269"/>
      <c r="Q57" s="10"/>
    </row>
    <row r="58" spans="1:17">
      <c r="A58" s="10">
        <v>662</v>
      </c>
      <c r="B58" s="7">
        <v>49</v>
      </c>
      <c r="C58" s="7">
        <f t="shared" si="0"/>
        <v>662260</v>
      </c>
      <c r="D58" s="7" t="s">
        <v>984</v>
      </c>
      <c r="E58" s="7">
        <v>260</v>
      </c>
      <c r="F58" s="7" t="s">
        <v>1030</v>
      </c>
      <c r="G58" s="269">
        <v>0.36051502145999997</v>
      </c>
      <c r="H58" s="10">
        <v>233</v>
      </c>
      <c r="I58" s="10">
        <v>84</v>
      </c>
      <c r="J58" s="68">
        <f t="shared" si="1"/>
        <v>82.5</v>
      </c>
      <c r="K58" s="68">
        <f t="shared" si="2"/>
        <v>29.74</v>
      </c>
      <c r="L58" s="68"/>
      <c r="M58" s="408"/>
      <c r="N58" s="10"/>
      <c r="O58" s="269"/>
      <c r="P58" s="269"/>
      <c r="Q58" s="10"/>
    </row>
    <row r="59" spans="1:17">
      <c r="A59" s="10">
        <v>665</v>
      </c>
      <c r="B59" s="7">
        <v>50</v>
      </c>
      <c r="C59" s="7">
        <f t="shared" si="0"/>
        <v>665102</v>
      </c>
      <c r="D59" s="7" t="s">
        <v>791</v>
      </c>
      <c r="E59" s="7">
        <v>102</v>
      </c>
      <c r="F59" s="7" t="s">
        <v>790</v>
      </c>
      <c r="G59" s="269">
        <v>0.43229724902</v>
      </c>
      <c r="H59" s="10">
        <v>2799</v>
      </c>
      <c r="I59" s="10">
        <v>1210</v>
      </c>
      <c r="J59" s="68">
        <f t="shared" si="1"/>
        <v>66.66</v>
      </c>
      <c r="K59" s="68">
        <f t="shared" si="2"/>
        <v>28.82</v>
      </c>
      <c r="L59" s="68"/>
      <c r="M59" s="408"/>
      <c r="N59" s="10"/>
      <c r="O59" s="269"/>
      <c r="P59" s="269"/>
      <c r="Q59" s="10"/>
    </row>
    <row r="60" spans="1:17">
      <c r="A60" s="10">
        <v>665</v>
      </c>
      <c r="B60" s="7">
        <v>51</v>
      </c>
      <c r="C60" s="7">
        <f t="shared" si="0"/>
        <v>665146</v>
      </c>
      <c r="D60" s="7" t="s">
        <v>791</v>
      </c>
      <c r="E60" s="7">
        <v>146</v>
      </c>
      <c r="F60" s="7" t="s">
        <v>843</v>
      </c>
      <c r="G60" s="269">
        <v>0.56770275098</v>
      </c>
      <c r="H60" s="10">
        <v>2799</v>
      </c>
      <c r="I60" s="10">
        <v>1589</v>
      </c>
      <c r="J60" s="68">
        <f t="shared" si="1"/>
        <v>65.67</v>
      </c>
      <c r="K60" s="68">
        <f t="shared" si="2"/>
        <v>37.28</v>
      </c>
      <c r="L60" s="68"/>
      <c r="M60" s="408"/>
      <c r="N60" s="10"/>
      <c r="O60" s="269"/>
      <c r="P60" s="269"/>
      <c r="Q60" s="10"/>
    </row>
    <row r="61" spans="1:17">
      <c r="A61" s="10">
        <v>670</v>
      </c>
      <c r="B61" s="7">
        <v>52</v>
      </c>
      <c r="C61" s="7">
        <f t="shared" si="0"/>
        <v>670068</v>
      </c>
      <c r="D61" s="7" t="s">
        <v>740</v>
      </c>
      <c r="E61" s="7">
        <v>68</v>
      </c>
      <c r="F61" s="7" t="s">
        <v>739</v>
      </c>
      <c r="G61" s="269">
        <v>0.17636363635999999</v>
      </c>
      <c r="H61" s="10">
        <v>550</v>
      </c>
      <c r="I61" s="10">
        <v>97</v>
      </c>
      <c r="J61" s="68">
        <f t="shared" si="1"/>
        <v>78.510000000000005</v>
      </c>
      <c r="K61" s="68">
        <f t="shared" si="2"/>
        <v>13.85</v>
      </c>
      <c r="L61" s="68"/>
      <c r="M61" s="408"/>
      <c r="N61" s="10"/>
      <c r="O61" s="269"/>
      <c r="P61" s="269"/>
      <c r="Q61" s="10"/>
    </row>
    <row r="62" spans="1:17">
      <c r="A62" s="10">
        <v>670</v>
      </c>
      <c r="B62" s="7">
        <v>53</v>
      </c>
      <c r="C62" s="7">
        <f t="shared" si="0"/>
        <v>670074</v>
      </c>
      <c r="D62" s="7" t="s">
        <v>740</v>
      </c>
      <c r="E62" s="7">
        <v>74</v>
      </c>
      <c r="F62" s="7" t="s">
        <v>751</v>
      </c>
      <c r="G62" s="269">
        <v>0.46545454544999998</v>
      </c>
      <c r="H62" s="10">
        <v>550</v>
      </c>
      <c r="I62" s="10">
        <v>256</v>
      </c>
      <c r="J62" s="68">
        <f t="shared" si="1"/>
        <v>82.5</v>
      </c>
      <c r="K62" s="68">
        <f t="shared" si="2"/>
        <v>38.4</v>
      </c>
      <c r="L62" s="68"/>
      <c r="M62" s="408"/>
      <c r="N62" s="10"/>
      <c r="O62" s="269"/>
      <c r="P62" s="269"/>
      <c r="Q62" s="10"/>
    </row>
    <row r="63" spans="1:17">
      <c r="A63" s="10">
        <v>670</v>
      </c>
      <c r="B63" s="7">
        <v>54</v>
      </c>
      <c r="C63" s="7">
        <f t="shared" si="0"/>
        <v>670289</v>
      </c>
      <c r="D63" s="7" t="s">
        <v>740</v>
      </c>
      <c r="E63" s="7">
        <v>289</v>
      </c>
      <c r="F63" s="7" t="s">
        <v>1066</v>
      </c>
      <c r="G63" s="269">
        <v>0.23636363635999999</v>
      </c>
      <c r="H63" s="10">
        <v>550</v>
      </c>
      <c r="I63" s="10">
        <v>130</v>
      </c>
      <c r="J63" s="68">
        <f t="shared" si="1"/>
        <v>75.510000000000005</v>
      </c>
      <c r="K63" s="68">
        <f t="shared" si="2"/>
        <v>17.850000000000001</v>
      </c>
      <c r="L63" s="68"/>
      <c r="M63" s="408"/>
      <c r="N63" s="10"/>
      <c r="O63" s="269"/>
      <c r="P63" s="269"/>
      <c r="Q63" s="10"/>
    </row>
    <row r="64" spans="1:17">
      <c r="A64" s="10">
        <v>670</v>
      </c>
      <c r="B64" s="7">
        <v>55</v>
      </c>
      <c r="C64" s="7">
        <f t="shared" si="0"/>
        <v>670337</v>
      </c>
      <c r="D64" s="7" t="s">
        <v>740</v>
      </c>
      <c r="E64" s="7">
        <v>337</v>
      </c>
      <c r="F64" s="7" t="s">
        <v>1115</v>
      </c>
      <c r="G64" s="269">
        <v>0.12181818182</v>
      </c>
      <c r="H64" s="10">
        <v>550</v>
      </c>
      <c r="I64" s="10">
        <v>67</v>
      </c>
      <c r="J64" s="68">
        <f t="shared" si="1"/>
        <v>82.5</v>
      </c>
      <c r="K64" s="68">
        <f t="shared" si="2"/>
        <v>10.050000000000001</v>
      </c>
      <c r="L64" s="68"/>
      <c r="M64" s="408"/>
      <c r="N64" s="10"/>
      <c r="O64" s="269"/>
      <c r="P64" s="269"/>
      <c r="Q64" s="10"/>
    </row>
    <row r="65" spans="1:17">
      <c r="A65" s="10">
        <v>672</v>
      </c>
      <c r="B65" s="7">
        <v>56</v>
      </c>
      <c r="C65" s="7">
        <f t="shared" si="0"/>
        <v>672033</v>
      </c>
      <c r="D65" s="7" t="s">
        <v>56</v>
      </c>
      <c r="E65" s="7">
        <v>33</v>
      </c>
      <c r="F65" s="7" t="s">
        <v>55</v>
      </c>
      <c r="G65" s="269">
        <v>0.13154960981</v>
      </c>
      <c r="H65" s="10">
        <v>897</v>
      </c>
      <c r="I65" s="10">
        <v>118</v>
      </c>
      <c r="J65" s="68">
        <f t="shared" si="1"/>
        <v>82.5</v>
      </c>
      <c r="K65" s="68">
        <f t="shared" si="2"/>
        <v>10.85</v>
      </c>
      <c r="L65" s="68"/>
      <c r="M65" s="408"/>
      <c r="N65" s="10"/>
      <c r="O65" s="269"/>
      <c r="P65" s="269"/>
      <c r="Q65" s="10"/>
    </row>
    <row r="66" spans="1:17">
      <c r="A66" s="10">
        <v>672</v>
      </c>
      <c r="B66" s="7">
        <v>57</v>
      </c>
      <c r="C66" s="7">
        <f t="shared" si="0"/>
        <v>672059</v>
      </c>
      <c r="D66" s="7" t="s">
        <v>56</v>
      </c>
      <c r="E66" s="7">
        <v>59</v>
      </c>
      <c r="F66" s="7" t="s">
        <v>723</v>
      </c>
      <c r="G66" s="269">
        <v>0.17168338907</v>
      </c>
      <c r="H66" s="10">
        <v>897</v>
      </c>
      <c r="I66" s="10">
        <v>154</v>
      </c>
      <c r="J66" s="68">
        <f t="shared" si="1"/>
        <v>51.16</v>
      </c>
      <c r="K66" s="68">
        <f t="shared" si="2"/>
        <v>8.7799999999999994</v>
      </c>
      <c r="L66" s="68"/>
      <c r="M66" s="408"/>
      <c r="N66" s="10"/>
      <c r="O66" s="269"/>
      <c r="P66" s="269"/>
      <c r="Q66" s="10"/>
    </row>
    <row r="67" spans="1:17">
      <c r="A67" s="10">
        <v>672</v>
      </c>
      <c r="B67" s="7">
        <v>58</v>
      </c>
      <c r="C67" s="7">
        <f t="shared" si="0"/>
        <v>672143</v>
      </c>
      <c r="D67" s="7" t="s">
        <v>56</v>
      </c>
      <c r="E67" s="7">
        <v>143</v>
      </c>
      <c r="F67" s="7" t="s">
        <v>840</v>
      </c>
      <c r="G67" s="269">
        <v>0.29208472686999998</v>
      </c>
      <c r="H67" s="10">
        <v>897</v>
      </c>
      <c r="I67" s="10">
        <v>262</v>
      </c>
      <c r="J67" s="68">
        <f t="shared" si="1"/>
        <v>52.26</v>
      </c>
      <c r="K67" s="68">
        <f t="shared" si="2"/>
        <v>15.26</v>
      </c>
      <c r="L67" s="68"/>
      <c r="M67" s="408"/>
      <c r="N67" s="10"/>
      <c r="O67" s="269"/>
      <c r="P67" s="269"/>
      <c r="Q67" s="10"/>
    </row>
    <row r="68" spans="1:17">
      <c r="A68" s="10">
        <v>672</v>
      </c>
      <c r="B68" s="7">
        <v>59</v>
      </c>
      <c r="C68" s="7">
        <f t="shared" si="0"/>
        <v>672183</v>
      </c>
      <c r="D68" s="7" t="s">
        <v>56</v>
      </c>
      <c r="E68" s="7">
        <v>183</v>
      </c>
      <c r="F68" s="7" t="s">
        <v>922</v>
      </c>
      <c r="G68" s="269">
        <v>4.1248606469999997E-2</v>
      </c>
      <c r="H68" s="10">
        <v>897</v>
      </c>
      <c r="I68" s="10">
        <v>37</v>
      </c>
      <c r="J68" s="68">
        <f t="shared" si="1"/>
        <v>82.5</v>
      </c>
      <c r="K68" s="68">
        <f t="shared" si="2"/>
        <v>3.4</v>
      </c>
      <c r="L68" s="68"/>
      <c r="M68" s="408"/>
      <c r="N68" s="10"/>
      <c r="O68" s="269"/>
      <c r="P68" s="269"/>
      <c r="Q68" s="10"/>
    </row>
    <row r="69" spans="1:17">
      <c r="A69" s="10">
        <v>672</v>
      </c>
      <c r="B69" s="7">
        <v>60</v>
      </c>
      <c r="C69" s="7">
        <f t="shared" si="0"/>
        <v>672194</v>
      </c>
      <c r="D69" s="7" t="s">
        <v>56</v>
      </c>
      <c r="E69" s="7">
        <v>194</v>
      </c>
      <c r="F69" s="7" t="s">
        <v>933</v>
      </c>
      <c r="G69" s="269">
        <v>7.692307692E-2</v>
      </c>
      <c r="H69" s="10">
        <v>897</v>
      </c>
      <c r="I69" s="10">
        <v>69</v>
      </c>
      <c r="J69" s="68">
        <f t="shared" si="1"/>
        <v>82.5</v>
      </c>
      <c r="K69" s="68">
        <f t="shared" si="2"/>
        <v>6.35</v>
      </c>
      <c r="L69" s="68"/>
      <c r="M69" s="408"/>
      <c r="N69" s="10"/>
      <c r="O69" s="269"/>
      <c r="P69" s="269"/>
      <c r="Q69" s="10"/>
    </row>
    <row r="70" spans="1:17">
      <c r="A70" s="10">
        <v>672</v>
      </c>
      <c r="B70" s="7">
        <v>61</v>
      </c>
      <c r="C70" s="7">
        <f t="shared" si="0"/>
        <v>672256</v>
      </c>
      <c r="D70" s="7" t="s">
        <v>56</v>
      </c>
      <c r="E70" s="7">
        <v>256</v>
      </c>
      <c r="F70" s="7" t="s">
        <v>1026</v>
      </c>
      <c r="G70" s="269">
        <v>0.28651059086000003</v>
      </c>
      <c r="H70" s="10">
        <v>897</v>
      </c>
      <c r="I70" s="10">
        <v>257</v>
      </c>
      <c r="J70" s="68">
        <f t="shared" si="1"/>
        <v>38.380000000000003</v>
      </c>
      <c r="K70" s="68">
        <f t="shared" si="2"/>
        <v>11</v>
      </c>
      <c r="L70" s="68"/>
      <c r="M70" s="408"/>
      <c r="N70" s="10"/>
      <c r="O70" s="269"/>
      <c r="P70" s="269"/>
      <c r="Q70" s="10"/>
    </row>
    <row r="71" spans="1:17">
      <c r="A71" s="10">
        <v>673</v>
      </c>
      <c r="B71" s="7">
        <v>62</v>
      </c>
      <c r="C71" s="7">
        <f t="shared" si="0"/>
        <v>673081</v>
      </c>
      <c r="D71" s="7" t="s">
        <v>765</v>
      </c>
      <c r="E71" s="7">
        <v>81</v>
      </c>
      <c r="F71" s="7" t="s">
        <v>764</v>
      </c>
      <c r="G71" s="269">
        <v>0.22912464703999999</v>
      </c>
      <c r="H71" s="10">
        <v>2479</v>
      </c>
      <c r="I71" s="10">
        <v>568</v>
      </c>
      <c r="J71" s="68">
        <f t="shared" si="1"/>
        <v>82.07</v>
      </c>
      <c r="K71" s="68">
        <f t="shared" si="2"/>
        <v>18.8</v>
      </c>
      <c r="L71" s="68"/>
      <c r="M71" s="408"/>
      <c r="N71" s="10"/>
      <c r="O71" s="269"/>
      <c r="P71" s="269"/>
      <c r="Q71" s="10"/>
    </row>
    <row r="72" spans="1:17">
      <c r="A72" s="10">
        <v>673</v>
      </c>
      <c r="B72" s="7">
        <v>63</v>
      </c>
      <c r="C72" s="7">
        <f t="shared" si="0"/>
        <v>673115</v>
      </c>
      <c r="D72" s="7" t="s">
        <v>765</v>
      </c>
      <c r="E72" s="7">
        <v>115</v>
      </c>
      <c r="F72" s="7" t="s">
        <v>806</v>
      </c>
      <c r="G72" s="269">
        <v>0.77087535295999998</v>
      </c>
      <c r="H72" s="10">
        <v>2479</v>
      </c>
      <c r="I72" s="10">
        <v>1911</v>
      </c>
      <c r="J72" s="68">
        <f t="shared" si="1"/>
        <v>82.5</v>
      </c>
      <c r="K72" s="68">
        <f t="shared" si="2"/>
        <v>63.6</v>
      </c>
      <c r="L72" s="68"/>
      <c r="M72" s="408"/>
      <c r="N72" s="10"/>
      <c r="O72" s="269"/>
      <c r="P72" s="269"/>
      <c r="Q72" s="10"/>
    </row>
    <row r="73" spans="1:17">
      <c r="A73" s="10">
        <v>674</v>
      </c>
      <c r="B73" s="7">
        <v>64</v>
      </c>
      <c r="C73" s="7">
        <f t="shared" ref="C73:C136" si="3">A73*1000+E73</f>
        <v>674106</v>
      </c>
      <c r="D73" s="7" t="s">
        <v>796</v>
      </c>
      <c r="E73" s="7">
        <v>106</v>
      </c>
      <c r="F73" s="7" t="s">
        <v>795</v>
      </c>
      <c r="G73" s="269">
        <v>0.14155251142</v>
      </c>
      <c r="H73" s="10">
        <v>1095</v>
      </c>
      <c r="I73" s="10">
        <v>155</v>
      </c>
      <c r="J73" s="68">
        <f t="shared" ref="J73:J136" si="4">ROUND(VLOOKUP(E73,town351,11),2)</f>
        <v>60.25</v>
      </c>
      <c r="K73" s="68">
        <f t="shared" si="2"/>
        <v>8.5299999999999994</v>
      </c>
      <c r="L73" s="68"/>
      <c r="M73" s="408"/>
      <c r="N73" s="10"/>
      <c r="O73" s="269"/>
      <c r="P73" s="269"/>
      <c r="Q73" s="10"/>
    </row>
    <row r="74" spans="1:17">
      <c r="A74" s="10">
        <v>674</v>
      </c>
      <c r="B74" s="7">
        <v>65</v>
      </c>
      <c r="C74" s="7">
        <f t="shared" si="3"/>
        <v>674192</v>
      </c>
      <c r="D74" s="7" t="s">
        <v>796</v>
      </c>
      <c r="E74" s="7">
        <v>192</v>
      </c>
      <c r="F74" s="7" t="s">
        <v>931</v>
      </c>
      <c r="G74" s="269">
        <v>0.85844748857999997</v>
      </c>
      <c r="H74" s="10">
        <v>1095</v>
      </c>
      <c r="I74" s="10">
        <v>940</v>
      </c>
      <c r="J74" s="68">
        <f t="shared" si="4"/>
        <v>50.29</v>
      </c>
      <c r="K74" s="68">
        <f t="shared" ref="K74:K137" si="5">ROUND(G74*J74,2)</f>
        <v>43.17</v>
      </c>
      <c r="L74" s="68"/>
      <c r="M74" s="408"/>
      <c r="N74" s="10"/>
      <c r="O74" s="269"/>
      <c r="P74" s="269"/>
      <c r="Q74" s="10"/>
    </row>
    <row r="75" spans="1:17">
      <c r="A75" s="10">
        <v>675</v>
      </c>
      <c r="B75" s="7">
        <v>66</v>
      </c>
      <c r="C75" s="7">
        <f t="shared" si="3"/>
        <v>675119</v>
      </c>
      <c r="D75" s="7" t="s">
        <v>813</v>
      </c>
      <c r="E75" s="7">
        <v>119</v>
      </c>
      <c r="F75" s="7" t="s">
        <v>812</v>
      </c>
      <c r="G75" s="269">
        <v>0.64523536164999995</v>
      </c>
      <c r="H75" s="10">
        <v>1742</v>
      </c>
      <c r="I75" s="10">
        <v>1124</v>
      </c>
      <c r="J75" s="68">
        <f t="shared" si="4"/>
        <v>82.5</v>
      </c>
      <c r="K75" s="68">
        <f t="shared" si="5"/>
        <v>53.23</v>
      </c>
      <c r="L75" s="68"/>
      <c r="M75" s="408"/>
      <c r="N75" s="10"/>
      <c r="O75" s="269"/>
      <c r="P75" s="269"/>
      <c r="Q75" s="10"/>
    </row>
    <row r="76" spans="1:17">
      <c r="A76" s="10">
        <v>675</v>
      </c>
      <c r="B76" s="7">
        <v>67</v>
      </c>
      <c r="C76" s="7">
        <f t="shared" si="3"/>
        <v>675320</v>
      </c>
      <c r="D76" s="7" t="s">
        <v>813</v>
      </c>
      <c r="E76" s="7">
        <v>320</v>
      </c>
      <c r="F76" s="7" t="s">
        <v>1098</v>
      </c>
      <c r="G76" s="269">
        <v>0.35476463834999999</v>
      </c>
      <c r="H76" s="10">
        <v>1742</v>
      </c>
      <c r="I76" s="10">
        <v>618</v>
      </c>
      <c r="J76" s="68">
        <f t="shared" si="4"/>
        <v>82.5</v>
      </c>
      <c r="K76" s="68">
        <f t="shared" si="5"/>
        <v>29.27</v>
      </c>
      <c r="L76" s="68"/>
      <c r="M76" s="408"/>
      <c r="N76" s="10"/>
      <c r="O76" s="269"/>
      <c r="P76" s="269"/>
      <c r="Q76" s="10"/>
    </row>
    <row r="77" spans="1:17">
      <c r="A77" s="10">
        <v>680</v>
      </c>
      <c r="B77" s="7">
        <v>68</v>
      </c>
      <c r="C77" s="7">
        <f t="shared" si="3"/>
        <v>680120</v>
      </c>
      <c r="D77" s="7" t="s">
        <v>815</v>
      </c>
      <c r="E77" s="7">
        <v>120</v>
      </c>
      <c r="F77" s="7" t="s">
        <v>814</v>
      </c>
      <c r="G77" s="269">
        <v>0.23541114058000001</v>
      </c>
      <c r="H77" s="10">
        <v>3016</v>
      </c>
      <c r="I77" s="10">
        <v>710</v>
      </c>
      <c r="J77" s="68">
        <f t="shared" si="4"/>
        <v>75.42</v>
      </c>
      <c r="K77" s="68">
        <f t="shared" si="5"/>
        <v>17.75</v>
      </c>
      <c r="L77" s="68"/>
      <c r="M77" s="408"/>
      <c r="N77" s="10"/>
      <c r="O77" s="269"/>
      <c r="P77" s="269"/>
      <c r="Q77" s="10"/>
    </row>
    <row r="78" spans="1:17">
      <c r="A78" s="10">
        <v>680</v>
      </c>
      <c r="B78" s="7">
        <v>69</v>
      </c>
      <c r="C78" s="7">
        <f t="shared" si="3"/>
        <v>680339</v>
      </c>
      <c r="D78" s="7" t="s">
        <v>815</v>
      </c>
      <c r="E78" s="7">
        <v>339</v>
      </c>
      <c r="F78" s="7" t="s">
        <v>1117</v>
      </c>
      <c r="G78" s="269">
        <v>0.76458885941999999</v>
      </c>
      <c r="H78" s="10">
        <v>3016</v>
      </c>
      <c r="I78" s="10">
        <v>2306</v>
      </c>
      <c r="J78" s="68">
        <f t="shared" si="4"/>
        <v>68.12</v>
      </c>
      <c r="K78" s="68">
        <f t="shared" si="5"/>
        <v>52.08</v>
      </c>
      <c r="L78" s="68"/>
      <c r="M78" s="408"/>
      <c r="N78" s="10"/>
      <c r="O78" s="269"/>
      <c r="P78" s="269"/>
      <c r="Q78" s="10"/>
    </row>
    <row r="79" spans="1:17">
      <c r="A79" s="10">
        <v>683</v>
      </c>
      <c r="B79" s="7">
        <v>70</v>
      </c>
      <c r="C79" s="7">
        <f t="shared" si="3"/>
        <v>683060</v>
      </c>
      <c r="D79" s="7" t="s">
        <v>726</v>
      </c>
      <c r="E79" s="7">
        <v>60</v>
      </c>
      <c r="F79" s="7" t="s">
        <v>724</v>
      </c>
      <c r="G79" s="269">
        <v>8.8319088320000003E-2</v>
      </c>
      <c r="H79" s="10">
        <v>702</v>
      </c>
      <c r="I79" s="10">
        <v>62</v>
      </c>
      <c r="J79" s="68">
        <f t="shared" si="4"/>
        <v>60.17</v>
      </c>
      <c r="K79" s="68">
        <f t="shared" si="5"/>
        <v>5.31</v>
      </c>
      <c r="L79" s="68"/>
      <c r="M79" s="408"/>
      <c r="N79" s="10"/>
      <c r="O79" s="269"/>
      <c r="P79" s="269"/>
      <c r="Q79" s="10"/>
    </row>
    <row r="80" spans="1:17">
      <c r="A80" s="10">
        <v>683</v>
      </c>
      <c r="B80" s="7">
        <v>71</v>
      </c>
      <c r="C80" s="7">
        <f t="shared" si="3"/>
        <v>683108</v>
      </c>
      <c r="D80" s="7" t="s">
        <v>726</v>
      </c>
      <c r="E80" s="7">
        <v>108</v>
      </c>
      <c r="F80" s="7" t="s">
        <v>798</v>
      </c>
      <c r="G80" s="269">
        <v>5.6980056979999999E-2</v>
      </c>
      <c r="H80" s="10">
        <v>702</v>
      </c>
      <c r="I80" s="10">
        <v>40</v>
      </c>
      <c r="J80" s="68">
        <f t="shared" si="4"/>
        <v>66.52</v>
      </c>
      <c r="K80" s="68">
        <f t="shared" si="5"/>
        <v>3.79</v>
      </c>
      <c r="L80" s="68"/>
      <c r="M80" s="408"/>
      <c r="N80" s="10"/>
      <c r="O80" s="269"/>
      <c r="P80" s="269"/>
      <c r="Q80" s="10"/>
    </row>
    <row r="81" spans="1:17">
      <c r="A81" s="10">
        <v>683</v>
      </c>
      <c r="B81" s="7">
        <v>72</v>
      </c>
      <c r="C81" s="7">
        <f t="shared" si="3"/>
        <v>683275</v>
      </c>
      <c r="D81" s="7" t="s">
        <v>726</v>
      </c>
      <c r="E81" s="7">
        <v>275</v>
      </c>
      <c r="F81" s="7" t="s">
        <v>1045</v>
      </c>
      <c r="G81" s="269">
        <v>0.56837606837999999</v>
      </c>
      <c r="H81" s="10">
        <v>702</v>
      </c>
      <c r="I81" s="10">
        <v>399</v>
      </c>
      <c r="J81" s="68">
        <f t="shared" si="4"/>
        <v>64.239999999999995</v>
      </c>
      <c r="K81" s="68">
        <f t="shared" si="5"/>
        <v>36.51</v>
      </c>
      <c r="L81" s="68"/>
      <c r="M81" s="408"/>
      <c r="N81" s="10"/>
      <c r="O81" s="269"/>
      <c r="P81" s="269"/>
      <c r="Q81" s="10"/>
    </row>
    <row r="82" spans="1:17">
      <c r="A82" s="10">
        <v>683</v>
      </c>
      <c r="B82" s="7">
        <v>73</v>
      </c>
      <c r="C82" s="7">
        <f t="shared" si="3"/>
        <v>683327</v>
      </c>
      <c r="D82" s="7" t="s">
        <v>726</v>
      </c>
      <c r="E82" s="7">
        <v>327</v>
      </c>
      <c r="F82" s="7" t="s">
        <v>1105</v>
      </c>
      <c r="G82" s="269">
        <v>0.12962962962999999</v>
      </c>
      <c r="H82" s="10">
        <v>702</v>
      </c>
      <c r="I82" s="10">
        <v>91</v>
      </c>
      <c r="J82" s="68">
        <f t="shared" si="4"/>
        <v>70.12</v>
      </c>
      <c r="K82" s="68">
        <f t="shared" si="5"/>
        <v>9.09</v>
      </c>
      <c r="L82" s="68"/>
      <c r="M82" s="408"/>
      <c r="N82" s="10"/>
      <c r="O82" s="269"/>
      <c r="P82" s="269"/>
      <c r="Q82" s="10"/>
    </row>
    <row r="83" spans="1:17">
      <c r="A83" s="10">
        <v>683</v>
      </c>
      <c r="B83" s="7">
        <v>74</v>
      </c>
      <c r="C83" s="7">
        <f t="shared" si="3"/>
        <v>683340</v>
      </c>
      <c r="D83" s="7" t="s">
        <v>726</v>
      </c>
      <c r="E83" s="7">
        <v>340</v>
      </c>
      <c r="F83" s="7" t="s">
        <v>1118</v>
      </c>
      <c r="G83" s="269">
        <v>0.1566951567</v>
      </c>
      <c r="H83" s="10">
        <v>702</v>
      </c>
      <c r="I83" s="10">
        <v>110</v>
      </c>
      <c r="J83" s="68">
        <f t="shared" si="4"/>
        <v>73.53</v>
      </c>
      <c r="K83" s="68">
        <f t="shared" si="5"/>
        <v>11.52</v>
      </c>
      <c r="L83" s="68"/>
      <c r="M83" s="408"/>
      <c r="N83" s="10"/>
      <c r="O83" s="269"/>
      <c r="P83" s="269"/>
      <c r="Q83" s="10"/>
    </row>
    <row r="84" spans="1:17">
      <c r="A84" s="10">
        <v>685</v>
      </c>
      <c r="B84" s="7">
        <v>75</v>
      </c>
      <c r="C84" s="7">
        <f t="shared" si="3"/>
        <v>685053</v>
      </c>
      <c r="D84" s="7" t="s">
        <v>713</v>
      </c>
      <c r="E84" s="7">
        <v>53</v>
      </c>
      <c r="F84" s="7" t="s">
        <v>712</v>
      </c>
      <c r="G84" s="269">
        <v>0.80232558139999999</v>
      </c>
      <c r="H84" s="10">
        <v>86</v>
      </c>
      <c r="I84" s="10">
        <v>69</v>
      </c>
      <c r="J84" s="68">
        <f t="shared" si="4"/>
        <v>50.24</v>
      </c>
      <c r="K84" s="68">
        <f t="shared" si="5"/>
        <v>40.31</v>
      </c>
      <c r="L84" s="68"/>
      <c r="M84" s="408"/>
      <c r="N84" s="10"/>
      <c r="O84" s="269"/>
      <c r="P84" s="269"/>
      <c r="Q84" s="10"/>
    </row>
    <row r="85" spans="1:17">
      <c r="A85" s="10">
        <v>685</v>
      </c>
      <c r="B85" s="7">
        <v>76</v>
      </c>
      <c r="C85" s="7">
        <f t="shared" si="3"/>
        <v>685129</v>
      </c>
      <c r="D85" s="7" t="s">
        <v>713</v>
      </c>
      <c r="E85" s="7">
        <v>129</v>
      </c>
      <c r="F85" s="7" t="s">
        <v>825</v>
      </c>
      <c r="G85" s="269">
        <v>0.19767441860000001</v>
      </c>
      <c r="H85" s="10">
        <v>86</v>
      </c>
      <c r="I85" s="10">
        <v>17</v>
      </c>
      <c r="J85" s="68">
        <f t="shared" si="4"/>
        <v>76.569999999999993</v>
      </c>
      <c r="K85" s="68">
        <f t="shared" si="5"/>
        <v>15.14</v>
      </c>
      <c r="L85" s="68"/>
      <c r="M85" s="408"/>
      <c r="N85" s="10"/>
      <c r="O85" s="269"/>
      <c r="P85" s="269"/>
      <c r="Q85" s="10"/>
    </row>
    <row r="86" spans="1:17">
      <c r="A86" s="10">
        <v>690</v>
      </c>
      <c r="B86" s="7">
        <v>77</v>
      </c>
      <c r="C86" s="7">
        <f t="shared" si="3"/>
        <v>690208</v>
      </c>
      <c r="D86" s="7" t="s">
        <v>952</v>
      </c>
      <c r="E86" s="7">
        <v>208</v>
      </c>
      <c r="F86" s="7" t="s">
        <v>951</v>
      </c>
      <c r="G86" s="269">
        <v>0.34283088234999998</v>
      </c>
      <c r="H86" s="10">
        <v>2176</v>
      </c>
      <c r="I86" s="10">
        <v>746</v>
      </c>
      <c r="J86" s="68">
        <f t="shared" si="4"/>
        <v>82.5</v>
      </c>
      <c r="K86" s="68">
        <f t="shared" si="5"/>
        <v>28.28</v>
      </c>
      <c r="L86" s="68"/>
      <c r="M86" s="408"/>
      <c r="N86" s="10"/>
      <c r="O86" s="269"/>
      <c r="P86" s="269"/>
      <c r="Q86" s="10"/>
    </row>
    <row r="87" spans="1:17">
      <c r="A87" s="10">
        <v>690</v>
      </c>
      <c r="B87" s="7">
        <v>78</v>
      </c>
      <c r="C87" s="7">
        <f t="shared" si="3"/>
        <v>690238</v>
      </c>
      <c r="D87" s="7" t="s">
        <v>952</v>
      </c>
      <c r="E87" s="7">
        <v>238</v>
      </c>
      <c r="F87" s="7" t="s">
        <v>1008</v>
      </c>
      <c r="G87" s="269">
        <v>0.26102941176</v>
      </c>
      <c r="H87" s="10">
        <v>2176</v>
      </c>
      <c r="I87" s="10">
        <v>568</v>
      </c>
      <c r="J87" s="68">
        <f t="shared" si="4"/>
        <v>70.89</v>
      </c>
      <c r="K87" s="68">
        <f t="shared" si="5"/>
        <v>18.5</v>
      </c>
      <c r="L87" s="68"/>
      <c r="M87" s="408"/>
      <c r="N87" s="10"/>
      <c r="O87" s="269"/>
      <c r="P87" s="269"/>
      <c r="Q87" s="10"/>
    </row>
    <row r="88" spans="1:17">
      <c r="A88" s="10">
        <v>690</v>
      </c>
      <c r="B88" s="7">
        <v>79</v>
      </c>
      <c r="C88" s="7">
        <f t="shared" si="3"/>
        <v>690350</v>
      </c>
      <c r="D88" s="7" t="s">
        <v>952</v>
      </c>
      <c r="E88" s="7">
        <v>350</v>
      </c>
      <c r="F88" s="7" t="s">
        <v>1128</v>
      </c>
      <c r="G88" s="269">
        <v>0.39613970588000003</v>
      </c>
      <c r="H88" s="10">
        <v>2176</v>
      </c>
      <c r="I88" s="10">
        <v>862</v>
      </c>
      <c r="J88" s="68">
        <f t="shared" si="4"/>
        <v>82.5</v>
      </c>
      <c r="K88" s="68">
        <f t="shared" si="5"/>
        <v>32.68</v>
      </c>
      <c r="L88" s="68"/>
      <c r="M88" s="408"/>
      <c r="N88" s="10"/>
      <c r="O88" s="269"/>
      <c r="P88" s="269"/>
      <c r="Q88" s="10"/>
    </row>
    <row r="89" spans="1:17">
      <c r="A89" s="10">
        <v>695</v>
      </c>
      <c r="B89" s="7">
        <v>80</v>
      </c>
      <c r="C89" s="7">
        <f t="shared" si="3"/>
        <v>695157</v>
      </c>
      <c r="D89" s="7" t="s">
        <v>856</v>
      </c>
      <c r="E89" s="7">
        <v>157</v>
      </c>
      <c r="F89" s="7" t="s">
        <v>855</v>
      </c>
      <c r="G89" s="269">
        <v>0.12952005259999999</v>
      </c>
      <c r="H89" s="10">
        <v>1521</v>
      </c>
      <c r="I89" s="10">
        <v>197</v>
      </c>
      <c r="J89" s="68">
        <f t="shared" si="4"/>
        <v>82.5</v>
      </c>
      <c r="K89" s="68">
        <f t="shared" si="5"/>
        <v>10.69</v>
      </c>
      <c r="L89" s="68"/>
      <c r="M89" s="408"/>
      <c r="N89" s="10"/>
      <c r="O89" s="269"/>
      <c r="P89" s="269"/>
      <c r="Q89" s="10"/>
    </row>
    <row r="90" spans="1:17">
      <c r="A90" s="10">
        <v>695</v>
      </c>
      <c r="B90" s="7">
        <v>81</v>
      </c>
      <c r="C90" s="7">
        <f t="shared" si="3"/>
        <v>695288</v>
      </c>
      <c r="D90" s="7" t="s">
        <v>856</v>
      </c>
      <c r="E90" s="7">
        <v>288</v>
      </c>
      <c r="F90" s="7" t="s">
        <v>1065</v>
      </c>
      <c r="G90" s="269">
        <v>0.87047994740000001</v>
      </c>
      <c r="H90" s="10">
        <v>1521</v>
      </c>
      <c r="I90" s="10">
        <v>1324</v>
      </c>
      <c r="J90" s="68">
        <f t="shared" si="4"/>
        <v>82.5</v>
      </c>
      <c r="K90" s="68">
        <f t="shared" si="5"/>
        <v>71.81</v>
      </c>
      <c r="L90" s="68"/>
      <c r="M90" s="408"/>
      <c r="N90" s="10"/>
      <c r="O90" s="269"/>
      <c r="P90" s="269"/>
      <c r="Q90" s="10"/>
    </row>
    <row r="91" spans="1:17">
      <c r="A91" s="10">
        <v>698</v>
      </c>
      <c r="B91" s="7">
        <v>82</v>
      </c>
      <c r="C91" s="7">
        <f t="shared" si="3"/>
        <v>698092</v>
      </c>
      <c r="D91" s="7" t="s">
        <v>1134</v>
      </c>
      <c r="E91" s="7">
        <v>92</v>
      </c>
      <c r="F91" s="7" t="s">
        <v>68</v>
      </c>
      <c r="G91" s="269">
        <v>0.37315634217999999</v>
      </c>
      <c r="H91" s="10">
        <v>1356</v>
      </c>
      <c r="I91" s="10">
        <v>506</v>
      </c>
      <c r="J91" s="68">
        <f t="shared" si="4"/>
        <v>82.5</v>
      </c>
      <c r="K91" s="68">
        <f t="shared" si="5"/>
        <v>30.79</v>
      </c>
      <c r="L91" s="68"/>
      <c r="M91" s="408"/>
      <c r="N91" s="10"/>
      <c r="O91" s="269"/>
      <c r="P91" s="269"/>
      <c r="Q91" s="10"/>
    </row>
    <row r="92" spans="1:17">
      <c r="A92" s="10">
        <v>698</v>
      </c>
      <c r="B92" s="7">
        <v>83</v>
      </c>
      <c r="C92" s="7">
        <f t="shared" si="3"/>
        <v>698166</v>
      </c>
      <c r="D92" s="7" t="s">
        <v>1134</v>
      </c>
      <c r="E92" s="7">
        <v>166</v>
      </c>
      <c r="F92" s="7" t="s">
        <v>69</v>
      </c>
      <c r="G92" s="269">
        <v>0.62684365781999996</v>
      </c>
      <c r="H92" s="10">
        <v>1356</v>
      </c>
      <c r="I92" s="10">
        <v>850</v>
      </c>
      <c r="J92" s="68">
        <f t="shared" si="4"/>
        <v>82.5</v>
      </c>
      <c r="K92" s="68">
        <f t="shared" si="5"/>
        <v>51.71</v>
      </c>
      <c r="L92" s="68"/>
      <c r="M92" s="408"/>
      <c r="N92" s="10"/>
      <c r="O92" s="269"/>
      <c r="P92" s="269"/>
      <c r="Q92" s="10"/>
    </row>
    <row r="93" spans="1:17">
      <c r="A93" s="10">
        <v>700</v>
      </c>
      <c r="B93" s="7">
        <v>84</v>
      </c>
      <c r="C93" s="7">
        <f t="shared" si="3"/>
        <v>700062</v>
      </c>
      <c r="D93" s="7" t="s">
        <v>732</v>
      </c>
      <c r="E93" s="7">
        <v>62</v>
      </c>
      <c r="F93" s="7" t="s">
        <v>728</v>
      </c>
      <c r="G93" s="269">
        <v>4.8295454549999998E-2</v>
      </c>
      <c r="H93" s="10">
        <v>704</v>
      </c>
      <c r="I93" s="10">
        <v>34</v>
      </c>
      <c r="J93" s="68">
        <f t="shared" si="4"/>
        <v>82.5</v>
      </c>
      <c r="K93" s="68">
        <f t="shared" si="5"/>
        <v>3.98</v>
      </c>
      <c r="L93" s="68"/>
      <c r="M93" s="408"/>
      <c r="N93" s="10"/>
      <c r="O93" s="269"/>
      <c r="P93" s="269"/>
      <c r="Q93" s="10"/>
    </row>
    <row r="94" spans="1:17">
      <c r="A94" s="10">
        <v>700</v>
      </c>
      <c r="B94" s="7">
        <v>85</v>
      </c>
      <c r="C94" s="7">
        <f t="shared" si="3"/>
        <v>700089</v>
      </c>
      <c r="D94" s="7" t="s">
        <v>732</v>
      </c>
      <c r="E94" s="7">
        <v>89</v>
      </c>
      <c r="F94" s="7" t="s">
        <v>774</v>
      </c>
      <c r="G94" s="269">
        <v>0.24857954544999999</v>
      </c>
      <c r="H94" s="10">
        <v>704</v>
      </c>
      <c r="I94" s="10">
        <v>175</v>
      </c>
      <c r="J94" s="68">
        <f t="shared" si="4"/>
        <v>82.5</v>
      </c>
      <c r="K94" s="68">
        <f t="shared" si="5"/>
        <v>20.51</v>
      </c>
      <c r="L94" s="68"/>
      <c r="M94" s="408"/>
      <c r="N94" s="10"/>
      <c r="O94" s="269"/>
      <c r="P94" s="269"/>
      <c r="Q94" s="10"/>
    </row>
    <row r="95" spans="1:17">
      <c r="A95" s="10">
        <v>700</v>
      </c>
      <c r="B95" s="7">
        <v>86</v>
      </c>
      <c r="C95" s="7">
        <f t="shared" si="3"/>
        <v>700104</v>
      </c>
      <c r="D95" s="7" t="s">
        <v>732</v>
      </c>
      <c r="E95" s="7">
        <v>104</v>
      </c>
      <c r="F95" s="7" t="s">
        <v>793</v>
      </c>
      <c r="G95" s="269">
        <v>1.846590909E-2</v>
      </c>
      <c r="H95" s="10">
        <v>704</v>
      </c>
      <c r="I95" s="10">
        <v>13</v>
      </c>
      <c r="J95" s="68">
        <f t="shared" si="4"/>
        <v>82.5</v>
      </c>
      <c r="K95" s="68">
        <f t="shared" si="5"/>
        <v>1.52</v>
      </c>
      <c r="L95" s="68"/>
      <c r="M95" s="408"/>
      <c r="N95" s="10"/>
      <c r="O95" s="269"/>
      <c r="P95" s="269"/>
      <c r="Q95" s="10"/>
    </row>
    <row r="96" spans="1:17">
      <c r="A96" s="10">
        <v>700</v>
      </c>
      <c r="B96" s="7">
        <v>87</v>
      </c>
      <c r="C96" s="7">
        <f t="shared" si="3"/>
        <v>700221</v>
      </c>
      <c r="D96" s="7" t="s">
        <v>732</v>
      </c>
      <c r="E96" s="7">
        <v>221</v>
      </c>
      <c r="F96" s="7" t="s">
        <v>969</v>
      </c>
      <c r="G96" s="269">
        <v>0.26420454544999999</v>
      </c>
      <c r="H96" s="10">
        <v>704</v>
      </c>
      <c r="I96" s="10">
        <v>186</v>
      </c>
      <c r="J96" s="68">
        <f t="shared" si="4"/>
        <v>82.5</v>
      </c>
      <c r="K96" s="68">
        <f t="shared" si="5"/>
        <v>21.8</v>
      </c>
      <c r="L96" s="68"/>
      <c r="M96" s="408"/>
      <c r="N96" s="10"/>
      <c r="O96" s="269"/>
      <c r="P96" s="269"/>
      <c r="Q96" s="10"/>
    </row>
    <row r="97" spans="1:17">
      <c r="A97" s="10">
        <v>700</v>
      </c>
      <c r="B97" s="7">
        <v>88</v>
      </c>
      <c r="C97" s="7">
        <f t="shared" si="3"/>
        <v>700296</v>
      </c>
      <c r="D97" s="7" t="s">
        <v>732</v>
      </c>
      <c r="E97" s="7">
        <v>296</v>
      </c>
      <c r="F97" s="7" t="s">
        <v>1073</v>
      </c>
      <c r="G97" s="269">
        <v>0.25426136364000002</v>
      </c>
      <c r="H97" s="10">
        <v>704</v>
      </c>
      <c r="I97" s="10">
        <v>179</v>
      </c>
      <c r="J97" s="68">
        <f t="shared" si="4"/>
        <v>82.5</v>
      </c>
      <c r="K97" s="68">
        <f t="shared" si="5"/>
        <v>20.98</v>
      </c>
      <c r="L97" s="68"/>
      <c r="M97" s="408"/>
      <c r="N97" s="10"/>
      <c r="O97" s="269"/>
      <c r="P97" s="269"/>
      <c r="Q97" s="10"/>
    </row>
    <row r="98" spans="1:17">
      <c r="A98" s="10">
        <v>700</v>
      </c>
      <c r="B98" s="7">
        <v>89</v>
      </c>
      <c r="C98" s="7">
        <f t="shared" si="3"/>
        <v>700334</v>
      </c>
      <c r="D98" s="7" t="s">
        <v>732</v>
      </c>
      <c r="E98" s="7">
        <v>334</v>
      </c>
      <c r="F98" s="7" t="s">
        <v>1112</v>
      </c>
      <c r="G98" s="269">
        <v>0.16619318182000001</v>
      </c>
      <c r="H98" s="10">
        <v>704</v>
      </c>
      <c r="I98" s="10">
        <v>117</v>
      </c>
      <c r="J98" s="68">
        <f t="shared" si="4"/>
        <v>82.5</v>
      </c>
      <c r="K98" s="68">
        <f t="shared" si="5"/>
        <v>13.71</v>
      </c>
      <c r="L98" s="68"/>
      <c r="M98" s="408"/>
      <c r="N98" s="10"/>
      <c r="O98" s="269"/>
      <c r="P98" s="269"/>
      <c r="Q98" s="10"/>
    </row>
    <row r="99" spans="1:17">
      <c r="A99" s="10">
        <v>705</v>
      </c>
      <c r="B99" s="7">
        <v>90</v>
      </c>
      <c r="C99" s="7">
        <f t="shared" si="3"/>
        <v>705038</v>
      </c>
      <c r="D99" s="7" t="s">
        <v>692</v>
      </c>
      <c r="E99" s="7">
        <v>38</v>
      </c>
      <c r="F99" s="7" t="s">
        <v>691</v>
      </c>
      <c r="G99" s="269">
        <v>0.37852206273</v>
      </c>
      <c r="H99" s="10">
        <v>1881</v>
      </c>
      <c r="I99" s="10">
        <v>712</v>
      </c>
      <c r="J99" s="68">
        <f t="shared" si="4"/>
        <v>82.5</v>
      </c>
      <c r="K99" s="68">
        <f t="shared" si="5"/>
        <v>31.23</v>
      </c>
      <c r="L99" s="68"/>
      <c r="M99" s="408"/>
      <c r="N99" s="10"/>
      <c r="O99" s="269"/>
      <c r="P99" s="269"/>
      <c r="Q99" s="10"/>
    </row>
    <row r="100" spans="1:17">
      <c r="A100" s="10">
        <v>705</v>
      </c>
      <c r="B100" s="7">
        <v>91</v>
      </c>
      <c r="C100" s="7">
        <f t="shared" si="3"/>
        <v>705184</v>
      </c>
      <c r="D100" s="7" t="s">
        <v>692</v>
      </c>
      <c r="E100" s="7">
        <v>184</v>
      </c>
      <c r="F100" s="7" t="s">
        <v>923</v>
      </c>
      <c r="G100" s="269">
        <v>0.35513024987000003</v>
      </c>
      <c r="H100" s="10">
        <v>1881</v>
      </c>
      <c r="I100" s="10">
        <v>668</v>
      </c>
      <c r="J100" s="68">
        <f t="shared" si="4"/>
        <v>82.5</v>
      </c>
      <c r="K100" s="68">
        <f t="shared" si="5"/>
        <v>29.3</v>
      </c>
      <c r="L100" s="68"/>
      <c r="M100" s="408"/>
      <c r="N100" s="10"/>
      <c r="O100" s="269"/>
      <c r="P100" s="269"/>
      <c r="Q100" s="10"/>
    </row>
    <row r="101" spans="1:17">
      <c r="A101" s="10">
        <v>705</v>
      </c>
      <c r="B101" s="7">
        <v>92</v>
      </c>
      <c r="C101" s="7">
        <f t="shared" si="3"/>
        <v>705298</v>
      </c>
      <c r="D101" s="7" t="s">
        <v>692</v>
      </c>
      <c r="E101" s="7">
        <v>298</v>
      </c>
      <c r="F101" s="7" t="s">
        <v>1075</v>
      </c>
      <c r="G101" s="269">
        <v>0.26634768739999998</v>
      </c>
      <c r="H101" s="10">
        <v>1881</v>
      </c>
      <c r="I101" s="10">
        <v>501</v>
      </c>
      <c r="J101" s="68">
        <f t="shared" si="4"/>
        <v>82.5</v>
      </c>
      <c r="K101" s="68">
        <f t="shared" si="5"/>
        <v>21.97</v>
      </c>
      <c r="L101" s="68"/>
      <c r="M101" s="408"/>
      <c r="N101" s="10"/>
      <c r="O101" s="269"/>
      <c r="P101" s="269"/>
      <c r="Q101" s="10"/>
    </row>
    <row r="102" spans="1:17">
      <c r="A102" s="10">
        <v>710</v>
      </c>
      <c r="B102" s="7">
        <v>93</v>
      </c>
      <c r="C102" s="7">
        <f t="shared" si="3"/>
        <v>710179</v>
      </c>
      <c r="D102" s="7" t="s">
        <v>918</v>
      </c>
      <c r="E102" s="7">
        <v>179</v>
      </c>
      <c r="F102" s="7" t="s">
        <v>917</v>
      </c>
      <c r="G102" s="269">
        <v>0.44121715076000001</v>
      </c>
      <c r="H102" s="10">
        <v>2169</v>
      </c>
      <c r="I102" s="10">
        <v>957</v>
      </c>
      <c r="J102" s="68">
        <f t="shared" si="4"/>
        <v>73.39</v>
      </c>
      <c r="K102" s="68">
        <f t="shared" si="5"/>
        <v>32.380000000000003</v>
      </c>
      <c r="L102" s="68"/>
      <c r="M102" s="408"/>
      <c r="N102" s="10"/>
      <c r="O102" s="269"/>
      <c r="P102" s="269"/>
      <c r="Q102" s="10"/>
    </row>
    <row r="103" spans="1:17">
      <c r="A103" s="10">
        <v>710</v>
      </c>
      <c r="B103" s="7">
        <v>94</v>
      </c>
      <c r="C103" s="7">
        <f t="shared" si="3"/>
        <v>710303</v>
      </c>
      <c r="D103" s="7" t="s">
        <v>918</v>
      </c>
      <c r="E103" s="7">
        <v>303</v>
      </c>
      <c r="F103" s="7" t="s">
        <v>1080</v>
      </c>
      <c r="G103" s="269">
        <v>0.55878284923999999</v>
      </c>
      <c r="H103" s="10">
        <v>2169</v>
      </c>
      <c r="I103" s="10">
        <v>1212</v>
      </c>
      <c r="J103" s="68">
        <f t="shared" si="4"/>
        <v>70.81</v>
      </c>
      <c r="K103" s="68">
        <f t="shared" si="5"/>
        <v>39.57</v>
      </c>
      <c r="L103" s="68"/>
      <c r="M103" s="408"/>
      <c r="N103" s="10"/>
      <c r="O103" s="269"/>
      <c r="P103" s="269"/>
      <c r="Q103" s="10"/>
    </row>
    <row r="104" spans="1:17">
      <c r="A104" s="10">
        <v>712</v>
      </c>
      <c r="B104" s="7">
        <v>95</v>
      </c>
      <c r="C104" s="7">
        <f t="shared" si="3"/>
        <v>712055</v>
      </c>
      <c r="D104" s="7" t="s">
        <v>96</v>
      </c>
      <c r="E104" s="7">
        <v>55</v>
      </c>
      <c r="F104" s="7" t="s">
        <v>716</v>
      </c>
      <c r="G104" s="269">
        <v>0.26450239488999999</v>
      </c>
      <c r="H104" s="10">
        <v>1879</v>
      </c>
      <c r="I104" s="10">
        <v>497</v>
      </c>
      <c r="J104" s="68">
        <f t="shared" si="4"/>
        <v>82.5</v>
      </c>
      <c r="K104" s="68">
        <f t="shared" si="5"/>
        <v>21.82</v>
      </c>
      <c r="L104" s="68"/>
      <c r="M104" s="408"/>
      <c r="N104" s="10"/>
      <c r="O104" s="269"/>
      <c r="P104" s="269"/>
      <c r="Q104" s="10"/>
    </row>
    <row r="105" spans="1:17">
      <c r="A105" s="10">
        <v>712</v>
      </c>
      <c r="B105" s="7">
        <v>96</v>
      </c>
      <c r="C105" s="7">
        <f t="shared" si="3"/>
        <v>712126</v>
      </c>
      <c r="D105" s="7" t="s">
        <v>96</v>
      </c>
      <c r="E105" s="7">
        <v>126</v>
      </c>
      <c r="F105" s="7" t="s">
        <v>822</v>
      </c>
      <c r="G105" s="269">
        <v>0.73549760510999995</v>
      </c>
      <c r="H105" s="10">
        <v>1879</v>
      </c>
      <c r="I105" s="10">
        <v>1382</v>
      </c>
      <c r="J105" s="68">
        <f t="shared" si="4"/>
        <v>82.5</v>
      </c>
      <c r="K105" s="68">
        <f t="shared" si="5"/>
        <v>60.68</v>
      </c>
      <c r="L105" s="68"/>
      <c r="M105" s="408"/>
      <c r="N105" s="10"/>
      <c r="O105" s="269"/>
      <c r="P105" s="269"/>
      <c r="Q105" s="10"/>
    </row>
    <row r="106" spans="1:17">
      <c r="A106" s="10">
        <v>715</v>
      </c>
      <c r="B106" s="7">
        <v>97</v>
      </c>
      <c r="C106" s="7">
        <f t="shared" si="3"/>
        <v>715148</v>
      </c>
      <c r="D106" s="7" t="s">
        <v>846</v>
      </c>
      <c r="E106" s="7">
        <v>148</v>
      </c>
      <c r="F106" s="7" t="s">
        <v>845</v>
      </c>
      <c r="G106" s="269">
        <v>0.38</v>
      </c>
      <c r="H106" s="10">
        <v>500</v>
      </c>
      <c r="I106" s="10">
        <v>190</v>
      </c>
      <c r="J106" s="68">
        <f t="shared" si="4"/>
        <v>59.48</v>
      </c>
      <c r="K106" s="68">
        <f t="shared" si="5"/>
        <v>22.6</v>
      </c>
      <c r="L106" s="68"/>
      <c r="M106" s="408"/>
      <c r="N106" s="10"/>
      <c r="O106" s="269"/>
      <c r="P106" s="269"/>
      <c r="Q106" s="10"/>
    </row>
    <row r="107" spans="1:17">
      <c r="A107" s="10">
        <v>715</v>
      </c>
      <c r="B107" s="7">
        <v>98</v>
      </c>
      <c r="C107" s="7">
        <f t="shared" si="3"/>
        <v>715341</v>
      </c>
      <c r="D107" s="7" t="s">
        <v>846</v>
      </c>
      <c r="E107" s="7">
        <v>341</v>
      </c>
      <c r="F107" s="7" t="s">
        <v>1119</v>
      </c>
      <c r="G107" s="269">
        <v>0.62</v>
      </c>
      <c r="H107" s="10">
        <v>500</v>
      </c>
      <c r="I107" s="10">
        <v>310</v>
      </c>
      <c r="J107" s="68">
        <f t="shared" si="4"/>
        <v>82.5</v>
      </c>
      <c r="K107" s="68">
        <f t="shared" si="5"/>
        <v>51.15</v>
      </c>
      <c r="L107" s="68"/>
      <c r="M107" s="408"/>
      <c r="N107" s="10"/>
      <c r="O107" s="269"/>
      <c r="P107" s="269"/>
      <c r="Q107" s="10"/>
    </row>
    <row r="108" spans="1:17">
      <c r="A108" s="10">
        <v>717</v>
      </c>
      <c r="B108" s="7">
        <v>99</v>
      </c>
      <c r="C108" s="7">
        <f t="shared" si="3"/>
        <v>717013</v>
      </c>
      <c r="D108" s="7" t="s">
        <v>14</v>
      </c>
      <c r="E108" s="7">
        <v>13</v>
      </c>
      <c r="F108" s="7" t="s">
        <v>13</v>
      </c>
      <c r="G108" s="269">
        <v>0.17831074035</v>
      </c>
      <c r="H108" s="10">
        <v>959</v>
      </c>
      <c r="I108" s="10">
        <v>171</v>
      </c>
      <c r="J108" s="68">
        <f t="shared" si="4"/>
        <v>77.180000000000007</v>
      </c>
      <c r="K108" s="68">
        <f t="shared" si="5"/>
        <v>13.76</v>
      </c>
      <c r="L108" s="68"/>
      <c r="M108" s="408"/>
      <c r="N108" s="10"/>
      <c r="O108" s="269"/>
      <c r="P108" s="269"/>
      <c r="Q108" s="10"/>
    </row>
    <row r="109" spans="1:17">
      <c r="A109" s="10">
        <v>717</v>
      </c>
      <c r="B109" s="7">
        <v>100</v>
      </c>
      <c r="C109" s="7">
        <f t="shared" si="3"/>
        <v>717047</v>
      </c>
      <c r="D109" s="7" t="s">
        <v>14</v>
      </c>
      <c r="E109" s="7">
        <v>47</v>
      </c>
      <c r="F109" s="7" t="s">
        <v>705</v>
      </c>
      <c r="G109" s="269">
        <v>0.19916579771000001</v>
      </c>
      <c r="H109" s="10">
        <v>959</v>
      </c>
      <c r="I109" s="10">
        <v>191</v>
      </c>
      <c r="J109" s="68">
        <f t="shared" si="4"/>
        <v>62.44</v>
      </c>
      <c r="K109" s="68">
        <f t="shared" si="5"/>
        <v>12.44</v>
      </c>
      <c r="L109" s="68"/>
      <c r="M109" s="408"/>
      <c r="N109" s="10"/>
      <c r="O109" s="269"/>
      <c r="P109" s="269"/>
      <c r="Q109" s="10"/>
    </row>
    <row r="110" spans="1:17">
      <c r="A110" s="10">
        <v>717</v>
      </c>
      <c r="B110" s="7">
        <v>101</v>
      </c>
      <c r="C110" s="7">
        <f t="shared" si="3"/>
        <v>717053</v>
      </c>
      <c r="D110" s="7" t="s">
        <v>14</v>
      </c>
      <c r="E110" s="7">
        <v>53</v>
      </c>
      <c r="F110" s="7" t="s">
        <v>712</v>
      </c>
      <c r="G110" s="269">
        <v>8.1334723669999998E-2</v>
      </c>
      <c r="H110" s="10">
        <v>959</v>
      </c>
      <c r="I110" s="10">
        <v>78</v>
      </c>
      <c r="J110" s="68">
        <f t="shared" si="4"/>
        <v>50.24</v>
      </c>
      <c r="K110" s="68">
        <f t="shared" si="5"/>
        <v>4.09</v>
      </c>
      <c r="L110" s="68"/>
      <c r="M110" s="408"/>
      <c r="N110" s="10"/>
      <c r="O110" s="269"/>
      <c r="P110" s="269"/>
      <c r="Q110" s="10"/>
    </row>
    <row r="111" spans="1:17">
      <c r="A111" s="10">
        <v>717</v>
      </c>
      <c r="B111" s="7">
        <v>102</v>
      </c>
      <c r="C111" s="7">
        <f t="shared" si="3"/>
        <v>717066</v>
      </c>
      <c r="D111" s="7" t="s">
        <v>14</v>
      </c>
      <c r="E111" s="7">
        <v>66</v>
      </c>
      <c r="F111" s="7" t="s">
        <v>737</v>
      </c>
      <c r="G111" s="269">
        <v>0.18873826902999999</v>
      </c>
      <c r="H111" s="10">
        <v>959</v>
      </c>
      <c r="I111" s="10">
        <v>181</v>
      </c>
      <c r="J111" s="68">
        <f t="shared" si="4"/>
        <v>54.6</v>
      </c>
      <c r="K111" s="68">
        <f t="shared" si="5"/>
        <v>10.31</v>
      </c>
      <c r="L111" s="68"/>
      <c r="M111" s="408"/>
      <c r="N111" s="10"/>
      <c r="O111" s="269"/>
      <c r="P111" s="269"/>
      <c r="Q111" s="10"/>
    </row>
    <row r="112" spans="1:17">
      <c r="A112" s="10">
        <v>717</v>
      </c>
      <c r="B112" s="7">
        <v>103</v>
      </c>
      <c r="C112" s="7">
        <f t="shared" si="3"/>
        <v>717129</v>
      </c>
      <c r="D112" s="7" t="s">
        <v>14</v>
      </c>
      <c r="E112" s="7">
        <v>129</v>
      </c>
      <c r="F112" s="7" t="s">
        <v>825</v>
      </c>
      <c r="G112" s="269">
        <v>1.251303441E-2</v>
      </c>
      <c r="H112" s="10">
        <v>959</v>
      </c>
      <c r="I112" s="10">
        <v>12</v>
      </c>
      <c r="J112" s="68">
        <f t="shared" si="4"/>
        <v>76.569999999999993</v>
      </c>
      <c r="K112" s="68">
        <f t="shared" si="5"/>
        <v>0.96</v>
      </c>
      <c r="L112" s="68"/>
      <c r="M112" s="408"/>
      <c r="N112" s="10"/>
      <c r="O112" s="269"/>
      <c r="P112" s="269"/>
      <c r="Q112" s="10"/>
    </row>
    <row r="113" spans="1:17">
      <c r="A113" s="10">
        <v>717</v>
      </c>
      <c r="B113" s="7">
        <v>104</v>
      </c>
      <c r="C113" s="7">
        <f t="shared" si="3"/>
        <v>717130</v>
      </c>
      <c r="D113" s="7" t="s">
        <v>14</v>
      </c>
      <c r="E113" s="7">
        <v>130</v>
      </c>
      <c r="F113" s="7" t="s">
        <v>826</v>
      </c>
      <c r="G113" s="269">
        <v>9.0719499479999993E-2</v>
      </c>
      <c r="H113" s="10">
        <v>959</v>
      </c>
      <c r="I113" s="10">
        <v>87</v>
      </c>
      <c r="J113" s="68">
        <f t="shared" si="4"/>
        <v>42.35</v>
      </c>
      <c r="K113" s="68">
        <f t="shared" si="5"/>
        <v>3.84</v>
      </c>
      <c r="L113" s="68"/>
      <c r="M113" s="408"/>
      <c r="N113" s="10"/>
      <c r="O113" s="269"/>
      <c r="P113" s="269"/>
      <c r="Q113" s="10"/>
    </row>
    <row r="114" spans="1:17">
      <c r="A114" s="10">
        <v>717</v>
      </c>
      <c r="B114" s="7">
        <v>105</v>
      </c>
      <c r="C114" s="7">
        <f t="shared" si="3"/>
        <v>717237</v>
      </c>
      <c r="D114" s="7" t="s">
        <v>14</v>
      </c>
      <c r="E114" s="7">
        <v>237</v>
      </c>
      <c r="F114" s="7" t="s">
        <v>1007</v>
      </c>
      <c r="G114" s="269">
        <v>6.7778936390000002E-2</v>
      </c>
      <c r="H114" s="10">
        <v>959</v>
      </c>
      <c r="I114" s="10">
        <v>65</v>
      </c>
      <c r="J114" s="68">
        <f t="shared" si="4"/>
        <v>70.849999999999994</v>
      </c>
      <c r="K114" s="68">
        <f t="shared" si="5"/>
        <v>4.8</v>
      </c>
      <c r="L114" s="68"/>
      <c r="M114" s="408"/>
      <c r="N114" s="10"/>
      <c r="O114" s="269"/>
      <c r="P114" s="269"/>
      <c r="Q114" s="10"/>
    </row>
    <row r="115" spans="1:17">
      <c r="A115" s="10">
        <v>717</v>
      </c>
      <c r="B115" s="7">
        <v>106</v>
      </c>
      <c r="C115" s="7">
        <f t="shared" si="3"/>
        <v>717268</v>
      </c>
      <c r="D115" s="7" t="s">
        <v>14</v>
      </c>
      <c r="E115" s="7">
        <v>268</v>
      </c>
      <c r="F115" s="7" t="s">
        <v>1038</v>
      </c>
      <c r="G115" s="269">
        <v>0.18143899895999999</v>
      </c>
      <c r="H115" s="10">
        <v>959</v>
      </c>
      <c r="I115" s="10">
        <v>174</v>
      </c>
      <c r="J115" s="68">
        <f t="shared" si="4"/>
        <v>76</v>
      </c>
      <c r="K115" s="68">
        <f t="shared" si="5"/>
        <v>13.79</v>
      </c>
      <c r="L115" s="68"/>
      <c r="M115" s="408"/>
      <c r="N115" s="10"/>
      <c r="O115" s="269"/>
      <c r="P115" s="269"/>
      <c r="Q115" s="10"/>
    </row>
    <row r="116" spans="1:17">
      <c r="A116" s="10">
        <v>720</v>
      </c>
      <c r="B116" s="7">
        <v>107</v>
      </c>
      <c r="C116" s="7">
        <f t="shared" si="3"/>
        <v>720235</v>
      </c>
      <c r="D116" s="7" t="s">
        <v>1005</v>
      </c>
      <c r="E116" s="7">
        <v>235</v>
      </c>
      <c r="F116" s="7" t="s">
        <v>1004</v>
      </c>
      <c r="G116" s="269">
        <v>0.16869300911999999</v>
      </c>
      <c r="H116" s="10">
        <v>1316</v>
      </c>
      <c r="I116" s="10">
        <v>222</v>
      </c>
      <c r="J116" s="68">
        <f t="shared" si="4"/>
        <v>48.31</v>
      </c>
      <c r="K116" s="68">
        <f t="shared" si="5"/>
        <v>8.15</v>
      </c>
      <c r="L116" s="68"/>
      <c r="M116" s="408"/>
      <c r="N116" s="10"/>
      <c r="O116" s="269"/>
      <c r="P116" s="269"/>
      <c r="Q116" s="10"/>
    </row>
    <row r="117" spans="1:17">
      <c r="A117" s="10">
        <v>720</v>
      </c>
      <c r="B117" s="7">
        <v>108</v>
      </c>
      <c r="C117" s="7">
        <f t="shared" si="3"/>
        <v>720294</v>
      </c>
      <c r="D117" s="7" t="s">
        <v>1005</v>
      </c>
      <c r="E117" s="7">
        <v>294</v>
      </c>
      <c r="F117" s="7" t="s">
        <v>1071</v>
      </c>
      <c r="G117" s="269">
        <v>0.83130699088000004</v>
      </c>
      <c r="H117" s="10">
        <v>1316</v>
      </c>
      <c r="I117" s="10">
        <v>1094</v>
      </c>
      <c r="J117" s="68">
        <f t="shared" si="4"/>
        <v>38.200000000000003</v>
      </c>
      <c r="K117" s="68">
        <f t="shared" si="5"/>
        <v>31.76</v>
      </c>
      <c r="L117" s="68"/>
      <c r="M117" s="408"/>
      <c r="N117" s="10"/>
      <c r="O117" s="269"/>
      <c r="P117" s="269"/>
      <c r="Q117" s="10"/>
    </row>
    <row r="118" spans="1:17">
      <c r="A118" s="10">
        <v>725</v>
      </c>
      <c r="B118" s="7">
        <v>109</v>
      </c>
      <c r="C118" s="7">
        <f t="shared" si="3"/>
        <v>725034</v>
      </c>
      <c r="D118" s="7" t="s">
        <v>684</v>
      </c>
      <c r="E118" s="7">
        <v>34</v>
      </c>
      <c r="F118" s="7" t="s">
        <v>57</v>
      </c>
      <c r="G118" s="269">
        <v>0.31251885369999999</v>
      </c>
      <c r="H118" s="10">
        <v>3315</v>
      </c>
      <c r="I118" s="10">
        <v>1036</v>
      </c>
      <c r="J118" s="68">
        <f t="shared" si="4"/>
        <v>82.5</v>
      </c>
      <c r="K118" s="68">
        <f t="shared" si="5"/>
        <v>25.78</v>
      </c>
      <c r="L118" s="68"/>
      <c r="M118" s="408"/>
      <c r="N118" s="10"/>
      <c r="O118" s="269"/>
      <c r="P118" s="269"/>
      <c r="Q118" s="10"/>
    </row>
    <row r="119" spans="1:17">
      <c r="A119" s="10">
        <v>725</v>
      </c>
      <c r="B119" s="7">
        <v>110</v>
      </c>
      <c r="C119" s="7">
        <f t="shared" si="3"/>
        <v>725147</v>
      </c>
      <c r="D119" s="7" t="s">
        <v>684</v>
      </c>
      <c r="E119" s="7">
        <v>147</v>
      </c>
      <c r="F119" s="7" t="s">
        <v>844</v>
      </c>
      <c r="G119" s="269">
        <v>0.30135746606000002</v>
      </c>
      <c r="H119" s="10">
        <v>3315</v>
      </c>
      <c r="I119" s="10">
        <v>999</v>
      </c>
      <c r="J119" s="68">
        <f t="shared" si="4"/>
        <v>68.77</v>
      </c>
      <c r="K119" s="68">
        <f t="shared" si="5"/>
        <v>20.72</v>
      </c>
      <c r="L119" s="68"/>
      <c r="M119" s="408"/>
      <c r="N119" s="10"/>
      <c r="O119" s="269"/>
      <c r="P119" s="269"/>
      <c r="Q119" s="10"/>
    </row>
    <row r="120" spans="1:17">
      <c r="A120" s="10">
        <v>725</v>
      </c>
      <c r="B120" s="7">
        <v>111</v>
      </c>
      <c r="C120" s="7">
        <f t="shared" si="3"/>
        <v>725286</v>
      </c>
      <c r="D120" s="7" t="s">
        <v>684</v>
      </c>
      <c r="E120" s="7">
        <v>286</v>
      </c>
      <c r="F120" s="7" t="s">
        <v>1063</v>
      </c>
      <c r="G120" s="269">
        <v>0.38612368023999999</v>
      </c>
      <c r="H120" s="10">
        <v>3315</v>
      </c>
      <c r="I120" s="10">
        <v>1280</v>
      </c>
      <c r="J120" s="68">
        <f t="shared" si="4"/>
        <v>82.5</v>
      </c>
      <c r="K120" s="68">
        <f t="shared" si="5"/>
        <v>31.86</v>
      </c>
      <c r="L120" s="68"/>
      <c r="M120" s="408"/>
      <c r="N120" s="10"/>
      <c r="O120" s="269"/>
      <c r="P120" s="269"/>
      <c r="Q120" s="10"/>
    </row>
    <row r="121" spans="1:17">
      <c r="A121" s="10">
        <v>728</v>
      </c>
      <c r="B121" s="7">
        <v>112</v>
      </c>
      <c r="C121" s="7">
        <f t="shared" si="3"/>
        <v>728206</v>
      </c>
      <c r="D121" s="7" t="s">
        <v>948</v>
      </c>
      <c r="E121" s="7">
        <v>206</v>
      </c>
      <c r="F121" s="7" t="s">
        <v>947</v>
      </c>
      <c r="G121" s="269">
        <v>0.4701986755</v>
      </c>
      <c r="H121" s="10">
        <v>151</v>
      </c>
      <c r="I121" s="10">
        <v>71</v>
      </c>
      <c r="J121" s="68">
        <f t="shared" si="4"/>
        <v>54.28</v>
      </c>
      <c r="K121" s="68">
        <f t="shared" si="5"/>
        <v>25.52</v>
      </c>
      <c r="L121" s="68"/>
      <c r="M121" s="408"/>
      <c r="N121" s="10"/>
      <c r="O121" s="269"/>
      <c r="P121" s="269"/>
      <c r="Q121" s="10"/>
    </row>
    <row r="122" spans="1:17">
      <c r="A122" s="10">
        <v>728</v>
      </c>
      <c r="B122" s="7">
        <v>113</v>
      </c>
      <c r="C122" s="7">
        <f t="shared" si="3"/>
        <v>728319</v>
      </c>
      <c r="D122" s="7" t="s">
        <v>948</v>
      </c>
      <c r="E122" s="7">
        <v>319</v>
      </c>
      <c r="F122" s="7" t="s">
        <v>1097</v>
      </c>
      <c r="G122" s="269">
        <v>0.52980132449999995</v>
      </c>
      <c r="H122" s="10">
        <v>151</v>
      </c>
      <c r="I122" s="10">
        <v>80</v>
      </c>
      <c r="J122" s="68">
        <f t="shared" si="4"/>
        <v>49.61</v>
      </c>
      <c r="K122" s="68">
        <f t="shared" si="5"/>
        <v>26.28</v>
      </c>
      <c r="L122" s="68"/>
      <c r="M122" s="408"/>
      <c r="N122" s="10"/>
      <c r="O122" s="269"/>
      <c r="P122" s="269"/>
      <c r="Q122" s="10"/>
    </row>
    <row r="123" spans="1:17">
      <c r="A123" s="10">
        <v>730</v>
      </c>
      <c r="B123" s="7">
        <v>114</v>
      </c>
      <c r="C123" s="7">
        <f t="shared" si="3"/>
        <v>730213</v>
      </c>
      <c r="D123" s="7" t="s">
        <v>960</v>
      </c>
      <c r="E123" s="7">
        <v>213</v>
      </c>
      <c r="F123" s="7" t="s">
        <v>959</v>
      </c>
      <c r="G123" s="269">
        <v>0.58390177352999995</v>
      </c>
      <c r="H123" s="10">
        <v>1466</v>
      </c>
      <c r="I123" s="10">
        <v>856</v>
      </c>
      <c r="J123" s="68">
        <f t="shared" si="4"/>
        <v>82.5</v>
      </c>
      <c r="K123" s="68">
        <f t="shared" si="5"/>
        <v>48.17</v>
      </c>
      <c r="L123" s="68"/>
      <c r="M123" s="408"/>
      <c r="N123" s="10"/>
      <c r="O123" s="269"/>
      <c r="P123" s="269"/>
      <c r="Q123" s="10"/>
    </row>
    <row r="124" spans="1:17">
      <c r="A124" s="10">
        <v>730</v>
      </c>
      <c r="B124" s="7">
        <v>115</v>
      </c>
      <c r="C124" s="7">
        <f t="shared" si="3"/>
        <v>730276</v>
      </c>
      <c r="D124" s="7" t="s">
        <v>960</v>
      </c>
      <c r="E124" s="7">
        <v>276</v>
      </c>
      <c r="F124" s="7" t="s">
        <v>1046</v>
      </c>
      <c r="G124" s="269">
        <v>0.41609822647</v>
      </c>
      <c r="H124" s="10">
        <v>1466</v>
      </c>
      <c r="I124" s="10">
        <v>610</v>
      </c>
      <c r="J124" s="68">
        <f t="shared" si="4"/>
        <v>82.5</v>
      </c>
      <c r="K124" s="68">
        <f t="shared" si="5"/>
        <v>34.33</v>
      </c>
      <c r="L124" s="68"/>
      <c r="M124" s="408"/>
      <c r="N124" s="10"/>
      <c r="O124" s="269"/>
      <c r="P124" s="269"/>
      <c r="Q124" s="10"/>
    </row>
    <row r="125" spans="1:17">
      <c r="A125" s="10">
        <v>735</v>
      </c>
      <c r="B125" s="7">
        <v>116</v>
      </c>
      <c r="C125" s="7">
        <f t="shared" si="3"/>
        <v>735012</v>
      </c>
      <c r="D125" s="7" t="s">
        <v>12</v>
      </c>
      <c r="E125" s="7">
        <v>12</v>
      </c>
      <c r="F125" s="7" t="s">
        <v>11</v>
      </c>
      <c r="G125" s="269">
        <v>0.12349861411</v>
      </c>
      <c r="H125" s="10">
        <v>3247</v>
      </c>
      <c r="I125" s="10">
        <v>401</v>
      </c>
      <c r="J125" s="68">
        <f t="shared" si="4"/>
        <v>52.91</v>
      </c>
      <c r="K125" s="68">
        <f t="shared" si="5"/>
        <v>6.53</v>
      </c>
      <c r="L125" s="68"/>
      <c r="M125" s="408"/>
      <c r="N125" s="10"/>
      <c r="O125" s="269"/>
      <c r="P125" s="269"/>
      <c r="Q125" s="10"/>
    </row>
    <row r="126" spans="1:17">
      <c r="A126" s="10">
        <v>735</v>
      </c>
      <c r="B126" s="7">
        <v>117</v>
      </c>
      <c r="C126" s="7">
        <f t="shared" si="3"/>
        <v>735232</v>
      </c>
      <c r="D126" s="7" t="s">
        <v>12</v>
      </c>
      <c r="E126" s="7">
        <v>232</v>
      </c>
      <c r="F126" s="7" t="s">
        <v>1001</v>
      </c>
      <c r="G126" s="269">
        <v>0.48968278410999999</v>
      </c>
      <c r="H126" s="10">
        <v>3247</v>
      </c>
      <c r="I126" s="10">
        <v>1590</v>
      </c>
      <c r="J126" s="68">
        <f t="shared" si="4"/>
        <v>56.21</v>
      </c>
      <c r="K126" s="68">
        <f t="shared" si="5"/>
        <v>27.53</v>
      </c>
      <c r="L126" s="68"/>
      <c r="M126" s="408"/>
      <c r="N126" s="10"/>
      <c r="O126" s="269"/>
      <c r="P126" s="269"/>
      <c r="Q126" s="10"/>
    </row>
    <row r="127" spans="1:17">
      <c r="A127" s="10">
        <v>735</v>
      </c>
      <c r="B127" s="7">
        <v>118</v>
      </c>
      <c r="C127" s="7">
        <f t="shared" si="3"/>
        <v>735299</v>
      </c>
      <c r="D127" s="7" t="s">
        <v>12</v>
      </c>
      <c r="E127" s="7">
        <v>299</v>
      </c>
      <c r="F127" s="7" t="s">
        <v>1076</v>
      </c>
      <c r="G127" s="269">
        <v>0.38681860178999999</v>
      </c>
      <c r="H127" s="10">
        <v>3247</v>
      </c>
      <c r="I127" s="10">
        <v>1256</v>
      </c>
      <c r="J127" s="68">
        <f t="shared" si="4"/>
        <v>53.14</v>
      </c>
      <c r="K127" s="68">
        <f t="shared" si="5"/>
        <v>20.56</v>
      </c>
      <c r="L127" s="68"/>
      <c r="M127" s="408"/>
      <c r="N127" s="10"/>
      <c r="O127" s="269"/>
      <c r="P127" s="269"/>
      <c r="Q127" s="10"/>
    </row>
    <row r="128" spans="1:17">
      <c r="A128" s="10">
        <v>740</v>
      </c>
      <c r="B128" s="7">
        <v>119</v>
      </c>
      <c r="C128" s="7">
        <f t="shared" si="3"/>
        <v>740169</v>
      </c>
      <c r="D128" s="7" t="s">
        <v>905</v>
      </c>
      <c r="E128" s="7">
        <v>169</v>
      </c>
      <c r="F128" s="7" t="s">
        <v>904</v>
      </c>
      <c r="G128" s="269">
        <v>0.28983050847000003</v>
      </c>
      <c r="H128" s="10">
        <v>1180</v>
      </c>
      <c r="I128" s="10">
        <v>342</v>
      </c>
      <c r="J128" s="68">
        <f t="shared" si="4"/>
        <v>82.5</v>
      </c>
      <c r="K128" s="68">
        <f t="shared" si="5"/>
        <v>23.91</v>
      </c>
      <c r="L128" s="68"/>
      <c r="M128" s="408"/>
      <c r="N128" s="10"/>
      <c r="O128" s="269"/>
      <c r="P128" s="269"/>
      <c r="Q128" s="10"/>
    </row>
    <row r="129" spans="1:17">
      <c r="A129" s="10">
        <v>740</v>
      </c>
      <c r="B129" s="7">
        <v>120</v>
      </c>
      <c r="C129" s="7">
        <f t="shared" si="3"/>
        <v>740173</v>
      </c>
      <c r="D129" s="7" t="s">
        <v>905</v>
      </c>
      <c r="E129" s="7">
        <v>173</v>
      </c>
      <c r="F129" s="7" t="s">
        <v>909</v>
      </c>
      <c r="G129" s="269">
        <v>0.34661016949000001</v>
      </c>
      <c r="H129" s="10">
        <v>1180</v>
      </c>
      <c r="I129" s="10">
        <v>409</v>
      </c>
      <c r="J129" s="68">
        <f t="shared" si="4"/>
        <v>82.5</v>
      </c>
      <c r="K129" s="68">
        <f t="shared" si="5"/>
        <v>28.6</v>
      </c>
      <c r="L129" s="68"/>
      <c r="M129" s="408"/>
      <c r="N129" s="10"/>
      <c r="O129" s="269"/>
      <c r="P129" s="269"/>
      <c r="Q129" s="10"/>
    </row>
    <row r="130" spans="1:17">
      <c r="A130" s="10">
        <v>740</v>
      </c>
      <c r="B130" s="7">
        <v>121</v>
      </c>
      <c r="C130" s="7">
        <f t="shared" si="3"/>
        <v>740250</v>
      </c>
      <c r="D130" s="7" t="s">
        <v>905</v>
      </c>
      <c r="E130" s="7">
        <v>250</v>
      </c>
      <c r="F130" s="7" t="s">
        <v>1020</v>
      </c>
      <c r="G130" s="269">
        <v>0.36355932203000002</v>
      </c>
      <c r="H130" s="10">
        <v>1180</v>
      </c>
      <c r="I130" s="10">
        <v>429</v>
      </c>
      <c r="J130" s="68">
        <f t="shared" si="4"/>
        <v>62.21</v>
      </c>
      <c r="K130" s="68">
        <f t="shared" si="5"/>
        <v>22.62</v>
      </c>
      <c r="L130" s="68"/>
      <c r="M130" s="408"/>
      <c r="N130" s="10"/>
      <c r="O130" s="269"/>
      <c r="P130" s="269"/>
      <c r="Q130" s="10"/>
    </row>
    <row r="131" spans="1:17">
      <c r="A131" s="10">
        <v>745</v>
      </c>
      <c r="B131" s="7">
        <v>122</v>
      </c>
      <c r="C131" s="7">
        <f t="shared" si="3"/>
        <v>745116</v>
      </c>
      <c r="D131" s="7" t="s">
        <v>808</v>
      </c>
      <c r="E131" s="7">
        <v>116</v>
      </c>
      <c r="F131" s="7" t="s">
        <v>807</v>
      </c>
      <c r="G131" s="269">
        <v>0.38535414165999998</v>
      </c>
      <c r="H131" s="10">
        <v>2499</v>
      </c>
      <c r="I131" s="10">
        <v>963</v>
      </c>
      <c r="J131" s="68">
        <f t="shared" si="4"/>
        <v>67.42</v>
      </c>
      <c r="K131" s="68">
        <f t="shared" si="5"/>
        <v>25.98</v>
      </c>
      <c r="L131" s="68"/>
      <c r="M131" s="408"/>
      <c r="N131" s="10"/>
      <c r="O131" s="269"/>
      <c r="P131" s="269"/>
      <c r="Q131" s="10"/>
    </row>
    <row r="132" spans="1:17">
      <c r="A132" s="10">
        <v>745</v>
      </c>
      <c r="B132" s="7">
        <v>123</v>
      </c>
      <c r="C132" s="7">
        <f t="shared" si="3"/>
        <v>745180</v>
      </c>
      <c r="D132" s="7" t="s">
        <v>808</v>
      </c>
      <c r="E132" s="7">
        <v>180</v>
      </c>
      <c r="F132" s="7" t="s">
        <v>919</v>
      </c>
      <c r="G132" s="269">
        <v>0.35254101641000002</v>
      </c>
      <c r="H132" s="10">
        <v>2499</v>
      </c>
      <c r="I132" s="10">
        <v>881</v>
      </c>
      <c r="J132" s="68">
        <f t="shared" si="4"/>
        <v>63.01</v>
      </c>
      <c r="K132" s="68">
        <f t="shared" si="5"/>
        <v>22.21</v>
      </c>
      <c r="L132" s="68"/>
      <c r="M132" s="408"/>
      <c r="N132" s="10"/>
      <c r="O132" s="269"/>
      <c r="P132" s="269"/>
      <c r="Q132" s="10"/>
    </row>
    <row r="133" spans="1:17">
      <c r="A133" s="10">
        <v>745</v>
      </c>
      <c r="B133" s="7">
        <v>124</v>
      </c>
      <c r="C133" s="7">
        <f t="shared" si="3"/>
        <v>745329</v>
      </c>
      <c r="D133" s="7" t="s">
        <v>808</v>
      </c>
      <c r="E133" s="7">
        <v>329</v>
      </c>
      <c r="F133" s="7" t="s">
        <v>1107</v>
      </c>
      <c r="G133" s="269">
        <v>0.26210484194</v>
      </c>
      <c r="H133" s="10">
        <v>2499</v>
      </c>
      <c r="I133" s="10">
        <v>655</v>
      </c>
      <c r="J133" s="68">
        <f t="shared" si="4"/>
        <v>82.5</v>
      </c>
      <c r="K133" s="68">
        <f t="shared" si="5"/>
        <v>21.62</v>
      </c>
      <c r="L133" s="68"/>
      <c r="M133" s="408"/>
      <c r="N133" s="10"/>
      <c r="O133" s="269"/>
      <c r="P133" s="269"/>
      <c r="Q133" s="10"/>
    </row>
    <row r="134" spans="1:17">
      <c r="A134" s="10">
        <v>750</v>
      </c>
      <c r="B134" s="7">
        <v>125</v>
      </c>
      <c r="C134" s="7">
        <f t="shared" si="3"/>
        <v>750029</v>
      </c>
      <c r="D134" s="7" t="s">
        <v>45</v>
      </c>
      <c r="E134" s="7">
        <v>29</v>
      </c>
      <c r="F134" s="7" t="s">
        <v>44</v>
      </c>
      <c r="G134" s="269">
        <v>0.36899862826000002</v>
      </c>
      <c r="H134" s="10">
        <v>729</v>
      </c>
      <c r="I134" s="10">
        <v>269</v>
      </c>
      <c r="J134" s="68">
        <f t="shared" si="4"/>
        <v>51.72</v>
      </c>
      <c r="K134" s="68">
        <f t="shared" si="5"/>
        <v>19.079999999999998</v>
      </c>
      <c r="L134" s="68"/>
      <c r="M134" s="408"/>
      <c r="N134" s="10"/>
      <c r="O134" s="269"/>
      <c r="P134" s="269"/>
      <c r="Q134" s="10"/>
    </row>
    <row r="135" spans="1:17">
      <c r="A135" s="10">
        <v>750</v>
      </c>
      <c r="B135" s="7">
        <v>126</v>
      </c>
      <c r="C135" s="7">
        <f t="shared" si="3"/>
        <v>750156</v>
      </c>
      <c r="D135" s="7" t="s">
        <v>45</v>
      </c>
      <c r="E135" s="7">
        <v>156</v>
      </c>
      <c r="F135" s="7" t="s">
        <v>854</v>
      </c>
      <c r="G135" s="269">
        <v>7.4074074069999996E-2</v>
      </c>
      <c r="H135" s="10">
        <v>729</v>
      </c>
      <c r="I135" s="10">
        <v>54</v>
      </c>
      <c r="J135" s="68">
        <f t="shared" si="4"/>
        <v>82.5</v>
      </c>
      <c r="K135" s="68">
        <f t="shared" si="5"/>
        <v>6.11</v>
      </c>
      <c r="L135" s="68"/>
      <c r="M135" s="408"/>
      <c r="N135" s="10"/>
      <c r="O135" s="269"/>
      <c r="P135" s="269"/>
      <c r="Q135" s="10"/>
    </row>
    <row r="136" spans="1:17">
      <c r="A136" s="10">
        <v>750</v>
      </c>
      <c r="B136" s="7">
        <v>127</v>
      </c>
      <c r="C136" s="7">
        <f t="shared" si="3"/>
        <v>750216</v>
      </c>
      <c r="D136" s="7" t="s">
        <v>45</v>
      </c>
      <c r="E136" s="7">
        <v>216</v>
      </c>
      <c r="F136" s="7" t="s">
        <v>963</v>
      </c>
      <c r="G136" s="269">
        <v>0.45541838134000001</v>
      </c>
      <c r="H136" s="10">
        <v>729</v>
      </c>
      <c r="I136" s="10">
        <v>332</v>
      </c>
      <c r="J136" s="68">
        <f t="shared" si="4"/>
        <v>71.81</v>
      </c>
      <c r="K136" s="68">
        <f t="shared" si="5"/>
        <v>32.700000000000003</v>
      </c>
      <c r="L136" s="68"/>
      <c r="M136" s="408"/>
      <c r="N136" s="10"/>
      <c r="O136" s="269"/>
      <c r="P136" s="269"/>
      <c r="Q136" s="10"/>
    </row>
    <row r="137" spans="1:17">
      <c r="A137" s="10">
        <v>750</v>
      </c>
      <c r="B137" s="7">
        <v>128</v>
      </c>
      <c r="C137" s="7">
        <f t="shared" ref="C137:C200" si="6">A137*1000+E137</f>
        <v>750312</v>
      </c>
      <c r="D137" s="7" t="s">
        <v>45</v>
      </c>
      <c r="E137" s="7">
        <v>312</v>
      </c>
      <c r="F137" s="7" t="s">
        <v>1090</v>
      </c>
      <c r="G137" s="269">
        <v>0.10150891632</v>
      </c>
      <c r="H137" s="10">
        <v>729</v>
      </c>
      <c r="I137" s="10">
        <v>74</v>
      </c>
      <c r="J137" s="68">
        <f t="shared" ref="J137:J200" si="7">ROUND(VLOOKUP(E137,town351,11),2)</f>
        <v>54.34</v>
      </c>
      <c r="K137" s="68">
        <f t="shared" si="5"/>
        <v>5.52</v>
      </c>
      <c r="L137" s="68"/>
      <c r="M137" s="408"/>
      <c r="N137" s="10"/>
      <c r="O137" s="269"/>
      <c r="P137" s="269"/>
      <c r="Q137" s="10"/>
    </row>
    <row r="138" spans="1:17">
      <c r="A138" s="10">
        <v>753</v>
      </c>
      <c r="B138" s="7">
        <v>129</v>
      </c>
      <c r="C138" s="7">
        <f t="shared" si="6"/>
        <v>753021</v>
      </c>
      <c r="D138" s="7" t="s">
        <v>29</v>
      </c>
      <c r="E138" s="7">
        <v>21</v>
      </c>
      <c r="F138" s="7" t="s">
        <v>28</v>
      </c>
      <c r="G138" s="269">
        <v>0.37149643705000002</v>
      </c>
      <c r="H138" s="10">
        <v>2105</v>
      </c>
      <c r="I138" s="10">
        <v>782</v>
      </c>
      <c r="J138" s="68">
        <f t="shared" si="7"/>
        <v>41.44</v>
      </c>
      <c r="K138" s="68">
        <f t="shared" ref="K138:K201" si="8">ROUND(G138*J138,2)</f>
        <v>15.39</v>
      </c>
      <c r="L138" s="68"/>
      <c r="M138" s="408"/>
      <c r="N138" s="10"/>
      <c r="O138" s="269"/>
      <c r="P138" s="269"/>
      <c r="Q138" s="10"/>
    </row>
    <row r="139" spans="1:17">
      <c r="A139" s="10">
        <v>753</v>
      </c>
      <c r="B139" s="7">
        <v>130</v>
      </c>
      <c r="C139" s="7">
        <f t="shared" si="6"/>
        <v>753124</v>
      </c>
      <c r="D139" s="7" t="s">
        <v>29</v>
      </c>
      <c r="E139" s="7">
        <v>124</v>
      </c>
      <c r="F139" s="7" t="s">
        <v>820</v>
      </c>
      <c r="G139" s="269">
        <v>0.18242280285000001</v>
      </c>
      <c r="H139" s="10">
        <v>2105</v>
      </c>
      <c r="I139" s="10">
        <v>384</v>
      </c>
      <c r="J139" s="68">
        <f t="shared" si="7"/>
        <v>35.99</v>
      </c>
      <c r="K139" s="68">
        <f t="shared" si="8"/>
        <v>6.57</v>
      </c>
      <c r="L139" s="68"/>
      <c r="M139" s="408"/>
      <c r="N139" s="10"/>
      <c r="O139" s="269"/>
      <c r="P139" s="269"/>
      <c r="Q139" s="10"/>
    </row>
    <row r="140" spans="1:17">
      <c r="A140" s="10">
        <v>753</v>
      </c>
      <c r="B140" s="7">
        <v>131</v>
      </c>
      <c r="C140" s="7">
        <f t="shared" si="6"/>
        <v>753140</v>
      </c>
      <c r="D140" s="7" t="s">
        <v>29</v>
      </c>
      <c r="E140" s="7">
        <v>140</v>
      </c>
      <c r="F140" s="7" t="s">
        <v>837</v>
      </c>
      <c r="G140" s="269">
        <v>0.26175771971</v>
      </c>
      <c r="H140" s="10">
        <v>2105</v>
      </c>
      <c r="I140" s="10">
        <v>551</v>
      </c>
      <c r="J140" s="68">
        <f t="shared" si="7"/>
        <v>52.35</v>
      </c>
      <c r="K140" s="68">
        <f t="shared" si="8"/>
        <v>13.7</v>
      </c>
      <c r="L140" s="68"/>
      <c r="M140" s="408"/>
      <c r="N140" s="10"/>
      <c r="O140" s="269"/>
      <c r="P140" s="269"/>
      <c r="Q140" s="10"/>
    </row>
    <row r="141" spans="1:17">
      <c r="A141" s="10">
        <v>753</v>
      </c>
      <c r="B141" s="7">
        <v>132</v>
      </c>
      <c r="C141" s="7">
        <f t="shared" si="6"/>
        <v>753202</v>
      </c>
      <c r="D141" s="7" t="s">
        <v>29</v>
      </c>
      <c r="E141" s="7">
        <v>202</v>
      </c>
      <c r="F141" s="7" t="s">
        <v>942</v>
      </c>
      <c r="G141" s="269">
        <v>7.0308788600000005E-2</v>
      </c>
      <c r="H141" s="10">
        <v>2105</v>
      </c>
      <c r="I141" s="10">
        <v>148</v>
      </c>
      <c r="J141" s="68">
        <f t="shared" si="7"/>
        <v>55.73</v>
      </c>
      <c r="K141" s="68">
        <f t="shared" si="8"/>
        <v>3.92</v>
      </c>
      <c r="L141" s="68"/>
      <c r="M141" s="408"/>
      <c r="N141" s="10"/>
      <c r="O141" s="269"/>
      <c r="P141" s="269"/>
      <c r="Q141" s="10"/>
    </row>
    <row r="142" spans="1:17">
      <c r="A142" s="10">
        <v>753</v>
      </c>
      <c r="B142" s="7">
        <v>133</v>
      </c>
      <c r="C142" s="7">
        <f t="shared" si="6"/>
        <v>753222</v>
      </c>
      <c r="D142" s="7" t="s">
        <v>29</v>
      </c>
      <c r="E142" s="7">
        <v>222</v>
      </c>
      <c r="F142" s="7" t="s">
        <v>971</v>
      </c>
      <c r="G142" s="269">
        <v>0.11401425178000001</v>
      </c>
      <c r="H142" s="10">
        <v>2105</v>
      </c>
      <c r="I142" s="10">
        <v>240</v>
      </c>
      <c r="J142" s="68">
        <f t="shared" si="7"/>
        <v>61.38</v>
      </c>
      <c r="K142" s="68">
        <f t="shared" si="8"/>
        <v>7</v>
      </c>
      <c r="L142" s="68"/>
      <c r="M142" s="408"/>
      <c r="N142" s="10"/>
      <c r="O142" s="269"/>
      <c r="P142" s="269"/>
      <c r="Q142" s="10"/>
    </row>
    <row r="143" spans="1:17">
      <c r="A143" s="10">
        <v>755</v>
      </c>
      <c r="B143" s="7">
        <v>134</v>
      </c>
      <c r="C143" s="7">
        <f t="shared" si="6"/>
        <v>755206</v>
      </c>
      <c r="D143" s="7" t="s">
        <v>949</v>
      </c>
      <c r="E143" s="7">
        <v>206</v>
      </c>
      <c r="F143" s="7" t="s">
        <v>947</v>
      </c>
      <c r="G143" s="269">
        <v>8.6477987419999999E-2</v>
      </c>
      <c r="H143" s="10">
        <v>636</v>
      </c>
      <c r="I143" s="10">
        <v>55</v>
      </c>
      <c r="J143" s="68">
        <f t="shared" si="7"/>
        <v>54.28</v>
      </c>
      <c r="K143" s="68">
        <f t="shared" si="8"/>
        <v>4.6900000000000004</v>
      </c>
      <c r="L143" s="68"/>
      <c r="M143" s="408"/>
      <c r="N143" s="10"/>
      <c r="O143" s="269"/>
      <c r="P143" s="269"/>
      <c r="Q143" s="10"/>
    </row>
    <row r="144" spans="1:17">
      <c r="A144" s="10">
        <v>755</v>
      </c>
      <c r="B144" s="7">
        <v>135</v>
      </c>
      <c r="C144" s="7">
        <f t="shared" si="6"/>
        <v>755223</v>
      </c>
      <c r="D144" s="7" t="s">
        <v>949</v>
      </c>
      <c r="E144" s="7">
        <v>223</v>
      </c>
      <c r="F144" s="7" t="s">
        <v>972</v>
      </c>
      <c r="G144" s="269">
        <v>0.78459119496999996</v>
      </c>
      <c r="H144" s="10">
        <v>636</v>
      </c>
      <c r="I144" s="10">
        <v>499</v>
      </c>
      <c r="J144" s="68">
        <f t="shared" si="7"/>
        <v>27.57</v>
      </c>
      <c r="K144" s="68">
        <f t="shared" si="8"/>
        <v>21.63</v>
      </c>
      <c r="L144" s="68"/>
      <c r="M144" s="408"/>
      <c r="N144" s="10"/>
      <c r="O144" s="269"/>
      <c r="P144" s="269"/>
      <c r="Q144" s="10"/>
    </row>
    <row r="145" spans="1:17">
      <c r="A145" s="10">
        <v>755</v>
      </c>
      <c r="B145" s="7">
        <v>136</v>
      </c>
      <c r="C145" s="7">
        <f t="shared" si="6"/>
        <v>755234</v>
      </c>
      <c r="D145" s="7" t="s">
        <v>949</v>
      </c>
      <c r="E145" s="7">
        <v>234</v>
      </c>
      <c r="F145" s="7" t="s">
        <v>1003</v>
      </c>
      <c r="G145" s="269">
        <v>8.3333333329999995E-2</v>
      </c>
      <c r="H145" s="10">
        <v>636</v>
      </c>
      <c r="I145" s="10">
        <v>53</v>
      </c>
      <c r="J145" s="68">
        <f t="shared" si="7"/>
        <v>79.61</v>
      </c>
      <c r="K145" s="68">
        <f t="shared" si="8"/>
        <v>6.63</v>
      </c>
      <c r="L145" s="68"/>
      <c r="M145" s="408"/>
      <c r="N145" s="10"/>
      <c r="O145" s="269"/>
      <c r="P145" s="269"/>
      <c r="Q145" s="10"/>
    </row>
    <row r="146" spans="1:17">
      <c r="A146" s="10">
        <v>755</v>
      </c>
      <c r="B146" s="7">
        <v>137</v>
      </c>
      <c r="C146" s="7">
        <f t="shared" si="6"/>
        <v>755319</v>
      </c>
      <c r="D146" s="7" t="s">
        <v>949</v>
      </c>
      <c r="E146" s="7">
        <v>319</v>
      </c>
      <c r="F146" s="7" t="s">
        <v>1097</v>
      </c>
      <c r="G146" s="269">
        <v>4.5597484280000003E-2</v>
      </c>
      <c r="H146" s="10">
        <v>636</v>
      </c>
      <c r="I146" s="10">
        <v>29</v>
      </c>
      <c r="J146" s="68">
        <f t="shared" si="7"/>
        <v>49.61</v>
      </c>
      <c r="K146" s="68">
        <f t="shared" si="8"/>
        <v>2.2599999999999998</v>
      </c>
      <c r="L146" s="68"/>
      <c r="M146" s="408"/>
      <c r="N146" s="10"/>
      <c r="O146" s="269"/>
      <c r="P146" s="269"/>
      <c r="Q146" s="10"/>
    </row>
    <row r="147" spans="1:17">
      <c r="A147" s="10">
        <v>760</v>
      </c>
      <c r="B147" s="7">
        <v>138</v>
      </c>
      <c r="C147" s="7">
        <f t="shared" si="6"/>
        <v>760118</v>
      </c>
      <c r="D147" s="7" t="s">
        <v>811</v>
      </c>
      <c r="E147" s="7">
        <v>118</v>
      </c>
      <c r="F147" s="7" t="s">
        <v>810</v>
      </c>
      <c r="G147" s="269">
        <v>0.31306666666999999</v>
      </c>
      <c r="H147" s="10">
        <v>1875</v>
      </c>
      <c r="I147" s="10">
        <v>587</v>
      </c>
      <c r="J147" s="68">
        <f t="shared" si="7"/>
        <v>52.31</v>
      </c>
      <c r="K147" s="68">
        <f t="shared" si="8"/>
        <v>16.38</v>
      </c>
      <c r="L147" s="68"/>
      <c r="M147" s="408"/>
      <c r="N147" s="10"/>
      <c r="O147" s="269"/>
      <c r="P147" s="269"/>
      <c r="Q147" s="10"/>
    </row>
    <row r="148" spans="1:17">
      <c r="A148" s="10">
        <v>760</v>
      </c>
      <c r="B148" s="7">
        <v>139</v>
      </c>
      <c r="C148" s="7">
        <f t="shared" si="6"/>
        <v>760145</v>
      </c>
      <c r="D148" s="7" t="s">
        <v>811</v>
      </c>
      <c r="E148" s="7">
        <v>145</v>
      </c>
      <c r="F148" s="7" t="s">
        <v>842</v>
      </c>
      <c r="G148" s="269">
        <v>0.57013333333000005</v>
      </c>
      <c r="H148" s="10">
        <v>1875</v>
      </c>
      <c r="I148" s="10">
        <v>1069</v>
      </c>
      <c r="J148" s="68">
        <f t="shared" si="7"/>
        <v>61.89</v>
      </c>
      <c r="K148" s="68">
        <f t="shared" si="8"/>
        <v>35.29</v>
      </c>
      <c r="L148" s="68"/>
      <c r="M148" s="408"/>
      <c r="N148" s="10"/>
      <c r="O148" s="269"/>
      <c r="P148" s="269"/>
      <c r="Q148" s="10"/>
    </row>
    <row r="149" spans="1:17">
      <c r="A149" s="10">
        <v>760</v>
      </c>
      <c r="B149" s="7">
        <v>140</v>
      </c>
      <c r="C149" s="7">
        <f t="shared" si="6"/>
        <v>760240</v>
      </c>
      <c r="D149" s="7" t="s">
        <v>811</v>
      </c>
      <c r="E149" s="7">
        <v>240</v>
      </c>
      <c r="F149" s="7" t="s">
        <v>1010</v>
      </c>
      <c r="G149" s="269">
        <v>0.1168</v>
      </c>
      <c r="H149" s="10">
        <v>1875</v>
      </c>
      <c r="I149" s="10">
        <v>219</v>
      </c>
      <c r="J149" s="68">
        <f t="shared" si="7"/>
        <v>71.290000000000006</v>
      </c>
      <c r="K149" s="68">
        <f t="shared" si="8"/>
        <v>8.33</v>
      </c>
      <c r="L149" s="68"/>
      <c r="M149" s="408"/>
      <c r="N149" s="10"/>
      <c r="O149" s="269"/>
      <c r="P149" s="269"/>
      <c r="Q149" s="10"/>
    </row>
    <row r="150" spans="1:17">
      <c r="A150" s="10">
        <v>763</v>
      </c>
      <c r="B150" s="7">
        <v>141</v>
      </c>
      <c r="C150" s="7">
        <f t="shared" si="6"/>
        <v>763027</v>
      </c>
      <c r="D150" s="7" t="s">
        <v>688</v>
      </c>
      <c r="E150" s="7">
        <v>27</v>
      </c>
      <c r="F150" s="7" t="s">
        <v>39</v>
      </c>
      <c r="G150" s="269">
        <v>0.28323108384000001</v>
      </c>
      <c r="H150" s="10">
        <v>978</v>
      </c>
      <c r="I150" s="10">
        <v>277</v>
      </c>
      <c r="J150" s="68">
        <f t="shared" si="7"/>
        <v>50.03</v>
      </c>
      <c r="K150" s="68">
        <f t="shared" si="8"/>
        <v>14.17</v>
      </c>
      <c r="L150" s="68"/>
      <c r="M150" s="408"/>
      <c r="N150" s="10"/>
      <c r="O150" s="269"/>
      <c r="P150" s="269"/>
      <c r="Q150" s="10"/>
    </row>
    <row r="151" spans="1:17">
      <c r="A151" s="10">
        <v>763</v>
      </c>
      <c r="B151" s="7">
        <v>142</v>
      </c>
      <c r="C151" s="7">
        <f t="shared" si="6"/>
        <v>763273</v>
      </c>
      <c r="D151" s="7" t="s">
        <v>688</v>
      </c>
      <c r="E151" s="7">
        <v>273</v>
      </c>
      <c r="F151" s="7" t="s">
        <v>1043</v>
      </c>
      <c r="G151" s="269">
        <v>0.71676891616000005</v>
      </c>
      <c r="H151" s="10">
        <v>978</v>
      </c>
      <c r="I151" s="10">
        <v>701</v>
      </c>
      <c r="J151" s="68">
        <f t="shared" si="7"/>
        <v>55.26</v>
      </c>
      <c r="K151" s="68">
        <f t="shared" si="8"/>
        <v>39.61</v>
      </c>
      <c r="L151" s="68"/>
      <c r="M151" s="408"/>
      <c r="N151" s="10"/>
      <c r="O151" s="269"/>
      <c r="P151" s="269"/>
      <c r="Q151" s="10"/>
    </row>
    <row r="152" spans="1:17">
      <c r="A152" s="10">
        <v>765</v>
      </c>
      <c r="B152" s="7">
        <v>143</v>
      </c>
      <c r="C152" s="7">
        <f t="shared" si="6"/>
        <v>765006</v>
      </c>
      <c r="D152" s="7" t="s">
        <v>0</v>
      </c>
      <c r="E152" s="7">
        <v>6</v>
      </c>
      <c r="F152" s="7" t="s">
        <v>1173</v>
      </c>
      <c r="G152" s="269">
        <v>2.93255132E-2</v>
      </c>
      <c r="H152" s="10">
        <v>682</v>
      </c>
      <c r="I152" s="10">
        <v>20</v>
      </c>
      <c r="J152" s="68">
        <f t="shared" si="7"/>
        <v>82.5</v>
      </c>
      <c r="K152" s="68">
        <f t="shared" si="8"/>
        <v>2.42</v>
      </c>
      <c r="L152" s="68"/>
      <c r="M152" s="408"/>
      <c r="N152" s="10"/>
      <c r="O152" s="269"/>
      <c r="P152" s="269"/>
      <c r="Q152" s="10"/>
    </row>
    <row r="153" spans="1:17">
      <c r="A153" s="10">
        <v>765</v>
      </c>
      <c r="B153" s="7">
        <v>144</v>
      </c>
      <c r="C153" s="7">
        <f t="shared" si="6"/>
        <v>765090</v>
      </c>
      <c r="D153" s="7" t="s">
        <v>0</v>
      </c>
      <c r="E153" s="7">
        <v>90</v>
      </c>
      <c r="F153" s="7" t="s">
        <v>776</v>
      </c>
      <c r="G153" s="269">
        <v>0.12170087977000001</v>
      </c>
      <c r="H153" s="10">
        <v>682</v>
      </c>
      <c r="I153" s="10">
        <v>83</v>
      </c>
      <c r="J153" s="68">
        <f t="shared" si="7"/>
        <v>82.5</v>
      </c>
      <c r="K153" s="68">
        <f t="shared" si="8"/>
        <v>10.039999999999999</v>
      </c>
      <c r="L153" s="68"/>
      <c r="M153" s="408"/>
      <c r="N153" s="10"/>
      <c r="O153" s="269"/>
      <c r="P153" s="269"/>
      <c r="Q153" s="10"/>
    </row>
    <row r="154" spans="1:17">
      <c r="A154" s="10">
        <v>765</v>
      </c>
      <c r="B154" s="7">
        <v>145</v>
      </c>
      <c r="C154" s="7">
        <f t="shared" si="6"/>
        <v>765193</v>
      </c>
      <c r="D154" s="7" t="s">
        <v>0</v>
      </c>
      <c r="E154" s="7">
        <v>193</v>
      </c>
      <c r="F154" s="7" t="s">
        <v>932</v>
      </c>
      <c r="G154" s="269">
        <v>0.12170087977000001</v>
      </c>
      <c r="H154" s="10">
        <v>682</v>
      </c>
      <c r="I154" s="10">
        <v>83</v>
      </c>
      <c r="J154" s="68">
        <f t="shared" si="7"/>
        <v>82.5</v>
      </c>
      <c r="K154" s="68">
        <f t="shared" si="8"/>
        <v>10.039999999999999</v>
      </c>
      <c r="L154" s="68"/>
      <c r="M154" s="408"/>
      <c r="N154" s="10"/>
      <c r="O154" s="269"/>
      <c r="P154" s="269"/>
      <c r="Q154" s="10"/>
    </row>
    <row r="155" spans="1:17">
      <c r="A155" s="10">
        <v>765</v>
      </c>
      <c r="B155" s="7">
        <v>146</v>
      </c>
      <c r="C155" s="7">
        <f t="shared" si="6"/>
        <v>765205</v>
      </c>
      <c r="D155" s="7" t="s">
        <v>0</v>
      </c>
      <c r="E155" s="7">
        <v>205</v>
      </c>
      <c r="F155" s="7" t="s">
        <v>946</v>
      </c>
      <c r="G155" s="269">
        <v>0.23020527859000001</v>
      </c>
      <c r="H155" s="10">
        <v>682</v>
      </c>
      <c r="I155" s="10">
        <v>157</v>
      </c>
      <c r="J155" s="68">
        <f t="shared" si="7"/>
        <v>82.5</v>
      </c>
      <c r="K155" s="68">
        <f t="shared" si="8"/>
        <v>18.989999999999998</v>
      </c>
      <c r="L155" s="68"/>
      <c r="M155" s="408"/>
      <c r="N155" s="10"/>
      <c r="O155" s="269"/>
      <c r="P155" s="269"/>
      <c r="Q155" s="10"/>
    </row>
    <row r="156" spans="1:17">
      <c r="A156" s="10">
        <v>765</v>
      </c>
      <c r="B156" s="7">
        <v>147</v>
      </c>
      <c r="C156" s="7">
        <f t="shared" si="6"/>
        <v>765267</v>
      </c>
      <c r="D156" s="7" t="s">
        <v>0</v>
      </c>
      <c r="E156" s="7">
        <v>267</v>
      </c>
      <c r="F156" s="7" t="s">
        <v>1037</v>
      </c>
      <c r="G156" s="269">
        <v>0.49706744868000002</v>
      </c>
      <c r="H156" s="10">
        <v>682</v>
      </c>
      <c r="I156" s="10">
        <v>339</v>
      </c>
      <c r="J156" s="68">
        <f t="shared" si="7"/>
        <v>82.5</v>
      </c>
      <c r="K156" s="68">
        <f t="shared" si="8"/>
        <v>41.01</v>
      </c>
      <c r="L156" s="68"/>
      <c r="M156" s="408"/>
      <c r="N156" s="10"/>
      <c r="O156" s="269"/>
      <c r="P156" s="269"/>
      <c r="Q156" s="10"/>
    </row>
    <row r="157" spans="1:17">
      <c r="A157" s="10">
        <v>766</v>
      </c>
      <c r="B157" s="7">
        <v>148</v>
      </c>
      <c r="C157" s="7">
        <f t="shared" si="6"/>
        <v>766112</v>
      </c>
      <c r="D157" s="7" t="s">
        <v>1056</v>
      </c>
      <c r="E157" s="7">
        <v>112</v>
      </c>
      <c r="F157" s="7" t="s">
        <v>281</v>
      </c>
      <c r="G157" s="269">
        <v>0.12377622378</v>
      </c>
      <c r="H157" s="10">
        <v>1430</v>
      </c>
      <c r="I157" s="10">
        <v>177</v>
      </c>
      <c r="J157" s="68">
        <f t="shared" si="7"/>
        <v>74.13</v>
      </c>
      <c r="K157" s="68">
        <f t="shared" si="8"/>
        <v>9.18</v>
      </c>
      <c r="L157" s="68"/>
      <c r="M157" s="408"/>
      <c r="N157" s="10"/>
      <c r="O157" s="269"/>
      <c r="P157" s="269"/>
      <c r="Q157" s="10"/>
    </row>
    <row r="158" spans="1:17">
      <c r="A158" s="10">
        <v>766</v>
      </c>
      <c r="B158" s="7">
        <v>149</v>
      </c>
      <c r="C158" s="7">
        <f t="shared" si="6"/>
        <v>766279</v>
      </c>
      <c r="D158" s="7" t="s">
        <v>1056</v>
      </c>
      <c r="E158" s="7">
        <v>279</v>
      </c>
      <c r="F158" s="7" t="s">
        <v>1055</v>
      </c>
      <c r="G158" s="269">
        <v>0.84475524475999997</v>
      </c>
      <c r="H158" s="10">
        <v>1430</v>
      </c>
      <c r="I158" s="10">
        <v>1208</v>
      </c>
      <c r="J158" s="68">
        <f t="shared" si="7"/>
        <v>64.81</v>
      </c>
      <c r="K158" s="68">
        <f t="shared" si="8"/>
        <v>54.75</v>
      </c>
      <c r="L158" s="68"/>
      <c r="M158" s="408"/>
      <c r="N158" s="10"/>
      <c r="O158" s="269"/>
      <c r="P158" s="269"/>
      <c r="Q158" s="10"/>
    </row>
    <row r="159" spans="1:17">
      <c r="A159" s="10">
        <v>766</v>
      </c>
      <c r="B159" s="7">
        <v>150</v>
      </c>
      <c r="C159" s="7">
        <f t="shared" si="6"/>
        <v>766297</v>
      </c>
      <c r="D159" s="7" t="s">
        <v>1056</v>
      </c>
      <c r="E159" s="7">
        <v>297</v>
      </c>
      <c r="F159" s="7" t="s">
        <v>1074</v>
      </c>
      <c r="G159" s="269">
        <v>3.1468531469999998E-2</v>
      </c>
      <c r="H159" s="10">
        <v>1430</v>
      </c>
      <c r="I159" s="10">
        <v>45</v>
      </c>
      <c r="J159" s="68">
        <f t="shared" si="7"/>
        <v>82.5</v>
      </c>
      <c r="K159" s="68">
        <f t="shared" si="8"/>
        <v>2.6</v>
      </c>
      <c r="L159" s="68"/>
      <c r="M159" s="408"/>
      <c r="N159" s="10"/>
      <c r="O159" s="269"/>
      <c r="P159" s="269"/>
      <c r="Q159" s="10"/>
    </row>
    <row r="160" spans="1:17">
      <c r="A160" s="10">
        <v>767</v>
      </c>
      <c r="B160" s="7">
        <v>151</v>
      </c>
      <c r="C160" s="7">
        <f t="shared" si="6"/>
        <v>767084</v>
      </c>
      <c r="D160" s="7" t="s">
        <v>769</v>
      </c>
      <c r="E160" s="7">
        <v>84</v>
      </c>
      <c r="F160" s="7" t="s">
        <v>768</v>
      </c>
      <c r="G160" s="269">
        <v>0.18660880347</v>
      </c>
      <c r="H160" s="10">
        <v>1613</v>
      </c>
      <c r="I160" s="10">
        <v>301</v>
      </c>
      <c r="J160" s="68">
        <f t="shared" si="7"/>
        <v>47.48</v>
      </c>
      <c r="K160" s="68">
        <f t="shared" si="8"/>
        <v>8.86</v>
      </c>
      <c r="L160" s="68"/>
      <c r="M160" s="408"/>
      <c r="N160" s="10"/>
      <c r="O160" s="269"/>
      <c r="P160" s="269"/>
      <c r="Q160" s="10"/>
    </row>
    <row r="161" spans="1:17">
      <c r="A161" s="10">
        <v>767</v>
      </c>
      <c r="B161" s="7">
        <v>152</v>
      </c>
      <c r="C161" s="7">
        <f t="shared" si="6"/>
        <v>767280</v>
      </c>
      <c r="D161" s="7" t="s">
        <v>769</v>
      </c>
      <c r="E161" s="7">
        <v>280</v>
      </c>
      <c r="F161" s="7" t="s">
        <v>1057</v>
      </c>
      <c r="G161" s="269">
        <v>0.81339119653000003</v>
      </c>
      <c r="H161" s="10">
        <v>1613</v>
      </c>
      <c r="I161" s="10">
        <v>1312</v>
      </c>
      <c r="J161" s="68">
        <f t="shared" si="7"/>
        <v>45.22</v>
      </c>
      <c r="K161" s="68">
        <f t="shared" si="8"/>
        <v>36.78</v>
      </c>
      <c r="L161" s="68"/>
      <c r="M161" s="408"/>
      <c r="N161" s="10"/>
      <c r="O161" s="269"/>
      <c r="P161" s="269"/>
      <c r="Q161" s="10"/>
    </row>
    <row r="162" spans="1:17">
      <c r="A162" s="10">
        <v>770</v>
      </c>
      <c r="B162" s="7">
        <v>153</v>
      </c>
      <c r="C162" s="7">
        <f t="shared" si="6"/>
        <v>770043</v>
      </c>
      <c r="D162" s="7" t="s">
        <v>700</v>
      </c>
      <c r="E162" s="7">
        <v>43</v>
      </c>
      <c r="F162" s="7" t="s">
        <v>699</v>
      </c>
      <c r="G162" s="269">
        <v>0.16309012876000001</v>
      </c>
      <c r="H162" s="10">
        <v>1631</v>
      </c>
      <c r="I162" s="10">
        <v>266</v>
      </c>
      <c r="J162" s="68">
        <f t="shared" si="7"/>
        <v>56.93</v>
      </c>
      <c r="K162" s="68">
        <f t="shared" si="8"/>
        <v>9.2799999999999994</v>
      </c>
      <c r="L162" s="68"/>
      <c r="M162" s="408"/>
      <c r="N162" s="10"/>
      <c r="O162" s="269"/>
      <c r="P162" s="269"/>
      <c r="Q162" s="10"/>
    </row>
    <row r="163" spans="1:17">
      <c r="A163" s="10">
        <v>770</v>
      </c>
      <c r="B163" s="7">
        <v>154</v>
      </c>
      <c r="C163" s="7">
        <f t="shared" si="6"/>
        <v>770045</v>
      </c>
      <c r="D163" s="7" t="s">
        <v>700</v>
      </c>
      <c r="E163" s="7">
        <v>45</v>
      </c>
      <c r="F163" s="7" t="s">
        <v>703</v>
      </c>
      <c r="G163" s="269">
        <v>0.14592274678</v>
      </c>
      <c r="H163" s="10">
        <v>1631</v>
      </c>
      <c r="I163" s="10">
        <v>238</v>
      </c>
      <c r="J163" s="68">
        <f t="shared" si="7"/>
        <v>42.71</v>
      </c>
      <c r="K163" s="68">
        <f t="shared" si="8"/>
        <v>6.23</v>
      </c>
      <c r="L163" s="68"/>
      <c r="M163" s="408"/>
      <c r="N163" s="10"/>
      <c r="O163" s="269"/>
      <c r="P163" s="269"/>
      <c r="Q163" s="10"/>
    </row>
    <row r="164" spans="1:17">
      <c r="A164" s="10">
        <v>770</v>
      </c>
      <c r="B164" s="7">
        <v>155</v>
      </c>
      <c r="C164" s="7">
        <f t="shared" si="6"/>
        <v>770135</v>
      </c>
      <c r="D164" s="7" t="s">
        <v>700</v>
      </c>
      <c r="E164" s="7">
        <v>135</v>
      </c>
      <c r="F164" s="7" t="s">
        <v>832</v>
      </c>
      <c r="G164" s="269">
        <v>0.11833231147000001</v>
      </c>
      <c r="H164" s="10">
        <v>1631</v>
      </c>
      <c r="I164" s="10">
        <v>193</v>
      </c>
      <c r="J164" s="68">
        <f t="shared" si="7"/>
        <v>57.24</v>
      </c>
      <c r="K164" s="68">
        <f t="shared" si="8"/>
        <v>6.77</v>
      </c>
      <c r="L164" s="68"/>
      <c r="M164" s="408"/>
      <c r="N164" s="10"/>
      <c r="O164" s="269"/>
      <c r="P164" s="269"/>
      <c r="Q164" s="10"/>
    </row>
    <row r="165" spans="1:17">
      <c r="A165" s="10">
        <v>770</v>
      </c>
      <c r="B165" s="7">
        <v>156</v>
      </c>
      <c r="C165" s="7">
        <f t="shared" si="6"/>
        <v>770287</v>
      </c>
      <c r="D165" s="7" t="s">
        <v>700</v>
      </c>
      <c r="E165" s="7">
        <v>287</v>
      </c>
      <c r="F165" s="7" t="s">
        <v>1064</v>
      </c>
      <c r="G165" s="269">
        <v>0.49110974862000001</v>
      </c>
      <c r="H165" s="10">
        <v>1631</v>
      </c>
      <c r="I165" s="10">
        <v>801</v>
      </c>
      <c r="J165" s="68">
        <f t="shared" si="7"/>
        <v>57.27</v>
      </c>
      <c r="K165" s="68">
        <f t="shared" si="8"/>
        <v>28.13</v>
      </c>
      <c r="L165" s="68"/>
      <c r="M165" s="408"/>
      <c r="N165" s="10"/>
      <c r="O165" s="269"/>
      <c r="P165" s="269"/>
      <c r="Q165" s="10"/>
    </row>
    <row r="166" spans="1:17">
      <c r="A166" s="10">
        <v>770</v>
      </c>
      <c r="B166" s="7">
        <v>157</v>
      </c>
      <c r="C166" s="7">
        <f t="shared" si="6"/>
        <v>770306</v>
      </c>
      <c r="D166" s="7" t="s">
        <v>700</v>
      </c>
      <c r="E166" s="7">
        <v>306</v>
      </c>
      <c r="F166" s="7" t="s">
        <v>1083</v>
      </c>
      <c r="G166" s="269">
        <v>8.1545064380000004E-2</v>
      </c>
      <c r="H166" s="10">
        <v>1631</v>
      </c>
      <c r="I166" s="10">
        <v>133</v>
      </c>
      <c r="J166" s="68">
        <f t="shared" si="7"/>
        <v>37.130000000000003</v>
      </c>
      <c r="K166" s="68">
        <f t="shared" si="8"/>
        <v>3.03</v>
      </c>
      <c r="L166" s="68"/>
      <c r="M166" s="408"/>
      <c r="N166" s="10"/>
      <c r="O166" s="269"/>
      <c r="P166" s="269"/>
      <c r="Q166" s="10"/>
    </row>
    <row r="167" spans="1:17">
      <c r="A167" s="10">
        <v>773</v>
      </c>
      <c r="B167" s="7">
        <v>158</v>
      </c>
      <c r="C167" s="7">
        <f t="shared" si="6"/>
        <v>773203</v>
      </c>
      <c r="D167" s="7" t="s">
        <v>944</v>
      </c>
      <c r="E167" s="7">
        <v>203</v>
      </c>
      <c r="F167" s="7" t="s">
        <v>943</v>
      </c>
      <c r="G167" s="269">
        <v>0.29347826087000001</v>
      </c>
      <c r="H167" s="10">
        <v>2484</v>
      </c>
      <c r="I167" s="10">
        <v>729</v>
      </c>
      <c r="J167" s="68">
        <f t="shared" si="7"/>
        <v>82.5</v>
      </c>
      <c r="K167" s="68">
        <f t="shared" si="8"/>
        <v>24.21</v>
      </c>
      <c r="L167" s="68"/>
      <c r="M167" s="408"/>
      <c r="N167" s="10"/>
      <c r="O167" s="269"/>
      <c r="P167" s="269"/>
      <c r="Q167" s="10"/>
    </row>
    <row r="168" spans="1:17">
      <c r="A168" s="10">
        <v>773</v>
      </c>
      <c r="B168" s="7">
        <v>159</v>
      </c>
      <c r="C168" s="7">
        <f t="shared" si="6"/>
        <v>773254</v>
      </c>
      <c r="D168" s="7" t="s">
        <v>944</v>
      </c>
      <c r="E168" s="7">
        <v>254</v>
      </c>
      <c r="F168" s="7" t="s">
        <v>1024</v>
      </c>
      <c r="G168" s="269">
        <v>0.32930756843999998</v>
      </c>
      <c r="H168" s="10">
        <v>2484</v>
      </c>
      <c r="I168" s="10">
        <v>818</v>
      </c>
      <c r="J168" s="68">
        <f t="shared" si="7"/>
        <v>82.5</v>
      </c>
      <c r="K168" s="68">
        <f t="shared" si="8"/>
        <v>27.17</v>
      </c>
      <c r="L168" s="68"/>
      <c r="M168" s="408"/>
      <c r="N168" s="10"/>
      <c r="O168" s="269"/>
      <c r="P168" s="269"/>
      <c r="Q168" s="10"/>
    </row>
    <row r="169" spans="1:17">
      <c r="A169" s="10">
        <v>773</v>
      </c>
      <c r="B169" s="7">
        <v>160</v>
      </c>
      <c r="C169" s="7">
        <f t="shared" si="6"/>
        <v>773259</v>
      </c>
      <c r="D169" s="7" t="s">
        <v>944</v>
      </c>
      <c r="E169" s="7">
        <v>259</v>
      </c>
      <c r="F169" s="7" t="s">
        <v>1029</v>
      </c>
      <c r="G169" s="269">
        <v>0.37721417069000002</v>
      </c>
      <c r="H169" s="10">
        <v>2484</v>
      </c>
      <c r="I169" s="10">
        <v>937</v>
      </c>
      <c r="J169" s="68">
        <f t="shared" si="7"/>
        <v>82.5</v>
      </c>
      <c r="K169" s="68">
        <f t="shared" si="8"/>
        <v>31.12</v>
      </c>
      <c r="L169" s="68"/>
      <c r="M169" s="408"/>
      <c r="N169" s="10"/>
      <c r="O169" s="269"/>
      <c r="P169" s="269"/>
      <c r="Q169" s="10"/>
    </row>
    <row r="170" spans="1:17">
      <c r="A170" s="10">
        <v>774</v>
      </c>
      <c r="B170" s="7">
        <v>161</v>
      </c>
      <c r="C170" s="7">
        <f t="shared" si="6"/>
        <v>774062</v>
      </c>
      <c r="D170" s="7" t="s">
        <v>733</v>
      </c>
      <c r="E170" s="7">
        <v>62</v>
      </c>
      <c r="F170" s="7" t="s">
        <v>728</v>
      </c>
      <c r="G170" s="269">
        <v>0.20151133500999999</v>
      </c>
      <c r="H170" s="10">
        <v>397</v>
      </c>
      <c r="I170" s="10">
        <v>80</v>
      </c>
      <c r="J170" s="68">
        <f t="shared" si="7"/>
        <v>82.5</v>
      </c>
      <c r="K170" s="68">
        <f t="shared" si="8"/>
        <v>16.62</v>
      </c>
      <c r="L170" s="68"/>
      <c r="M170" s="408"/>
      <c r="N170" s="10"/>
      <c r="O170" s="269"/>
      <c r="P170" s="269"/>
      <c r="Q170" s="10"/>
    </row>
    <row r="171" spans="1:17">
      <c r="A171" s="10">
        <v>774</v>
      </c>
      <c r="B171" s="7">
        <v>162</v>
      </c>
      <c r="C171" s="7">
        <f t="shared" si="6"/>
        <v>774104</v>
      </c>
      <c r="D171" s="7" t="s">
        <v>733</v>
      </c>
      <c r="E171" s="7">
        <v>104</v>
      </c>
      <c r="F171" s="7" t="s">
        <v>1131</v>
      </c>
      <c r="G171" s="269">
        <v>0.10579345088</v>
      </c>
      <c r="H171" s="10">
        <v>397</v>
      </c>
      <c r="I171" s="10">
        <v>42</v>
      </c>
      <c r="J171" s="68">
        <f t="shared" si="7"/>
        <v>82.5</v>
      </c>
      <c r="K171" s="68">
        <f t="shared" si="8"/>
        <v>8.73</v>
      </c>
      <c r="L171" s="68"/>
      <c r="M171" s="408"/>
      <c r="N171" s="10"/>
      <c r="O171" s="269"/>
      <c r="P171" s="269"/>
      <c r="Q171" s="10"/>
    </row>
    <row r="172" spans="1:17">
      <c r="A172" s="10">
        <v>774</v>
      </c>
      <c r="B172" s="7">
        <v>163</v>
      </c>
      <c r="C172" s="7">
        <f t="shared" si="6"/>
        <v>774334</v>
      </c>
      <c r="D172" s="7" t="s">
        <v>733</v>
      </c>
      <c r="E172" s="7">
        <v>334</v>
      </c>
      <c r="F172" s="7" t="s">
        <v>1112</v>
      </c>
      <c r="G172" s="269">
        <v>0.69269521411000001</v>
      </c>
      <c r="H172" s="10">
        <v>397</v>
      </c>
      <c r="I172" s="10">
        <v>275</v>
      </c>
      <c r="J172" s="68">
        <f t="shared" si="7"/>
        <v>82.5</v>
      </c>
      <c r="K172" s="68">
        <f t="shared" si="8"/>
        <v>57.15</v>
      </c>
      <c r="L172" s="68"/>
      <c r="M172" s="408"/>
      <c r="N172" s="10"/>
      <c r="O172" s="269"/>
      <c r="P172" s="269"/>
      <c r="Q172" s="10"/>
    </row>
    <row r="173" spans="1:17">
      <c r="A173" s="10">
        <v>775</v>
      </c>
      <c r="B173" s="7">
        <v>164</v>
      </c>
      <c r="C173" s="7">
        <f t="shared" si="6"/>
        <v>775134</v>
      </c>
      <c r="D173" s="7" t="s">
        <v>831</v>
      </c>
      <c r="E173" s="7">
        <v>134</v>
      </c>
      <c r="F173" s="7" t="s">
        <v>830</v>
      </c>
      <c r="G173" s="269">
        <v>0.44484083424999998</v>
      </c>
      <c r="H173" s="10">
        <v>7288</v>
      </c>
      <c r="I173" s="10">
        <v>3242</v>
      </c>
      <c r="J173" s="68">
        <f t="shared" si="7"/>
        <v>58.75</v>
      </c>
      <c r="K173" s="68">
        <f t="shared" si="8"/>
        <v>26.13</v>
      </c>
      <c r="L173" s="68"/>
      <c r="M173" s="408"/>
      <c r="N173" s="10"/>
      <c r="O173" s="269"/>
      <c r="P173" s="269"/>
      <c r="Q173" s="10"/>
    </row>
    <row r="174" spans="1:17">
      <c r="A174" s="10">
        <v>775</v>
      </c>
      <c r="B174" s="7">
        <v>165</v>
      </c>
      <c r="C174" s="7">
        <f t="shared" si="6"/>
        <v>775228</v>
      </c>
      <c r="D174" s="7" t="s">
        <v>831</v>
      </c>
      <c r="E174" s="7">
        <v>228</v>
      </c>
      <c r="F174" s="7" t="s">
        <v>987</v>
      </c>
      <c r="G174" s="269">
        <v>9.9478594949999999E-2</v>
      </c>
      <c r="H174" s="10">
        <v>7288</v>
      </c>
      <c r="I174" s="10">
        <v>725</v>
      </c>
      <c r="J174" s="68">
        <f t="shared" si="7"/>
        <v>61.1</v>
      </c>
      <c r="K174" s="68">
        <f t="shared" si="8"/>
        <v>6.08</v>
      </c>
      <c r="L174" s="68"/>
      <c r="M174" s="408"/>
      <c r="N174" s="10"/>
      <c r="O174" s="269"/>
      <c r="P174" s="269"/>
      <c r="Q174" s="10"/>
    </row>
    <row r="175" spans="1:17">
      <c r="A175" s="10">
        <v>775</v>
      </c>
      <c r="B175" s="7">
        <v>166</v>
      </c>
      <c r="C175" s="7">
        <f t="shared" si="6"/>
        <v>775241</v>
      </c>
      <c r="D175" s="7" t="s">
        <v>831</v>
      </c>
      <c r="E175" s="7">
        <v>241</v>
      </c>
      <c r="F175" s="7" t="s">
        <v>1011</v>
      </c>
      <c r="G175" s="269">
        <v>6.2156970360000001E-2</v>
      </c>
      <c r="H175" s="10">
        <v>7288</v>
      </c>
      <c r="I175" s="10">
        <v>453</v>
      </c>
      <c r="J175" s="68">
        <f t="shared" si="7"/>
        <v>82.5</v>
      </c>
      <c r="K175" s="68">
        <f t="shared" si="8"/>
        <v>5.13</v>
      </c>
      <c r="L175" s="68"/>
      <c r="M175" s="408"/>
      <c r="N175" s="10"/>
      <c r="O175" s="269"/>
      <c r="P175" s="269"/>
      <c r="Q175" s="10"/>
    </row>
    <row r="176" spans="1:17">
      <c r="A176" s="10">
        <v>775</v>
      </c>
      <c r="B176" s="7">
        <v>167</v>
      </c>
      <c r="C176" s="7">
        <f t="shared" si="6"/>
        <v>775257</v>
      </c>
      <c r="D176" s="7" t="s">
        <v>831</v>
      </c>
      <c r="E176" s="7">
        <v>257</v>
      </c>
      <c r="F176" s="7" t="s">
        <v>1027</v>
      </c>
      <c r="G176" s="269">
        <v>0.23284851811000001</v>
      </c>
      <c r="H176" s="10">
        <v>7288</v>
      </c>
      <c r="I176" s="10">
        <v>1697</v>
      </c>
      <c r="J176" s="68">
        <f t="shared" si="7"/>
        <v>44.78</v>
      </c>
      <c r="K176" s="68">
        <f t="shared" si="8"/>
        <v>10.43</v>
      </c>
      <c r="L176" s="68"/>
      <c r="M176" s="408"/>
      <c r="N176" s="10"/>
      <c r="O176" s="269"/>
      <c r="P176" s="269"/>
      <c r="Q176" s="10"/>
    </row>
    <row r="177" spans="1:17">
      <c r="A177" s="10">
        <v>775</v>
      </c>
      <c r="B177" s="7">
        <v>168</v>
      </c>
      <c r="C177" s="7">
        <f t="shared" si="6"/>
        <v>775282</v>
      </c>
      <c r="D177" s="7" t="s">
        <v>831</v>
      </c>
      <c r="E177" s="7">
        <v>282</v>
      </c>
      <c r="F177" s="7" t="s">
        <v>1059</v>
      </c>
      <c r="G177" s="269">
        <v>0.16067508233</v>
      </c>
      <c r="H177" s="10">
        <v>7288</v>
      </c>
      <c r="I177" s="10">
        <v>1171</v>
      </c>
      <c r="J177" s="68">
        <f t="shared" si="7"/>
        <v>75.44</v>
      </c>
      <c r="K177" s="68">
        <f t="shared" si="8"/>
        <v>12.12</v>
      </c>
      <c r="L177" s="68"/>
      <c r="M177" s="408"/>
      <c r="N177" s="10"/>
      <c r="O177" s="269"/>
      <c r="P177" s="269"/>
      <c r="Q177" s="10"/>
    </row>
    <row r="178" spans="1:17">
      <c r="A178" s="10">
        <v>778</v>
      </c>
      <c r="B178" s="7">
        <v>169</v>
      </c>
      <c r="C178" s="7">
        <f t="shared" si="6"/>
        <v>778311</v>
      </c>
      <c r="D178" s="7" t="s">
        <v>1089</v>
      </c>
      <c r="E178" s="7">
        <v>311</v>
      </c>
      <c r="F178" s="7" t="s">
        <v>1088</v>
      </c>
      <c r="G178" s="269">
        <v>0.61778115501999997</v>
      </c>
      <c r="H178" s="10">
        <v>1316</v>
      </c>
      <c r="I178" s="10">
        <v>813</v>
      </c>
      <c r="J178" s="68">
        <f t="shared" si="7"/>
        <v>26.92</v>
      </c>
      <c r="K178" s="68">
        <f t="shared" si="8"/>
        <v>16.63</v>
      </c>
      <c r="L178" s="68"/>
      <c r="M178" s="408"/>
      <c r="N178" s="10"/>
      <c r="O178" s="269"/>
      <c r="P178" s="269"/>
      <c r="Q178" s="10"/>
    </row>
    <row r="179" spans="1:17">
      <c r="A179" s="10">
        <v>778</v>
      </c>
      <c r="B179" s="7">
        <v>170</v>
      </c>
      <c r="C179" s="7">
        <f t="shared" si="6"/>
        <v>778324</v>
      </c>
      <c r="D179" s="7" t="s">
        <v>1089</v>
      </c>
      <c r="E179" s="7">
        <v>324</v>
      </c>
      <c r="F179" s="7" t="s">
        <v>1102</v>
      </c>
      <c r="G179" s="269">
        <v>0.38221884498000003</v>
      </c>
      <c r="H179" s="10">
        <v>1316</v>
      </c>
      <c r="I179" s="10">
        <v>503</v>
      </c>
      <c r="J179" s="68">
        <f t="shared" si="7"/>
        <v>49.89</v>
      </c>
      <c r="K179" s="68">
        <f t="shared" si="8"/>
        <v>19.07</v>
      </c>
      <c r="L179" s="68"/>
      <c r="M179" s="408"/>
      <c r="N179" s="10"/>
      <c r="O179" s="269"/>
      <c r="P179" s="269"/>
      <c r="Q179" s="10"/>
    </row>
    <row r="180" spans="1:17">
      <c r="A180" s="10">
        <v>780</v>
      </c>
      <c r="B180" s="7">
        <v>171</v>
      </c>
      <c r="C180" s="7">
        <f t="shared" si="6"/>
        <v>780123</v>
      </c>
      <c r="D180" s="7" t="s">
        <v>819</v>
      </c>
      <c r="E180" s="7">
        <v>123</v>
      </c>
      <c r="F180" s="7" t="s">
        <v>818</v>
      </c>
      <c r="G180" s="269">
        <v>0.40544554454999998</v>
      </c>
      <c r="H180" s="10">
        <v>4040</v>
      </c>
      <c r="I180" s="10">
        <v>1638</v>
      </c>
      <c r="J180" s="68">
        <f t="shared" si="7"/>
        <v>54.91</v>
      </c>
      <c r="K180" s="68">
        <f t="shared" si="8"/>
        <v>22.26</v>
      </c>
      <c r="L180" s="68"/>
      <c r="M180" s="408"/>
      <c r="N180" s="10"/>
      <c r="O180" s="269"/>
      <c r="P180" s="269"/>
      <c r="Q180" s="10"/>
    </row>
    <row r="181" spans="1:17">
      <c r="A181" s="10">
        <v>780</v>
      </c>
      <c r="B181" s="7">
        <v>172</v>
      </c>
      <c r="C181" s="7">
        <f t="shared" si="6"/>
        <v>780338</v>
      </c>
      <c r="D181" s="7" t="s">
        <v>819</v>
      </c>
      <c r="E181" s="7">
        <v>338</v>
      </c>
      <c r="F181" s="7" t="s">
        <v>1116</v>
      </c>
      <c r="G181" s="269">
        <v>0.59455445544999996</v>
      </c>
      <c r="H181" s="10">
        <v>4040</v>
      </c>
      <c r="I181" s="10">
        <v>2402</v>
      </c>
      <c r="J181" s="68">
        <f t="shared" si="7"/>
        <v>45.28</v>
      </c>
      <c r="K181" s="68">
        <f t="shared" si="8"/>
        <v>26.92</v>
      </c>
      <c r="L181" s="68"/>
      <c r="M181" s="408"/>
      <c r="N181" s="10"/>
      <c r="O181" s="269"/>
      <c r="P181" s="269"/>
      <c r="Q181" s="10"/>
    </row>
    <row r="182" spans="1:17">
      <c r="A182" s="10">
        <v>801</v>
      </c>
      <c r="B182" s="7">
        <v>173</v>
      </c>
      <c r="C182" s="7">
        <f t="shared" si="6"/>
        <v>801028</v>
      </c>
      <c r="D182" s="7" t="s">
        <v>43</v>
      </c>
      <c r="E182" s="7">
        <v>28</v>
      </c>
      <c r="F182" s="7" t="s">
        <v>41</v>
      </c>
      <c r="G182" s="269">
        <v>2.3779724660000001E-2</v>
      </c>
      <c r="H182" s="10">
        <v>799</v>
      </c>
      <c r="I182" s="10">
        <v>19</v>
      </c>
      <c r="J182" s="68">
        <f t="shared" si="7"/>
        <v>82.5</v>
      </c>
      <c r="K182" s="68">
        <f t="shared" si="8"/>
        <v>1.96</v>
      </c>
      <c r="L182" s="68"/>
      <c r="M182" s="408"/>
      <c r="N182" s="10"/>
      <c r="O182" s="269"/>
      <c r="P182" s="269"/>
      <c r="Q182" s="10"/>
    </row>
    <row r="183" spans="1:17">
      <c r="A183" s="10">
        <v>801</v>
      </c>
      <c r="B183" s="7">
        <v>174</v>
      </c>
      <c r="C183" s="7">
        <f t="shared" si="6"/>
        <v>801141</v>
      </c>
      <c r="D183" s="7" t="s">
        <v>43</v>
      </c>
      <c r="E183" s="7">
        <v>141</v>
      </c>
      <c r="F183" s="7" t="s">
        <v>838</v>
      </c>
      <c r="G183" s="269">
        <v>0.24780976220000001</v>
      </c>
      <c r="H183" s="10">
        <v>799</v>
      </c>
      <c r="I183" s="10">
        <v>198</v>
      </c>
      <c r="J183" s="68">
        <f t="shared" si="7"/>
        <v>59.62</v>
      </c>
      <c r="K183" s="68">
        <f t="shared" si="8"/>
        <v>14.77</v>
      </c>
      <c r="L183" s="68"/>
      <c r="M183" s="408"/>
      <c r="N183" s="10"/>
      <c r="O183" s="269"/>
      <c r="P183" s="269"/>
      <c r="Q183" s="10"/>
    </row>
    <row r="184" spans="1:17">
      <c r="A184" s="10">
        <v>801</v>
      </c>
      <c r="B184" s="7">
        <v>175</v>
      </c>
      <c r="C184" s="7">
        <f t="shared" si="6"/>
        <v>801170</v>
      </c>
      <c r="D184" s="7" t="s">
        <v>43</v>
      </c>
      <c r="E184" s="7">
        <v>170</v>
      </c>
      <c r="F184" s="7" t="s">
        <v>906</v>
      </c>
      <c r="G184" s="269">
        <v>0.52440550687999998</v>
      </c>
      <c r="H184" s="10">
        <v>799</v>
      </c>
      <c r="I184" s="10">
        <v>419</v>
      </c>
      <c r="J184" s="68">
        <f t="shared" si="7"/>
        <v>58.68</v>
      </c>
      <c r="K184" s="68">
        <f t="shared" si="8"/>
        <v>30.77</v>
      </c>
      <c r="L184" s="68"/>
      <c r="M184" s="408"/>
      <c r="N184" s="10"/>
      <c r="O184" s="269"/>
      <c r="P184" s="269"/>
      <c r="Q184" s="10"/>
    </row>
    <row r="185" spans="1:17">
      <c r="A185" s="10">
        <v>801</v>
      </c>
      <c r="B185" s="7">
        <v>176</v>
      </c>
      <c r="C185" s="7">
        <f t="shared" si="6"/>
        <v>801174</v>
      </c>
      <c r="D185" s="7" t="s">
        <v>43</v>
      </c>
      <c r="E185" s="7">
        <v>174</v>
      </c>
      <c r="F185" s="7" t="s">
        <v>910</v>
      </c>
      <c r="G185" s="269">
        <v>6.7584480599999996E-2</v>
      </c>
      <c r="H185" s="10">
        <v>799</v>
      </c>
      <c r="I185" s="10">
        <v>54</v>
      </c>
      <c r="J185" s="68">
        <f t="shared" si="7"/>
        <v>66.34</v>
      </c>
      <c r="K185" s="68">
        <f t="shared" si="8"/>
        <v>4.4800000000000004</v>
      </c>
      <c r="L185" s="68"/>
      <c r="M185" s="408"/>
      <c r="N185" s="10"/>
      <c r="O185" s="269"/>
      <c r="P185" s="269"/>
      <c r="Q185" s="10"/>
    </row>
    <row r="186" spans="1:17">
      <c r="A186" s="10">
        <v>801</v>
      </c>
      <c r="B186" s="7">
        <v>177</v>
      </c>
      <c r="C186" s="7">
        <f t="shared" si="6"/>
        <v>801213</v>
      </c>
      <c r="D186" s="7" t="s">
        <v>43</v>
      </c>
      <c r="E186" s="7">
        <v>213</v>
      </c>
      <c r="F186" s="7" t="s">
        <v>959</v>
      </c>
      <c r="G186" s="269">
        <v>6.2578222779999998E-2</v>
      </c>
      <c r="H186" s="10">
        <v>799</v>
      </c>
      <c r="I186" s="10">
        <v>50</v>
      </c>
      <c r="J186" s="68">
        <f t="shared" si="7"/>
        <v>82.5</v>
      </c>
      <c r="K186" s="68">
        <f t="shared" si="8"/>
        <v>5.16</v>
      </c>
      <c r="L186" s="68"/>
      <c r="M186" s="408"/>
      <c r="N186" s="10"/>
      <c r="O186" s="269"/>
      <c r="P186" s="269"/>
      <c r="Q186" s="10"/>
    </row>
    <row r="187" spans="1:17">
      <c r="A187" s="10">
        <v>801</v>
      </c>
      <c r="B187" s="7">
        <v>178</v>
      </c>
      <c r="C187" s="7">
        <f t="shared" si="6"/>
        <v>801276</v>
      </c>
      <c r="D187" s="7" t="s">
        <v>43</v>
      </c>
      <c r="E187" s="7">
        <v>276</v>
      </c>
      <c r="F187" s="7" t="s">
        <v>1046</v>
      </c>
      <c r="G187" s="269">
        <v>2.503128911E-2</v>
      </c>
      <c r="H187" s="10">
        <v>799</v>
      </c>
      <c r="I187" s="10">
        <v>20</v>
      </c>
      <c r="J187" s="68">
        <f t="shared" si="7"/>
        <v>82.5</v>
      </c>
      <c r="K187" s="68">
        <f t="shared" si="8"/>
        <v>2.0699999999999998</v>
      </c>
      <c r="L187" s="68"/>
      <c r="M187" s="408"/>
      <c r="N187" s="10"/>
      <c r="O187" s="269"/>
      <c r="P187" s="269"/>
      <c r="Q187" s="10"/>
    </row>
    <row r="188" spans="1:17">
      <c r="A188" s="10">
        <v>801</v>
      </c>
      <c r="B188" s="7">
        <v>179</v>
      </c>
      <c r="C188" s="7">
        <f t="shared" si="6"/>
        <v>801321</v>
      </c>
      <c r="D188" s="7" t="s">
        <v>43</v>
      </c>
      <c r="E188" s="7">
        <v>321</v>
      </c>
      <c r="F188" s="7" t="s">
        <v>1099</v>
      </c>
      <c r="G188" s="269">
        <v>4.8811013770000002E-2</v>
      </c>
      <c r="H188" s="10">
        <v>799</v>
      </c>
      <c r="I188" s="10">
        <v>39</v>
      </c>
      <c r="J188" s="68">
        <f t="shared" si="7"/>
        <v>78.5</v>
      </c>
      <c r="K188" s="68">
        <f t="shared" si="8"/>
        <v>3.83</v>
      </c>
      <c r="L188" s="68"/>
      <c r="M188" s="408"/>
      <c r="N188" s="10"/>
      <c r="O188" s="269"/>
      <c r="P188" s="269"/>
      <c r="Q188" s="10"/>
    </row>
    <row r="189" spans="1:17">
      <c r="A189" s="10">
        <v>805</v>
      </c>
      <c r="B189" s="7">
        <v>180</v>
      </c>
      <c r="C189" s="7">
        <f t="shared" si="6"/>
        <v>805025</v>
      </c>
      <c r="D189" s="7" t="s">
        <v>37</v>
      </c>
      <c r="E189" s="7">
        <v>25</v>
      </c>
      <c r="F189" s="7" t="s">
        <v>36</v>
      </c>
      <c r="G189" s="269">
        <v>6.9274653630000002E-2</v>
      </c>
      <c r="H189" s="10">
        <v>1227</v>
      </c>
      <c r="I189" s="10">
        <v>85</v>
      </c>
      <c r="J189" s="68">
        <f t="shared" si="7"/>
        <v>66.55</v>
      </c>
      <c r="K189" s="68">
        <f t="shared" si="8"/>
        <v>4.6100000000000003</v>
      </c>
      <c r="L189" s="68"/>
      <c r="M189" s="408"/>
      <c r="N189" s="10"/>
      <c r="O189" s="269"/>
      <c r="P189" s="269"/>
      <c r="Q189" s="10"/>
    </row>
    <row r="190" spans="1:17">
      <c r="A190" s="10">
        <v>805</v>
      </c>
      <c r="B190" s="7">
        <v>181</v>
      </c>
      <c r="C190" s="7">
        <f t="shared" si="6"/>
        <v>805032</v>
      </c>
      <c r="D190" s="7" t="s">
        <v>37</v>
      </c>
      <c r="E190" s="7">
        <v>32</v>
      </c>
      <c r="F190" s="7" t="s">
        <v>49</v>
      </c>
      <c r="G190" s="269">
        <v>6.1939690300000003E-2</v>
      </c>
      <c r="H190" s="10">
        <v>1227</v>
      </c>
      <c r="I190" s="10">
        <v>76</v>
      </c>
      <c r="J190" s="68">
        <f t="shared" si="7"/>
        <v>47.96</v>
      </c>
      <c r="K190" s="68">
        <f t="shared" si="8"/>
        <v>2.97</v>
      </c>
      <c r="L190" s="68"/>
      <c r="M190" s="408"/>
      <c r="N190" s="10"/>
      <c r="O190" s="269"/>
      <c r="P190" s="269"/>
      <c r="Q190" s="10"/>
    </row>
    <row r="191" spans="1:17">
      <c r="A191" s="10">
        <v>805</v>
      </c>
      <c r="B191" s="7">
        <v>182</v>
      </c>
      <c r="C191" s="7">
        <f t="shared" si="6"/>
        <v>805077</v>
      </c>
      <c r="D191" s="7" t="s">
        <v>37</v>
      </c>
      <c r="E191" s="7">
        <v>77</v>
      </c>
      <c r="F191" s="7" t="s">
        <v>756</v>
      </c>
      <c r="G191" s="269">
        <v>7.8239608799999999E-2</v>
      </c>
      <c r="H191" s="10">
        <v>1227</v>
      </c>
      <c r="I191" s="10">
        <v>96</v>
      </c>
      <c r="J191" s="68">
        <f t="shared" si="7"/>
        <v>52.42</v>
      </c>
      <c r="K191" s="68">
        <f t="shared" si="8"/>
        <v>4.0999999999999996</v>
      </c>
      <c r="L191" s="68"/>
      <c r="M191" s="408"/>
      <c r="N191" s="10"/>
      <c r="O191" s="269"/>
      <c r="P191" s="269"/>
      <c r="Q191" s="10"/>
    </row>
    <row r="192" spans="1:17">
      <c r="A192" s="10">
        <v>805</v>
      </c>
      <c r="B192" s="7">
        <v>183</v>
      </c>
      <c r="C192" s="7">
        <f t="shared" si="6"/>
        <v>805110</v>
      </c>
      <c r="D192" s="7" t="s">
        <v>37</v>
      </c>
      <c r="E192" s="7">
        <v>110</v>
      </c>
      <c r="F192" s="7" t="s">
        <v>800</v>
      </c>
      <c r="G192" s="269">
        <v>5.7049714750000001E-2</v>
      </c>
      <c r="H192" s="10">
        <v>1227</v>
      </c>
      <c r="I192" s="10">
        <v>70</v>
      </c>
      <c r="J192" s="68">
        <f t="shared" si="7"/>
        <v>65.739999999999995</v>
      </c>
      <c r="K192" s="68">
        <f t="shared" si="8"/>
        <v>3.75</v>
      </c>
      <c r="L192" s="68"/>
      <c r="M192" s="408"/>
      <c r="N192" s="10"/>
      <c r="O192" s="269"/>
      <c r="P192" s="269"/>
      <c r="Q192" s="10"/>
    </row>
    <row r="193" spans="1:17">
      <c r="A193" s="10">
        <v>805</v>
      </c>
      <c r="B193" s="7">
        <v>184</v>
      </c>
      <c r="C193" s="7">
        <f t="shared" si="6"/>
        <v>805138</v>
      </c>
      <c r="D193" s="7" t="s">
        <v>37</v>
      </c>
      <c r="E193" s="7">
        <v>138</v>
      </c>
      <c r="F193" s="7" t="s">
        <v>835</v>
      </c>
      <c r="G193" s="269">
        <v>3.2599837E-2</v>
      </c>
      <c r="H193" s="10">
        <v>1227</v>
      </c>
      <c r="I193" s="10">
        <v>40</v>
      </c>
      <c r="J193" s="68">
        <f t="shared" si="7"/>
        <v>55.01</v>
      </c>
      <c r="K193" s="68">
        <f t="shared" si="8"/>
        <v>1.79</v>
      </c>
      <c r="L193" s="68"/>
      <c r="M193" s="408"/>
      <c r="N193" s="10"/>
      <c r="O193" s="269"/>
      <c r="P193" s="269"/>
      <c r="Q193" s="10"/>
    </row>
    <row r="194" spans="1:17">
      <c r="A194" s="10">
        <v>805</v>
      </c>
      <c r="B194" s="7">
        <v>185</v>
      </c>
      <c r="C194" s="7">
        <f t="shared" si="6"/>
        <v>805179</v>
      </c>
      <c r="D194" s="7" t="s">
        <v>37</v>
      </c>
      <c r="E194" s="7">
        <v>179</v>
      </c>
      <c r="F194" s="7" t="s">
        <v>917</v>
      </c>
      <c r="G194" s="269">
        <v>7.090464548E-2</v>
      </c>
      <c r="H194" s="10">
        <v>1227</v>
      </c>
      <c r="I194" s="10">
        <v>87</v>
      </c>
      <c r="J194" s="68">
        <f t="shared" si="7"/>
        <v>73.39</v>
      </c>
      <c r="K194" s="68">
        <f t="shared" si="8"/>
        <v>5.2</v>
      </c>
      <c r="L194" s="68"/>
      <c r="M194" s="408"/>
      <c r="N194" s="10"/>
      <c r="O194" s="269"/>
      <c r="P194" s="269"/>
      <c r="Q194" s="10"/>
    </row>
    <row r="195" spans="1:17">
      <c r="A195" s="10">
        <v>805</v>
      </c>
      <c r="B195" s="7">
        <v>186</v>
      </c>
      <c r="C195" s="7">
        <f t="shared" si="6"/>
        <v>805185</v>
      </c>
      <c r="D195" s="7" t="s">
        <v>37</v>
      </c>
      <c r="E195" s="7">
        <v>185</v>
      </c>
      <c r="F195" s="7" t="s">
        <v>924</v>
      </c>
      <c r="G195" s="269">
        <v>0.13121434393</v>
      </c>
      <c r="H195" s="10">
        <v>1227</v>
      </c>
      <c r="I195" s="10">
        <v>161</v>
      </c>
      <c r="J195" s="68">
        <f t="shared" si="7"/>
        <v>49.89</v>
      </c>
      <c r="K195" s="68">
        <f t="shared" si="8"/>
        <v>6.55</v>
      </c>
      <c r="L195" s="68"/>
      <c r="M195" s="408"/>
      <c r="N195" s="10"/>
      <c r="O195" s="269"/>
      <c r="P195" s="269"/>
      <c r="Q195" s="10"/>
    </row>
    <row r="196" spans="1:17">
      <c r="A196" s="10">
        <v>805</v>
      </c>
      <c r="B196" s="7">
        <v>187</v>
      </c>
      <c r="C196" s="7">
        <f t="shared" si="6"/>
        <v>805186</v>
      </c>
      <c r="D196" s="7" t="s">
        <v>37</v>
      </c>
      <c r="E196" s="7">
        <v>186</v>
      </c>
      <c r="F196" s="7" t="s">
        <v>925</v>
      </c>
      <c r="G196" s="269">
        <v>5.7864710680000001E-2</v>
      </c>
      <c r="H196" s="10">
        <v>1227</v>
      </c>
      <c r="I196" s="10">
        <v>71</v>
      </c>
      <c r="J196" s="68">
        <f t="shared" si="7"/>
        <v>59.53</v>
      </c>
      <c r="K196" s="68">
        <f t="shared" si="8"/>
        <v>3.44</v>
      </c>
      <c r="L196" s="68"/>
      <c r="M196" s="408"/>
      <c r="N196" s="10"/>
      <c r="O196" s="269"/>
      <c r="P196" s="269"/>
      <c r="Q196" s="10"/>
    </row>
    <row r="197" spans="1:17">
      <c r="A197" s="10">
        <v>805</v>
      </c>
      <c r="B197" s="7">
        <v>188</v>
      </c>
      <c r="C197" s="7">
        <f t="shared" si="6"/>
        <v>805188</v>
      </c>
      <c r="D197" s="7" t="s">
        <v>37</v>
      </c>
      <c r="E197" s="7">
        <v>188</v>
      </c>
      <c r="F197" s="7" t="s">
        <v>927</v>
      </c>
      <c r="G197" s="269">
        <v>3.3414832929999999E-2</v>
      </c>
      <c r="H197" s="10">
        <v>1227</v>
      </c>
      <c r="I197" s="10">
        <v>41</v>
      </c>
      <c r="J197" s="68">
        <f t="shared" si="7"/>
        <v>43.29</v>
      </c>
      <c r="K197" s="68">
        <f t="shared" si="8"/>
        <v>1.45</v>
      </c>
      <c r="L197" s="68"/>
      <c r="M197" s="408"/>
      <c r="N197" s="10"/>
      <c r="O197" s="269"/>
      <c r="P197" s="269"/>
      <c r="Q197" s="10"/>
    </row>
    <row r="198" spans="1:17">
      <c r="A198" s="10">
        <v>805</v>
      </c>
      <c r="B198" s="7">
        <v>189</v>
      </c>
      <c r="C198" s="7">
        <f t="shared" si="6"/>
        <v>805214</v>
      </c>
      <c r="D198" s="7" t="s">
        <v>37</v>
      </c>
      <c r="E198" s="7">
        <v>214</v>
      </c>
      <c r="F198" s="7" t="s">
        <v>961</v>
      </c>
      <c r="G198" s="269">
        <v>0.11980440098</v>
      </c>
      <c r="H198" s="10">
        <v>1227</v>
      </c>
      <c r="I198" s="10">
        <v>147</v>
      </c>
      <c r="J198" s="68">
        <f t="shared" si="7"/>
        <v>49.99</v>
      </c>
      <c r="K198" s="68">
        <f t="shared" si="8"/>
        <v>5.99</v>
      </c>
      <c r="L198" s="68"/>
      <c r="M198" s="408"/>
      <c r="N198" s="10"/>
      <c r="O198" s="269"/>
      <c r="P198" s="269"/>
      <c r="Q198" s="10"/>
    </row>
    <row r="199" spans="1:17">
      <c r="A199" s="10">
        <v>805</v>
      </c>
      <c r="B199" s="7">
        <v>190</v>
      </c>
      <c r="C199" s="7">
        <f t="shared" si="6"/>
        <v>805290</v>
      </c>
      <c r="D199" s="7" t="s">
        <v>37</v>
      </c>
      <c r="E199" s="7">
        <v>290</v>
      </c>
      <c r="F199" s="7" t="s">
        <v>1067</v>
      </c>
      <c r="G199" s="269">
        <v>7.9054604730000005E-2</v>
      </c>
      <c r="H199" s="10">
        <v>1227</v>
      </c>
      <c r="I199" s="10">
        <v>97</v>
      </c>
      <c r="J199" s="68">
        <f t="shared" si="7"/>
        <v>71.78</v>
      </c>
      <c r="K199" s="68">
        <f t="shared" si="8"/>
        <v>5.67</v>
      </c>
      <c r="L199" s="68"/>
      <c r="M199" s="408"/>
      <c r="N199" s="10"/>
      <c r="O199" s="269"/>
      <c r="P199" s="269"/>
      <c r="Q199" s="10"/>
    </row>
    <row r="200" spans="1:17">
      <c r="A200" s="10">
        <v>805</v>
      </c>
      <c r="B200" s="7">
        <v>191</v>
      </c>
      <c r="C200" s="7">
        <f t="shared" si="6"/>
        <v>805303</v>
      </c>
      <c r="D200" s="7" t="s">
        <v>37</v>
      </c>
      <c r="E200" s="7">
        <v>303</v>
      </c>
      <c r="F200" s="7" t="s">
        <v>1080</v>
      </c>
      <c r="G200" s="269">
        <v>9.4539527299999995E-2</v>
      </c>
      <c r="H200" s="10">
        <v>1227</v>
      </c>
      <c r="I200" s="10">
        <v>116</v>
      </c>
      <c r="J200" s="68">
        <f t="shared" si="7"/>
        <v>70.81</v>
      </c>
      <c r="K200" s="68">
        <f t="shared" si="8"/>
        <v>6.69</v>
      </c>
      <c r="L200" s="68"/>
      <c r="M200" s="408"/>
      <c r="N200" s="10"/>
      <c r="O200" s="269"/>
      <c r="P200" s="269"/>
      <c r="Q200" s="10"/>
    </row>
    <row r="201" spans="1:17">
      <c r="A201" s="10">
        <v>805</v>
      </c>
      <c r="B201" s="7">
        <v>192</v>
      </c>
      <c r="C201" s="7">
        <f t="shared" ref="C201:C264" si="9">A201*1000+E201</f>
        <v>805304</v>
      </c>
      <c r="D201" s="7" t="s">
        <v>37</v>
      </c>
      <c r="E201" s="7">
        <v>304</v>
      </c>
      <c r="F201" s="7" t="s">
        <v>1081</v>
      </c>
      <c r="G201" s="269">
        <v>0.1140994295</v>
      </c>
      <c r="H201" s="10">
        <v>1227</v>
      </c>
      <c r="I201" s="10">
        <v>140</v>
      </c>
      <c r="J201" s="68">
        <f t="shared" ref="J201:J264" si="10">ROUND(VLOOKUP(E201,town351,11),2)</f>
        <v>59.68</v>
      </c>
      <c r="K201" s="68">
        <f t="shared" si="8"/>
        <v>6.81</v>
      </c>
      <c r="L201" s="68"/>
      <c r="M201" s="408"/>
      <c r="N201" s="10"/>
      <c r="O201" s="269"/>
      <c r="P201" s="269"/>
      <c r="Q201" s="10"/>
    </row>
    <row r="202" spans="1:17">
      <c r="A202" s="10">
        <v>806</v>
      </c>
      <c r="B202" s="7">
        <v>193</v>
      </c>
      <c r="C202" s="7">
        <f t="shared" si="9"/>
        <v>806018</v>
      </c>
      <c r="D202" s="7" t="s">
        <v>23</v>
      </c>
      <c r="E202" s="7">
        <v>18</v>
      </c>
      <c r="F202" s="7" t="s">
        <v>22</v>
      </c>
      <c r="G202" s="269">
        <v>5.902383655E-2</v>
      </c>
      <c r="H202" s="10">
        <v>881</v>
      </c>
      <c r="I202" s="10">
        <v>52</v>
      </c>
      <c r="J202" s="68">
        <f t="shared" si="10"/>
        <v>74.75</v>
      </c>
      <c r="K202" s="68">
        <f t="shared" ref="K202:K265" si="11">ROUND(G202*J202,2)</f>
        <v>4.41</v>
      </c>
      <c r="L202" s="68"/>
      <c r="M202" s="408"/>
      <c r="N202" s="10"/>
      <c r="O202" s="269"/>
      <c r="P202" s="269"/>
      <c r="Q202" s="10"/>
    </row>
    <row r="203" spans="1:17">
      <c r="A203" s="10">
        <v>806</v>
      </c>
      <c r="B203" s="7">
        <v>194</v>
      </c>
      <c r="C203" s="7">
        <f t="shared" si="9"/>
        <v>806040</v>
      </c>
      <c r="D203" s="7" t="s">
        <v>23</v>
      </c>
      <c r="E203" s="7">
        <v>40</v>
      </c>
      <c r="F203" s="7" t="s">
        <v>694</v>
      </c>
      <c r="G203" s="269">
        <v>0.18501702611000001</v>
      </c>
      <c r="H203" s="10">
        <v>881</v>
      </c>
      <c r="I203" s="10">
        <v>163</v>
      </c>
      <c r="J203" s="68">
        <f t="shared" si="10"/>
        <v>70.36</v>
      </c>
      <c r="K203" s="68">
        <f t="shared" si="11"/>
        <v>13.02</v>
      </c>
      <c r="L203" s="68"/>
      <c r="M203" s="408"/>
      <c r="N203" s="10"/>
      <c r="O203" s="269"/>
      <c r="P203" s="269"/>
      <c r="Q203" s="10"/>
    </row>
    <row r="204" spans="1:17">
      <c r="A204" s="10">
        <v>806</v>
      </c>
      <c r="B204" s="7">
        <v>195</v>
      </c>
      <c r="C204" s="7">
        <f t="shared" si="9"/>
        <v>806050</v>
      </c>
      <c r="D204" s="7" t="s">
        <v>23</v>
      </c>
      <c r="E204" s="7">
        <v>50</v>
      </c>
      <c r="F204" s="7" t="s">
        <v>708</v>
      </c>
      <c r="G204" s="269">
        <v>7.0374574349999997E-2</v>
      </c>
      <c r="H204" s="10">
        <v>881</v>
      </c>
      <c r="I204" s="10">
        <v>62</v>
      </c>
      <c r="J204" s="68">
        <f t="shared" si="10"/>
        <v>82.5</v>
      </c>
      <c r="K204" s="68">
        <f t="shared" si="11"/>
        <v>5.81</v>
      </c>
      <c r="L204" s="68"/>
      <c r="M204" s="408"/>
      <c r="N204" s="10"/>
      <c r="O204" s="269"/>
      <c r="P204" s="269"/>
      <c r="Q204" s="10"/>
    </row>
    <row r="205" spans="1:17">
      <c r="A205" s="10">
        <v>806</v>
      </c>
      <c r="B205" s="7">
        <v>196</v>
      </c>
      <c r="C205" s="7">
        <f t="shared" si="9"/>
        <v>806073</v>
      </c>
      <c r="D205" s="7" t="s">
        <v>23</v>
      </c>
      <c r="E205" s="7">
        <v>73</v>
      </c>
      <c r="F205" s="7" t="s">
        <v>746</v>
      </c>
      <c r="G205" s="269">
        <v>8.7400681039999997E-2</v>
      </c>
      <c r="H205" s="10">
        <v>881</v>
      </c>
      <c r="I205" s="10">
        <v>77</v>
      </c>
      <c r="J205" s="68">
        <f t="shared" si="10"/>
        <v>82.5</v>
      </c>
      <c r="K205" s="68">
        <f t="shared" si="11"/>
        <v>7.21</v>
      </c>
      <c r="L205" s="68"/>
      <c r="M205" s="408"/>
      <c r="N205" s="10"/>
      <c r="O205" s="269"/>
      <c r="P205" s="269"/>
      <c r="Q205" s="10"/>
    </row>
    <row r="206" spans="1:17">
      <c r="A206" s="10">
        <v>806</v>
      </c>
      <c r="B206" s="7">
        <v>197</v>
      </c>
      <c r="C206" s="7">
        <f t="shared" si="9"/>
        <v>806133</v>
      </c>
      <c r="D206" s="7" t="s">
        <v>23</v>
      </c>
      <c r="E206" s="7">
        <v>133</v>
      </c>
      <c r="F206" s="7" t="s">
        <v>829</v>
      </c>
      <c r="G206" s="269">
        <v>0.14642451759</v>
      </c>
      <c r="H206" s="10">
        <v>881</v>
      </c>
      <c r="I206" s="10">
        <v>129</v>
      </c>
      <c r="J206" s="68">
        <f t="shared" si="10"/>
        <v>56.37</v>
      </c>
      <c r="K206" s="68">
        <f t="shared" si="11"/>
        <v>8.25</v>
      </c>
      <c r="L206" s="68"/>
      <c r="M206" s="408"/>
      <c r="N206" s="10"/>
      <c r="O206" s="269"/>
      <c r="P206" s="269"/>
      <c r="Q206" s="10"/>
    </row>
    <row r="207" spans="1:17">
      <c r="A207" s="10">
        <v>806</v>
      </c>
      <c r="B207" s="7">
        <v>198</v>
      </c>
      <c r="C207" s="7">
        <f t="shared" si="9"/>
        <v>806189</v>
      </c>
      <c r="D207" s="7" t="s">
        <v>23</v>
      </c>
      <c r="E207" s="7">
        <v>189</v>
      </c>
      <c r="F207" s="7" t="s">
        <v>928</v>
      </c>
      <c r="G207" s="269">
        <v>5.1078320089999997E-2</v>
      </c>
      <c r="H207" s="10">
        <v>881</v>
      </c>
      <c r="I207" s="10">
        <v>45</v>
      </c>
      <c r="J207" s="68">
        <f t="shared" si="10"/>
        <v>82.5</v>
      </c>
      <c r="K207" s="68">
        <f t="shared" si="11"/>
        <v>4.21</v>
      </c>
      <c r="L207" s="68"/>
      <c r="M207" s="408"/>
      <c r="N207" s="10"/>
      <c r="O207" s="269"/>
      <c r="P207" s="269"/>
      <c r="Q207" s="10"/>
    </row>
    <row r="208" spans="1:17">
      <c r="A208" s="10">
        <v>806</v>
      </c>
      <c r="B208" s="7">
        <v>199</v>
      </c>
      <c r="C208" s="7">
        <f t="shared" si="9"/>
        <v>806220</v>
      </c>
      <c r="D208" s="7" t="s">
        <v>23</v>
      </c>
      <c r="E208" s="7">
        <v>220</v>
      </c>
      <c r="F208" s="7" t="s">
        <v>968</v>
      </c>
      <c r="G208" s="269">
        <v>6.3564131669999996E-2</v>
      </c>
      <c r="H208" s="10">
        <v>881</v>
      </c>
      <c r="I208" s="10">
        <v>56</v>
      </c>
      <c r="J208" s="68">
        <f t="shared" si="10"/>
        <v>82.5</v>
      </c>
      <c r="K208" s="68">
        <f t="shared" si="11"/>
        <v>5.24</v>
      </c>
      <c r="L208" s="68"/>
      <c r="M208" s="408"/>
      <c r="N208" s="10"/>
      <c r="O208" s="269"/>
      <c r="P208" s="269"/>
      <c r="Q208" s="10"/>
    </row>
    <row r="209" spans="1:17">
      <c r="A209" s="10">
        <v>806</v>
      </c>
      <c r="B209" s="7">
        <v>200</v>
      </c>
      <c r="C209" s="7">
        <f t="shared" si="9"/>
        <v>806244</v>
      </c>
      <c r="D209" s="7" t="s">
        <v>23</v>
      </c>
      <c r="E209" s="7">
        <v>244</v>
      </c>
      <c r="F209" s="7" t="s">
        <v>1014</v>
      </c>
      <c r="G209" s="269">
        <v>0.32803632236000002</v>
      </c>
      <c r="H209" s="10">
        <v>881</v>
      </c>
      <c r="I209" s="10">
        <v>289</v>
      </c>
      <c r="J209" s="68">
        <f t="shared" si="10"/>
        <v>55.96</v>
      </c>
      <c r="K209" s="68">
        <f t="shared" si="11"/>
        <v>18.36</v>
      </c>
      <c r="L209" s="68"/>
      <c r="M209" s="408"/>
      <c r="N209" s="10"/>
      <c r="O209" s="269"/>
      <c r="P209" s="269"/>
      <c r="Q209" s="10"/>
    </row>
    <row r="210" spans="1:17">
      <c r="A210" s="10">
        <v>806</v>
      </c>
      <c r="B210" s="7">
        <v>201</v>
      </c>
      <c r="C210" s="7">
        <f t="shared" si="9"/>
        <v>806335</v>
      </c>
      <c r="D210" s="7" t="s">
        <v>23</v>
      </c>
      <c r="E210" s="7">
        <v>335</v>
      </c>
      <c r="F210" s="7" t="s">
        <v>1113</v>
      </c>
      <c r="G210" s="269">
        <v>9.0805902400000003E-3</v>
      </c>
      <c r="H210" s="10">
        <v>881</v>
      </c>
      <c r="I210" s="10">
        <v>8</v>
      </c>
      <c r="J210" s="68">
        <f t="shared" si="10"/>
        <v>82.5</v>
      </c>
      <c r="K210" s="68">
        <f t="shared" si="11"/>
        <v>0.75</v>
      </c>
      <c r="L210" s="68"/>
      <c r="M210" s="408"/>
      <c r="N210" s="10"/>
      <c r="O210" s="269"/>
      <c r="P210" s="269"/>
      <c r="Q210" s="10"/>
    </row>
    <row r="211" spans="1:17">
      <c r="A211" s="10">
        <v>810</v>
      </c>
      <c r="B211" s="7">
        <v>202</v>
      </c>
      <c r="C211" s="7">
        <f t="shared" si="9"/>
        <v>810027</v>
      </c>
      <c r="D211" s="7" t="s">
        <v>40</v>
      </c>
      <c r="E211" s="7">
        <v>27</v>
      </c>
      <c r="F211" s="7" t="s">
        <v>39</v>
      </c>
      <c r="G211" s="269">
        <v>7.0517629410000005E-2</v>
      </c>
      <c r="H211" s="10">
        <v>1333</v>
      </c>
      <c r="I211" s="10">
        <v>94</v>
      </c>
      <c r="J211" s="68">
        <f t="shared" si="10"/>
        <v>50.03</v>
      </c>
      <c r="K211" s="68">
        <f t="shared" si="11"/>
        <v>3.53</v>
      </c>
      <c r="L211" s="68"/>
      <c r="M211" s="408"/>
      <c r="N211" s="10"/>
      <c r="O211" s="269"/>
      <c r="P211" s="269"/>
      <c r="Q211" s="10"/>
    </row>
    <row r="212" spans="1:17">
      <c r="A212" s="10">
        <v>810</v>
      </c>
      <c r="B212" s="7">
        <v>203</v>
      </c>
      <c r="C212" s="7">
        <f t="shared" si="9"/>
        <v>810042</v>
      </c>
      <c r="D212" s="7" t="s">
        <v>40</v>
      </c>
      <c r="E212" s="7">
        <v>42</v>
      </c>
      <c r="F212" s="7" t="s">
        <v>697</v>
      </c>
      <c r="G212" s="269">
        <v>9.1522880720000005E-2</v>
      </c>
      <c r="H212" s="10">
        <v>1333</v>
      </c>
      <c r="I212" s="10">
        <v>122</v>
      </c>
      <c r="J212" s="68">
        <f t="shared" si="10"/>
        <v>61.9</v>
      </c>
      <c r="K212" s="68">
        <f t="shared" si="11"/>
        <v>5.67</v>
      </c>
      <c r="L212" s="68"/>
      <c r="M212" s="408"/>
      <c r="N212" s="10"/>
      <c r="O212" s="269"/>
      <c r="P212" s="269"/>
      <c r="Q212" s="10"/>
    </row>
    <row r="213" spans="1:17">
      <c r="A213" s="10">
        <v>810</v>
      </c>
      <c r="B213" s="7">
        <v>204</v>
      </c>
      <c r="C213" s="7">
        <f t="shared" si="9"/>
        <v>810076</v>
      </c>
      <c r="D213" s="7" t="s">
        <v>40</v>
      </c>
      <c r="E213" s="7">
        <v>76</v>
      </c>
      <c r="F213" s="7" t="s">
        <v>248</v>
      </c>
      <c r="G213" s="269">
        <v>4.8762190550000001E-2</v>
      </c>
      <c r="H213" s="10">
        <v>1333</v>
      </c>
      <c r="I213" s="10">
        <v>65</v>
      </c>
      <c r="J213" s="68">
        <f t="shared" si="10"/>
        <v>48.15</v>
      </c>
      <c r="K213" s="68">
        <f t="shared" si="11"/>
        <v>2.35</v>
      </c>
      <c r="L213" s="68"/>
      <c r="M213" s="408"/>
      <c r="N213" s="10"/>
      <c r="O213" s="269"/>
      <c r="P213" s="269"/>
      <c r="Q213" s="10"/>
    </row>
    <row r="214" spans="1:17">
      <c r="A214" s="10">
        <v>810</v>
      </c>
      <c r="B214" s="7">
        <v>205</v>
      </c>
      <c r="C214" s="7">
        <f t="shared" si="9"/>
        <v>810182</v>
      </c>
      <c r="D214" s="7" t="s">
        <v>40</v>
      </c>
      <c r="E214" s="7">
        <v>182</v>
      </c>
      <c r="F214" s="7" t="s">
        <v>921</v>
      </c>
      <c r="G214" s="269">
        <v>0.22280570143</v>
      </c>
      <c r="H214" s="10">
        <v>1333</v>
      </c>
      <c r="I214" s="10">
        <v>297</v>
      </c>
      <c r="J214" s="68">
        <f t="shared" si="10"/>
        <v>52.8</v>
      </c>
      <c r="K214" s="68">
        <f t="shared" si="11"/>
        <v>11.76</v>
      </c>
      <c r="L214" s="68"/>
      <c r="M214" s="408"/>
      <c r="N214" s="10"/>
      <c r="O214" s="269"/>
      <c r="P214" s="269"/>
      <c r="Q214" s="10"/>
    </row>
    <row r="215" spans="1:17">
      <c r="A215" s="10">
        <v>810</v>
      </c>
      <c r="B215" s="7">
        <v>206</v>
      </c>
      <c r="C215" s="7">
        <f t="shared" si="9"/>
        <v>810245</v>
      </c>
      <c r="D215" s="7" t="s">
        <v>40</v>
      </c>
      <c r="E215" s="7">
        <v>245</v>
      </c>
      <c r="F215" s="7" t="s">
        <v>1015</v>
      </c>
      <c r="G215" s="269">
        <v>0.11627906976999999</v>
      </c>
      <c r="H215" s="10">
        <v>1333</v>
      </c>
      <c r="I215" s="10">
        <v>155</v>
      </c>
      <c r="J215" s="68">
        <f t="shared" si="10"/>
        <v>60.47</v>
      </c>
      <c r="K215" s="68">
        <f t="shared" si="11"/>
        <v>7.03</v>
      </c>
      <c r="L215" s="68"/>
      <c r="M215" s="408"/>
      <c r="N215" s="10"/>
      <c r="O215" s="269"/>
      <c r="P215" s="269"/>
      <c r="Q215" s="10"/>
    </row>
    <row r="216" spans="1:17">
      <c r="A216" s="10">
        <v>810</v>
      </c>
      <c r="B216" s="7">
        <v>207</v>
      </c>
      <c r="C216" s="7">
        <f t="shared" si="9"/>
        <v>810247</v>
      </c>
      <c r="D216" s="7" t="s">
        <v>40</v>
      </c>
      <c r="E216" s="7">
        <v>247</v>
      </c>
      <c r="F216" s="7" t="s">
        <v>1017</v>
      </c>
      <c r="G216" s="269">
        <v>3.5258814700000002E-2</v>
      </c>
      <c r="H216" s="10">
        <v>1333</v>
      </c>
      <c r="I216" s="10">
        <v>47</v>
      </c>
      <c r="J216" s="68">
        <f t="shared" si="10"/>
        <v>75.510000000000005</v>
      </c>
      <c r="K216" s="68">
        <f t="shared" si="11"/>
        <v>2.66</v>
      </c>
      <c r="L216" s="68"/>
      <c r="M216" s="408"/>
      <c r="N216" s="10"/>
      <c r="O216" s="269"/>
      <c r="P216" s="269"/>
      <c r="Q216" s="10"/>
    </row>
    <row r="217" spans="1:17">
      <c r="A217" s="10">
        <v>810</v>
      </c>
      <c r="B217" s="7">
        <v>208</v>
      </c>
      <c r="C217" s="7">
        <f t="shared" si="9"/>
        <v>810293</v>
      </c>
      <c r="D217" s="7" t="s">
        <v>40</v>
      </c>
      <c r="E217" s="7">
        <v>293</v>
      </c>
      <c r="F217" s="7" t="s">
        <v>1070</v>
      </c>
      <c r="G217" s="269">
        <v>0.41485371342999999</v>
      </c>
      <c r="H217" s="10">
        <v>1333</v>
      </c>
      <c r="I217" s="10">
        <v>553</v>
      </c>
      <c r="J217" s="68">
        <f t="shared" si="10"/>
        <v>35.880000000000003</v>
      </c>
      <c r="K217" s="68">
        <f t="shared" si="11"/>
        <v>14.88</v>
      </c>
      <c r="L217" s="68"/>
      <c r="M217" s="408"/>
      <c r="N217" s="10"/>
      <c r="O217" s="269"/>
      <c r="P217" s="269"/>
      <c r="Q217" s="10"/>
    </row>
    <row r="218" spans="1:17">
      <c r="A218" s="10">
        <v>815</v>
      </c>
      <c r="B218" s="7">
        <v>209</v>
      </c>
      <c r="C218" s="7">
        <f t="shared" si="9"/>
        <v>815020</v>
      </c>
      <c r="D218" s="7" t="s">
        <v>27</v>
      </c>
      <c r="E218" s="7">
        <v>20</v>
      </c>
      <c r="F218" s="7" t="s">
        <v>26</v>
      </c>
      <c r="G218" s="269">
        <v>0.29373996790000001</v>
      </c>
      <c r="H218" s="10">
        <v>623</v>
      </c>
      <c r="I218" s="10">
        <v>183</v>
      </c>
      <c r="J218" s="68">
        <f t="shared" si="10"/>
        <v>82.5</v>
      </c>
      <c r="K218" s="68">
        <f t="shared" si="11"/>
        <v>24.23</v>
      </c>
      <c r="L218" s="68"/>
      <c r="M218" s="408"/>
      <c r="N218" s="10"/>
      <c r="O218" s="269"/>
      <c r="P218" s="269"/>
      <c r="Q218" s="10"/>
    </row>
    <row r="219" spans="1:17">
      <c r="A219" s="10">
        <v>815</v>
      </c>
      <c r="B219" s="7">
        <v>210</v>
      </c>
      <c r="C219" s="7">
        <f t="shared" si="9"/>
        <v>815041</v>
      </c>
      <c r="D219" s="7" t="s">
        <v>27</v>
      </c>
      <c r="E219" s="7">
        <v>41</v>
      </c>
      <c r="F219" s="7" t="s">
        <v>695</v>
      </c>
      <c r="G219" s="269">
        <v>6.9020866769999994E-2</v>
      </c>
      <c r="H219" s="10">
        <v>623</v>
      </c>
      <c r="I219" s="10">
        <v>43</v>
      </c>
      <c r="J219" s="68">
        <f t="shared" si="10"/>
        <v>82.5</v>
      </c>
      <c r="K219" s="68">
        <f t="shared" si="11"/>
        <v>5.69</v>
      </c>
      <c r="L219" s="68"/>
      <c r="M219" s="408"/>
      <c r="N219" s="10"/>
      <c r="O219" s="269"/>
      <c r="P219" s="269"/>
      <c r="Q219" s="10"/>
    </row>
    <row r="220" spans="1:17">
      <c r="A220" s="10">
        <v>815</v>
      </c>
      <c r="B220" s="7">
        <v>211</v>
      </c>
      <c r="C220" s="7">
        <f t="shared" si="9"/>
        <v>815055</v>
      </c>
      <c r="D220" s="7" t="s">
        <v>27</v>
      </c>
      <c r="E220" s="7">
        <v>55</v>
      </c>
      <c r="F220" s="7" t="s">
        <v>716</v>
      </c>
      <c r="G220" s="269">
        <v>1.6051364370000001E-2</v>
      </c>
      <c r="H220" s="10">
        <v>623</v>
      </c>
      <c r="I220" s="10">
        <v>10</v>
      </c>
      <c r="J220" s="68">
        <f t="shared" si="10"/>
        <v>82.5</v>
      </c>
      <c r="K220" s="68">
        <f t="shared" si="11"/>
        <v>1.32</v>
      </c>
      <c r="L220" s="68"/>
      <c r="M220" s="408"/>
      <c r="N220" s="10"/>
      <c r="O220" s="269"/>
      <c r="P220" s="269"/>
      <c r="Q220" s="10"/>
    </row>
    <row r="221" spans="1:17">
      <c r="A221" s="10">
        <v>815</v>
      </c>
      <c r="B221" s="7">
        <v>212</v>
      </c>
      <c r="C221" s="7">
        <f t="shared" si="9"/>
        <v>815075</v>
      </c>
      <c r="D221" s="7" t="s">
        <v>27</v>
      </c>
      <c r="E221" s="7">
        <v>75</v>
      </c>
      <c r="F221" s="7" t="s">
        <v>752</v>
      </c>
      <c r="G221" s="269">
        <v>0.10754414125</v>
      </c>
      <c r="H221" s="10">
        <v>623</v>
      </c>
      <c r="I221" s="10">
        <v>67</v>
      </c>
      <c r="J221" s="68">
        <f t="shared" si="10"/>
        <v>82.5</v>
      </c>
      <c r="K221" s="68">
        <f t="shared" si="11"/>
        <v>8.8699999999999992</v>
      </c>
      <c r="L221" s="68"/>
      <c r="M221" s="408"/>
      <c r="N221" s="10"/>
      <c r="O221" s="269"/>
      <c r="P221" s="269"/>
      <c r="Q221" s="10"/>
    </row>
    <row r="222" spans="1:17">
      <c r="A222" s="10">
        <v>815</v>
      </c>
      <c r="B222" s="7">
        <v>213</v>
      </c>
      <c r="C222" s="7">
        <f t="shared" si="9"/>
        <v>815085</v>
      </c>
      <c r="D222" s="7" t="s">
        <v>27</v>
      </c>
      <c r="E222" s="7">
        <v>85</v>
      </c>
      <c r="F222" s="7" t="s">
        <v>770</v>
      </c>
      <c r="G222" s="269">
        <v>2.4077046550000002E-2</v>
      </c>
      <c r="H222" s="10">
        <v>623</v>
      </c>
      <c r="I222" s="10">
        <v>15</v>
      </c>
      <c r="J222" s="68">
        <f t="shared" si="10"/>
        <v>82.5</v>
      </c>
      <c r="K222" s="68">
        <f t="shared" si="11"/>
        <v>1.99</v>
      </c>
      <c r="L222" s="68"/>
      <c r="M222" s="408"/>
      <c r="N222" s="10"/>
      <c r="O222" s="269"/>
      <c r="P222" s="269"/>
      <c r="Q222" s="10"/>
    </row>
    <row r="223" spans="1:17">
      <c r="A223" s="10">
        <v>815</v>
      </c>
      <c r="B223" s="7">
        <v>214</v>
      </c>
      <c r="C223" s="7">
        <f t="shared" si="9"/>
        <v>815126</v>
      </c>
      <c r="D223" s="7" t="s">
        <v>27</v>
      </c>
      <c r="E223" s="7">
        <v>126</v>
      </c>
      <c r="F223" s="7" t="s">
        <v>822</v>
      </c>
      <c r="G223" s="269">
        <v>0.12359550562</v>
      </c>
      <c r="H223" s="10">
        <v>623</v>
      </c>
      <c r="I223" s="10">
        <v>77</v>
      </c>
      <c r="J223" s="68">
        <f t="shared" si="10"/>
        <v>82.5</v>
      </c>
      <c r="K223" s="68">
        <f t="shared" si="11"/>
        <v>10.199999999999999</v>
      </c>
      <c r="L223" s="68"/>
      <c r="M223" s="408"/>
      <c r="N223" s="10"/>
      <c r="O223" s="269"/>
      <c r="P223" s="269"/>
      <c r="Q223" s="10"/>
    </row>
    <row r="224" spans="1:17">
      <c r="A224" s="10">
        <v>815</v>
      </c>
      <c r="B224" s="7">
        <v>215</v>
      </c>
      <c r="C224" s="7">
        <f t="shared" si="9"/>
        <v>815172</v>
      </c>
      <c r="D224" s="7" t="s">
        <v>27</v>
      </c>
      <c r="E224" s="7">
        <v>172</v>
      </c>
      <c r="F224" s="7" t="s">
        <v>908</v>
      </c>
      <c r="G224" s="269">
        <v>9.4703049760000005E-2</v>
      </c>
      <c r="H224" s="10">
        <v>623</v>
      </c>
      <c r="I224" s="10">
        <v>59</v>
      </c>
      <c r="J224" s="68">
        <f t="shared" si="10"/>
        <v>82.5</v>
      </c>
      <c r="K224" s="68">
        <f t="shared" si="11"/>
        <v>7.81</v>
      </c>
      <c r="L224" s="68"/>
      <c r="M224" s="408"/>
      <c r="N224" s="10"/>
      <c r="O224" s="269"/>
      <c r="P224" s="269"/>
      <c r="Q224" s="10"/>
    </row>
    <row r="225" spans="1:17">
      <c r="A225" s="10">
        <v>815</v>
      </c>
      <c r="B225" s="7">
        <v>216</v>
      </c>
      <c r="C225" s="7">
        <f t="shared" si="9"/>
        <v>815224</v>
      </c>
      <c r="D225" s="7" t="s">
        <v>27</v>
      </c>
      <c r="E225" s="7">
        <v>224</v>
      </c>
      <c r="F225" s="7" t="s">
        <v>973</v>
      </c>
      <c r="G225" s="269">
        <v>2.4077046550000002E-2</v>
      </c>
      <c r="H225" s="10">
        <v>623</v>
      </c>
      <c r="I225" s="10">
        <v>15</v>
      </c>
      <c r="J225" s="68">
        <f t="shared" si="10"/>
        <v>82.5</v>
      </c>
      <c r="K225" s="68">
        <f t="shared" si="11"/>
        <v>1.99</v>
      </c>
      <c r="L225" s="68"/>
      <c r="M225" s="408"/>
      <c r="N225" s="10"/>
      <c r="O225" s="269"/>
      <c r="P225" s="269"/>
      <c r="Q225" s="10"/>
    </row>
    <row r="226" spans="1:17">
      <c r="A226" s="10">
        <v>815</v>
      </c>
      <c r="B226" s="7">
        <v>217</v>
      </c>
      <c r="C226" s="7">
        <f t="shared" si="9"/>
        <v>815242</v>
      </c>
      <c r="D226" s="7" t="s">
        <v>27</v>
      </c>
      <c r="E226" s="7">
        <v>242</v>
      </c>
      <c r="F226" s="7" t="s">
        <v>1012</v>
      </c>
      <c r="G226" s="269">
        <v>8.0256821800000003E-3</v>
      </c>
      <c r="H226" s="10">
        <v>623</v>
      </c>
      <c r="I226" s="10">
        <v>5</v>
      </c>
      <c r="J226" s="68">
        <f t="shared" si="10"/>
        <v>82.5</v>
      </c>
      <c r="K226" s="68">
        <f t="shared" si="11"/>
        <v>0.66</v>
      </c>
      <c r="L226" s="68"/>
      <c r="M226" s="408"/>
      <c r="N226" s="10"/>
      <c r="O226" s="269"/>
      <c r="P226" s="269"/>
      <c r="Q226" s="10"/>
    </row>
    <row r="227" spans="1:17">
      <c r="A227" s="10">
        <v>815</v>
      </c>
      <c r="B227" s="7">
        <v>218</v>
      </c>
      <c r="C227" s="7">
        <f t="shared" si="9"/>
        <v>815300</v>
      </c>
      <c r="D227" s="7" t="s">
        <v>27</v>
      </c>
      <c r="E227" s="7">
        <v>300</v>
      </c>
      <c r="F227" s="7" t="s">
        <v>1077</v>
      </c>
      <c r="G227" s="269">
        <v>4.8154093100000002E-3</v>
      </c>
      <c r="H227" s="10">
        <v>623</v>
      </c>
      <c r="I227" s="10">
        <v>3</v>
      </c>
      <c r="J227" s="68">
        <f t="shared" si="10"/>
        <v>82.5</v>
      </c>
      <c r="K227" s="68">
        <f t="shared" si="11"/>
        <v>0.4</v>
      </c>
      <c r="L227" s="68"/>
      <c r="M227" s="408"/>
      <c r="N227" s="10"/>
      <c r="O227" s="269"/>
      <c r="P227" s="269"/>
      <c r="Q227" s="10"/>
    </row>
    <row r="228" spans="1:17">
      <c r="A228" s="10">
        <v>815</v>
      </c>
      <c r="B228" s="7">
        <v>219</v>
      </c>
      <c r="C228" s="7">
        <f t="shared" si="9"/>
        <v>815318</v>
      </c>
      <c r="D228" s="7" t="s">
        <v>27</v>
      </c>
      <c r="E228" s="7">
        <v>318</v>
      </c>
      <c r="F228" s="7" t="s">
        <v>1096</v>
      </c>
      <c r="G228" s="269">
        <v>1.444622793E-2</v>
      </c>
      <c r="H228" s="10">
        <v>623</v>
      </c>
      <c r="I228" s="10">
        <v>9</v>
      </c>
      <c r="J228" s="68">
        <f t="shared" si="10"/>
        <v>82.5</v>
      </c>
      <c r="K228" s="68">
        <f t="shared" si="11"/>
        <v>1.19</v>
      </c>
      <c r="L228" s="68"/>
      <c r="M228" s="408"/>
      <c r="N228" s="10"/>
      <c r="O228" s="269"/>
      <c r="P228" s="269"/>
      <c r="Q228" s="10"/>
    </row>
    <row r="229" spans="1:17">
      <c r="A229" s="10">
        <v>815</v>
      </c>
      <c r="B229" s="7">
        <v>220</v>
      </c>
      <c r="C229" s="7">
        <f t="shared" si="9"/>
        <v>815351</v>
      </c>
      <c r="D229" s="7" t="s">
        <v>27</v>
      </c>
      <c r="E229" s="7">
        <v>351</v>
      </c>
      <c r="F229" s="7" t="s">
        <v>1129</v>
      </c>
      <c r="G229" s="269">
        <v>0.21990369181</v>
      </c>
      <c r="H229" s="10">
        <v>623</v>
      </c>
      <c r="I229" s="10">
        <v>137</v>
      </c>
      <c r="J229" s="68">
        <f t="shared" si="10"/>
        <v>82.5</v>
      </c>
      <c r="K229" s="68">
        <f t="shared" si="11"/>
        <v>18.14</v>
      </c>
      <c r="L229" s="68"/>
      <c r="M229" s="408"/>
      <c r="N229" s="10"/>
      <c r="O229" s="269"/>
      <c r="P229" s="269"/>
      <c r="Q229" s="10"/>
    </row>
    <row r="230" spans="1:17">
      <c r="A230" s="10">
        <v>817</v>
      </c>
      <c r="B230" s="7">
        <v>221</v>
      </c>
      <c r="C230" s="7">
        <f t="shared" si="9"/>
        <v>817030</v>
      </c>
      <c r="D230" s="7" t="s">
        <v>1250</v>
      </c>
      <c r="E230" s="7">
        <v>30</v>
      </c>
      <c r="F230" s="7" t="s">
        <v>47</v>
      </c>
      <c r="G230" s="269">
        <v>0.12130177515</v>
      </c>
      <c r="H230" s="10">
        <v>1014</v>
      </c>
      <c r="I230" s="10">
        <v>123</v>
      </c>
      <c r="J230" s="68">
        <f t="shared" si="10"/>
        <v>82.5</v>
      </c>
      <c r="K230" s="68">
        <f t="shared" si="11"/>
        <v>10.01</v>
      </c>
      <c r="L230" s="68"/>
      <c r="M230" s="408"/>
      <c r="N230" s="10"/>
      <c r="O230" s="269"/>
      <c r="P230" s="269"/>
      <c r="Q230" s="10"/>
    </row>
    <row r="231" spans="1:17">
      <c r="A231" s="10">
        <v>817</v>
      </c>
      <c r="B231" s="7">
        <v>222</v>
      </c>
      <c r="C231" s="7">
        <f t="shared" si="9"/>
        <v>817038</v>
      </c>
      <c r="D231" s="7" t="s">
        <v>1250</v>
      </c>
      <c r="E231" s="7">
        <v>38</v>
      </c>
      <c r="F231" s="7" t="s">
        <v>691</v>
      </c>
      <c r="G231" s="269">
        <v>1.775147929E-2</v>
      </c>
      <c r="H231" s="10">
        <v>1014</v>
      </c>
      <c r="I231" s="10">
        <v>18</v>
      </c>
      <c r="J231" s="68">
        <f t="shared" si="10"/>
        <v>82.5</v>
      </c>
      <c r="K231" s="68">
        <f t="shared" si="11"/>
        <v>1.46</v>
      </c>
      <c r="L231" s="68"/>
      <c r="M231" s="408"/>
      <c r="N231" s="10"/>
      <c r="O231" s="269"/>
      <c r="P231" s="269"/>
      <c r="Q231" s="10"/>
    </row>
    <row r="232" spans="1:17">
      <c r="A232" s="10">
        <v>817</v>
      </c>
      <c r="B232" s="7">
        <v>223</v>
      </c>
      <c r="C232" s="7">
        <f t="shared" si="9"/>
        <v>817071</v>
      </c>
      <c r="D232" s="7" t="s">
        <v>1250</v>
      </c>
      <c r="E232" s="7">
        <v>71</v>
      </c>
      <c r="F232" s="7" t="s">
        <v>743</v>
      </c>
      <c r="G232" s="269">
        <v>0.12919132150000001</v>
      </c>
      <c r="H232" s="10">
        <v>1014</v>
      </c>
      <c r="I232" s="10">
        <v>131</v>
      </c>
      <c r="J232" s="68">
        <f t="shared" si="10"/>
        <v>82.5</v>
      </c>
      <c r="K232" s="68">
        <f t="shared" si="11"/>
        <v>10.66</v>
      </c>
      <c r="L232" s="68"/>
      <c r="M232" s="408"/>
      <c r="N232" s="10"/>
      <c r="O232" s="269"/>
      <c r="P232" s="269"/>
      <c r="Q232" s="10"/>
    </row>
    <row r="233" spans="1:17">
      <c r="A233" s="10">
        <v>817</v>
      </c>
      <c r="B233" s="7">
        <v>224</v>
      </c>
      <c r="C233" s="7">
        <f t="shared" si="9"/>
        <v>817092</v>
      </c>
      <c r="D233" s="7" t="s">
        <v>1250</v>
      </c>
      <c r="E233" s="7">
        <v>92</v>
      </c>
      <c r="F233" s="7" t="s">
        <v>778</v>
      </c>
      <c r="G233" s="269">
        <v>2.169625247E-2</v>
      </c>
      <c r="H233" s="10">
        <v>1014</v>
      </c>
      <c r="I233" s="10">
        <v>22</v>
      </c>
      <c r="J233" s="68">
        <f t="shared" si="10"/>
        <v>82.5</v>
      </c>
      <c r="K233" s="68">
        <f t="shared" si="11"/>
        <v>1.79</v>
      </c>
      <c r="L233" s="68"/>
      <c r="M233" s="408"/>
      <c r="N233" s="10"/>
      <c r="O233" s="269"/>
      <c r="P233" s="269"/>
      <c r="Q233" s="10"/>
    </row>
    <row r="234" spans="1:17">
      <c r="A234" s="10">
        <v>817</v>
      </c>
      <c r="B234" s="7">
        <v>225</v>
      </c>
      <c r="C234" s="7">
        <f t="shared" si="9"/>
        <v>817107</v>
      </c>
      <c r="D234" s="7" t="s">
        <v>1250</v>
      </c>
      <c r="E234" s="7">
        <v>107</v>
      </c>
      <c r="F234" s="7" t="s">
        <v>797</v>
      </c>
      <c r="G234" s="269">
        <v>9.6646942799999996E-2</v>
      </c>
      <c r="H234" s="10">
        <v>1014</v>
      </c>
      <c r="I234" s="10">
        <v>98</v>
      </c>
      <c r="J234" s="68">
        <f t="shared" si="10"/>
        <v>82.5</v>
      </c>
      <c r="K234" s="68">
        <f t="shared" si="11"/>
        <v>7.97</v>
      </c>
      <c r="L234" s="68"/>
      <c r="M234" s="408"/>
      <c r="N234" s="10"/>
      <c r="O234" s="269"/>
      <c r="P234" s="269"/>
      <c r="Q234" s="10"/>
    </row>
    <row r="235" spans="1:17">
      <c r="A235" s="10">
        <v>817</v>
      </c>
      <c r="B235" s="7">
        <v>226</v>
      </c>
      <c r="C235" s="7">
        <f t="shared" si="9"/>
        <v>817119</v>
      </c>
      <c r="D235" s="7" t="s">
        <v>1250</v>
      </c>
      <c r="E235" s="7">
        <v>119</v>
      </c>
      <c r="F235" s="7" t="s">
        <v>812</v>
      </c>
      <c r="G235" s="269">
        <v>1.3806706110000001E-2</v>
      </c>
      <c r="H235" s="10">
        <v>1014</v>
      </c>
      <c r="I235" s="10">
        <v>14</v>
      </c>
      <c r="J235" s="68">
        <f t="shared" si="10"/>
        <v>82.5</v>
      </c>
      <c r="K235" s="68">
        <f t="shared" si="11"/>
        <v>1.1399999999999999</v>
      </c>
      <c r="L235" s="68"/>
      <c r="M235" s="408"/>
      <c r="N235" s="10"/>
      <c r="O235" s="269"/>
      <c r="P235" s="269"/>
      <c r="Q235" s="10"/>
    </row>
    <row r="236" spans="1:17">
      <c r="A236" s="10">
        <v>817</v>
      </c>
      <c r="B236" s="7">
        <v>227</v>
      </c>
      <c r="C236" s="7">
        <f t="shared" si="9"/>
        <v>817164</v>
      </c>
      <c r="D236" s="7" t="s">
        <v>1250</v>
      </c>
      <c r="E236" s="7">
        <v>164</v>
      </c>
      <c r="F236" s="7" t="s">
        <v>899</v>
      </c>
      <c r="G236" s="269">
        <v>2.071005917E-2</v>
      </c>
      <c r="H236" s="10">
        <v>1014</v>
      </c>
      <c r="I236" s="10">
        <v>21</v>
      </c>
      <c r="J236" s="68">
        <f t="shared" si="10"/>
        <v>82.5</v>
      </c>
      <c r="K236" s="68">
        <f t="shared" si="11"/>
        <v>1.71</v>
      </c>
      <c r="L236" s="68"/>
      <c r="M236" s="408"/>
      <c r="N236" s="10"/>
      <c r="O236" s="269"/>
      <c r="P236" s="269"/>
      <c r="Q236" s="10"/>
    </row>
    <row r="237" spans="1:17">
      <c r="A237" s="10">
        <v>817</v>
      </c>
      <c r="B237" s="7">
        <v>228</v>
      </c>
      <c r="C237" s="7">
        <f t="shared" si="9"/>
        <v>817166</v>
      </c>
      <c r="D237" s="7" t="s">
        <v>1250</v>
      </c>
      <c r="E237" s="7">
        <v>166</v>
      </c>
      <c r="F237" s="7" t="s">
        <v>901</v>
      </c>
      <c r="G237" s="269">
        <v>3.9447731799999997E-3</v>
      </c>
      <c r="H237" s="10">
        <v>1014</v>
      </c>
      <c r="I237" s="10">
        <v>4</v>
      </c>
      <c r="J237" s="68">
        <f t="shared" si="10"/>
        <v>82.5</v>
      </c>
      <c r="K237" s="68">
        <f t="shared" si="11"/>
        <v>0.33</v>
      </c>
      <c r="L237" s="68"/>
      <c r="M237" s="408"/>
      <c r="N237" s="10"/>
      <c r="O237" s="269"/>
      <c r="P237" s="269"/>
      <c r="Q237" s="10"/>
    </row>
    <row r="238" spans="1:17">
      <c r="A238" s="10">
        <v>817</v>
      </c>
      <c r="B238" s="7">
        <v>229</v>
      </c>
      <c r="C238" s="7">
        <f t="shared" si="9"/>
        <v>817168</v>
      </c>
      <c r="D238" s="7" t="s">
        <v>1250</v>
      </c>
      <c r="E238" s="7">
        <v>168</v>
      </c>
      <c r="F238" s="7" t="s">
        <v>903</v>
      </c>
      <c r="G238" s="269">
        <v>1.972386588E-2</v>
      </c>
      <c r="H238" s="10">
        <v>1014</v>
      </c>
      <c r="I238" s="10">
        <v>20</v>
      </c>
      <c r="J238" s="68">
        <f t="shared" si="10"/>
        <v>82.5</v>
      </c>
      <c r="K238" s="68">
        <f t="shared" si="11"/>
        <v>1.63</v>
      </c>
      <c r="L238" s="68"/>
      <c r="M238" s="408"/>
      <c r="N238" s="10"/>
      <c r="O238" s="269"/>
      <c r="P238" s="269"/>
      <c r="Q238" s="10"/>
    </row>
    <row r="239" spans="1:17">
      <c r="A239" s="10">
        <v>817</v>
      </c>
      <c r="B239" s="7">
        <v>230</v>
      </c>
      <c r="C239" s="7">
        <f t="shared" si="9"/>
        <v>817184</v>
      </c>
      <c r="D239" s="7" t="s">
        <v>1250</v>
      </c>
      <c r="E239" s="7">
        <v>184</v>
      </c>
      <c r="F239" s="7" t="s">
        <v>923</v>
      </c>
      <c r="G239" s="269">
        <v>3.747534517E-2</v>
      </c>
      <c r="H239" s="10">
        <v>1014</v>
      </c>
      <c r="I239" s="10">
        <v>38</v>
      </c>
      <c r="J239" s="68">
        <f t="shared" si="10"/>
        <v>82.5</v>
      </c>
      <c r="K239" s="68">
        <f t="shared" si="11"/>
        <v>3.09</v>
      </c>
      <c r="L239" s="68"/>
      <c r="M239" s="408"/>
      <c r="N239" s="10"/>
      <c r="O239" s="269"/>
      <c r="P239" s="269"/>
      <c r="Q239" s="10"/>
    </row>
    <row r="240" spans="1:17">
      <c r="A240" s="10">
        <v>817</v>
      </c>
      <c r="B240" s="7">
        <v>231</v>
      </c>
      <c r="C240" s="7">
        <f t="shared" si="9"/>
        <v>817196</v>
      </c>
      <c r="D240" s="7" t="s">
        <v>1250</v>
      </c>
      <c r="E240" s="7">
        <v>196</v>
      </c>
      <c r="F240" s="7" t="s">
        <v>935</v>
      </c>
      <c r="G240" s="269">
        <v>5.9171597600000004E-3</v>
      </c>
      <c r="H240" s="10">
        <v>1014</v>
      </c>
      <c r="I240" s="10">
        <v>6</v>
      </c>
      <c r="J240" s="68">
        <f t="shared" si="10"/>
        <v>82.5</v>
      </c>
      <c r="K240" s="68">
        <f t="shared" si="11"/>
        <v>0.49</v>
      </c>
      <c r="L240" s="68"/>
      <c r="M240" s="408"/>
      <c r="N240" s="10"/>
      <c r="O240" s="269"/>
      <c r="P240" s="269"/>
      <c r="Q240" s="10"/>
    </row>
    <row r="241" spans="1:17">
      <c r="A241" s="10">
        <v>817</v>
      </c>
      <c r="B241" s="7">
        <v>232</v>
      </c>
      <c r="C241" s="7">
        <f t="shared" si="9"/>
        <v>817229</v>
      </c>
      <c r="D241" s="7" t="s">
        <v>1250</v>
      </c>
      <c r="E241" s="7">
        <v>229</v>
      </c>
      <c r="F241" s="7" t="s">
        <v>393</v>
      </c>
      <c r="G241" s="269">
        <v>0.26923076923</v>
      </c>
      <c r="H241" s="10">
        <v>1014</v>
      </c>
      <c r="I241" s="10">
        <v>273</v>
      </c>
      <c r="J241" s="68">
        <f t="shared" si="10"/>
        <v>71.23</v>
      </c>
      <c r="K241" s="68">
        <f t="shared" si="11"/>
        <v>19.18</v>
      </c>
      <c r="L241" s="68"/>
      <c r="M241" s="408"/>
      <c r="N241" s="10"/>
      <c r="O241" s="269"/>
      <c r="P241" s="269"/>
      <c r="Q241" s="10"/>
    </row>
    <row r="242" spans="1:17">
      <c r="A242" s="10">
        <v>817</v>
      </c>
      <c r="B242" s="7">
        <v>233</v>
      </c>
      <c r="C242" s="7">
        <f t="shared" si="9"/>
        <v>817252</v>
      </c>
      <c r="D242" s="7" t="s">
        <v>1250</v>
      </c>
      <c r="E242" s="7">
        <v>252</v>
      </c>
      <c r="F242" s="7" t="s">
        <v>1022</v>
      </c>
      <c r="G242" s="269">
        <v>1.4792899409999999E-2</v>
      </c>
      <c r="H242" s="10">
        <v>1014</v>
      </c>
      <c r="I242" s="10">
        <v>15</v>
      </c>
      <c r="J242" s="68">
        <f t="shared" si="10"/>
        <v>82.5</v>
      </c>
      <c r="K242" s="68">
        <f t="shared" si="11"/>
        <v>1.22</v>
      </c>
      <c r="L242" s="68"/>
      <c r="M242" s="408"/>
      <c r="N242" s="10"/>
      <c r="O242" s="269"/>
      <c r="P242" s="269"/>
      <c r="Q242" s="10"/>
    </row>
    <row r="243" spans="1:17">
      <c r="A243" s="10">
        <v>817</v>
      </c>
      <c r="B243" s="7">
        <v>234</v>
      </c>
      <c r="C243" s="7">
        <f t="shared" si="9"/>
        <v>817258</v>
      </c>
      <c r="D243" s="7" t="s">
        <v>1250</v>
      </c>
      <c r="E243" s="7">
        <v>258</v>
      </c>
      <c r="F243" s="7" t="s">
        <v>1028</v>
      </c>
      <c r="G243" s="269">
        <v>0.18441814596</v>
      </c>
      <c r="H243" s="10">
        <v>1014</v>
      </c>
      <c r="I243" s="10">
        <v>187</v>
      </c>
      <c r="J243" s="68">
        <f t="shared" si="10"/>
        <v>61.21</v>
      </c>
      <c r="K243" s="68">
        <f t="shared" si="11"/>
        <v>11.29</v>
      </c>
      <c r="L243" s="68"/>
      <c r="M243" s="408"/>
      <c r="N243" s="10"/>
      <c r="O243" s="269"/>
      <c r="P243" s="269"/>
      <c r="Q243" s="10"/>
    </row>
    <row r="244" spans="1:17">
      <c r="A244" s="10">
        <v>817</v>
      </c>
      <c r="B244" s="7">
        <v>235</v>
      </c>
      <c r="C244" s="7">
        <f t="shared" si="9"/>
        <v>817291</v>
      </c>
      <c r="D244" s="7" t="s">
        <v>1250</v>
      </c>
      <c r="E244" s="7">
        <v>291</v>
      </c>
      <c r="F244" s="7" t="s">
        <v>1068</v>
      </c>
      <c r="G244" s="269">
        <v>1.972386588E-2</v>
      </c>
      <c r="H244" s="10">
        <v>1014</v>
      </c>
      <c r="I244" s="10">
        <v>20</v>
      </c>
      <c r="J244" s="68">
        <f t="shared" si="10"/>
        <v>82.5</v>
      </c>
      <c r="K244" s="68">
        <f t="shared" si="11"/>
        <v>1.63</v>
      </c>
      <c r="L244" s="68"/>
      <c r="M244" s="408"/>
      <c r="N244" s="10"/>
      <c r="O244" s="269"/>
      <c r="P244" s="269"/>
      <c r="Q244" s="10"/>
    </row>
    <row r="245" spans="1:17">
      <c r="A245" s="10">
        <v>817</v>
      </c>
      <c r="B245" s="7">
        <v>236</v>
      </c>
      <c r="C245" s="7">
        <f t="shared" si="9"/>
        <v>817298</v>
      </c>
      <c r="D245" s="7" t="s">
        <v>1250</v>
      </c>
      <c r="E245" s="7">
        <v>298</v>
      </c>
      <c r="F245" s="7" t="s">
        <v>1075</v>
      </c>
      <c r="G245" s="269">
        <v>1.3806706110000001E-2</v>
      </c>
      <c r="H245" s="10">
        <v>1014</v>
      </c>
      <c r="I245" s="10">
        <v>14</v>
      </c>
      <c r="J245" s="68">
        <f t="shared" si="10"/>
        <v>82.5</v>
      </c>
      <c r="K245" s="68">
        <f t="shared" si="11"/>
        <v>1.1399999999999999</v>
      </c>
      <c r="L245" s="68"/>
      <c r="M245" s="408"/>
      <c r="N245" s="10"/>
      <c r="O245" s="269"/>
      <c r="P245" s="269"/>
      <c r="Q245" s="10"/>
    </row>
    <row r="246" spans="1:17">
      <c r="A246" s="10">
        <v>817</v>
      </c>
      <c r="B246" s="7">
        <v>237</v>
      </c>
      <c r="C246" s="7">
        <f t="shared" si="9"/>
        <v>817320</v>
      </c>
      <c r="D246" s="7" t="s">
        <v>1250</v>
      </c>
      <c r="E246" s="7">
        <v>320</v>
      </c>
      <c r="F246" s="7" t="s">
        <v>1098</v>
      </c>
      <c r="G246" s="269">
        <v>9.8619329400000001E-3</v>
      </c>
      <c r="H246" s="10">
        <v>1014</v>
      </c>
      <c r="I246" s="10">
        <v>10</v>
      </c>
      <c r="J246" s="68">
        <f t="shared" si="10"/>
        <v>82.5</v>
      </c>
      <c r="K246" s="68">
        <f t="shared" si="11"/>
        <v>0.81</v>
      </c>
      <c r="L246" s="68"/>
      <c r="M246" s="408"/>
      <c r="N246" s="10"/>
      <c r="O246" s="269"/>
      <c r="P246" s="269"/>
      <c r="Q246" s="10"/>
    </row>
    <row r="247" spans="1:17">
      <c r="A247" s="10">
        <v>818</v>
      </c>
      <c r="B247" s="7">
        <v>238</v>
      </c>
      <c r="C247" s="7">
        <f t="shared" si="9"/>
        <v>818029</v>
      </c>
      <c r="D247" s="7" t="s">
        <v>46</v>
      </c>
      <c r="E247" s="7">
        <v>29</v>
      </c>
      <c r="F247" s="7" t="s">
        <v>44</v>
      </c>
      <c r="G247" s="269">
        <v>4.805491991E-2</v>
      </c>
      <c r="H247" s="10">
        <v>437</v>
      </c>
      <c r="I247" s="10">
        <v>21</v>
      </c>
      <c r="J247" s="68">
        <f t="shared" si="10"/>
        <v>51.72</v>
      </c>
      <c r="K247" s="68">
        <f t="shared" si="11"/>
        <v>2.4900000000000002</v>
      </c>
      <c r="L247" s="68"/>
      <c r="M247" s="408"/>
      <c r="N247" s="10"/>
      <c r="O247" s="269"/>
      <c r="P247" s="269"/>
      <c r="Q247" s="10"/>
    </row>
    <row r="248" spans="1:17">
      <c r="A248" s="10">
        <v>818</v>
      </c>
      <c r="B248" s="7">
        <v>239</v>
      </c>
      <c r="C248" s="7">
        <f t="shared" si="9"/>
        <v>818047</v>
      </c>
      <c r="D248" s="7" t="s">
        <v>46</v>
      </c>
      <c r="E248" s="7">
        <v>47</v>
      </c>
      <c r="F248" s="7" t="s">
        <v>705</v>
      </c>
      <c r="G248" s="269">
        <v>2.0594965680000001E-2</v>
      </c>
      <c r="H248" s="10">
        <v>437</v>
      </c>
      <c r="I248" s="10">
        <v>9</v>
      </c>
      <c r="J248" s="68">
        <f t="shared" si="10"/>
        <v>62.44</v>
      </c>
      <c r="K248" s="68">
        <f t="shared" si="11"/>
        <v>1.29</v>
      </c>
      <c r="L248" s="68"/>
      <c r="M248" s="408"/>
      <c r="N248" s="10"/>
      <c r="O248" s="269"/>
      <c r="P248" s="269"/>
      <c r="Q248" s="10"/>
    </row>
    <row r="249" spans="1:17">
      <c r="A249" s="10">
        <v>818</v>
      </c>
      <c r="B249" s="7">
        <v>240</v>
      </c>
      <c r="C249" s="7">
        <f t="shared" si="9"/>
        <v>818066</v>
      </c>
      <c r="D249" s="7" t="s">
        <v>46</v>
      </c>
      <c r="E249" s="7">
        <v>66</v>
      </c>
      <c r="F249" s="7" t="s">
        <v>737</v>
      </c>
      <c r="G249" s="269">
        <v>4.805491991E-2</v>
      </c>
      <c r="H249" s="10">
        <v>437</v>
      </c>
      <c r="I249" s="10">
        <v>21</v>
      </c>
      <c r="J249" s="68">
        <f t="shared" si="10"/>
        <v>54.6</v>
      </c>
      <c r="K249" s="68">
        <f t="shared" si="11"/>
        <v>2.62</v>
      </c>
      <c r="L249" s="68"/>
      <c r="M249" s="408"/>
      <c r="N249" s="10"/>
      <c r="O249" s="269"/>
      <c r="P249" s="269"/>
      <c r="Q249" s="10"/>
    </row>
    <row r="250" spans="1:17">
      <c r="A250" s="10">
        <v>818</v>
      </c>
      <c r="B250" s="7">
        <v>241</v>
      </c>
      <c r="C250" s="7">
        <f t="shared" si="9"/>
        <v>818068</v>
      </c>
      <c r="D250" s="7" t="s">
        <v>46</v>
      </c>
      <c r="E250" s="7">
        <v>68</v>
      </c>
      <c r="F250" s="7" t="s">
        <v>739</v>
      </c>
      <c r="G250" s="269">
        <v>1.601830664E-2</v>
      </c>
      <c r="H250" s="10">
        <v>437</v>
      </c>
      <c r="I250" s="10">
        <v>7</v>
      </c>
      <c r="J250" s="68">
        <f t="shared" si="10"/>
        <v>78.510000000000005</v>
      </c>
      <c r="K250" s="68">
        <f t="shared" si="11"/>
        <v>1.26</v>
      </c>
      <c r="L250" s="68"/>
      <c r="M250" s="408"/>
      <c r="N250" s="10"/>
      <c r="O250" s="269"/>
      <c r="P250" s="269"/>
      <c r="Q250" s="10"/>
    </row>
    <row r="251" spans="1:17">
      <c r="A251" s="10">
        <v>818</v>
      </c>
      <c r="B251" s="7">
        <v>242</v>
      </c>
      <c r="C251" s="7">
        <f t="shared" si="9"/>
        <v>818074</v>
      </c>
      <c r="D251" s="7" t="s">
        <v>46</v>
      </c>
      <c r="E251" s="7">
        <v>74</v>
      </c>
      <c r="F251" s="7" t="s">
        <v>751</v>
      </c>
      <c r="G251" s="269">
        <v>3.661327231E-2</v>
      </c>
      <c r="H251" s="10">
        <v>437</v>
      </c>
      <c r="I251" s="10">
        <v>16</v>
      </c>
      <c r="J251" s="68">
        <f t="shared" si="10"/>
        <v>82.5</v>
      </c>
      <c r="K251" s="68">
        <f t="shared" si="11"/>
        <v>3.02</v>
      </c>
      <c r="L251" s="68"/>
      <c r="M251" s="408"/>
      <c r="N251" s="10"/>
      <c r="O251" s="269"/>
      <c r="P251" s="269"/>
      <c r="Q251" s="10"/>
    </row>
    <row r="252" spans="1:17">
      <c r="A252" s="10">
        <v>818</v>
      </c>
      <c r="B252" s="7">
        <v>243</v>
      </c>
      <c r="C252" s="7">
        <f t="shared" si="9"/>
        <v>818091</v>
      </c>
      <c r="D252" s="7" t="s">
        <v>46</v>
      </c>
      <c r="E252" s="7">
        <v>91</v>
      </c>
      <c r="F252" s="7" t="s">
        <v>777</v>
      </c>
      <c r="G252" s="269">
        <v>7.5514874139999993E-2</v>
      </c>
      <c r="H252" s="10">
        <v>437</v>
      </c>
      <c r="I252" s="10">
        <v>33</v>
      </c>
      <c r="J252" s="68">
        <f t="shared" si="10"/>
        <v>82.5</v>
      </c>
      <c r="K252" s="68">
        <f t="shared" si="11"/>
        <v>6.23</v>
      </c>
      <c r="L252" s="68"/>
      <c r="M252" s="408"/>
      <c r="N252" s="10"/>
      <c r="O252" s="269"/>
      <c r="P252" s="269"/>
      <c r="Q252" s="10"/>
    </row>
    <row r="253" spans="1:17">
      <c r="A253" s="10">
        <v>818</v>
      </c>
      <c r="B253" s="7">
        <v>244</v>
      </c>
      <c r="C253" s="7">
        <f t="shared" si="9"/>
        <v>818106</v>
      </c>
      <c r="D253" s="7" t="s">
        <v>46</v>
      </c>
      <c r="E253" s="7">
        <v>106</v>
      </c>
      <c r="F253" s="7" t="s">
        <v>795</v>
      </c>
      <c r="G253" s="269">
        <v>2.288329519E-2</v>
      </c>
      <c r="H253" s="10">
        <v>437</v>
      </c>
      <c r="I253" s="10">
        <v>10</v>
      </c>
      <c r="J253" s="68">
        <f t="shared" si="10"/>
        <v>60.25</v>
      </c>
      <c r="K253" s="68">
        <f t="shared" si="11"/>
        <v>1.38</v>
      </c>
      <c r="L253" s="68"/>
      <c r="M253" s="408"/>
      <c r="N253" s="10"/>
      <c r="O253" s="269"/>
      <c r="P253" s="269"/>
      <c r="Q253" s="10"/>
    </row>
    <row r="254" spans="1:17">
      <c r="A254" s="10">
        <v>818</v>
      </c>
      <c r="B254" s="7">
        <v>245</v>
      </c>
      <c r="C254" s="7">
        <f t="shared" si="9"/>
        <v>818114</v>
      </c>
      <c r="D254" s="7" t="s">
        <v>46</v>
      </c>
      <c r="E254" s="7">
        <v>114</v>
      </c>
      <c r="F254" s="7" t="s">
        <v>805</v>
      </c>
      <c r="G254" s="269">
        <v>0.24942791761999999</v>
      </c>
      <c r="H254" s="10">
        <v>437</v>
      </c>
      <c r="I254" s="10">
        <v>109</v>
      </c>
      <c r="J254" s="68">
        <f t="shared" si="10"/>
        <v>45.84</v>
      </c>
      <c r="K254" s="68">
        <f t="shared" si="11"/>
        <v>11.43</v>
      </c>
      <c r="L254" s="68"/>
      <c r="M254" s="408"/>
      <c r="N254" s="10"/>
      <c r="O254" s="269"/>
      <c r="P254" s="269"/>
      <c r="Q254" s="10"/>
    </row>
    <row r="255" spans="1:17">
      <c r="A255" s="10">
        <v>818</v>
      </c>
      <c r="B255" s="7">
        <v>246</v>
      </c>
      <c r="C255" s="7">
        <f t="shared" si="9"/>
        <v>818130</v>
      </c>
      <c r="D255" s="7" t="s">
        <v>46</v>
      </c>
      <c r="E255" s="7">
        <v>130</v>
      </c>
      <c r="F255" s="7" t="s">
        <v>826</v>
      </c>
      <c r="G255" s="269">
        <v>2.745995423E-2</v>
      </c>
      <c r="H255" s="10">
        <v>437</v>
      </c>
      <c r="I255" s="10">
        <v>12</v>
      </c>
      <c r="J255" s="68">
        <f t="shared" si="10"/>
        <v>42.35</v>
      </c>
      <c r="K255" s="68">
        <f t="shared" si="11"/>
        <v>1.1599999999999999</v>
      </c>
      <c r="L255" s="68"/>
      <c r="M255" s="408"/>
      <c r="N255" s="10"/>
      <c r="O255" s="269"/>
      <c r="P255" s="269"/>
      <c r="Q255" s="10"/>
    </row>
    <row r="256" spans="1:17">
      <c r="A256" s="10">
        <v>818</v>
      </c>
      <c r="B256" s="7">
        <v>247</v>
      </c>
      <c r="C256" s="7">
        <f t="shared" si="9"/>
        <v>818156</v>
      </c>
      <c r="D256" s="7" t="s">
        <v>46</v>
      </c>
      <c r="E256" s="7">
        <v>156</v>
      </c>
      <c r="F256" s="7" t="s">
        <v>854</v>
      </c>
      <c r="G256" s="269">
        <v>1.601830664E-2</v>
      </c>
      <c r="H256" s="10">
        <v>437</v>
      </c>
      <c r="I256" s="10">
        <v>7</v>
      </c>
      <c r="J256" s="68">
        <f t="shared" si="10"/>
        <v>82.5</v>
      </c>
      <c r="K256" s="68">
        <f t="shared" si="11"/>
        <v>1.32</v>
      </c>
      <c r="L256" s="68"/>
      <c r="M256" s="408"/>
      <c r="N256" s="10"/>
      <c r="O256" s="269"/>
      <c r="P256" s="269"/>
      <c r="Q256" s="10"/>
    </row>
    <row r="257" spans="1:17">
      <c r="A257" s="10">
        <v>818</v>
      </c>
      <c r="B257" s="7">
        <v>248</v>
      </c>
      <c r="C257" s="7">
        <f t="shared" si="9"/>
        <v>818192</v>
      </c>
      <c r="D257" s="7" t="s">
        <v>46</v>
      </c>
      <c r="E257" s="7">
        <v>192</v>
      </c>
      <c r="F257" s="7" t="s">
        <v>931</v>
      </c>
      <c r="G257" s="269">
        <v>0.13501144165000001</v>
      </c>
      <c r="H257" s="10">
        <v>437</v>
      </c>
      <c r="I257" s="10">
        <v>59</v>
      </c>
      <c r="J257" s="68">
        <f t="shared" si="10"/>
        <v>50.29</v>
      </c>
      <c r="K257" s="68">
        <f t="shared" si="11"/>
        <v>6.79</v>
      </c>
      <c r="L257" s="68"/>
      <c r="M257" s="408"/>
      <c r="N257" s="10"/>
      <c r="O257" s="269"/>
      <c r="P257" s="269"/>
      <c r="Q257" s="10"/>
    </row>
    <row r="258" spans="1:17">
      <c r="A258" s="10">
        <v>818</v>
      </c>
      <c r="B258" s="7">
        <v>249</v>
      </c>
      <c r="C258" s="7">
        <f t="shared" si="9"/>
        <v>818206</v>
      </c>
      <c r="D258" s="7" t="s">
        <v>46</v>
      </c>
      <c r="E258" s="7">
        <v>206</v>
      </c>
      <c r="F258" s="7" t="s">
        <v>947</v>
      </c>
      <c r="G258" s="269">
        <v>6.8649885600000002E-3</v>
      </c>
      <c r="H258" s="10">
        <v>437</v>
      </c>
      <c r="I258" s="10">
        <v>3</v>
      </c>
      <c r="J258" s="68">
        <f t="shared" si="10"/>
        <v>54.28</v>
      </c>
      <c r="K258" s="68">
        <f t="shared" si="11"/>
        <v>0.37</v>
      </c>
      <c r="L258" s="68"/>
      <c r="M258" s="408"/>
      <c r="N258" s="10"/>
      <c r="O258" s="269"/>
      <c r="P258" s="269"/>
      <c r="Q258" s="10"/>
    </row>
    <row r="259" spans="1:17">
      <c r="A259" s="10">
        <v>818</v>
      </c>
      <c r="B259" s="7">
        <v>250</v>
      </c>
      <c r="C259" s="7">
        <f t="shared" si="9"/>
        <v>818216</v>
      </c>
      <c r="D259" s="7" t="s">
        <v>46</v>
      </c>
      <c r="E259" s="7">
        <v>216</v>
      </c>
      <c r="F259" s="7" t="s">
        <v>963</v>
      </c>
      <c r="G259" s="269">
        <v>8.0091533179999994E-2</v>
      </c>
      <c r="H259" s="10">
        <v>437</v>
      </c>
      <c r="I259" s="10">
        <v>35</v>
      </c>
      <c r="J259" s="68">
        <f t="shared" si="10"/>
        <v>71.81</v>
      </c>
      <c r="K259" s="68">
        <f t="shared" si="11"/>
        <v>5.75</v>
      </c>
      <c r="L259" s="68"/>
      <c r="M259" s="408"/>
      <c r="N259" s="10"/>
      <c r="O259" s="269"/>
      <c r="P259" s="269"/>
      <c r="Q259" s="10"/>
    </row>
    <row r="260" spans="1:17">
      <c r="A260" s="10">
        <v>818</v>
      </c>
      <c r="B260" s="7">
        <v>251</v>
      </c>
      <c r="C260" s="7">
        <f t="shared" si="9"/>
        <v>818223</v>
      </c>
      <c r="D260" s="7" t="s">
        <v>46</v>
      </c>
      <c r="E260" s="7">
        <v>223</v>
      </c>
      <c r="F260" s="7" t="s">
        <v>972</v>
      </c>
      <c r="G260" s="269">
        <v>0.13958810068999999</v>
      </c>
      <c r="H260" s="10">
        <v>437</v>
      </c>
      <c r="I260" s="10">
        <v>61</v>
      </c>
      <c r="J260" s="68">
        <f t="shared" si="10"/>
        <v>27.57</v>
      </c>
      <c r="K260" s="68">
        <f t="shared" si="11"/>
        <v>3.85</v>
      </c>
      <c r="L260" s="68"/>
      <c r="M260" s="408"/>
      <c r="N260" s="10"/>
      <c r="O260" s="269"/>
      <c r="P260" s="269"/>
      <c r="Q260" s="10"/>
    </row>
    <row r="261" spans="1:17">
      <c r="A261" s="10">
        <v>818</v>
      </c>
      <c r="B261" s="7">
        <v>252</v>
      </c>
      <c r="C261" s="7">
        <f t="shared" si="9"/>
        <v>818268</v>
      </c>
      <c r="D261" s="7" t="s">
        <v>46</v>
      </c>
      <c r="E261" s="7">
        <v>268</v>
      </c>
      <c r="F261" s="7" t="s">
        <v>1038</v>
      </c>
      <c r="G261" s="269">
        <v>6.8649885600000002E-3</v>
      </c>
      <c r="H261" s="10">
        <v>437</v>
      </c>
      <c r="I261" s="10">
        <v>3</v>
      </c>
      <c r="J261" s="68">
        <f t="shared" si="10"/>
        <v>76</v>
      </c>
      <c r="K261" s="68">
        <f t="shared" si="11"/>
        <v>0.52</v>
      </c>
      <c r="L261" s="68"/>
      <c r="M261" s="408"/>
      <c r="N261" s="10"/>
      <c r="O261" s="269"/>
      <c r="P261" s="269"/>
      <c r="Q261" s="10"/>
    </row>
    <row r="262" spans="1:17">
      <c r="A262" s="10">
        <v>818</v>
      </c>
      <c r="B262" s="7">
        <v>253</v>
      </c>
      <c r="C262" s="7">
        <f t="shared" si="9"/>
        <v>818289</v>
      </c>
      <c r="D262" s="7" t="s">
        <v>46</v>
      </c>
      <c r="E262" s="7">
        <v>289</v>
      </c>
      <c r="F262" s="7" t="s">
        <v>1066</v>
      </c>
      <c r="G262" s="269">
        <v>1.372997712E-2</v>
      </c>
      <c r="H262" s="10">
        <v>437</v>
      </c>
      <c r="I262" s="10">
        <v>6</v>
      </c>
      <c r="J262" s="68">
        <f t="shared" si="10"/>
        <v>75.510000000000005</v>
      </c>
      <c r="K262" s="68">
        <f t="shared" si="11"/>
        <v>1.04</v>
      </c>
      <c r="L262" s="68"/>
      <c r="M262" s="408"/>
      <c r="N262" s="10"/>
      <c r="O262" s="269"/>
      <c r="P262" s="269"/>
      <c r="Q262" s="10"/>
    </row>
    <row r="263" spans="1:17">
      <c r="A263" s="10">
        <v>818</v>
      </c>
      <c r="B263" s="7">
        <v>254</v>
      </c>
      <c r="C263" s="7">
        <f t="shared" si="9"/>
        <v>818312</v>
      </c>
      <c r="D263" s="7" t="s">
        <v>46</v>
      </c>
      <c r="E263" s="7">
        <v>312</v>
      </c>
      <c r="F263" s="7" t="s">
        <v>1090</v>
      </c>
      <c r="G263" s="269">
        <v>2.0594965680000001E-2</v>
      </c>
      <c r="H263" s="10">
        <v>437</v>
      </c>
      <c r="I263" s="10">
        <v>9</v>
      </c>
      <c r="J263" s="68">
        <f t="shared" si="10"/>
        <v>54.34</v>
      </c>
      <c r="K263" s="68">
        <f t="shared" si="11"/>
        <v>1.1200000000000001</v>
      </c>
      <c r="L263" s="68"/>
      <c r="M263" s="408"/>
      <c r="N263" s="10"/>
      <c r="O263" s="269"/>
      <c r="P263" s="269"/>
      <c r="Q263" s="10"/>
    </row>
    <row r="264" spans="1:17">
      <c r="A264" s="10">
        <v>818</v>
      </c>
      <c r="B264" s="7">
        <v>255</v>
      </c>
      <c r="C264" s="7">
        <f t="shared" si="9"/>
        <v>818319</v>
      </c>
      <c r="D264" s="7" t="s">
        <v>46</v>
      </c>
      <c r="E264" s="7">
        <v>319</v>
      </c>
      <c r="F264" s="7" t="s">
        <v>1097</v>
      </c>
      <c r="G264" s="269">
        <v>1.601830664E-2</v>
      </c>
      <c r="H264" s="10">
        <v>437</v>
      </c>
      <c r="I264" s="10">
        <v>7</v>
      </c>
      <c r="J264" s="68">
        <f t="shared" si="10"/>
        <v>49.61</v>
      </c>
      <c r="K264" s="68">
        <f t="shared" si="11"/>
        <v>0.79</v>
      </c>
      <c r="L264" s="68"/>
      <c r="M264" s="408"/>
      <c r="N264" s="10"/>
      <c r="O264" s="269"/>
      <c r="P264" s="269"/>
      <c r="Q264" s="10"/>
    </row>
    <row r="265" spans="1:17">
      <c r="A265" s="10">
        <v>818</v>
      </c>
      <c r="B265" s="7">
        <v>256</v>
      </c>
      <c r="C265" s="7">
        <f t="shared" ref="C265:C322" si="12">A265*1000+E265</f>
        <v>818337</v>
      </c>
      <c r="D265" s="7" t="s">
        <v>46</v>
      </c>
      <c r="E265" s="7">
        <v>337</v>
      </c>
      <c r="F265" s="7" t="s">
        <v>1115</v>
      </c>
      <c r="G265" s="269">
        <v>2.0594965680000001E-2</v>
      </c>
      <c r="H265" s="10">
        <v>437</v>
      </c>
      <c r="I265" s="10">
        <v>9</v>
      </c>
      <c r="J265" s="68">
        <f t="shared" ref="J265:J322" si="13">ROUND(VLOOKUP(E265,town351,11),2)</f>
        <v>82.5</v>
      </c>
      <c r="K265" s="68">
        <f t="shared" si="11"/>
        <v>1.7</v>
      </c>
      <c r="L265" s="68"/>
      <c r="M265" s="408"/>
      <c r="N265" s="10"/>
      <c r="O265" s="269"/>
      <c r="P265" s="269"/>
      <c r="Q265" s="10"/>
    </row>
    <row r="266" spans="1:17">
      <c r="A266" s="10">
        <v>821</v>
      </c>
      <c r="B266" s="7">
        <v>257</v>
      </c>
      <c r="C266" s="7">
        <f t="shared" si="12"/>
        <v>821095</v>
      </c>
      <c r="D266" s="7" t="s">
        <v>782</v>
      </c>
      <c r="E266" s="7">
        <v>95</v>
      </c>
      <c r="F266" s="7" t="s">
        <v>781</v>
      </c>
      <c r="G266" s="269">
        <v>0.74291637871000005</v>
      </c>
      <c r="H266" s="10">
        <v>1447</v>
      </c>
      <c r="I266" s="10">
        <v>1075</v>
      </c>
      <c r="J266" s="68">
        <f t="shared" si="13"/>
        <v>24.92</v>
      </c>
      <c r="K266" s="68">
        <f t="shared" ref="K266:K323" si="14">ROUND(G266*J266,2)</f>
        <v>18.510000000000002</v>
      </c>
      <c r="L266" s="68"/>
      <c r="M266" s="408"/>
      <c r="N266" s="10"/>
      <c r="O266" s="269"/>
      <c r="P266" s="269"/>
      <c r="Q266" s="10"/>
    </row>
    <row r="267" spans="1:17">
      <c r="A267" s="10">
        <v>821</v>
      </c>
      <c r="B267" s="7">
        <v>258</v>
      </c>
      <c r="C267" s="7">
        <f t="shared" si="12"/>
        <v>821273</v>
      </c>
      <c r="D267" s="7" t="s">
        <v>782</v>
      </c>
      <c r="E267" s="7">
        <v>273</v>
      </c>
      <c r="F267" s="7" t="s">
        <v>1043</v>
      </c>
      <c r="G267" s="269">
        <v>7.3946095370000006E-2</v>
      </c>
      <c r="H267" s="10">
        <v>1447</v>
      </c>
      <c r="I267" s="10">
        <v>107</v>
      </c>
      <c r="J267" s="68">
        <f t="shared" si="13"/>
        <v>55.26</v>
      </c>
      <c r="K267" s="68">
        <f t="shared" si="14"/>
        <v>4.09</v>
      </c>
      <c r="L267" s="68"/>
      <c r="M267" s="408"/>
      <c r="N267" s="10"/>
      <c r="O267" s="269"/>
      <c r="P267" s="269"/>
      <c r="Q267" s="10"/>
    </row>
    <row r="268" spans="1:17">
      <c r="A268" s="10">
        <v>821</v>
      </c>
      <c r="B268" s="7">
        <v>259</v>
      </c>
      <c r="C268" s="7">
        <f t="shared" si="12"/>
        <v>821292</v>
      </c>
      <c r="D268" s="7" t="s">
        <v>782</v>
      </c>
      <c r="E268" s="7">
        <v>292</v>
      </c>
      <c r="F268" s="7" t="s">
        <v>1069</v>
      </c>
      <c r="G268" s="269">
        <v>9.3296475470000001E-2</v>
      </c>
      <c r="H268" s="10">
        <v>1447</v>
      </c>
      <c r="I268" s="10">
        <v>135</v>
      </c>
      <c r="J268" s="68">
        <f t="shared" si="13"/>
        <v>63.73</v>
      </c>
      <c r="K268" s="68">
        <f t="shared" si="14"/>
        <v>5.95</v>
      </c>
      <c r="L268" s="68"/>
      <c r="M268" s="408"/>
      <c r="N268" s="10"/>
      <c r="O268" s="269"/>
      <c r="P268" s="269"/>
      <c r="Q268" s="10"/>
    </row>
    <row r="269" spans="1:17">
      <c r="A269" s="10">
        <v>821</v>
      </c>
      <c r="B269" s="7">
        <v>260</v>
      </c>
      <c r="C269" s="7">
        <f t="shared" si="12"/>
        <v>821331</v>
      </c>
      <c r="D269" s="7" t="s">
        <v>782</v>
      </c>
      <c r="E269" s="7">
        <v>331</v>
      </c>
      <c r="F269" s="7" t="s">
        <v>1109</v>
      </c>
      <c r="G269" s="269">
        <v>8.9841050450000001E-2</v>
      </c>
      <c r="H269" s="10">
        <v>1447</v>
      </c>
      <c r="I269" s="10">
        <v>130</v>
      </c>
      <c r="J269" s="68">
        <f t="shared" si="13"/>
        <v>82.5</v>
      </c>
      <c r="K269" s="68">
        <f t="shared" si="14"/>
        <v>7.41</v>
      </c>
      <c r="L269" s="68"/>
      <c r="M269" s="408"/>
      <c r="N269" s="10"/>
      <c r="O269" s="269"/>
      <c r="P269" s="269"/>
      <c r="Q269" s="10"/>
    </row>
    <row r="270" spans="1:17">
      <c r="A270" s="10">
        <v>823</v>
      </c>
      <c r="B270" s="7">
        <v>261</v>
      </c>
      <c r="C270" s="7">
        <f t="shared" si="12"/>
        <v>823009</v>
      </c>
      <c r="D270" s="7" t="s">
        <v>6</v>
      </c>
      <c r="E270" s="7">
        <v>9</v>
      </c>
      <c r="F270" s="7" t="s">
        <v>5</v>
      </c>
      <c r="G270" s="269">
        <v>2.057877814E-2</v>
      </c>
      <c r="H270" s="10">
        <v>1555</v>
      </c>
      <c r="I270" s="10">
        <v>32</v>
      </c>
      <c r="J270" s="68">
        <f t="shared" si="13"/>
        <v>82.5</v>
      </c>
      <c r="K270" s="68">
        <f t="shared" si="14"/>
        <v>1.7</v>
      </c>
      <c r="L270" s="68"/>
      <c r="M270" s="408"/>
      <c r="N270" s="10"/>
      <c r="O270" s="269"/>
      <c r="P270" s="269"/>
      <c r="Q270" s="10"/>
    </row>
    <row r="271" spans="1:17">
      <c r="A271" s="10">
        <v>823</v>
      </c>
      <c r="B271" s="7">
        <v>262</v>
      </c>
      <c r="C271" s="7">
        <f t="shared" si="12"/>
        <v>823149</v>
      </c>
      <c r="D271" s="7" t="s">
        <v>6</v>
      </c>
      <c r="E271" s="7">
        <v>149</v>
      </c>
      <c r="F271" s="7" t="s">
        <v>847</v>
      </c>
      <c r="G271" s="269">
        <v>0.75176848875000002</v>
      </c>
      <c r="H271" s="10">
        <v>1555</v>
      </c>
      <c r="I271" s="10">
        <v>1169</v>
      </c>
      <c r="J271" s="68">
        <f t="shared" si="13"/>
        <v>13.46</v>
      </c>
      <c r="K271" s="68">
        <f t="shared" si="14"/>
        <v>10.119999999999999</v>
      </c>
      <c r="L271" s="68"/>
      <c r="M271" s="408"/>
      <c r="N271" s="10"/>
      <c r="O271" s="269"/>
      <c r="P271" s="269"/>
      <c r="Q271" s="10"/>
    </row>
    <row r="272" spans="1:17">
      <c r="A272" s="10">
        <v>823</v>
      </c>
      <c r="B272" s="7">
        <v>263</v>
      </c>
      <c r="C272" s="7">
        <f t="shared" si="12"/>
        <v>823181</v>
      </c>
      <c r="D272" s="7" t="s">
        <v>6</v>
      </c>
      <c r="E272" s="7">
        <v>181</v>
      </c>
      <c r="F272" s="7" t="s">
        <v>920</v>
      </c>
      <c r="G272" s="269">
        <v>0.2115755627</v>
      </c>
      <c r="H272" s="10">
        <v>1555</v>
      </c>
      <c r="I272" s="10">
        <v>329</v>
      </c>
      <c r="J272" s="68">
        <f t="shared" si="13"/>
        <v>46.36</v>
      </c>
      <c r="K272" s="68">
        <f t="shared" si="14"/>
        <v>9.81</v>
      </c>
      <c r="L272" s="68"/>
      <c r="M272" s="408"/>
      <c r="N272" s="10"/>
      <c r="O272" s="269"/>
      <c r="P272" s="269"/>
      <c r="Q272" s="10"/>
    </row>
    <row r="273" spans="1:17">
      <c r="A273" s="10">
        <v>823</v>
      </c>
      <c r="B273" s="7">
        <v>264</v>
      </c>
      <c r="C273" s="7">
        <f t="shared" si="12"/>
        <v>823211</v>
      </c>
      <c r="D273" s="7" t="s">
        <v>6</v>
      </c>
      <c r="E273" s="7">
        <v>211</v>
      </c>
      <c r="F273" s="7" t="s">
        <v>957</v>
      </c>
      <c r="G273" s="269">
        <v>1.6077170419999998E-2</v>
      </c>
      <c r="H273" s="10">
        <v>1555</v>
      </c>
      <c r="I273" s="10">
        <v>25</v>
      </c>
      <c r="J273" s="68">
        <f t="shared" si="13"/>
        <v>82.5</v>
      </c>
      <c r="K273" s="68">
        <f t="shared" si="14"/>
        <v>1.33</v>
      </c>
      <c r="L273" s="68"/>
      <c r="M273" s="408"/>
      <c r="N273" s="10"/>
      <c r="O273" s="269"/>
      <c r="P273" s="269"/>
      <c r="Q273" s="10"/>
    </row>
    <row r="274" spans="1:17">
      <c r="A274" s="10">
        <v>825</v>
      </c>
      <c r="B274" s="7">
        <v>265</v>
      </c>
      <c r="C274" s="7">
        <f t="shared" si="12"/>
        <v>825072</v>
      </c>
      <c r="D274" s="7" t="s">
        <v>745</v>
      </c>
      <c r="E274" s="7">
        <v>72</v>
      </c>
      <c r="F274" s="7" t="s">
        <v>744</v>
      </c>
      <c r="G274" s="269">
        <v>0.14232730644</v>
      </c>
      <c r="H274" s="10">
        <v>2157</v>
      </c>
      <c r="I274" s="10">
        <v>307</v>
      </c>
      <c r="J274" s="68">
        <f t="shared" si="13"/>
        <v>82.5</v>
      </c>
      <c r="K274" s="68">
        <f t="shared" si="14"/>
        <v>11.74</v>
      </c>
      <c r="L274" s="68"/>
      <c r="M274" s="408"/>
      <c r="N274" s="10"/>
      <c r="O274" s="269"/>
      <c r="P274" s="269"/>
      <c r="Q274" s="10"/>
    </row>
    <row r="275" spans="1:17">
      <c r="A275" s="10">
        <v>825</v>
      </c>
      <c r="B275" s="7">
        <v>266</v>
      </c>
      <c r="C275" s="7">
        <f t="shared" si="12"/>
        <v>825094</v>
      </c>
      <c r="D275" s="7" t="s">
        <v>745</v>
      </c>
      <c r="E275" s="7">
        <v>94</v>
      </c>
      <c r="F275" s="7" t="s">
        <v>780</v>
      </c>
      <c r="G275" s="269">
        <v>8.5303662490000001E-2</v>
      </c>
      <c r="H275" s="10">
        <v>2157</v>
      </c>
      <c r="I275" s="10">
        <v>184</v>
      </c>
      <c r="J275" s="68">
        <f t="shared" si="13"/>
        <v>61.27</v>
      </c>
      <c r="K275" s="68">
        <f t="shared" si="14"/>
        <v>5.23</v>
      </c>
      <c r="L275" s="68"/>
      <c r="M275" s="408"/>
      <c r="N275" s="10"/>
      <c r="O275" s="269"/>
      <c r="P275" s="269"/>
      <c r="Q275" s="10"/>
    </row>
    <row r="276" spans="1:17">
      <c r="A276" s="10">
        <v>825</v>
      </c>
      <c r="B276" s="7">
        <v>267</v>
      </c>
      <c r="C276" s="7">
        <f t="shared" si="12"/>
        <v>825201</v>
      </c>
      <c r="D276" s="7" t="s">
        <v>745</v>
      </c>
      <c r="E276" s="7">
        <v>201</v>
      </c>
      <c r="F276" s="7" t="s">
        <v>941</v>
      </c>
      <c r="G276" s="269">
        <v>0.77236903105999999</v>
      </c>
      <c r="H276" s="10">
        <v>2157</v>
      </c>
      <c r="I276" s="10">
        <v>1666</v>
      </c>
      <c r="J276" s="68">
        <f t="shared" si="13"/>
        <v>21.69</v>
      </c>
      <c r="K276" s="68">
        <f t="shared" si="14"/>
        <v>16.75</v>
      </c>
      <c r="L276" s="68"/>
      <c r="M276" s="408"/>
      <c r="N276" s="10"/>
      <c r="O276" s="269"/>
      <c r="P276" s="269"/>
      <c r="Q276" s="10"/>
    </row>
    <row r="277" spans="1:17">
      <c r="A277" s="10">
        <v>828</v>
      </c>
      <c r="B277" s="7">
        <v>268</v>
      </c>
      <c r="C277" s="7">
        <f t="shared" si="12"/>
        <v>828079</v>
      </c>
      <c r="D277" s="7" t="s">
        <v>762</v>
      </c>
      <c r="E277" s="7">
        <v>79</v>
      </c>
      <c r="F277" s="7" t="s">
        <v>759</v>
      </c>
      <c r="G277" s="269">
        <v>0.21447602130999999</v>
      </c>
      <c r="H277" s="10">
        <v>2252</v>
      </c>
      <c r="I277" s="10">
        <v>483</v>
      </c>
      <c r="J277" s="68">
        <f t="shared" si="13"/>
        <v>55.84</v>
      </c>
      <c r="K277" s="68">
        <f t="shared" si="14"/>
        <v>11.98</v>
      </c>
      <c r="L277" s="68"/>
      <c r="M277" s="408"/>
      <c r="N277" s="10"/>
      <c r="O277" s="269"/>
      <c r="P277" s="269"/>
      <c r="Q277" s="10"/>
    </row>
    <row r="278" spans="1:17">
      <c r="A278" s="10">
        <v>828</v>
      </c>
      <c r="B278" s="7">
        <v>269</v>
      </c>
      <c r="C278" s="7">
        <f t="shared" si="12"/>
        <v>828081</v>
      </c>
      <c r="D278" s="7" t="s">
        <v>762</v>
      </c>
      <c r="E278" s="7">
        <v>81</v>
      </c>
      <c r="F278" s="7" t="s">
        <v>764</v>
      </c>
      <c r="G278" s="269">
        <v>4.4404973400000002E-3</v>
      </c>
      <c r="H278" s="10">
        <v>2252</v>
      </c>
      <c r="I278" s="10">
        <v>10</v>
      </c>
      <c r="J278" s="68">
        <f t="shared" si="13"/>
        <v>82.07</v>
      </c>
      <c r="K278" s="68">
        <f t="shared" si="14"/>
        <v>0.36</v>
      </c>
      <c r="L278" s="68"/>
      <c r="M278" s="408"/>
      <c r="N278" s="10"/>
      <c r="O278" s="269"/>
      <c r="P278" s="269"/>
      <c r="Q278" s="10"/>
    </row>
    <row r="279" spans="1:17">
      <c r="A279" s="10">
        <v>828</v>
      </c>
      <c r="B279" s="7">
        <v>270</v>
      </c>
      <c r="C279" s="7">
        <f t="shared" si="12"/>
        <v>828160</v>
      </c>
      <c r="D279" s="7" t="s">
        <v>762</v>
      </c>
      <c r="E279" s="7">
        <v>160</v>
      </c>
      <c r="F279" s="7" t="s">
        <v>859</v>
      </c>
      <c r="G279" s="269">
        <v>0.73579040853</v>
      </c>
      <c r="H279" s="10">
        <v>2252</v>
      </c>
      <c r="I279" s="10">
        <v>1657</v>
      </c>
      <c r="J279" s="68">
        <f t="shared" si="13"/>
        <v>25.96</v>
      </c>
      <c r="K279" s="68">
        <f t="shared" si="14"/>
        <v>19.100000000000001</v>
      </c>
      <c r="L279" s="68"/>
      <c r="M279" s="408"/>
      <c r="N279" s="10"/>
      <c r="O279" s="269"/>
      <c r="P279" s="269"/>
      <c r="Q279" s="10"/>
    </row>
    <row r="280" spans="1:17">
      <c r="A280" s="10">
        <v>828</v>
      </c>
      <c r="B280" s="7">
        <v>271</v>
      </c>
      <c r="C280" s="7">
        <f t="shared" si="12"/>
        <v>828301</v>
      </c>
      <c r="D280" s="7" t="s">
        <v>762</v>
      </c>
      <c r="E280" s="7">
        <v>301</v>
      </c>
      <c r="F280" s="7" t="s">
        <v>1078</v>
      </c>
      <c r="G280" s="269">
        <v>4.5293072820000002E-2</v>
      </c>
      <c r="H280" s="10">
        <v>2252</v>
      </c>
      <c r="I280" s="10">
        <v>102</v>
      </c>
      <c r="J280" s="68">
        <f t="shared" si="13"/>
        <v>69.290000000000006</v>
      </c>
      <c r="K280" s="68">
        <f t="shared" si="14"/>
        <v>3.14</v>
      </c>
      <c r="L280" s="68"/>
      <c r="M280" s="408"/>
      <c r="N280" s="10"/>
      <c r="O280" s="269"/>
      <c r="P280" s="269"/>
      <c r="Q280" s="10"/>
    </row>
    <row r="281" spans="1:17">
      <c r="A281" s="10">
        <v>829</v>
      </c>
      <c r="B281" s="7">
        <v>272</v>
      </c>
      <c r="C281" s="7">
        <f t="shared" si="12"/>
        <v>829014</v>
      </c>
      <c r="D281" s="7" t="s">
        <v>16</v>
      </c>
      <c r="E281" s="7">
        <v>14</v>
      </c>
      <c r="F281" s="7" t="s">
        <v>15</v>
      </c>
      <c r="G281" s="269">
        <v>8.7988826820000005E-2</v>
      </c>
      <c r="H281" s="10">
        <v>716</v>
      </c>
      <c r="I281" s="10">
        <v>63</v>
      </c>
      <c r="J281" s="68">
        <f t="shared" si="13"/>
        <v>77.709999999999994</v>
      </c>
      <c r="K281" s="68">
        <f t="shared" si="14"/>
        <v>6.84</v>
      </c>
      <c r="L281" s="68"/>
      <c r="M281" s="408"/>
      <c r="N281" s="10"/>
      <c r="O281" s="269"/>
      <c r="P281" s="269"/>
      <c r="Q281" s="10"/>
    </row>
    <row r="282" spans="1:17">
      <c r="A282" s="10">
        <v>829</v>
      </c>
      <c r="B282" s="7">
        <v>273</v>
      </c>
      <c r="C282" s="7">
        <f t="shared" si="12"/>
        <v>829100</v>
      </c>
      <c r="D282" s="7" t="s">
        <v>16</v>
      </c>
      <c r="E282" s="7">
        <v>100</v>
      </c>
      <c r="F282" s="7" t="s">
        <v>787</v>
      </c>
      <c r="G282" s="269">
        <v>0.72346368714999998</v>
      </c>
      <c r="H282" s="10">
        <v>716</v>
      </c>
      <c r="I282" s="10">
        <v>518</v>
      </c>
      <c r="J282" s="68">
        <f t="shared" si="13"/>
        <v>61.36</v>
      </c>
      <c r="K282" s="68">
        <f t="shared" si="14"/>
        <v>44.39</v>
      </c>
      <c r="L282" s="68"/>
      <c r="M282" s="408"/>
      <c r="N282" s="10"/>
      <c r="O282" s="269"/>
      <c r="P282" s="269"/>
      <c r="Q282" s="10"/>
    </row>
    <row r="283" spans="1:17">
      <c r="A283" s="10">
        <v>829</v>
      </c>
      <c r="B283" s="7">
        <v>274</v>
      </c>
      <c r="C283" s="7">
        <f t="shared" si="12"/>
        <v>829136</v>
      </c>
      <c r="D283" s="7" t="s">
        <v>16</v>
      </c>
      <c r="E283" s="7">
        <v>136</v>
      </c>
      <c r="F283" s="7" t="s">
        <v>833</v>
      </c>
      <c r="G283" s="269">
        <v>6.703910615E-2</v>
      </c>
      <c r="H283" s="10">
        <v>716</v>
      </c>
      <c r="I283" s="10">
        <v>48</v>
      </c>
      <c r="J283" s="68">
        <f t="shared" si="13"/>
        <v>73.58</v>
      </c>
      <c r="K283" s="68">
        <f t="shared" si="14"/>
        <v>4.93</v>
      </c>
      <c r="L283" s="68"/>
      <c r="M283" s="408"/>
      <c r="N283" s="10"/>
      <c r="O283" s="269"/>
      <c r="P283" s="269"/>
      <c r="Q283" s="10"/>
    </row>
    <row r="284" spans="1:17">
      <c r="A284" s="10">
        <v>829</v>
      </c>
      <c r="B284" s="7">
        <v>275</v>
      </c>
      <c r="C284" s="7">
        <f t="shared" si="12"/>
        <v>829139</v>
      </c>
      <c r="D284" s="7" t="s">
        <v>16</v>
      </c>
      <c r="E284" s="7">
        <v>139</v>
      </c>
      <c r="F284" s="7" t="s">
        <v>836</v>
      </c>
      <c r="G284" s="269">
        <v>3.0726256980000002E-2</v>
      </c>
      <c r="H284" s="10">
        <v>716</v>
      </c>
      <c r="I284" s="10">
        <v>22</v>
      </c>
      <c r="J284" s="68">
        <f t="shared" si="13"/>
        <v>82.5</v>
      </c>
      <c r="K284" s="68">
        <f t="shared" si="14"/>
        <v>2.5299999999999998</v>
      </c>
      <c r="L284" s="68"/>
      <c r="M284" s="408"/>
      <c r="N284" s="10"/>
      <c r="O284" s="269"/>
      <c r="P284" s="269"/>
      <c r="Q284" s="10"/>
    </row>
    <row r="285" spans="1:17">
      <c r="A285" s="10">
        <v>829</v>
      </c>
      <c r="B285" s="7">
        <v>276</v>
      </c>
      <c r="C285" s="7">
        <f t="shared" si="12"/>
        <v>829198</v>
      </c>
      <c r="D285" s="7" t="s">
        <v>16</v>
      </c>
      <c r="E285" s="7">
        <v>198</v>
      </c>
      <c r="F285" s="7" t="s">
        <v>937</v>
      </c>
      <c r="G285" s="269">
        <v>9.0782122909999999E-2</v>
      </c>
      <c r="H285" s="10">
        <v>716</v>
      </c>
      <c r="I285" s="10">
        <v>65</v>
      </c>
      <c r="J285" s="68">
        <f t="shared" si="13"/>
        <v>82.5</v>
      </c>
      <c r="K285" s="68">
        <f t="shared" si="14"/>
        <v>7.49</v>
      </c>
      <c r="L285" s="68"/>
      <c r="M285" s="408"/>
      <c r="N285" s="10"/>
      <c r="O285" s="269"/>
      <c r="P285" s="269"/>
      <c r="Q285" s="10"/>
    </row>
    <row r="286" spans="1:17">
      <c r="A286" s="10">
        <v>830</v>
      </c>
      <c r="B286" s="7">
        <v>277</v>
      </c>
      <c r="C286" s="7">
        <f t="shared" si="12"/>
        <v>830002</v>
      </c>
      <c r="D286" s="7" t="s">
        <v>1165</v>
      </c>
      <c r="E286" s="7">
        <v>2</v>
      </c>
      <c r="F286" s="7" t="s">
        <v>1163</v>
      </c>
      <c r="G286" s="269">
        <v>0.10434782609</v>
      </c>
      <c r="H286" s="10">
        <v>345</v>
      </c>
      <c r="I286" s="10">
        <v>36</v>
      </c>
      <c r="J286" s="68">
        <f t="shared" si="13"/>
        <v>77.88</v>
      </c>
      <c r="K286" s="68">
        <f t="shared" si="14"/>
        <v>8.1300000000000008</v>
      </c>
      <c r="L286" s="68"/>
      <c r="M286" s="408"/>
      <c r="N286" s="10"/>
      <c r="O286" s="269"/>
      <c r="P286" s="269"/>
      <c r="Q286" s="10"/>
    </row>
    <row r="287" spans="1:17">
      <c r="A287" s="10">
        <v>830</v>
      </c>
      <c r="B287" s="7">
        <v>278</v>
      </c>
      <c r="C287" s="7">
        <f t="shared" si="12"/>
        <v>830010</v>
      </c>
      <c r="D287" s="7" t="s">
        <v>1165</v>
      </c>
      <c r="E287" s="7">
        <v>10</v>
      </c>
      <c r="F287" s="7" t="s">
        <v>7</v>
      </c>
      <c r="G287" s="269">
        <v>0.35072463768000001</v>
      </c>
      <c r="H287" s="10">
        <v>345</v>
      </c>
      <c r="I287" s="10">
        <v>121</v>
      </c>
      <c r="J287" s="68">
        <f t="shared" si="13"/>
        <v>82.5</v>
      </c>
      <c r="K287" s="68">
        <f t="shared" si="14"/>
        <v>28.93</v>
      </c>
      <c r="L287" s="68"/>
      <c r="M287" s="408"/>
      <c r="N287" s="10"/>
      <c r="O287" s="269"/>
      <c r="P287" s="269"/>
      <c r="Q287" s="10"/>
    </row>
    <row r="288" spans="1:17">
      <c r="A288" s="10">
        <v>830</v>
      </c>
      <c r="B288" s="7">
        <v>279</v>
      </c>
      <c r="C288" s="7">
        <f t="shared" si="12"/>
        <v>830026</v>
      </c>
      <c r="D288" s="7" t="s">
        <v>1165</v>
      </c>
      <c r="E288" s="7">
        <v>26</v>
      </c>
      <c r="F288" s="7" t="s">
        <v>38</v>
      </c>
      <c r="G288" s="269">
        <v>8.1159420290000006E-2</v>
      </c>
      <c r="H288" s="10">
        <v>345</v>
      </c>
      <c r="I288" s="10">
        <v>28</v>
      </c>
      <c r="J288" s="68">
        <f t="shared" si="13"/>
        <v>82.5</v>
      </c>
      <c r="K288" s="68">
        <f t="shared" si="14"/>
        <v>6.7</v>
      </c>
      <c r="L288" s="68"/>
      <c r="M288" s="408"/>
      <c r="N288" s="10"/>
      <c r="O288" s="269"/>
      <c r="P288" s="269"/>
      <c r="Q288" s="10"/>
    </row>
    <row r="289" spans="1:17">
      <c r="A289" s="10">
        <v>830</v>
      </c>
      <c r="B289" s="7">
        <v>280</v>
      </c>
      <c r="C289" s="7">
        <f t="shared" si="12"/>
        <v>830034</v>
      </c>
      <c r="D289" s="7" t="s">
        <v>1165</v>
      </c>
      <c r="E289" s="7">
        <v>34</v>
      </c>
      <c r="F289" s="7" t="s">
        <v>57</v>
      </c>
      <c r="G289" s="269">
        <v>3.1884057969999997E-2</v>
      </c>
      <c r="H289" s="10">
        <v>345</v>
      </c>
      <c r="I289" s="10">
        <v>11</v>
      </c>
      <c r="J289" s="68">
        <f t="shared" si="13"/>
        <v>82.5</v>
      </c>
      <c r="K289" s="68">
        <f t="shared" si="14"/>
        <v>2.63</v>
      </c>
      <c r="L289" s="68"/>
      <c r="M289" s="408"/>
      <c r="N289" s="10"/>
      <c r="O289" s="269"/>
      <c r="P289" s="269"/>
      <c r="Q289" s="10"/>
    </row>
    <row r="290" spans="1:17">
      <c r="A290" s="10">
        <v>830</v>
      </c>
      <c r="B290" s="7">
        <v>281</v>
      </c>
      <c r="C290" s="7">
        <f t="shared" si="12"/>
        <v>830067</v>
      </c>
      <c r="D290" s="7" t="s">
        <v>1165</v>
      </c>
      <c r="E290" s="7">
        <v>67</v>
      </c>
      <c r="F290" s="7" t="s">
        <v>738</v>
      </c>
      <c r="G290" s="269">
        <v>6.0869565219999998E-2</v>
      </c>
      <c r="H290" s="10">
        <v>345</v>
      </c>
      <c r="I290" s="10">
        <v>21</v>
      </c>
      <c r="J290" s="68">
        <f t="shared" si="13"/>
        <v>82.5</v>
      </c>
      <c r="K290" s="68">
        <f t="shared" si="14"/>
        <v>5.0199999999999996</v>
      </c>
      <c r="L290" s="68"/>
      <c r="M290" s="408"/>
      <c r="N290" s="10"/>
      <c r="O290" s="269"/>
      <c r="P290" s="269"/>
      <c r="Q290" s="10"/>
    </row>
    <row r="291" spans="1:17">
      <c r="A291" s="10">
        <v>830</v>
      </c>
      <c r="B291" s="7">
        <v>282</v>
      </c>
      <c r="C291" s="7">
        <f t="shared" si="12"/>
        <v>830078</v>
      </c>
      <c r="D291" s="7" t="s">
        <v>1165</v>
      </c>
      <c r="E291" s="7">
        <v>78</v>
      </c>
      <c r="F291" s="7" t="s">
        <v>757</v>
      </c>
      <c r="G291" s="269">
        <v>2.8985507199999999E-3</v>
      </c>
      <c r="H291" s="10">
        <v>345</v>
      </c>
      <c r="I291" s="10">
        <v>1</v>
      </c>
      <c r="J291" s="68">
        <f t="shared" si="13"/>
        <v>82.5</v>
      </c>
      <c r="K291" s="68">
        <f t="shared" si="14"/>
        <v>0.24</v>
      </c>
      <c r="L291" s="68"/>
      <c r="M291" s="408"/>
      <c r="N291" s="10"/>
      <c r="O291" s="269"/>
      <c r="P291" s="269"/>
      <c r="Q291" s="10"/>
    </row>
    <row r="292" spans="1:17">
      <c r="A292" s="10">
        <v>830</v>
      </c>
      <c r="B292" s="7">
        <v>283</v>
      </c>
      <c r="C292" s="7">
        <f t="shared" si="12"/>
        <v>830147</v>
      </c>
      <c r="D292" s="7" t="s">
        <v>1165</v>
      </c>
      <c r="E292" s="7">
        <v>147</v>
      </c>
      <c r="F292" s="7" t="s">
        <v>844</v>
      </c>
      <c r="G292" s="269">
        <v>0.11594202899</v>
      </c>
      <c r="H292" s="10">
        <v>345</v>
      </c>
      <c r="I292" s="10">
        <v>40</v>
      </c>
      <c r="J292" s="68">
        <f t="shared" si="13"/>
        <v>68.77</v>
      </c>
      <c r="K292" s="68">
        <f t="shared" si="14"/>
        <v>7.97</v>
      </c>
      <c r="L292" s="68"/>
      <c r="M292" s="408"/>
      <c r="N292" s="10"/>
      <c r="O292" s="269"/>
      <c r="P292" s="269"/>
      <c r="Q292" s="10"/>
    </row>
    <row r="293" spans="1:17">
      <c r="A293" s="10">
        <v>830</v>
      </c>
      <c r="B293" s="7">
        <v>284</v>
      </c>
      <c r="C293" s="7">
        <f t="shared" si="12"/>
        <v>830155</v>
      </c>
      <c r="D293" s="7" t="s">
        <v>1165</v>
      </c>
      <c r="E293" s="7">
        <v>155</v>
      </c>
      <c r="F293" s="7" t="s">
        <v>853</v>
      </c>
      <c r="G293" s="269">
        <v>0.14492753622999999</v>
      </c>
      <c r="H293" s="10">
        <v>345</v>
      </c>
      <c r="I293" s="10">
        <v>50</v>
      </c>
      <c r="J293" s="68">
        <f t="shared" si="13"/>
        <v>82.5</v>
      </c>
      <c r="K293" s="68">
        <f t="shared" si="14"/>
        <v>11.96</v>
      </c>
      <c r="L293" s="68"/>
      <c r="M293" s="408"/>
      <c r="N293" s="10"/>
      <c r="O293" s="269"/>
      <c r="P293" s="269"/>
      <c r="Q293" s="10"/>
    </row>
    <row r="294" spans="1:17">
      <c r="A294" s="10">
        <v>830</v>
      </c>
      <c r="B294" s="7">
        <v>285</v>
      </c>
      <c r="C294" s="7">
        <f t="shared" si="12"/>
        <v>830199</v>
      </c>
      <c r="D294" s="7" t="s">
        <v>1165</v>
      </c>
      <c r="E294" s="7">
        <v>199</v>
      </c>
      <c r="F294" s="7" t="s">
        <v>939</v>
      </c>
      <c r="G294" s="269">
        <v>6.0869565219999998E-2</v>
      </c>
      <c r="H294" s="10">
        <v>345</v>
      </c>
      <c r="I294" s="10">
        <v>21</v>
      </c>
      <c r="J294" s="68">
        <f t="shared" si="13"/>
        <v>82.5</v>
      </c>
      <c r="K294" s="68">
        <f t="shared" si="14"/>
        <v>5.0199999999999996</v>
      </c>
      <c r="L294" s="68"/>
      <c r="M294" s="408"/>
      <c r="N294" s="10"/>
      <c r="O294" s="269"/>
      <c r="P294" s="269"/>
      <c r="Q294" s="10"/>
    </row>
    <row r="295" spans="1:17">
      <c r="A295" s="10">
        <v>830</v>
      </c>
      <c r="B295" s="7">
        <v>286</v>
      </c>
      <c r="C295" s="7">
        <f t="shared" si="12"/>
        <v>830286</v>
      </c>
      <c r="D295" s="7" t="s">
        <v>1165</v>
      </c>
      <c r="E295" s="7">
        <v>286</v>
      </c>
      <c r="F295" s="7" t="s">
        <v>1063</v>
      </c>
      <c r="G295" s="269">
        <v>4.6376811589999997E-2</v>
      </c>
      <c r="H295" s="10">
        <v>345</v>
      </c>
      <c r="I295" s="10">
        <v>16</v>
      </c>
      <c r="J295" s="68">
        <f t="shared" si="13"/>
        <v>82.5</v>
      </c>
      <c r="K295" s="68">
        <f t="shared" si="14"/>
        <v>3.83</v>
      </c>
      <c r="L295" s="68"/>
      <c r="M295" s="408"/>
      <c r="N295" s="10"/>
      <c r="O295" s="269"/>
      <c r="P295" s="269"/>
      <c r="Q295" s="10"/>
    </row>
    <row r="296" spans="1:17">
      <c r="A296" s="10">
        <v>832</v>
      </c>
      <c r="B296" s="7">
        <v>287</v>
      </c>
      <c r="C296" s="7">
        <f t="shared" si="12"/>
        <v>832011</v>
      </c>
      <c r="D296" s="7" t="s">
        <v>10</v>
      </c>
      <c r="E296" s="7">
        <v>11</v>
      </c>
      <c r="F296" s="7" t="s">
        <v>8</v>
      </c>
      <c r="G296" s="269">
        <v>3.879598662E-2</v>
      </c>
      <c r="H296" s="10">
        <v>1495</v>
      </c>
      <c r="I296" s="10">
        <v>58</v>
      </c>
      <c r="J296" s="68">
        <f t="shared" si="13"/>
        <v>44.38</v>
      </c>
      <c r="K296" s="68">
        <f t="shared" si="14"/>
        <v>1.72</v>
      </c>
      <c r="L296" s="68"/>
      <c r="M296" s="408"/>
      <c r="N296" s="10"/>
      <c r="O296" s="269"/>
      <c r="P296" s="269"/>
      <c r="Q296" s="10"/>
    </row>
    <row r="297" spans="1:17">
      <c r="A297" s="10">
        <v>832</v>
      </c>
      <c r="B297" s="7">
        <v>288</v>
      </c>
      <c r="C297" s="7">
        <f t="shared" si="12"/>
        <v>832012</v>
      </c>
      <c r="D297" s="7" t="s">
        <v>10</v>
      </c>
      <c r="E297" s="7">
        <v>12</v>
      </c>
      <c r="F297" s="7" t="s">
        <v>11</v>
      </c>
      <c r="G297" s="269">
        <v>2.2742474919999998E-2</v>
      </c>
      <c r="H297" s="10">
        <v>1495</v>
      </c>
      <c r="I297" s="10">
        <v>34</v>
      </c>
      <c r="J297" s="68">
        <f t="shared" si="13"/>
        <v>52.91</v>
      </c>
      <c r="K297" s="68">
        <f t="shared" si="14"/>
        <v>1.2</v>
      </c>
      <c r="L297" s="68"/>
      <c r="M297" s="408"/>
      <c r="N297" s="10"/>
      <c r="O297" s="269"/>
      <c r="P297" s="269"/>
      <c r="Q297" s="10"/>
    </row>
    <row r="298" spans="1:17">
      <c r="A298" s="10">
        <v>832</v>
      </c>
      <c r="B298" s="7">
        <v>289</v>
      </c>
      <c r="C298" s="7">
        <f t="shared" si="12"/>
        <v>832015</v>
      </c>
      <c r="D298" s="7" t="s">
        <v>10</v>
      </c>
      <c r="E298" s="7">
        <v>15</v>
      </c>
      <c r="F298" s="7" t="s">
        <v>17</v>
      </c>
      <c r="G298" s="269">
        <v>5.752508361E-2</v>
      </c>
      <c r="H298" s="10">
        <v>1495</v>
      </c>
      <c r="I298" s="10">
        <v>86</v>
      </c>
      <c r="J298" s="68">
        <f t="shared" si="13"/>
        <v>29.73</v>
      </c>
      <c r="K298" s="68">
        <f t="shared" si="14"/>
        <v>1.71</v>
      </c>
      <c r="L298" s="68"/>
      <c r="M298" s="408"/>
      <c r="N298" s="10"/>
      <c r="O298" s="269"/>
      <c r="P298" s="269"/>
      <c r="Q298" s="10"/>
    </row>
    <row r="299" spans="1:17">
      <c r="A299" s="10">
        <v>832</v>
      </c>
      <c r="B299" s="7">
        <v>290</v>
      </c>
      <c r="C299" s="7">
        <f t="shared" si="12"/>
        <v>832021</v>
      </c>
      <c r="D299" s="7" t="s">
        <v>10</v>
      </c>
      <c r="E299" s="7">
        <v>21</v>
      </c>
      <c r="F299" s="7" t="s">
        <v>28</v>
      </c>
      <c r="G299" s="269">
        <v>2.8093645479999999E-2</v>
      </c>
      <c r="H299" s="10">
        <v>1495</v>
      </c>
      <c r="I299" s="10">
        <v>42</v>
      </c>
      <c r="J299" s="68">
        <f t="shared" si="13"/>
        <v>41.44</v>
      </c>
      <c r="K299" s="68">
        <f t="shared" si="14"/>
        <v>1.1599999999999999</v>
      </c>
      <c r="L299" s="68"/>
      <c r="M299" s="408"/>
      <c r="N299" s="10"/>
      <c r="O299" s="269"/>
      <c r="P299" s="269"/>
      <c r="Q299" s="10"/>
    </row>
    <row r="300" spans="1:17">
      <c r="A300" s="10">
        <v>832</v>
      </c>
      <c r="B300" s="7">
        <v>291</v>
      </c>
      <c r="C300" s="7">
        <f t="shared" si="12"/>
        <v>832097</v>
      </c>
      <c r="D300" s="7" t="s">
        <v>10</v>
      </c>
      <c r="E300" s="7">
        <v>97</v>
      </c>
      <c r="F300" s="7" t="s">
        <v>784</v>
      </c>
      <c r="G300" s="269">
        <v>0.26622073579</v>
      </c>
      <c r="H300" s="10">
        <v>1495</v>
      </c>
      <c r="I300" s="10">
        <v>398</v>
      </c>
      <c r="J300" s="68">
        <f t="shared" si="13"/>
        <v>25.33</v>
      </c>
      <c r="K300" s="68">
        <f t="shared" si="14"/>
        <v>6.74</v>
      </c>
      <c r="L300" s="68"/>
      <c r="M300" s="408"/>
      <c r="N300" s="10"/>
      <c r="O300" s="269"/>
      <c r="P300" s="269"/>
      <c r="Q300" s="10"/>
    </row>
    <row r="301" spans="1:17">
      <c r="A301" s="10">
        <v>832</v>
      </c>
      <c r="B301" s="7">
        <v>292</v>
      </c>
      <c r="C301" s="7">
        <f t="shared" si="12"/>
        <v>832103</v>
      </c>
      <c r="D301" s="7" t="s">
        <v>10</v>
      </c>
      <c r="E301" s="7">
        <v>103</v>
      </c>
      <c r="F301" s="7" t="s">
        <v>792</v>
      </c>
      <c r="G301" s="269">
        <v>0.10903010033</v>
      </c>
      <c r="H301" s="10">
        <v>1495</v>
      </c>
      <c r="I301" s="10">
        <v>163</v>
      </c>
      <c r="J301" s="68">
        <f t="shared" si="13"/>
        <v>32.130000000000003</v>
      </c>
      <c r="K301" s="68">
        <f t="shared" si="14"/>
        <v>3.5</v>
      </c>
      <c r="L301" s="68"/>
      <c r="M301" s="408"/>
      <c r="N301" s="10"/>
      <c r="O301" s="269"/>
      <c r="P301" s="269"/>
      <c r="Q301" s="10"/>
    </row>
    <row r="302" spans="1:17">
      <c r="A302" s="10">
        <v>832</v>
      </c>
      <c r="B302" s="7">
        <v>293</v>
      </c>
      <c r="C302" s="7">
        <f t="shared" si="12"/>
        <v>832125</v>
      </c>
      <c r="D302" s="7" t="s">
        <v>10</v>
      </c>
      <c r="E302" s="7">
        <v>125</v>
      </c>
      <c r="F302" s="7" t="s">
        <v>821</v>
      </c>
      <c r="G302" s="269">
        <v>4.68227425E-3</v>
      </c>
      <c r="H302" s="10">
        <v>1495</v>
      </c>
      <c r="I302" s="10">
        <v>7</v>
      </c>
      <c r="J302" s="68">
        <f t="shared" si="13"/>
        <v>82.5</v>
      </c>
      <c r="K302" s="68">
        <f t="shared" si="14"/>
        <v>0.39</v>
      </c>
      <c r="L302" s="68"/>
      <c r="M302" s="408"/>
      <c r="N302" s="10"/>
      <c r="O302" s="269"/>
      <c r="P302" s="269"/>
      <c r="Q302" s="10"/>
    </row>
    <row r="303" spans="1:17">
      <c r="A303" s="10">
        <v>832</v>
      </c>
      <c r="B303" s="7">
        <v>294</v>
      </c>
      <c r="C303" s="7">
        <f t="shared" si="12"/>
        <v>832134</v>
      </c>
      <c r="D303" s="7" t="s">
        <v>10</v>
      </c>
      <c r="E303" s="7">
        <v>134</v>
      </c>
      <c r="F303" s="7" t="s">
        <v>70</v>
      </c>
      <c r="G303" s="269">
        <v>4.8829431440000001E-2</v>
      </c>
      <c r="H303" s="10">
        <v>1495</v>
      </c>
      <c r="I303" s="10">
        <v>73</v>
      </c>
      <c r="J303" s="68">
        <f t="shared" si="13"/>
        <v>58.75</v>
      </c>
      <c r="K303" s="68">
        <f t="shared" si="14"/>
        <v>2.87</v>
      </c>
      <c r="L303" s="68"/>
      <c r="M303" s="408"/>
      <c r="N303" s="10"/>
      <c r="O303" s="269"/>
      <c r="P303" s="269"/>
      <c r="Q303" s="10"/>
    </row>
    <row r="304" spans="1:17">
      <c r="A304" s="10">
        <v>832</v>
      </c>
      <c r="B304" s="7">
        <v>295</v>
      </c>
      <c r="C304" s="7">
        <f t="shared" si="12"/>
        <v>832140</v>
      </c>
      <c r="D304" s="7" t="s">
        <v>10</v>
      </c>
      <c r="E304" s="7">
        <v>140</v>
      </c>
      <c r="F304" s="7" t="s">
        <v>837</v>
      </c>
      <c r="G304" s="269">
        <v>5.0167224080000003E-2</v>
      </c>
      <c r="H304" s="10">
        <v>1495</v>
      </c>
      <c r="I304" s="10">
        <v>75</v>
      </c>
      <c r="J304" s="68">
        <f t="shared" si="13"/>
        <v>52.35</v>
      </c>
      <c r="K304" s="68">
        <f t="shared" si="14"/>
        <v>2.63</v>
      </c>
      <c r="L304" s="68"/>
      <c r="M304" s="408"/>
      <c r="N304" s="10"/>
      <c r="O304" s="269"/>
      <c r="P304" s="269"/>
      <c r="Q304" s="10"/>
    </row>
    <row r="305" spans="1:17">
      <c r="A305" s="10">
        <v>832</v>
      </c>
      <c r="B305" s="7">
        <v>296</v>
      </c>
      <c r="C305" s="7">
        <f t="shared" si="12"/>
        <v>832162</v>
      </c>
      <c r="D305" s="7" t="s">
        <v>10</v>
      </c>
      <c r="E305" s="7">
        <v>162</v>
      </c>
      <c r="F305" s="7" t="s">
        <v>897</v>
      </c>
      <c r="G305" s="269">
        <v>6.1538461539999999E-2</v>
      </c>
      <c r="H305" s="10">
        <v>1495</v>
      </c>
      <c r="I305" s="10">
        <v>92</v>
      </c>
      <c r="J305" s="68">
        <f t="shared" si="13"/>
        <v>55.73</v>
      </c>
      <c r="K305" s="68">
        <f t="shared" si="14"/>
        <v>3.43</v>
      </c>
      <c r="L305" s="68"/>
      <c r="M305" s="408"/>
      <c r="N305" s="10"/>
      <c r="O305" s="269"/>
      <c r="P305" s="269"/>
      <c r="Q305" s="10"/>
    </row>
    <row r="306" spans="1:17">
      <c r="A306" s="10">
        <v>832</v>
      </c>
      <c r="B306" s="7">
        <v>297</v>
      </c>
      <c r="C306" s="7">
        <f t="shared" si="12"/>
        <v>832234</v>
      </c>
      <c r="D306" s="7" t="s">
        <v>10</v>
      </c>
      <c r="E306" s="7">
        <v>234</v>
      </c>
      <c r="F306" s="7" t="s">
        <v>1003</v>
      </c>
      <c r="G306" s="269">
        <v>1.33779264E-3</v>
      </c>
      <c r="H306" s="10">
        <v>1495</v>
      </c>
      <c r="I306" s="10">
        <v>2</v>
      </c>
      <c r="J306" s="68">
        <f t="shared" si="13"/>
        <v>79.61</v>
      </c>
      <c r="K306" s="68">
        <f t="shared" si="14"/>
        <v>0.11</v>
      </c>
      <c r="L306" s="68"/>
      <c r="M306" s="408"/>
      <c r="N306" s="10"/>
      <c r="O306" s="269"/>
      <c r="P306" s="269"/>
      <c r="Q306" s="10"/>
    </row>
    <row r="307" spans="1:17">
      <c r="A307" s="10">
        <v>832</v>
      </c>
      <c r="B307" s="7">
        <v>298</v>
      </c>
      <c r="C307" s="7">
        <f t="shared" si="12"/>
        <v>832235</v>
      </c>
      <c r="D307" s="7" t="s">
        <v>10</v>
      </c>
      <c r="E307" s="7">
        <v>235</v>
      </c>
      <c r="F307" s="7" t="s">
        <v>1004</v>
      </c>
      <c r="G307" s="269">
        <v>1.7391304350000001E-2</v>
      </c>
      <c r="H307" s="10">
        <v>1495</v>
      </c>
      <c r="I307" s="10">
        <v>26</v>
      </c>
      <c r="J307" s="68">
        <f t="shared" si="13"/>
        <v>48.31</v>
      </c>
      <c r="K307" s="68">
        <f t="shared" si="14"/>
        <v>0.84</v>
      </c>
      <c r="L307" s="68"/>
      <c r="M307" s="408"/>
      <c r="N307" s="10"/>
      <c r="O307" s="269"/>
      <c r="P307" s="269"/>
      <c r="Q307" s="10"/>
    </row>
    <row r="308" spans="1:17">
      <c r="A308" s="10">
        <v>832</v>
      </c>
      <c r="B308" s="7">
        <v>299</v>
      </c>
      <c r="C308" s="7">
        <f t="shared" si="12"/>
        <v>832241</v>
      </c>
      <c r="D308" s="7" t="s">
        <v>10</v>
      </c>
      <c r="E308" s="7">
        <v>241</v>
      </c>
      <c r="F308" s="7" t="s">
        <v>1011</v>
      </c>
      <c r="G308" s="269">
        <v>1.337792642E-2</v>
      </c>
      <c r="H308" s="10">
        <v>1495</v>
      </c>
      <c r="I308" s="10">
        <v>20</v>
      </c>
      <c r="J308" s="68">
        <f t="shared" si="13"/>
        <v>82.5</v>
      </c>
      <c r="K308" s="68">
        <f t="shared" si="14"/>
        <v>1.1000000000000001</v>
      </c>
      <c r="L308" s="68"/>
      <c r="M308" s="408"/>
      <c r="N308" s="10"/>
      <c r="O308" s="269"/>
      <c r="P308" s="269"/>
      <c r="Q308" s="10"/>
    </row>
    <row r="309" spans="1:17">
      <c r="A309" s="10">
        <v>832</v>
      </c>
      <c r="B309" s="7">
        <v>300</v>
      </c>
      <c r="C309" s="7">
        <f t="shared" si="12"/>
        <v>832255</v>
      </c>
      <c r="D309" s="7" t="s">
        <v>10</v>
      </c>
      <c r="E309" s="7">
        <v>255</v>
      </c>
      <c r="F309" s="7" t="s">
        <v>1025</v>
      </c>
      <c r="G309" s="269">
        <v>1.0033444819999999E-2</v>
      </c>
      <c r="H309" s="10">
        <v>1495</v>
      </c>
      <c r="I309" s="10">
        <v>15</v>
      </c>
      <c r="J309" s="68">
        <f t="shared" si="13"/>
        <v>55.28</v>
      </c>
      <c r="K309" s="68">
        <f t="shared" si="14"/>
        <v>0.55000000000000004</v>
      </c>
      <c r="L309" s="68"/>
      <c r="M309" s="408"/>
      <c r="N309" s="10"/>
      <c r="O309" s="269"/>
      <c r="P309" s="269"/>
      <c r="Q309" s="10"/>
    </row>
    <row r="310" spans="1:17">
      <c r="A310" s="10">
        <v>832</v>
      </c>
      <c r="B310" s="7">
        <v>301</v>
      </c>
      <c r="C310" s="7">
        <f t="shared" si="12"/>
        <v>832282</v>
      </c>
      <c r="D310" s="7" t="s">
        <v>10</v>
      </c>
      <c r="E310" s="7">
        <v>282</v>
      </c>
      <c r="F310" s="7" t="s">
        <v>1059</v>
      </c>
      <c r="G310" s="269">
        <v>4.5484949830000003E-2</v>
      </c>
      <c r="H310" s="10">
        <v>1495</v>
      </c>
      <c r="I310" s="10">
        <v>68</v>
      </c>
      <c r="J310" s="68">
        <f t="shared" si="13"/>
        <v>75.44</v>
      </c>
      <c r="K310" s="68">
        <f t="shared" si="14"/>
        <v>3.43</v>
      </c>
      <c r="L310" s="68"/>
      <c r="M310" s="408"/>
      <c r="N310" s="10"/>
      <c r="O310" s="269"/>
      <c r="P310" s="269"/>
      <c r="Q310" s="10"/>
    </row>
    <row r="311" spans="1:17">
      <c r="A311" s="10">
        <v>832</v>
      </c>
      <c r="B311" s="7">
        <v>302</v>
      </c>
      <c r="C311" s="7">
        <f t="shared" si="12"/>
        <v>832294</v>
      </c>
      <c r="D311" s="7" t="s">
        <v>10</v>
      </c>
      <c r="E311" s="7">
        <v>294</v>
      </c>
      <c r="F311" s="7" t="s">
        <v>1071</v>
      </c>
      <c r="G311" s="269">
        <v>6.4882943139999996E-2</v>
      </c>
      <c r="H311" s="10">
        <v>1495</v>
      </c>
      <c r="I311" s="10">
        <v>97</v>
      </c>
      <c r="J311" s="68">
        <f t="shared" si="13"/>
        <v>38.200000000000003</v>
      </c>
      <c r="K311" s="68">
        <f t="shared" si="14"/>
        <v>2.48</v>
      </c>
      <c r="L311" s="68"/>
      <c r="M311" s="408"/>
      <c r="N311" s="10"/>
      <c r="O311" s="269"/>
      <c r="P311" s="269"/>
      <c r="Q311" s="10"/>
    </row>
    <row r="312" spans="1:17">
      <c r="A312" s="10">
        <v>832</v>
      </c>
      <c r="B312" s="7">
        <v>303</v>
      </c>
      <c r="C312" s="7">
        <f t="shared" si="12"/>
        <v>832328</v>
      </c>
      <c r="D312" s="7" t="s">
        <v>10</v>
      </c>
      <c r="E312" s="7">
        <v>328</v>
      </c>
      <c r="F312" s="7" t="s">
        <v>1106</v>
      </c>
      <c r="G312" s="269">
        <v>4.9498327760000002E-2</v>
      </c>
      <c r="H312" s="10">
        <v>1495</v>
      </c>
      <c r="I312" s="10">
        <v>74</v>
      </c>
      <c r="J312" s="68">
        <f t="shared" si="13"/>
        <v>59.76</v>
      </c>
      <c r="K312" s="68">
        <f t="shared" si="14"/>
        <v>2.96</v>
      </c>
      <c r="L312" s="68"/>
      <c r="M312" s="408"/>
      <c r="N312" s="10"/>
      <c r="O312" s="269"/>
      <c r="P312" s="269"/>
      <c r="Q312" s="10"/>
    </row>
    <row r="313" spans="1:17">
      <c r="A313" s="10">
        <v>832</v>
      </c>
      <c r="B313" s="7">
        <v>304</v>
      </c>
      <c r="C313" s="7">
        <f t="shared" si="12"/>
        <v>832343</v>
      </c>
      <c r="D313" s="7" t="s">
        <v>10</v>
      </c>
      <c r="E313" s="7">
        <v>343</v>
      </c>
      <c r="F313" s="7" t="s">
        <v>1121</v>
      </c>
      <c r="G313" s="269">
        <v>0.11036789298000001</v>
      </c>
      <c r="H313" s="10">
        <v>1495</v>
      </c>
      <c r="I313" s="10">
        <v>165</v>
      </c>
      <c r="J313" s="68">
        <f t="shared" si="13"/>
        <v>32.369999999999997</v>
      </c>
      <c r="K313" s="68">
        <f t="shared" si="14"/>
        <v>3.57</v>
      </c>
      <c r="L313" s="68"/>
      <c r="M313" s="408"/>
      <c r="N313" s="10"/>
      <c r="O313" s="269"/>
      <c r="P313" s="269"/>
      <c r="Q313" s="10"/>
    </row>
    <row r="314" spans="1:17">
      <c r="A314" s="10">
        <v>851</v>
      </c>
      <c r="B314" s="7">
        <v>305</v>
      </c>
      <c r="C314" s="7">
        <f t="shared" si="12"/>
        <v>851004</v>
      </c>
      <c r="D314" s="7" t="s">
        <v>1171</v>
      </c>
      <c r="E314" s="7">
        <v>4</v>
      </c>
      <c r="F314" s="7" t="s">
        <v>1169</v>
      </c>
      <c r="G314" s="269">
        <v>0.31578947367999999</v>
      </c>
      <c r="H314" s="10">
        <v>456</v>
      </c>
      <c r="I314" s="10">
        <v>144</v>
      </c>
      <c r="J314" s="68">
        <f t="shared" si="13"/>
        <v>32.74</v>
      </c>
      <c r="K314" s="68">
        <f t="shared" si="14"/>
        <v>10.34</v>
      </c>
      <c r="L314" s="68"/>
      <c r="M314" s="408"/>
      <c r="N314" s="10"/>
      <c r="O314" s="269"/>
      <c r="P314" s="269"/>
      <c r="Q314" s="10"/>
    </row>
    <row r="315" spans="1:17">
      <c r="A315" s="10">
        <v>851</v>
      </c>
      <c r="B315" s="7">
        <v>306</v>
      </c>
      <c r="C315" s="7">
        <f t="shared" si="12"/>
        <v>851058</v>
      </c>
      <c r="D315" s="7" t="s">
        <v>1171</v>
      </c>
      <c r="E315" s="7">
        <v>58</v>
      </c>
      <c r="F315" s="7" t="s">
        <v>1186</v>
      </c>
      <c r="G315" s="269">
        <v>9.6491228070000004E-2</v>
      </c>
      <c r="H315" s="10">
        <v>456</v>
      </c>
      <c r="I315" s="10">
        <v>44</v>
      </c>
      <c r="J315" s="68">
        <f t="shared" si="13"/>
        <v>47.32</v>
      </c>
      <c r="K315" s="68">
        <f t="shared" si="14"/>
        <v>4.57</v>
      </c>
      <c r="L315" s="68"/>
      <c r="M315" s="408"/>
      <c r="N315" s="10"/>
      <c r="O315" s="269"/>
      <c r="P315" s="269"/>
      <c r="Q315" s="10"/>
    </row>
    <row r="316" spans="1:17">
      <c r="A316" s="10">
        <v>851</v>
      </c>
      <c r="B316" s="7">
        <v>307</v>
      </c>
      <c r="C316" s="7">
        <f t="shared" si="12"/>
        <v>851063</v>
      </c>
      <c r="D316" s="7" t="s">
        <v>1171</v>
      </c>
      <c r="E316" s="7">
        <v>63</v>
      </c>
      <c r="F316" s="7" t="s">
        <v>734</v>
      </c>
      <c r="G316" s="269">
        <v>0.10087719298</v>
      </c>
      <c r="H316" s="10">
        <v>456</v>
      </c>
      <c r="I316" s="10">
        <v>46</v>
      </c>
      <c r="J316" s="68">
        <f t="shared" si="13"/>
        <v>34.630000000000003</v>
      </c>
      <c r="K316" s="68">
        <f t="shared" si="14"/>
        <v>3.49</v>
      </c>
      <c r="L316" s="68"/>
      <c r="M316" s="408"/>
      <c r="N316" s="10"/>
      <c r="O316" s="269"/>
      <c r="P316" s="269"/>
      <c r="Q316" s="10"/>
    </row>
    <row r="317" spans="1:17">
      <c r="A317" s="10">
        <v>851</v>
      </c>
      <c r="B317" s="7">
        <v>308</v>
      </c>
      <c r="C317" s="7">
        <f t="shared" si="12"/>
        <v>851098</v>
      </c>
      <c r="D317" s="7" t="s">
        <v>1171</v>
      </c>
      <c r="E317" s="7">
        <v>98</v>
      </c>
      <c r="F317" s="7" t="s">
        <v>785</v>
      </c>
      <c r="G317" s="269">
        <v>3.50877193E-2</v>
      </c>
      <c r="H317" s="10">
        <v>456</v>
      </c>
      <c r="I317" s="10">
        <v>16</v>
      </c>
      <c r="J317" s="68">
        <f t="shared" si="13"/>
        <v>55.63</v>
      </c>
      <c r="K317" s="68">
        <f t="shared" si="14"/>
        <v>1.95</v>
      </c>
      <c r="L317" s="68"/>
      <c r="M317" s="408"/>
      <c r="N317" s="10"/>
      <c r="O317" s="269"/>
      <c r="P317" s="269"/>
      <c r="Q317" s="10"/>
    </row>
    <row r="318" spans="1:17">
      <c r="A318" s="10">
        <v>851</v>
      </c>
      <c r="B318" s="7">
        <v>309</v>
      </c>
      <c r="C318" s="7">
        <f t="shared" si="12"/>
        <v>851148</v>
      </c>
      <c r="D318" s="7" t="s">
        <v>1171</v>
      </c>
      <c r="E318" s="7">
        <v>148</v>
      </c>
      <c r="F318" s="7" t="s">
        <v>845</v>
      </c>
      <c r="G318" s="269">
        <v>5.2631578950000001E-2</v>
      </c>
      <c r="H318" s="10">
        <v>456</v>
      </c>
      <c r="I318" s="10">
        <v>24</v>
      </c>
      <c r="J318" s="68">
        <f t="shared" si="13"/>
        <v>59.48</v>
      </c>
      <c r="K318" s="68">
        <f t="shared" si="14"/>
        <v>3.13</v>
      </c>
      <c r="L318" s="68"/>
      <c r="M318" s="408"/>
      <c r="N318" s="10"/>
      <c r="O318" s="269"/>
      <c r="P318" s="269"/>
      <c r="Q318" s="10"/>
    </row>
    <row r="319" spans="1:17">
      <c r="A319" s="10">
        <v>851</v>
      </c>
      <c r="B319" s="7">
        <v>310</v>
      </c>
      <c r="C319" s="7">
        <f t="shared" si="12"/>
        <v>851190</v>
      </c>
      <c r="D319" s="7" t="s">
        <v>1171</v>
      </c>
      <c r="E319" s="7">
        <v>190</v>
      </c>
      <c r="F319" s="7" t="s">
        <v>929</v>
      </c>
      <c r="G319" s="269">
        <v>1.315789474E-2</v>
      </c>
      <c r="H319" s="10">
        <v>456</v>
      </c>
      <c r="I319" s="10">
        <v>6</v>
      </c>
      <c r="J319" s="68">
        <f t="shared" si="13"/>
        <v>61.45</v>
      </c>
      <c r="K319" s="68">
        <f t="shared" si="14"/>
        <v>0.81</v>
      </c>
      <c r="L319" s="68"/>
      <c r="M319" s="408"/>
      <c r="N319" s="10"/>
      <c r="O319" s="269"/>
      <c r="P319" s="269"/>
      <c r="Q319" s="10"/>
    </row>
    <row r="320" spans="1:17">
      <c r="A320" s="10">
        <v>851</v>
      </c>
      <c r="B320" s="7">
        <v>311</v>
      </c>
      <c r="C320" s="7">
        <f t="shared" si="12"/>
        <v>851209</v>
      </c>
      <c r="D320" s="7" t="s">
        <v>1171</v>
      </c>
      <c r="E320" s="7">
        <v>209</v>
      </c>
      <c r="F320" s="7" t="s">
        <v>953</v>
      </c>
      <c r="G320" s="269">
        <v>0.30482456140000003</v>
      </c>
      <c r="H320" s="10">
        <v>456</v>
      </c>
      <c r="I320" s="10">
        <v>139</v>
      </c>
      <c r="J320" s="68">
        <f t="shared" si="13"/>
        <v>29.45</v>
      </c>
      <c r="K320" s="68">
        <f t="shared" si="14"/>
        <v>8.98</v>
      </c>
      <c r="L320" s="68"/>
      <c r="M320" s="408"/>
      <c r="N320" s="10"/>
      <c r="O320" s="269"/>
      <c r="P320" s="269"/>
      <c r="Q320" s="10"/>
    </row>
    <row r="321" spans="1:17">
      <c r="A321" s="10">
        <v>851</v>
      </c>
      <c r="B321" s="7">
        <v>312</v>
      </c>
      <c r="C321" s="7">
        <f t="shared" si="12"/>
        <v>851263</v>
      </c>
      <c r="D321" s="7" t="s">
        <v>1171</v>
      </c>
      <c r="E321" s="7">
        <v>263</v>
      </c>
      <c r="F321" s="7" t="s">
        <v>1033</v>
      </c>
      <c r="G321" s="269">
        <v>4.6052631580000003E-2</v>
      </c>
      <c r="H321" s="10">
        <v>456</v>
      </c>
      <c r="I321" s="10">
        <v>21</v>
      </c>
      <c r="J321" s="68">
        <f t="shared" si="13"/>
        <v>49.54</v>
      </c>
      <c r="K321" s="68">
        <f t="shared" si="14"/>
        <v>2.2799999999999998</v>
      </c>
      <c r="L321" s="68"/>
      <c r="M321" s="408"/>
      <c r="N321" s="10"/>
      <c r="O321" s="269"/>
      <c r="P321" s="269"/>
      <c r="Q321" s="10"/>
    </row>
    <row r="322" spans="1:17">
      <c r="A322" s="10">
        <v>851</v>
      </c>
      <c r="B322" s="7">
        <v>313</v>
      </c>
      <c r="C322" s="7">
        <f t="shared" si="12"/>
        <v>851341</v>
      </c>
      <c r="D322" s="7" t="s">
        <v>1171</v>
      </c>
      <c r="E322" s="7">
        <v>341</v>
      </c>
      <c r="F322" s="7" t="s">
        <v>1119</v>
      </c>
      <c r="G322" s="269">
        <v>3.50877193E-2</v>
      </c>
      <c r="H322" s="10">
        <v>456</v>
      </c>
      <c r="I322" s="10">
        <v>16</v>
      </c>
      <c r="J322" s="68">
        <f t="shared" si="13"/>
        <v>82.5</v>
      </c>
      <c r="K322" s="68">
        <f t="shared" si="14"/>
        <v>2.89</v>
      </c>
      <c r="L322" s="68"/>
      <c r="M322" s="408"/>
      <c r="N322" s="10"/>
      <c r="O322" s="269"/>
      <c r="P322" s="269"/>
      <c r="Q322" s="10"/>
    </row>
    <row r="323" spans="1:17">
      <c r="A323" s="10">
        <v>852</v>
      </c>
      <c r="B323" s="7">
        <v>314</v>
      </c>
      <c r="C323" s="7">
        <f t="shared" ref="C323:C386" si="15">A323*1000+E323</f>
        <v>852019</v>
      </c>
      <c r="D323" s="7" t="s">
        <v>719</v>
      </c>
      <c r="E323" s="7">
        <v>19</v>
      </c>
      <c r="F323" s="7" t="s">
        <v>127</v>
      </c>
      <c r="G323" s="269">
        <v>7.111111111E-2</v>
      </c>
      <c r="H323" s="10">
        <v>675</v>
      </c>
      <c r="I323" s="10">
        <v>48</v>
      </c>
      <c r="J323" s="68">
        <f t="shared" ref="J323:J386" si="16">ROUND(VLOOKUP(E323,town351,11),2)</f>
        <v>67.45</v>
      </c>
      <c r="K323" s="68">
        <f t="shared" si="14"/>
        <v>4.8</v>
      </c>
      <c r="L323" s="68"/>
      <c r="M323" s="408"/>
      <c r="N323" s="10"/>
      <c r="O323" s="269"/>
      <c r="P323" s="269"/>
      <c r="Q323" s="10"/>
    </row>
    <row r="324" spans="1:17">
      <c r="A324" s="10">
        <v>852</v>
      </c>
      <c r="B324" s="7">
        <v>315</v>
      </c>
      <c r="C324" s="7">
        <f t="shared" si="15"/>
        <v>852056</v>
      </c>
      <c r="D324" s="7" t="s">
        <v>719</v>
      </c>
      <c r="E324" s="7">
        <v>56</v>
      </c>
      <c r="F324" s="7" t="s">
        <v>718</v>
      </c>
      <c r="G324" s="269">
        <v>0.28296296296000001</v>
      </c>
      <c r="H324" s="10">
        <v>675</v>
      </c>
      <c r="I324" s="10">
        <v>191</v>
      </c>
      <c r="J324" s="68">
        <f t="shared" si="16"/>
        <v>79.34</v>
      </c>
      <c r="K324" s="68">
        <f t="shared" ref="K324:K387" si="17">ROUND(G324*J324,2)</f>
        <v>22.45</v>
      </c>
      <c r="L324" s="68"/>
      <c r="M324" s="408"/>
      <c r="N324" s="10"/>
      <c r="O324" s="269"/>
      <c r="P324" s="269"/>
      <c r="Q324" s="10"/>
    </row>
    <row r="325" spans="1:17">
      <c r="A325" s="10">
        <v>852</v>
      </c>
      <c r="B325" s="7">
        <v>316</v>
      </c>
      <c r="C325" s="7">
        <f t="shared" si="15"/>
        <v>852115</v>
      </c>
      <c r="D325" s="7" t="s">
        <v>719</v>
      </c>
      <c r="E325" s="7">
        <v>115</v>
      </c>
      <c r="F325" s="7" t="s">
        <v>806</v>
      </c>
      <c r="G325" s="269">
        <v>5.7777777779999998E-2</v>
      </c>
      <c r="H325" s="10">
        <v>675</v>
      </c>
      <c r="I325" s="10">
        <v>39</v>
      </c>
      <c r="J325" s="68">
        <f t="shared" si="16"/>
        <v>82.5</v>
      </c>
      <c r="K325" s="68">
        <f t="shared" si="17"/>
        <v>4.7699999999999996</v>
      </c>
      <c r="L325" s="68"/>
      <c r="M325" s="408"/>
      <c r="N325" s="10"/>
      <c r="O325" s="269"/>
      <c r="P325" s="269"/>
      <c r="Q325" s="10"/>
    </row>
    <row r="326" spans="1:17">
      <c r="A326" s="10">
        <v>852</v>
      </c>
      <c r="B326" s="7">
        <v>317</v>
      </c>
      <c r="C326" s="7">
        <f t="shared" si="15"/>
        <v>852158</v>
      </c>
      <c r="D326" s="7" t="s">
        <v>719</v>
      </c>
      <c r="E326" s="7">
        <v>158</v>
      </c>
      <c r="F326" s="7" t="s">
        <v>857</v>
      </c>
      <c r="G326" s="269">
        <v>4.4444444440000001E-2</v>
      </c>
      <c r="H326" s="10">
        <v>675</v>
      </c>
      <c r="I326" s="10">
        <v>30</v>
      </c>
      <c r="J326" s="68">
        <f t="shared" si="16"/>
        <v>81.45</v>
      </c>
      <c r="K326" s="68">
        <f t="shared" si="17"/>
        <v>3.62</v>
      </c>
      <c r="L326" s="68"/>
      <c r="M326" s="408"/>
      <c r="N326" s="10"/>
      <c r="O326" s="269"/>
      <c r="P326" s="269"/>
      <c r="Q326" s="10"/>
    </row>
    <row r="327" spans="1:17">
      <c r="A327" s="10">
        <v>852</v>
      </c>
      <c r="B327" s="7">
        <v>318</v>
      </c>
      <c r="C327" s="7">
        <f t="shared" si="15"/>
        <v>852232</v>
      </c>
      <c r="D327" s="7" t="s">
        <v>719</v>
      </c>
      <c r="E327" s="7">
        <v>232</v>
      </c>
      <c r="F327" s="7" t="s">
        <v>1001</v>
      </c>
      <c r="G327" s="269">
        <v>0.22666666666999999</v>
      </c>
      <c r="H327" s="10">
        <v>675</v>
      </c>
      <c r="I327" s="10">
        <v>153</v>
      </c>
      <c r="J327" s="68">
        <f t="shared" si="16"/>
        <v>56.21</v>
      </c>
      <c r="K327" s="68">
        <f t="shared" si="17"/>
        <v>12.74</v>
      </c>
      <c r="L327" s="68"/>
      <c r="M327" s="408"/>
      <c r="N327" s="10"/>
      <c r="O327" s="269"/>
      <c r="P327" s="269"/>
      <c r="Q327" s="10"/>
    </row>
    <row r="328" spans="1:17">
      <c r="A328" s="10">
        <v>852</v>
      </c>
      <c r="B328" s="7">
        <v>319</v>
      </c>
      <c r="C328" s="7">
        <f t="shared" si="15"/>
        <v>852270</v>
      </c>
      <c r="D328" s="7" t="s">
        <v>719</v>
      </c>
      <c r="E328" s="7">
        <v>270</v>
      </c>
      <c r="F328" s="7" t="s">
        <v>1040</v>
      </c>
      <c r="G328" s="269">
        <v>8.5925925929999994E-2</v>
      </c>
      <c r="H328" s="10">
        <v>675</v>
      </c>
      <c r="I328" s="10">
        <v>58</v>
      </c>
      <c r="J328" s="68">
        <f t="shared" si="16"/>
        <v>56.98</v>
      </c>
      <c r="K328" s="68">
        <f t="shared" si="17"/>
        <v>4.9000000000000004</v>
      </c>
      <c r="L328" s="68"/>
      <c r="M328" s="408"/>
      <c r="N328" s="10"/>
      <c r="O328" s="269"/>
      <c r="P328" s="269"/>
      <c r="Q328" s="10"/>
    </row>
    <row r="329" spans="1:17">
      <c r="A329" s="10">
        <v>852</v>
      </c>
      <c r="B329" s="7">
        <v>320</v>
      </c>
      <c r="C329" s="7">
        <f t="shared" si="15"/>
        <v>852299</v>
      </c>
      <c r="D329" s="7" t="s">
        <v>719</v>
      </c>
      <c r="E329" s="7">
        <v>299</v>
      </c>
      <c r="F329" s="7" t="s">
        <v>1076</v>
      </c>
      <c r="G329" s="269">
        <v>0.15851851852000001</v>
      </c>
      <c r="H329" s="10">
        <v>675</v>
      </c>
      <c r="I329" s="10">
        <v>107</v>
      </c>
      <c r="J329" s="68">
        <f t="shared" si="16"/>
        <v>53.14</v>
      </c>
      <c r="K329" s="68">
        <f t="shared" si="17"/>
        <v>8.42</v>
      </c>
      <c r="L329" s="68"/>
      <c r="M329" s="408"/>
      <c r="N329" s="10"/>
      <c r="O329" s="269"/>
      <c r="P329" s="269"/>
      <c r="Q329" s="10"/>
    </row>
    <row r="330" spans="1:17">
      <c r="A330" s="10">
        <v>852</v>
      </c>
      <c r="B330" s="7">
        <v>321</v>
      </c>
      <c r="C330" s="7">
        <f t="shared" si="15"/>
        <v>852326</v>
      </c>
      <c r="D330" s="7" t="s">
        <v>719</v>
      </c>
      <c r="E330" s="7">
        <v>326</v>
      </c>
      <c r="F330" s="7" t="s">
        <v>1104</v>
      </c>
      <c r="G330" s="269">
        <v>7.2592592590000005E-2</v>
      </c>
      <c r="H330" s="10">
        <v>675</v>
      </c>
      <c r="I330" s="10">
        <v>49</v>
      </c>
      <c r="J330" s="68">
        <f t="shared" si="16"/>
        <v>75.69</v>
      </c>
      <c r="K330" s="68">
        <f t="shared" si="17"/>
        <v>5.49</v>
      </c>
      <c r="L330" s="68"/>
      <c r="M330" s="408"/>
      <c r="N330" s="10"/>
      <c r="O330" s="269"/>
      <c r="P330" s="269"/>
      <c r="Q330" s="10"/>
    </row>
    <row r="331" spans="1:17">
      <c r="A331" s="10">
        <v>853</v>
      </c>
      <c r="B331" s="7">
        <v>322</v>
      </c>
      <c r="C331" s="7">
        <f t="shared" si="15"/>
        <v>853057</v>
      </c>
      <c r="D331" s="7" t="s">
        <v>721</v>
      </c>
      <c r="E331" s="7">
        <v>57</v>
      </c>
      <c r="F331" s="7" t="s">
        <v>720</v>
      </c>
      <c r="G331" s="269">
        <v>0.17675544794</v>
      </c>
      <c r="H331" s="10">
        <v>1239</v>
      </c>
      <c r="I331" s="10">
        <v>219</v>
      </c>
      <c r="J331" s="68">
        <f t="shared" si="16"/>
        <v>20.74</v>
      </c>
      <c r="K331" s="68">
        <f t="shared" si="17"/>
        <v>3.67</v>
      </c>
      <c r="L331" s="68"/>
      <c r="M331" s="408"/>
      <c r="N331" s="10"/>
      <c r="O331" s="269"/>
      <c r="P331" s="269"/>
      <c r="Q331" s="10"/>
    </row>
    <row r="332" spans="1:17">
      <c r="A332" s="10">
        <v>853</v>
      </c>
      <c r="B332" s="7">
        <v>323</v>
      </c>
      <c r="C332" s="7">
        <f t="shared" si="15"/>
        <v>853165</v>
      </c>
      <c r="D332" s="7" t="s">
        <v>721</v>
      </c>
      <c r="E332" s="7">
        <v>165</v>
      </c>
      <c r="F332" s="7" t="s">
        <v>900</v>
      </c>
      <c r="G332" s="269">
        <v>0.13720742533999999</v>
      </c>
      <c r="H332" s="10">
        <v>1239</v>
      </c>
      <c r="I332" s="10">
        <v>170</v>
      </c>
      <c r="J332" s="68">
        <f t="shared" si="16"/>
        <v>48.23</v>
      </c>
      <c r="K332" s="68">
        <f t="shared" si="17"/>
        <v>6.62</v>
      </c>
      <c r="L332" s="68"/>
      <c r="M332" s="408"/>
      <c r="N332" s="10"/>
      <c r="O332" s="269"/>
      <c r="P332" s="269"/>
      <c r="Q332" s="10"/>
    </row>
    <row r="333" spans="1:17">
      <c r="A333" s="10">
        <v>853</v>
      </c>
      <c r="B333" s="7">
        <v>324</v>
      </c>
      <c r="C333" s="7">
        <f t="shared" si="15"/>
        <v>853178</v>
      </c>
      <c r="D333" s="7" t="s">
        <v>721</v>
      </c>
      <c r="E333" s="7">
        <v>178</v>
      </c>
      <c r="F333" s="7" t="s">
        <v>916</v>
      </c>
      <c r="G333" s="269">
        <v>4.03551251E-2</v>
      </c>
      <c r="H333" s="10">
        <v>1239</v>
      </c>
      <c r="I333" s="10">
        <v>50</v>
      </c>
      <c r="J333" s="68">
        <f t="shared" si="16"/>
        <v>82.5</v>
      </c>
      <c r="K333" s="68">
        <f t="shared" si="17"/>
        <v>3.33</v>
      </c>
      <c r="L333" s="68"/>
      <c r="M333" s="408"/>
      <c r="N333" s="10"/>
      <c r="O333" s="269"/>
      <c r="P333" s="269"/>
      <c r="Q333" s="10"/>
    </row>
    <row r="334" spans="1:17">
      <c r="A334" s="10">
        <v>853</v>
      </c>
      <c r="B334" s="7">
        <v>325</v>
      </c>
      <c r="C334" s="7">
        <f t="shared" si="15"/>
        <v>853217</v>
      </c>
      <c r="D334" s="7" t="s">
        <v>721</v>
      </c>
      <c r="E334" s="7">
        <v>217</v>
      </c>
      <c r="F334" s="7" t="s">
        <v>964</v>
      </c>
      <c r="G334" s="269">
        <v>2.663438257E-2</v>
      </c>
      <c r="H334" s="10">
        <v>1239</v>
      </c>
      <c r="I334" s="10">
        <v>33</v>
      </c>
      <c r="J334" s="68">
        <f t="shared" si="16"/>
        <v>82.5</v>
      </c>
      <c r="K334" s="68">
        <f t="shared" si="17"/>
        <v>2.2000000000000002</v>
      </c>
      <c r="L334" s="68"/>
      <c r="M334" s="408"/>
      <c r="N334" s="10"/>
      <c r="O334" s="269"/>
      <c r="P334" s="269"/>
      <c r="Q334" s="10"/>
    </row>
    <row r="335" spans="1:17">
      <c r="A335" s="10">
        <v>853</v>
      </c>
      <c r="B335" s="7">
        <v>326</v>
      </c>
      <c r="C335" s="7">
        <f t="shared" si="15"/>
        <v>853246</v>
      </c>
      <c r="D335" s="7" t="s">
        <v>721</v>
      </c>
      <c r="E335" s="7">
        <v>246</v>
      </c>
      <c r="F335" s="7" t="s">
        <v>1016</v>
      </c>
      <c r="G335" s="269">
        <v>1.4527845039999999E-2</v>
      </c>
      <c r="H335" s="10">
        <v>1239</v>
      </c>
      <c r="I335" s="10">
        <v>18</v>
      </c>
      <c r="J335" s="68">
        <f t="shared" si="16"/>
        <v>82.5</v>
      </c>
      <c r="K335" s="68">
        <f t="shared" si="17"/>
        <v>1.2</v>
      </c>
      <c r="L335" s="68"/>
      <c r="M335" s="408"/>
      <c r="N335" s="10"/>
      <c r="O335" s="269"/>
      <c r="P335" s="269"/>
      <c r="Q335" s="10"/>
    </row>
    <row r="336" spans="1:17">
      <c r="A336" s="10">
        <v>853</v>
      </c>
      <c r="B336" s="7">
        <v>327</v>
      </c>
      <c r="C336" s="7">
        <f t="shared" si="15"/>
        <v>853248</v>
      </c>
      <c r="D336" s="7" t="s">
        <v>721</v>
      </c>
      <c r="E336" s="7">
        <v>248</v>
      </c>
      <c r="F336" s="7" t="s">
        <v>1018</v>
      </c>
      <c r="G336" s="269">
        <v>0.199354318</v>
      </c>
      <c r="H336" s="10">
        <v>1239</v>
      </c>
      <c r="I336" s="10">
        <v>247</v>
      </c>
      <c r="J336" s="68">
        <f t="shared" si="16"/>
        <v>36.61</v>
      </c>
      <c r="K336" s="68">
        <f t="shared" si="17"/>
        <v>7.3</v>
      </c>
      <c r="L336" s="68"/>
      <c r="M336" s="408"/>
      <c r="N336" s="10"/>
      <c r="O336" s="269"/>
      <c r="P336" s="269"/>
      <c r="Q336" s="10"/>
    </row>
    <row r="337" spans="1:17">
      <c r="A337" s="10">
        <v>853</v>
      </c>
      <c r="B337" s="7">
        <v>328</v>
      </c>
      <c r="C337" s="7">
        <f t="shared" si="15"/>
        <v>853262</v>
      </c>
      <c r="D337" s="7" t="s">
        <v>721</v>
      </c>
      <c r="E337" s="7">
        <v>262</v>
      </c>
      <c r="F337" s="7" t="s">
        <v>1032</v>
      </c>
      <c r="G337" s="269">
        <v>0.15980629539999999</v>
      </c>
      <c r="H337" s="10">
        <v>1239</v>
      </c>
      <c r="I337" s="10">
        <v>198</v>
      </c>
      <c r="J337" s="68">
        <f t="shared" si="16"/>
        <v>82.5</v>
      </c>
      <c r="K337" s="68">
        <f t="shared" si="17"/>
        <v>13.18</v>
      </c>
      <c r="L337" s="68"/>
      <c r="M337" s="408"/>
      <c r="N337" s="10"/>
      <c r="O337" s="269"/>
      <c r="P337" s="269"/>
      <c r="Q337" s="10"/>
    </row>
    <row r="338" spans="1:17">
      <c r="A338" s="10">
        <v>853</v>
      </c>
      <c r="B338" s="7">
        <v>329</v>
      </c>
      <c r="C338" s="7">
        <f t="shared" si="15"/>
        <v>853284</v>
      </c>
      <c r="D338" s="7" t="s">
        <v>721</v>
      </c>
      <c r="E338" s="7">
        <v>284</v>
      </c>
      <c r="F338" s="7" t="s">
        <v>1061</v>
      </c>
      <c r="G338" s="269">
        <v>5.326876513E-2</v>
      </c>
      <c r="H338" s="10">
        <v>1239</v>
      </c>
      <c r="I338" s="10">
        <v>66</v>
      </c>
      <c r="J338" s="68">
        <f t="shared" si="16"/>
        <v>82.5</v>
      </c>
      <c r="K338" s="68">
        <f t="shared" si="17"/>
        <v>4.3899999999999997</v>
      </c>
      <c r="L338" s="68"/>
      <c r="M338" s="408"/>
      <c r="N338" s="10"/>
      <c r="O338" s="269"/>
      <c r="P338" s="269"/>
      <c r="Q338" s="10"/>
    </row>
    <row r="339" spans="1:17">
      <c r="A339" s="10">
        <v>853</v>
      </c>
      <c r="B339" s="7">
        <v>330</v>
      </c>
      <c r="C339" s="7">
        <f t="shared" si="15"/>
        <v>853305</v>
      </c>
      <c r="D339" s="7" t="s">
        <v>721</v>
      </c>
      <c r="E339" s="7">
        <v>305</v>
      </c>
      <c r="F339" s="7" t="s">
        <v>1082</v>
      </c>
      <c r="G339" s="269">
        <v>5.326876513E-2</v>
      </c>
      <c r="H339" s="10">
        <v>1239</v>
      </c>
      <c r="I339" s="10">
        <v>66</v>
      </c>
      <c r="J339" s="68">
        <f t="shared" si="16"/>
        <v>82.5</v>
      </c>
      <c r="K339" s="68">
        <f t="shared" si="17"/>
        <v>4.3899999999999997</v>
      </c>
      <c r="L339" s="68"/>
      <c r="M339" s="408"/>
      <c r="N339" s="10"/>
      <c r="O339" s="269"/>
      <c r="P339" s="269"/>
      <c r="Q339" s="10"/>
    </row>
    <row r="340" spans="1:17">
      <c r="A340" s="10">
        <v>853</v>
      </c>
      <c r="B340" s="7">
        <v>331</v>
      </c>
      <c r="C340" s="7">
        <f t="shared" si="15"/>
        <v>853344</v>
      </c>
      <c r="D340" s="7" t="s">
        <v>721</v>
      </c>
      <c r="E340" s="7">
        <v>344</v>
      </c>
      <c r="F340" s="7" t="s">
        <v>1122</v>
      </c>
      <c r="G340" s="269">
        <v>8.0710250200000007E-3</v>
      </c>
      <c r="H340" s="10">
        <v>1239</v>
      </c>
      <c r="I340" s="10">
        <v>10</v>
      </c>
      <c r="J340" s="68">
        <f t="shared" si="16"/>
        <v>82.5</v>
      </c>
      <c r="K340" s="68">
        <f t="shared" si="17"/>
        <v>0.67</v>
      </c>
      <c r="L340" s="68"/>
      <c r="M340" s="408"/>
      <c r="N340" s="10"/>
      <c r="O340" s="269"/>
      <c r="P340" s="269"/>
      <c r="Q340" s="10"/>
    </row>
    <row r="341" spans="1:17">
      <c r="A341" s="10">
        <v>853</v>
      </c>
      <c r="B341" s="7">
        <v>332</v>
      </c>
      <c r="C341" s="7">
        <f t="shared" si="15"/>
        <v>853346</v>
      </c>
      <c r="D341" s="7" t="s">
        <v>721</v>
      </c>
      <c r="E341" s="7">
        <v>346</v>
      </c>
      <c r="F341" s="7" t="s">
        <v>1124</v>
      </c>
      <c r="G341" s="269">
        <v>4.600484262E-2</v>
      </c>
      <c r="H341" s="10">
        <v>1239</v>
      </c>
      <c r="I341" s="10">
        <v>57</v>
      </c>
      <c r="J341" s="68">
        <f t="shared" si="16"/>
        <v>70.27</v>
      </c>
      <c r="K341" s="68">
        <f t="shared" si="17"/>
        <v>3.23</v>
      </c>
      <c r="L341" s="68"/>
      <c r="M341" s="408"/>
      <c r="N341" s="10"/>
      <c r="O341" s="269"/>
      <c r="P341" s="269"/>
      <c r="Q341" s="10"/>
    </row>
    <row r="342" spans="1:17">
      <c r="A342" s="10">
        <v>853</v>
      </c>
      <c r="B342" s="7">
        <v>333</v>
      </c>
      <c r="C342" s="7">
        <f t="shared" si="15"/>
        <v>853347</v>
      </c>
      <c r="D342" s="7" t="s">
        <v>721</v>
      </c>
      <c r="E342" s="7">
        <v>347</v>
      </c>
      <c r="F342" s="7" t="s">
        <v>1125</v>
      </c>
      <c r="G342" s="269">
        <v>8.4745762710000005E-2</v>
      </c>
      <c r="H342" s="10">
        <v>1239</v>
      </c>
      <c r="I342" s="10">
        <v>105</v>
      </c>
      <c r="J342" s="68">
        <f t="shared" si="16"/>
        <v>82.5</v>
      </c>
      <c r="K342" s="68">
        <f t="shared" si="17"/>
        <v>6.99</v>
      </c>
      <c r="L342" s="68"/>
      <c r="M342" s="408"/>
      <c r="N342" s="10"/>
      <c r="O342" s="269"/>
      <c r="P342" s="269"/>
      <c r="Q342" s="10"/>
    </row>
    <row r="343" spans="1:17">
      <c r="A343" s="10">
        <v>855</v>
      </c>
      <c r="B343" s="7">
        <v>334</v>
      </c>
      <c r="C343" s="7">
        <f t="shared" si="15"/>
        <v>855003</v>
      </c>
      <c r="D343" s="7" t="s">
        <v>1167</v>
      </c>
      <c r="E343" s="7">
        <v>3</v>
      </c>
      <c r="F343" s="7" t="s">
        <v>1166</v>
      </c>
      <c r="G343" s="269">
        <v>0.29411764705999999</v>
      </c>
      <c r="H343" s="10">
        <v>459</v>
      </c>
      <c r="I343" s="10">
        <v>135</v>
      </c>
      <c r="J343" s="68">
        <f t="shared" si="16"/>
        <v>58.17</v>
      </c>
      <c r="K343" s="68">
        <f t="shared" si="17"/>
        <v>17.11</v>
      </c>
      <c r="L343" s="68"/>
      <c r="M343" s="408"/>
      <c r="N343" s="10"/>
      <c r="O343" s="269"/>
      <c r="P343" s="269"/>
      <c r="Q343" s="10"/>
    </row>
    <row r="344" spans="1:17">
      <c r="A344" s="10">
        <v>855</v>
      </c>
      <c r="B344" s="7">
        <v>335</v>
      </c>
      <c r="C344" s="7">
        <f t="shared" si="15"/>
        <v>855052</v>
      </c>
      <c r="D344" s="7" t="s">
        <v>1167</v>
      </c>
      <c r="E344" s="7">
        <v>52</v>
      </c>
      <c r="F344" s="7" t="s">
        <v>711</v>
      </c>
      <c r="G344" s="269">
        <v>0.20043572984999999</v>
      </c>
      <c r="H344" s="10">
        <v>459</v>
      </c>
      <c r="I344" s="10">
        <v>92</v>
      </c>
      <c r="J344" s="68">
        <f t="shared" si="16"/>
        <v>50.07</v>
      </c>
      <c r="K344" s="68">
        <f t="shared" si="17"/>
        <v>10.039999999999999</v>
      </c>
      <c r="L344" s="68"/>
      <c r="M344" s="408"/>
      <c r="N344" s="10"/>
      <c r="O344" s="269"/>
      <c r="P344" s="269"/>
      <c r="Q344" s="10"/>
    </row>
    <row r="345" spans="1:17">
      <c r="A345" s="10">
        <v>855</v>
      </c>
      <c r="B345" s="7">
        <v>336</v>
      </c>
      <c r="C345" s="7">
        <f t="shared" si="15"/>
        <v>855146</v>
      </c>
      <c r="D345" s="7" t="s">
        <v>1167</v>
      </c>
      <c r="E345" s="7">
        <v>146</v>
      </c>
      <c r="F345" s="7" t="s">
        <v>843</v>
      </c>
      <c r="G345" s="269">
        <v>0.27233115468000002</v>
      </c>
      <c r="H345" s="10">
        <v>459</v>
      </c>
      <c r="I345" s="10">
        <v>125</v>
      </c>
      <c r="J345" s="68">
        <f t="shared" si="16"/>
        <v>65.67</v>
      </c>
      <c r="K345" s="68">
        <f t="shared" si="17"/>
        <v>17.88</v>
      </c>
      <c r="L345" s="68"/>
      <c r="M345" s="408"/>
      <c r="N345" s="10"/>
      <c r="O345" s="269"/>
      <c r="P345" s="269"/>
      <c r="Q345" s="10"/>
    </row>
    <row r="346" spans="1:17">
      <c r="A346" s="10">
        <v>855</v>
      </c>
      <c r="B346" s="7">
        <v>337</v>
      </c>
      <c r="C346" s="7">
        <f t="shared" si="15"/>
        <v>855173</v>
      </c>
      <c r="D346" s="7" t="s">
        <v>1167</v>
      </c>
      <c r="E346" s="7">
        <v>173</v>
      </c>
      <c r="F346" s="7" t="s">
        <v>909</v>
      </c>
      <c r="G346" s="269">
        <v>6.9716775600000003E-2</v>
      </c>
      <c r="H346" s="10">
        <v>459</v>
      </c>
      <c r="I346" s="10">
        <v>32</v>
      </c>
      <c r="J346" s="68">
        <f t="shared" si="16"/>
        <v>82.5</v>
      </c>
      <c r="K346" s="68">
        <f t="shared" si="17"/>
        <v>5.75</v>
      </c>
      <c r="L346" s="68"/>
      <c r="M346" s="408"/>
      <c r="N346" s="10"/>
      <c r="O346" s="269"/>
      <c r="P346" s="269"/>
      <c r="Q346" s="10"/>
    </row>
    <row r="347" spans="1:17">
      <c r="A347" s="10">
        <v>855</v>
      </c>
      <c r="B347" s="7">
        <v>338</v>
      </c>
      <c r="C347" s="7">
        <f t="shared" si="15"/>
        <v>855250</v>
      </c>
      <c r="D347" s="7" t="s">
        <v>1167</v>
      </c>
      <c r="E347" s="7">
        <v>250</v>
      </c>
      <c r="F347" s="7" t="s">
        <v>1020</v>
      </c>
      <c r="G347" s="269">
        <v>0.16339869281</v>
      </c>
      <c r="H347" s="10">
        <v>459</v>
      </c>
      <c r="I347" s="10">
        <v>75</v>
      </c>
      <c r="J347" s="68">
        <f t="shared" si="16"/>
        <v>62.21</v>
      </c>
      <c r="K347" s="68">
        <f t="shared" si="17"/>
        <v>10.17</v>
      </c>
      <c r="L347" s="68"/>
      <c r="M347" s="408"/>
      <c r="N347" s="10"/>
      <c r="O347" s="269"/>
      <c r="P347" s="269"/>
      <c r="Q347" s="10"/>
    </row>
    <row r="348" spans="1:17">
      <c r="A348" s="10">
        <v>860</v>
      </c>
      <c r="B348" s="7">
        <v>339</v>
      </c>
      <c r="C348" s="7">
        <f t="shared" si="15"/>
        <v>860024</v>
      </c>
      <c r="D348" s="7" t="s">
        <v>35</v>
      </c>
      <c r="E348" s="7">
        <v>24</v>
      </c>
      <c r="F348" s="7" t="s">
        <v>34</v>
      </c>
      <c r="G348" s="269">
        <v>0.17504332755999999</v>
      </c>
      <c r="H348" s="10">
        <v>577</v>
      </c>
      <c r="I348" s="10">
        <v>101</v>
      </c>
      <c r="J348" s="68">
        <f t="shared" si="16"/>
        <v>47.77</v>
      </c>
      <c r="K348" s="68">
        <f t="shared" si="17"/>
        <v>8.36</v>
      </c>
      <c r="L348" s="68"/>
      <c r="M348" s="408"/>
      <c r="N348" s="10"/>
      <c r="O348" s="269"/>
      <c r="P348" s="269"/>
      <c r="Q348" s="10"/>
    </row>
    <row r="349" spans="1:17">
      <c r="A349" s="10">
        <v>860</v>
      </c>
      <c r="B349" s="7">
        <v>340</v>
      </c>
      <c r="C349" s="7">
        <f t="shared" si="15"/>
        <v>860111</v>
      </c>
      <c r="D349" s="7" t="s">
        <v>35</v>
      </c>
      <c r="E349" s="7">
        <v>111</v>
      </c>
      <c r="F349" s="7" t="s">
        <v>801</v>
      </c>
      <c r="G349" s="269">
        <v>3.8128249570000002E-2</v>
      </c>
      <c r="H349" s="10">
        <v>577</v>
      </c>
      <c r="I349" s="10">
        <v>22</v>
      </c>
      <c r="J349" s="68">
        <f t="shared" si="16"/>
        <v>61.36</v>
      </c>
      <c r="K349" s="68">
        <f t="shared" si="17"/>
        <v>2.34</v>
      </c>
      <c r="L349" s="68"/>
      <c r="M349" s="408"/>
      <c r="N349" s="10"/>
      <c r="O349" s="269"/>
      <c r="P349" s="269"/>
      <c r="Q349" s="10"/>
    </row>
    <row r="350" spans="1:17">
      <c r="A350" s="10">
        <v>860</v>
      </c>
      <c r="B350" s="7">
        <v>341</v>
      </c>
      <c r="C350" s="7">
        <f t="shared" si="15"/>
        <v>860124</v>
      </c>
      <c r="D350" s="7" t="s">
        <v>35</v>
      </c>
      <c r="E350" s="7">
        <v>124</v>
      </c>
      <c r="F350" s="7" t="s">
        <v>71</v>
      </c>
      <c r="G350" s="269">
        <v>3.466204506E-2</v>
      </c>
      <c r="H350" s="10">
        <v>577</v>
      </c>
      <c r="I350" s="10">
        <v>20</v>
      </c>
      <c r="J350" s="68">
        <f t="shared" si="16"/>
        <v>35.99</v>
      </c>
      <c r="K350" s="68">
        <f t="shared" si="17"/>
        <v>1.25</v>
      </c>
      <c r="L350" s="68"/>
      <c r="M350" s="408"/>
      <c r="N350" s="10"/>
      <c r="O350" s="269"/>
      <c r="P350" s="269"/>
      <c r="Q350" s="10"/>
    </row>
    <row r="351" spans="1:17">
      <c r="A351" s="10">
        <v>860</v>
      </c>
      <c r="B351" s="7">
        <v>342</v>
      </c>
      <c r="C351" s="7">
        <f t="shared" si="15"/>
        <v>860191</v>
      </c>
      <c r="D351" s="7" t="s">
        <v>35</v>
      </c>
      <c r="E351" s="7">
        <v>191</v>
      </c>
      <c r="F351" s="7" t="s">
        <v>930</v>
      </c>
      <c r="G351" s="269">
        <v>0.17157712305</v>
      </c>
      <c r="H351" s="10">
        <v>577</v>
      </c>
      <c r="I351" s="10">
        <v>99</v>
      </c>
      <c r="J351" s="68">
        <f t="shared" si="16"/>
        <v>53.25</v>
      </c>
      <c r="K351" s="68">
        <f t="shared" si="17"/>
        <v>9.14</v>
      </c>
      <c r="L351" s="68"/>
      <c r="M351" s="408"/>
      <c r="N351" s="10"/>
      <c r="O351" s="269"/>
      <c r="P351" s="269"/>
      <c r="Q351" s="10"/>
    </row>
    <row r="352" spans="1:17">
      <c r="A352" s="10">
        <v>860</v>
      </c>
      <c r="B352" s="7">
        <v>343</v>
      </c>
      <c r="C352" s="7">
        <f t="shared" si="15"/>
        <v>860202</v>
      </c>
      <c r="D352" s="7" t="s">
        <v>35</v>
      </c>
      <c r="E352" s="7">
        <v>202</v>
      </c>
      <c r="F352" s="7" t="s">
        <v>942</v>
      </c>
      <c r="G352" s="269">
        <v>1.559792028E-2</v>
      </c>
      <c r="H352" s="10">
        <v>577</v>
      </c>
      <c r="I352" s="10">
        <v>9</v>
      </c>
      <c r="J352" s="68">
        <f t="shared" si="16"/>
        <v>55.73</v>
      </c>
      <c r="K352" s="68">
        <f t="shared" si="17"/>
        <v>0.87</v>
      </c>
      <c r="L352" s="68"/>
      <c r="M352" s="408"/>
      <c r="N352" s="10"/>
      <c r="O352" s="269"/>
      <c r="P352" s="269"/>
      <c r="Q352" s="10"/>
    </row>
    <row r="353" spans="1:17">
      <c r="A353" s="10">
        <v>860</v>
      </c>
      <c r="B353" s="7">
        <v>344</v>
      </c>
      <c r="C353" s="7">
        <f t="shared" si="15"/>
        <v>860222</v>
      </c>
      <c r="D353" s="7" t="s">
        <v>35</v>
      </c>
      <c r="E353" s="7">
        <v>222</v>
      </c>
      <c r="F353" s="7" t="s">
        <v>386</v>
      </c>
      <c r="G353" s="269">
        <v>2.5996533799999999E-2</v>
      </c>
      <c r="H353" s="10">
        <v>577</v>
      </c>
      <c r="I353" s="10">
        <v>15</v>
      </c>
      <c r="J353" s="68">
        <f t="shared" si="16"/>
        <v>61.38</v>
      </c>
      <c r="K353" s="68">
        <f t="shared" si="17"/>
        <v>1.6</v>
      </c>
      <c r="L353" s="68"/>
      <c r="M353" s="408"/>
      <c r="N353" s="10"/>
      <c r="O353" s="269"/>
      <c r="P353" s="269"/>
      <c r="Q353" s="10"/>
    </row>
    <row r="354" spans="1:17">
      <c r="A354" s="10">
        <v>860</v>
      </c>
      <c r="B354" s="7">
        <v>345</v>
      </c>
      <c r="C354" s="7">
        <f t="shared" si="15"/>
        <v>860227</v>
      </c>
      <c r="D354" s="7" t="s">
        <v>35</v>
      </c>
      <c r="E354" s="7">
        <v>227</v>
      </c>
      <c r="F354" s="7" t="s">
        <v>986</v>
      </c>
      <c r="G354" s="269">
        <v>0.25129982669000001</v>
      </c>
      <c r="H354" s="10">
        <v>577</v>
      </c>
      <c r="I354" s="10">
        <v>145</v>
      </c>
      <c r="J354" s="68">
        <f t="shared" si="16"/>
        <v>41.01</v>
      </c>
      <c r="K354" s="68">
        <f t="shared" si="17"/>
        <v>10.31</v>
      </c>
      <c r="L354" s="68"/>
      <c r="M354" s="408"/>
      <c r="N354" s="10"/>
      <c r="O354" s="269"/>
      <c r="P354" s="269"/>
      <c r="Q354" s="10"/>
    </row>
    <row r="355" spans="1:17">
      <c r="A355" s="10">
        <v>860</v>
      </c>
      <c r="B355" s="7">
        <v>346</v>
      </c>
      <c r="C355" s="7">
        <f t="shared" si="15"/>
        <v>860309</v>
      </c>
      <c r="D355" s="7" t="s">
        <v>35</v>
      </c>
      <c r="E355" s="7">
        <v>309</v>
      </c>
      <c r="F355" s="7" t="s">
        <v>1086</v>
      </c>
      <c r="G355" s="269">
        <v>0.19757365685</v>
      </c>
      <c r="H355" s="10">
        <v>577</v>
      </c>
      <c r="I355" s="10">
        <v>114</v>
      </c>
      <c r="J355" s="68">
        <f t="shared" si="16"/>
        <v>34.770000000000003</v>
      </c>
      <c r="K355" s="68">
        <f t="shared" si="17"/>
        <v>6.87</v>
      </c>
      <c r="L355" s="68"/>
      <c r="M355" s="408"/>
      <c r="N355" s="10"/>
      <c r="O355" s="269"/>
      <c r="P355" s="269"/>
      <c r="Q355" s="10"/>
    </row>
    <row r="356" spans="1:17">
      <c r="A356" s="10">
        <v>860</v>
      </c>
      <c r="B356" s="7">
        <v>347</v>
      </c>
      <c r="C356" s="7">
        <f t="shared" si="15"/>
        <v>860311</v>
      </c>
      <c r="D356" s="7" t="s">
        <v>35</v>
      </c>
      <c r="E356" s="7">
        <v>311</v>
      </c>
      <c r="F356" s="7" t="s">
        <v>1088</v>
      </c>
      <c r="G356" s="269">
        <v>9.0121317160000006E-2</v>
      </c>
      <c r="H356" s="10">
        <v>577</v>
      </c>
      <c r="I356" s="10">
        <v>52</v>
      </c>
      <c r="J356" s="68">
        <f t="shared" si="16"/>
        <v>26.92</v>
      </c>
      <c r="K356" s="68">
        <f t="shared" si="17"/>
        <v>2.4300000000000002</v>
      </c>
      <c r="L356" s="68"/>
      <c r="M356" s="408"/>
      <c r="N356" s="10"/>
      <c r="O356" s="269"/>
      <c r="P356" s="269"/>
      <c r="Q356" s="10"/>
    </row>
    <row r="357" spans="1:17">
      <c r="A357" s="10">
        <v>871</v>
      </c>
      <c r="B357" s="7">
        <v>348</v>
      </c>
      <c r="C357" s="7">
        <f t="shared" si="15"/>
        <v>871023</v>
      </c>
      <c r="D357" s="7" t="s">
        <v>33</v>
      </c>
      <c r="E357" s="7">
        <v>23</v>
      </c>
      <c r="F357" s="7" t="s">
        <v>32</v>
      </c>
      <c r="G357" s="269">
        <v>1.5532544380000001E-2</v>
      </c>
      <c r="H357" s="10">
        <v>1352</v>
      </c>
      <c r="I357" s="10">
        <v>21</v>
      </c>
      <c r="J357" s="68">
        <f t="shared" si="16"/>
        <v>82.5</v>
      </c>
      <c r="K357" s="68">
        <f t="shared" si="17"/>
        <v>1.28</v>
      </c>
      <c r="L357" s="68"/>
      <c r="M357" s="408"/>
      <c r="N357" s="10"/>
      <c r="O357" s="269"/>
      <c r="P357" s="269"/>
      <c r="Q357" s="10"/>
    </row>
    <row r="358" spans="1:17">
      <c r="A358" s="10">
        <v>871</v>
      </c>
      <c r="B358" s="7">
        <v>349</v>
      </c>
      <c r="C358" s="7">
        <f t="shared" si="15"/>
        <v>871031</v>
      </c>
      <c r="D358" s="7" t="s">
        <v>33</v>
      </c>
      <c r="E358" s="7">
        <v>31</v>
      </c>
      <c r="F358" s="7" t="s">
        <v>48</v>
      </c>
      <c r="G358" s="269">
        <v>0.47707100592000001</v>
      </c>
      <c r="H358" s="10">
        <v>1352</v>
      </c>
      <c r="I358" s="10">
        <v>645</v>
      </c>
      <c r="J358" s="68">
        <f t="shared" si="16"/>
        <v>71.67</v>
      </c>
      <c r="K358" s="68">
        <f t="shared" si="17"/>
        <v>34.19</v>
      </c>
      <c r="L358" s="68"/>
      <c r="M358" s="408"/>
      <c r="N358" s="10"/>
      <c r="O358" s="269"/>
      <c r="P358" s="269"/>
      <c r="Q358" s="10"/>
    </row>
    <row r="359" spans="1:17">
      <c r="A359" s="10">
        <v>871</v>
      </c>
      <c r="B359" s="7">
        <v>350</v>
      </c>
      <c r="C359" s="7">
        <f t="shared" si="15"/>
        <v>871048</v>
      </c>
      <c r="D359" s="7" t="s">
        <v>33</v>
      </c>
      <c r="E359" s="7">
        <v>48</v>
      </c>
      <c r="F359" s="7" t="s">
        <v>706</v>
      </c>
      <c r="G359" s="269">
        <v>9.5414201180000005E-2</v>
      </c>
      <c r="H359" s="10">
        <v>1352</v>
      </c>
      <c r="I359" s="10">
        <v>129</v>
      </c>
      <c r="J359" s="68">
        <f t="shared" si="16"/>
        <v>82.5</v>
      </c>
      <c r="K359" s="68">
        <f t="shared" si="17"/>
        <v>7.87</v>
      </c>
      <c r="L359" s="68"/>
      <c r="M359" s="408"/>
      <c r="N359" s="10"/>
      <c r="O359" s="269"/>
      <c r="P359" s="269"/>
      <c r="Q359" s="10"/>
    </row>
    <row r="360" spans="1:17">
      <c r="A360" s="10">
        <v>871</v>
      </c>
      <c r="B360" s="7">
        <v>351</v>
      </c>
      <c r="C360" s="7">
        <f t="shared" si="15"/>
        <v>871295</v>
      </c>
      <c r="D360" s="7" t="s">
        <v>33</v>
      </c>
      <c r="E360" s="7">
        <v>295</v>
      </c>
      <c r="F360" s="7" t="s">
        <v>1072</v>
      </c>
      <c r="G360" s="269">
        <v>0.23446745561999999</v>
      </c>
      <c r="H360" s="10">
        <v>1352</v>
      </c>
      <c r="I360" s="10">
        <v>317</v>
      </c>
      <c r="J360" s="68">
        <f t="shared" si="16"/>
        <v>79.319999999999993</v>
      </c>
      <c r="K360" s="68">
        <f t="shared" si="17"/>
        <v>18.600000000000001</v>
      </c>
      <c r="L360" s="68"/>
      <c r="M360" s="408"/>
      <c r="N360" s="10"/>
      <c r="O360" s="269"/>
      <c r="P360" s="269"/>
      <c r="Q360" s="10"/>
    </row>
    <row r="361" spans="1:17">
      <c r="A361" s="10">
        <v>871</v>
      </c>
      <c r="B361" s="7">
        <v>352</v>
      </c>
      <c r="C361" s="7">
        <f t="shared" si="15"/>
        <v>871342</v>
      </c>
      <c r="D361" s="7" t="s">
        <v>33</v>
      </c>
      <c r="E361" s="7">
        <v>342</v>
      </c>
      <c r="F361" s="7" t="s">
        <v>1120</v>
      </c>
      <c r="G361" s="269">
        <v>0.1775147929</v>
      </c>
      <c r="H361" s="10">
        <v>1352</v>
      </c>
      <c r="I361" s="10">
        <v>240</v>
      </c>
      <c r="J361" s="68">
        <f t="shared" si="16"/>
        <v>74.33</v>
      </c>
      <c r="K361" s="68">
        <f t="shared" si="17"/>
        <v>13.19</v>
      </c>
      <c r="L361" s="68"/>
      <c r="M361" s="408"/>
      <c r="N361" s="10"/>
      <c r="O361" s="269"/>
      <c r="P361" s="269"/>
      <c r="Q361" s="10"/>
    </row>
    <row r="362" spans="1:17">
      <c r="A362" s="10">
        <v>872</v>
      </c>
      <c r="B362" s="7">
        <v>353</v>
      </c>
      <c r="C362" s="7">
        <f t="shared" si="15"/>
        <v>872044</v>
      </c>
      <c r="D362" s="7" t="s">
        <v>702</v>
      </c>
      <c r="E362" s="7">
        <v>44</v>
      </c>
      <c r="F362" s="7" t="s">
        <v>701</v>
      </c>
      <c r="G362" s="269">
        <v>0.63745019920000001</v>
      </c>
      <c r="H362" s="10">
        <v>1506</v>
      </c>
      <c r="I362" s="10">
        <v>960</v>
      </c>
      <c r="J362" s="68">
        <f t="shared" si="16"/>
        <v>21.75</v>
      </c>
      <c r="K362" s="68">
        <f t="shared" si="17"/>
        <v>13.86</v>
      </c>
      <c r="L362" s="68"/>
      <c r="M362" s="408"/>
      <c r="N362" s="10"/>
      <c r="O362" s="269"/>
      <c r="P362" s="269"/>
      <c r="Q362" s="10"/>
    </row>
    <row r="363" spans="1:17">
      <c r="A363" s="10">
        <v>872</v>
      </c>
      <c r="B363" s="7">
        <v>354</v>
      </c>
      <c r="C363" s="7">
        <f t="shared" si="15"/>
        <v>872083</v>
      </c>
      <c r="D363" s="7" t="s">
        <v>702</v>
      </c>
      <c r="E363" s="7">
        <v>83</v>
      </c>
      <c r="F363" s="7" t="s">
        <v>767</v>
      </c>
      <c r="G363" s="269">
        <v>4.7808764939999998E-2</v>
      </c>
      <c r="H363" s="10">
        <v>1506</v>
      </c>
      <c r="I363" s="10">
        <v>72</v>
      </c>
      <c r="J363" s="68">
        <f t="shared" si="16"/>
        <v>53.62</v>
      </c>
      <c r="K363" s="68">
        <f t="shared" si="17"/>
        <v>2.56</v>
      </c>
      <c r="L363" s="68"/>
      <c r="M363" s="408"/>
      <c r="N363" s="10"/>
      <c r="O363" s="269"/>
      <c r="P363" s="269"/>
      <c r="Q363" s="10"/>
    </row>
    <row r="364" spans="1:17">
      <c r="A364" s="10">
        <v>872</v>
      </c>
      <c r="B364" s="7">
        <v>355</v>
      </c>
      <c r="C364" s="7">
        <f t="shared" si="15"/>
        <v>872088</v>
      </c>
      <c r="D364" s="7" t="s">
        <v>702</v>
      </c>
      <c r="E364" s="7">
        <v>88</v>
      </c>
      <c r="F364" s="7" t="s">
        <v>773</v>
      </c>
      <c r="G364" s="269">
        <v>4.9800796809999999E-2</v>
      </c>
      <c r="H364" s="10">
        <v>1506</v>
      </c>
      <c r="I364" s="10">
        <v>75</v>
      </c>
      <c r="J364" s="68">
        <f t="shared" si="16"/>
        <v>76.150000000000006</v>
      </c>
      <c r="K364" s="68">
        <f t="shared" si="17"/>
        <v>3.79</v>
      </c>
      <c r="L364" s="68"/>
      <c r="M364" s="408"/>
      <c r="N364" s="10"/>
      <c r="O364" s="269"/>
      <c r="P364" s="269"/>
      <c r="Q364" s="10"/>
    </row>
    <row r="365" spans="1:17">
      <c r="A365" s="10">
        <v>872</v>
      </c>
      <c r="B365" s="7">
        <v>356</v>
      </c>
      <c r="C365" s="7">
        <f t="shared" si="15"/>
        <v>872099</v>
      </c>
      <c r="D365" s="7" t="s">
        <v>702</v>
      </c>
      <c r="E365" s="7">
        <v>99</v>
      </c>
      <c r="F365" s="7" t="s">
        <v>786</v>
      </c>
      <c r="G365" s="269">
        <v>1.8592297479999999E-2</v>
      </c>
      <c r="H365" s="10">
        <v>1506</v>
      </c>
      <c r="I365" s="10">
        <v>28</v>
      </c>
      <c r="J365" s="68">
        <f t="shared" si="16"/>
        <v>82.5</v>
      </c>
      <c r="K365" s="68">
        <f t="shared" si="17"/>
        <v>1.53</v>
      </c>
      <c r="L365" s="68"/>
      <c r="M365" s="408"/>
      <c r="N365" s="10"/>
      <c r="O365" s="269"/>
      <c r="P365" s="269"/>
      <c r="Q365" s="10"/>
    </row>
    <row r="366" spans="1:17">
      <c r="A366" s="10">
        <v>872</v>
      </c>
      <c r="B366" s="7">
        <v>357</v>
      </c>
      <c r="C366" s="7">
        <f t="shared" si="15"/>
        <v>872167</v>
      </c>
      <c r="D366" s="7" t="s">
        <v>702</v>
      </c>
      <c r="E366" s="7">
        <v>167</v>
      </c>
      <c r="F366" s="7" t="s">
        <v>902</v>
      </c>
      <c r="G366" s="269">
        <v>4.648074369E-2</v>
      </c>
      <c r="H366" s="10">
        <v>1506</v>
      </c>
      <c r="I366" s="10">
        <v>70</v>
      </c>
      <c r="J366" s="68">
        <f t="shared" si="16"/>
        <v>67.31</v>
      </c>
      <c r="K366" s="68">
        <f t="shared" si="17"/>
        <v>3.13</v>
      </c>
      <c r="L366" s="68"/>
      <c r="M366" s="408"/>
      <c r="N366" s="10"/>
      <c r="O366" s="269"/>
      <c r="P366" s="269"/>
      <c r="Q366" s="10"/>
    </row>
    <row r="367" spans="1:17">
      <c r="A367" s="10">
        <v>872</v>
      </c>
      <c r="B367" s="7">
        <v>358</v>
      </c>
      <c r="C367" s="7">
        <f t="shared" si="15"/>
        <v>872218</v>
      </c>
      <c r="D367" s="7" t="s">
        <v>702</v>
      </c>
      <c r="E367" s="7">
        <v>218</v>
      </c>
      <c r="F367" s="7" t="s">
        <v>965</v>
      </c>
      <c r="G367" s="269">
        <v>5.8432934929999999E-2</v>
      </c>
      <c r="H367" s="10">
        <v>1506</v>
      </c>
      <c r="I367" s="10">
        <v>88</v>
      </c>
      <c r="J367" s="68">
        <f t="shared" si="16"/>
        <v>65.430000000000007</v>
      </c>
      <c r="K367" s="68">
        <f t="shared" si="17"/>
        <v>3.82</v>
      </c>
      <c r="L367" s="68"/>
      <c r="M367" s="408"/>
      <c r="N367" s="10"/>
      <c r="O367" s="269"/>
      <c r="P367" s="269"/>
      <c r="Q367" s="10"/>
    </row>
    <row r="368" spans="1:17">
      <c r="A368" s="10">
        <v>872</v>
      </c>
      <c r="B368" s="7">
        <v>359</v>
      </c>
      <c r="C368" s="7">
        <f t="shared" si="15"/>
        <v>872266</v>
      </c>
      <c r="D368" s="7" t="s">
        <v>702</v>
      </c>
      <c r="E368" s="7">
        <v>266</v>
      </c>
      <c r="F368" s="7" t="s">
        <v>1036</v>
      </c>
      <c r="G368" s="269">
        <v>1.128818061E-2</v>
      </c>
      <c r="H368" s="10">
        <v>1506</v>
      </c>
      <c r="I368" s="10">
        <v>17</v>
      </c>
      <c r="J368" s="68">
        <f t="shared" si="16"/>
        <v>82.5</v>
      </c>
      <c r="K368" s="68">
        <f t="shared" si="17"/>
        <v>0.93</v>
      </c>
      <c r="L368" s="68"/>
      <c r="M368" s="408"/>
      <c r="N368" s="10"/>
      <c r="O368" s="269"/>
      <c r="P368" s="269"/>
      <c r="Q368" s="10"/>
    </row>
    <row r="369" spans="1:17">
      <c r="A369" s="10">
        <v>872</v>
      </c>
      <c r="B369" s="7">
        <v>360</v>
      </c>
      <c r="C369" s="7">
        <f t="shared" si="15"/>
        <v>872285</v>
      </c>
      <c r="D369" s="7" t="s">
        <v>702</v>
      </c>
      <c r="E369" s="7">
        <v>285</v>
      </c>
      <c r="F369" s="7" t="s">
        <v>1062</v>
      </c>
      <c r="G369" s="269">
        <v>9.6281540499999999E-2</v>
      </c>
      <c r="H369" s="10">
        <v>1506</v>
      </c>
      <c r="I369" s="10">
        <v>145</v>
      </c>
      <c r="J369" s="68">
        <f t="shared" si="16"/>
        <v>61.65</v>
      </c>
      <c r="K369" s="68">
        <f t="shared" si="17"/>
        <v>5.94</v>
      </c>
      <c r="L369" s="68"/>
      <c r="M369" s="408"/>
      <c r="N369" s="10"/>
      <c r="O369" s="269"/>
      <c r="P369" s="269"/>
      <c r="Q369" s="10"/>
    </row>
    <row r="370" spans="1:17">
      <c r="A370" s="10">
        <v>872</v>
      </c>
      <c r="B370" s="7">
        <v>361</v>
      </c>
      <c r="C370" s="7">
        <f t="shared" si="15"/>
        <v>872323</v>
      </c>
      <c r="D370" s="7" t="s">
        <v>702</v>
      </c>
      <c r="E370" s="7">
        <v>323</v>
      </c>
      <c r="F370" s="7" t="s">
        <v>1101</v>
      </c>
      <c r="G370" s="269">
        <v>3.3864541829999997E-2</v>
      </c>
      <c r="H370" s="10">
        <v>1506</v>
      </c>
      <c r="I370" s="10">
        <v>51</v>
      </c>
      <c r="J370" s="68">
        <f t="shared" si="16"/>
        <v>65.459999999999994</v>
      </c>
      <c r="K370" s="68">
        <f t="shared" si="17"/>
        <v>2.2200000000000002</v>
      </c>
      <c r="L370" s="68"/>
      <c r="M370" s="408"/>
      <c r="N370" s="10"/>
      <c r="O370" s="269"/>
      <c r="P370" s="269"/>
      <c r="Q370" s="10"/>
    </row>
    <row r="371" spans="1:17">
      <c r="A371" s="10">
        <v>873</v>
      </c>
      <c r="B371" s="7">
        <v>362</v>
      </c>
      <c r="C371" s="7">
        <f t="shared" si="15"/>
        <v>873001</v>
      </c>
      <c r="D371" s="7" t="s">
        <v>1162</v>
      </c>
      <c r="E371" s="7">
        <v>1</v>
      </c>
      <c r="F371" s="7" t="s">
        <v>1161</v>
      </c>
      <c r="G371" s="269">
        <v>0.23225806452</v>
      </c>
      <c r="H371" s="10">
        <v>620</v>
      </c>
      <c r="I371" s="10">
        <v>144</v>
      </c>
      <c r="J371" s="68">
        <f t="shared" si="16"/>
        <v>65.25</v>
      </c>
      <c r="K371" s="68">
        <f t="shared" si="17"/>
        <v>15.15</v>
      </c>
      <c r="L371" s="68"/>
      <c r="M371" s="408"/>
      <c r="N371" s="10"/>
      <c r="O371" s="269"/>
      <c r="P371" s="269"/>
      <c r="Q371" s="10"/>
    </row>
    <row r="372" spans="1:17">
      <c r="A372" s="10">
        <v>873</v>
      </c>
      <c r="B372" s="7">
        <v>363</v>
      </c>
      <c r="C372" s="7">
        <f t="shared" si="15"/>
        <v>873065</v>
      </c>
      <c r="D372" s="7" t="s">
        <v>1162</v>
      </c>
      <c r="E372" s="7">
        <v>65</v>
      </c>
      <c r="F372" s="7" t="s">
        <v>736</v>
      </c>
      <c r="G372" s="269">
        <v>6.4516128999999997E-3</v>
      </c>
      <c r="H372" s="10">
        <v>620</v>
      </c>
      <c r="I372" s="10">
        <v>4</v>
      </c>
      <c r="J372" s="68">
        <f t="shared" si="16"/>
        <v>82.5</v>
      </c>
      <c r="K372" s="68">
        <f t="shared" si="17"/>
        <v>0.53</v>
      </c>
      <c r="L372" s="68"/>
      <c r="M372" s="408"/>
      <c r="N372" s="10"/>
      <c r="O372" s="269"/>
      <c r="P372" s="269"/>
      <c r="Q372" s="10"/>
    </row>
    <row r="373" spans="1:17">
      <c r="A373" s="10">
        <v>873</v>
      </c>
      <c r="B373" s="7">
        <v>364</v>
      </c>
      <c r="C373" s="7">
        <f t="shared" si="15"/>
        <v>873122</v>
      </c>
      <c r="D373" s="7" t="s">
        <v>1162</v>
      </c>
      <c r="E373" s="7">
        <v>122</v>
      </c>
      <c r="F373" s="7" t="s">
        <v>817</v>
      </c>
      <c r="G373" s="269">
        <v>7.9032258059999999E-2</v>
      </c>
      <c r="H373" s="10">
        <v>620</v>
      </c>
      <c r="I373" s="10">
        <v>49</v>
      </c>
      <c r="J373" s="68">
        <f t="shared" si="16"/>
        <v>79.38</v>
      </c>
      <c r="K373" s="68">
        <f t="shared" si="17"/>
        <v>6.27</v>
      </c>
      <c r="L373" s="68"/>
      <c r="M373" s="408"/>
      <c r="N373" s="10"/>
      <c r="O373" s="269"/>
      <c r="P373" s="269"/>
      <c r="Q373" s="10"/>
    </row>
    <row r="374" spans="1:17">
      <c r="A374" s="10">
        <v>873</v>
      </c>
      <c r="B374" s="7">
        <v>365</v>
      </c>
      <c r="C374" s="7">
        <f t="shared" si="15"/>
        <v>873123</v>
      </c>
      <c r="D374" s="7" t="s">
        <v>1162</v>
      </c>
      <c r="E374" s="7">
        <v>123</v>
      </c>
      <c r="F374" s="7" t="s">
        <v>818</v>
      </c>
      <c r="G374" s="269">
        <v>0.12903225805999999</v>
      </c>
      <c r="H374" s="10">
        <v>620</v>
      </c>
      <c r="I374" s="10">
        <v>80</v>
      </c>
      <c r="J374" s="68">
        <f t="shared" si="16"/>
        <v>54.91</v>
      </c>
      <c r="K374" s="68">
        <f t="shared" si="17"/>
        <v>7.09</v>
      </c>
      <c r="L374" s="68"/>
      <c r="M374" s="408"/>
      <c r="N374" s="10"/>
      <c r="O374" s="269"/>
      <c r="P374" s="269"/>
      <c r="Q374" s="10"/>
    </row>
    <row r="375" spans="1:17">
      <c r="A375" s="10">
        <v>873</v>
      </c>
      <c r="B375" s="7">
        <v>366</v>
      </c>
      <c r="C375" s="7">
        <f t="shared" si="15"/>
        <v>873219</v>
      </c>
      <c r="D375" s="7" t="s">
        <v>1162</v>
      </c>
      <c r="E375" s="7">
        <v>219</v>
      </c>
      <c r="F375" s="7" t="s">
        <v>967</v>
      </c>
      <c r="G375" s="269">
        <v>2.419354839E-2</v>
      </c>
      <c r="H375" s="10">
        <v>620</v>
      </c>
      <c r="I375" s="10">
        <v>15</v>
      </c>
      <c r="J375" s="68">
        <f t="shared" si="16"/>
        <v>82.5</v>
      </c>
      <c r="K375" s="68">
        <f t="shared" si="17"/>
        <v>2</v>
      </c>
      <c r="L375" s="68"/>
      <c r="M375" s="408"/>
      <c r="N375" s="10"/>
      <c r="O375" s="269"/>
      <c r="P375" s="269"/>
      <c r="Q375" s="10"/>
    </row>
    <row r="376" spans="1:17">
      <c r="A376" s="10">
        <v>873</v>
      </c>
      <c r="B376" s="7">
        <v>367</v>
      </c>
      <c r="C376" s="7">
        <f t="shared" si="15"/>
        <v>873251</v>
      </c>
      <c r="D376" s="7" t="s">
        <v>1162</v>
      </c>
      <c r="E376" s="7">
        <v>251</v>
      </c>
      <c r="F376" s="7" t="s">
        <v>1021</v>
      </c>
      <c r="G376" s="269">
        <v>0.23387096773999999</v>
      </c>
      <c r="H376" s="10">
        <v>620</v>
      </c>
      <c r="I376" s="10">
        <v>145</v>
      </c>
      <c r="J376" s="68">
        <f t="shared" si="16"/>
        <v>49.18</v>
      </c>
      <c r="K376" s="68">
        <f t="shared" si="17"/>
        <v>11.5</v>
      </c>
      <c r="L376" s="68"/>
      <c r="M376" s="408"/>
      <c r="N376" s="10"/>
      <c r="O376" s="269"/>
      <c r="P376" s="269"/>
      <c r="Q376" s="10"/>
    </row>
    <row r="377" spans="1:17">
      <c r="A377" s="10">
        <v>873</v>
      </c>
      <c r="B377" s="7">
        <v>368</v>
      </c>
      <c r="C377" s="7">
        <f t="shared" si="15"/>
        <v>873264</v>
      </c>
      <c r="D377" s="7" t="s">
        <v>1162</v>
      </c>
      <c r="E377" s="7">
        <v>264</v>
      </c>
      <c r="F377" s="7" t="s">
        <v>1034</v>
      </c>
      <c r="G377" s="269">
        <v>7.2580645159999999E-2</v>
      </c>
      <c r="H377" s="10">
        <v>620</v>
      </c>
      <c r="I377" s="10">
        <v>45</v>
      </c>
      <c r="J377" s="68">
        <f t="shared" si="16"/>
        <v>82.5</v>
      </c>
      <c r="K377" s="68">
        <f t="shared" si="17"/>
        <v>5.99</v>
      </c>
      <c r="L377" s="68"/>
      <c r="M377" s="408"/>
      <c r="N377" s="10"/>
      <c r="O377" s="269"/>
      <c r="P377" s="269"/>
      <c r="Q377" s="10"/>
    </row>
    <row r="378" spans="1:17">
      <c r="A378" s="10">
        <v>873</v>
      </c>
      <c r="B378" s="7">
        <v>369</v>
      </c>
      <c r="C378" s="7">
        <f t="shared" si="15"/>
        <v>873338</v>
      </c>
      <c r="D378" s="7" t="s">
        <v>1162</v>
      </c>
      <c r="E378" s="7">
        <v>338</v>
      </c>
      <c r="F378" s="7" t="s">
        <v>1116</v>
      </c>
      <c r="G378" s="269">
        <v>0.22258064516000001</v>
      </c>
      <c r="H378" s="10">
        <v>620</v>
      </c>
      <c r="I378" s="10">
        <v>138</v>
      </c>
      <c r="J378" s="68">
        <f t="shared" si="16"/>
        <v>45.28</v>
      </c>
      <c r="K378" s="68">
        <f t="shared" si="17"/>
        <v>10.08</v>
      </c>
      <c r="L378" s="68"/>
      <c r="M378" s="408"/>
      <c r="N378" s="10"/>
      <c r="O378" s="269"/>
      <c r="P378" s="269"/>
      <c r="Q378" s="10"/>
    </row>
    <row r="379" spans="1:17">
      <c r="A379" s="10">
        <v>876</v>
      </c>
      <c r="B379" s="7">
        <v>370</v>
      </c>
      <c r="C379" s="7">
        <f t="shared" si="15"/>
        <v>876017</v>
      </c>
      <c r="D379" s="7" t="s">
        <v>21</v>
      </c>
      <c r="E379" s="7">
        <v>17</v>
      </c>
      <c r="F379" s="7" t="s">
        <v>20</v>
      </c>
      <c r="G379" s="269">
        <v>8.0349344980000001E-2</v>
      </c>
      <c r="H379" s="10">
        <v>1145</v>
      </c>
      <c r="I379" s="10">
        <v>92</v>
      </c>
      <c r="J379" s="68">
        <f t="shared" si="16"/>
        <v>57.6</v>
      </c>
      <c r="K379" s="68">
        <f t="shared" si="17"/>
        <v>4.63</v>
      </c>
      <c r="L379" s="68"/>
      <c r="M379" s="408"/>
      <c r="N379" s="10"/>
      <c r="O379" s="269"/>
      <c r="P379" s="269"/>
      <c r="Q379" s="10"/>
    </row>
    <row r="380" spans="1:17">
      <c r="A380" s="10">
        <v>876</v>
      </c>
      <c r="B380" s="7">
        <v>371</v>
      </c>
      <c r="C380" s="7">
        <f t="shared" si="15"/>
        <v>876054</v>
      </c>
      <c r="D380" s="7" t="s">
        <v>21</v>
      </c>
      <c r="E380" s="7">
        <v>54</v>
      </c>
      <c r="F380" s="7" t="s">
        <v>714</v>
      </c>
      <c r="G380" s="269">
        <v>0.14847161572000001</v>
      </c>
      <c r="H380" s="10">
        <v>1145</v>
      </c>
      <c r="I380" s="10">
        <v>170</v>
      </c>
      <c r="J380" s="68">
        <f t="shared" si="16"/>
        <v>51.69</v>
      </c>
      <c r="K380" s="68">
        <f t="shared" si="17"/>
        <v>7.67</v>
      </c>
      <c r="L380" s="68"/>
      <c r="M380" s="408"/>
      <c r="N380" s="10"/>
      <c r="O380" s="269"/>
      <c r="P380" s="269"/>
      <c r="Q380" s="10"/>
    </row>
    <row r="381" spans="1:17">
      <c r="A381" s="10">
        <v>876</v>
      </c>
      <c r="B381" s="7">
        <v>372</v>
      </c>
      <c r="C381" s="7">
        <f t="shared" si="15"/>
        <v>876080</v>
      </c>
      <c r="D381" s="7" t="s">
        <v>21</v>
      </c>
      <c r="E381" s="7">
        <v>80</v>
      </c>
      <c r="F381" s="7" t="s">
        <v>763</v>
      </c>
      <c r="G381" s="269">
        <v>0.10655021834</v>
      </c>
      <c r="H381" s="10">
        <v>1145</v>
      </c>
      <c r="I381" s="10">
        <v>122</v>
      </c>
      <c r="J381" s="68">
        <f t="shared" si="16"/>
        <v>38.69</v>
      </c>
      <c r="K381" s="68">
        <f t="shared" si="17"/>
        <v>4.12</v>
      </c>
      <c r="L381" s="68"/>
      <c r="M381" s="408"/>
      <c r="N381" s="10"/>
      <c r="O381" s="269"/>
      <c r="P381" s="269"/>
      <c r="Q381" s="10"/>
    </row>
    <row r="382" spans="1:17">
      <c r="A382" s="10">
        <v>876</v>
      </c>
      <c r="B382" s="7">
        <v>373</v>
      </c>
      <c r="C382" s="7">
        <f t="shared" si="15"/>
        <v>876215</v>
      </c>
      <c r="D382" s="7" t="s">
        <v>21</v>
      </c>
      <c r="E382" s="7">
        <v>215</v>
      </c>
      <c r="F382" s="7" t="s">
        <v>379</v>
      </c>
      <c r="G382" s="269">
        <v>3.9301310040000002E-2</v>
      </c>
      <c r="H382" s="10">
        <v>1145</v>
      </c>
      <c r="I382" s="10">
        <v>45</v>
      </c>
      <c r="J382" s="68">
        <f t="shared" si="16"/>
        <v>44.98</v>
      </c>
      <c r="K382" s="68">
        <f t="shared" si="17"/>
        <v>1.77</v>
      </c>
      <c r="L382" s="68"/>
      <c r="M382" s="408"/>
      <c r="N382" s="10"/>
      <c r="O382" s="269"/>
      <c r="P382" s="269"/>
      <c r="Q382" s="10"/>
    </row>
    <row r="383" spans="1:17">
      <c r="A383" s="10">
        <v>876</v>
      </c>
      <c r="B383" s="7">
        <v>374</v>
      </c>
      <c r="C383" s="7">
        <f t="shared" si="15"/>
        <v>876226</v>
      </c>
      <c r="D383" s="7" t="s">
        <v>21</v>
      </c>
      <c r="E383" s="7">
        <v>226</v>
      </c>
      <c r="F383" s="7" t="s">
        <v>985</v>
      </c>
      <c r="G383" s="269">
        <v>0.14497816593999999</v>
      </c>
      <c r="H383" s="10">
        <v>1145</v>
      </c>
      <c r="I383" s="10">
        <v>166</v>
      </c>
      <c r="J383" s="68">
        <f t="shared" si="16"/>
        <v>47.63</v>
      </c>
      <c r="K383" s="68">
        <f t="shared" si="17"/>
        <v>6.91</v>
      </c>
      <c r="L383" s="68"/>
      <c r="M383" s="408"/>
      <c r="N383" s="10"/>
      <c r="O383" s="269"/>
      <c r="P383" s="269"/>
      <c r="Q383" s="10"/>
    </row>
    <row r="384" spans="1:17">
      <c r="A384" s="10">
        <v>876</v>
      </c>
      <c r="B384" s="7">
        <v>375</v>
      </c>
      <c r="C384" s="7">
        <f t="shared" si="15"/>
        <v>876228</v>
      </c>
      <c r="D384" s="7" t="s">
        <v>21</v>
      </c>
      <c r="E384" s="7">
        <v>228</v>
      </c>
      <c r="F384" s="7" t="s">
        <v>987</v>
      </c>
      <c r="G384" s="269">
        <v>1.3973799130000001E-2</v>
      </c>
      <c r="H384" s="10">
        <v>1145</v>
      </c>
      <c r="I384" s="10">
        <v>16</v>
      </c>
      <c r="J384" s="68">
        <f t="shared" si="16"/>
        <v>61.1</v>
      </c>
      <c r="K384" s="68">
        <f t="shared" si="17"/>
        <v>0.85</v>
      </c>
      <c r="L384" s="68"/>
      <c r="M384" s="408"/>
      <c r="N384" s="10"/>
      <c r="O384" s="269"/>
      <c r="P384" s="269"/>
      <c r="Q384" s="10"/>
    </row>
    <row r="385" spans="1:17">
      <c r="A385" s="10">
        <v>876</v>
      </c>
      <c r="B385" s="7">
        <v>376</v>
      </c>
      <c r="C385" s="7">
        <f t="shared" si="15"/>
        <v>876257</v>
      </c>
      <c r="D385" s="7" t="s">
        <v>21</v>
      </c>
      <c r="E385" s="7">
        <v>257</v>
      </c>
      <c r="F385" s="7" t="s">
        <v>72</v>
      </c>
      <c r="G385" s="269">
        <v>2.8820960699999999E-2</v>
      </c>
      <c r="H385" s="10">
        <v>1145</v>
      </c>
      <c r="I385" s="10">
        <v>33</v>
      </c>
      <c r="J385" s="68">
        <f t="shared" si="16"/>
        <v>44.78</v>
      </c>
      <c r="K385" s="68">
        <f t="shared" si="17"/>
        <v>1.29</v>
      </c>
      <c r="L385" s="68"/>
      <c r="M385" s="408"/>
      <c r="N385" s="10"/>
      <c r="O385" s="269"/>
      <c r="P385" s="269"/>
      <c r="Q385" s="10"/>
    </row>
    <row r="386" spans="1:17">
      <c r="A386" s="10">
        <v>876</v>
      </c>
      <c r="B386" s="7">
        <v>377</v>
      </c>
      <c r="C386" s="7">
        <f t="shared" si="15"/>
        <v>876277</v>
      </c>
      <c r="D386" s="7" t="s">
        <v>21</v>
      </c>
      <c r="E386" s="7">
        <v>277</v>
      </c>
      <c r="F386" s="7" t="s">
        <v>1053</v>
      </c>
      <c r="G386" s="269">
        <v>0.16681222707000001</v>
      </c>
      <c r="H386" s="10">
        <v>1145</v>
      </c>
      <c r="I386" s="10">
        <v>191</v>
      </c>
      <c r="J386" s="68">
        <f t="shared" si="16"/>
        <v>25.37</v>
      </c>
      <c r="K386" s="68">
        <f t="shared" si="17"/>
        <v>4.2300000000000004</v>
      </c>
      <c r="L386" s="68"/>
      <c r="M386" s="408"/>
      <c r="N386" s="10"/>
      <c r="O386" s="269"/>
      <c r="P386" s="269"/>
      <c r="Q386" s="10"/>
    </row>
    <row r="387" spans="1:17">
      <c r="A387" s="10">
        <v>876</v>
      </c>
      <c r="B387" s="7">
        <v>378</v>
      </c>
      <c r="C387" s="7">
        <f t="shared" ref="C387:C450" si="18">A387*1000+E387</f>
        <v>876280</v>
      </c>
      <c r="D387" s="7" t="s">
        <v>21</v>
      </c>
      <c r="E387" s="7">
        <v>280</v>
      </c>
      <c r="F387" s="7" t="s">
        <v>1057</v>
      </c>
      <c r="G387" s="269">
        <v>0.13624454148000001</v>
      </c>
      <c r="H387" s="10">
        <v>1145</v>
      </c>
      <c r="I387" s="10">
        <v>156</v>
      </c>
      <c r="J387" s="68">
        <f t="shared" ref="J387:J450" si="19">ROUND(VLOOKUP(E387,town351,11),2)</f>
        <v>45.22</v>
      </c>
      <c r="K387" s="68">
        <f t="shared" si="17"/>
        <v>6.16</v>
      </c>
      <c r="L387" s="68"/>
      <c r="M387" s="408"/>
      <c r="N387" s="10"/>
      <c r="O387" s="269"/>
      <c r="P387" s="269"/>
      <c r="Q387" s="10"/>
    </row>
    <row r="388" spans="1:17">
      <c r="A388" s="10">
        <v>876</v>
      </c>
      <c r="B388" s="7">
        <v>379</v>
      </c>
      <c r="C388" s="7">
        <f t="shared" si="18"/>
        <v>876316</v>
      </c>
      <c r="D388" s="7" t="s">
        <v>21</v>
      </c>
      <c r="E388" s="7">
        <v>316</v>
      </c>
      <c r="F388" s="7" t="s">
        <v>1094</v>
      </c>
      <c r="G388" s="269">
        <v>0.13449781659000001</v>
      </c>
      <c r="H388" s="10">
        <v>1145</v>
      </c>
      <c r="I388" s="10">
        <v>154</v>
      </c>
      <c r="J388" s="68">
        <f t="shared" si="19"/>
        <v>45.09</v>
      </c>
      <c r="K388" s="68">
        <f t="shared" ref="K388:K451" si="20">ROUND(G388*J388,2)</f>
        <v>6.06</v>
      </c>
      <c r="L388" s="68"/>
      <c r="M388" s="408"/>
      <c r="N388" s="10"/>
      <c r="O388" s="269"/>
      <c r="P388" s="269"/>
      <c r="Q388" s="10"/>
    </row>
    <row r="389" spans="1:17">
      <c r="A389" s="10">
        <v>878</v>
      </c>
      <c r="B389" s="7">
        <v>380</v>
      </c>
      <c r="C389" s="7">
        <f t="shared" si="18"/>
        <v>878101</v>
      </c>
      <c r="D389" s="7" t="s">
        <v>789</v>
      </c>
      <c r="E389" s="7">
        <v>101</v>
      </c>
      <c r="F389" s="7" t="s">
        <v>788</v>
      </c>
      <c r="G389" s="269">
        <v>0.21287642782999999</v>
      </c>
      <c r="H389" s="10">
        <v>963</v>
      </c>
      <c r="I389" s="10">
        <v>205</v>
      </c>
      <c r="J389" s="68">
        <f t="shared" si="19"/>
        <v>65.36</v>
      </c>
      <c r="K389" s="68">
        <f t="shared" si="20"/>
        <v>13.91</v>
      </c>
      <c r="L389" s="68"/>
      <c r="M389" s="408"/>
      <c r="N389" s="10"/>
      <c r="O389" s="269"/>
      <c r="P389" s="269"/>
      <c r="Q389" s="10"/>
    </row>
    <row r="390" spans="1:17">
      <c r="A390" s="10">
        <v>878</v>
      </c>
      <c r="B390" s="7">
        <v>381</v>
      </c>
      <c r="C390" s="7">
        <f t="shared" si="18"/>
        <v>878175</v>
      </c>
      <c r="D390" s="7" t="s">
        <v>789</v>
      </c>
      <c r="E390" s="7">
        <v>175</v>
      </c>
      <c r="F390" s="7" t="s">
        <v>911</v>
      </c>
      <c r="G390" s="269">
        <v>1.142263759E-2</v>
      </c>
      <c r="H390" s="10">
        <v>963</v>
      </c>
      <c r="I390" s="10">
        <v>11</v>
      </c>
      <c r="J390" s="68">
        <f t="shared" si="19"/>
        <v>82.5</v>
      </c>
      <c r="K390" s="68">
        <f t="shared" si="20"/>
        <v>0.94</v>
      </c>
      <c r="L390" s="68"/>
      <c r="M390" s="408"/>
      <c r="N390" s="10"/>
      <c r="O390" s="269"/>
      <c r="P390" s="269"/>
      <c r="Q390" s="10"/>
    </row>
    <row r="391" spans="1:17">
      <c r="A391" s="10">
        <v>878</v>
      </c>
      <c r="B391" s="7">
        <v>382</v>
      </c>
      <c r="C391" s="7">
        <f t="shared" si="18"/>
        <v>878177</v>
      </c>
      <c r="D391" s="7" t="s">
        <v>789</v>
      </c>
      <c r="E391" s="7">
        <v>177</v>
      </c>
      <c r="F391" s="7" t="s">
        <v>915</v>
      </c>
      <c r="G391" s="269">
        <v>6.4382139150000003E-2</v>
      </c>
      <c r="H391" s="10">
        <v>963</v>
      </c>
      <c r="I391" s="10">
        <v>62</v>
      </c>
      <c r="J391" s="68">
        <f t="shared" si="19"/>
        <v>67.83</v>
      </c>
      <c r="K391" s="68">
        <f t="shared" si="20"/>
        <v>4.37</v>
      </c>
      <c r="L391" s="68"/>
      <c r="M391" s="408"/>
      <c r="N391" s="10"/>
      <c r="O391" s="269"/>
      <c r="P391" s="269"/>
      <c r="Q391" s="10"/>
    </row>
    <row r="392" spans="1:17">
      <c r="A392" s="10">
        <v>878</v>
      </c>
      <c r="B392" s="7">
        <v>383</v>
      </c>
      <c r="C392" s="7">
        <f t="shared" si="18"/>
        <v>878187</v>
      </c>
      <c r="D392" s="7" t="s">
        <v>789</v>
      </c>
      <c r="E392" s="7">
        <v>187</v>
      </c>
      <c r="F392" s="7" t="s">
        <v>926</v>
      </c>
      <c r="G392" s="269">
        <v>3.6344755970000003E-2</v>
      </c>
      <c r="H392" s="10">
        <v>963</v>
      </c>
      <c r="I392" s="10">
        <v>35</v>
      </c>
      <c r="J392" s="68">
        <f t="shared" si="19"/>
        <v>71.41</v>
      </c>
      <c r="K392" s="68">
        <f t="shared" si="20"/>
        <v>2.6</v>
      </c>
      <c r="L392" s="68"/>
      <c r="M392" s="408"/>
      <c r="N392" s="10"/>
      <c r="O392" s="269"/>
      <c r="P392" s="269"/>
      <c r="Q392" s="10"/>
    </row>
    <row r="393" spans="1:17">
      <c r="A393" s="10">
        <v>878</v>
      </c>
      <c r="B393" s="7">
        <v>384</v>
      </c>
      <c r="C393" s="7">
        <f t="shared" si="18"/>
        <v>878208</v>
      </c>
      <c r="D393" s="7" t="s">
        <v>789</v>
      </c>
      <c r="E393" s="7">
        <v>208</v>
      </c>
      <c r="F393" s="7" t="s">
        <v>951</v>
      </c>
      <c r="G393" s="269">
        <v>3.322949117E-2</v>
      </c>
      <c r="H393" s="10">
        <v>963</v>
      </c>
      <c r="I393" s="10">
        <v>32</v>
      </c>
      <c r="J393" s="68">
        <f t="shared" si="19"/>
        <v>82.5</v>
      </c>
      <c r="K393" s="68">
        <f t="shared" si="20"/>
        <v>2.74</v>
      </c>
      <c r="L393" s="68"/>
      <c r="M393" s="408"/>
      <c r="N393" s="10"/>
      <c r="O393" s="269"/>
      <c r="P393" s="269"/>
      <c r="Q393" s="10"/>
    </row>
    <row r="394" spans="1:17">
      <c r="A394" s="10">
        <v>878</v>
      </c>
      <c r="B394" s="7">
        <v>385</v>
      </c>
      <c r="C394" s="7">
        <f t="shared" si="18"/>
        <v>878212</v>
      </c>
      <c r="D394" s="7" t="s">
        <v>789</v>
      </c>
      <c r="E394" s="7">
        <v>212</v>
      </c>
      <c r="F394" s="7" t="s">
        <v>958</v>
      </c>
      <c r="G394" s="269">
        <v>0.36240913810999997</v>
      </c>
      <c r="H394" s="10">
        <v>963</v>
      </c>
      <c r="I394" s="10">
        <v>349</v>
      </c>
      <c r="J394" s="68">
        <f t="shared" si="19"/>
        <v>61.53</v>
      </c>
      <c r="K394" s="68">
        <f t="shared" si="20"/>
        <v>22.3</v>
      </c>
      <c r="L394" s="68"/>
      <c r="M394" s="408"/>
      <c r="N394" s="10"/>
      <c r="O394" s="269"/>
      <c r="P394" s="269"/>
      <c r="Q394" s="10"/>
    </row>
    <row r="395" spans="1:17">
      <c r="A395" s="10">
        <v>878</v>
      </c>
      <c r="B395" s="7">
        <v>386</v>
      </c>
      <c r="C395" s="7">
        <f t="shared" si="18"/>
        <v>878238</v>
      </c>
      <c r="D395" s="7" t="s">
        <v>789</v>
      </c>
      <c r="E395" s="7">
        <v>238</v>
      </c>
      <c r="F395" s="7" t="s">
        <v>1008</v>
      </c>
      <c r="G395" s="269">
        <v>9.449636552E-2</v>
      </c>
      <c r="H395" s="10">
        <v>963</v>
      </c>
      <c r="I395" s="10">
        <v>91</v>
      </c>
      <c r="J395" s="68">
        <f t="shared" si="19"/>
        <v>70.89</v>
      </c>
      <c r="K395" s="68">
        <f t="shared" si="20"/>
        <v>6.7</v>
      </c>
      <c r="L395" s="68"/>
      <c r="M395" s="408"/>
      <c r="N395" s="10"/>
      <c r="O395" s="269"/>
      <c r="P395" s="269"/>
      <c r="Q395" s="10"/>
    </row>
    <row r="396" spans="1:17">
      <c r="A396" s="10">
        <v>878</v>
      </c>
      <c r="B396" s="7">
        <v>387</v>
      </c>
      <c r="C396" s="7">
        <f t="shared" si="18"/>
        <v>878265</v>
      </c>
      <c r="D396" s="7" t="s">
        <v>789</v>
      </c>
      <c r="E396" s="7">
        <v>265</v>
      </c>
      <c r="F396" s="7" t="s">
        <v>1035</v>
      </c>
      <c r="G396" s="269">
        <v>8.6188992729999997E-2</v>
      </c>
      <c r="H396" s="10">
        <v>963</v>
      </c>
      <c r="I396" s="10">
        <v>83</v>
      </c>
      <c r="J396" s="68">
        <f t="shared" si="19"/>
        <v>75.56</v>
      </c>
      <c r="K396" s="68">
        <f t="shared" si="20"/>
        <v>6.51</v>
      </c>
      <c r="L396" s="68"/>
      <c r="M396" s="408"/>
      <c r="N396" s="10"/>
      <c r="O396" s="269"/>
      <c r="P396" s="269"/>
      <c r="Q396" s="10"/>
    </row>
    <row r="397" spans="1:17">
      <c r="A397" s="10">
        <v>878</v>
      </c>
      <c r="B397" s="7">
        <v>388</v>
      </c>
      <c r="C397" s="7">
        <f t="shared" si="18"/>
        <v>878269</v>
      </c>
      <c r="D397" s="7" t="s">
        <v>789</v>
      </c>
      <c r="E397" s="7">
        <v>269</v>
      </c>
      <c r="F397" s="7" t="s">
        <v>1039</v>
      </c>
      <c r="G397" s="269">
        <v>0</v>
      </c>
      <c r="H397" s="10">
        <v>963</v>
      </c>
      <c r="I397" s="10">
        <v>0</v>
      </c>
      <c r="J397" s="68">
        <f t="shared" si="19"/>
        <v>82.5</v>
      </c>
      <c r="K397" s="68">
        <f t="shared" si="20"/>
        <v>0</v>
      </c>
      <c r="L397" s="68"/>
      <c r="M397" s="408"/>
      <c r="N397" s="10"/>
      <c r="O397" s="269"/>
      <c r="P397" s="269"/>
      <c r="Q397" s="10"/>
    </row>
    <row r="398" spans="1:17">
      <c r="A398" s="10">
        <v>878</v>
      </c>
      <c r="B398" s="7">
        <v>389</v>
      </c>
      <c r="C398" s="7">
        <f t="shared" si="18"/>
        <v>878307</v>
      </c>
      <c r="D398" s="7" t="s">
        <v>789</v>
      </c>
      <c r="E398" s="7">
        <v>307</v>
      </c>
      <c r="F398" s="7" t="s">
        <v>1084</v>
      </c>
      <c r="G398" s="269">
        <v>4.9844236760000001E-2</v>
      </c>
      <c r="H398" s="10">
        <v>963</v>
      </c>
      <c r="I398" s="10">
        <v>48</v>
      </c>
      <c r="J398" s="68">
        <f t="shared" si="19"/>
        <v>82.5</v>
      </c>
      <c r="K398" s="68">
        <f t="shared" si="20"/>
        <v>4.1100000000000003</v>
      </c>
      <c r="L398" s="68"/>
      <c r="M398" s="408"/>
      <c r="N398" s="10"/>
      <c r="O398" s="269"/>
      <c r="P398" s="269"/>
      <c r="Q398" s="10"/>
    </row>
    <row r="399" spans="1:17">
      <c r="A399" s="10">
        <v>878</v>
      </c>
      <c r="B399" s="7">
        <v>390</v>
      </c>
      <c r="C399" s="7">
        <f t="shared" si="18"/>
        <v>878350</v>
      </c>
      <c r="D399" s="7" t="s">
        <v>789</v>
      </c>
      <c r="E399" s="7">
        <v>350</v>
      </c>
      <c r="F399" s="7" t="s">
        <v>1128</v>
      </c>
      <c r="G399" s="269">
        <v>4.8805815160000002E-2</v>
      </c>
      <c r="H399" s="10">
        <v>963</v>
      </c>
      <c r="I399" s="10">
        <v>47</v>
      </c>
      <c r="J399" s="68">
        <f t="shared" si="19"/>
        <v>82.5</v>
      </c>
      <c r="K399" s="68">
        <f t="shared" si="20"/>
        <v>4.03</v>
      </c>
      <c r="L399" s="68"/>
      <c r="M399" s="408"/>
      <c r="N399" s="10"/>
      <c r="O399" s="269"/>
      <c r="P399" s="269"/>
      <c r="Q399" s="10"/>
    </row>
    <row r="400" spans="1:17">
      <c r="A400" s="10">
        <v>879</v>
      </c>
      <c r="B400" s="7">
        <v>391</v>
      </c>
      <c r="C400" s="7">
        <f t="shared" si="18"/>
        <v>879036</v>
      </c>
      <c r="D400" s="7" t="s">
        <v>689</v>
      </c>
      <c r="E400" s="7">
        <v>36</v>
      </c>
      <c r="F400" s="7" t="s">
        <v>686</v>
      </c>
      <c r="G400" s="269">
        <v>0.26216216215999999</v>
      </c>
      <c r="H400" s="10">
        <v>740</v>
      </c>
      <c r="I400" s="10">
        <v>194</v>
      </c>
      <c r="J400" s="68">
        <f t="shared" si="19"/>
        <v>82.5</v>
      </c>
      <c r="K400" s="68">
        <f t="shared" si="20"/>
        <v>21.63</v>
      </c>
      <c r="L400" s="68"/>
      <c r="M400" s="408"/>
      <c r="N400" s="10"/>
      <c r="O400" s="269"/>
      <c r="P400" s="269"/>
      <c r="Q400" s="10"/>
    </row>
    <row r="401" spans="1:17">
      <c r="A401" s="10">
        <v>879</v>
      </c>
      <c r="B401" s="7">
        <v>392</v>
      </c>
      <c r="C401" s="7">
        <f t="shared" si="18"/>
        <v>879096</v>
      </c>
      <c r="D401" s="7" t="s">
        <v>689</v>
      </c>
      <c r="E401" s="7">
        <v>96</v>
      </c>
      <c r="F401" s="7" t="s">
        <v>783</v>
      </c>
      <c r="G401" s="269">
        <v>0.20675675675999999</v>
      </c>
      <c r="H401" s="10">
        <v>740</v>
      </c>
      <c r="I401" s="10">
        <v>153</v>
      </c>
      <c r="J401" s="68">
        <f t="shared" si="19"/>
        <v>82.5</v>
      </c>
      <c r="K401" s="68">
        <f t="shared" si="20"/>
        <v>17.059999999999999</v>
      </c>
      <c r="L401" s="68"/>
      <c r="M401" s="408"/>
      <c r="N401" s="10"/>
      <c r="O401" s="269"/>
      <c r="P401" s="269"/>
      <c r="Q401" s="10"/>
    </row>
    <row r="402" spans="1:17">
      <c r="A402" s="10">
        <v>879</v>
      </c>
      <c r="B402" s="7">
        <v>393</v>
      </c>
      <c r="C402" s="7">
        <f t="shared" si="18"/>
        <v>879169</v>
      </c>
      <c r="D402" s="7" t="s">
        <v>689</v>
      </c>
      <c r="E402" s="7">
        <v>169</v>
      </c>
      <c r="F402" s="7" t="s">
        <v>904</v>
      </c>
      <c r="G402" s="269">
        <v>2.432432432E-2</v>
      </c>
      <c r="H402" s="10">
        <v>740</v>
      </c>
      <c r="I402" s="10">
        <v>18</v>
      </c>
      <c r="J402" s="68">
        <f t="shared" si="19"/>
        <v>82.5</v>
      </c>
      <c r="K402" s="68">
        <f t="shared" si="20"/>
        <v>2.0099999999999998</v>
      </c>
      <c r="L402" s="68"/>
      <c r="M402" s="408"/>
      <c r="N402" s="10"/>
      <c r="O402" s="269"/>
      <c r="P402" s="269"/>
      <c r="Q402" s="10"/>
    </row>
    <row r="403" spans="1:17">
      <c r="A403" s="10">
        <v>879</v>
      </c>
      <c r="B403" s="7">
        <v>394</v>
      </c>
      <c r="C403" s="7">
        <f t="shared" si="18"/>
        <v>879261</v>
      </c>
      <c r="D403" s="7" t="s">
        <v>689</v>
      </c>
      <c r="E403" s="7">
        <v>261</v>
      </c>
      <c r="F403" s="7" t="s">
        <v>1031</v>
      </c>
      <c r="G403" s="269">
        <v>0.17027027027</v>
      </c>
      <c r="H403" s="10">
        <v>740</v>
      </c>
      <c r="I403" s="10">
        <v>126</v>
      </c>
      <c r="J403" s="68">
        <f t="shared" si="19"/>
        <v>82.5</v>
      </c>
      <c r="K403" s="68">
        <f t="shared" si="20"/>
        <v>14.05</v>
      </c>
      <c r="L403" s="68"/>
      <c r="M403" s="408"/>
      <c r="N403" s="10"/>
      <c r="O403" s="269"/>
      <c r="P403" s="269"/>
      <c r="Q403" s="10"/>
    </row>
    <row r="404" spans="1:17">
      <c r="A404" s="10">
        <v>879</v>
      </c>
      <c r="B404" s="7">
        <v>395</v>
      </c>
      <c r="C404" s="7">
        <f t="shared" si="18"/>
        <v>879310</v>
      </c>
      <c r="D404" s="7" t="s">
        <v>689</v>
      </c>
      <c r="E404" s="7">
        <v>310</v>
      </c>
      <c r="F404" s="7" t="s">
        <v>1087</v>
      </c>
      <c r="G404" s="269">
        <v>0.33648648649000001</v>
      </c>
      <c r="H404" s="10">
        <v>740</v>
      </c>
      <c r="I404" s="10">
        <v>249</v>
      </c>
      <c r="J404" s="68">
        <f t="shared" si="19"/>
        <v>56.05</v>
      </c>
      <c r="K404" s="68">
        <f t="shared" si="20"/>
        <v>18.86</v>
      </c>
      <c r="L404" s="68"/>
      <c r="M404" s="408"/>
      <c r="N404" s="10"/>
      <c r="O404" s="269"/>
      <c r="P404" s="269"/>
      <c r="Q404" s="10"/>
    </row>
    <row r="405" spans="1:17">
      <c r="A405" s="10">
        <v>885</v>
      </c>
      <c r="B405" s="7">
        <v>396</v>
      </c>
      <c r="C405" s="7">
        <f t="shared" si="18"/>
        <v>885007</v>
      </c>
      <c r="D405" s="7" t="s">
        <v>2</v>
      </c>
      <c r="E405" s="7">
        <v>7</v>
      </c>
      <c r="F405" s="7" t="s">
        <v>1</v>
      </c>
      <c r="G405" s="269">
        <v>5.7770545159999999E-2</v>
      </c>
      <c r="H405" s="10">
        <v>1229</v>
      </c>
      <c r="I405" s="10">
        <v>71</v>
      </c>
      <c r="J405" s="68">
        <f t="shared" si="19"/>
        <v>65.83</v>
      </c>
      <c r="K405" s="68">
        <f t="shared" si="20"/>
        <v>3.8</v>
      </c>
      <c r="L405" s="68"/>
      <c r="M405" s="408"/>
      <c r="N405" s="10"/>
      <c r="O405" s="269"/>
      <c r="P405" s="269"/>
      <c r="Q405" s="10"/>
    </row>
    <row r="406" spans="1:17">
      <c r="A406" s="10">
        <v>885</v>
      </c>
      <c r="B406" s="7">
        <v>397</v>
      </c>
      <c r="C406" s="7">
        <f t="shared" si="18"/>
        <v>885105</v>
      </c>
      <c r="D406" s="7" t="s">
        <v>2</v>
      </c>
      <c r="E406" s="7">
        <v>105</v>
      </c>
      <c r="F406" s="7" t="s">
        <v>794</v>
      </c>
      <c r="G406" s="269">
        <v>3.4174125309999998E-2</v>
      </c>
      <c r="H406" s="10">
        <v>1229</v>
      </c>
      <c r="I406" s="10">
        <v>42</v>
      </c>
      <c r="J406" s="68">
        <f t="shared" si="19"/>
        <v>72.83</v>
      </c>
      <c r="K406" s="68">
        <f t="shared" si="20"/>
        <v>2.4900000000000002</v>
      </c>
      <c r="L406" s="68"/>
      <c r="M406" s="408"/>
      <c r="N406" s="10"/>
      <c r="O406" s="269"/>
      <c r="P406" s="269"/>
      <c r="Q406" s="10"/>
    </row>
    <row r="407" spans="1:17">
      <c r="A407" s="10">
        <v>885</v>
      </c>
      <c r="B407" s="7">
        <v>398</v>
      </c>
      <c r="C407" s="7">
        <f t="shared" si="18"/>
        <v>885116</v>
      </c>
      <c r="D407" s="7" t="s">
        <v>2</v>
      </c>
      <c r="E407" s="7">
        <v>116</v>
      </c>
      <c r="F407" s="7" t="s">
        <v>807</v>
      </c>
      <c r="G407" s="269">
        <v>5.6143205860000003E-2</v>
      </c>
      <c r="H407" s="10">
        <v>1229</v>
      </c>
      <c r="I407" s="10">
        <v>69</v>
      </c>
      <c r="J407" s="68">
        <f t="shared" si="19"/>
        <v>67.42</v>
      </c>
      <c r="K407" s="68">
        <f t="shared" si="20"/>
        <v>3.79</v>
      </c>
      <c r="L407" s="68"/>
      <c r="M407" s="408"/>
      <c r="N407" s="10"/>
      <c r="O407" s="269"/>
      <c r="P407" s="269"/>
      <c r="Q407" s="10"/>
    </row>
    <row r="408" spans="1:17">
      <c r="A408" s="10">
        <v>885</v>
      </c>
      <c r="B408" s="7">
        <v>399</v>
      </c>
      <c r="C408" s="7">
        <f t="shared" si="18"/>
        <v>885128</v>
      </c>
      <c r="D408" s="7" t="s">
        <v>2</v>
      </c>
      <c r="E408" s="7">
        <v>128</v>
      </c>
      <c r="F408" s="7" t="s">
        <v>824</v>
      </c>
      <c r="G408" s="269">
        <v>0.65500406835000002</v>
      </c>
      <c r="H408" s="10">
        <v>1229</v>
      </c>
      <c r="I408" s="10">
        <v>805</v>
      </c>
      <c r="J408" s="68">
        <f t="shared" si="19"/>
        <v>42.51</v>
      </c>
      <c r="K408" s="68">
        <f t="shared" si="20"/>
        <v>27.84</v>
      </c>
      <c r="L408" s="68"/>
      <c r="M408" s="408"/>
      <c r="N408" s="10"/>
      <c r="O408" s="269"/>
      <c r="P408" s="269"/>
      <c r="Q408" s="10"/>
    </row>
    <row r="409" spans="1:17">
      <c r="A409" s="10">
        <v>885</v>
      </c>
      <c r="B409" s="7">
        <v>400</v>
      </c>
      <c r="C409" s="7">
        <f t="shared" si="18"/>
        <v>885144</v>
      </c>
      <c r="D409" s="7" t="s">
        <v>2</v>
      </c>
      <c r="E409" s="7">
        <v>144</v>
      </c>
      <c r="F409" s="7" t="s">
        <v>841</v>
      </c>
      <c r="G409" s="269">
        <v>2.27827502E-2</v>
      </c>
      <c r="H409" s="10">
        <v>1229</v>
      </c>
      <c r="I409" s="10">
        <v>28</v>
      </c>
      <c r="J409" s="68">
        <f t="shared" si="19"/>
        <v>82.5</v>
      </c>
      <c r="K409" s="68">
        <f t="shared" si="20"/>
        <v>1.88</v>
      </c>
      <c r="L409" s="68"/>
      <c r="M409" s="408"/>
      <c r="N409" s="10"/>
      <c r="O409" s="269"/>
      <c r="P409" s="269"/>
      <c r="Q409" s="10"/>
    </row>
    <row r="410" spans="1:17">
      <c r="A410" s="10">
        <v>885</v>
      </c>
      <c r="B410" s="7">
        <v>401</v>
      </c>
      <c r="C410" s="7">
        <f t="shared" si="18"/>
        <v>885180</v>
      </c>
      <c r="D410" s="7" t="s">
        <v>2</v>
      </c>
      <c r="E410" s="7">
        <v>180</v>
      </c>
      <c r="F410" s="7" t="s">
        <v>919</v>
      </c>
      <c r="G410" s="269">
        <v>5.6143205860000003E-2</v>
      </c>
      <c r="H410" s="10">
        <v>1229</v>
      </c>
      <c r="I410" s="10">
        <v>69</v>
      </c>
      <c r="J410" s="68">
        <f t="shared" si="19"/>
        <v>63.01</v>
      </c>
      <c r="K410" s="68">
        <f t="shared" si="20"/>
        <v>3.54</v>
      </c>
      <c r="L410" s="68"/>
      <c r="M410" s="408"/>
      <c r="N410" s="10"/>
      <c r="O410" s="269"/>
      <c r="P410" s="269"/>
      <c r="Q410" s="10"/>
    </row>
    <row r="411" spans="1:17">
      <c r="A411" s="10">
        <v>885</v>
      </c>
      <c r="B411" s="7">
        <v>402</v>
      </c>
      <c r="C411" s="7">
        <f t="shared" si="18"/>
        <v>885203</v>
      </c>
      <c r="D411" s="7" t="s">
        <v>2</v>
      </c>
      <c r="E411" s="7">
        <v>203</v>
      </c>
      <c r="F411" s="7" t="s">
        <v>943</v>
      </c>
      <c r="G411" s="269">
        <v>2.1969080549999999E-2</v>
      </c>
      <c r="H411" s="10">
        <v>1229</v>
      </c>
      <c r="I411" s="10">
        <v>27</v>
      </c>
      <c r="J411" s="68">
        <f t="shared" si="19"/>
        <v>82.5</v>
      </c>
      <c r="K411" s="68">
        <f t="shared" si="20"/>
        <v>1.81</v>
      </c>
      <c r="L411" s="68"/>
      <c r="M411" s="408"/>
      <c r="N411" s="10"/>
      <c r="O411" s="269"/>
      <c r="P411" s="269"/>
      <c r="Q411" s="10"/>
    </row>
    <row r="412" spans="1:17">
      <c r="A412" s="10">
        <v>885</v>
      </c>
      <c r="B412" s="7">
        <v>403</v>
      </c>
      <c r="C412" s="7">
        <f t="shared" si="18"/>
        <v>885204</v>
      </c>
      <c r="D412" s="7" t="s">
        <v>2</v>
      </c>
      <c r="E412" s="7">
        <v>204</v>
      </c>
      <c r="F412" s="7" t="s">
        <v>945</v>
      </c>
      <c r="G412" s="269">
        <v>2.6037428800000002E-2</v>
      </c>
      <c r="H412" s="10">
        <v>1229</v>
      </c>
      <c r="I412" s="10">
        <v>32</v>
      </c>
      <c r="J412" s="68">
        <f t="shared" si="19"/>
        <v>82.5</v>
      </c>
      <c r="K412" s="68">
        <f t="shared" si="20"/>
        <v>2.15</v>
      </c>
      <c r="L412" s="68"/>
      <c r="M412" s="408"/>
      <c r="N412" s="10"/>
      <c r="O412" s="269"/>
      <c r="P412" s="269"/>
      <c r="Q412" s="10"/>
    </row>
    <row r="413" spans="1:17">
      <c r="A413" s="10">
        <v>885</v>
      </c>
      <c r="B413" s="7">
        <v>404</v>
      </c>
      <c r="C413" s="7">
        <f t="shared" si="18"/>
        <v>885254</v>
      </c>
      <c r="D413" s="7" t="s">
        <v>2</v>
      </c>
      <c r="E413" s="7">
        <v>254</v>
      </c>
      <c r="F413" s="7" t="s">
        <v>1024</v>
      </c>
      <c r="G413" s="269">
        <v>1.5459723349999999E-2</v>
      </c>
      <c r="H413" s="10">
        <v>1229</v>
      </c>
      <c r="I413" s="10">
        <v>19</v>
      </c>
      <c r="J413" s="68">
        <f t="shared" si="19"/>
        <v>82.5</v>
      </c>
      <c r="K413" s="68">
        <f t="shared" si="20"/>
        <v>1.28</v>
      </c>
      <c r="L413" s="68"/>
      <c r="M413" s="408"/>
      <c r="N413" s="10"/>
      <c r="O413" s="269"/>
      <c r="P413" s="269"/>
      <c r="Q413" s="10"/>
    </row>
    <row r="414" spans="1:17">
      <c r="A414" s="10">
        <v>885</v>
      </c>
      <c r="B414" s="7">
        <v>405</v>
      </c>
      <c r="C414" s="7">
        <f t="shared" si="18"/>
        <v>885259</v>
      </c>
      <c r="D414" s="7" t="s">
        <v>2</v>
      </c>
      <c r="E414" s="7">
        <v>259</v>
      </c>
      <c r="F414" s="7" t="s">
        <v>1029</v>
      </c>
      <c r="G414" s="269">
        <v>3.580146461E-2</v>
      </c>
      <c r="H414" s="10">
        <v>1229</v>
      </c>
      <c r="I414" s="10">
        <v>44</v>
      </c>
      <c r="J414" s="68">
        <f t="shared" si="19"/>
        <v>82.5</v>
      </c>
      <c r="K414" s="68">
        <f t="shared" si="20"/>
        <v>2.95</v>
      </c>
      <c r="L414" s="68"/>
      <c r="M414" s="408"/>
      <c r="N414" s="10"/>
      <c r="O414" s="269"/>
      <c r="P414" s="269"/>
      <c r="Q414" s="10"/>
    </row>
    <row r="415" spans="1:17">
      <c r="A415" s="10">
        <v>885</v>
      </c>
      <c r="B415" s="7">
        <v>406</v>
      </c>
      <c r="C415" s="7">
        <f t="shared" si="18"/>
        <v>885329</v>
      </c>
      <c r="D415" s="7" t="s">
        <v>2</v>
      </c>
      <c r="E415" s="7">
        <v>329</v>
      </c>
      <c r="F415" s="7" t="s">
        <v>1107</v>
      </c>
      <c r="G415" s="269">
        <v>1.8714401950000001E-2</v>
      </c>
      <c r="H415" s="10">
        <v>1229</v>
      </c>
      <c r="I415" s="10">
        <v>23</v>
      </c>
      <c r="J415" s="68">
        <f t="shared" si="19"/>
        <v>82.5</v>
      </c>
      <c r="K415" s="68">
        <f t="shared" si="20"/>
        <v>1.54</v>
      </c>
      <c r="L415" s="68"/>
      <c r="M415" s="408"/>
      <c r="N415" s="10"/>
      <c r="O415" s="269"/>
      <c r="P415" s="269"/>
      <c r="Q415" s="10"/>
    </row>
    <row r="416" spans="1:17">
      <c r="A416" s="10">
        <v>910</v>
      </c>
      <c r="B416" s="7">
        <v>407</v>
      </c>
      <c r="C416" s="7">
        <f t="shared" si="18"/>
        <v>910003</v>
      </c>
      <c r="D416" s="7" t="s">
        <v>1168</v>
      </c>
      <c r="E416" s="7">
        <v>3</v>
      </c>
      <c r="F416" s="7" t="s">
        <v>1166</v>
      </c>
      <c r="G416" s="269">
        <v>3.640776699E-2</v>
      </c>
      <c r="H416" s="10">
        <v>412</v>
      </c>
      <c r="I416" s="10">
        <v>15</v>
      </c>
      <c r="J416" s="68">
        <f t="shared" si="19"/>
        <v>58.17</v>
      </c>
      <c r="K416" s="68">
        <f t="shared" si="20"/>
        <v>2.12</v>
      </c>
      <c r="L416" s="68"/>
      <c r="M416" s="408"/>
      <c r="N416" s="10"/>
      <c r="O416" s="269"/>
      <c r="P416" s="269"/>
      <c r="Q416" s="10"/>
    </row>
    <row r="417" spans="1:17">
      <c r="A417" s="10">
        <v>910</v>
      </c>
      <c r="B417" s="7">
        <v>408</v>
      </c>
      <c r="C417" s="7">
        <f t="shared" si="18"/>
        <v>910016</v>
      </c>
      <c r="D417" s="7" t="s">
        <v>1168</v>
      </c>
      <c r="E417" s="7">
        <v>16</v>
      </c>
      <c r="F417" s="7" t="s">
        <v>19</v>
      </c>
      <c r="G417" s="269">
        <v>8.4951456310000006E-2</v>
      </c>
      <c r="H417" s="10">
        <v>412</v>
      </c>
      <c r="I417" s="10">
        <v>35</v>
      </c>
      <c r="J417" s="68">
        <f t="shared" si="19"/>
        <v>48.85</v>
      </c>
      <c r="K417" s="68">
        <f t="shared" si="20"/>
        <v>4.1500000000000004</v>
      </c>
      <c r="L417" s="68"/>
      <c r="M417" s="408"/>
      <c r="N417" s="10"/>
      <c r="O417" s="269"/>
      <c r="P417" s="269"/>
      <c r="Q417" s="10"/>
    </row>
    <row r="418" spans="1:17">
      <c r="A418" s="10">
        <v>910</v>
      </c>
      <c r="B418" s="7">
        <v>409</v>
      </c>
      <c r="C418" s="7">
        <f t="shared" si="18"/>
        <v>910027</v>
      </c>
      <c r="D418" s="7" t="s">
        <v>1168</v>
      </c>
      <c r="E418" s="7">
        <v>27</v>
      </c>
      <c r="F418" s="7" t="s">
        <v>39</v>
      </c>
      <c r="G418" s="269">
        <v>1.9417475730000001E-2</v>
      </c>
      <c r="H418" s="10">
        <v>412</v>
      </c>
      <c r="I418" s="10">
        <v>8</v>
      </c>
      <c r="J418" s="68">
        <f t="shared" si="19"/>
        <v>50.03</v>
      </c>
      <c r="K418" s="68">
        <f t="shared" si="20"/>
        <v>0.97</v>
      </c>
      <c r="L418" s="68"/>
      <c r="M418" s="408"/>
      <c r="N418" s="10"/>
      <c r="O418" s="269"/>
      <c r="P418" s="269"/>
      <c r="Q418" s="10"/>
    </row>
    <row r="419" spans="1:17">
      <c r="A419" s="10">
        <v>910</v>
      </c>
      <c r="B419" s="7">
        <v>410</v>
      </c>
      <c r="C419" s="7">
        <f t="shared" si="18"/>
        <v>910072</v>
      </c>
      <c r="D419" s="7" t="s">
        <v>1168</v>
      </c>
      <c r="E419" s="7">
        <v>72</v>
      </c>
      <c r="F419" s="7" t="s">
        <v>744</v>
      </c>
      <c r="G419" s="269">
        <v>5.8252427179999997E-2</v>
      </c>
      <c r="H419" s="10">
        <v>412</v>
      </c>
      <c r="I419" s="10">
        <v>24</v>
      </c>
      <c r="J419" s="68">
        <f t="shared" si="19"/>
        <v>82.5</v>
      </c>
      <c r="K419" s="68">
        <f t="shared" si="20"/>
        <v>4.8099999999999996</v>
      </c>
      <c r="L419" s="68"/>
      <c r="M419" s="408"/>
      <c r="N419" s="10"/>
      <c r="O419" s="269"/>
      <c r="P419" s="269"/>
      <c r="Q419" s="10"/>
    </row>
    <row r="420" spans="1:17">
      <c r="A420" s="10">
        <v>910</v>
      </c>
      <c r="B420" s="7">
        <v>411</v>
      </c>
      <c r="C420" s="7">
        <f t="shared" si="18"/>
        <v>910076</v>
      </c>
      <c r="D420" s="7" t="s">
        <v>1168</v>
      </c>
      <c r="E420" s="7">
        <v>76</v>
      </c>
      <c r="F420" s="7" t="s">
        <v>754</v>
      </c>
      <c r="G420" s="269">
        <v>6.3106796120000003E-2</v>
      </c>
      <c r="H420" s="10">
        <v>412</v>
      </c>
      <c r="I420" s="10">
        <v>26</v>
      </c>
      <c r="J420" s="68">
        <f t="shared" si="19"/>
        <v>48.15</v>
      </c>
      <c r="K420" s="68">
        <f t="shared" si="20"/>
        <v>3.04</v>
      </c>
      <c r="L420" s="68"/>
      <c r="M420" s="408"/>
      <c r="N420" s="10"/>
      <c r="O420" s="269"/>
      <c r="P420" s="269"/>
      <c r="Q420" s="10"/>
    </row>
    <row r="421" spans="1:17">
      <c r="A421" s="10">
        <v>910</v>
      </c>
      <c r="B421" s="7">
        <v>412</v>
      </c>
      <c r="C421" s="7">
        <f t="shared" si="18"/>
        <v>910088</v>
      </c>
      <c r="D421" s="7" t="s">
        <v>1168</v>
      </c>
      <c r="E421" s="7">
        <v>88</v>
      </c>
      <c r="F421" s="7" t="s">
        <v>773</v>
      </c>
      <c r="G421" s="269">
        <v>1.213592233E-2</v>
      </c>
      <c r="H421" s="10">
        <v>412</v>
      </c>
      <c r="I421" s="10">
        <v>5</v>
      </c>
      <c r="J421" s="68">
        <f t="shared" si="19"/>
        <v>76.150000000000006</v>
      </c>
      <c r="K421" s="68">
        <f t="shared" si="20"/>
        <v>0.92</v>
      </c>
      <c r="L421" s="68"/>
      <c r="M421" s="408"/>
      <c r="N421" s="10"/>
      <c r="O421" s="269"/>
      <c r="P421" s="269"/>
      <c r="Q421" s="10"/>
    </row>
    <row r="422" spans="1:17">
      <c r="A422" s="10">
        <v>910</v>
      </c>
      <c r="B422" s="7">
        <v>413</v>
      </c>
      <c r="C422" s="7">
        <f t="shared" si="18"/>
        <v>910094</v>
      </c>
      <c r="D422" s="7" t="s">
        <v>1168</v>
      </c>
      <c r="E422" s="7">
        <v>94</v>
      </c>
      <c r="F422" s="7" t="s">
        <v>780</v>
      </c>
      <c r="G422" s="269">
        <v>4.6116504849999997E-2</v>
      </c>
      <c r="H422" s="10">
        <v>412</v>
      </c>
      <c r="I422" s="10">
        <v>19</v>
      </c>
      <c r="J422" s="68">
        <f t="shared" si="19"/>
        <v>61.27</v>
      </c>
      <c r="K422" s="68">
        <f t="shared" si="20"/>
        <v>2.83</v>
      </c>
      <c r="L422" s="68"/>
      <c r="M422" s="408"/>
      <c r="N422" s="10"/>
      <c r="O422" s="269"/>
      <c r="P422" s="269"/>
      <c r="Q422" s="10"/>
    </row>
    <row r="423" spans="1:17">
      <c r="A423" s="10">
        <v>910</v>
      </c>
      <c r="B423" s="7">
        <v>414</v>
      </c>
      <c r="C423" s="7">
        <f t="shared" si="18"/>
        <v>910095</v>
      </c>
      <c r="D423" s="7" t="s">
        <v>1168</v>
      </c>
      <c r="E423" s="7">
        <v>95</v>
      </c>
      <c r="F423" s="7" t="s">
        <v>781</v>
      </c>
      <c r="G423" s="269">
        <v>0.13592233009999999</v>
      </c>
      <c r="H423" s="10">
        <v>412</v>
      </c>
      <c r="I423" s="10">
        <v>56</v>
      </c>
      <c r="J423" s="68">
        <f t="shared" si="19"/>
        <v>24.92</v>
      </c>
      <c r="K423" s="68">
        <f t="shared" si="20"/>
        <v>3.39</v>
      </c>
      <c r="L423" s="68"/>
      <c r="M423" s="408"/>
      <c r="N423" s="10"/>
      <c r="O423" s="269"/>
      <c r="P423" s="269"/>
      <c r="Q423" s="10"/>
    </row>
    <row r="424" spans="1:17">
      <c r="A424" s="10">
        <v>910</v>
      </c>
      <c r="B424" s="7">
        <v>415</v>
      </c>
      <c r="C424" s="7">
        <f t="shared" si="18"/>
        <v>910102</v>
      </c>
      <c r="D424" s="7" t="s">
        <v>1168</v>
      </c>
      <c r="E424" s="7">
        <v>102</v>
      </c>
      <c r="F424" s="7" t="s">
        <v>790</v>
      </c>
      <c r="G424" s="269">
        <v>2.427184466E-2</v>
      </c>
      <c r="H424" s="10">
        <v>412</v>
      </c>
      <c r="I424" s="10">
        <v>10</v>
      </c>
      <c r="J424" s="68">
        <f t="shared" si="19"/>
        <v>66.66</v>
      </c>
      <c r="K424" s="68">
        <f t="shared" si="20"/>
        <v>1.62</v>
      </c>
      <c r="L424" s="68"/>
      <c r="M424" s="408"/>
      <c r="N424" s="10"/>
      <c r="O424" s="269"/>
      <c r="P424" s="269"/>
      <c r="Q424" s="10"/>
    </row>
    <row r="425" spans="1:17">
      <c r="A425" s="10">
        <v>910</v>
      </c>
      <c r="B425" s="7">
        <v>416</v>
      </c>
      <c r="C425" s="7">
        <f t="shared" si="18"/>
        <v>910167</v>
      </c>
      <c r="D425" s="7" t="s">
        <v>1168</v>
      </c>
      <c r="E425" s="7">
        <v>167</v>
      </c>
      <c r="F425" s="7" t="s">
        <v>902</v>
      </c>
      <c r="G425" s="269">
        <v>7.2815533999999998E-3</v>
      </c>
      <c r="H425" s="10">
        <v>412</v>
      </c>
      <c r="I425" s="10">
        <v>3</v>
      </c>
      <c r="J425" s="68">
        <f t="shared" si="19"/>
        <v>67.31</v>
      </c>
      <c r="K425" s="68">
        <f t="shared" si="20"/>
        <v>0.49</v>
      </c>
      <c r="L425" s="68"/>
      <c r="M425" s="408"/>
      <c r="N425" s="10"/>
      <c r="O425" s="269"/>
      <c r="P425" s="269"/>
      <c r="Q425" s="10"/>
    </row>
    <row r="426" spans="1:17">
      <c r="A426" s="10">
        <v>910</v>
      </c>
      <c r="B426" s="7">
        <v>417</v>
      </c>
      <c r="C426" s="7">
        <f t="shared" si="18"/>
        <v>910201</v>
      </c>
      <c r="D426" s="7" t="s">
        <v>1168</v>
      </c>
      <c r="E426" s="7">
        <v>201</v>
      </c>
      <c r="F426" s="7" t="s">
        <v>941</v>
      </c>
      <c r="G426" s="269">
        <v>5.0970873790000003E-2</v>
      </c>
      <c r="H426" s="10">
        <v>412</v>
      </c>
      <c r="I426" s="10">
        <v>21</v>
      </c>
      <c r="J426" s="68">
        <f t="shared" si="19"/>
        <v>21.69</v>
      </c>
      <c r="K426" s="68">
        <f t="shared" si="20"/>
        <v>1.1100000000000001</v>
      </c>
      <c r="L426" s="68"/>
      <c r="M426" s="408"/>
      <c r="N426" s="10"/>
      <c r="O426" s="269"/>
      <c r="P426" s="269"/>
      <c r="Q426" s="10"/>
    </row>
    <row r="427" spans="1:17">
      <c r="A427" s="10">
        <v>910</v>
      </c>
      <c r="B427" s="7">
        <v>418</v>
      </c>
      <c r="C427" s="7">
        <f t="shared" si="18"/>
        <v>910212</v>
      </c>
      <c r="D427" s="7" t="s">
        <v>1168</v>
      </c>
      <c r="E427" s="7">
        <v>212</v>
      </c>
      <c r="F427" s="7" t="s">
        <v>958</v>
      </c>
      <c r="G427" s="269">
        <v>2.427184466E-2</v>
      </c>
      <c r="H427" s="10">
        <v>412</v>
      </c>
      <c r="I427" s="10">
        <v>10</v>
      </c>
      <c r="J427" s="68">
        <f t="shared" si="19"/>
        <v>61.53</v>
      </c>
      <c r="K427" s="68">
        <f t="shared" si="20"/>
        <v>1.49</v>
      </c>
      <c r="L427" s="68"/>
      <c r="M427" s="408"/>
      <c r="N427" s="10"/>
      <c r="O427" s="269"/>
      <c r="P427" s="269"/>
      <c r="Q427" s="10"/>
    </row>
    <row r="428" spans="1:17">
      <c r="A428" s="10">
        <v>910</v>
      </c>
      <c r="B428" s="7">
        <v>419</v>
      </c>
      <c r="C428" s="7">
        <f t="shared" si="18"/>
        <v>910218</v>
      </c>
      <c r="D428" s="7" t="s">
        <v>1168</v>
      </c>
      <c r="E428" s="7">
        <v>218</v>
      </c>
      <c r="F428" s="7" t="s">
        <v>965</v>
      </c>
      <c r="G428" s="269">
        <v>3.3980582519999997E-2</v>
      </c>
      <c r="H428" s="10">
        <v>412</v>
      </c>
      <c r="I428" s="10">
        <v>14</v>
      </c>
      <c r="J428" s="68">
        <f t="shared" si="19"/>
        <v>65.430000000000007</v>
      </c>
      <c r="K428" s="68">
        <f t="shared" si="20"/>
        <v>2.2200000000000002</v>
      </c>
      <c r="L428" s="68"/>
      <c r="M428" s="408"/>
      <c r="N428" s="10"/>
      <c r="O428" s="269"/>
      <c r="P428" s="269"/>
      <c r="Q428" s="10"/>
    </row>
    <row r="429" spans="1:17">
      <c r="A429" s="10">
        <v>910</v>
      </c>
      <c r="B429" s="7">
        <v>420</v>
      </c>
      <c r="C429" s="7">
        <f t="shared" si="18"/>
        <v>910245</v>
      </c>
      <c r="D429" s="7" t="s">
        <v>1168</v>
      </c>
      <c r="E429" s="7">
        <v>245</v>
      </c>
      <c r="F429" s="7" t="s">
        <v>1015</v>
      </c>
      <c r="G429" s="269">
        <v>2.184466019E-2</v>
      </c>
      <c r="H429" s="10">
        <v>412</v>
      </c>
      <c r="I429" s="10">
        <v>9</v>
      </c>
      <c r="J429" s="68">
        <f t="shared" si="19"/>
        <v>60.47</v>
      </c>
      <c r="K429" s="68">
        <f t="shared" si="20"/>
        <v>1.32</v>
      </c>
      <c r="L429" s="68"/>
      <c r="M429" s="408"/>
      <c r="N429" s="10"/>
      <c r="O429" s="269"/>
      <c r="P429" s="269"/>
      <c r="Q429" s="10"/>
    </row>
    <row r="430" spans="1:17">
      <c r="A430" s="10">
        <v>910</v>
      </c>
      <c r="B430" s="7">
        <v>421</v>
      </c>
      <c r="C430" s="7">
        <f t="shared" si="18"/>
        <v>910247</v>
      </c>
      <c r="D430" s="7" t="s">
        <v>1168</v>
      </c>
      <c r="E430" s="7">
        <v>247</v>
      </c>
      <c r="F430" s="7" t="s">
        <v>1017</v>
      </c>
      <c r="G430" s="269">
        <v>8.4951456310000006E-2</v>
      </c>
      <c r="H430" s="10">
        <v>412</v>
      </c>
      <c r="I430" s="10">
        <v>35</v>
      </c>
      <c r="J430" s="68">
        <f t="shared" si="19"/>
        <v>75.510000000000005</v>
      </c>
      <c r="K430" s="68">
        <f t="shared" si="20"/>
        <v>6.41</v>
      </c>
      <c r="L430" s="68"/>
      <c r="M430" s="408"/>
      <c r="N430" s="10"/>
      <c r="O430" s="269"/>
      <c r="P430" s="269"/>
      <c r="Q430" s="10"/>
    </row>
    <row r="431" spans="1:17">
      <c r="A431" s="10">
        <v>910</v>
      </c>
      <c r="B431" s="7">
        <v>422</v>
      </c>
      <c r="C431" s="7">
        <f t="shared" si="18"/>
        <v>910265</v>
      </c>
      <c r="D431" s="7" t="s">
        <v>1168</v>
      </c>
      <c r="E431" s="7">
        <v>265</v>
      </c>
      <c r="F431" s="7" t="s">
        <v>1035</v>
      </c>
      <c r="G431" s="269">
        <v>2.427184466E-2</v>
      </c>
      <c r="H431" s="10">
        <v>412</v>
      </c>
      <c r="I431" s="10">
        <v>10</v>
      </c>
      <c r="J431" s="68">
        <f t="shared" si="19"/>
        <v>75.56</v>
      </c>
      <c r="K431" s="68">
        <f t="shared" si="20"/>
        <v>1.83</v>
      </c>
      <c r="L431" s="68"/>
      <c r="M431" s="408"/>
      <c r="N431" s="10"/>
      <c r="O431" s="269"/>
      <c r="P431" s="269"/>
      <c r="Q431" s="10"/>
    </row>
    <row r="432" spans="1:17">
      <c r="A432" s="10">
        <v>910</v>
      </c>
      <c r="B432" s="7">
        <v>423</v>
      </c>
      <c r="C432" s="7">
        <f t="shared" si="18"/>
        <v>910273</v>
      </c>
      <c r="D432" s="7" t="s">
        <v>1168</v>
      </c>
      <c r="E432" s="7">
        <v>273</v>
      </c>
      <c r="F432" s="7" t="s">
        <v>1043</v>
      </c>
      <c r="G432" s="269">
        <v>5.0970873790000003E-2</v>
      </c>
      <c r="H432" s="10">
        <v>412</v>
      </c>
      <c r="I432" s="10">
        <v>21</v>
      </c>
      <c r="J432" s="68">
        <f t="shared" si="19"/>
        <v>55.26</v>
      </c>
      <c r="K432" s="68">
        <f t="shared" si="20"/>
        <v>2.82</v>
      </c>
      <c r="L432" s="68"/>
      <c r="M432" s="408"/>
      <c r="N432" s="10"/>
      <c r="O432" s="269"/>
      <c r="P432" s="269"/>
      <c r="Q432" s="10"/>
    </row>
    <row r="433" spans="1:17">
      <c r="A433" s="10">
        <v>910</v>
      </c>
      <c r="B433" s="7">
        <v>424</v>
      </c>
      <c r="C433" s="7">
        <f t="shared" si="18"/>
        <v>910292</v>
      </c>
      <c r="D433" s="7" t="s">
        <v>1168</v>
      </c>
      <c r="E433" s="7">
        <v>292</v>
      </c>
      <c r="F433" s="7" t="s">
        <v>1069</v>
      </c>
      <c r="G433" s="269">
        <v>5.3398058249999998E-2</v>
      </c>
      <c r="H433" s="10">
        <v>412</v>
      </c>
      <c r="I433" s="10">
        <v>22</v>
      </c>
      <c r="J433" s="68">
        <f t="shared" si="19"/>
        <v>63.73</v>
      </c>
      <c r="K433" s="68">
        <f t="shared" si="20"/>
        <v>3.4</v>
      </c>
      <c r="L433" s="68"/>
      <c r="M433" s="408"/>
      <c r="N433" s="10"/>
      <c r="O433" s="269"/>
      <c r="P433" s="269"/>
      <c r="Q433" s="10"/>
    </row>
    <row r="434" spans="1:17">
      <c r="A434" s="10">
        <v>910</v>
      </c>
      <c r="B434" s="7">
        <v>425</v>
      </c>
      <c r="C434" s="7">
        <f t="shared" si="18"/>
        <v>910293</v>
      </c>
      <c r="D434" s="7" t="s">
        <v>1168</v>
      </c>
      <c r="E434" s="7">
        <v>293</v>
      </c>
      <c r="F434" s="7" t="s">
        <v>1070</v>
      </c>
      <c r="G434" s="269">
        <v>8.7378640780000003E-2</v>
      </c>
      <c r="H434" s="10">
        <v>412</v>
      </c>
      <c r="I434" s="10">
        <v>36</v>
      </c>
      <c r="J434" s="68">
        <f t="shared" si="19"/>
        <v>35.880000000000003</v>
      </c>
      <c r="K434" s="68">
        <f t="shared" si="20"/>
        <v>3.14</v>
      </c>
      <c r="L434" s="68"/>
      <c r="M434" s="408"/>
      <c r="N434" s="10"/>
      <c r="O434" s="269"/>
      <c r="P434" s="269"/>
      <c r="Q434" s="10"/>
    </row>
    <row r="435" spans="1:17">
      <c r="A435" s="10">
        <v>910</v>
      </c>
      <c r="B435" s="7">
        <v>426</v>
      </c>
      <c r="C435" s="7">
        <f t="shared" si="18"/>
        <v>910331</v>
      </c>
      <c r="D435" s="7" t="s">
        <v>1168</v>
      </c>
      <c r="E435" s="7">
        <v>331</v>
      </c>
      <c r="F435" s="7" t="s">
        <v>1109</v>
      </c>
      <c r="G435" s="269">
        <v>8.0097087380000001E-2</v>
      </c>
      <c r="H435" s="10">
        <v>412</v>
      </c>
      <c r="I435" s="10">
        <v>33</v>
      </c>
      <c r="J435" s="68">
        <f t="shared" si="19"/>
        <v>82.5</v>
      </c>
      <c r="K435" s="68">
        <f t="shared" si="20"/>
        <v>6.61</v>
      </c>
      <c r="L435" s="68"/>
      <c r="M435" s="408"/>
      <c r="N435" s="10"/>
      <c r="O435" s="269"/>
      <c r="P435" s="269"/>
      <c r="Q435" s="10"/>
    </row>
    <row r="436" spans="1:17">
      <c r="A436" s="10">
        <v>915</v>
      </c>
      <c r="B436" s="7">
        <v>427</v>
      </c>
      <c r="C436" s="7">
        <f t="shared" si="18"/>
        <v>915018</v>
      </c>
      <c r="D436" s="7" t="s">
        <v>24</v>
      </c>
      <c r="E436" s="7">
        <v>18</v>
      </c>
      <c r="F436" s="7" t="s">
        <v>22</v>
      </c>
      <c r="G436" s="269">
        <v>7.1684587800000003E-3</v>
      </c>
      <c r="H436" s="10">
        <v>279</v>
      </c>
      <c r="I436" s="10">
        <v>2</v>
      </c>
      <c r="J436" s="68">
        <f t="shared" si="19"/>
        <v>74.75</v>
      </c>
      <c r="K436" s="68">
        <f t="shared" si="20"/>
        <v>0.54</v>
      </c>
      <c r="L436" s="68"/>
      <c r="M436" s="408"/>
      <c r="N436" s="10"/>
      <c r="O436" s="269"/>
      <c r="P436" s="269"/>
      <c r="Q436" s="10"/>
    </row>
    <row r="437" spans="1:17">
      <c r="A437" s="10">
        <v>915</v>
      </c>
      <c r="B437" s="7">
        <v>428</v>
      </c>
      <c r="C437" s="7">
        <f t="shared" si="18"/>
        <v>915025</v>
      </c>
      <c r="D437" s="7" t="s">
        <v>24</v>
      </c>
      <c r="E437" s="7">
        <v>25</v>
      </c>
      <c r="F437" s="7" t="s">
        <v>36</v>
      </c>
      <c r="G437" s="269">
        <v>3.9426523300000002E-2</v>
      </c>
      <c r="H437" s="10">
        <v>279</v>
      </c>
      <c r="I437" s="10">
        <v>11</v>
      </c>
      <c r="J437" s="68">
        <f t="shared" si="19"/>
        <v>66.55</v>
      </c>
      <c r="K437" s="68">
        <f t="shared" si="20"/>
        <v>2.62</v>
      </c>
      <c r="L437" s="68"/>
      <c r="M437" s="408"/>
      <c r="N437" s="10"/>
      <c r="O437" s="269"/>
      <c r="P437" s="269"/>
      <c r="Q437" s="10"/>
    </row>
    <row r="438" spans="1:17">
      <c r="A438" s="10">
        <v>915</v>
      </c>
      <c r="B438" s="7">
        <v>429</v>
      </c>
      <c r="C438" s="7">
        <f t="shared" si="18"/>
        <v>915040</v>
      </c>
      <c r="D438" s="7" t="s">
        <v>24</v>
      </c>
      <c r="E438" s="7">
        <v>40</v>
      </c>
      <c r="F438" s="7" t="s">
        <v>694</v>
      </c>
      <c r="G438" s="269">
        <v>3.9426523300000002E-2</v>
      </c>
      <c r="H438" s="10">
        <v>279</v>
      </c>
      <c r="I438" s="10">
        <v>11</v>
      </c>
      <c r="J438" s="68">
        <f t="shared" si="19"/>
        <v>70.36</v>
      </c>
      <c r="K438" s="68">
        <f t="shared" si="20"/>
        <v>2.77</v>
      </c>
      <c r="L438" s="68"/>
      <c r="M438" s="408"/>
      <c r="N438" s="10"/>
      <c r="O438" s="269"/>
      <c r="P438" s="269"/>
      <c r="Q438" s="10"/>
    </row>
    <row r="439" spans="1:17">
      <c r="A439" s="10">
        <v>915</v>
      </c>
      <c r="B439" s="7">
        <v>430</v>
      </c>
      <c r="C439" s="7">
        <f t="shared" si="18"/>
        <v>915046</v>
      </c>
      <c r="D439" s="7" t="s">
        <v>24</v>
      </c>
      <c r="E439" s="7">
        <v>46</v>
      </c>
      <c r="F439" s="7" t="s">
        <v>704</v>
      </c>
      <c r="G439" s="269">
        <v>0</v>
      </c>
      <c r="H439" s="10">
        <v>279</v>
      </c>
      <c r="I439" s="10">
        <v>0</v>
      </c>
      <c r="J439" s="68">
        <f t="shared" si="19"/>
        <v>82.5</v>
      </c>
      <c r="K439" s="68">
        <f t="shared" si="20"/>
        <v>0</v>
      </c>
      <c r="L439" s="68"/>
      <c r="M439" s="408"/>
      <c r="N439" s="10"/>
      <c r="O439" s="269"/>
      <c r="P439" s="269"/>
      <c r="Q439" s="10"/>
    </row>
    <row r="440" spans="1:17">
      <c r="A440" s="10">
        <v>915</v>
      </c>
      <c r="B440" s="7">
        <v>431</v>
      </c>
      <c r="C440" s="7">
        <f t="shared" si="18"/>
        <v>915050</v>
      </c>
      <c r="D440" s="7" t="s">
        <v>24</v>
      </c>
      <c r="E440" s="7">
        <v>50</v>
      </c>
      <c r="F440" s="7" t="s">
        <v>708</v>
      </c>
      <c r="G440" s="269">
        <v>2.5089605729999999E-2</v>
      </c>
      <c r="H440" s="10">
        <v>279</v>
      </c>
      <c r="I440" s="10">
        <v>7</v>
      </c>
      <c r="J440" s="68">
        <f t="shared" si="19"/>
        <v>82.5</v>
      </c>
      <c r="K440" s="68">
        <f t="shared" si="20"/>
        <v>2.0699999999999998</v>
      </c>
      <c r="L440" s="68"/>
      <c r="M440" s="408"/>
      <c r="N440" s="10"/>
      <c r="O440" s="269"/>
      <c r="P440" s="269"/>
      <c r="Q440" s="10"/>
    </row>
    <row r="441" spans="1:17">
      <c r="A441" s="10">
        <v>915</v>
      </c>
      <c r="B441" s="7">
        <v>432</v>
      </c>
      <c r="C441" s="7">
        <f t="shared" si="18"/>
        <v>915065</v>
      </c>
      <c r="D441" s="7" t="s">
        <v>24</v>
      </c>
      <c r="E441" s="7">
        <v>65</v>
      </c>
      <c r="F441" s="7" t="s">
        <v>736</v>
      </c>
      <c r="G441" s="269">
        <v>3.5842293900000002E-3</v>
      </c>
      <c r="H441" s="10">
        <v>279</v>
      </c>
      <c r="I441" s="10">
        <v>1</v>
      </c>
      <c r="J441" s="68">
        <f t="shared" si="19"/>
        <v>82.5</v>
      </c>
      <c r="K441" s="68">
        <f t="shared" si="20"/>
        <v>0.3</v>
      </c>
      <c r="L441" s="68"/>
      <c r="M441" s="408"/>
      <c r="N441" s="10"/>
      <c r="O441" s="269"/>
      <c r="P441" s="269"/>
      <c r="Q441" s="10"/>
    </row>
    <row r="442" spans="1:17">
      <c r="A442" s="10">
        <v>915</v>
      </c>
      <c r="B442" s="7">
        <v>433</v>
      </c>
      <c r="C442" s="7">
        <f t="shared" si="18"/>
        <v>915073</v>
      </c>
      <c r="D442" s="7" t="s">
        <v>24</v>
      </c>
      <c r="E442" s="7">
        <v>73</v>
      </c>
      <c r="F442" s="7" t="s">
        <v>746</v>
      </c>
      <c r="G442" s="269">
        <v>9.6774193549999998E-2</v>
      </c>
      <c r="H442" s="10">
        <v>279</v>
      </c>
      <c r="I442" s="10">
        <v>27</v>
      </c>
      <c r="J442" s="68">
        <f t="shared" si="19"/>
        <v>82.5</v>
      </c>
      <c r="K442" s="68">
        <f t="shared" si="20"/>
        <v>7.98</v>
      </c>
      <c r="L442" s="68"/>
      <c r="M442" s="408"/>
      <c r="N442" s="10"/>
      <c r="O442" s="269"/>
      <c r="P442" s="269"/>
      <c r="Q442" s="10"/>
    </row>
    <row r="443" spans="1:17">
      <c r="A443" s="10">
        <v>915</v>
      </c>
      <c r="B443" s="7">
        <v>434</v>
      </c>
      <c r="C443" s="7">
        <f t="shared" si="18"/>
        <v>915078</v>
      </c>
      <c r="D443" s="7" t="s">
        <v>24</v>
      </c>
      <c r="E443" s="7">
        <v>78</v>
      </c>
      <c r="F443" s="7" t="s">
        <v>757</v>
      </c>
      <c r="G443" s="269">
        <v>7.1684587800000003E-3</v>
      </c>
      <c r="H443" s="10">
        <v>279</v>
      </c>
      <c r="I443" s="10">
        <v>2</v>
      </c>
      <c r="J443" s="68">
        <f t="shared" si="19"/>
        <v>82.5</v>
      </c>
      <c r="K443" s="68">
        <f t="shared" si="20"/>
        <v>0.59</v>
      </c>
      <c r="L443" s="68"/>
      <c r="M443" s="408"/>
      <c r="N443" s="10"/>
      <c r="O443" s="269"/>
      <c r="P443" s="269"/>
      <c r="Q443" s="10"/>
    </row>
    <row r="444" spans="1:17">
      <c r="A444" s="10">
        <v>915</v>
      </c>
      <c r="B444" s="7">
        <v>435</v>
      </c>
      <c r="C444" s="7">
        <f t="shared" si="18"/>
        <v>915099</v>
      </c>
      <c r="D444" s="7" t="s">
        <v>24</v>
      </c>
      <c r="E444" s="7">
        <v>99</v>
      </c>
      <c r="F444" s="7" t="s">
        <v>786</v>
      </c>
      <c r="G444" s="269">
        <v>5.7347670250000003E-2</v>
      </c>
      <c r="H444" s="10">
        <v>279</v>
      </c>
      <c r="I444" s="10">
        <v>16</v>
      </c>
      <c r="J444" s="68">
        <f t="shared" si="19"/>
        <v>82.5</v>
      </c>
      <c r="K444" s="68">
        <f t="shared" si="20"/>
        <v>4.7300000000000004</v>
      </c>
      <c r="L444" s="68"/>
      <c r="M444" s="408"/>
      <c r="N444" s="10"/>
      <c r="O444" s="269"/>
      <c r="P444" s="269"/>
      <c r="Q444" s="10"/>
    </row>
    <row r="445" spans="1:17">
      <c r="A445" s="10">
        <v>915</v>
      </c>
      <c r="B445" s="7">
        <v>436</v>
      </c>
      <c r="C445" s="7">
        <f t="shared" si="18"/>
        <v>915101</v>
      </c>
      <c r="D445" s="7" t="s">
        <v>24</v>
      </c>
      <c r="E445" s="7">
        <v>101</v>
      </c>
      <c r="F445" s="7" t="s">
        <v>788</v>
      </c>
      <c r="G445" s="269">
        <v>4.3010752690000001E-2</v>
      </c>
      <c r="H445" s="10">
        <v>279</v>
      </c>
      <c r="I445" s="10">
        <v>12</v>
      </c>
      <c r="J445" s="68">
        <f t="shared" si="19"/>
        <v>65.36</v>
      </c>
      <c r="K445" s="68">
        <f t="shared" si="20"/>
        <v>2.81</v>
      </c>
      <c r="L445" s="68"/>
      <c r="M445" s="408"/>
      <c r="N445" s="10"/>
      <c r="O445" s="269"/>
      <c r="P445" s="269"/>
      <c r="Q445" s="10"/>
    </row>
    <row r="446" spans="1:17">
      <c r="A446" s="10">
        <v>915</v>
      </c>
      <c r="B446" s="7">
        <v>437</v>
      </c>
      <c r="C446" s="7">
        <f t="shared" si="18"/>
        <v>915133</v>
      </c>
      <c r="D446" s="7" t="s">
        <v>24</v>
      </c>
      <c r="E446" s="7">
        <v>133</v>
      </c>
      <c r="F446" s="7" t="s">
        <v>829</v>
      </c>
      <c r="G446" s="269">
        <v>5.0179211469999999E-2</v>
      </c>
      <c r="H446" s="10">
        <v>279</v>
      </c>
      <c r="I446" s="10">
        <v>14</v>
      </c>
      <c r="J446" s="68">
        <f t="shared" si="19"/>
        <v>56.37</v>
      </c>
      <c r="K446" s="68">
        <f t="shared" si="20"/>
        <v>2.83</v>
      </c>
      <c r="L446" s="68"/>
      <c r="M446" s="408"/>
      <c r="N446" s="10"/>
      <c r="O446" s="269"/>
      <c r="P446" s="269"/>
      <c r="Q446" s="10"/>
    </row>
    <row r="447" spans="1:17">
      <c r="A447" s="10">
        <v>915</v>
      </c>
      <c r="B447" s="7">
        <v>438</v>
      </c>
      <c r="C447" s="7">
        <f t="shared" si="18"/>
        <v>915175</v>
      </c>
      <c r="D447" s="7" t="s">
        <v>24</v>
      </c>
      <c r="E447" s="7">
        <v>175</v>
      </c>
      <c r="F447" s="7" t="s">
        <v>911</v>
      </c>
      <c r="G447" s="269">
        <v>3.5842293900000002E-3</v>
      </c>
      <c r="H447" s="10">
        <v>279</v>
      </c>
      <c r="I447" s="10">
        <v>1</v>
      </c>
      <c r="J447" s="68">
        <f t="shared" si="19"/>
        <v>82.5</v>
      </c>
      <c r="K447" s="68">
        <f t="shared" si="20"/>
        <v>0.3</v>
      </c>
      <c r="L447" s="68"/>
      <c r="M447" s="408"/>
      <c r="N447" s="10"/>
      <c r="O447" s="269"/>
      <c r="P447" s="269"/>
      <c r="Q447" s="10"/>
    </row>
    <row r="448" spans="1:17">
      <c r="A448" s="10">
        <v>915</v>
      </c>
      <c r="B448" s="7">
        <v>439</v>
      </c>
      <c r="C448" s="7">
        <f t="shared" si="18"/>
        <v>915177</v>
      </c>
      <c r="D448" s="7" t="s">
        <v>24</v>
      </c>
      <c r="E448" s="7">
        <v>177</v>
      </c>
      <c r="F448" s="7" t="s">
        <v>915</v>
      </c>
      <c r="G448" s="269">
        <v>2.5089605729999999E-2</v>
      </c>
      <c r="H448" s="10">
        <v>279</v>
      </c>
      <c r="I448" s="10">
        <v>7</v>
      </c>
      <c r="J448" s="68">
        <f t="shared" si="19"/>
        <v>67.83</v>
      </c>
      <c r="K448" s="68">
        <f t="shared" si="20"/>
        <v>1.7</v>
      </c>
      <c r="L448" s="68"/>
      <c r="M448" s="408"/>
      <c r="N448" s="10"/>
      <c r="O448" s="269"/>
      <c r="P448" s="269"/>
      <c r="Q448" s="10"/>
    </row>
    <row r="449" spans="1:17">
      <c r="A449" s="10">
        <v>915</v>
      </c>
      <c r="B449" s="7">
        <v>440</v>
      </c>
      <c r="C449" s="7">
        <f t="shared" si="18"/>
        <v>915187</v>
      </c>
      <c r="D449" s="7" t="s">
        <v>24</v>
      </c>
      <c r="E449" s="7">
        <v>187</v>
      </c>
      <c r="F449" s="7" t="s">
        <v>926</v>
      </c>
      <c r="G449" s="269">
        <v>7.1684587800000003E-3</v>
      </c>
      <c r="H449" s="10">
        <v>279</v>
      </c>
      <c r="I449" s="10">
        <v>2</v>
      </c>
      <c r="J449" s="68">
        <f t="shared" si="19"/>
        <v>71.41</v>
      </c>
      <c r="K449" s="68">
        <f t="shared" si="20"/>
        <v>0.51</v>
      </c>
      <c r="L449" s="68"/>
      <c r="M449" s="408"/>
      <c r="N449" s="10"/>
      <c r="O449" s="269"/>
      <c r="P449" s="269"/>
      <c r="Q449" s="10"/>
    </row>
    <row r="450" spans="1:17">
      <c r="A450" s="10">
        <v>915</v>
      </c>
      <c r="B450" s="7">
        <v>441</v>
      </c>
      <c r="C450" s="7">
        <f t="shared" si="18"/>
        <v>915189</v>
      </c>
      <c r="D450" s="7" t="s">
        <v>24</v>
      </c>
      <c r="E450" s="7">
        <v>189</v>
      </c>
      <c r="F450" s="7" t="s">
        <v>928</v>
      </c>
      <c r="G450" s="269">
        <v>2.150537634E-2</v>
      </c>
      <c r="H450" s="10">
        <v>279</v>
      </c>
      <c r="I450" s="10">
        <v>6</v>
      </c>
      <c r="J450" s="68">
        <f t="shared" si="19"/>
        <v>82.5</v>
      </c>
      <c r="K450" s="68">
        <f t="shared" si="20"/>
        <v>1.77</v>
      </c>
      <c r="L450" s="68"/>
      <c r="M450" s="408"/>
      <c r="N450" s="10"/>
      <c r="O450" s="269"/>
      <c r="P450" s="269"/>
      <c r="Q450" s="10"/>
    </row>
    <row r="451" spans="1:17">
      <c r="A451" s="10">
        <v>915</v>
      </c>
      <c r="B451" s="7">
        <v>442</v>
      </c>
      <c r="C451" s="7">
        <f t="shared" ref="C451:C463" si="21">A451*1000+E451</f>
        <v>915199</v>
      </c>
      <c r="D451" s="7" t="s">
        <v>24</v>
      </c>
      <c r="E451" s="7">
        <v>199</v>
      </c>
      <c r="F451" s="7" t="s">
        <v>939</v>
      </c>
      <c r="G451" s="269">
        <v>1.7921146950000001E-2</v>
      </c>
      <c r="H451" s="10">
        <v>279</v>
      </c>
      <c r="I451" s="10">
        <v>5</v>
      </c>
      <c r="J451" s="68">
        <f t="shared" ref="J451:J463" si="22">ROUND(VLOOKUP(E451,town351,11),2)</f>
        <v>82.5</v>
      </c>
      <c r="K451" s="68">
        <f t="shared" si="20"/>
        <v>1.48</v>
      </c>
      <c r="L451" s="68"/>
      <c r="M451" s="408"/>
      <c r="N451" s="10"/>
      <c r="O451" s="269"/>
      <c r="P451" s="269"/>
      <c r="Q451" s="10"/>
    </row>
    <row r="452" spans="1:17">
      <c r="A452" s="10">
        <v>915</v>
      </c>
      <c r="B452" s="7">
        <v>443</v>
      </c>
      <c r="C452" s="7">
        <f t="shared" si="21"/>
        <v>915208</v>
      </c>
      <c r="D452" s="7" t="s">
        <v>24</v>
      </c>
      <c r="E452" s="7">
        <v>208</v>
      </c>
      <c r="F452" s="7" t="s">
        <v>951</v>
      </c>
      <c r="G452" s="269">
        <v>3.2258064519999997E-2</v>
      </c>
      <c r="H452" s="10">
        <v>279</v>
      </c>
      <c r="I452" s="10">
        <v>9</v>
      </c>
      <c r="J452" s="68">
        <f t="shared" si="22"/>
        <v>82.5</v>
      </c>
      <c r="K452" s="68">
        <f t="shared" ref="K452:K463" si="23">ROUND(G452*J452,2)</f>
        <v>2.66</v>
      </c>
      <c r="L452" s="68"/>
      <c r="M452" s="408"/>
      <c r="N452" s="10"/>
      <c r="O452" s="269"/>
      <c r="P452" s="269"/>
      <c r="Q452" s="10"/>
    </row>
    <row r="453" spans="1:17">
      <c r="A453" s="10">
        <v>915</v>
      </c>
      <c r="B453" s="7">
        <v>444</v>
      </c>
      <c r="C453" s="7">
        <f t="shared" si="21"/>
        <v>915220</v>
      </c>
      <c r="D453" s="7" t="s">
        <v>24</v>
      </c>
      <c r="E453" s="7">
        <v>220</v>
      </c>
      <c r="F453" s="7" t="s">
        <v>968</v>
      </c>
      <c r="G453" s="269">
        <v>3.9426523300000002E-2</v>
      </c>
      <c r="H453" s="10">
        <v>279</v>
      </c>
      <c r="I453" s="10">
        <v>11</v>
      </c>
      <c r="J453" s="68">
        <f t="shared" si="22"/>
        <v>82.5</v>
      </c>
      <c r="K453" s="68">
        <f t="shared" si="23"/>
        <v>3.25</v>
      </c>
      <c r="L453" s="68"/>
      <c r="M453" s="408"/>
      <c r="N453" s="10"/>
      <c r="O453" s="269"/>
      <c r="P453" s="269"/>
      <c r="Q453" s="10"/>
    </row>
    <row r="454" spans="1:17">
      <c r="A454" s="10">
        <v>915</v>
      </c>
      <c r="B454" s="7">
        <v>445</v>
      </c>
      <c r="C454" s="7">
        <f t="shared" si="21"/>
        <v>915238</v>
      </c>
      <c r="D454" s="7" t="s">
        <v>24</v>
      </c>
      <c r="E454" s="7">
        <v>238</v>
      </c>
      <c r="F454" s="7" t="s">
        <v>1008</v>
      </c>
      <c r="G454" s="269">
        <v>2.5089605729999999E-2</v>
      </c>
      <c r="H454" s="10">
        <v>279</v>
      </c>
      <c r="I454" s="10">
        <v>7</v>
      </c>
      <c r="J454" s="68">
        <f t="shared" si="22"/>
        <v>70.89</v>
      </c>
      <c r="K454" s="68">
        <f t="shared" si="23"/>
        <v>1.78</v>
      </c>
      <c r="L454" s="68"/>
      <c r="M454" s="408"/>
      <c r="N454" s="10"/>
      <c r="O454" s="269"/>
      <c r="P454" s="269"/>
      <c r="Q454" s="10"/>
    </row>
    <row r="455" spans="1:17">
      <c r="A455" s="10">
        <v>915</v>
      </c>
      <c r="B455" s="7">
        <v>446</v>
      </c>
      <c r="C455" s="7">
        <f t="shared" si="21"/>
        <v>915243</v>
      </c>
      <c r="D455" s="7" t="s">
        <v>24</v>
      </c>
      <c r="E455" s="7">
        <v>243</v>
      </c>
      <c r="F455" s="7" t="s">
        <v>1013</v>
      </c>
      <c r="G455" s="269">
        <v>7.8853046590000003E-2</v>
      </c>
      <c r="H455" s="10">
        <v>279</v>
      </c>
      <c r="I455" s="10">
        <v>22</v>
      </c>
      <c r="J455" s="68">
        <f t="shared" si="22"/>
        <v>77.44</v>
      </c>
      <c r="K455" s="68">
        <f t="shared" si="23"/>
        <v>6.11</v>
      </c>
      <c r="L455" s="68"/>
      <c r="M455" s="408"/>
      <c r="N455" s="10"/>
      <c r="O455" s="269"/>
      <c r="P455" s="269"/>
      <c r="Q455" s="10"/>
    </row>
    <row r="456" spans="1:17">
      <c r="A456" s="10">
        <v>915</v>
      </c>
      <c r="B456" s="7">
        <v>447</v>
      </c>
      <c r="C456" s="7">
        <f t="shared" si="21"/>
        <v>915244</v>
      </c>
      <c r="D456" s="7" t="s">
        <v>24</v>
      </c>
      <c r="E456" s="7">
        <v>244</v>
      </c>
      <c r="F456" s="7" t="s">
        <v>1014</v>
      </c>
      <c r="G456" s="269">
        <v>4.659498208E-2</v>
      </c>
      <c r="H456" s="10">
        <v>279</v>
      </c>
      <c r="I456" s="10">
        <v>13</v>
      </c>
      <c r="J456" s="68">
        <f t="shared" si="22"/>
        <v>55.96</v>
      </c>
      <c r="K456" s="68">
        <f t="shared" si="23"/>
        <v>2.61</v>
      </c>
      <c r="L456" s="68"/>
      <c r="M456" s="408"/>
      <c r="N456" s="10"/>
      <c r="O456" s="269"/>
      <c r="P456" s="269"/>
      <c r="Q456" s="10"/>
    </row>
    <row r="457" spans="1:17">
      <c r="A457" s="10">
        <v>915</v>
      </c>
      <c r="B457" s="7">
        <v>448</v>
      </c>
      <c r="C457" s="7">
        <f t="shared" si="21"/>
        <v>915266</v>
      </c>
      <c r="D457" s="7" t="s">
        <v>24</v>
      </c>
      <c r="E457" s="7">
        <v>266</v>
      </c>
      <c r="F457" s="7" t="s">
        <v>1036</v>
      </c>
      <c r="G457" s="269">
        <v>1.075268817E-2</v>
      </c>
      <c r="H457" s="10">
        <v>279</v>
      </c>
      <c r="I457" s="10">
        <v>3</v>
      </c>
      <c r="J457" s="68">
        <f t="shared" si="22"/>
        <v>82.5</v>
      </c>
      <c r="K457" s="68">
        <f t="shared" si="23"/>
        <v>0.89</v>
      </c>
      <c r="L457" s="68"/>
      <c r="M457" s="408"/>
      <c r="N457" s="10"/>
      <c r="O457" s="269"/>
      <c r="P457" s="269"/>
      <c r="Q457" s="10"/>
    </row>
    <row r="458" spans="1:17">
      <c r="A458" s="10">
        <v>915</v>
      </c>
      <c r="B458" s="7">
        <v>449</v>
      </c>
      <c r="C458" s="7">
        <f t="shared" si="21"/>
        <v>915285</v>
      </c>
      <c r="D458" s="7" t="s">
        <v>24</v>
      </c>
      <c r="E458" s="7">
        <v>285</v>
      </c>
      <c r="F458" s="7" t="s">
        <v>1062</v>
      </c>
      <c r="G458" s="269">
        <v>6.8100358420000007E-2</v>
      </c>
      <c r="H458" s="10">
        <v>279</v>
      </c>
      <c r="I458" s="10">
        <v>19</v>
      </c>
      <c r="J458" s="68">
        <f t="shared" si="22"/>
        <v>61.65</v>
      </c>
      <c r="K458" s="68">
        <f t="shared" si="23"/>
        <v>4.2</v>
      </c>
      <c r="L458" s="68"/>
      <c r="M458" s="408"/>
      <c r="N458" s="10"/>
      <c r="O458" s="269"/>
      <c r="P458" s="269"/>
      <c r="Q458" s="10"/>
    </row>
    <row r="459" spans="1:17">
      <c r="A459" s="10">
        <v>915</v>
      </c>
      <c r="B459" s="7">
        <v>450</v>
      </c>
      <c r="C459" s="7">
        <f t="shared" si="21"/>
        <v>915307</v>
      </c>
      <c r="D459" s="7" t="s">
        <v>24</v>
      </c>
      <c r="E459" s="7">
        <v>307</v>
      </c>
      <c r="F459" s="7" t="s">
        <v>1084</v>
      </c>
      <c r="G459" s="269">
        <v>7.8853046590000003E-2</v>
      </c>
      <c r="H459" s="10">
        <v>279</v>
      </c>
      <c r="I459" s="10">
        <v>22</v>
      </c>
      <c r="J459" s="68">
        <f t="shared" si="22"/>
        <v>82.5</v>
      </c>
      <c r="K459" s="68">
        <f t="shared" si="23"/>
        <v>6.51</v>
      </c>
      <c r="L459" s="68"/>
      <c r="M459" s="408"/>
      <c r="N459" s="10"/>
      <c r="O459" s="269"/>
      <c r="P459" s="269"/>
      <c r="Q459" s="10"/>
    </row>
    <row r="460" spans="1:17">
      <c r="A460" s="10">
        <v>915</v>
      </c>
      <c r="B460" s="7">
        <v>451</v>
      </c>
      <c r="C460" s="7">
        <f t="shared" si="21"/>
        <v>915317</v>
      </c>
      <c r="D460" s="7" t="s">
        <v>24</v>
      </c>
      <c r="E460" s="7">
        <v>317</v>
      </c>
      <c r="F460" s="7" t="s">
        <v>477</v>
      </c>
      <c r="G460" s="269">
        <v>1.4336917560000001E-2</v>
      </c>
      <c r="H460" s="10">
        <v>279</v>
      </c>
      <c r="I460" s="10">
        <v>4</v>
      </c>
      <c r="J460" s="68">
        <f t="shared" si="22"/>
        <v>82.5</v>
      </c>
      <c r="K460" s="68">
        <f t="shared" si="23"/>
        <v>1.18</v>
      </c>
      <c r="M460" s="408"/>
      <c r="N460" s="10"/>
      <c r="O460" s="269"/>
      <c r="P460" s="269"/>
      <c r="Q460" s="10"/>
    </row>
    <row r="461" spans="1:17">
      <c r="A461" s="10">
        <v>915</v>
      </c>
      <c r="B461" s="7">
        <v>452</v>
      </c>
      <c r="C461" s="7">
        <f t="shared" si="21"/>
        <v>915335</v>
      </c>
      <c r="D461" s="7" t="s">
        <v>24</v>
      </c>
      <c r="E461" s="7">
        <v>335</v>
      </c>
      <c r="F461" s="7" t="s">
        <v>1113</v>
      </c>
      <c r="G461" s="269">
        <v>1.4336917560000001E-2</v>
      </c>
      <c r="H461" s="10">
        <v>279</v>
      </c>
      <c r="I461" s="10">
        <v>4</v>
      </c>
      <c r="J461" s="68">
        <f t="shared" si="22"/>
        <v>82.5</v>
      </c>
      <c r="K461" s="68">
        <f t="shared" si="23"/>
        <v>1.18</v>
      </c>
      <c r="M461" s="408"/>
      <c r="N461" s="10"/>
      <c r="O461" s="269"/>
      <c r="P461" s="269"/>
      <c r="Q461" s="10"/>
    </row>
    <row r="462" spans="1:17">
      <c r="A462" s="10">
        <v>915</v>
      </c>
      <c r="B462" s="7">
        <v>453</v>
      </c>
      <c r="C462" s="7">
        <f t="shared" si="21"/>
        <v>915336</v>
      </c>
      <c r="D462" s="7" t="s">
        <v>24</v>
      </c>
      <c r="E462" s="7">
        <v>336</v>
      </c>
      <c r="F462" s="7" t="s">
        <v>1114</v>
      </c>
      <c r="G462" s="269">
        <v>0.11469534050000001</v>
      </c>
      <c r="H462" s="10">
        <v>279</v>
      </c>
      <c r="I462" s="10">
        <v>32</v>
      </c>
      <c r="J462" s="68">
        <f t="shared" si="22"/>
        <v>72.48</v>
      </c>
      <c r="K462" s="68">
        <f t="shared" si="23"/>
        <v>8.31</v>
      </c>
      <c r="M462" s="408"/>
      <c r="N462" s="10"/>
      <c r="O462" s="269"/>
      <c r="P462" s="269"/>
      <c r="Q462" s="10"/>
    </row>
    <row r="463" spans="1:17">
      <c r="A463" s="10">
        <v>915</v>
      </c>
      <c r="B463" s="7">
        <v>454</v>
      </c>
      <c r="C463" s="7">
        <f t="shared" si="21"/>
        <v>915350</v>
      </c>
      <c r="D463" s="7" t="s">
        <v>24</v>
      </c>
      <c r="E463" s="7">
        <v>350</v>
      </c>
      <c r="F463" s="7" t="s">
        <v>1128</v>
      </c>
      <c r="G463" s="269">
        <v>3.2258064519999997E-2</v>
      </c>
      <c r="H463" s="10">
        <v>279</v>
      </c>
      <c r="I463" s="10">
        <v>9</v>
      </c>
      <c r="J463" s="68">
        <f t="shared" si="22"/>
        <v>82.5</v>
      </c>
      <c r="K463" s="68">
        <f t="shared" si="23"/>
        <v>2.66</v>
      </c>
      <c r="M463" s="408"/>
      <c r="N463" s="10"/>
      <c r="O463" s="269"/>
      <c r="P463" s="269"/>
      <c r="Q463" s="10"/>
    </row>
    <row r="464" spans="1:17">
      <c r="A464" s="10"/>
      <c r="G464" s="7"/>
      <c r="H464" s="7"/>
      <c r="I464" s="7"/>
      <c r="K464" s="68"/>
    </row>
    <row r="465" spans="7:9">
      <c r="G465" s="7"/>
      <c r="H465" s="7"/>
      <c r="I465" s="7"/>
    </row>
  </sheetData>
  <autoFilter ref="B9:K464"/>
  <mergeCells count="2">
    <mergeCell ref="G1:K1"/>
    <mergeCell ref="G2:K2"/>
  </mergeCells>
  <phoneticPr fontId="0" type="noConversion"/>
  <pageMargins left="0.75" right="0.75" top="1" bottom="1" header="0.5" footer="0.5"/>
  <pageSetup orientation="portrait" r:id="rId1"/>
  <headerFooter alignWithMargins="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theme="9" tint="0.39997558519241921"/>
  </sheetPr>
  <dimension ref="A1:AQ526"/>
  <sheetViews>
    <sheetView zoomScaleNormal="100" workbookViewId="0">
      <pane xSplit="2" ySplit="9" topLeftCell="C10" activePane="bottomRight" state="frozen"/>
      <selection activeCell="K108" sqref="K108"/>
      <selection pane="topRight" activeCell="K108" sqref="K108"/>
      <selection pane="bottomLeft" activeCell="K108" sqref="K108"/>
      <selection pane="bottomRight" activeCell="AL9" sqref="AL9"/>
    </sheetView>
  </sheetViews>
  <sheetFormatPr defaultColWidth="9" defaultRowHeight="12.75"/>
  <cols>
    <col min="1" max="1" width="5.625" style="7" customWidth="1"/>
    <col min="2" max="3" width="15" style="7" customWidth="1"/>
    <col min="4" max="15" width="12.375" style="7" hidden="1" customWidth="1"/>
    <col min="16" max="16" width="17.75" style="7" hidden="1" customWidth="1"/>
    <col min="17" max="18" width="12.375" style="7" hidden="1" customWidth="1"/>
    <col min="19" max="19" width="17.75" style="7" hidden="1" customWidth="1"/>
    <col min="20" max="20" width="10.875" style="7" hidden="1" customWidth="1"/>
    <col min="21" max="21" width="12.375" style="7" hidden="1" customWidth="1"/>
    <col min="22" max="22" width="18.5" style="7" hidden="1" customWidth="1"/>
    <col min="23" max="23" width="21.625" style="49" hidden="1" customWidth="1"/>
    <col min="24" max="24" width="20" style="49" hidden="1" customWidth="1"/>
    <col min="25" max="25" width="20" style="7" hidden="1" customWidth="1"/>
    <col min="26" max="37" width="12.375" style="7" hidden="1" customWidth="1"/>
    <col min="38" max="38" width="13.5" style="7" bestFit="1" customWidth="1"/>
    <col min="39" max="40" width="12.375" style="7" bestFit="1" customWidth="1"/>
    <col min="41" max="41" width="13.5" style="7" bestFit="1" customWidth="1"/>
    <col min="42" max="43" width="12.375" style="7" bestFit="1" customWidth="1"/>
    <col min="44" max="16384" width="9" style="7"/>
  </cols>
  <sheetData>
    <row r="1" spans="1:43" s="94" customFormat="1" ht="60.75" customHeight="1">
      <c r="C1" s="94" t="s">
        <v>2248</v>
      </c>
      <c r="D1" s="94" t="s">
        <v>865</v>
      </c>
      <c r="E1" s="94" t="s">
        <v>866</v>
      </c>
      <c r="F1" s="94" t="s">
        <v>865</v>
      </c>
      <c r="G1" s="94" t="s">
        <v>865</v>
      </c>
      <c r="H1" s="94" t="s">
        <v>865</v>
      </c>
      <c r="I1" s="94" t="s">
        <v>865</v>
      </c>
      <c r="M1" s="94" t="s">
        <v>51</v>
      </c>
      <c r="N1" s="94" t="s">
        <v>51</v>
      </c>
      <c r="O1" s="94" t="s">
        <v>869</v>
      </c>
      <c r="Q1" s="94" t="s">
        <v>775</v>
      </c>
      <c r="S1" s="94" t="s">
        <v>989</v>
      </c>
      <c r="U1" s="94" t="s">
        <v>349</v>
      </c>
      <c r="V1" s="94" t="s">
        <v>747</v>
      </c>
      <c r="W1" s="95" t="s">
        <v>748</v>
      </c>
      <c r="X1" s="95" t="s">
        <v>749</v>
      </c>
      <c r="Y1" s="95" t="s">
        <v>750</v>
      </c>
      <c r="Z1" s="94" t="s">
        <v>103</v>
      </c>
      <c r="AA1" s="94" t="s">
        <v>103</v>
      </c>
      <c r="AB1" s="94" t="s">
        <v>103</v>
      </c>
      <c r="AC1" s="96" t="s">
        <v>1194</v>
      </c>
      <c r="AD1" s="96" t="s">
        <v>1194</v>
      </c>
      <c r="AE1" s="96" t="s">
        <v>1196</v>
      </c>
      <c r="AF1" s="94" t="s">
        <v>1217</v>
      </c>
      <c r="AG1" s="94" t="s">
        <v>1217</v>
      </c>
      <c r="AH1" s="94" t="s">
        <v>1219</v>
      </c>
      <c r="AI1" s="94" t="s">
        <v>1211</v>
      </c>
      <c r="AJ1" s="94" t="s">
        <v>1211</v>
      </c>
      <c r="AK1" s="94" t="s">
        <v>1257</v>
      </c>
      <c r="AL1" s="94" t="s">
        <v>1242</v>
      </c>
      <c r="AM1" s="94" t="s">
        <v>1242</v>
      </c>
      <c r="AN1" s="94" t="s">
        <v>2188</v>
      </c>
      <c r="AO1" s="94" t="s">
        <v>2201</v>
      </c>
      <c r="AP1" s="94" t="s">
        <v>2201</v>
      </c>
      <c r="AQ1" s="94" t="s">
        <v>2217</v>
      </c>
    </row>
    <row r="2" spans="1:43" s="97" customFormat="1" ht="11.25">
      <c r="C2" s="97" t="s">
        <v>2201</v>
      </c>
      <c r="W2" s="98"/>
      <c r="X2" s="98"/>
    </row>
    <row r="3" spans="1:43">
      <c r="A3" s="7">
        <v>1</v>
      </c>
      <c r="B3" s="7">
        <v>2</v>
      </c>
      <c r="C3" s="7">
        <v>3</v>
      </c>
      <c r="D3" s="7">
        <v>4</v>
      </c>
      <c r="E3" s="7">
        <v>5</v>
      </c>
      <c r="F3" s="7">
        <v>6</v>
      </c>
      <c r="G3" s="7">
        <v>7</v>
      </c>
      <c r="H3" s="7">
        <v>8</v>
      </c>
      <c r="I3" s="7">
        <v>9</v>
      </c>
      <c r="J3" s="7">
        <v>10</v>
      </c>
      <c r="K3" s="7">
        <v>11</v>
      </c>
      <c r="L3" s="7">
        <v>12</v>
      </c>
      <c r="M3" s="7">
        <v>13</v>
      </c>
      <c r="N3" s="7">
        <v>14</v>
      </c>
      <c r="O3" s="7">
        <v>15</v>
      </c>
      <c r="P3" s="7">
        <v>16</v>
      </c>
      <c r="Q3" s="7">
        <v>17</v>
      </c>
      <c r="R3" s="7">
        <v>18</v>
      </c>
      <c r="S3" s="7">
        <v>19</v>
      </c>
      <c r="T3" s="7">
        <v>20</v>
      </c>
      <c r="U3" s="7">
        <v>21</v>
      </c>
      <c r="V3" s="7">
        <v>22</v>
      </c>
      <c r="W3" s="49">
        <v>23</v>
      </c>
      <c r="X3" s="7">
        <v>24</v>
      </c>
      <c r="Y3" s="7">
        <v>25</v>
      </c>
      <c r="Z3" s="7">
        <v>26</v>
      </c>
      <c r="AA3" s="7">
        <v>27</v>
      </c>
      <c r="AB3" s="7">
        <v>28</v>
      </c>
      <c r="AC3" s="7">
        <v>29</v>
      </c>
      <c r="AD3" s="7">
        <v>30</v>
      </c>
      <c r="AE3" s="7">
        <v>31</v>
      </c>
      <c r="AF3" s="7">
        <v>32</v>
      </c>
      <c r="AG3" s="7">
        <v>33</v>
      </c>
      <c r="AH3" s="7">
        <v>34</v>
      </c>
      <c r="AI3" s="7">
        <v>35</v>
      </c>
      <c r="AJ3" s="7">
        <v>36</v>
      </c>
      <c r="AK3" s="7">
        <v>37</v>
      </c>
      <c r="AL3" s="7">
        <v>38</v>
      </c>
      <c r="AM3" s="7">
        <v>39</v>
      </c>
      <c r="AN3" s="7">
        <v>40</v>
      </c>
      <c r="AO3" s="7">
        <v>41</v>
      </c>
      <c r="AP3" s="7">
        <v>42</v>
      </c>
      <c r="AQ3" s="7">
        <v>43</v>
      </c>
    </row>
    <row r="4" spans="1:43" s="13" customFormat="1">
      <c r="W4" s="66"/>
      <c r="X4" s="66"/>
    </row>
    <row r="5" spans="1:43" s="13" customFormat="1">
      <c r="E5" s="99"/>
      <c r="W5" s="66"/>
      <c r="X5" s="66"/>
    </row>
    <row r="6" spans="1:43" s="13" customFormat="1">
      <c r="W6" s="66"/>
      <c r="X6" s="66"/>
    </row>
    <row r="7" spans="1:43" s="13" customFormat="1">
      <c r="A7" s="18"/>
      <c r="C7" s="404" t="s">
        <v>2249</v>
      </c>
      <c r="E7" s="13" t="s">
        <v>544</v>
      </c>
      <c r="G7" s="13" t="s">
        <v>1157</v>
      </c>
      <c r="H7" s="13" t="s">
        <v>541</v>
      </c>
      <c r="I7" s="13" t="s">
        <v>864</v>
      </c>
      <c r="J7" s="66" t="s">
        <v>1157</v>
      </c>
      <c r="K7" s="13" t="s">
        <v>541</v>
      </c>
      <c r="L7" s="13" t="s">
        <v>194</v>
      </c>
      <c r="M7" s="66" t="s">
        <v>1157</v>
      </c>
      <c r="N7" s="13" t="s">
        <v>541</v>
      </c>
      <c r="O7" s="13" t="s">
        <v>678</v>
      </c>
      <c r="Q7" s="66" t="s">
        <v>1157</v>
      </c>
      <c r="R7" s="13" t="s">
        <v>541</v>
      </c>
      <c r="S7" s="13" t="s">
        <v>678</v>
      </c>
      <c r="U7" s="13" t="s">
        <v>1157</v>
      </c>
      <c r="V7" s="13" t="s">
        <v>541</v>
      </c>
      <c r="W7" s="66"/>
      <c r="X7" s="66"/>
      <c r="Y7" s="66" t="s">
        <v>988</v>
      </c>
      <c r="Z7" s="13" t="s">
        <v>1157</v>
      </c>
      <c r="AA7" s="13" t="s">
        <v>541</v>
      </c>
      <c r="AB7" s="66"/>
      <c r="AC7" s="13" t="s">
        <v>1157</v>
      </c>
      <c r="AD7" s="13" t="s">
        <v>541</v>
      </c>
      <c r="AE7" s="66"/>
      <c r="AF7" s="13" t="s">
        <v>1157</v>
      </c>
      <c r="AG7" s="13" t="s">
        <v>541</v>
      </c>
      <c r="AH7" s="66"/>
      <c r="AI7" s="13" t="s">
        <v>1157</v>
      </c>
      <c r="AJ7" s="13" t="s">
        <v>541</v>
      </c>
      <c r="AK7" s="66"/>
      <c r="AL7" s="13" t="s">
        <v>1157</v>
      </c>
      <c r="AM7" s="13" t="s">
        <v>541</v>
      </c>
      <c r="AN7" s="66"/>
      <c r="AO7" s="311" t="s">
        <v>1157</v>
      </c>
      <c r="AP7" s="311" t="s">
        <v>541</v>
      </c>
      <c r="AQ7" s="66"/>
    </row>
    <row r="8" spans="1:43" s="13" customFormat="1">
      <c r="A8" s="18"/>
      <c r="C8" s="404" t="s">
        <v>2221</v>
      </c>
      <c r="D8" s="13" t="s">
        <v>512</v>
      </c>
      <c r="E8" s="13" t="s">
        <v>518</v>
      </c>
      <c r="F8" s="13" t="s">
        <v>1138</v>
      </c>
      <c r="G8" s="13" t="s">
        <v>1159</v>
      </c>
      <c r="H8" s="13" t="s">
        <v>1160</v>
      </c>
      <c r="I8" s="13" t="s">
        <v>678</v>
      </c>
      <c r="J8" s="66" t="s">
        <v>1159</v>
      </c>
      <c r="K8" s="13" t="s">
        <v>1160</v>
      </c>
      <c r="L8" s="13" t="s">
        <v>678</v>
      </c>
      <c r="M8" s="66" t="s">
        <v>1159</v>
      </c>
      <c r="N8" s="13" t="s">
        <v>1160</v>
      </c>
      <c r="O8" s="13" t="s">
        <v>674</v>
      </c>
      <c r="P8" s="13" t="s">
        <v>603</v>
      </c>
      <c r="Q8" s="66" t="s">
        <v>1159</v>
      </c>
      <c r="R8" s="13" t="s">
        <v>1160</v>
      </c>
      <c r="S8" s="13" t="s">
        <v>674</v>
      </c>
      <c r="T8" s="13" t="s">
        <v>966</v>
      </c>
      <c r="U8" s="13" t="s">
        <v>1159</v>
      </c>
      <c r="V8" s="13" t="s">
        <v>1160</v>
      </c>
      <c r="W8" s="66" t="s">
        <v>880</v>
      </c>
      <c r="X8" s="66" t="s">
        <v>52</v>
      </c>
      <c r="Y8" s="66" t="s">
        <v>516</v>
      </c>
      <c r="Z8" s="13" t="s">
        <v>1159</v>
      </c>
      <c r="AA8" s="13" t="s">
        <v>1160</v>
      </c>
      <c r="AB8" s="66" t="s">
        <v>880</v>
      </c>
      <c r="AC8" s="13" t="s">
        <v>1159</v>
      </c>
      <c r="AD8" s="13" t="s">
        <v>1160</v>
      </c>
      <c r="AE8" s="66" t="s">
        <v>880</v>
      </c>
      <c r="AF8" s="13" t="s">
        <v>1159</v>
      </c>
      <c r="AG8" s="13" t="s">
        <v>1160</v>
      </c>
      <c r="AH8" s="66" t="s">
        <v>880</v>
      </c>
      <c r="AI8" s="13" t="s">
        <v>1159</v>
      </c>
      <c r="AJ8" s="13" t="s">
        <v>1160</v>
      </c>
      <c r="AK8" s="66" t="s">
        <v>880</v>
      </c>
      <c r="AL8" s="13" t="s">
        <v>1159</v>
      </c>
      <c r="AM8" s="13" t="s">
        <v>1160</v>
      </c>
      <c r="AN8" s="66" t="s">
        <v>880</v>
      </c>
      <c r="AO8" s="100" t="s">
        <v>1159</v>
      </c>
      <c r="AP8" s="311" t="s">
        <v>1160</v>
      </c>
      <c r="AQ8" s="66" t="s">
        <v>880</v>
      </c>
    </row>
    <row r="9" spans="1:43">
      <c r="A9" s="99" t="s">
        <v>58</v>
      </c>
      <c r="B9" s="18" t="s">
        <v>1133</v>
      </c>
      <c r="C9" s="100" t="str">
        <f>PYr</f>
        <v>FY17</v>
      </c>
      <c r="D9" s="13" t="s">
        <v>863</v>
      </c>
      <c r="E9" s="13" t="s">
        <v>863</v>
      </c>
      <c r="F9" s="13" t="s">
        <v>863</v>
      </c>
      <c r="G9" s="100" t="s">
        <v>864</v>
      </c>
      <c r="H9" s="100" t="s">
        <v>864</v>
      </c>
      <c r="I9" s="100" t="s">
        <v>674</v>
      </c>
      <c r="J9" s="66" t="s">
        <v>194</v>
      </c>
      <c r="K9" s="100" t="s">
        <v>194</v>
      </c>
      <c r="L9" s="100" t="s">
        <v>674</v>
      </c>
      <c r="M9" s="66" t="s">
        <v>970</v>
      </c>
      <c r="N9" s="100" t="s">
        <v>970</v>
      </c>
      <c r="O9" s="100" t="s">
        <v>970</v>
      </c>
      <c r="P9" s="100" t="s">
        <v>604</v>
      </c>
      <c r="Q9" s="66" t="s">
        <v>966</v>
      </c>
      <c r="R9" s="100" t="s">
        <v>966</v>
      </c>
      <c r="S9" s="100" t="s">
        <v>966</v>
      </c>
      <c r="T9" s="100" t="s">
        <v>52</v>
      </c>
      <c r="U9" s="100" t="s">
        <v>373</v>
      </c>
      <c r="V9" s="100" t="s">
        <v>373</v>
      </c>
      <c r="W9" s="101" t="s">
        <v>373</v>
      </c>
      <c r="X9" s="66" t="s">
        <v>373</v>
      </c>
      <c r="Y9" s="66" t="s">
        <v>373</v>
      </c>
      <c r="Z9" s="100" t="s">
        <v>867</v>
      </c>
      <c r="AA9" s="100" t="s">
        <v>867</v>
      </c>
      <c r="AB9" s="101" t="s">
        <v>867</v>
      </c>
      <c r="AC9" s="100" t="s">
        <v>97</v>
      </c>
      <c r="AD9" s="100" t="s">
        <v>97</v>
      </c>
      <c r="AE9" s="100" t="s">
        <v>97</v>
      </c>
      <c r="AF9" s="100" t="s">
        <v>1183</v>
      </c>
      <c r="AG9" s="100" t="s">
        <v>1183</v>
      </c>
      <c r="AH9" s="100" t="s">
        <v>1183</v>
      </c>
      <c r="AI9" s="100" t="s">
        <v>1212</v>
      </c>
      <c r="AJ9" s="100" t="s">
        <v>1212</v>
      </c>
      <c r="AK9" s="100" t="s">
        <v>1212</v>
      </c>
      <c r="AL9" s="100" t="s">
        <v>1243</v>
      </c>
      <c r="AM9" s="100" t="s">
        <v>1243</v>
      </c>
      <c r="AN9" s="100" t="s">
        <v>1243</v>
      </c>
      <c r="AO9" s="100" t="s">
        <v>1258</v>
      </c>
      <c r="AP9" s="100" t="s">
        <v>1258</v>
      </c>
      <c r="AQ9" s="100" t="s">
        <v>1258</v>
      </c>
    </row>
    <row r="10" spans="1:43" ht="23.25" customHeight="1">
      <c r="A10" s="102">
        <v>1</v>
      </c>
      <c r="B10" s="7" t="s">
        <v>1707</v>
      </c>
      <c r="C10" s="103">
        <v>34.64</v>
      </c>
      <c r="D10" s="62">
        <v>16523760</v>
      </c>
      <c r="E10" s="37">
        <v>10191983</v>
      </c>
      <c r="F10" s="62">
        <v>6869653</v>
      </c>
      <c r="G10" s="62">
        <v>17243088.48</v>
      </c>
      <c r="H10" s="62">
        <v>10835090</v>
      </c>
      <c r="I10" s="62">
        <v>7152781</v>
      </c>
      <c r="J10" s="62">
        <v>18063555.577898104</v>
      </c>
      <c r="K10" s="62">
        <v>11492886</v>
      </c>
      <c r="L10" s="62">
        <v>7448806</v>
      </c>
      <c r="M10" s="62">
        <v>19020902.029999997</v>
      </c>
      <c r="N10" s="62">
        <v>11903143</v>
      </c>
      <c r="O10" s="62">
        <v>6987394</v>
      </c>
      <c r="P10" s="62">
        <v>821183</v>
      </c>
      <c r="Q10" s="62">
        <v>19474318.639892824</v>
      </c>
      <c r="R10" s="62">
        <v>12084604</v>
      </c>
      <c r="S10" s="62">
        <v>7652405</v>
      </c>
      <c r="T10" s="62">
        <v>0</v>
      </c>
      <c r="U10" s="62">
        <v>18226050.298500001</v>
      </c>
      <c r="V10" s="62">
        <v>11741657</v>
      </c>
      <c r="W10" s="62">
        <v>7205352</v>
      </c>
      <c r="X10" s="62">
        <v>38682</v>
      </c>
      <c r="Y10" s="62">
        <v>462271</v>
      </c>
      <c r="Z10" s="62">
        <v>17359608.879999999</v>
      </c>
      <c r="AA10" s="62">
        <v>12056554</v>
      </c>
      <c r="AB10" s="62">
        <v>7244034</v>
      </c>
      <c r="AC10" s="10">
        <v>18273059.900000002</v>
      </c>
      <c r="AD10" s="10">
        <v>12498017</v>
      </c>
      <c r="AE10" s="10">
        <v>7324394</v>
      </c>
      <c r="AF10" s="10">
        <v>18967492.810000002</v>
      </c>
      <c r="AG10" s="10">
        <v>13020494</v>
      </c>
      <c r="AH10" s="10">
        <v>7374594</v>
      </c>
      <c r="AI10" s="10">
        <v>18287521.510000002</v>
      </c>
      <c r="AJ10" s="10">
        <v>12943494</v>
      </c>
      <c r="AK10" s="31">
        <v>7423394</v>
      </c>
      <c r="AL10" s="10">
        <v>18870910.490000002</v>
      </c>
      <c r="AM10" s="10">
        <v>13029356</v>
      </c>
      <c r="AN10" s="31">
        <v>7472269</v>
      </c>
      <c r="AO10" s="10">
        <v>19481152.105999999</v>
      </c>
      <c r="AP10" s="10">
        <v>12843377</v>
      </c>
      <c r="AQ10" s="31">
        <v>7579849</v>
      </c>
    </row>
    <row r="11" spans="1:43">
      <c r="A11" s="102">
        <v>2</v>
      </c>
      <c r="B11" s="7" t="s">
        <v>1708</v>
      </c>
      <c r="C11" s="103">
        <v>24.47</v>
      </c>
      <c r="D11" s="62">
        <v>16798342</v>
      </c>
      <c r="E11" s="37">
        <v>14323943</v>
      </c>
      <c r="F11" s="62">
        <v>2723714</v>
      </c>
      <c r="G11" s="62">
        <v>17472326.599199999</v>
      </c>
      <c r="H11" s="62">
        <v>14258025</v>
      </c>
      <c r="I11" s="62">
        <v>3214302</v>
      </c>
      <c r="J11" s="62">
        <v>18387597.604836155</v>
      </c>
      <c r="K11" s="62">
        <v>14103803</v>
      </c>
      <c r="L11" s="62">
        <v>4283795</v>
      </c>
      <c r="M11" s="62">
        <v>19355313.269600004</v>
      </c>
      <c r="N11" s="62">
        <v>14127172</v>
      </c>
      <c r="O11" s="62">
        <v>4678327</v>
      </c>
      <c r="P11" s="62">
        <v>549814</v>
      </c>
      <c r="Q11" s="62">
        <v>19717633.622768261</v>
      </c>
      <c r="R11" s="62">
        <v>14236925</v>
      </c>
      <c r="S11" s="62">
        <v>5123578</v>
      </c>
      <c r="T11" s="62">
        <v>357131</v>
      </c>
      <c r="U11" s="62">
        <v>19649104.540190399</v>
      </c>
      <c r="V11" s="62">
        <v>14516319</v>
      </c>
      <c r="W11" s="62">
        <v>5160527</v>
      </c>
      <c r="X11" s="62">
        <v>27704</v>
      </c>
      <c r="Y11" s="62">
        <v>353078</v>
      </c>
      <c r="Z11" s="62">
        <v>19614092.674799997</v>
      </c>
      <c r="AA11" s="62">
        <v>14543128</v>
      </c>
      <c r="AB11" s="62">
        <v>5188231</v>
      </c>
      <c r="AC11" s="10">
        <v>20151482.417030003</v>
      </c>
      <c r="AD11" s="10">
        <v>14761130</v>
      </c>
      <c r="AE11" s="10">
        <v>5537500.2082832009</v>
      </c>
      <c r="AF11" s="17">
        <v>13308</v>
      </c>
      <c r="AG11" s="17">
        <v>9807</v>
      </c>
      <c r="AH11" s="17">
        <v>1699</v>
      </c>
      <c r="AI11" s="10">
        <v>0</v>
      </c>
      <c r="AJ11" s="10">
        <v>0</v>
      </c>
      <c r="AK11" s="31">
        <v>0</v>
      </c>
      <c r="AL11" s="10">
        <v>0</v>
      </c>
      <c r="AM11" s="10">
        <v>0</v>
      </c>
      <c r="AN11" s="31">
        <v>0</v>
      </c>
      <c r="AO11" s="10">
        <v>0</v>
      </c>
      <c r="AP11" s="10">
        <v>0</v>
      </c>
      <c r="AQ11" s="31">
        <v>0</v>
      </c>
    </row>
    <row r="12" spans="1:43">
      <c r="A12" s="102">
        <v>3</v>
      </c>
      <c r="B12" s="7" t="s">
        <v>1709</v>
      </c>
      <c r="C12" s="103">
        <v>42.51</v>
      </c>
      <c r="D12" s="62">
        <v>10752617</v>
      </c>
      <c r="E12" s="37">
        <v>4702995</v>
      </c>
      <c r="F12" s="62">
        <v>6049622</v>
      </c>
      <c r="G12" s="62">
        <v>10925643.810000001</v>
      </c>
      <c r="H12" s="62">
        <v>5021780</v>
      </c>
      <c r="I12" s="62">
        <v>6138021</v>
      </c>
      <c r="J12" s="62">
        <v>10761756.058842914</v>
      </c>
      <c r="K12" s="62">
        <v>5158813</v>
      </c>
      <c r="L12" s="62">
        <v>6206921</v>
      </c>
      <c r="M12" s="62">
        <v>11395406.830000002</v>
      </c>
      <c r="N12" s="62">
        <v>5414309</v>
      </c>
      <c r="O12" s="62">
        <v>5825831</v>
      </c>
      <c r="P12" s="62">
        <v>684672</v>
      </c>
      <c r="Q12" s="62">
        <v>11223341.565244021</v>
      </c>
      <c r="R12" s="62">
        <v>5326164</v>
      </c>
      <c r="S12" s="62">
        <v>6380293</v>
      </c>
      <c r="T12" s="62">
        <v>0</v>
      </c>
      <c r="U12" s="62">
        <v>10323398.130179999</v>
      </c>
      <c r="V12" s="62">
        <v>5401579</v>
      </c>
      <c r="W12" s="62">
        <v>6007556</v>
      </c>
      <c r="X12" s="62">
        <v>32251</v>
      </c>
      <c r="Y12" s="62">
        <v>371236</v>
      </c>
      <c r="Z12" s="62">
        <v>10560494.92</v>
      </c>
      <c r="AA12" s="62">
        <v>5591539</v>
      </c>
      <c r="AB12" s="62">
        <v>6039807</v>
      </c>
      <c r="AC12" s="10">
        <v>10945583.299999999</v>
      </c>
      <c r="AD12" s="10">
        <v>5840331</v>
      </c>
      <c r="AE12" s="10">
        <v>6088327</v>
      </c>
      <c r="AF12" s="10">
        <v>11227244.859999999</v>
      </c>
      <c r="AG12" s="10">
        <v>6098928</v>
      </c>
      <c r="AH12" s="10">
        <v>6118877</v>
      </c>
      <c r="AI12" s="10">
        <v>11538501.129999999</v>
      </c>
      <c r="AJ12" s="10">
        <v>6393318</v>
      </c>
      <c r="AK12" s="31">
        <v>6150152</v>
      </c>
      <c r="AL12" s="10">
        <v>11701370.220000003</v>
      </c>
      <c r="AM12" s="10">
        <v>6720092</v>
      </c>
      <c r="AN12" s="31">
        <v>6181252</v>
      </c>
      <c r="AO12" s="10">
        <v>11862468.339999998</v>
      </c>
      <c r="AP12" s="10">
        <v>6851396</v>
      </c>
      <c r="AQ12" s="31">
        <v>6250222</v>
      </c>
    </row>
    <row r="13" spans="1:43">
      <c r="A13" s="102">
        <v>4</v>
      </c>
      <c r="B13" s="7" t="s">
        <v>1710</v>
      </c>
      <c r="C13" s="103">
        <v>67.44</v>
      </c>
      <c r="D13" s="62">
        <v>0</v>
      </c>
      <c r="E13" s="37">
        <v>0</v>
      </c>
      <c r="F13" s="62">
        <v>0</v>
      </c>
      <c r="G13" s="62">
        <v>0</v>
      </c>
      <c r="H13" s="62">
        <v>0</v>
      </c>
      <c r="I13" s="62">
        <v>0</v>
      </c>
      <c r="J13" s="62">
        <v>0</v>
      </c>
      <c r="K13" s="62">
        <v>0</v>
      </c>
      <c r="L13" s="62">
        <v>0</v>
      </c>
      <c r="M13" s="62">
        <v>11943.49</v>
      </c>
      <c r="N13" s="62">
        <v>2802</v>
      </c>
      <c r="O13" s="62">
        <v>9141</v>
      </c>
      <c r="P13" s="62">
        <v>0</v>
      </c>
      <c r="Q13" s="62">
        <v>12306.57500478469</v>
      </c>
      <c r="R13" s="62">
        <v>3310</v>
      </c>
      <c r="S13" s="62">
        <v>8958</v>
      </c>
      <c r="T13" s="62">
        <v>39</v>
      </c>
      <c r="U13" s="62">
        <v>0</v>
      </c>
      <c r="V13" s="62">
        <v>0</v>
      </c>
      <c r="W13" s="62">
        <v>0</v>
      </c>
      <c r="X13" s="62">
        <v>0</v>
      </c>
      <c r="Y13" s="62">
        <v>0</v>
      </c>
      <c r="Z13" s="62">
        <v>0</v>
      </c>
      <c r="AA13" s="62">
        <v>0</v>
      </c>
      <c r="AB13" s="62">
        <v>0</v>
      </c>
      <c r="AC13" s="10">
        <v>12697.210000000001</v>
      </c>
      <c r="AD13" s="10">
        <v>3609</v>
      </c>
      <c r="AE13" s="10">
        <v>9088</v>
      </c>
      <c r="AF13" s="10">
        <v>0</v>
      </c>
      <c r="AG13" s="10">
        <v>0</v>
      </c>
      <c r="AH13" s="10">
        <v>0</v>
      </c>
      <c r="AI13" s="10">
        <v>0</v>
      </c>
      <c r="AJ13" s="10">
        <v>0</v>
      </c>
      <c r="AK13" s="31">
        <v>0</v>
      </c>
      <c r="AL13" s="10">
        <v>0</v>
      </c>
      <c r="AM13" s="10">
        <v>0</v>
      </c>
      <c r="AN13" s="31">
        <v>0</v>
      </c>
      <c r="AO13" s="10">
        <v>0</v>
      </c>
      <c r="AP13" s="10">
        <v>0</v>
      </c>
      <c r="AQ13" s="31">
        <v>0</v>
      </c>
    </row>
    <row r="14" spans="1:43">
      <c r="A14" s="102">
        <v>5</v>
      </c>
      <c r="B14" s="7" t="s">
        <v>1711</v>
      </c>
      <c r="C14" s="103">
        <v>43.46</v>
      </c>
      <c r="D14" s="62">
        <v>32319935</v>
      </c>
      <c r="E14" s="37">
        <v>21493837</v>
      </c>
      <c r="F14" s="62">
        <v>10826098</v>
      </c>
      <c r="G14" s="62">
        <v>34566078.779999994</v>
      </c>
      <c r="H14" s="62">
        <v>22041666</v>
      </c>
      <c r="I14" s="62">
        <v>12524413</v>
      </c>
      <c r="J14" s="62">
        <v>35551345.780867614</v>
      </c>
      <c r="K14" s="62">
        <v>21602566</v>
      </c>
      <c r="L14" s="62">
        <v>14029399</v>
      </c>
      <c r="M14" s="62">
        <v>37698376.909999989</v>
      </c>
      <c r="N14" s="62">
        <v>21211830</v>
      </c>
      <c r="O14" s="62">
        <v>14752751</v>
      </c>
      <c r="P14" s="62">
        <v>1733796</v>
      </c>
      <c r="Q14" s="62">
        <v>38739894.035965554</v>
      </c>
      <c r="R14" s="62">
        <v>21200429</v>
      </c>
      <c r="S14" s="62">
        <v>16156816</v>
      </c>
      <c r="T14" s="62">
        <v>1382649</v>
      </c>
      <c r="U14" s="62">
        <v>37851740.416679993</v>
      </c>
      <c r="V14" s="62">
        <v>20906343</v>
      </c>
      <c r="W14" s="62">
        <v>16620258</v>
      </c>
      <c r="X14" s="62">
        <v>89225</v>
      </c>
      <c r="Y14" s="62">
        <v>936907</v>
      </c>
      <c r="Z14" s="62">
        <v>38691315.740000002</v>
      </c>
      <c r="AA14" s="62">
        <v>21196318</v>
      </c>
      <c r="AB14" s="62">
        <v>17494998</v>
      </c>
      <c r="AC14" s="10">
        <v>40065479.369999997</v>
      </c>
      <c r="AD14" s="10">
        <v>21799451</v>
      </c>
      <c r="AE14" s="10">
        <v>18531417.812022001</v>
      </c>
      <c r="AF14" s="10">
        <v>39705689.879999995</v>
      </c>
      <c r="AG14" s="10">
        <v>22317126</v>
      </c>
      <c r="AH14" s="10">
        <v>18633592.812022001</v>
      </c>
      <c r="AI14" s="10">
        <v>40513463.040000007</v>
      </c>
      <c r="AJ14" s="10">
        <v>22228633</v>
      </c>
      <c r="AK14" s="31">
        <v>18827346.812022001</v>
      </c>
      <c r="AL14" s="10">
        <v>40806967.850000001</v>
      </c>
      <c r="AM14" s="10">
        <v>22728531</v>
      </c>
      <c r="AN14" s="31">
        <v>18927671.812022001</v>
      </c>
      <c r="AO14" s="10">
        <v>39809443.760000005</v>
      </c>
      <c r="AP14" s="10">
        <v>22702754</v>
      </c>
      <c r="AQ14" s="31">
        <v>19138981.812022001</v>
      </c>
    </row>
    <row r="15" spans="1:43">
      <c r="A15" s="102">
        <v>6</v>
      </c>
      <c r="B15" s="7" t="s">
        <v>1712</v>
      </c>
      <c r="C15" s="103">
        <v>17.5</v>
      </c>
      <c r="D15" s="62">
        <v>0</v>
      </c>
      <c r="E15" s="37">
        <v>0</v>
      </c>
      <c r="F15" s="62">
        <v>0</v>
      </c>
      <c r="G15" s="62">
        <v>0</v>
      </c>
      <c r="H15" s="62">
        <v>0</v>
      </c>
      <c r="I15" s="62">
        <v>0</v>
      </c>
      <c r="J15" s="62">
        <v>0</v>
      </c>
      <c r="K15" s="62">
        <v>0</v>
      </c>
      <c r="L15" s="62">
        <v>0</v>
      </c>
      <c r="M15" s="62">
        <v>0</v>
      </c>
      <c r="N15" s="62">
        <v>0</v>
      </c>
      <c r="O15" s="62">
        <v>0</v>
      </c>
      <c r="P15" s="62">
        <v>0</v>
      </c>
      <c r="Q15" s="62">
        <v>0</v>
      </c>
      <c r="R15" s="62">
        <v>0</v>
      </c>
      <c r="S15" s="62">
        <v>0</v>
      </c>
      <c r="T15" s="62">
        <v>0</v>
      </c>
      <c r="U15" s="62">
        <v>0</v>
      </c>
      <c r="V15" s="62">
        <v>0</v>
      </c>
      <c r="W15" s="62">
        <v>0</v>
      </c>
      <c r="X15" s="62">
        <v>0</v>
      </c>
      <c r="Y15" s="62">
        <v>0</v>
      </c>
      <c r="Z15" s="62">
        <v>0</v>
      </c>
      <c r="AA15" s="62">
        <v>0</v>
      </c>
      <c r="AB15" s="62">
        <v>0</v>
      </c>
      <c r="AC15" s="10">
        <v>0</v>
      </c>
      <c r="AD15" s="10">
        <v>0</v>
      </c>
      <c r="AE15" s="10">
        <v>0</v>
      </c>
      <c r="AF15" s="10">
        <v>0</v>
      </c>
      <c r="AG15" s="10">
        <v>0</v>
      </c>
      <c r="AH15" s="10">
        <v>0</v>
      </c>
      <c r="AI15" s="10">
        <v>0</v>
      </c>
      <c r="AJ15" s="10">
        <v>0</v>
      </c>
      <c r="AK15" s="31">
        <v>0</v>
      </c>
      <c r="AL15" s="10">
        <v>0</v>
      </c>
      <c r="AM15" s="10">
        <v>0</v>
      </c>
      <c r="AN15" s="31">
        <v>0</v>
      </c>
      <c r="AO15" s="10">
        <v>0</v>
      </c>
      <c r="AP15" s="10">
        <v>0</v>
      </c>
      <c r="AQ15" s="31">
        <v>0</v>
      </c>
    </row>
    <row r="16" spans="1:43">
      <c r="A16" s="102">
        <v>7</v>
      </c>
      <c r="B16" s="7" t="s">
        <v>1713</v>
      </c>
      <c r="C16" s="103">
        <v>36.909999999999997</v>
      </c>
      <c r="D16" s="62">
        <v>19460597</v>
      </c>
      <c r="E16" s="37">
        <v>12406221</v>
      </c>
      <c r="F16" s="62">
        <v>8455877</v>
      </c>
      <c r="G16" s="62">
        <v>19548536.809999999</v>
      </c>
      <c r="H16" s="62">
        <v>12809091</v>
      </c>
      <c r="I16" s="62">
        <v>8583727</v>
      </c>
      <c r="J16" s="62">
        <v>19781530.293151677</v>
      </c>
      <c r="K16" s="62">
        <v>13167547</v>
      </c>
      <c r="L16" s="62">
        <v>8706827</v>
      </c>
      <c r="M16" s="62">
        <v>20756560.399999999</v>
      </c>
      <c r="N16" s="62">
        <v>13536773</v>
      </c>
      <c r="O16" s="62">
        <v>8124385</v>
      </c>
      <c r="P16" s="62">
        <v>954806</v>
      </c>
      <c r="Q16" s="62">
        <v>21190912.030989472</v>
      </c>
      <c r="R16" s="62">
        <v>13555005</v>
      </c>
      <c r="S16" s="62">
        <v>8897607</v>
      </c>
      <c r="T16" s="62">
        <v>0</v>
      </c>
      <c r="U16" s="62">
        <v>21216914.582820002</v>
      </c>
      <c r="V16" s="62">
        <v>13646574</v>
      </c>
      <c r="W16" s="62">
        <v>8377810</v>
      </c>
      <c r="X16" s="62">
        <v>44976</v>
      </c>
      <c r="Y16" s="62">
        <v>535896</v>
      </c>
      <c r="Z16" s="62">
        <v>21437478.949999999</v>
      </c>
      <c r="AA16" s="62">
        <v>13871392</v>
      </c>
      <c r="AB16" s="62">
        <v>8422786</v>
      </c>
      <c r="AC16" s="10">
        <v>21788085.690000001</v>
      </c>
      <c r="AD16" s="10">
        <v>14228051</v>
      </c>
      <c r="AE16" s="10">
        <v>8517266</v>
      </c>
      <c r="AF16" s="10">
        <v>22520782.300000004</v>
      </c>
      <c r="AG16" s="10">
        <v>14645774</v>
      </c>
      <c r="AH16" s="17">
        <f>8577441+84220</f>
        <v>8661661</v>
      </c>
      <c r="AI16" s="10">
        <v>23277123.93</v>
      </c>
      <c r="AJ16" s="10">
        <v>14710835</v>
      </c>
      <c r="AK16" s="31">
        <v>8807407</v>
      </c>
      <c r="AL16" s="10">
        <v>23284050.52</v>
      </c>
      <c r="AM16" s="10">
        <v>14749359</v>
      </c>
      <c r="AN16" s="31">
        <v>8867257</v>
      </c>
      <c r="AO16" s="10">
        <v>22775372.140000001</v>
      </c>
      <c r="AP16" s="10">
        <v>14489823</v>
      </c>
      <c r="AQ16" s="31">
        <v>8995077</v>
      </c>
    </row>
    <row r="17" spans="1:43">
      <c r="A17" s="102">
        <v>8</v>
      </c>
      <c r="B17" s="7" t="s">
        <v>1714</v>
      </c>
      <c r="C17" s="103">
        <v>26.02</v>
      </c>
      <c r="D17" s="62">
        <v>11114274</v>
      </c>
      <c r="E17" s="37">
        <v>5541487</v>
      </c>
      <c r="F17" s="62">
        <v>5572787</v>
      </c>
      <c r="G17" s="62">
        <v>11497553.710000001</v>
      </c>
      <c r="H17" s="62">
        <v>5563556</v>
      </c>
      <c r="I17" s="62">
        <v>5933998</v>
      </c>
      <c r="J17" s="62">
        <v>11950170.523914317</v>
      </c>
      <c r="K17" s="62">
        <v>5791375</v>
      </c>
      <c r="L17" s="62">
        <v>6158796</v>
      </c>
      <c r="M17" s="62">
        <v>12240957.26</v>
      </c>
      <c r="N17" s="62">
        <v>6176229</v>
      </c>
      <c r="O17" s="62">
        <v>5607673</v>
      </c>
      <c r="P17" s="62">
        <v>659034</v>
      </c>
      <c r="Q17" s="62">
        <v>12789869.018824883</v>
      </c>
      <c r="R17" s="62">
        <v>8287309</v>
      </c>
      <c r="S17" s="62">
        <v>6141373</v>
      </c>
      <c r="T17" s="62">
        <v>0</v>
      </c>
      <c r="U17" s="62">
        <v>12104976.778860003</v>
      </c>
      <c r="V17" s="62">
        <v>8244892</v>
      </c>
      <c r="W17" s="62">
        <v>5782594</v>
      </c>
      <c r="X17" s="62">
        <v>31044</v>
      </c>
      <c r="Y17" s="62">
        <v>361635</v>
      </c>
      <c r="Z17" s="62">
        <v>11778216.34</v>
      </c>
      <c r="AA17" s="62">
        <v>8330699</v>
      </c>
      <c r="AB17" s="62">
        <v>5813638</v>
      </c>
      <c r="AC17" s="10">
        <v>12123554.34</v>
      </c>
      <c r="AD17" s="10">
        <v>8560597</v>
      </c>
      <c r="AE17" s="10">
        <v>5864398</v>
      </c>
      <c r="AF17" s="10">
        <v>11999013.530000001</v>
      </c>
      <c r="AG17" s="10">
        <v>8782052</v>
      </c>
      <c r="AH17" s="10">
        <v>5895073</v>
      </c>
      <c r="AI17" s="10">
        <v>11927369.58</v>
      </c>
      <c r="AJ17" s="10">
        <v>8808278</v>
      </c>
      <c r="AK17" s="31">
        <v>5925198</v>
      </c>
      <c r="AL17" s="10">
        <v>12222179.260000002</v>
      </c>
      <c r="AM17" s="10">
        <v>9033626</v>
      </c>
      <c r="AN17" s="31">
        <v>5954998</v>
      </c>
      <c r="AO17" s="10">
        <v>12153334.120000001</v>
      </c>
      <c r="AP17" s="10">
        <v>9054116</v>
      </c>
      <c r="AQ17" s="31">
        <v>6020943</v>
      </c>
    </row>
    <row r="18" spans="1:43">
      <c r="A18" s="102">
        <v>9</v>
      </c>
      <c r="B18" s="7" t="s">
        <v>1715</v>
      </c>
      <c r="C18" s="103">
        <v>17.5</v>
      </c>
      <c r="D18" s="62">
        <v>40445552</v>
      </c>
      <c r="E18" s="37">
        <v>43398252</v>
      </c>
      <c r="F18" s="62">
        <v>5235106</v>
      </c>
      <c r="G18" s="62">
        <v>45421092.757479988</v>
      </c>
      <c r="H18" s="62">
        <v>43984801</v>
      </c>
      <c r="I18" s="62">
        <v>6105826</v>
      </c>
      <c r="J18" s="62">
        <v>47430802.160358295</v>
      </c>
      <c r="K18" s="62">
        <v>44443293</v>
      </c>
      <c r="L18" s="62">
        <v>6764195</v>
      </c>
      <c r="M18" s="62">
        <v>50839207.830960013</v>
      </c>
      <c r="N18" s="62">
        <v>44963510</v>
      </c>
      <c r="O18" s="62">
        <v>6682611</v>
      </c>
      <c r="P18" s="62">
        <v>785364</v>
      </c>
      <c r="Q18" s="62">
        <v>52920927.943806164</v>
      </c>
      <c r="R18" s="62">
        <v>46055668</v>
      </c>
      <c r="S18" s="62">
        <v>7318616</v>
      </c>
      <c r="T18" s="62">
        <v>0</v>
      </c>
      <c r="U18" s="62">
        <v>52465302.435107633</v>
      </c>
      <c r="V18" s="62">
        <v>46239193</v>
      </c>
      <c r="W18" s="62">
        <v>6891063</v>
      </c>
      <c r="X18" s="62">
        <v>36994</v>
      </c>
      <c r="Y18" s="62">
        <v>541909</v>
      </c>
      <c r="Z18" s="62">
        <v>53641152.655579992</v>
      </c>
      <c r="AA18" s="62">
        <v>47162432</v>
      </c>
      <c r="AB18" s="62">
        <v>6928057</v>
      </c>
      <c r="AC18" s="10">
        <v>55867173.864680015</v>
      </c>
      <c r="AD18" s="10">
        <v>48525635</v>
      </c>
      <c r="AE18" s="10">
        <v>7950343.1065797508</v>
      </c>
      <c r="AF18" s="10">
        <v>57208567.533579998</v>
      </c>
      <c r="AG18" s="10">
        <v>49906105</v>
      </c>
      <c r="AH18" s="17">
        <f>8465632.15952894+84220</f>
        <v>8549852.1595289409</v>
      </c>
      <c r="AI18" s="10">
        <v>56905481.147259988</v>
      </c>
      <c r="AJ18" s="10">
        <v>49453903</v>
      </c>
      <c r="AK18" s="31">
        <v>9042864.1595289409</v>
      </c>
      <c r="AL18" s="10">
        <v>57593754.781260006</v>
      </c>
      <c r="AM18" s="10">
        <v>49454967</v>
      </c>
      <c r="AN18" s="31">
        <v>9191614.1595289409</v>
      </c>
      <c r="AO18" s="10">
        <v>58523208.186840013</v>
      </c>
      <c r="AP18" s="10">
        <v>48754974</v>
      </c>
      <c r="AQ18" s="31">
        <v>9768234</v>
      </c>
    </row>
    <row r="19" spans="1:43">
      <c r="A19" s="102">
        <v>10</v>
      </c>
      <c r="B19" s="7" t="s">
        <v>1716</v>
      </c>
      <c r="C19" s="103">
        <v>17.5</v>
      </c>
      <c r="D19" s="62">
        <v>31514908</v>
      </c>
      <c r="E19" s="37">
        <v>29608395</v>
      </c>
      <c r="F19" s="62">
        <v>5019276.8</v>
      </c>
      <c r="G19" s="62">
        <v>34791436.82971999</v>
      </c>
      <c r="H19" s="62">
        <v>30151702</v>
      </c>
      <c r="I19" s="62">
        <v>5592669.7999999998</v>
      </c>
      <c r="J19" s="62">
        <v>35888202.793767765</v>
      </c>
      <c r="K19" s="62">
        <v>30613441</v>
      </c>
      <c r="L19" s="62">
        <v>5814119.7999999998</v>
      </c>
      <c r="M19" s="62">
        <v>38070505.063400008</v>
      </c>
      <c r="N19" s="62">
        <v>31841211</v>
      </c>
      <c r="O19" s="62">
        <v>5574195</v>
      </c>
      <c r="P19" s="62">
        <v>655099</v>
      </c>
      <c r="Q19" s="62">
        <v>40248798.10830944</v>
      </c>
      <c r="R19" s="62">
        <v>33205258</v>
      </c>
      <c r="S19" s="62">
        <v>6104708</v>
      </c>
      <c r="T19" s="62">
        <v>938832</v>
      </c>
      <c r="U19" s="62">
        <v>39642105.945616916</v>
      </c>
      <c r="V19" s="62">
        <v>33491571</v>
      </c>
      <c r="W19" s="62">
        <v>6632057</v>
      </c>
      <c r="X19" s="62">
        <v>35604</v>
      </c>
      <c r="Y19" s="62">
        <v>490929</v>
      </c>
      <c r="Z19" s="62">
        <v>41361535.892299995</v>
      </c>
      <c r="AA19" s="62">
        <v>34480956</v>
      </c>
      <c r="AB19" s="62">
        <v>6880580</v>
      </c>
      <c r="AC19" s="10">
        <v>43488849.24750001</v>
      </c>
      <c r="AD19" s="10">
        <v>35379353</v>
      </c>
      <c r="AE19" s="10">
        <v>8109496</v>
      </c>
      <c r="AF19" s="10">
        <v>46406615.112400003</v>
      </c>
      <c r="AG19" s="10">
        <v>36357635</v>
      </c>
      <c r="AH19" s="10">
        <v>10048980</v>
      </c>
      <c r="AI19" s="10">
        <v>47819420.315520003</v>
      </c>
      <c r="AJ19" s="10">
        <v>37584838</v>
      </c>
      <c r="AK19" s="31">
        <v>10234582</v>
      </c>
      <c r="AL19" s="10">
        <v>50290292.382299997</v>
      </c>
      <c r="AM19" s="10">
        <v>39574733</v>
      </c>
      <c r="AN19" s="31">
        <v>10715559</v>
      </c>
      <c r="AO19" s="10">
        <v>51156059.770829991</v>
      </c>
      <c r="AP19" s="10">
        <v>41761139</v>
      </c>
      <c r="AQ19" s="31">
        <v>11012669</v>
      </c>
    </row>
    <row r="20" spans="1:43">
      <c r="A20" s="102">
        <v>11</v>
      </c>
      <c r="B20" s="7" t="s">
        <v>1717</v>
      </c>
      <c r="C20" s="103">
        <v>55.36</v>
      </c>
      <c r="D20" s="62">
        <v>0</v>
      </c>
      <c r="E20" s="37">
        <v>0</v>
      </c>
      <c r="F20" s="62">
        <v>0</v>
      </c>
      <c r="G20" s="62">
        <v>0</v>
      </c>
      <c r="H20" s="62">
        <v>0</v>
      </c>
      <c r="I20" s="62">
        <v>0</v>
      </c>
      <c r="J20" s="62">
        <v>0</v>
      </c>
      <c r="K20" s="62">
        <v>0</v>
      </c>
      <c r="L20" s="62">
        <v>0</v>
      </c>
      <c r="M20" s="62">
        <v>0</v>
      </c>
      <c r="N20" s="62">
        <v>0</v>
      </c>
      <c r="O20" s="62">
        <v>0</v>
      </c>
      <c r="P20" s="62">
        <v>0</v>
      </c>
      <c r="Q20" s="62">
        <v>0</v>
      </c>
      <c r="R20" s="62">
        <v>0</v>
      </c>
      <c r="S20" s="62">
        <v>0</v>
      </c>
      <c r="T20" s="62">
        <v>0</v>
      </c>
      <c r="U20" s="62">
        <v>12035.81568</v>
      </c>
      <c r="V20" s="62">
        <v>5767</v>
      </c>
      <c r="W20" s="62">
        <v>6269</v>
      </c>
      <c r="X20" s="62">
        <v>0</v>
      </c>
      <c r="Y20" s="62">
        <v>0</v>
      </c>
      <c r="Z20" s="62">
        <v>0</v>
      </c>
      <c r="AA20" s="62">
        <v>0</v>
      </c>
      <c r="AB20" s="62">
        <v>0</v>
      </c>
      <c r="AC20" s="10">
        <v>0</v>
      </c>
      <c r="AD20" s="10">
        <v>0</v>
      </c>
      <c r="AE20" s="10">
        <v>0</v>
      </c>
      <c r="AF20" s="10">
        <v>0</v>
      </c>
      <c r="AG20" s="10">
        <v>0</v>
      </c>
      <c r="AH20" s="10">
        <v>0</v>
      </c>
      <c r="AI20" s="10">
        <v>0</v>
      </c>
      <c r="AJ20" s="10">
        <v>0</v>
      </c>
      <c r="AK20" s="31">
        <v>0</v>
      </c>
      <c r="AL20" s="10">
        <v>0</v>
      </c>
      <c r="AM20" s="10">
        <v>0</v>
      </c>
      <c r="AN20" s="31">
        <v>0</v>
      </c>
      <c r="AO20" s="10">
        <v>0</v>
      </c>
      <c r="AP20" s="10">
        <v>0</v>
      </c>
      <c r="AQ20" s="31">
        <v>0</v>
      </c>
    </row>
    <row r="21" spans="1:43">
      <c r="A21" s="102">
        <v>12</v>
      </c>
      <c r="B21" s="7" t="s">
        <v>1718</v>
      </c>
      <c r="C21" s="103">
        <v>45.98</v>
      </c>
      <c r="D21" s="62">
        <v>0</v>
      </c>
      <c r="E21" s="37">
        <v>0</v>
      </c>
      <c r="F21" s="62">
        <v>0</v>
      </c>
      <c r="G21" s="62">
        <v>10849.66</v>
      </c>
      <c r="H21" s="62">
        <v>3784</v>
      </c>
      <c r="I21" s="62">
        <v>7066</v>
      </c>
      <c r="J21" s="62">
        <v>0</v>
      </c>
      <c r="K21" s="62">
        <v>0</v>
      </c>
      <c r="L21" s="62">
        <v>0</v>
      </c>
      <c r="M21" s="62">
        <v>0</v>
      </c>
      <c r="N21" s="62">
        <v>0</v>
      </c>
      <c r="O21" s="62">
        <v>0</v>
      </c>
      <c r="P21" s="62">
        <v>0</v>
      </c>
      <c r="Q21" s="62">
        <v>0</v>
      </c>
      <c r="R21" s="62">
        <v>0</v>
      </c>
      <c r="S21" s="62">
        <v>0</v>
      </c>
      <c r="T21" s="62">
        <v>0</v>
      </c>
      <c r="U21" s="62">
        <v>36107.447039999999</v>
      </c>
      <c r="V21" s="62">
        <v>17602</v>
      </c>
      <c r="W21" s="62">
        <v>18505</v>
      </c>
      <c r="X21" s="62">
        <v>0</v>
      </c>
      <c r="Y21" s="62">
        <v>0</v>
      </c>
      <c r="Z21" s="62">
        <v>0</v>
      </c>
      <c r="AA21" s="62">
        <v>0</v>
      </c>
      <c r="AB21" s="62">
        <v>0</v>
      </c>
      <c r="AC21" s="10">
        <v>0</v>
      </c>
      <c r="AD21" s="10">
        <v>0</v>
      </c>
      <c r="AE21" s="10">
        <v>0</v>
      </c>
      <c r="AF21" s="10">
        <v>0</v>
      </c>
      <c r="AG21" s="10">
        <v>0</v>
      </c>
      <c r="AH21" s="10">
        <v>0</v>
      </c>
      <c r="AI21" s="10">
        <v>0</v>
      </c>
      <c r="AJ21" s="10">
        <v>0</v>
      </c>
      <c r="AK21" s="31">
        <v>0</v>
      </c>
      <c r="AL21" s="10">
        <v>0</v>
      </c>
      <c r="AM21" s="10">
        <v>0</v>
      </c>
      <c r="AN21" s="31">
        <v>0</v>
      </c>
      <c r="AO21" s="10">
        <v>0</v>
      </c>
      <c r="AP21" s="10">
        <v>0</v>
      </c>
      <c r="AQ21" s="31">
        <v>0</v>
      </c>
    </row>
    <row r="22" spans="1:43">
      <c r="A22" s="102">
        <v>13</v>
      </c>
      <c r="B22" s="7" t="s">
        <v>1719</v>
      </c>
      <c r="C22" s="103">
        <v>21.26</v>
      </c>
      <c r="D22" s="62">
        <v>88168</v>
      </c>
      <c r="E22" s="37">
        <v>48246</v>
      </c>
      <c r="F22" s="62">
        <v>66553</v>
      </c>
      <c r="G22" s="62">
        <v>97646.94</v>
      </c>
      <c r="H22" s="62">
        <v>58472</v>
      </c>
      <c r="I22" s="62">
        <v>71328</v>
      </c>
      <c r="J22" s="62">
        <v>158055.47</v>
      </c>
      <c r="K22" s="62">
        <v>93913</v>
      </c>
      <c r="L22" s="62">
        <v>98741</v>
      </c>
      <c r="M22" s="62">
        <v>154299.47</v>
      </c>
      <c r="N22" s="62">
        <v>98640</v>
      </c>
      <c r="O22" s="62">
        <v>99291</v>
      </c>
      <c r="P22" s="62">
        <v>0</v>
      </c>
      <c r="Q22" s="62">
        <v>171296.79213014356</v>
      </c>
      <c r="R22" s="62">
        <v>113319</v>
      </c>
      <c r="S22" s="62">
        <v>97305</v>
      </c>
      <c r="T22" s="62">
        <v>0</v>
      </c>
      <c r="U22" s="62">
        <v>227707.1532</v>
      </c>
      <c r="V22" s="62">
        <v>147698</v>
      </c>
      <c r="W22" s="62">
        <v>93413</v>
      </c>
      <c r="X22" s="62">
        <v>0</v>
      </c>
      <c r="Y22" s="62">
        <v>0</v>
      </c>
      <c r="Z22" s="62">
        <v>244010.68</v>
      </c>
      <c r="AA22" s="62">
        <v>163790</v>
      </c>
      <c r="AB22" s="62">
        <v>93413</v>
      </c>
      <c r="AC22" s="10">
        <v>265614.51000000007</v>
      </c>
      <c r="AD22" s="10">
        <v>185836</v>
      </c>
      <c r="AE22" s="10">
        <v>93413</v>
      </c>
      <c r="AF22" s="10">
        <v>205261.50999999998</v>
      </c>
      <c r="AG22" s="10">
        <v>160515</v>
      </c>
      <c r="AH22" s="10">
        <v>93413</v>
      </c>
      <c r="AI22" s="10">
        <v>207026.65000000002</v>
      </c>
      <c r="AJ22" s="10">
        <v>168768</v>
      </c>
      <c r="AK22" s="31">
        <v>93413</v>
      </c>
      <c r="AL22" s="10">
        <v>276131.65999999997</v>
      </c>
      <c r="AM22" s="10">
        <v>227950</v>
      </c>
      <c r="AN22" s="31">
        <v>93413</v>
      </c>
      <c r="AO22" s="10">
        <v>236011.40000000002</v>
      </c>
      <c r="AP22" s="10">
        <v>187511</v>
      </c>
      <c r="AQ22" s="31">
        <v>93413</v>
      </c>
    </row>
    <row r="23" spans="1:43">
      <c r="A23" s="102">
        <v>14</v>
      </c>
      <c r="B23" s="7" t="s">
        <v>1720</v>
      </c>
      <c r="C23" s="103">
        <v>24.19</v>
      </c>
      <c r="D23" s="62">
        <v>17600708</v>
      </c>
      <c r="E23" s="37">
        <v>15268810</v>
      </c>
      <c r="F23" s="62">
        <v>2710446</v>
      </c>
      <c r="G23" s="62">
        <v>19209670.376520004</v>
      </c>
      <c r="H23" s="62">
        <v>15739323</v>
      </c>
      <c r="I23" s="62">
        <v>3470347</v>
      </c>
      <c r="J23" s="62">
        <v>20160314.837740563</v>
      </c>
      <c r="K23" s="62">
        <v>16316673</v>
      </c>
      <c r="L23" s="62">
        <v>3843642</v>
      </c>
      <c r="M23" s="62">
        <v>21548050.5513</v>
      </c>
      <c r="N23" s="62">
        <v>16954069</v>
      </c>
      <c r="O23" s="62">
        <v>4110859</v>
      </c>
      <c r="P23" s="62">
        <v>483123</v>
      </c>
      <c r="Q23" s="62">
        <v>21943205.255612019</v>
      </c>
      <c r="R23" s="62">
        <v>17161770</v>
      </c>
      <c r="S23" s="62">
        <v>4502102</v>
      </c>
      <c r="T23" s="62">
        <v>279333</v>
      </c>
      <c r="U23" s="62">
        <v>21499028.046113763</v>
      </c>
      <c r="V23" s="62">
        <v>17147082</v>
      </c>
      <c r="W23" s="62">
        <v>4502104</v>
      </c>
      <c r="X23" s="62">
        <v>24169</v>
      </c>
      <c r="Y23" s="62">
        <v>317887</v>
      </c>
      <c r="Z23" s="62">
        <v>22018866.611560002</v>
      </c>
      <c r="AA23" s="62">
        <v>17141832</v>
      </c>
      <c r="AB23" s="62">
        <v>4877035</v>
      </c>
      <c r="AC23" s="10">
        <v>22827562.789220002</v>
      </c>
      <c r="AD23" s="10">
        <v>17549961</v>
      </c>
      <c r="AE23" s="10">
        <v>5393484.5103722075</v>
      </c>
      <c r="AF23" s="10">
        <v>23024892.666360006</v>
      </c>
      <c r="AG23" s="10">
        <v>17849470</v>
      </c>
      <c r="AH23" s="10">
        <v>5455184.5103722075</v>
      </c>
      <c r="AI23" s="10">
        <v>23394153.285179999</v>
      </c>
      <c r="AJ23" s="10">
        <v>18210677</v>
      </c>
      <c r="AK23" s="31">
        <v>5517159.5103722075</v>
      </c>
      <c r="AL23" s="10">
        <v>23999962.492609996</v>
      </c>
      <c r="AM23" s="10">
        <v>18808879</v>
      </c>
      <c r="AN23" s="31">
        <v>5579509.5103722075</v>
      </c>
      <c r="AO23" s="10">
        <v>24958578.790420003</v>
      </c>
      <c r="AP23" s="10">
        <v>19022776</v>
      </c>
      <c r="AQ23" s="31">
        <v>5935803</v>
      </c>
    </row>
    <row r="24" spans="1:43">
      <c r="A24" s="102">
        <v>15</v>
      </c>
      <c r="B24" s="7" t="s">
        <v>1721</v>
      </c>
      <c r="C24" s="103">
        <v>69.81</v>
      </c>
      <c r="D24" s="62">
        <v>0</v>
      </c>
      <c r="E24" s="37">
        <v>0</v>
      </c>
      <c r="F24" s="62">
        <v>0</v>
      </c>
      <c r="G24" s="62">
        <v>0</v>
      </c>
      <c r="H24" s="62">
        <v>0</v>
      </c>
      <c r="I24" s="62">
        <v>0</v>
      </c>
      <c r="J24" s="62">
        <v>0</v>
      </c>
      <c r="K24" s="62">
        <v>0</v>
      </c>
      <c r="L24" s="62">
        <v>0</v>
      </c>
      <c r="M24" s="62">
        <v>0</v>
      </c>
      <c r="N24" s="62">
        <v>0</v>
      </c>
      <c r="O24" s="62">
        <v>0</v>
      </c>
      <c r="P24" s="62">
        <v>0</v>
      </c>
      <c r="Q24" s="62">
        <v>0</v>
      </c>
      <c r="R24" s="62">
        <v>0</v>
      </c>
      <c r="S24" s="62">
        <v>0</v>
      </c>
      <c r="T24" s="62">
        <v>0</v>
      </c>
      <c r="U24" s="62">
        <v>0</v>
      </c>
      <c r="V24" s="62">
        <v>0</v>
      </c>
      <c r="W24" s="62">
        <v>0</v>
      </c>
      <c r="X24" s="62">
        <v>0</v>
      </c>
      <c r="Y24" s="62">
        <v>0</v>
      </c>
      <c r="Z24" s="62">
        <v>0</v>
      </c>
      <c r="AA24" s="62">
        <v>0</v>
      </c>
      <c r="AB24" s="62">
        <v>0</v>
      </c>
      <c r="AC24" s="10">
        <v>0</v>
      </c>
      <c r="AD24" s="10">
        <v>0</v>
      </c>
      <c r="AE24" s="10">
        <v>0</v>
      </c>
      <c r="AF24" s="10">
        <v>0</v>
      </c>
      <c r="AG24" s="10">
        <v>0</v>
      </c>
      <c r="AH24" s="10">
        <v>0</v>
      </c>
      <c r="AI24" s="10">
        <v>0</v>
      </c>
      <c r="AJ24" s="10">
        <v>0</v>
      </c>
      <c r="AK24" s="31">
        <v>0</v>
      </c>
      <c r="AL24" s="10">
        <v>0</v>
      </c>
      <c r="AM24" s="10">
        <v>0</v>
      </c>
      <c r="AN24" s="31">
        <v>0</v>
      </c>
      <c r="AO24" s="10">
        <v>26341.840000000004</v>
      </c>
      <c r="AP24" s="10">
        <v>3873</v>
      </c>
      <c r="AQ24" s="31">
        <v>22469</v>
      </c>
    </row>
    <row r="25" spans="1:43">
      <c r="A25" s="102">
        <v>16</v>
      </c>
      <c r="B25" s="7" t="s">
        <v>1722</v>
      </c>
      <c r="C25" s="103">
        <v>52.45</v>
      </c>
      <c r="D25" s="62">
        <v>49581258</v>
      </c>
      <c r="E25" s="37">
        <v>24133853</v>
      </c>
      <c r="F25" s="62">
        <v>26883243.999999996</v>
      </c>
      <c r="G25" s="62">
        <v>51622674.860000007</v>
      </c>
      <c r="H25" s="62">
        <v>26137000</v>
      </c>
      <c r="I25" s="62">
        <v>27866185.999999996</v>
      </c>
      <c r="J25" s="62">
        <v>53454656.395922035</v>
      </c>
      <c r="K25" s="62">
        <v>27572010</v>
      </c>
      <c r="L25" s="62">
        <v>28728682.999999996</v>
      </c>
      <c r="M25" s="62">
        <v>56616897.470000006</v>
      </c>
      <c r="N25" s="62">
        <v>28727620</v>
      </c>
      <c r="O25" s="62">
        <v>27069945.999999996</v>
      </c>
      <c r="P25" s="62">
        <v>3181356</v>
      </c>
      <c r="Q25" s="62">
        <v>58918761.277305275</v>
      </c>
      <c r="R25" s="62">
        <v>28533080</v>
      </c>
      <c r="S25" s="62">
        <v>29646276</v>
      </c>
      <c r="T25" s="62">
        <v>739405</v>
      </c>
      <c r="U25" s="62">
        <v>57958272.469619997</v>
      </c>
      <c r="V25" s="62">
        <v>29329457</v>
      </c>
      <c r="W25" s="62">
        <v>28610552</v>
      </c>
      <c r="X25" s="62">
        <v>153594</v>
      </c>
      <c r="Y25" s="62">
        <v>1774285</v>
      </c>
      <c r="Z25" s="62">
        <v>59072872.719999991</v>
      </c>
      <c r="AA25" s="62">
        <v>30079922</v>
      </c>
      <c r="AB25" s="62">
        <v>28992951</v>
      </c>
      <c r="AC25" s="10">
        <v>63511315.789999999</v>
      </c>
      <c r="AD25" s="10">
        <v>31014381</v>
      </c>
      <c r="AE25" s="10">
        <v>32496935</v>
      </c>
      <c r="AF25" s="10">
        <v>65997192.829999998</v>
      </c>
      <c r="AG25" s="10">
        <v>31917394</v>
      </c>
      <c r="AH25" s="10">
        <v>34079799</v>
      </c>
      <c r="AI25" s="10">
        <v>66876305.419999994</v>
      </c>
      <c r="AJ25" s="10">
        <v>32678917</v>
      </c>
      <c r="AK25" s="31">
        <v>34235474</v>
      </c>
      <c r="AL25" s="10">
        <v>68325590.250000015</v>
      </c>
      <c r="AM25" s="10">
        <v>33083184</v>
      </c>
      <c r="AN25" s="31">
        <v>35242406</v>
      </c>
      <c r="AO25" s="10">
        <v>68466287.280000016</v>
      </c>
      <c r="AP25" s="10">
        <v>32806836</v>
      </c>
      <c r="AQ25" s="31">
        <v>35659451</v>
      </c>
    </row>
    <row r="26" spans="1:43">
      <c r="A26" s="102">
        <v>17</v>
      </c>
      <c r="B26" s="7" t="s">
        <v>1723</v>
      </c>
      <c r="C26" s="103">
        <v>39.65</v>
      </c>
      <c r="D26" s="62">
        <v>16499311</v>
      </c>
      <c r="E26" s="37">
        <v>14372371</v>
      </c>
      <c r="F26" s="62">
        <v>3851160.4</v>
      </c>
      <c r="G26" s="62">
        <v>17023458.98</v>
      </c>
      <c r="H26" s="62">
        <v>14092633</v>
      </c>
      <c r="I26" s="62">
        <v>4305255.4000000004</v>
      </c>
      <c r="J26" s="62">
        <v>18480214.973095328</v>
      </c>
      <c r="K26" s="62">
        <v>14055240</v>
      </c>
      <c r="L26" s="62">
        <v>5071081.4000000004</v>
      </c>
      <c r="M26" s="62">
        <v>19659678.48</v>
      </c>
      <c r="N26" s="62">
        <v>13968259</v>
      </c>
      <c r="O26" s="62">
        <v>5197030.4000000004</v>
      </c>
      <c r="P26" s="62">
        <v>610773</v>
      </c>
      <c r="Q26" s="62">
        <v>20439500.344528228</v>
      </c>
      <c r="R26" s="62">
        <v>14187753</v>
      </c>
      <c r="S26" s="62">
        <v>5691647</v>
      </c>
      <c r="T26" s="62">
        <v>560100</v>
      </c>
      <c r="U26" s="62">
        <v>20652528.680219997</v>
      </c>
      <c r="V26" s="62">
        <v>14065172</v>
      </c>
      <c r="W26" s="62">
        <v>6460963</v>
      </c>
      <c r="X26" s="62">
        <v>34685</v>
      </c>
      <c r="Y26" s="62">
        <v>91709</v>
      </c>
      <c r="Z26" s="62">
        <v>20662647.859999999</v>
      </c>
      <c r="AA26" s="62">
        <v>14287674</v>
      </c>
      <c r="AB26" s="62">
        <v>6495648</v>
      </c>
      <c r="AC26" s="10">
        <v>22131023.739999998</v>
      </c>
      <c r="AD26" s="10">
        <v>14570334</v>
      </c>
      <c r="AE26" s="10">
        <v>7942820.3625045</v>
      </c>
      <c r="AF26" s="10">
        <v>22143759.650000002</v>
      </c>
      <c r="AG26" s="10">
        <v>14877912</v>
      </c>
      <c r="AH26" s="10">
        <v>8141597.1613508752</v>
      </c>
      <c r="AI26" s="10">
        <v>22469656.549999997</v>
      </c>
      <c r="AJ26" s="10">
        <v>14563293</v>
      </c>
      <c r="AK26" s="31">
        <v>8389817.1613508761</v>
      </c>
      <c r="AL26" s="10">
        <v>22643826.370000001</v>
      </c>
      <c r="AM26" s="10">
        <v>14394734</v>
      </c>
      <c r="AN26" s="31">
        <v>8448392.1613508761</v>
      </c>
      <c r="AO26" s="10">
        <v>23122124.420000002</v>
      </c>
      <c r="AP26" s="10">
        <v>14141768</v>
      </c>
      <c r="AQ26" s="31">
        <v>8983238</v>
      </c>
    </row>
    <row r="27" spans="1:43">
      <c r="A27" s="102">
        <v>18</v>
      </c>
      <c r="B27" s="7" t="s">
        <v>1724</v>
      </c>
      <c r="C27" s="103">
        <v>26.04</v>
      </c>
      <c r="D27" s="62">
        <v>4314744</v>
      </c>
      <c r="E27" s="37">
        <v>5219399</v>
      </c>
      <c r="F27" s="62">
        <v>598615.19999999995</v>
      </c>
      <c r="G27" s="62">
        <v>4744879.2</v>
      </c>
      <c r="H27" s="62">
        <v>5087039</v>
      </c>
      <c r="I27" s="62">
        <v>689890.2</v>
      </c>
      <c r="J27" s="62">
        <v>4908325.580745657</v>
      </c>
      <c r="K27" s="62">
        <v>4879669</v>
      </c>
      <c r="L27" s="62">
        <v>821450.2</v>
      </c>
      <c r="M27" s="62">
        <v>4880185.91</v>
      </c>
      <c r="N27" s="62">
        <v>4634153</v>
      </c>
      <c r="O27" s="62">
        <v>787773.2</v>
      </c>
      <c r="P27" s="62">
        <v>92582</v>
      </c>
      <c r="Q27" s="62">
        <v>5079184.7577110045</v>
      </c>
      <c r="R27" s="62">
        <v>4655392</v>
      </c>
      <c r="S27" s="62">
        <v>862748</v>
      </c>
      <c r="T27" s="62">
        <v>0</v>
      </c>
      <c r="U27" s="62">
        <v>5003299.8623400005</v>
      </c>
      <c r="V27" s="62">
        <v>4683156</v>
      </c>
      <c r="W27" s="62">
        <v>812346</v>
      </c>
      <c r="X27" s="62">
        <v>4361</v>
      </c>
      <c r="Y27" s="62">
        <v>59766</v>
      </c>
      <c r="Z27" s="62">
        <v>5311469.62</v>
      </c>
      <c r="AA27" s="62">
        <v>4662241</v>
      </c>
      <c r="AB27" s="62">
        <v>816707</v>
      </c>
      <c r="AC27" s="10">
        <v>5330691.71</v>
      </c>
      <c r="AD27" s="10">
        <v>4889789</v>
      </c>
      <c r="AE27" s="10">
        <v>874133.94566824997</v>
      </c>
      <c r="AF27" s="10">
        <v>5277960.9499999993</v>
      </c>
      <c r="AG27" s="10">
        <v>4882181</v>
      </c>
      <c r="AH27" s="10">
        <v>902872.92975868739</v>
      </c>
      <c r="AI27" s="10">
        <v>5301350.57</v>
      </c>
      <c r="AJ27" s="10">
        <v>4680844</v>
      </c>
      <c r="AK27" s="31">
        <v>946828.92975868739</v>
      </c>
      <c r="AL27" s="10">
        <v>5497208.8500000006</v>
      </c>
      <c r="AM27" s="10">
        <v>4485828</v>
      </c>
      <c r="AN27" s="31">
        <v>1011381</v>
      </c>
      <c r="AO27" s="10">
        <v>5736311.7000000011</v>
      </c>
      <c r="AP27" s="10">
        <v>4321841</v>
      </c>
      <c r="AQ27" s="31">
        <v>1414471</v>
      </c>
    </row>
    <row r="28" spans="1:43">
      <c r="A28" s="102">
        <v>19</v>
      </c>
      <c r="B28" s="7" t="s">
        <v>1725</v>
      </c>
      <c r="C28" s="103">
        <v>33.47</v>
      </c>
      <c r="D28" s="62">
        <v>8246427</v>
      </c>
      <c r="E28" s="37">
        <v>6215760</v>
      </c>
      <c r="F28" s="62">
        <v>3640814</v>
      </c>
      <c r="G28" s="62">
        <v>8871545.0322399996</v>
      </c>
      <c r="H28" s="62">
        <v>6363490</v>
      </c>
      <c r="I28" s="62">
        <v>3883672</v>
      </c>
      <c r="J28" s="62">
        <v>9386273.5519316979</v>
      </c>
      <c r="K28" s="62">
        <v>6352709</v>
      </c>
      <c r="L28" s="62">
        <v>4095225</v>
      </c>
      <c r="M28" s="62">
        <v>9764441.5805200022</v>
      </c>
      <c r="N28" s="62">
        <v>6347229</v>
      </c>
      <c r="O28" s="62">
        <v>3805903</v>
      </c>
      <c r="P28" s="62">
        <v>447283</v>
      </c>
      <c r="Q28" s="62">
        <v>10086779.713210486</v>
      </c>
      <c r="R28" s="62">
        <v>6445455</v>
      </c>
      <c r="S28" s="62">
        <v>4168122</v>
      </c>
      <c r="T28" s="62">
        <v>0</v>
      </c>
      <c r="U28" s="62">
        <v>643993</v>
      </c>
      <c r="V28" s="62">
        <v>415421.3758135406</v>
      </c>
      <c r="W28" s="62">
        <v>253793</v>
      </c>
      <c r="X28" s="62">
        <v>1362</v>
      </c>
      <c r="Y28" s="62">
        <v>16107</v>
      </c>
      <c r="Z28" s="62">
        <v>769483.96129999985</v>
      </c>
      <c r="AA28" s="62">
        <v>504740</v>
      </c>
      <c r="AB28" s="62">
        <v>264744</v>
      </c>
      <c r="AC28" s="17">
        <v>104146</v>
      </c>
      <c r="AD28" s="10">
        <v>557301</v>
      </c>
      <c r="AE28" s="17">
        <v>38995</v>
      </c>
      <c r="AF28" s="10">
        <v>0</v>
      </c>
      <c r="AG28" s="10">
        <v>0</v>
      </c>
      <c r="AH28" s="10">
        <v>0</v>
      </c>
      <c r="AI28" s="10">
        <v>0</v>
      </c>
      <c r="AJ28" s="10">
        <v>0</v>
      </c>
      <c r="AK28" s="31">
        <v>0</v>
      </c>
      <c r="AL28" s="10">
        <v>0</v>
      </c>
      <c r="AM28" s="10">
        <v>0</v>
      </c>
      <c r="AN28" s="31">
        <v>0</v>
      </c>
      <c r="AO28" s="10">
        <v>0</v>
      </c>
      <c r="AP28" s="10">
        <v>0</v>
      </c>
      <c r="AQ28" s="31">
        <v>0</v>
      </c>
    </row>
    <row r="29" spans="1:43">
      <c r="A29" s="102">
        <v>20</v>
      </c>
      <c r="B29" s="7" t="s">
        <v>1726</v>
      </c>
      <c r="C29" s="103">
        <v>17.5</v>
      </c>
      <c r="D29" s="62">
        <v>47026157</v>
      </c>
      <c r="E29" s="37">
        <v>46712289</v>
      </c>
      <c r="F29" s="62">
        <v>6420888</v>
      </c>
      <c r="G29" s="62">
        <v>47204345.670000002</v>
      </c>
      <c r="H29" s="62">
        <v>46877880</v>
      </c>
      <c r="I29" s="62">
        <v>6788862</v>
      </c>
      <c r="J29" s="62">
        <v>48539833.542866066</v>
      </c>
      <c r="K29" s="62">
        <v>45893085</v>
      </c>
      <c r="L29" s="62">
        <v>7300545</v>
      </c>
      <c r="M29" s="62">
        <v>49407513.479999997</v>
      </c>
      <c r="N29" s="62">
        <v>45447325</v>
      </c>
      <c r="O29" s="62">
        <v>6930189</v>
      </c>
      <c r="P29" s="62">
        <v>814460</v>
      </c>
      <c r="Q29" s="62">
        <v>50897964.509274639</v>
      </c>
      <c r="R29" s="62">
        <v>45599938</v>
      </c>
      <c r="S29" s="62">
        <v>7589756</v>
      </c>
      <c r="T29" s="62">
        <v>0</v>
      </c>
      <c r="U29" s="62">
        <v>49664767.726020001</v>
      </c>
      <c r="V29" s="62">
        <v>44936193</v>
      </c>
      <c r="W29" s="62">
        <v>7146363</v>
      </c>
      <c r="X29" s="62">
        <v>38365</v>
      </c>
      <c r="Y29" s="62">
        <v>542328</v>
      </c>
      <c r="Z29" s="62">
        <v>49571418</v>
      </c>
      <c r="AA29" s="62">
        <v>44732590</v>
      </c>
      <c r="AB29" s="62">
        <v>7184728</v>
      </c>
      <c r="AC29" s="10">
        <v>52647431.899999999</v>
      </c>
      <c r="AD29" s="10">
        <v>46300239</v>
      </c>
      <c r="AE29" s="10">
        <v>7401888</v>
      </c>
      <c r="AF29" s="10">
        <v>53905631.089999996</v>
      </c>
      <c r="AG29" s="10">
        <v>47284048</v>
      </c>
      <c r="AH29" s="10">
        <v>7909787.3601874998</v>
      </c>
      <c r="AI29" s="10">
        <v>53870372.68999999</v>
      </c>
      <c r="AJ29" s="10">
        <v>46207751</v>
      </c>
      <c r="AK29" s="31">
        <v>8440922.3601875007</v>
      </c>
      <c r="AL29" s="10">
        <v>55521659.879999995</v>
      </c>
      <c r="AM29" s="10">
        <v>46784953</v>
      </c>
      <c r="AN29" s="31">
        <v>8736707</v>
      </c>
      <c r="AO29" s="10">
        <v>57300644.839999989</v>
      </c>
      <c r="AP29" s="10">
        <v>47453547</v>
      </c>
      <c r="AQ29" s="31">
        <v>9847098</v>
      </c>
    </row>
    <row r="30" spans="1:43">
      <c r="A30" s="102">
        <v>21</v>
      </c>
      <c r="B30" s="7" t="s">
        <v>1727</v>
      </c>
      <c r="C30" s="103">
        <v>60.85</v>
      </c>
      <c r="D30" s="62">
        <v>19593</v>
      </c>
      <c r="E30" s="37">
        <v>9834</v>
      </c>
      <c r="F30" s="62">
        <v>15043</v>
      </c>
      <c r="G30" s="62">
        <v>21699.32</v>
      </c>
      <c r="H30" s="62">
        <v>7253</v>
      </c>
      <c r="I30" s="62">
        <v>16444</v>
      </c>
      <c r="J30" s="62">
        <v>22710.54</v>
      </c>
      <c r="K30" s="62">
        <v>6521</v>
      </c>
      <c r="L30" s="62">
        <v>17100</v>
      </c>
      <c r="M30" s="62">
        <v>23886.98</v>
      </c>
      <c r="N30" s="62">
        <v>7013</v>
      </c>
      <c r="O30" s="62">
        <v>17858</v>
      </c>
      <c r="P30" s="62">
        <v>0</v>
      </c>
      <c r="Q30" s="62">
        <v>61532.87502392345</v>
      </c>
      <c r="R30" s="62">
        <v>22041</v>
      </c>
      <c r="S30" s="62">
        <v>17501</v>
      </c>
      <c r="T30" s="62">
        <v>21991</v>
      </c>
      <c r="U30" s="62">
        <v>0</v>
      </c>
      <c r="V30" s="62">
        <v>0</v>
      </c>
      <c r="W30" s="62">
        <v>0</v>
      </c>
      <c r="X30" s="62">
        <v>0</v>
      </c>
      <c r="Y30" s="62">
        <v>0</v>
      </c>
      <c r="Z30" s="62">
        <v>12250.07</v>
      </c>
      <c r="AA30" s="62">
        <v>4767</v>
      </c>
      <c r="AB30" s="62">
        <v>7483</v>
      </c>
      <c r="AC30" s="10">
        <v>25394.420000000002</v>
      </c>
      <c r="AD30" s="10">
        <v>10406</v>
      </c>
      <c r="AE30" s="10">
        <v>14988</v>
      </c>
      <c r="AF30" s="10">
        <v>12894.02</v>
      </c>
      <c r="AG30" s="10">
        <v>5544</v>
      </c>
      <c r="AH30" s="10">
        <v>12894.02</v>
      </c>
      <c r="AI30" s="10">
        <v>0</v>
      </c>
      <c r="AJ30" s="10">
        <v>0</v>
      </c>
      <c r="AK30" s="31">
        <v>0</v>
      </c>
      <c r="AL30" s="10">
        <v>0</v>
      </c>
      <c r="AM30" s="10">
        <v>0</v>
      </c>
      <c r="AN30" s="31">
        <v>0</v>
      </c>
      <c r="AO30" s="10">
        <v>0</v>
      </c>
      <c r="AP30" s="10">
        <v>0</v>
      </c>
      <c r="AQ30" s="31">
        <v>0</v>
      </c>
    </row>
    <row r="31" spans="1:43">
      <c r="A31" s="102">
        <v>22</v>
      </c>
      <c r="B31" s="7" t="s">
        <v>1728</v>
      </c>
      <c r="C31" s="103">
        <v>17.5</v>
      </c>
      <c r="D31" s="62">
        <v>48982</v>
      </c>
      <c r="E31" s="37">
        <v>54219</v>
      </c>
      <c r="F31" s="62">
        <v>48982</v>
      </c>
      <c r="G31" s="62">
        <v>140168.19</v>
      </c>
      <c r="H31" s="62">
        <v>87604</v>
      </c>
      <c r="I31" s="62">
        <v>79274</v>
      </c>
      <c r="J31" s="62">
        <v>146700.20000000001</v>
      </c>
      <c r="K31" s="62">
        <v>105888</v>
      </c>
      <c r="L31" s="62">
        <v>80981</v>
      </c>
      <c r="M31" s="62">
        <v>95547.92</v>
      </c>
      <c r="N31" s="62">
        <v>70485</v>
      </c>
      <c r="O31" s="62">
        <v>81381</v>
      </c>
      <c r="P31" s="62">
        <v>0</v>
      </c>
      <c r="Q31" s="62">
        <v>86146.025033492828</v>
      </c>
      <c r="R31" s="62">
        <v>68508</v>
      </c>
      <c r="S31" s="62">
        <v>79753</v>
      </c>
      <c r="T31" s="62">
        <v>0</v>
      </c>
      <c r="U31" s="62">
        <v>155492.25912</v>
      </c>
      <c r="V31" s="62">
        <v>142385</v>
      </c>
      <c r="W31" s="62">
        <v>76563</v>
      </c>
      <c r="X31" s="62">
        <v>0</v>
      </c>
      <c r="Y31" s="62">
        <v>0</v>
      </c>
      <c r="Z31" s="62">
        <v>170510.26</v>
      </c>
      <c r="AA31" s="62">
        <v>161768</v>
      </c>
      <c r="AB31" s="62">
        <v>76563</v>
      </c>
      <c r="AC31" s="10">
        <v>227522.88</v>
      </c>
      <c r="AD31" s="10">
        <v>221631</v>
      </c>
      <c r="AE31" s="10">
        <v>76563</v>
      </c>
      <c r="AF31" s="10">
        <v>218155.53</v>
      </c>
      <c r="AG31" s="10">
        <v>210026</v>
      </c>
      <c r="AH31" s="10">
        <v>76563</v>
      </c>
      <c r="AI31" s="10">
        <v>246041.35</v>
      </c>
      <c r="AJ31" s="10">
        <v>221437</v>
      </c>
      <c r="AK31" s="31">
        <v>76563</v>
      </c>
      <c r="AL31" s="10">
        <v>118799.64000000001</v>
      </c>
      <c r="AM31" s="10">
        <v>103997</v>
      </c>
      <c r="AN31" s="31">
        <v>76563</v>
      </c>
      <c r="AO31" s="10">
        <v>170156.80000000002</v>
      </c>
      <c r="AP31" s="10">
        <v>141158</v>
      </c>
      <c r="AQ31" s="31">
        <v>76563</v>
      </c>
    </row>
    <row r="32" spans="1:43">
      <c r="A32" s="102">
        <v>23</v>
      </c>
      <c r="B32" s="7" t="s">
        <v>1729</v>
      </c>
      <c r="C32" s="103">
        <v>17.5</v>
      </c>
      <c r="D32" s="62">
        <v>17469341</v>
      </c>
      <c r="E32" s="37">
        <v>19992834</v>
      </c>
      <c r="F32" s="62">
        <v>2053688</v>
      </c>
      <c r="G32" s="62">
        <v>18847501.762400001</v>
      </c>
      <c r="H32" s="62">
        <v>20198035</v>
      </c>
      <c r="I32" s="62">
        <v>2302613</v>
      </c>
      <c r="J32" s="62">
        <v>19936512.315641664</v>
      </c>
      <c r="K32" s="62">
        <v>20143875</v>
      </c>
      <c r="L32" s="62">
        <v>2658496</v>
      </c>
      <c r="M32" s="62">
        <v>21540315.715160001</v>
      </c>
      <c r="N32" s="62">
        <v>20229106</v>
      </c>
      <c r="O32" s="62">
        <v>2707008</v>
      </c>
      <c r="P32" s="62">
        <v>318137</v>
      </c>
      <c r="Q32" s="62">
        <v>22837847.15390702</v>
      </c>
      <c r="R32" s="62">
        <v>20263035</v>
      </c>
      <c r="S32" s="62">
        <v>2964642</v>
      </c>
      <c r="T32" s="62">
        <v>0</v>
      </c>
      <c r="U32" s="62">
        <v>22281982.144923359</v>
      </c>
      <c r="V32" s="62">
        <v>20213672</v>
      </c>
      <c r="W32" s="62">
        <v>2791448</v>
      </c>
      <c r="X32" s="62">
        <v>14986</v>
      </c>
      <c r="Y32" s="62">
        <v>220883</v>
      </c>
      <c r="Z32" s="62">
        <v>22574959.842000004</v>
      </c>
      <c r="AA32" s="62">
        <v>20395123</v>
      </c>
      <c r="AB32" s="62">
        <v>2806434</v>
      </c>
      <c r="AC32" s="10">
        <v>24305160.20324</v>
      </c>
      <c r="AD32" s="10">
        <v>20957504</v>
      </c>
      <c r="AE32" s="10">
        <v>3729645.7841924857</v>
      </c>
      <c r="AF32" s="10">
        <v>25381920.618640006</v>
      </c>
      <c r="AG32" s="10">
        <v>21670472</v>
      </c>
      <c r="AH32" s="17">
        <f>3907693.36520986+16844</f>
        <v>3924537.3652098598</v>
      </c>
      <c r="AI32" s="10">
        <v>25862895.333689999</v>
      </c>
      <c r="AJ32" s="10">
        <v>21890571</v>
      </c>
      <c r="AK32" s="31">
        <v>4145009.3652098598</v>
      </c>
      <c r="AL32" s="10">
        <v>26053076.229189999</v>
      </c>
      <c r="AM32" s="10">
        <v>22187734</v>
      </c>
      <c r="AN32" s="31">
        <v>4209634.3652098598</v>
      </c>
      <c r="AO32" s="10">
        <v>25950850.370000001</v>
      </c>
      <c r="AP32" s="10">
        <v>21694256</v>
      </c>
      <c r="AQ32" s="31">
        <v>4352414.3652098598</v>
      </c>
    </row>
    <row r="33" spans="1:43">
      <c r="A33" s="102">
        <v>24</v>
      </c>
      <c r="B33" s="7" t="s">
        <v>1730</v>
      </c>
      <c r="C33" s="103">
        <v>51.42</v>
      </c>
      <c r="D33" s="62">
        <v>18090392</v>
      </c>
      <c r="E33" s="37">
        <v>8585608</v>
      </c>
      <c r="F33" s="62">
        <v>9504784</v>
      </c>
      <c r="G33" s="62">
        <v>19713838.600000001</v>
      </c>
      <c r="H33" s="62">
        <v>9148930</v>
      </c>
      <c r="I33" s="62">
        <v>10564909</v>
      </c>
      <c r="J33" s="62">
        <v>20636641.406207636</v>
      </c>
      <c r="K33" s="62">
        <v>9371626</v>
      </c>
      <c r="L33" s="62">
        <v>11265015</v>
      </c>
      <c r="M33" s="62">
        <v>22678130.579999998</v>
      </c>
      <c r="N33" s="62">
        <v>9514031</v>
      </c>
      <c r="O33" s="62">
        <v>11779707</v>
      </c>
      <c r="P33" s="62">
        <v>1384393</v>
      </c>
      <c r="Q33" s="62">
        <v>23575322.127127279</v>
      </c>
      <c r="R33" s="62">
        <v>9788345</v>
      </c>
      <c r="S33" s="62">
        <v>12900818</v>
      </c>
      <c r="T33" s="62">
        <v>886159</v>
      </c>
      <c r="U33" s="62">
        <v>22816367.782979999</v>
      </c>
      <c r="V33" s="62">
        <v>9964385</v>
      </c>
      <c r="W33" s="62">
        <v>12981543</v>
      </c>
      <c r="X33" s="62">
        <v>69691</v>
      </c>
      <c r="Y33" s="62">
        <v>802818</v>
      </c>
      <c r="Z33" s="62">
        <v>23483392.580000002</v>
      </c>
      <c r="AA33" s="62">
        <v>10232132</v>
      </c>
      <c r="AB33" s="62">
        <v>13251261</v>
      </c>
      <c r="AC33" s="10">
        <v>23567308.230000004</v>
      </c>
      <c r="AD33" s="10">
        <v>10469424</v>
      </c>
      <c r="AE33" s="10">
        <v>13355141</v>
      </c>
      <c r="AF33" s="10">
        <v>23833924.679999996</v>
      </c>
      <c r="AG33" s="10">
        <v>10829462</v>
      </c>
      <c r="AH33" s="10">
        <v>13419341</v>
      </c>
      <c r="AI33" s="10">
        <v>23327151.939999998</v>
      </c>
      <c r="AJ33" s="10">
        <v>11128856</v>
      </c>
      <c r="AK33" s="31">
        <v>13481666</v>
      </c>
      <c r="AL33" s="10">
        <v>22973661.619999997</v>
      </c>
      <c r="AM33" s="10">
        <v>11383708</v>
      </c>
      <c r="AN33" s="31">
        <v>13541691</v>
      </c>
      <c r="AO33" s="10">
        <v>23089848.73</v>
      </c>
      <c r="AP33" s="10">
        <v>11282677</v>
      </c>
      <c r="AQ33" s="31">
        <v>13673306</v>
      </c>
    </row>
    <row r="34" spans="1:43">
      <c r="A34" s="102">
        <v>25</v>
      </c>
      <c r="B34" s="7" t="s">
        <v>1731</v>
      </c>
      <c r="C34" s="103">
        <v>32.82</v>
      </c>
      <c r="D34" s="62">
        <v>19213556</v>
      </c>
      <c r="E34" s="37">
        <v>11849997</v>
      </c>
      <c r="F34" s="62">
        <v>7674956.0000000019</v>
      </c>
      <c r="G34" s="62">
        <v>19765781.870000005</v>
      </c>
      <c r="H34" s="62">
        <v>12301746</v>
      </c>
      <c r="I34" s="62">
        <v>7877733.0000000019</v>
      </c>
      <c r="J34" s="62">
        <v>20737641.341686606</v>
      </c>
      <c r="K34" s="62">
        <v>12839032</v>
      </c>
      <c r="L34" s="62">
        <v>8236349</v>
      </c>
      <c r="M34" s="62">
        <v>21635191.629999999</v>
      </c>
      <c r="N34" s="62">
        <v>13286678</v>
      </c>
      <c r="O34" s="62">
        <v>7660683</v>
      </c>
      <c r="P34" s="62">
        <v>900310</v>
      </c>
      <c r="Q34" s="62">
        <v>22336539.266939711</v>
      </c>
      <c r="R34" s="62">
        <v>13855656</v>
      </c>
      <c r="S34" s="62">
        <v>8389773</v>
      </c>
      <c r="T34" s="62">
        <v>91110</v>
      </c>
      <c r="U34" s="62">
        <v>21918230.382779997</v>
      </c>
      <c r="V34" s="62">
        <v>14070986</v>
      </c>
      <c r="W34" s="62">
        <v>7985431</v>
      </c>
      <c r="X34" s="62">
        <v>42869</v>
      </c>
      <c r="Y34" s="62">
        <v>516233</v>
      </c>
      <c r="Z34" s="62">
        <v>22005905.830000002</v>
      </c>
      <c r="AA34" s="62">
        <v>14331642</v>
      </c>
      <c r="AB34" s="62">
        <v>8028300</v>
      </c>
      <c r="AC34" s="10">
        <v>21897110.52</v>
      </c>
      <c r="AD34" s="10">
        <v>14719762</v>
      </c>
      <c r="AE34" s="10">
        <v>8123660</v>
      </c>
      <c r="AF34" s="10">
        <v>22859867.109999999</v>
      </c>
      <c r="AG34" s="10">
        <v>15024829</v>
      </c>
      <c r="AH34" s="10">
        <v>8184635</v>
      </c>
      <c r="AI34" s="10">
        <v>22925709.119999997</v>
      </c>
      <c r="AJ34" s="10">
        <v>15265577</v>
      </c>
      <c r="AK34" s="31">
        <v>8245235</v>
      </c>
      <c r="AL34" s="10">
        <v>23462633.450000003</v>
      </c>
      <c r="AM34" s="10">
        <v>15314220</v>
      </c>
      <c r="AN34" s="31">
        <v>8305835</v>
      </c>
      <c r="AO34" s="10">
        <v>22360509.420000002</v>
      </c>
      <c r="AP34" s="10">
        <v>15180149</v>
      </c>
      <c r="AQ34" s="31">
        <v>8433985</v>
      </c>
    </row>
    <row r="35" spans="1:43">
      <c r="A35" s="102">
        <v>26</v>
      </c>
      <c r="B35" s="7" t="s">
        <v>1732</v>
      </c>
      <c r="C35" s="103">
        <v>17.5</v>
      </c>
      <c r="D35" s="62">
        <v>25508704</v>
      </c>
      <c r="E35" s="37">
        <v>25370522</v>
      </c>
      <c r="F35" s="62">
        <v>3002919.2</v>
      </c>
      <c r="G35" s="62">
        <v>26906930.229400001</v>
      </c>
      <c r="H35" s="62">
        <v>25515369</v>
      </c>
      <c r="I35" s="62">
        <v>3344078.2</v>
      </c>
      <c r="J35" s="62">
        <v>28888243.350710981</v>
      </c>
      <c r="K35" s="62">
        <v>25916568</v>
      </c>
      <c r="L35" s="62">
        <v>3857487.2</v>
      </c>
      <c r="M35" s="62">
        <v>31086767.443360008</v>
      </c>
      <c r="N35" s="62">
        <v>26482952</v>
      </c>
      <c r="O35" s="62">
        <v>4119658</v>
      </c>
      <c r="P35" s="62">
        <v>484157</v>
      </c>
      <c r="Q35" s="62">
        <v>33630843.731472418</v>
      </c>
      <c r="R35" s="62">
        <v>27745446</v>
      </c>
      <c r="S35" s="62">
        <v>4511739</v>
      </c>
      <c r="T35" s="62">
        <v>1373659</v>
      </c>
      <c r="U35" s="62">
        <v>32919934.323621243</v>
      </c>
      <c r="V35" s="62">
        <v>28127012</v>
      </c>
      <c r="W35" s="62">
        <v>5541573</v>
      </c>
      <c r="X35" s="62">
        <v>29750</v>
      </c>
      <c r="Y35" s="62">
        <v>410300</v>
      </c>
      <c r="Z35" s="62">
        <v>33178102.924880005</v>
      </c>
      <c r="AA35" s="62">
        <v>28699894</v>
      </c>
      <c r="AB35" s="62">
        <v>5571323</v>
      </c>
      <c r="AC35" s="10">
        <v>34247348.968879998</v>
      </c>
      <c r="AD35" s="10">
        <v>29351497</v>
      </c>
      <c r="AE35" s="10">
        <v>5724243</v>
      </c>
      <c r="AF35" s="10">
        <v>35925169.712800004</v>
      </c>
      <c r="AG35" s="10">
        <v>30375090</v>
      </c>
      <c r="AH35" s="10">
        <v>5864908.424935</v>
      </c>
      <c r="AI35" s="10">
        <v>37689370.076880001</v>
      </c>
      <c r="AJ35" s="10">
        <v>31269266</v>
      </c>
      <c r="AK35" s="31">
        <v>6420104</v>
      </c>
      <c r="AL35" s="10">
        <v>39180121.943280004</v>
      </c>
      <c r="AM35" s="10">
        <v>32414023</v>
      </c>
      <c r="AN35" s="31">
        <v>6766099</v>
      </c>
      <c r="AO35" s="10">
        <v>40728661.169720002</v>
      </c>
      <c r="AP35" s="10">
        <v>33616892</v>
      </c>
      <c r="AQ35" s="31">
        <v>7111769</v>
      </c>
    </row>
    <row r="36" spans="1:43">
      <c r="A36" s="102">
        <v>27</v>
      </c>
      <c r="B36" s="7" t="s">
        <v>1733</v>
      </c>
      <c r="C36" s="103">
        <v>47.36</v>
      </c>
      <c r="D36" s="62">
        <v>7643922</v>
      </c>
      <c r="E36" s="37">
        <v>2828497</v>
      </c>
      <c r="F36" s="62">
        <v>4920431</v>
      </c>
      <c r="G36" s="62">
        <v>8272940.120000001</v>
      </c>
      <c r="H36" s="62">
        <v>3113070</v>
      </c>
      <c r="I36" s="62">
        <v>5258969</v>
      </c>
      <c r="J36" s="62">
        <v>8560781.2362940945</v>
      </c>
      <c r="K36" s="62">
        <v>3328896</v>
      </c>
      <c r="L36" s="62">
        <v>5405595</v>
      </c>
      <c r="M36" s="62">
        <v>8827170.8099999987</v>
      </c>
      <c r="N36" s="62">
        <v>3585871</v>
      </c>
      <c r="O36" s="62">
        <v>4954853</v>
      </c>
      <c r="P36" s="62">
        <v>582312</v>
      </c>
      <c r="Q36" s="62">
        <v>9064946.7510200962</v>
      </c>
      <c r="R36" s="62">
        <v>3849845</v>
      </c>
      <c r="S36" s="62">
        <v>5426422</v>
      </c>
      <c r="T36" s="62">
        <v>0</v>
      </c>
      <c r="U36" s="62">
        <v>6358267</v>
      </c>
      <c r="V36" s="62">
        <v>2943167.6275719707</v>
      </c>
      <c r="W36" s="62">
        <v>3785929</v>
      </c>
      <c r="X36" s="62">
        <v>19984</v>
      </c>
      <c r="Y36" s="62">
        <v>230000</v>
      </c>
      <c r="Z36" s="62">
        <v>6692981.5599999996</v>
      </c>
      <c r="AA36" s="62">
        <v>3181543</v>
      </c>
      <c r="AB36" s="62">
        <v>3805913</v>
      </c>
      <c r="AC36" s="10">
        <v>6718784.6800000006</v>
      </c>
      <c r="AD36" s="10">
        <v>3109727</v>
      </c>
      <c r="AE36" s="10">
        <v>3837513</v>
      </c>
      <c r="AF36" s="10">
        <v>6637699.4999999991</v>
      </c>
      <c r="AG36" s="10">
        <v>3087420</v>
      </c>
      <c r="AH36" s="10">
        <v>3856463</v>
      </c>
      <c r="AI36" s="10">
        <v>6578224.6799999988</v>
      </c>
      <c r="AJ36" s="10">
        <v>3202757</v>
      </c>
      <c r="AK36" s="31">
        <v>3875013</v>
      </c>
      <c r="AL36" s="10">
        <v>6569709.3200000003</v>
      </c>
      <c r="AM36" s="10">
        <v>3390355</v>
      </c>
      <c r="AN36" s="31">
        <v>3893088</v>
      </c>
      <c r="AO36" s="10">
        <v>6930346.8399999989</v>
      </c>
      <c r="AP36" s="10">
        <v>3591123</v>
      </c>
      <c r="AQ36" s="31">
        <v>3934448</v>
      </c>
    </row>
    <row r="37" spans="1:43">
      <c r="A37" s="102">
        <v>28</v>
      </c>
      <c r="B37" s="7" t="s">
        <v>1734</v>
      </c>
      <c r="C37" s="103">
        <v>17.5</v>
      </c>
      <c r="D37" s="62">
        <v>1495721</v>
      </c>
      <c r="E37" s="37">
        <v>1260426</v>
      </c>
      <c r="F37" s="62">
        <v>505156.8</v>
      </c>
      <c r="G37" s="62">
        <v>1574409.8655099997</v>
      </c>
      <c r="H37" s="62">
        <v>1380034</v>
      </c>
      <c r="I37" s="62">
        <v>518927.8</v>
      </c>
      <c r="J37" s="62">
        <v>1531631.5569803971</v>
      </c>
      <c r="K37" s="62">
        <v>1426621</v>
      </c>
      <c r="L37" s="62">
        <v>529127.80000000005</v>
      </c>
      <c r="M37" s="62">
        <v>1559344.8398399998</v>
      </c>
      <c r="N37" s="62">
        <v>1379744</v>
      </c>
      <c r="O37" s="62">
        <v>482385.8</v>
      </c>
      <c r="P37" s="62">
        <v>56692</v>
      </c>
      <c r="Q37" s="62">
        <v>1739191.978516578</v>
      </c>
      <c r="R37" s="62">
        <v>1464517</v>
      </c>
      <c r="S37" s="62">
        <v>528296</v>
      </c>
      <c r="T37" s="62">
        <v>0</v>
      </c>
      <c r="U37" s="62">
        <v>1521295.9949798398</v>
      </c>
      <c r="V37" s="62">
        <v>1367714</v>
      </c>
      <c r="W37" s="62">
        <v>497433</v>
      </c>
      <c r="X37" s="62">
        <v>2670</v>
      </c>
      <c r="Y37" s="62">
        <v>32943</v>
      </c>
      <c r="Z37" s="62">
        <v>1493144.841</v>
      </c>
      <c r="AA37" s="62">
        <v>1321677</v>
      </c>
      <c r="AB37" s="62">
        <v>500103</v>
      </c>
      <c r="AC37" s="17">
        <v>1366340</v>
      </c>
      <c r="AD37" s="10">
        <v>1379734</v>
      </c>
      <c r="AE37" s="17">
        <v>428980</v>
      </c>
      <c r="AF37" s="10">
        <v>1449658.5541600001</v>
      </c>
      <c r="AG37" s="10">
        <v>1228268</v>
      </c>
      <c r="AH37" s="10">
        <v>433030</v>
      </c>
      <c r="AI37" s="10">
        <v>1474055.7653800002</v>
      </c>
      <c r="AJ37" s="10">
        <v>1240618</v>
      </c>
      <c r="AK37" s="31">
        <v>437180</v>
      </c>
      <c r="AL37" s="10">
        <v>1394075.23704</v>
      </c>
      <c r="AM37" s="10">
        <v>1182830</v>
      </c>
      <c r="AN37" s="31">
        <v>440980</v>
      </c>
      <c r="AO37" s="10">
        <v>1517885.7034299998</v>
      </c>
      <c r="AP37" s="10">
        <v>1268093</v>
      </c>
      <c r="AQ37" s="31">
        <v>449505</v>
      </c>
    </row>
    <row r="38" spans="1:43">
      <c r="A38" s="102">
        <v>29</v>
      </c>
      <c r="B38" s="7" t="s">
        <v>1735</v>
      </c>
      <c r="C38" s="103">
        <v>43.59</v>
      </c>
      <c r="D38" s="62">
        <v>0</v>
      </c>
      <c r="E38" s="37">
        <v>0</v>
      </c>
      <c r="F38" s="62">
        <v>0</v>
      </c>
      <c r="G38" s="62">
        <v>0</v>
      </c>
      <c r="H38" s="62">
        <v>0</v>
      </c>
      <c r="I38" s="62">
        <v>0</v>
      </c>
      <c r="J38" s="62">
        <v>0</v>
      </c>
      <c r="K38" s="62">
        <v>0</v>
      </c>
      <c r="L38" s="62">
        <v>0</v>
      </c>
      <c r="M38" s="62">
        <v>0</v>
      </c>
      <c r="N38" s="62">
        <v>0</v>
      </c>
      <c r="O38" s="62">
        <v>0</v>
      </c>
      <c r="P38" s="62">
        <v>0</v>
      </c>
      <c r="Q38" s="62">
        <v>24613.150009569381</v>
      </c>
      <c r="R38" s="62">
        <v>12834</v>
      </c>
      <c r="S38" s="62">
        <v>0</v>
      </c>
      <c r="T38" s="62">
        <v>11779</v>
      </c>
      <c r="U38" s="62">
        <v>24071.631359999999</v>
      </c>
      <c r="V38" s="62">
        <v>12891</v>
      </c>
      <c r="W38" s="62">
        <v>11308</v>
      </c>
      <c r="X38" s="62">
        <v>0</v>
      </c>
      <c r="Y38" s="62">
        <v>0</v>
      </c>
      <c r="Z38" s="62">
        <v>12250.07</v>
      </c>
      <c r="AA38" s="62">
        <v>6787</v>
      </c>
      <c r="AB38" s="62">
        <v>11308</v>
      </c>
      <c r="AC38" s="10">
        <v>12697.210000000001</v>
      </c>
      <c r="AD38" s="10">
        <v>6666</v>
      </c>
      <c r="AE38" s="10">
        <v>11308</v>
      </c>
      <c r="AF38" s="10">
        <v>0</v>
      </c>
      <c r="AG38" s="10">
        <v>0</v>
      </c>
      <c r="AH38" s="10">
        <v>0</v>
      </c>
      <c r="AI38" s="10">
        <v>0</v>
      </c>
      <c r="AJ38" s="10">
        <v>0</v>
      </c>
      <c r="AK38" s="31">
        <v>0</v>
      </c>
      <c r="AL38" s="10">
        <v>0</v>
      </c>
      <c r="AM38" s="10">
        <v>0</v>
      </c>
      <c r="AN38" s="31">
        <v>0</v>
      </c>
      <c r="AO38" s="10">
        <v>0</v>
      </c>
      <c r="AP38" s="10">
        <v>0</v>
      </c>
      <c r="AQ38" s="31">
        <v>0</v>
      </c>
    </row>
    <row r="39" spans="1:43">
      <c r="A39" s="102">
        <v>30</v>
      </c>
      <c r="B39" s="7" t="s">
        <v>1736</v>
      </c>
      <c r="C39" s="103">
        <v>17.5</v>
      </c>
      <c r="D39" s="62">
        <v>34118143</v>
      </c>
      <c r="E39" s="37">
        <v>32135174</v>
      </c>
      <c r="F39" s="62">
        <v>6332869.2000000002</v>
      </c>
      <c r="G39" s="62">
        <v>35715876.831259988</v>
      </c>
      <c r="H39" s="62">
        <v>32889802</v>
      </c>
      <c r="I39" s="62">
        <v>6612472.2000000002</v>
      </c>
      <c r="J39" s="62">
        <v>37367798.212748706</v>
      </c>
      <c r="K39" s="62">
        <v>33478649</v>
      </c>
      <c r="L39" s="62">
        <v>6901558.2000000002</v>
      </c>
      <c r="M39" s="62">
        <v>39386154.621250004</v>
      </c>
      <c r="N39" s="62">
        <v>34043028</v>
      </c>
      <c r="O39" s="62">
        <v>6491827.2000000002</v>
      </c>
      <c r="P39" s="62">
        <v>762943</v>
      </c>
      <c r="Q39" s="62">
        <v>39194005.831609689</v>
      </c>
      <c r="R39" s="62">
        <v>34064888</v>
      </c>
      <c r="S39" s="62">
        <v>7109675</v>
      </c>
      <c r="T39" s="62">
        <v>0</v>
      </c>
      <c r="U39" s="62">
        <v>38562013.260270961</v>
      </c>
      <c r="V39" s="62">
        <v>34027524</v>
      </c>
      <c r="W39" s="62">
        <v>6694328</v>
      </c>
      <c r="X39" s="62">
        <v>35938</v>
      </c>
      <c r="Y39" s="62">
        <v>485209</v>
      </c>
      <c r="Z39" s="62">
        <v>39163824.46955999</v>
      </c>
      <c r="AA39" s="62">
        <v>34390816</v>
      </c>
      <c r="AB39" s="62">
        <v>6730266</v>
      </c>
      <c r="AC39" s="10">
        <v>41449624.288350001</v>
      </c>
      <c r="AD39" s="10">
        <v>35366026</v>
      </c>
      <c r="AE39" s="10">
        <v>6901866</v>
      </c>
      <c r="AF39" s="10">
        <v>42458330.514560007</v>
      </c>
      <c r="AG39" s="10">
        <v>36512325</v>
      </c>
      <c r="AH39" s="17">
        <f>7033951.460012+193707</f>
        <v>7227658.4600120001</v>
      </c>
      <c r="AI39" s="10">
        <v>43026226.781149998</v>
      </c>
      <c r="AJ39" s="10">
        <v>36875947</v>
      </c>
      <c r="AK39" s="31">
        <v>7336283.4600120001</v>
      </c>
      <c r="AL39" s="10">
        <v>44949344.692879997</v>
      </c>
      <c r="AM39" s="10">
        <v>37443198</v>
      </c>
      <c r="AN39" s="31">
        <v>7506147</v>
      </c>
      <c r="AO39" s="10">
        <v>44666515.990000002</v>
      </c>
      <c r="AP39" s="10">
        <v>37114279</v>
      </c>
      <c r="AQ39" s="31">
        <v>7750842</v>
      </c>
    </row>
    <row r="40" spans="1:43">
      <c r="A40" s="102">
        <v>31</v>
      </c>
      <c r="B40" s="7" t="s">
        <v>1737</v>
      </c>
      <c r="C40" s="103">
        <v>30.12</v>
      </c>
      <c r="D40" s="62">
        <v>44723745</v>
      </c>
      <c r="E40" s="37">
        <v>33169789</v>
      </c>
      <c r="F40" s="62">
        <v>13000488.000000002</v>
      </c>
      <c r="G40" s="62">
        <v>47634963.546500005</v>
      </c>
      <c r="H40" s="62">
        <v>33645086</v>
      </c>
      <c r="I40" s="62">
        <v>14140521.000000002</v>
      </c>
      <c r="J40" s="62">
        <v>48947057.0166407</v>
      </c>
      <c r="K40" s="62">
        <v>33836479</v>
      </c>
      <c r="L40" s="62">
        <v>15747049.000000002</v>
      </c>
      <c r="M40" s="62">
        <v>51035401.591280006</v>
      </c>
      <c r="N40" s="62">
        <v>33569444</v>
      </c>
      <c r="O40" s="62">
        <v>15629163</v>
      </c>
      <c r="P40" s="62">
        <v>1836795</v>
      </c>
      <c r="Q40" s="62">
        <v>52105541.174899884</v>
      </c>
      <c r="R40" s="62">
        <v>33750443</v>
      </c>
      <c r="S40" s="62">
        <v>17116639</v>
      </c>
      <c r="T40" s="62">
        <v>1238459</v>
      </c>
      <c r="U40" s="62">
        <v>48993356.292637311</v>
      </c>
      <c r="V40" s="62">
        <v>33261644</v>
      </c>
      <c r="W40" s="62">
        <v>17282794</v>
      </c>
      <c r="X40" s="62">
        <v>92782</v>
      </c>
      <c r="Y40" s="62">
        <v>1127922</v>
      </c>
      <c r="Z40" s="62">
        <v>50875415.991750009</v>
      </c>
      <c r="AA40" s="62">
        <v>33909226</v>
      </c>
      <c r="AB40" s="62">
        <v>17375576</v>
      </c>
      <c r="AC40" s="10">
        <v>52527991.367600001</v>
      </c>
      <c r="AD40" s="10">
        <v>34773532</v>
      </c>
      <c r="AE40" s="10">
        <v>18204887.04653937</v>
      </c>
      <c r="AF40" s="10">
        <v>51957284.506579995</v>
      </c>
      <c r="AG40" s="10">
        <v>35443588</v>
      </c>
      <c r="AH40" s="17">
        <f>18343562.0465394+8422</f>
        <v>18351984.0465394</v>
      </c>
      <c r="AI40" s="10">
        <v>50581059.937599994</v>
      </c>
      <c r="AJ40" s="10">
        <v>35165450</v>
      </c>
      <c r="AK40" s="31">
        <v>18486609.0465394</v>
      </c>
      <c r="AL40" s="10">
        <v>51437518.584149994</v>
      </c>
      <c r="AM40" s="10">
        <v>35483899</v>
      </c>
      <c r="AN40" s="31">
        <v>18620584.0465394</v>
      </c>
      <c r="AO40" s="10">
        <v>49371895.506909996</v>
      </c>
      <c r="AP40" s="10">
        <v>34830635</v>
      </c>
      <c r="AQ40" s="31">
        <v>18904494.0465394</v>
      </c>
    </row>
    <row r="41" spans="1:43">
      <c r="A41" s="102">
        <v>32</v>
      </c>
      <c r="B41" s="7" t="s">
        <v>1738</v>
      </c>
      <c r="C41" s="103">
        <v>49.94</v>
      </c>
      <c r="D41" s="62">
        <v>78960</v>
      </c>
      <c r="E41" s="37">
        <v>54427</v>
      </c>
      <c r="F41" s="62">
        <v>38854</v>
      </c>
      <c r="G41" s="62">
        <v>194416.49</v>
      </c>
      <c r="H41" s="62">
        <v>79381</v>
      </c>
      <c r="I41" s="62">
        <v>115035</v>
      </c>
      <c r="J41" s="62">
        <v>192121.28</v>
      </c>
      <c r="K41" s="62">
        <v>87676</v>
      </c>
      <c r="L41" s="62">
        <v>115785</v>
      </c>
      <c r="M41" s="62">
        <v>214016.92</v>
      </c>
      <c r="N41" s="62">
        <v>93849</v>
      </c>
      <c r="O41" s="62">
        <v>127344</v>
      </c>
      <c r="P41" s="62">
        <v>0</v>
      </c>
      <c r="Q41" s="62">
        <v>208216.51714449763</v>
      </c>
      <c r="R41" s="62">
        <v>92534</v>
      </c>
      <c r="S41" s="62">
        <v>124797</v>
      </c>
      <c r="T41" s="62">
        <v>0</v>
      </c>
      <c r="U41" s="62">
        <v>84250.709759999998</v>
      </c>
      <c r="V41" s="62">
        <v>38469</v>
      </c>
      <c r="W41" s="62">
        <v>84250.709759999998</v>
      </c>
      <c r="X41" s="62">
        <v>0</v>
      </c>
      <c r="Y41" s="62">
        <v>0</v>
      </c>
      <c r="Z41" s="62">
        <v>85750.49</v>
      </c>
      <c r="AA41" s="62">
        <v>40589</v>
      </c>
      <c r="AB41" s="62">
        <v>84251</v>
      </c>
      <c r="AC41" s="10">
        <v>88880.470000000016</v>
      </c>
      <c r="AD41" s="10">
        <v>43338</v>
      </c>
      <c r="AE41" s="10">
        <v>84251</v>
      </c>
      <c r="AF41" s="10">
        <v>116046.18</v>
      </c>
      <c r="AG41" s="10">
        <v>57626</v>
      </c>
      <c r="AH41" s="10">
        <v>84251</v>
      </c>
      <c r="AI41" s="10">
        <v>181016.85000000003</v>
      </c>
      <c r="AJ41" s="10">
        <v>89793</v>
      </c>
      <c r="AK41" s="31">
        <v>91224</v>
      </c>
      <c r="AL41" s="10">
        <v>223331.82000000004</v>
      </c>
      <c r="AM41" s="10">
        <v>112108</v>
      </c>
      <c r="AN41" s="31">
        <v>111224</v>
      </c>
      <c r="AO41" s="10">
        <v>249182.32000000004</v>
      </c>
      <c r="AP41" s="10">
        <v>125734</v>
      </c>
      <c r="AQ41" s="31">
        <v>125414</v>
      </c>
    </row>
    <row r="42" spans="1:43">
      <c r="A42" s="102">
        <v>33</v>
      </c>
      <c r="B42" s="7" t="s">
        <v>1739</v>
      </c>
      <c r="C42" s="103">
        <v>17.5</v>
      </c>
      <c r="D42" s="62">
        <v>48982</v>
      </c>
      <c r="E42" s="37">
        <v>35517</v>
      </c>
      <c r="F42" s="62">
        <v>34879</v>
      </c>
      <c r="G42" s="62">
        <v>65097.96</v>
      </c>
      <c r="H42" s="62">
        <v>37532</v>
      </c>
      <c r="I42" s="62">
        <v>43027</v>
      </c>
      <c r="J42" s="62">
        <v>34065.81</v>
      </c>
      <c r="K42" s="62">
        <v>19175</v>
      </c>
      <c r="L42" s="62">
        <v>34065.81</v>
      </c>
      <c r="M42" s="62">
        <v>59717.45</v>
      </c>
      <c r="N42" s="62">
        <v>34567</v>
      </c>
      <c r="O42" s="62">
        <v>45413.81</v>
      </c>
      <c r="P42" s="62">
        <v>0</v>
      </c>
      <c r="Q42" s="62">
        <v>73839.450028708146</v>
      </c>
      <c r="R42" s="62">
        <v>45404</v>
      </c>
      <c r="S42" s="62">
        <v>44506</v>
      </c>
      <c r="T42" s="62">
        <v>0</v>
      </c>
      <c r="U42" s="62">
        <v>84250.709759999998</v>
      </c>
      <c r="V42" s="62">
        <v>55481</v>
      </c>
      <c r="W42" s="62">
        <v>42726</v>
      </c>
      <c r="X42" s="62">
        <v>0</v>
      </c>
      <c r="Y42" s="62">
        <v>0</v>
      </c>
      <c r="Z42" s="62">
        <v>122500.7</v>
      </c>
      <c r="AA42" s="62">
        <v>81440</v>
      </c>
      <c r="AB42" s="62">
        <v>42726</v>
      </c>
      <c r="AC42" s="10">
        <v>88880.470000000016</v>
      </c>
      <c r="AD42" s="10">
        <v>61527</v>
      </c>
      <c r="AE42" s="10">
        <v>42726</v>
      </c>
      <c r="AF42" s="10">
        <v>128940.2</v>
      </c>
      <c r="AG42" s="10">
        <v>98474</v>
      </c>
      <c r="AH42" s="10">
        <v>42726</v>
      </c>
      <c r="AI42" s="10">
        <v>181016.85000000003</v>
      </c>
      <c r="AJ42" s="10">
        <v>141333</v>
      </c>
      <c r="AK42" s="31">
        <v>43655</v>
      </c>
      <c r="AL42" s="10">
        <v>92399.719999999987</v>
      </c>
      <c r="AM42" s="10">
        <v>77583</v>
      </c>
      <c r="AN42" s="31">
        <v>43655</v>
      </c>
      <c r="AO42" s="10">
        <v>105367.36000000002</v>
      </c>
      <c r="AP42" s="10">
        <v>88144</v>
      </c>
      <c r="AQ42" s="31">
        <v>43655</v>
      </c>
    </row>
    <row r="43" spans="1:43">
      <c r="A43" s="102">
        <v>34</v>
      </c>
      <c r="B43" s="7" t="s">
        <v>1740</v>
      </c>
      <c r="C43" s="103">
        <v>17.5</v>
      </c>
      <c r="D43" s="62">
        <v>9973</v>
      </c>
      <c r="E43" s="37">
        <v>4632</v>
      </c>
      <c r="F43" s="62">
        <v>5341</v>
      </c>
      <c r="G43" s="62">
        <v>11170.821760000001</v>
      </c>
      <c r="H43" s="62">
        <v>8623</v>
      </c>
      <c r="I43" s="62">
        <v>5551</v>
      </c>
      <c r="J43" s="62">
        <v>11756.7567</v>
      </c>
      <c r="K43" s="62">
        <v>9885</v>
      </c>
      <c r="L43" s="62">
        <v>5654</v>
      </c>
      <c r="M43" s="62">
        <v>12414.87736</v>
      </c>
      <c r="N43" s="62">
        <v>10106</v>
      </c>
      <c r="O43" s="62">
        <v>5769</v>
      </c>
      <c r="P43" s="62">
        <v>0</v>
      </c>
      <c r="Q43" s="62">
        <v>0</v>
      </c>
      <c r="R43" s="62">
        <v>0</v>
      </c>
      <c r="S43" s="62">
        <v>5654</v>
      </c>
      <c r="T43" s="62">
        <v>0</v>
      </c>
      <c r="U43" s="62">
        <v>0</v>
      </c>
      <c r="V43" s="62">
        <v>0</v>
      </c>
      <c r="W43" s="62">
        <v>0</v>
      </c>
      <c r="X43" s="62">
        <v>0</v>
      </c>
      <c r="Y43" s="62">
        <v>0</v>
      </c>
      <c r="Z43" s="62">
        <v>0</v>
      </c>
      <c r="AA43" s="62">
        <v>0</v>
      </c>
      <c r="AB43" s="62">
        <v>0</v>
      </c>
      <c r="AC43" s="10">
        <v>0</v>
      </c>
      <c r="AD43" s="10">
        <v>0</v>
      </c>
      <c r="AE43" s="10">
        <v>0</v>
      </c>
      <c r="AF43" s="10">
        <v>0</v>
      </c>
      <c r="AG43" s="10">
        <v>0</v>
      </c>
      <c r="AH43" s="10">
        <v>0</v>
      </c>
      <c r="AI43" s="10">
        <v>0</v>
      </c>
      <c r="AJ43" s="10">
        <v>0</v>
      </c>
      <c r="AK43" s="31">
        <v>0</v>
      </c>
      <c r="AL43" s="10">
        <v>13623.25469</v>
      </c>
      <c r="AM43" s="10">
        <v>11667</v>
      </c>
      <c r="AN43" s="31">
        <v>1956</v>
      </c>
      <c r="AO43" s="10">
        <v>27251.545720000002</v>
      </c>
      <c r="AP43" s="10">
        <v>22684</v>
      </c>
      <c r="AQ43" s="31">
        <v>4568</v>
      </c>
    </row>
    <row r="44" spans="1:43">
      <c r="A44" s="102">
        <v>35</v>
      </c>
      <c r="B44" s="7" t="s">
        <v>1741</v>
      </c>
      <c r="C44" s="103">
        <v>17.5</v>
      </c>
      <c r="D44" s="62">
        <v>586105185</v>
      </c>
      <c r="E44" s="37">
        <v>399376878</v>
      </c>
      <c r="F44" s="62">
        <v>203634716.00000003</v>
      </c>
      <c r="G44" s="62">
        <v>619256557.27349997</v>
      </c>
      <c r="H44" s="62">
        <v>422061485</v>
      </c>
      <c r="I44" s="62">
        <v>210540147.00000003</v>
      </c>
      <c r="J44" s="62">
        <v>645423775.69285941</v>
      </c>
      <c r="K44" s="62">
        <v>450972697</v>
      </c>
      <c r="L44" s="62">
        <v>215807608.00000003</v>
      </c>
      <c r="M44" s="62">
        <v>674654547.49265981</v>
      </c>
      <c r="N44" s="62">
        <v>485336817</v>
      </c>
      <c r="O44" s="62">
        <v>198137070.00000003</v>
      </c>
      <c r="P44" s="62">
        <v>23285769</v>
      </c>
      <c r="Q44" s="62">
        <v>698913738.66387761</v>
      </c>
      <c r="R44" s="62">
        <v>510847386</v>
      </c>
      <c r="S44" s="62">
        <v>216994382</v>
      </c>
      <c r="T44" s="62">
        <v>0</v>
      </c>
      <c r="U44" s="62">
        <v>680748415.44375777</v>
      </c>
      <c r="V44" s="62">
        <v>527398841</v>
      </c>
      <c r="W44" s="62">
        <v>204317586</v>
      </c>
      <c r="X44" s="62">
        <v>1096867</v>
      </c>
      <c r="Y44" s="62">
        <v>13086129</v>
      </c>
      <c r="Z44" s="62">
        <v>706116381.62752008</v>
      </c>
      <c r="AA44" s="62">
        <v>551817407</v>
      </c>
      <c r="AB44" s="62">
        <v>205414453</v>
      </c>
      <c r="AC44" s="10">
        <v>724294011.71002996</v>
      </c>
      <c r="AD44" s="10">
        <v>579960095</v>
      </c>
      <c r="AE44" s="10">
        <v>207858813</v>
      </c>
      <c r="AF44" s="10">
        <v>750290537.27947998</v>
      </c>
      <c r="AG44" s="10">
        <v>604305866</v>
      </c>
      <c r="AH44" s="17">
        <f>209406563+8422</f>
        <v>209414985</v>
      </c>
      <c r="AI44" s="10">
        <v>780383012.88296986</v>
      </c>
      <c r="AJ44" s="10">
        <v>627463814</v>
      </c>
      <c r="AK44" s="31">
        <v>210991435</v>
      </c>
      <c r="AL44" s="10">
        <v>805600562.75407994</v>
      </c>
      <c r="AM44" s="10">
        <v>657393838</v>
      </c>
      <c r="AN44" s="31">
        <v>212596335</v>
      </c>
      <c r="AO44" s="10">
        <v>802914847.56588995</v>
      </c>
      <c r="AP44" s="10">
        <v>666445514</v>
      </c>
      <c r="AQ44" s="31">
        <v>216128435</v>
      </c>
    </row>
    <row r="45" spans="1:43">
      <c r="A45" s="102">
        <v>36</v>
      </c>
      <c r="B45" s="7" t="s">
        <v>1742</v>
      </c>
      <c r="C45" s="103">
        <v>17.5</v>
      </c>
      <c r="D45" s="62">
        <v>17925620</v>
      </c>
      <c r="E45" s="37">
        <v>14175597</v>
      </c>
      <c r="F45" s="62">
        <v>4520605</v>
      </c>
      <c r="G45" s="62">
        <v>19096415.879999999</v>
      </c>
      <c r="H45" s="62">
        <v>14957841</v>
      </c>
      <c r="I45" s="62">
        <v>4725494</v>
      </c>
      <c r="J45" s="62">
        <v>19833297.543827865</v>
      </c>
      <c r="K45" s="62">
        <v>15646627</v>
      </c>
      <c r="L45" s="62">
        <v>4854448</v>
      </c>
      <c r="M45" s="62">
        <v>20945577.219999999</v>
      </c>
      <c r="N45" s="62">
        <v>16223237</v>
      </c>
      <c r="O45" s="62">
        <v>4518112</v>
      </c>
      <c r="P45" s="62">
        <v>530985</v>
      </c>
      <c r="Q45" s="62">
        <v>20772043.229703348</v>
      </c>
      <c r="R45" s="62">
        <v>16779418</v>
      </c>
      <c r="S45" s="62">
        <v>4948115</v>
      </c>
      <c r="T45" s="62">
        <v>0</v>
      </c>
      <c r="U45" s="62">
        <v>19969976.504640002</v>
      </c>
      <c r="V45" s="62">
        <v>16817476</v>
      </c>
      <c r="W45" s="62">
        <v>4659046</v>
      </c>
      <c r="X45" s="62">
        <v>25012</v>
      </c>
      <c r="Y45" s="62">
        <v>321732</v>
      </c>
      <c r="Z45" s="62">
        <v>19955194.440000001</v>
      </c>
      <c r="AA45" s="62">
        <v>17178276</v>
      </c>
      <c r="AB45" s="62">
        <v>4684058</v>
      </c>
      <c r="AC45" s="10">
        <v>20413172.529999997</v>
      </c>
      <c r="AD45" s="10">
        <v>17508247</v>
      </c>
      <c r="AE45" s="10">
        <v>4771738</v>
      </c>
      <c r="AF45" s="10">
        <v>20231816.77</v>
      </c>
      <c r="AG45" s="10">
        <v>17624172</v>
      </c>
      <c r="AH45" s="10">
        <v>4825238</v>
      </c>
      <c r="AI45" s="10">
        <v>19753593.370000005</v>
      </c>
      <c r="AJ45" s="10">
        <v>16968423</v>
      </c>
      <c r="AK45" s="31">
        <v>4877338</v>
      </c>
      <c r="AL45" s="10">
        <v>19473369.859999999</v>
      </c>
      <c r="AM45" s="10">
        <v>16682400</v>
      </c>
      <c r="AN45" s="31">
        <v>4927363</v>
      </c>
      <c r="AO45" s="10">
        <v>19315319.800000001</v>
      </c>
      <c r="AP45" s="10">
        <v>16178695</v>
      </c>
      <c r="AQ45" s="31">
        <v>5034613</v>
      </c>
    </row>
    <row r="46" spans="1:43">
      <c r="A46" s="102">
        <v>37</v>
      </c>
      <c r="B46" s="7" t="s">
        <v>1743</v>
      </c>
      <c r="C46" s="103">
        <v>17.5</v>
      </c>
      <c r="D46" s="62">
        <v>4097907</v>
      </c>
      <c r="E46" s="37">
        <v>3155257</v>
      </c>
      <c r="F46" s="62">
        <v>1318163</v>
      </c>
      <c r="G46" s="62">
        <v>4120404.6616799999</v>
      </c>
      <c r="H46" s="62">
        <v>3160718</v>
      </c>
      <c r="I46" s="62">
        <v>1344663</v>
      </c>
      <c r="J46" s="62">
        <v>4148265.2990540327</v>
      </c>
      <c r="K46" s="62">
        <v>3153303</v>
      </c>
      <c r="L46" s="62">
        <v>1370363</v>
      </c>
      <c r="M46" s="62">
        <v>4158143.8214699994</v>
      </c>
      <c r="N46" s="62">
        <v>3122645</v>
      </c>
      <c r="O46" s="62">
        <v>1248173</v>
      </c>
      <c r="P46" s="62">
        <v>146690</v>
      </c>
      <c r="Q46" s="62">
        <v>4221713.9749441538</v>
      </c>
      <c r="R46" s="62">
        <v>3141987</v>
      </c>
      <c r="S46" s="62">
        <v>1366966</v>
      </c>
      <c r="T46" s="62">
        <v>0</v>
      </c>
      <c r="U46" s="62">
        <v>3719555.6312304004</v>
      </c>
      <c r="V46" s="62">
        <v>3019563</v>
      </c>
      <c r="W46" s="62">
        <v>1287108</v>
      </c>
      <c r="X46" s="62">
        <v>6910</v>
      </c>
      <c r="Y46" s="62">
        <v>83923</v>
      </c>
      <c r="Z46" s="62">
        <v>3688231.1508000009</v>
      </c>
      <c r="AA46" s="62">
        <v>3037911</v>
      </c>
      <c r="AB46" s="62">
        <v>1294018</v>
      </c>
      <c r="AC46" s="10">
        <v>3802586.1715900004</v>
      </c>
      <c r="AD46" s="10">
        <v>3281068</v>
      </c>
      <c r="AE46" s="10">
        <v>1310578</v>
      </c>
      <c r="AF46" s="17">
        <v>0</v>
      </c>
      <c r="AG46" s="17">
        <v>0</v>
      </c>
      <c r="AH46" s="17">
        <v>0</v>
      </c>
      <c r="AI46" s="10">
        <v>0</v>
      </c>
      <c r="AJ46" s="10">
        <v>0</v>
      </c>
      <c r="AK46" s="31">
        <v>0</v>
      </c>
      <c r="AL46" s="10">
        <v>0</v>
      </c>
      <c r="AM46" s="10">
        <v>0</v>
      </c>
      <c r="AN46" s="31">
        <v>0</v>
      </c>
      <c r="AO46" s="10">
        <v>0</v>
      </c>
      <c r="AP46" s="10">
        <v>0</v>
      </c>
      <c r="AQ46" s="149">
        <f>14864</f>
        <v>14864</v>
      </c>
    </row>
    <row r="47" spans="1:43">
      <c r="A47" s="102">
        <v>38</v>
      </c>
      <c r="B47" s="7" t="s">
        <v>1744</v>
      </c>
      <c r="C47" s="103">
        <v>17.5</v>
      </c>
      <c r="D47" s="62">
        <v>6071885</v>
      </c>
      <c r="E47" s="37">
        <v>5163711</v>
      </c>
      <c r="F47" s="62">
        <v>1491956.8</v>
      </c>
      <c r="G47" s="62">
        <v>6289686.6546200002</v>
      </c>
      <c r="H47" s="62">
        <v>5060226</v>
      </c>
      <c r="I47" s="62">
        <v>1536106.8</v>
      </c>
      <c r="J47" s="62">
        <v>6441226.7548756497</v>
      </c>
      <c r="K47" s="62">
        <v>5155389</v>
      </c>
      <c r="L47" s="62">
        <v>1579156.8</v>
      </c>
      <c r="M47" s="62">
        <v>6868240.9885999989</v>
      </c>
      <c r="N47" s="62">
        <v>5466446</v>
      </c>
      <c r="O47" s="62">
        <v>1479954.8</v>
      </c>
      <c r="P47" s="62">
        <v>173929</v>
      </c>
      <c r="Q47" s="62">
        <v>6715149.8644612292</v>
      </c>
      <c r="R47" s="62">
        <v>5538616</v>
      </c>
      <c r="S47" s="62">
        <v>1620806</v>
      </c>
      <c r="T47" s="62">
        <v>0</v>
      </c>
      <c r="U47" s="62">
        <v>6426161.3153402992</v>
      </c>
      <c r="V47" s="62">
        <v>5556487</v>
      </c>
      <c r="W47" s="62">
        <v>1526119</v>
      </c>
      <c r="X47" s="62">
        <v>8193</v>
      </c>
      <c r="Y47" s="62">
        <v>106694</v>
      </c>
      <c r="Z47" s="62">
        <v>6278578.7740599988</v>
      </c>
      <c r="AA47" s="62">
        <v>5546995</v>
      </c>
      <c r="AB47" s="62">
        <v>1534312</v>
      </c>
      <c r="AC47" s="10">
        <v>6142159.6714999992</v>
      </c>
      <c r="AD47" s="10">
        <v>5438279</v>
      </c>
      <c r="AE47" s="10">
        <v>1563632</v>
      </c>
      <c r="AF47" s="10">
        <v>6321744.6236000005</v>
      </c>
      <c r="AG47" s="10">
        <v>5657134</v>
      </c>
      <c r="AH47" s="17">
        <f>1582232+25266</f>
        <v>1607498</v>
      </c>
      <c r="AI47" s="10">
        <v>6315613.1311499998</v>
      </c>
      <c r="AJ47" s="10">
        <v>5486948</v>
      </c>
      <c r="AK47" s="31">
        <v>1625748</v>
      </c>
      <c r="AL47" s="10">
        <v>6380974.8437599996</v>
      </c>
      <c r="AM47" s="10">
        <v>5508993</v>
      </c>
      <c r="AN47" s="31">
        <v>1643973</v>
      </c>
      <c r="AO47" s="10">
        <v>6361983.2980000013</v>
      </c>
      <c r="AP47" s="10">
        <v>5310704</v>
      </c>
      <c r="AQ47" s="31">
        <v>1683463</v>
      </c>
    </row>
    <row r="48" spans="1:43">
      <c r="A48" s="102">
        <v>39</v>
      </c>
      <c r="B48" s="7" t="s">
        <v>1745</v>
      </c>
      <c r="C48" s="103">
        <v>17.5</v>
      </c>
      <c r="D48" s="62">
        <v>2456202</v>
      </c>
      <c r="E48" s="37">
        <v>2401450</v>
      </c>
      <c r="F48" s="62">
        <v>399441.2</v>
      </c>
      <c r="G48" s="62">
        <v>2596679.29</v>
      </c>
      <c r="H48" s="62">
        <v>2468253</v>
      </c>
      <c r="I48" s="62">
        <v>424025.2</v>
      </c>
      <c r="J48" s="62">
        <v>2637266.6833377071</v>
      </c>
      <c r="K48" s="62">
        <v>2412440</v>
      </c>
      <c r="L48" s="62">
        <v>441425.2</v>
      </c>
      <c r="M48" s="62">
        <v>2748598.3</v>
      </c>
      <c r="N48" s="62">
        <v>2379694</v>
      </c>
      <c r="O48" s="62">
        <v>412437.2</v>
      </c>
      <c r="P48" s="62">
        <v>48471</v>
      </c>
      <c r="Q48" s="62">
        <v>2995460.8425033498</v>
      </c>
      <c r="R48" s="62">
        <v>2540646</v>
      </c>
      <c r="S48" s="62">
        <v>451690</v>
      </c>
      <c r="T48" s="62">
        <v>3125</v>
      </c>
      <c r="U48" s="62">
        <v>2900472.82014</v>
      </c>
      <c r="V48" s="62">
        <v>2577094</v>
      </c>
      <c r="W48" s="62">
        <v>428244</v>
      </c>
      <c r="X48" s="62">
        <v>2299</v>
      </c>
      <c r="Y48" s="62">
        <v>33097</v>
      </c>
      <c r="Z48" s="62">
        <v>2809495.56</v>
      </c>
      <c r="AA48" s="62">
        <v>2592747</v>
      </c>
      <c r="AB48" s="62">
        <v>430543</v>
      </c>
      <c r="AC48" s="17">
        <v>2762062</v>
      </c>
      <c r="AD48" s="10">
        <v>2804850</v>
      </c>
      <c r="AE48" s="17">
        <v>404281</v>
      </c>
      <c r="AF48" s="10">
        <v>2837168.6900000004</v>
      </c>
      <c r="AG48" s="10">
        <v>2524555</v>
      </c>
      <c r="AH48" s="10">
        <v>427336.88018750004</v>
      </c>
      <c r="AI48" s="10">
        <v>2701535.6</v>
      </c>
      <c r="AJ48" s="10">
        <v>2336823</v>
      </c>
      <c r="AK48" s="31">
        <v>443237.88018750004</v>
      </c>
      <c r="AL48" s="10">
        <v>2619960.2999999998</v>
      </c>
      <c r="AM48" s="10">
        <v>2263384</v>
      </c>
      <c r="AN48" s="31">
        <v>450312.88018750004</v>
      </c>
      <c r="AO48" s="10">
        <v>2586705.9099999997</v>
      </c>
      <c r="AP48" s="10">
        <v>2165226</v>
      </c>
      <c r="AQ48" s="31">
        <v>465437.88018750004</v>
      </c>
    </row>
    <row r="49" spans="1:43">
      <c r="A49" s="102">
        <v>40</v>
      </c>
      <c r="B49" s="7" t="s">
        <v>1746</v>
      </c>
      <c r="C49" s="103">
        <v>30.21</v>
      </c>
      <c r="D49" s="62">
        <v>36257909</v>
      </c>
      <c r="E49" s="37">
        <v>32433077</v>
      </c>
      <c r="F49" s="62">
        <v>4903921.2</v>
      </c>
      <c r="G49" s="62">
        <v>39382974.82124</v>
      </c>
      <c r="H49" s="62">
        <v>33034864</v>
      </c>
      <c r="I49" s="62">
        <v>6348111</v>
      </c>
      <c r="J49" s="62">
        <v>41131026.449868038</v>
      </c>
      <c r="K49" s="62">
        <v>33655897</v>
      </c>
      <c r="L49" s="62">
        <v>7475129</v>
      </c>
      <c r="M49" s="62">
        <v>44050195.07244999</v>
      </c>
      <c r="N49" s="62">
        <v>34532907</v>
      </c>
      <c r="O49" s="62">
        <v>8516409</v>
      </c>
      <c r="P49" s="62">
        <v>1000879</v>
      </c>
      <c r="Q49" s="62">
        <v>46447721.11701142</v>
      </c>
      <c r="R49" s="62">
        <v>34269687</v>
      </c>
      <c r="S49" s="62">
        <v>9326942</v>
      </c>
      <c r="T49" s="62">
        <v>2851092</v>
      </c>
      <c r="U49" s="62">
        <v>45861987.164652348</v>
      </c>
      <c r="V49" s="62">
        <v>35115999</v>
      </c>
      <c r="W49" s="62">
        <v>11466594</v>
      </c>
      <c r="X49" s="62">
        <v>61558</v>
      </c>
      <c r="Y49" s="62">
        <v>781482</v>
      </c>
      <c r="Z49" s="62">
        <v>47773435.682659999</v>
      </c>
      <c r="AA49" s="62">
        <v>35619436</v>
      </c>
      <c r="AB49" s="62">
        <v>12154000</v>
      </c>
      <c r="AC49" s="10">
        <v>49979205.223809995</v>
      </c>
      <c r="AD49" s="10">
        <v>36669696</v>
      </c>
      <c r="AE49" s="10">
        <v>13546898.562588248</v>
      </c>
      <c r="AF49" s="10">
        <v>51154368.228680007</v>
      </c>
      <c r="AG49" s="10">
        <v>37491319</v>
      </c>
      <c r="AH49" s="10">
        <v>13863900.583767677</v>
      </c>
      <c r="AI49" s="10">
        <v>53388255.002250001</v>
      </c>
      <c r="AJ49" s="10">
        <v>38760993</v>
      </c>
      <c r="AK49" s="31">
        <v>14627262</v>
      </c>
      <c r="AL49" s="10">
        <v>55247735.783950001</v>
      </c>
      <c r="AM49" s="10">
        <v>39956696</v>
      </c>
      <c r="AN49" s="31">
        <v>15291040</v>
      </c>
      <c r="AO49" s="10">
        <v>56110509.381990001</v>
      </c>
      <c r="AP49" s="10">
        <v>39512030</v>
      </c>
      <c r="AQ49" s="31">
        <v>16598479</v>
      </c>
    </row>
    <row r="50" spans="1:43">
      <c r="A50" s="102">
        <v>41</v>
      </c>
      <c r="B50" s="7" t="s">
        <v>1747</v>
      </c>
      <c r="C50" s="103">
        <v>17.5</v>
      </c>
      <c r="D50" s="62">
        <v>3745908</v>
      </c>
      <c r="E50" s="37">
        <v>3609192</v>
      </c>
      <c r="F50" s="62">
        <v>847877.2</v>
      </c>
      <c r="G50" s="62">
        <v>3716661.11</v>
      </c>
      <c r="H50" s="62">
        <v>3503455</v>
      </c>
      <c r="I50" s="62">
        <v>872877.2</v>
      </c>
      <c r="J50" s="62">
        <v>3870065.49</v>
      </c>
      <c r="K50" s="62">
        <v>3592082</v>
      </c>
      <c r="L50" s="62">
        <v>899723.2</v>
      </c>
      <c r="M50" s="62">
        <v>4197809.6900000004</v>
      </c>
      <c r="N50" s="62">
        <v>3789305</v>
      </c>
      <c r="O50" s="62">
        <v>856428.2</v>
      </c>
      <c r="P50" s="62">
        <v>100650</v>
      </c>
      <c r="Q50" s="62">
        <v>4216302.6441186611</v>
      </c>
      <c r="R50" s="62">
        <v>3870397</v>
      </c>
      <c r="S50" s="62">
        <v>937937</v>
      </c>
      <c r="T50" s="62">
        <v>0</v>
      </c>
      <c r="U50" s="62">
        <v>4075130.8498800001</v>
      </c>
      <c r="V50" s="62">
        <v>3786992</v>
      </c>
      <c r="W50" s="62">
        <v>883143</v>
      </c>
      <c r="X50" s="62">
        <v>4741</v>
      </c>
      <c r="Y50" s="62">
        <v>62353</v>
      </c>
      <c r="Z50" s="62">
        <v>4135853.54</v>
      </c>
      <c r="AA50" s="62">
        <v>3959695</v>
      </c>
      <c r="AB50" s="62">
        <v>887884</v>
      </c>
      <c r="AC50" s="10">
        <v>4270180.41</v>
      </c>
      <c r="AD50" s="10">
        <v>4095847</v>
      </c>
      <c r="AE50" s="10">
        <v>906844</v>
      </c>
      <c r="AF50" s="10">
        <v>4270777.8100000005</v>
      </c>
      <c r="AG50" s="10">
        <v>4059699</v>
      </c>
      <c r="AH50" s="10">
        <v>918344</v>
      </c>
      <c r="AI50" s="10">
        <v>4371530.74</v>
      </c>
      <c r="AJ50" s="10">
        <v>3934378</v>
      </c>
      <c r="AK50" s="31">
        <v>930169</v>
      </c>
      <c r="AL50" s="10">
        <v>4481450.93</v>
      </c>
      <c r="AM50" s="10">
        <v>3903212</v>
      </c>
      <c r="AN50" s="31">
        <v>942019</v>
      </c>
      <c r="AO50" s="10">
        <v>4710846.5600000005</v>
      </c>
      <c r="AP50" s="10">
        <v>3929503</v>
      </c>
      <c r="AQ50" s="31">
        <v>968749</v>
      </c>
    </row>
    <row r="51" spans="1:43">
      <c r="A51" s="102">
        <v>42</v>
      </c>
      <c r="B51" s="7" t="s">
        <v>1748</v>
      </c>
      <c r="C51" s="103">
        <v>38.700000000000003</v>
      </c>
      <c r="D51" s="62">
        <v>88168</v>
      </c>
      <c r="E51" s="37">
        <v>50372</v>
      </c>
      <c r="F51" s="62">
        <v>88168</v>
      </c>
      <c r="G51" s="62">
        <v>97646.94</v>
      </c>
      <c r="H51" s="62">
        <v>52590</v>
      </c>
      <c r="I51" s="62">
        <v>91714</v>
      </c>
      <c r="J51" s="62">
        <v>79486.89</v>
      </c>
      <c r="K51" s="62">
        <v>42308</v>
      </c>
      <c r="L51" s="62">
        <v>79486.89</v>
      </c>
      <c r="M51" s="62">
        <v>95547.92</v>
      </c>
      <c r="N51" s="62">
        <v>49903</v>
      </c>
      <c r="O51" s="62">
        <v>85767.89</v>
      </c>
      <c r="P51" s="62">
        <v>0</v>
      </c>
      <c r="Q51" s="62">
        <v>110759.17504306222</v>
      </c>
      <c r="R51" s="62">
        <v>61737</v>
      </c>
      <c r="S51" s="62">
        <v>84053</v>
      </c>
      <c r="T51" s="62">
        <v>0</v>
      </c>
      <c r="U51" s="62">
        <v>36107.447039999999</v>
      </c>
      <c r="V51" s="62">
        <v>20964</v>
      </c>
      <c r="W51" s="62">
        <v>36107.447039999999</v>
      </c>
      <c r="X51" s="62">
        <v>0</v>
      </c>
      <c r="Y51" s="62">
        <v>0</v>
      </c>
      <c r="Z51" s="62">
        <v>49000.28</v>
      </c>
      <c r="AA51" s="62">
        <v>28706</v>
      </c>
      <c r="AB51" s="62">
        <v>36107</v>
      </c>
      <c r="AC51" s="10">
        <v>38091.630000000005</v>
      </c>
      <c r="AD51" s="10">
        <v>22925</v>
      </c>
      <c r="AE51" s="10">
        <v>36107</v>
      </c>
      <c r="AF51" s="10">
        <v>51576.08</v>
      </c>
      <c r="AG51" s="10">
        <v>31717</v>
      </c>
      <c r="AH51" s="10">
        <v>36107</v>
      </c>
      <c r="AI51" s="10">
        <v>78029.39999999998</v>
      </c>
      <c r="AJ51" s="10">
        <v>48603</v>
      </c>
      <c r="AK51" s="31">
        <v>36107</v>
      </c>
      <c r="AL51" s="10">
        <v>131999.6</v>
      </c>
      <c r="AM51" s="10">
        <v>81574</v>
      </c>
      <c r="AN51" s="31">
        <v>50426</v>
      </c>
      <c r="AO51" s="10">
        <v>196498.64000000004</v>
      </c>
      <c r="AP51" s="10">
        <v>121288</v>
      </c>
      <c r="AQ51" s="31">
        <v>76038</v>
      </c>
    </row>
    <row r="52" spans="1:43">
      <c r="A52" s="102">
        <v>43</v>
      </c>
      <c r="B52" s="7" t="s">
        <v>1749</v>
      </c>
      <c r="C52" s="103">
        <v>41.5</v>
      </c>
      <c r="D52" s="62">
        <v>2082262</v>
      </c>
      <c r="E52" s="37">
        <v>1222310</v>
      </c>
      <c r="F52" s="62">
        <v>892997.6</v>
      </c>
      <c r="G52" s="62">
        <v>2227974.4500000002</v>
      </c>
      <c r="H52" s="62">
        <v>1181088</v>
      </c>
      <c r="I52" s="62">
        <v>1046886</v>
      </c>
      <c r="J52" s="62">
        <v>2430566.1536758002</v>
      </c>
      <c r="K52" s="62">
        <v>1254545</v>
      </c>
      <c r="L52" s="62">
        <v>1176021</v>
      </c>
      <c r="M52" s="62">
        <v>2380996.33</v>
      </c>
      <c r="N52" s="62">
        <v>1252428</v>
      </c>
      <c r="O52" s="62">
        <v>1065723</v>
      </c>
      <c r="P52" s="62">
        <v>125248</v>
      </c>
      <c r="Q52" s="62">
        <v>2416094.560888038</v>
      </c>
      <c r="R52" s="62">
        <v>1320275</v>
      </c>
      <c r="S52" s="62">
        <v>1167152</v>
      </c>
      <c r="T52" s="62">
        <v>0</v>
      </c>
      <c r="U52" s="62">
        <v>2491980.6652200003</v>
      </c>
      <c r="V52" s="62">
        <v>1418885</v>
      </c>
      <c r="W52" s="62">
        <v>1098967</v>
      </c>
      <c r="X52" s="62">
        <v>5900</v>
      </c>
      <c r="Y52" s="62">
        <v>69910</v>
      </c>
      <c r="Z52" s="62">
        <v>2587336.7200000002</v>
      </c>
      <c r="AA52" s="62">
        <v>1412114</v>
      </c>
      <c r="AB52" s="62">
        <v>1175223</v>
      </c>
      <c r="AC52" s="10">
        <v>2627653.7399999998</v>
      </c>
      <c r="AD52" s="10">
        <v>1439707</v>
      </c>
      <c r="AE52" s="10">
        <v>1187947</v>
      </c>
      <c r="AF52" s="10">
        <v>2589280.4</v>
      </c>
      <c r="AG52" s="10">
        <v>1451989</v>
      </c>
      <c r="AH52" s="10">
        <v>1195297</v>
      </c>
      <c r="AI52" s="10">
        <v>2557047.06</v>
      </c>
      <c r="AJ52" s="10">
        <v>1495359</v>
      </c>
      <c r="AK52" s="31">
        <v>1202422</v>
      </c>
      <c r="AL52" s="10">
        <v>2535170.4500000002</v>
      </c>
      <c r="AM52" s="10">
        <v>1464818</v>
      </c>
      <c r="AN52" s="31">
        <v>1209272</v>
      </c>
      <c r="AO52" s="10">
        <v>2386674.08</v>
      </c>
      <c r="AP52" s="10">
        <v>1412227</v>
      </c>
      <c r="AQ52" s="31">
        <v>1223352</v>
      </c>
    </row>
    <row r="53" spans="1:43">
      <c r="A53" s="102">
        <v>44</v>
      </c>
      <c r="B53" s="7" t="s">
        <v>1750</v>
      </c>
      <c r="C53" s="103">
        <v>78.13</v>
      </c>
      <c r="D53" s="62">
        <v>138977359</v>
      </c>
      <c r="E53" s="37">
        <v>28667300</v>
      </c>
      <c r="F53" s="62">
        <v>110310059</v>
      </c>
      <c r="G53" s="62">
        <v>148050710.59000003</v>
      </c>
      <c r="H53" s="62">
        <v>30752545</v>
      </c>
      <c r="I53" s="62">
        <v>117298166</v>
      </c>
      <c r="J53" s="62">
        <v>154658101.48941717</v>
      </c>
      <c r="K53" s="62">
        <v>32078890</v>
      </c>
      <c r="L53" s="62">
        <v>122579211</v>
      </c>
      <c r="M53" s="62">
        <v>162730674.18000001</v>
      </c>
      <c r="N53" s="62">
        <v>33821654</v>
      </c>
      <c r="O53" s="62">
        <v>115352398</v>
      </c>
      <c r="P53" s="62">
        <v>13556622</v>
      </c>
      <c r="Q53" s="62">
        <v>165249140.34832537</v>
      </c>
      <c r="R53" s="62">
        <v>32323782</v>
      </c>
      <c r="S53" s="62">
        <v>126330840</v>
      </c>
      <c r="T53" s="62">
        <v>6594518</v>
      </c>
      <c r="U53" s="62">
        <v>165226027.56366</v>
      </c>
      <c r="V53" s="62">
        <v>32681998</v>
      </c>
      <c r="W53" s="62">
        <v>130000851</v>
      </c>
      <c r="X53" s="62">
        <v>697902</v>
      </c>
      <c r="Y53" s="62">
        <v>2623405</v>
      </c>
      <c r="Z53" s="62">
        <v>173663222.44</v>
      </c>
      <c r="AA53" s="62">
        <v>34080582</v>
      </c>
      <c r="AB53" s="62">
        <v>139582640</v>
      </c>
      <c r="AC53" s="10">
        <v>183049366.26000002</v>
      </c>
      <c r="AD53" s="10">
        <v>34969008</v>
      </c>
      <c r="AE53" s="10">
        <v>148088586</v>
      </c>
      <c r="AF53" s="10">
        <v>194125642.31999999</v>
      </c>
      <c r="AG53" s="10">
        <v>36202770</v>
      </c>
      <c r="AH53" s="10">
        <v>157922872</v>
      </c>
      <c r="AI53" s="10">
        <v>202656340.72</v>
      </c>
      <c r="AJ53" s="10">
        <v>37791281</v>
      </c>
      <c r="AK53" s="31">
        <v>164865060</v>
      </c>
      <c r="AL53" s="10">
        <v>209479318.44</v>
      </c>
      <c r="AM53" s="10">
        <v>39438390</v>
      </c>
      <c r="AN53" s="31">
        <v>170040928</v>
      </c>
      <c r="AO53" s="10">
        <v>202933234.47</v>
      </c>
      <c r="AP53" s="10">
        <v>40436538</v>
      </c>
      <c r="AQ53" s="31">
        <v>171012998</v>
      </c>
    </row>
    <row r="54" spans="1:43">
      <c r="A54" s="102">
        <v>45</v>
      </c>
      <c r="B54" s="7" t="s">
        <v>1751</v>
      </c>
      <c r="C54" s="103">
        <v>56.92</v>
      </c>
      <c r="D54" s="62">
        <v>2025359</v>
      </c>
      <c r="E54" s="37">
        <v>709065</v>
      </c>
      <c r="F54" s="62">
        <v>1322058.3999999999</v>
      </c>
      <c r="G54" s="62">
        <v>2063441.72</v>
      </c>
      <c r="H54" s="62">
        <v>801638</v>
      </c>
      <c r="I54" s="62">
        <v>1345037.4</v>
      </c>
      <c r="J54" s="62">
        <v>2050160.4735631028</v>
      </c>
      <c r="K54" s="62">
        <v>812205</v>
      </c>
      <c r="L54" s="62">
        <v>1357887.4</v>
      </c>
      <c r="M54" s="62">
        <v>2003095.25</v>
      </c>
      <c r="N54" s="62">
        <v>823505</v>
      </c>
      <c r="O54" s="62">
        <v>1225913.3999999999</v>
      </c>
      <c r="P54" s="62">
        <v>144074</v>
      </c>
      <c r="Q54" s="62">
        <v>2262218.9634143542</v>
      </c>
      <c r="R54" s="62">
        <v>963341</v>
      </c>
      <c r="S54" s="62">
        <v>1342588</v>
      </c>
      <c r="T54" s="62">
        <v>0</v>
      </c>
      <c r="U54" s="62">
        <v>2318727.5348999999</v>
      </c>
      <c r="V54" s="62">
        <v>997242</v>
      </c>
      <c r="W54" s="62">
        <v>1296130</v>
      </c>
      <c r="X54" s="62">
        <v>6958</v>
      </c>
      <c r="Y54" s="62">
        <v>46050</v>
      </c>
      <c r="Z54" s="62">
        <v>2344861.94</v>
      </c>
      <c r="AA54" s="62">
        <v>1042415</v>
      </c>
      <c r="AB54" s="62">
        <v>1303088</v>
      </c>
      <c r="AC54" s="10">
        <v>2462784.7700000005</v>
      </c>
      <c r="AD54" s="10">
        <v>1111388</v>
      </c>
      <c r="AE54" s="10">
        <v>1354889.719122</v>
      </c>
      <c r="AF54" s="10">
        <v>2368076.6400000006</v>
      </c>
      <c r="AG54" s="10">
        <v>1081418</v>
      </c>
      <c r="AH54" s="10">
        <v>1361089.719122</v>
      </c>
      <c r="AI54" s="10">
        <v>2293424.8199999998</v>
      </c>
      <c r="AJ54" s="10">
        <v>1033581</v>
      </c>
      <c r="AK54" s="31">
        <v>1366889.719122</v>
      </c>
      <c r="AL54" s="10">
        <v>2475237.4299999997</v>
      </c>
      <c r="AM54" s="10">
        <v>1069272</v>
      </c>
      <c r="AN54" s="31">
        <v>1405965</v>
      </c>
      <c r="AO54" s="10">
        <v>2406993.0500000003</v>
      </c>
      <c r="AP54" s="10">
        <v>1047029</v>
      </c>
      <c r="AQ54" s="31">
        <v>1419330</v>
      </c>
    </row>
    <row r="55" spans="1:43">
      <c r="A55" s="102">
        <v>46</v>
      </c>
      <c r="B55" s="7" t="s">
        <v>1752</v>
      </c>
      <c r="C55" s="103">
        <v>17.5</v>
      </c>
      <c r="D55" s="62">
        <v>43182454</v>
      </c>
      <c r="E55" s="37">
        <v>61282406</v>
      </c>
      <c r="F55" s="62">
        <v>5214247.2</v>
      </c>
      <c r="G55" s="62">
        <v>46243374.585639991</v>
      </c>
      <c r="H55" s="62">
        <v>59029263</v>
      </c>
      <c r="I55" s="62">
        <v>5789916.2000000002</v>
      </c>
      <c r="J55" s="62">
        <v>49807109.097208999</v>
      </c>
      <c r="K55" s="62">
        <v>56651328</v>
      </c>
      <c r="L55" s="62">
        <v>6667814.2000000002</v>
      </c>
      <c r="M55" s="62">
        <v>52046875.491919994</v>
      </c>
      <c r="N55" s="62">
        <v>53580843</v>
      </c>
      <c r="O55" s="62">
        <v>6687235.2000000002</v>
      </c>
      <c r="P55" s="62">
        <v>785907</v>
      </c>
      <c r="Q55" s="62">
        <v>55448797.678294986</v>
      </c>
      <c r="R55" s="62">
        <v>53202974</v>
      </c>
      <c r="S55" s="62">
        <v>7323679</v>
      </c>
      <c r="T55" s="62">
        <v>0</v>
      </c>
      <c r="U55" s="62">
        <v>55383764.102746435</v>
      </c>
      <c r="V55" s="62">
        <v>52241986</v>
      </c>
      <c r="W55" s="62">
        <v>6895830</v>
      </c>
      <c r="X55" s="62">
        <v>37020</v>
      </c>
      <c r="Y55" s="62">
        <v>549129</v>
      </c>
      <c r="Z55" s="62">
        <v>57861961.59826</v>
      </c>
      <c r="AA55" s="62">
        <v>52548862</v>
      </c>
      <c r="AB55" s="62">
        <v>6932850</v>
      </c>
      <c r="AC55" s="10">
        <v>63110212.205569983</v>
      </c>
      <c r="AD55" s="10">
        <v>54160831</v>
      </c>
      <c r="AE55" s="10">
        <v>8949381</v>
      </c>
      <c r="AF55" s="10">
        <v>66334276.020650007</v>
      </c>
      <c r="AG55" s="10">
        <v>55964810</v>
      </c>
      <c r="AH55" s="10">
        <v>10369466</v>
      </c>
      <c r="AI55" s="10">
        <v>68558216.958700001</v>
      </c>
      <c r="AJ55" s="10">
        <v>57398755</v>
      </c>
      <c r="AK55" s="31">
        <v>11159462</v>
      </c>
      <c r="AL55" s="10">
        <v>71400245.83788</v>
      </c>
      <c r="AM55" s="10">
        <v>59216726</v>
      </c>
      <c r="AN55" s="31">
        <v>12183520</v>
      </c>
      <c r="AO55" s="10">
        <v>73409265.273400009</v>
      </c>
      <c r="AP55" s="10">
        <v>60679638</v>
      </c>
      <c r="AQ55" s="31">
        <v>12729627</v>
      </c>
    </row>
    <row r="56" spans="1:43">
      <c r="A56" s="102">
        <v>47</v>
      </c>
      <c r="B56" s="7" t="s">
        <v>1753</v>
      </c>
      <c r="C56" s="103">
        <v>34.94</v>
      </c>
      <c r="D56" s="62">
        <v>0</v>
      </c>
      <c r="E56" s="37">
        <v>0</v>
      </c>
      <c r="F56" s="62">
        <v>0</v>
      </c>
      <c r="G56" s="62">
        <v>0</v>
      </c>
      <c r="H56" s="62">
        <v>0</v>
      </c>
      <c r="I56" s="62">
        <v>0</v>
      </c>
      <c r="J56" s="62">
        <v>0</v>
      </c>
      <c r="K56" s="62">
        <v>0</v>
      </c>
      <c r="L56" s="62">
        <v>0</v>
      </c>
      <c r="M56" s="62">
        <v>0</v>
      </c>
      <c r="N56" s="62">
        <v>0</v>
      </c>
      <c r="O56" s="62">
        <v>0</v>
      </c>
      <c r="P56" s="62">
        <v>0</v>
      </c>
      <c r="Q56" s="62">
        <v>12306.57500478469</v>
      </c>
      <c r="R56" s="62">
        <v>6213</v>
      </c>
      <c r="S56" s="62">
        <v>0</v>
      </c>
      <c r="T56" s="62">
        <v>6094</v>
      </c>
      <c r="U56" s="62">
        <v>12035.81568</v>
      </c>
      <c r="V56" s="62">
        <v>5834</v>
      </c>
      <c r="W56" s="62">
        <v>6202</v>
      </c>
      <c r="X56" s="62">
        <v>0</v>
      </c>
      <c r="Y56" s="62">
        <v>0</v>
      </c>
      <c r="Z56" s="62">
        <v>0</v>
      </c>
      <c r="AA56" s="62">
        <v>0</v>
      </c>
      <c r="AB56" s="62">
        <v>0</v>
      </c>
      <c r="AC56" s="10">
        <v>0</v>
      </c>
      <c r="AD56" s="10">
        <v>0</v>
      </c>
      <c r="AE56" s="10">
        <v>0</v>
      </c>
      <c r="AF56" s="10">
        <v>0</v>
      </c>
      <c r="AG56" s="10">
        <v>0</v>
      </c>
      <c r="AH56" s="10">
        <v>0</v>
      </c>
      <c r="AI56" s="10">
        <v>0</v>
      </c>
      <c r="AJ56" s="10">
        <v>0</v>
      </c>
      <c r="AK56" s="31">
        <v>0</v>
      </c>
      <c r="AL56" s="10">
        <v>0</v>
      </c>
      <c r="AM56" s="10">
        <v>0</v>
      </c>
      <c r="AN56" s="31">
        <v>0</v>
      </c>
      <c r="AO56" s="10">
        <v>0</v>
      </c>
      <c r="AP56" s="10">
        <v>0</v>
      </c>
      <c r="AQ56" s="31">
        <v>0</v>
      </c>
    </row>
    <row r="57" spans="1:43">
      <c r="A57" s="102">
        <v>48</v>
      </c>
      <c r="B57" s="7" t="s">
        <v>1754</v>
      </c>
      <c r="C57" s="103">
        <v>17.5</v>
      </c>
      <c r="D57" s="62">
        <v>26346430</v>
      </c>
      <c r="E57" s="37">
        <v>31715482</v>
      </c>
      <c r="F57" s="62">
        <v>3726893.6</v>
      </c>
      <c r="G57" s="62">
        <v>28476092.515739989</v>
      </c>
      <c r="H57" s="62">
        <v>31274657</v>
      </c>
      <c r="I57" s="62">
        <v>4099584.6</v>
      </c>
      <c r="J57" s="62">
        <v>29703889.542099517</v>
      </c>
      <c r="K57" s="62">
        <v>30286140</v>
      </c>
      <c r="L57" s="62">
        <v>4663527.5999999996</v>
      </c>
      <c r="M57" s="62">
        <v>32206347.779779997</v>
      </c>
      <c r="N57" s="62">
        <v>29440791</v>
      </c>
      <c r="O57" s="62">
        <v>4943419.5999999996</v>
      </c>
      <c r="P57" s="62">
        <v>580968</v>
      </c>
      <c r="Q57" s="62">
        <v>33076725.604208447</v>
      </c>
      <c r="R57" s="62">
        <v>30090020</v>
      </c>
      <c r="S57" s="62">
        <v>5413900</v>
      </c>
      <c r="T57" s="62">
        <v>0</v>
      </c>
      <c r="U57" s="62">
        <v>32935307.252465941</v>
      </c>
      <c r="V57" s="62">
        <v>30061628</v>
      </c>
      <c r="W57" s="62">
        <v>5097620</v>
      </c>
      <c r="X57" s="62">
        <v>27366</v>
      </c>
      <c r="Y57" s="62">
        <v>382764</v>
      </c>
      <c r="Z57" s="62">
        <v>33128199.854009997</v>
      </c>
      <c r="AA57" s="62">
        <v>30481205</v>
      </c>
      <c r="AB57" s="62">
        <v>5124986</v>
      </c>
      <c r="AC57" s="10">
        <v>33884514.180340007</v>
      </c>
      <c r="AD57" s="10">
        <v>31423998</v>
      </c>
      <c r="AE57" s="10">
        <v>5326186.995389875</v>
      </c>
      <c r="AF57" s="10">
        <v>34352845.412480004</v>
      </c>
      <c r="AG57" s="10">
        <v>32068110</v>
      </c>
      <c r="AH57" s="10">
        <v>5497577.2333384063</v>
      </c>
      <c r="AI57" s="10">
        <v>34467698.66996</v>
      </c>
      <c r="AJ57" s="10">
        <v>30725441</v>
      </c>
      <c r="AK57" s="31">
        <v>5684571.2333384063</v>
      </c>
      <c r="AL57" s="10">
        <v>34239007.273680001</v>
      </c>
      <c r="AM57" s="10">
        <v>30149693</v>
      </c>
      <c r="AN57" s="31">
        <v>5771296.2333384063</v>
      </c>
      <c r="AO57" s="10">
        <v>34371376.749679998</v>
      </c>
      <c r="AP57" s="10">
        <v>28843485</v>
      </c>
      <c r="AQ57" s="31">
        <v>5961486.2333384063</v>
      </c>
    </row>
    <row r="58" spans="1:43">
      <c r="A58" s="102">
        <v>49</v>
      </c>
      <c r="B58" s="7" t="s">
        <v>1755</v>
      </c>
      <c r="C58" s="103">
        <v>17.5</v>
      </c>
      <c r="D58" s="62">
        <v>58192422</v>
      </c>
      <c r="E58" s="37">
        <v>121371348</v>
      </c>
      <c r="F58" s="62">
        <v>7122204.7999999998</v>
      </c>
      <c r="G58" s="62">
        <v>59270960.026400015</v>
      </c>
      <c r="H58" s="62">
        <v>88906440</v>
      </c>
      <c r="I58" s="62">
        <v>7772247.7999999998</v>
      </c>
      <c r="J58" s="62">
        <v>58586280.466038458</v>
      </c>
      <c r="K58" s="62">
        <v>83184123</v>
      </c>
      <c r="L58" s="62">
        <v>8516352.8000000007</v>
      </c>
      <c r="M58" s="62">
        <v>62523713.757140018</v>
      </c>
      <c r="N58" s="62">
        <v>76283365</v>
      </c>
      <c r="O58" s="62">
        <v>8336916.8000000007</v>
      </c>
      <c r="P58" s="62">
        <v>979784</v>
      </c>
      <c r="Q58" s="62">
        <v>65306358.733187631</v>
      </c>
      <c r="R58" s="62">
        <v>75386475</v>
      </c>
      <c r="S58" s="62">
        <v>9130367</v>
      </c>
      <c r="T58" s="62">
        <v>0</v>
      </c>
      <c r="U58" s="62">
        <v>63289437.868766032</v>
      </c>
      <c r="V58" s="62">
        <v>70899052</v>
      </c>
      <c r="W58" s="62">
        <v>8596971</v>
      </c>
      <c r="X58" s="62">
        <v>46152</v>
      </c>
      <c r="Y58" s="62">
        <v>639119</v>
      </c>
      <c r="Z58" s="62">
        <v>65583156.403349996</v>
      </c>
      <c r="AA58" s="62">
        <v>70070141</v>
      </c>
      <c r="AB58" s="62">
        <v>8643123</v>
      </c>
      <c r="AC58" s="10">
        <v>68855555.119200006</v>
      </c>
      <c r="AD58" s="10">
        <v>68855555</v>
      </c>
      <c r="AE58" s="10">
        <v>8892163</v>
      </c>
      <c r="AF58" s="10">
        <v>72833197.092889979</v>
      </c>
      <c r="AG58" s="10">
        <v>69898977</v>
      </c>
      <c r="AH58" s="10">
        <v>9053613</v>
      </c>
      <c r="AI58" s="10">
        <v>75565946.828440011</v>
      </c>
      <c r="AJ58" s="10">
        <v>67728118</v>
      </c>
      <c r="AK58" s="31">
        <v>10513263</v>
      </c>
      <c r="AL58" s="10">
        <v>79533780.825280011</v>
      </c>
      <c r="AM58" s="10">
        <v>68456380</v>
      </c>
      <c r="AN58" s="31">
        <v>11077401</v>
      </c>
      <c r="AO58" s="10">
        <v>80655732.60428001</v>
      </c>
      <c r="AP58" s="10">
        <v>67464934</v>
      </c>
      <c r="AQ58" s="31">
        <v>13287462</v>
      </c>
    </row>
    <row r="59" spans="1:43">
      <c r="A59" s="102">
        <v>50</v>
      </c>
      <c r="B59" s="7" t="s">
        <v>1756</v>
      </c>
      <c r="C59" s="103">
        <v>17.5</v>
      </c>
      <c r="D59" s="62">
        <v>21297642</v>
      </c>
      <c r="E59" s="37">
        <v>22689136</v>
      </c>
      <c r="F59" s="62">
        <v>2658679.6</v>
      </c>
      <c r="G59" s="62">
        <v>23120445.500109997</v>
      </c>
      <c r="H59" s="62">
        <v>22714049</v>
      </c>
      <c r="I59" s="62">
        <v>2977670.6</v>
      </c>
      <c r="J59" s="62">
        <v>24474543.710445229</v>
      </c>
      <c r="K59" s="62">
        <v>22506106</v>
      </c>
      <c r="L59" s="62">
        <v>3369282.6</v>
      </c>
      <c r="M59" s="62">
        <v>26022801.77039</v>
      </c>
      <c r="N59" s="62">
        <v>22769714</v>
      </c>
      <c r="O59" s="62">
        <v>3364793.6</v>
      </c>
      <c r="P59" s="62">
        <v>395442</v>
      </c>
      <c r="Q59" s="62">
        <v>26782117.437980484</v>
      </c>
      <c r="R59" s="62">
        <v>23032985</v>
      </c>
      <c r="S59" s="62">
        <v>3685031</v>
      </c>
      <c r="T59" s="62">
        <v>64101</v>
      </c>
      <c r="U59" s="62">
        <v>26442324.635255523</v>
      </c>
      <c r="V59" s="62">
        <v>23230516</v>
      </c>
      <c r="W59" s="62">
        <v>3530108</v>
      </c>
      <c r="X59" s="62">
        <v>18951</v>
      </c>
      <c r="Y59" s="62">
        <v>275998</v>
      </c>
      <c r="Z59" s="62">
        <v>27781523.257420003</v>
      </c>
      <c r="AA59" s="62">
        <v>23943285</v>
      </c>
      <c r="AB59" s="62">
        <v>3838238</v>
      </c>
      <c r="AC59" s="10">
        <v>29173938.351570003</v>
      </c>
      <c r="AD59" s="10">
        <v>24768223</v>
      </c>
      <c r="AE59" s="10">
        <v>4580646.0528811878</v>
      </c>
      <c r="AF59" s="10">
        <v>30084633.497920007</v>
      </c>
      <c r="AG59" s="10">
        <v>25615490</v>
      </c>
      <c r="AH59" s="10">
        <v>4751687.2551948912</v>
      </c>
      <c r="AI59" s="10">
        <v>30171279.553439993</v>
      </c>
      <c r="AJ59" s="10">
        <v>25776936</v>
      </c>
      <c r="AK59" s="31">
        <v>4936587.2551948912</v>
      </c>
      <c r="AL59" s="10">
        <v>31710377.389359999</v>
      </c>
      <c r="AM59" s="10">
        <v>26583708</v>
      </c>
      <c r="AN59" s="31">
        <v>5126669</v>
      </c>
      <c r="AO59" s="10">
        <v>31711055.289259996</v>
      </c>
      <c r="AP59" s="10">
        <v>26390963</v>
      </c>
      <c r="AQ59" s="31">
        <v>5320092</v>
      </c>
    </row>
    <row r="60" spans="1:43">
      <c r="A60" s="102">
        <v>51</v>
      </c>
      <c r="B60" s="7" t="s">
        <v>1757</v>
      </c>
      <c r="C60" s="103">
        <v>17.5</v>
      </c>
      <c r="D60" s="62">
        <v>5380976</v>
      </c>
      <c r="E60" s="37">
        <v>5527723</v>
      </c>
      <c r="F60" s="62">
        <v>625736.4</v>
      </c>
      <c r="G60" s="62">
        <v>5564262.385809999</v>
      </c>
      <c r="H60" s="62">
        <v>5588855</v>
      </c>
      <c r="I60" s="62">
        <v>695338.4</v>
      </c>
      <c r="J60" s="62">
        <v>5581542.8067216659</v>
      </c>
      <c r="K60" s="62">
        <v>5455408</v>
      </c>
      <c r="L60" s="62">
        <v>779767.4</v>
      </c>
      <c r="M60" s="62">
        <v>5703345.7581000021</v>
      </c>
      <c r="N60" s="62">
        <v>5287388</v>
      </c>
      <c r="O60" s="62">
        <v>762232.4</v>
      </c>
      <c r="P60" s="62">
        <v>89580</v>
      </c>
      <c r="Q60" s="62">
        <v>5621329.9800242223</v>
      </c>
      <c r="R60" s="62">
        <v>5264374</v>
      </c>
      <c r="S60" s="62">
        <v>834776</v>
      </c>
      <c r="T60" s="62">
        <v>0</v>
      </c>
      <c r="U60" s="62">
        <v>5332769.3760069599</v>
      </c>
      <c r="V60" s="62">
        <v>4994997</v>
      </c>
      <c r="W60" s="62">
        <v>786008</v>
      </c>
      <c r="X60" s="62">
        <v>4220</v>
      </c>
      <c r="Y60" s="62">
        <v>61148</v>
      </c>
      <c r="Z60" s="62">
        <v>5279778.722959999</v>
      </c>
      <c r="AA60" s="62">
        <v>5047262</v>
      </c>
      <c r="AB60" s="62">
        <v>790228</v>
      </c>
      <c r="AC60" s="10">
        <v>5237293.4315999998</v>
      </c>
      <c r="AD60" s="10">
        <v>5073775</v>
      </c>
      <c r="AE60" s="10">
        <v>815308</v>
      </c>
      <c r="AF60" s="10">
        <v>5211682.2159700003</v>
      </c>
      <c r="AG60" s="10">
        <v>5137653</v>
      </c>
      <c r="AH60" s="10">
        <v>839492.09694868745</v>
      </c>
      <c r="AI60" s="10">
        <v>5130124.3316099988</v>
      </c>
      <c r="AJ60" s="10">
        <v>4617112</v>
      </c>
      <c r="AK60" s="31">
        <v>859890.09694868745</v>
      </c>
      <c r="AL60" s="10">
        <v>5330419.6237000003</v>
      </c>
      <c r="AM60" s="10">
        <v>4642180</v>
      </c>
      <c r="AN60" s="31">
        <v>875115.09694868745</v>
      </c>
      <c r="AO60" s="10">
        <v>5096190.4877600009</v>
      </c>
      <c r="AP60" s="10">
        <v>4276513</v>
      </c>
      <c r="AQ60" s="149">
        <f>906850.096948687+7432</f>
        <v>914282.09694868699</v>
      </c>
    </row>
    <row r="61" spans="1:43">
      <c r="A61" s="102">
        <v>52</v>
      </c>
      <c r="B61" s="7" t="s">
        <v>1758</v>
      </c>
      <c r="C61" s="103">
        <v>49.57</v>
      </c>
      <c r="D61" s="62">
        <v>14692519</v>
      </c>
      <c r="E61" s="37">
        <v>5600310</v>
      </c>
      <c r="F61" s="62">
        <v>9266231</v>
      </c>
      <c r="G61" s="62">
        <v>15522693.041550003</v>
      </c>
      <c r="H61" s="62">
        <v>5937552</v>
      </c>
      <c r="I61" s="62">
        <v>9740177</v>
      </c>
      <c r="J61" s="62">
        <v>16020593.808795983</v>
      </c>
      <c r="K61" s="62">
        <v>6229859</v>
      </c>
      <c r="L61" s="62">
        <v>10016064</v>
      </c>
      <c r="M61" s="62">
        <v>16571482.380320001</v>
      </c>
      <c r="N61" s="62">
        <v>6622023</v>
      </c>
      <c r="O61" s="62">
        <v>9233907</v>
      </c>
      <c r="P61" s="62">
        <v>1085201</v>
      </c>
      <c r="Q61" s="62">
        <v>17214969.206102479</v>
      </c>
      <c r="R61" s="62">
        <v>7603064</v>
      </c>
      <c r="S61" s="62">
        <v>10112726</v>
      </c>
      <c r="T61" s="62">
        <v>0</v>
      </c>
      <c r="U61" s="62">
        <v>16524123.59413152</v>
      </c>
      <c r="V61" s="62">
        <v>7761924</v>
      </c>
      <c r="W61" s="62">
        <v>9521941</v>
      </c>
      <c r="X61" s="62">
        <v>51118</v>
      </c>
      <c r="Y61" s="62">
        <v>586792</v>
      </c>
      <c r="Z61" s="62">
        <v>16233062.765200002</v>
      </c>
      <c r="AA61" s="62">
        <v>8021055</v>
      </c>
      <c r="AB61" s="62">
        <v>9573059</v>
      </c>
      <c r="AC61" s="10">
        <v>16560679.89696</v>
      </c>
      <c r="AD61" s="10">
        <v>8171863</v>
      </c>
      <c r="AE61" s="10">
        <v>9644539</v>
      </c>
      <c r="AF61" s="10">
        <v>16614966.67595</v>
      </c>
      <c r="AG61" s="10">
        <v>8403720</v>
      </c>
      <c r="AH61" s="10">
        <v>9688439</v>
      </c>
      <c r="AI61" s="10">
        <v>16482096.760799997</v>
      </c>
      <c r="AJ61" s="10">
        <v>8461514</v>
      </c>
      <c r="AK61" s="31">
        <v>9731289</v>
      </c>
      <c r="AL61" s="10">
        <v>16197468.462199999</v>
      </c>
      <c r="AM61" s="10">
        <v>8567837</v>
      </c>
      <c r="AN61" s="31">
        <v>9772714</v>
      </c>
      <c r="AO61" s="10">
        <v>16376740.850159999</v>
      </c>
      <c r="AP61" s="10">
        <v>8366875</v>
      </c>
      <c r="AQ61" s="31">
        <v>9863519</v>
      </c>
    </row>
    <row r="62" spans="1:43">
      <c r="A62" s="102">
        <v>53</v>
      </c>
      <c r="B62" s="7" t="s">
        <v>1759</v>
      </c>
      <c r="C62" s="103">
        <v>47.96</v>
      </c>
      <c r="D62" s="62">
        <v>78372</v>
      </c>
      <c r="E62" s="37">
        <v>24481</v>
      </c>
      <c r="F62" s="62">
        <v>66503</v>
      </c>
      <c r="G62" s="62">
        <v>140168.19</v>
      </c>
      <c r="H62" s="62">
        <v>52863</v>
      </c>
      <c r="I62" s="62">
        <v>104458</v>
      </c>
      <c r="J62" s="62">
        <v>180766.01</v>
      </c>
      <c r="K62" s="62">
        <v>75004</v>
      </c>
      <c r="L62" s="62">
        <v>130303</v>
      </c>
      <c r="M62" s="62">
        <v>202073.43</v>
      </c>
      <c r="N62" s="62">
        <v>86198</v>
      </c>
      <c r="O62" s="62">
        <v>143418</v>
      </c>
      <c r="P62" s="62">
        <v>0</v>
      </c>
      <c r="Q62" s="62">
        <v>183603.36713492827</v>
      </c>
      <c r="R62" s="62">
        <v>78176</v>
      </c>
      <c r="S62" s="62">
        <v>140550</v>
      </c>
      <c r="T62" s="62">
        <v>0</v>
      </c>
      <c r="U62" s="62">
        <v>96286.525439999998</v>
      </c>
      <c r="V62" s="62">
        <v>48181</v>
      </c>
      <c r="W62" s="62">
        <v>96286.525439999998</v>
      </c>
      <c r="X62" s="62">
        <v>0</v>
      </c>
      <c r="Y62" s="62">
        <v>0</v>
      </c>
      <c r="Z62" s="62">
        <v>61250.35</v>
      </c>
      <c r="AA62" s="62">
        <v>31272</v>
      </c>
      <c r="AB62" s="62">
        <v>61250.35</v>
      </c>
      <c r="AC62" s="10">
        <v>63486.049999999996</v>
      </c>
      <c r="AD62" s="10">
        <v>33682</v>
      </c>
      <c r="AE62" s="10">
        <v>61250.35</v>
      </c>
      <c r="AF62" s="10">
        <v>77364.119999999981</v>
      </c>
      <c r="AG62" s="10">
        <v>42623</v>
      </c>
      <c r="AH62" s="10">
        <v>61250.35</v>
      </c>
      <c r="AI62" s="10">
        <v>65024.500000000007</v>
      </c>
      <c r="AJ62" s="10">
        <v>36024</v>
      </c>
      <c r="AK62" s="31">
        <v>61250.35</v>
      </c>
      <c r="AL62" s="10">
        <v>65999.8</v>
      </c>
      <c r="AM62" s="10">
        <v>37958</v>
      </c>
      <c r="AN62" s="31">
        <v>61250.35</v>
      </c>
      <c r="AO62" s="10">
        <v>118538.28</v>
      </c>
      <c r="AP62" s="10">
        <v>62581</v>
      </c>
      <c r="AQ62" s="31">
        <v>61250.35</v>
      </c>
    </row>
    <row r="63" spans="1:43">
      <c r="A63" s="102">
        <v>54</v>
      </c>
      <c r="B63" s="7" t="s">
        <v>1760</v>
      </c>
      <c r="C63" s="103">
        <v>48.71</v>
      </c>
      <c r="D63" s="62">
        <v>9796</v>
      </c>
      <c r="E63" s="37">
        <v>3731</v>
      </c>
      <c r="F63" s="62">
        <v>6065</v>
      </c>
      <c r="G63" s="62">
        <v>0</v>
      </c>
      <c r="H63" s="62">
        <v>1019</v>
      </c>
      <c r="I63" s="62">
        <v>0</v>
      </c>
      <c r="J63" s="62">
        <v>0</v>
      </c>
      <c r="K63" s="62">
        <v>0</v>
      </c>
      <c r="L63" s="62">
        <v>0</v>
      </c>
      <c r="M63" s="62">
        <v>0</v>
      </c>
      <c r="N63" s="62">
        <v>0</v>
      </c>
      <c r="O63" s="62">
        <v>0</v>
      </c>
      <c r="P63" s="62">
        <v>0</v>
      </c>
      <c r="Q63" s="62">
        <v>12306.57500478469</v>
      </c>
      <c r="R63" s="62">
        <v>4735</v>
      </c>
      <c r="S63" s="62">
        <v>0</v>
      </c>
      <c r="T63" s="62">
        <v>7572</v>
      </c>
      <c r="U63" s="62">
        <v>12035.81568</v>
      </c>
      <c r="V63" s="62">
        <v>4895</v>
      </c>
      <c r="W63" s="62">
        <v>7269</v>
      </c>
      <c r="X63" s="62">
        <v>0</v>
      </c>
      <c r="Y63" s="62">
        <v>0</v>
      </c>
      <c r="Z63" s="62">
        <v>36750.21</v>
      </c>
      <c r="AA63" s="62">
        <v>15574</v>
      </c>
      <c r="AB63" s="62">
        <v>21176</v>
      </c>
      <c r="AC63" s="10">
        <v>38091.630000000005</v>
      </c>
      <c r="AD63" s="10">
        <v>16459</v>
      </c>
      <c r="AE63" s="10">
        <v>21633</v>
      </c>
      <c r="AF63" s="10">
        <v>25788.04</v>
      </c>
      <c r="AG63" s="10">
        <v>11686</v>
      </c>
      <c r="AH63" s="10">
        <v>21633</v>
      </c>
      <c r="AI63" s="10">
        <v>26009.8</v>
      </c>
      <c r="AJ63" s="10">
        <v>11935</v>
      </c>
      <c r="AK63" s="31">
        <v>21633</v>
      </c>
      <c r="AL63" s="10">
        <v>26399.920000000002</v>
      </c>
      <c r="AM63" s="10">
        <v>12481</v>
      </c>
      <c r="AN63" s="31">
        <v>21633</v>
      </c>
      <c r="AO63" s="10">
        <v>26341.840000000004</v>
      </c>
      <c r="AP63" s="10">
        <v>13326</v>
      </c>
      <c r="AQ63" s="31">
        <v>21633</v>
      </c>
    </row>
    <row r="64" spans="1:43">
      <c r="A64" s="102">
        <v>55</v>
      </c>
      <c r="B64" s="7" t="s">
        <v>1761</v>
      </c>
      <c r="C64" s="103">
        <v>17.5</v>
      </c>
      <c r="D64" s="62">
        <v>4193476</v>
      </c>
      <c r="E64" s="37">
        <v>7336875</v>
      </c>
      <c r="F64" s="62">
        <v>477224.8</v>
      </c>
      <c r="G64" s="62">
        <v>4300106.45</v>
      </c>
      <c r="H64" s="62">
        <v>6443767</v>
      </c>
      <c r="I64" s="62">
        <v>532283.80000000005</v>
      </c>
      <c r="J64" s="62">
        <v>4585029.6806893088</v>
      </c>
      <c r="K64" s="62">
        <v>6009057</v>
      </c>
      <c r="L64" s="62">
        <v>613312.80000000005</v>
      </c>
      <c r="M64" s="62">
        <v>4990261.8899999997</v>
      </c>
      <c r="N64" s="62">
        <v>5494357</v>
      </c>
      <c r="O64" s="62">
        <v>625585.80000000005</v>
      </c>
      <c r="P64" s="62">
        <v>73521</v>
      </c>
      <c r="Q64" s="62">
        <v>4899882.2308746418</v>
      </c>
      <c r="R64" s="62">
        <v>5453455</v>
      </c>
      <c r="S64" s="62">
        <v>685125</v>
      </c>
      <c r="T64" s="62">
        <v>0</v>
      </c>
      <c r="U64" s="62">
        <v>4739534.5728599997</v>
      </c>
      <c r="V64" s="62">
        <v>5103025</v>
      </c>
      <c r="W64" s="62">
        <v>645100</v>
      </c>
      <c r="X64" s="62">
        <v>3463</v>
      </c>
      <c r="Y64" s="62">
        <v>50262</v>
      </c>
      <c r="Z64" s="62">
        <v>0</v>
      </c>
      <c r="AA64" s="62">
        <v>0</v>
      </c>
      <c r="AB64" s="62">
        <v>0</v>
      </c>
      <c r="AC64" s="10">
        <v>0</v>
      </c>
      <c r="AD64" s="10">
        <v>0</v>
      </c>
      <c r="AE64" s="10">
        <v>0</v>
      </c>
      <c r="AF64" s="10">
        <v>0</v>
      </c>
      <c r="AG64" s="10">
        <v>0</v>
      </c>
      <c r="AH64" s="10">
        <v>0</v>
      </c>
      <c r="AI64" s="10">
        <v>0</v>
      </c>
      <c r="AJ64" s="10">
        <v>0</v>
      </c>
      <c r="AK64" s="31">
        <v>0</v>
      </c>
      <c r="AL64" s="10">
        <v>0</v>
      </c>
      <c r="AM64" s="10">
        <v>0</v>
      </c>
      <c r="AN64" s="31">
        <v>0</v>
      </c>
      <c r="AO64" s="10">
        <v>0</v>
      </c>
      <c r="AP64" s="10">
        <v>0</v>
      </c>
      <c r="AQ64" s="31">
        <v>0</v>
      </c>
    </row>
    <row r="65" spans="1:43">
      <c r="A65" s="102">
        <v>56</v>
      </c>
      <c r="B65" s="7" t="s">
        <v>1762</v>
      </c>
      <c r="C65" s="103">
        <v>19.36</v>
      </c>
      <c r="D65" s="62">
        <v>40243143</v>
      </c>
      <c r="E65" s="37">
        <v>36260612</v>
      </c>
      <c r="F65" s="62">
        <v>6876856</v>
      </c>
      <c r="G65" s="62">
        <v>42592748.364599995</v>
      </c>
      <c r="H65" s="62">
        <v>37179861</v>
      </c>
      <c r="I65" s="62">
        <v>7440307</v>
      </c>
      <c r="J65" s="62">
        <v>44064611.171122938</v>
      </c>
      <c r="K65" s="62">
        <v>37500357</v>
      </c>
      <c r="L65" s="62">
        <v>8365004</v>
      </c>
      <c r="M65" s="62">
        <v>46153358.467759997</v>
      </c>
      <c r="N65" s="62">
        <v>37130897</v>
      </c>
      <c r="O65" s="62">
        <v>8440095</v>
      </c>
      <c r="P65" s="62">
        <v>991910</v>
      </c>
      <c r="Q65" s="62">
        <v>47744450.184116684</v>
      </c>
      <c r="R65" s="62">
        <v>37306579</v>
      </c>
      <c r="S65" s="62">
        <v>9243365</v>
      </c>
      <c r="T65" s="62">
        <v>1194506</v>
      </c>
      <c r="U65" s="62">
        <v>45545882.214795649</v>
      </c>
      <c r="V65" s="62">
        <v>37406417</v>
      </c>
      <c r="W65" s="62">
        <v>9828091</v>
      </c>
      <c r="X65" s="62">
        <v>52762</v>
      </c>
      <c r="Y65" s="62">
        <v>692768</v>
      </c>
      <c r="Z65" s="62">
        <v>45821656.65101999</v>
      </c>
      <c r="AA65" s="62">
        <v>38188765</v>
      </c>
      <c r="AB65" s="62">
        <v>9880853</v>
      </c>
      <c r="AC65" s="10">
        <v>47211208.199219994</v>
      </c>
      <c r="AD65" s="10">
        <v>38901400</v>
      </c>
      <c r="AE65" s="10">
        <v>10089893</v>
      </c>
      <c r="AF65" s="10">
        <v>46881673.41488</v>
      </c>
      <c r="AG65" s="10">
        <v>39656173</v>
      </c>
      <c r="AH65" s="10">
        <v>10218568</v>
      </c>
      <c r="AI65" s="10">
        <v>47335965.470179997</v>
      </c>
      <c r="AJ65" s="10">
        <v>39489751</v>
      </c>
      <c r="AK65" s="31">
        <v>10346618</v>
      </c>
      <c r="AL65" s="10">
        <v>47241970.625249989</v>
      </c>
      <c r="AM65" s="10">
        <v>39434421</v>
      </c>
      <c r="AN65" s="31">
        <v>10473018</v>
      </c>
      <c r="AO65" s="10">
        <v>46800513.146480002</v>
      </c>
      <c r="AP65" s="10">
        <v>38219600</v>
      </c>
      <c r="AQ65" s="31">
        <v>10746368</v>
      </c>
    </row>
    <row r="66" spans="1:43">
      <c r="A66" s="102">
        <v>57</v>
      </c>
      <c r="B66" s="7" t="s">
        <v>1763</v>
      </c>
      <c r="C66" s="103">
        <v>80.39</v>
      </c>
      <c r="D66" s="62">
        <v>50386551</v>
      </c>
      <c r="E66" s="37">
        <v>8453650</v>
      </c>
      <c r="F66" s="62">
        <v>42000702</v>
      </c>
      <c r="G66" s="62">
        <v>53256173.620359994</v>
      </c>
      <c r="H66" s="62">
        <v>9142672</v>
      </c>
      <c r="I66" s="62">
        <v>44127092</v>
      </c>
      <c r="J66" s="62">
        <v>58311558.942627169</v>
      </c>
      <c r="K66" s="62">
        <v>9794441</v>
      </c>
      <c r="L66" s="62">
        <v>48517118</v>
      </c>
      <c r="M66" s="62">
        <v>61064521.992660001</v>
      </c>
      <c r="N66" s="62">
        <v>10267187</v>
      </c>
      <c r="O66" s="62">
        <v>45455271</v>
      </c>
      <c r="P66" s="62">
        <v>5342064</v>
      </c>
      <c r="Q66" s="62">
        <v>62117725.984426871</v>
      </c>
      <c r="R66" s="62">
        <v>10206209</v>
      </c>
      <c r="S66" s="62">
        <v>49781388</v>
      </c>
      <c r="T66" s="62">
        <v>2130129</v>
      </c>
      <c r="U66" s="62">
        <v>63694269.530000001</v>
      </c>
      <c r="V66" s="62">
        <v>10946147</v>
      </c>
      <c r="W66" s="62">
        <v>51355990</v>
      </c>
      <c r="X66" s="62">
        <v>277725</v>
      </c>
      <c r="Y66" s="62">
        <v>1118615</v>
      </c>
      <c r="Z66" s="62">
        <v>64097834.562419996</v>
      </c>
      <c r="AA66" s="62">
        <v>11332640</v>
      </c>
      <c r="AB66" s="62">
        <v>52765195</v>
      </c>
      <c r="AC66" s="10">
        <v>67545521.032000005</v>
      </c>
      <c r="AD66" s="10">
        <v>11524290</v>
      </c>
      <c r="AE66" s="10">
        <v>56040644</v>
      </c>
      <c r="AF66" s="10">
        <v>73447858.946570009</v>
      </c>
      <c r="AG66" s="10">
        <v>11993753</v>
      </c>
      <c r="AH66" s="10">
        <v>61454106</v>
      </c>
      <c r="AI66" s="10">
        <v>77392158.150499985</v>
      </c>
      <c r="AJ66" s="10">
        <v>12901270</v>
      </c>
      <c r="AK66" s="31">
        <v>64490888</v>
      </c>
      <c r="AL66" s="10">
        <v>84321341.850099981</v>
      </c>
      <c r="AM66" s="10">
        <v>13967161</v>
      </c>
      <c r="AN66" s="31">
        <v>70354181</v>
      </c>
      <c r="AO66" s="10">
        <v>83654803.231740028</v>
      </c>
      <c r="AP66" s="10">
        <v>14735937</v>
      </c>
      <c r="AQ66" s="31">
        <v>71681078</v>
      </c>
    </row>
    <row r="67" spans="1:43">
      <c r="A67" s="102">
        <v>58</v>
      </c>
      <c r="B67" s="7" t="s">
        <v>1764</v>
      </c>
      <c r="C67" s="103">
        <v>49.71</v>
      </c>
      <c r="D67" s="62">
        <v>411606</v>
      </c>
      <c r="E67" s="37">
        <v>147670</v>
      </c>
      <c r="F67" s="62">
        <v>263936</v>
      </c>
      <c r="G67" s="62">
        <v>421381.96</v>
      </c>
      <c r="H67" s="62">
        <v>162084</v>
      </c>
      <c r="I67" s="62">
        <v>269956</v>
      </c>
      <c r="J67" s="62">
        <v>475084.72</v>
      </c>
      <c r="K67" s="62">
        <v>183097</v>
      </c>
      <c r="L67" s="62">
        <v>302591</v>
      </c>
      <c r="M67" s="62">
        <v>499694.78</v>
      </c>
      <c r="N67" s="62">
        <v>201075</v>
      </c>
      <c r="O67" s="62">
        <v>316850</v>
      </c>
      <c r="P67" s="62">
        <v>0</v>
      </c>
      <c r="Q67" s="62">
        <v>453352.7593033493</v>
      </c>
      <c r="R67" s="62">
        <v>179424</v>
      </c>
      <c r="S67" s="62">
        <v>310513</v>
      </c>
      <c r="T67" s="62">
        <v>0</v>
      </c>
      <c r="U67" s="62">
        <v>479485.93776</v>
      </c>
      <c r="V67" s="62">
        <v>198341</v>
      </c>
      <c r="W67" s="62">
        <v>298092</v>
      </c>
      <c r="X67" s="62">
        <v>0</v>
      </c>
      <c r="Y67" s="62">
        <v>0</v>
      </c>
      <c r="Z67" s="62">
        <v>488021.36</v>
      </c>
      <c r="AA67" s="62">
        <v>199213</v>
      </c>
      <c r="AB67" s="62">
        <v>298092</v>
      </c>
      <c r="AC67" s="17">
        <v>38092</v>
      </c>
      <c r="AD67" s="10">
        <v>238032</v>
      </c>
      <c r="AE67" s="17">
        <v>21802</v>
      </c>
      <c r="AF67" s="10">
        <v>38682.05999999999</v>
      </c>
      <c r="AG67" s="10">
        <v>17166</v>
      </c>
      <c r="AH67" s="10">
        <v>21802</v>
      </c>
      <c r="AI67" s="10">
        <v>13004.9</v>
      </c>
      <c r="AJ67" s="10">
        <v>5919</v>
      </c>
      <c r="AK67" s="31">
        <v>13004.9</v>
      </c>
      <c r="AL67" s="10">
        <v>13199.960000000001</v>
      </c>
      <c r="AM67" s="10">
        <v>6175</v>
      </c>
      <c r="AN67" s="31">
        <v>13004.9</v>
      </c>
      <c r="AO67" s="10">
        <v>0</v>
      </c>
      <c r="AP67" s="10">
        <v>0</v>
      </c>
      <c r="AQ67" s="31">
        <v>0</v>
      </c>
    </row>
    <row r="68" spans="1:43">
      <c r="A68" s="102">
        <v>59</v>
      </c>
      <c r="B68" s="7" t="s">
        <v>1765</v>
      </c>
      <c r="C68" s="103">
        <v>50.05</v>
      </c>
      <c r="D68" s="62">
        <v>147024</v>
      </c>
      <c r="E68" s="37">
        <v>57724</v>
      </c>
      <c r="F68" s="62">
        <v>89300</v>
      </c>
      <c r="G68" s="62">
        <v>108496.6</v>
      </c>
      <c r="H68" s="62">
        <v>52566</v>
      </c>
      <c r="I68" s="62">
        <v>89800</v>
      </c>
      <c r="J68" s="62">
        <v>158055.47</v>
      </c>
      <c r="K68" s="62">
        <v>67713</v>
      </c>
      <c r="L68" s="62">
        <v>121002</v>
      </c>
      <c r="M68" s="62">
        <v>178186.45</v>
      </c>
      <c r="N68" s="62">
        <v>77758</v>
      </c>
      <c r="O68" s="62">
        <v>133451</v>
      </c>
      <c r="P68" s="62">
        <v>0</v>
      </c>
      <c r="Q68" s="62">
        <v>183603.36713492827</v>
      </c>
      <c r="R68" s="62">
        <v>77294</v>
      </c>
      <c r="S68" s="62">
        <v>130782</v>
      </c>
      <c r="T68" s="62">
        <v>0</v>
      </c>
      <c r="U68" s="62">
        <v>167528.0748</v>
      </c>
      <c r="V68" s="62">
        <v>73335</v>
      </c>
      <c r="W68" s="62">
        <v>125551</v>
      </c>
      <c r="X68" s="62">
        <v>0</v>
      </c>
      <c r="Y68" s="62">
        <v>0</v>
      </c>
      <c r="Z68" s="62">
        <v>170510.26</v>
      </c>
      <c r="AA68" s="62">
        <v>80804</v>
      </c>
      <c r="AB68" s="62">
        <v>125551</v>
      </c>
      <c r="AC68" s="10">
        <v>214825.67</v>
      </c>
      <c r="AD68" s="10">
        <v>97804</v>
      </c>
      <c r="AE68" s="10">
        <v>125551</v>
      </c>
      <c r="AF68" s="10">
        <v>243943.57</v>
      </c>
      <c r="AG68" s="10">
        <v>117682</v>
      </c>
      <c r="AH68" s="10">
        <v>126262</v>
      </c>
      <c r="AI68" s="10">
        <v>220031.55</v>
      </c>
      <c r="AJ68" s="10">
        <v>109806</v>
      </c>
      <c r="AK68" s="31">
        <v>126262</v>
      </c>
      <c r="AL68" s="10">
        <v>210131.86</v>
      </c>
      <c r="AM68" s="10">
        <v>99091</v>
      </c>
      <c r="AN68" s="31">
        <v>126262</v>
      </c>
      <c r="AO68" s="10">
        <v>131709.20000000001</v>
      </c>
      <c r="AP68" s="10">
        <v>66688</v>
      </c>
      <c r="AQ68" s="31">
        <v>126262</v>
      </c>
    </row>
    <row r="69" spans="1:43">
      <c r="A69" s="102">
        <v>60</v>
      </c>
      <c r="B69" s="7" t="s">
        <v>1766</v>
      </c>
      <c r="C69" s="103">
        <v>41.46</v>
      </c>
      <c r="D69" s="62">
        <v>147024</v>
      </c>
      <c r="E69" s="37">
        <v>74106</v>
      </c>
      <c r="F69" s="62">
        <v>85640</v>
      </c>
      <c r="G69" s="62">
        <v>151017.85</v>
      </c>
      <c r="H69" s="62">
        <v>79291</v>
      </c>
      <c r="I69" s="62">
        <v>87945</v>
      </c>
      <c r="J69" s="62">
        <v>226187.09</v>
      </c>
      <c r="K69" s="62">
        <v>122154</v>
      </c>
      <c r="L69" s="62">
        <v>128461</v>
      </c>
      <c r="M69" s="62">
        <v>202073.43</v>
      </c>
      <c r="N69" s="62">
        <v>103249</v>
      </c>
      <c r="O69" s="62">
        <v>129211</v>
      </c>
      <c r="P69" s="62">
        <v>0</v>
      </c>
      <c r="Q69" s="62">
        <v>183603.36713492827</v>
      </c>
      <c r="R69" s="62">
        <v>91172</v>
      </c>
      <c r="S69" s="62">
        <v>126627</v>
      </c>
      <c r="T69" s="62">
        <v>0</v>
      </c>
      <c r="U69" s="62">
        <v>179563.89048</v>
      </c>
      <c r="V69" s="62">
        <v>95302</v>
      </c>
      <c r="W69" s="62">
        <v>121562</v>
      </c>
      <c r="X69" s="62">
        <v>0</v>
      </c>
      <c r="Y69" s="62">
        <v>0</v>
      </c>
      <c r="Z69" s="62">
        <v>170510.26</v>
      </c>
      <c r="AA69" s="62">
        <v>94294</v>
      </c>
      <c r="AB69" s="62">
        <v>121562</v>
      </c>
      <c r="AC69" s="10">
        <v>303706.14</v>
      </c>
      <c r="AD69" s="10">
        <v>170592</v>
      </c>
      <c r="AE69" s="10">
        <v>133114</v>
      </c>
      <c r="AF69" s="10">
        <v>256837.59</v>
      </c>
      <c r="AG69" s="10">
        <v>151126</v>
      </c>
      <c r="AH69" s="10">
        <v>133114</v>
      </c>
      <c r="AI69" s="10">
        <v>259046.25</v>
      </c>
      <c r="AJ69" s="10">
        <v>153673</v>
      </c>
      <c r="AK69" s="31">
        <v>133114</v>
      </c>
      <c r="AL69" s="10">
        <v>289331.62</v>
      </c>
      <c r="AM69" s="10">
        <v>163969</v>
      </c>
      <c r="AN69" s="31">
        <v>133114</v>
      </c>
      <c r="AO69" s="10">
        <v>262353.24</v>
      </c>
      <c r="AP69" s="10">
        <v>155148</v>
      </c>
      <c r="AQ69" s="31">
        <v>133114</v>
      </c>
    </row>
    <row r="70" spans="1:43">
      <c r="A70" s="102">
        <v>61</v>
      </c>
      <c r="B70" s="7" t="s">
        <v>1767</v>
      </c>
      <c r="C70" s="103">
        <v>66.760000000000005</v>
      </c>
      <c r="D70" s="62">
        <v>63096901</v>
      </c>
      <c r="E70" s="37">
        <v>25483093</v>
      </c>
      <c r="F70" s="62">
        <v>37613808</v>
      </c>
      <c r="G70" s="62">
        <v>66358804.090000004</v>
      </c>
      <c r="H70" s="62">
        <v>26441283</v>
      </c>
      <c r="I70" s="62">
        <v>39917521</v>
      </c>
      <c r="J70" s="62">
        <v>70099506.047638729</v>
      </c>
      <c r="K70" s="62">
        <v>26325951</v>
      </c>
      <c r="L70" s="62">
        <v>43773555</v>
      </c>
      <c r="M70" s="62">
        <v>74549552.000000015</v>
      </c>
      <c r="N70" s="62">
        <v>26468494</v>
      </c>
      <c r="O70" s="62">
        <v>43024649</v>
      </c>
      <c r="P70" s="62">
        <v>5056409</v>
      </c>
      <c r="Q70" s="62">
        <v>76114569.038086131</v>
      </c>
      <c r="R70" s="62">
        <v>26127050</v>
      </c>
      <c r="S70" s="62">
        <v>47119437</v>
      </c>
      <c r="T70" s="62">
        <v>2868082</v>
      </c>
      <c r="U70" s="62">
        <v>78296359.978620008</v>
      </c>
      <c r="V70" s="62">
        <v>26109119</v>
      </c>
      <c r="W70" s="62">
        <v>51185902</v>
      </c>
      <c r="X70" s="62">
        <v>274789</v>
      </c>
      <c r="Y70" s="62">
        <v>726550</v>
      </c>
      <c r="Z70" s="62">
        <v>80257160.099999994</v>
      </c>
      <c r="AA70" s="62">
        <v>26628690</v>
      </c>
      <c r="AB70" s="62">
        <v>53628470</v>
      </c>
      <c r="AC70" s="10">
        <v>83403437.559999987</v>
      </c>
      <c r="AD70" s="10">
        <v>27382282</v>
      </c>
      <c r="AE70" s="10">
        <v>56021156</v>
      </c>
      <c r="AF70" s="10">
        <v>85269685.210000008</v>
      </c>
      <c r="AG70" s="10">
        <v>28420070</v>
      </c>
      <c r="AH70" s="10">
        <v>56849615</v>
      </c>
      <c r="AI70" s="10">
        <v>86339875.140000001</v>
      </c>
      <c r="AJ70" s="10">
        <v>29088958</v>
      </c>
      <c r="AK70" s="31">
        <v>57250917</v>
      </c>
      <c r="AL70" s="10">
        <v>89726607.379999995</v>
      </c>
      <c r="AM70" s="10">
        <v>30214682</v>
      </c>
      <c r="AN70" s="31">
        <v>59511925</v>
      </c>
      <c r="AO70" s="10">
        <v>89575524.349999979</v>
      </c>
      <c r="AP70" s="10">
        <v>30016446</v>
      </c>
      <c r="AQ70" s="31">
        <v>59936745</v>
      </c>
    </row>
    <row r="71" spans="1:43">
      <c r="A71" s="102">
        <v>62</v>
      </c>
      <c r="B71" s="7" t="s">
        <v>1768</v>
      </c>
      <c r="C71" s="103">
        <v>17.5</v>
      </c>
      <c r="D71" s="62">
        <v>0</v>
      </c>
      <c r="E71" s="37">
        <v>0</v>
      </c>
      <c r="F71" s="62">
        <v>0</v>
      </c>
      <c r="G71" s="62">
        <v>0</v>
      </c>
      <c r="H71" s="62">
        <v>0</v>
      </c>
      <c r="I71" s="62">
        <v>0</v>
      </c>
      <c r="J71" s="62">
        <v>0</v>
      </c>
      <c r="K71" s="62">
        <v>0</v>
      </c>
      <c r="L71" s="62">
        <v>0</v>
      </c>
      <c r="M71" s="62">
        <v>0</v>
      </c>
      <c r="N71" s="62">
        <v>0</v>
      </c>
      <c r="O71" s="62">
        <v>0</v>
      </c>
      <c r="P71" s="62">
        <v>0</v>
      </c>
      <c r="Q71" s="62">
        <v>0</v>
      </c>
      <c r="R71" s="62">
        <v>0</v>
      </c>
      <c r="S71" s="62">
        <v>0</v>
      </c>
      <c r="T71" s="62">
        <v>0</v>
      </c>
      <c r="U71" s="62">
        <v>0</v>
      </c>
      <c r="V71" s="62">
        <v>0</v>
      </c>
      <c r="W71" s="62">
        <v>0</v>
      </c>
      <c r="X71" s="62">
        <v>0</v>
      </c>
      <c r="Y71" s="62">
        <v>0</v>
      </c>
      <c r="Z71" s="62">
        <v>0</v>
      </c>
      <c r="AA71" s="62">
        <v>0</v>
      </c>
      <c r="AB71" s="62">
        <v>0</v>
      </c>
      <c r="AC71" s="10">
        <v>0</v>
      </c>
      <c r="AD71" s="10">
        <v>0</v>
      </c>
      <c r="AE71" s="10">
        <v>0</v>
      </c>
      <c r="AF71" s="10">
        <v>0</v>
      </c>
      <c r="AG71" s="10">
        <v>0</v>
      </c>
      <c r="AH71" s="10">
        <v>0</v>
      </c>
      <c r="AI71" s="10">
        <v>0</v>
      </c>
      <c r="AJ71" s="10">
        <v>0</v>
      </c>
      <c r="AK71" s="31">
        <v>0</v>
      </c>
      <c r="AL71" s="10">
        <v>0</v>
      </c>
      <c r="AM71" s="10">
        <v>0</v>
      </c>
      <c r="AN71" s="31">
        <v>0</v>
      </c>
      <c r="AO71" s="10">
        <v>0</v>
      </c>
      <c r="AP71" s="10">
        <v>0</v>
      </c>
      <c r="AQ71" s="31">
        <v>0</v>
      </c>
    </row>
    <row r="72" spans="1:43">
      <c r="A72" s="102">
        <v>63</v>
      </c>
      <c r="B72" s="7" t="s">
        <v>1769</v>
      </c>
      <c r="C72" s="103">
        <v>62.26</v>
      </c>
      <c r="D72" s="62">
        <v>1993186</v>
      </c>
      <c r="E72" s="37">
        <v>524551</v>
      </c>
      <c r="F72" s="62">
        <v>1478268</v>
      </c>
      <c r="G72" s="62">
        <v>1972655.02</v>
      </c>
      <c r="H72" s="62">
        <v>539994</v>
      </c>
      <c r="I72" s="62">
        <v>1491068</v>
      </c>
      <c r="J72" s="62">
        <v>2196793.9275769964</v>
      </c>
      <c r="K72" s="62">
        <v>547599</v>
      </c>
      <c r="L72" s="62">
        <v>1656057</v>
      </c>
      <c r="M72" s="62">
        <v>2288928.2000000002</v>
      </c>
      <c r="N72" s="62">
        <v>572047</v>
      </c>
      <c r="O72" s="62">
        <v>1542133</v>
      </c>
      <c r="P72" s="62">
        <v>181237</v>
      </c>
      <c r="Q72" s="62">
        <v>2376571.2172095692</v>
      </c>
      <c r="R72" s="62">
        <v>528092</v>
      </c>
      <c r="S72" s="62">
        <v>1688903</v>
      </c>
      <c r="T72" s="62">
        <v>159576</v>
      </c>
      <c r="U72" s="62">
        <v>2231781.7016399996</v>
      </c>
      <c r="V72" s="62">
        <v>543566</v>
      </c>
      <c r="W72" s="62">
        <v>1740491</v>
      </c>
      <c r="X72" s="62">
        <v>9344</v>
      </c>
      <c r="Y72" s="62">
        <v>104994</v>
      </c>
      <c r="Z72" s="62">
        <v>2136484.0499999998</v>
      </c>
      <c r="AA72" s="62">
        <v>549697</v>
      </c>
      <c r="AB72" s="62">
        <v>1749835</v>
      </c>
      <c r="AC72" s="10">
        <v>2103294.87</v>
      </c>
      <c r="AD72" s="10">
        <v>569562</v>
      </c>
      <c r="AE72" s="10">
        <v>1758875</v>
      </c>
      <c r="AF72" s="10">
        <v>1986375.6900000002</v>
      </c>
      <c r="AG72" s="10">
        <v>576786</v>
      </c>
      <c r="AH72" s="10">
        <v>1764100</v>
      </c>
      <c r="AI72" s="10">
        <v>1905986.03</v>
      </c>
      <c r="AJ72" s="10">
        <v>594708</v>
      </c>
      <c r="AK72" s="31">
        <v>1769100</v>
      </c>
      <c r="AL72" s="10">
        <v>1772262.85</v>
      </c>
      <c r="AM72" s="10">
        <v>585884</v>
      </c>
      <c r="AN72" s="31">
        <v>1773600</v>
      </c>
      <c r="AO72" s="10">
        <v>1783981.5799999998</v>
      </c>
      <c r="AP72" s="10">
        <v>612660</v>
      </c>
      <c r="AQ72" s="31">
        <v>1783225</v>
      </c>
    </row>
    <row r="73" spans="1:43">
      <c r="A73" s="102">
        <v>64</v>
      </c>
      <c r="B73" s="7" t="s">
        <v>1770</v>
      </c>
      <c r="C73" s="103">
        <v>55.6</v>
      </c>
      <c r="D73" s="62">
        <v>15756067</v>
      </c>
      <c r="E73" s="37">
        <v>6894665</v>
      </c>
      <c r="F73" s="62">
        <v>8894104</v>
      </c>
      <c r="G73" s="62">
        <v>17332015.639999997</v>
      </c>
      <c r="H73" s="62">
        <v>7423486</v>
      </c>
      <c r="I73" s="62">
        <v>9908530</v>
      </c>
      <c r="J73" s="62">
        <v>18272407.502293319</v>
      </c>
      <c r="K73" s="62">
        <v>7817673</v>
      </c>
      <c r="L73" s="62">
        <v>10454735</v>
      </c>
      <c r="M73" s="62">
        <v>19345443.02</v>
      </c>
      <c r="N73" s="62">
        <v>8132725</v>
      </c>
      <c r="O73" s="62">
        <v>10033541</v>
      </c>
      <c r="P73" s="62">
        <v>1179177</v>
      </c>
      <c r="Q73" s="62">
        <v>19828374.571238272</v>
      </c>
      <c r="R73" s="62">
        <v>8774199</v>
      </c>
      <c r="S73" s="62">
        <v>10988464</v>
      </c>
      <c r="T73" s="62">
        <v>65712</v>
      </c>
      <c r="U73" s="62">
        <v>19382689.431299996</v>
      </c>
      <c r="V73" s="62">
        <v>8846816</v>
      </c>
      <c r="W73" s="62">
        <v>10408392</v>
      </c>
      <c r="X73" s="62">
        <v>55877</v>
      </c>
      <c r="Y73" s="62">
        <v>640182</v>
      </c>
      <c r="Z73" s="62">
        <v>19545739.000000004</v>
      </c>
      <c r="AA73" s="62">
        <v>9048453</v>
      </c>
      <c r="AB73" s="62">
        <v>10497286</v>
      </c>
      <c r="AC73" s="10">
        <v>20163527.150000002</v>
      </c>
      <c r="AD73" s="10">
        <v>9343931</v>
      </c>
      <c r="AE73" s="10">
        <v>10857440.780578749</v>
      </c>
      <c r="AF73" s="10">
        <v>20693064.010000002</v>
      </c>
      <c r="AG73" s="10">
        <v>9644943</v>
      </c>
      <c r="AH73" s="10">
        <v>11124661.80557175</v>
      </c>
      <c r="AI73" s="10">
        <v>20886485.84</v>
      </c>
      <c r="AJ73" s="10">
        <v>9674943</v>
      </c>
      <c r="AK73" s="31">
        <v>11251678.80557175</v>
      </c>
      <c r="AL73" s="10">
        <v>21129205.020000003</v>
      </c>
      <c r="AM73" s="10">
        <v>9800189</v>
      </c>
      <c r="AN73" s="31">
        <v>11329016</v>
      </c>
      <c r="AO73" s="10">
        <v>21580495.630000003</v>
      </c>
      <c r="AP73" s="10">
        <v>9661218</v>
      </c>
      <c r="AQ73" s="31">
        <v>12016981</v>
      </c>
    </row>
    <row r="74" spans="1:43">
      <c r="A74" s="102">
        <v>65</v>
      </c>
      <c r="B74" s="7" t="s">
        <v>1771</v>
      </c>
      <c r="C74" s="103">
        <v>17.5</v>
      </c>
      <c r="D74" s="62">
        <v>10255772</v>
      </c>
      <c r="E74" s="37">
        <v>9352895</v>
      </c>
      <c r="F74" s="62">
        <v>1220622.8</v>
      </c>
      <c r="G74" s="62">
        <v>11254255.086480001</v>
      </c>
      <c r="H74" s="62">
        <v>9701624</v>
      </c>
      <c r="I74" s="62">
        <v>1552631</v>
      </c>
      <c r="J74" s="62">
        <v>11621501.817125602</v>
      </c>
      <c r="K74" s="62">
        <v>10016645</v>
      </c>
      <c r="L74" s="62">
        <v>1696971</v>
      </c>
      <c r="M74" s="62">
        <v>11287341.726259999</v>
      </c>
      <c r="N74" s="62">
        <v>10125783</v>
      </c>
      <c r="O74" s="62">
        <v>1600696</v>
      </c>
      <c r="P74" s="62">
        <v>188119</v>
      </c>
      <c r="Q74" s="62">
        <v>11947087.452460095</v>
      </c>
      <c r="R74" s="62">
        <v>10452621</v>
      </c>
      <c r="S74" s="62">
        <v>1753039</v>
      </c>
      <c r="T74" s="62">
        <v>0</v>
      </c>
      <c r="U74" s="62">
        <v>11786894.642872915</v>
      </c>
      <c r="V74" s="62">
        <v>10479155</v>
      </c>
      <c r="W74" s="62">
        <v>1650626</v>
      </c>
      <c r="X74" s="62">
        <v>8861</v>
      </c>
      <c r="Y74" s="62">
        <v>129327</v>
      </c>
      <c r="Z74" s="62">
        <v>12238484.622929998</v>
      </c>
      <c r="AA74" s="62">
        <v>10714412</v>
      </c>
      <c r="AB74" s="62">
        <v>1659487</v>
      </c>
      <c r="AC74" s="10">
        <v>12695055.016299998</v>
      </c>
      <c r="AD74" s="10">
        <v>10974758</v>
      </c>
      <c r="AE74" s="10">
        <v>1720297</v>
      </c>
      <c r="AF74" s="10">
        <v>13558190.14047</v>
      </c>
      <c r="AG74" s="10">
        <v>11461151</v>
      </c>
      <c r="AH74" s="10">
        <v>2165950.0686455625</v>
      </c>
      <c r="AI74" s="10">
        <v>14009300.662070001</v>
      </c>
      <c r="AJ74" s="10">
        <v>11815460</v>
      </c>
      <c r="AK74" s="31">
        <v>2265937.0686455625</v>
      </c>
      <c r="AL74" s="10">
        <v>14047813.289400002</v>
      </c>
      <c r="AM74" s="10">
        <v>11968705</v>
      </c>
      <c r="AN74" s="31">
        <v>2304762.0686455625</v>
      </c>
      <c r="AO74" s="10">
        <v>14622821.151839999</v>
      </c>
      <c r="AP74" s="10">
        <v>12122957</v>
      </c>
      <c r="AQ74" s="31">
        <v>2499864</v>
      </c>
    </row>
    <row r="75" spans="1:43">
      <c r="A75" s="102">
        <v>66</v>
      </c>
      <c r="B75" s="7" t="s">
        <v>1772</v>
      </c>
      <c r="C75" s="103">
        <v>41.52</v>
      </c>
      <c r="D75" s="62">
        <v>0</v>
      </c>
      <c r="E75" s="37">
        <v>0</v>
      </c>
      <c r="F75" s="62">
        <v>0</v>
      </c>
      <c r="G75" s="62">
        <v>0</v>
      </c>
      <c r="H75" s="62">
        <v>0</v>
      </c>
      <c r="I75" s="62">
        <v>0</v>
      </c>
      <c r="J75" s="62">
        <v>0</v>
      </c>
      <c r="K75" s="62">
        <v>0</v>
      </c>
      <c r="L75" s="62">
        <v>0</v>
      </c>
      <c r="M75" s="62">
        <v>0</v>
      </c>
      <c r="N75" s="62">
        <v>0</v>
      </c>
      <c r="O75" s="62">
        <v>0</v>
      </c>
      <c r="P75" s="62">
        <v>0</v>
      </c>
      <c r="Q75" s="62">
        <v>0</v>
      </c>
      <c r="R75" s="62">
        <v>0</v>
      </c>
      <c r="S75" s="62">
        <v>0</v>
      </c>
      <c r="T75" s="62">
        <v>0</v>
      </c>
      <c r="U75" s="62">
        <v>0</v>
      </c>
      <c r="V75" s="62">
        <v>0</v>
      </c>
      <c r="W75" s="62">
        <v>0</v>
      </c>
      <c r="X75" s="62">
        <v>0</v>
      </c>
      <c r="Y75" s="62">
        <v>0</v>
      </c>
      <c r="Z75" s="62">
        <v>0</v>
      </c>
      <c r="AA75" s="62">
        <v>0</v>
      </c>
      <c r="AB75" s="62">
        <v>0</v>
      </c>
      <c r="AC75" s="10">
        <v>0</v>
      </c>
      <c r="AD75" s="10">
        <v>0</v>
      </c>
      <c r="AE75" s="10">
        <v>0</v>
      </c>
      <c r="AF75" s="10">
        <v>0</v>
      </c>
      <c r="AG75" s="10">
        <v>0</v>
      </c>
      <c r="AH75" s="10">
        <v>0</v>
      </c>
      <c r="AI75" s="10">
        <v>13004.9</v>
      </c>
      <c r="AJ75" s="10">
        <v>7860</v>
      </c>
      <c r="AK75" s="31">
        <v>5145</v>
      </c>
      <c r="AL75" s="10">
        <v>13199.960000000001</v>
      </c>
      <c r="AM75" s="10">
        <v>8241</v>
      </c>
      <c r="AN75" s="31">
        <v>5145</v>
      </c>
      <c r="AO75" s="10">
        <v>13170.920000000002</v>
      </c>
      <c r="AP75" s="10">
        <v>7776</v>
      </c>
      <c r="AQ75" s="31">
        <v>5395</v>
      </c>
    </row>
    <row r="76" spans="1:43">
      <c r="A76" s="102">
        <v>67</v>
      </c>
      <c r="B76" s="7" t="s">
        <v>1773</v>
      </c>
      <c r="C76" s="103">
        <v>17.5</v>
      </c>
      <c r="D76" s="62">
        <v>13711708</v>
      </c>
      <c r="E76" s="37">
        <v>16586109</v>
      </c>
      <c r="F76" s="62">
        <v>1639229.6</v>
      </c>
      <c r="G76" s="62">
        <v>13626561.195820002</v>
      </c>
      <c r="H76" s="62">
        <v>15556720</v>
      </c>
      <c r="I76" s="62">
        <v>1788313.6000000001</v>
      </c>
      <c r="J76" s="62">
        <v>13775795.201134795</v>
      </c>
      <c r="K76" s="62">
        <v>14723944</v>
      </c>
      <c r="L76" s="62">
        <v>1975048.6</v>
      </c>
      <c r="M76" s="62">
        <v>14398286.772480002</v>
      </c>
      <c r="N76" s="62">
        <v>14186610</v>
      </c>
      <c r="O76" s="62">
        <v>1928177.6</v>
      </c>
      <c r="P76" s="62">
        <v>226606</v>
      </c>
      <c r="Q76" s="62">
        <v>15022515.681104843</v>
      </c>
      <c r="R76" s="62">
        <v>14230911</v>
      </c>
      <c r="S76" s="62">
        <v>2111688</v>
      </c>
      <c r="T76" s="62">
        <v>0</v>
      </c>
      <c r="U76" s="62">
        <v>14880065.931155697</v>
      </c>
      <c r="V76" s="62">
        <v>14212716</v>
      </c>
      <c r="W76" s="62">
        <v>1988323</v>
      </c>
      <c r="X76" s="62">
        <v>10674</v>
      </c>
      <c r="Y76" s="62">
        <v>157941</v>
      </c>
      <c r="Z76" s="62">
        <v>15431249.350580001</v>
      </c>
      <c r="AA76" s="62">
        <v>14620020</v>
      </c>
      <c r="AB76" s="62">
        <v>1998997</v>
      </c>
      <c r="AC76" s="10">
        <v>16485820.2147</v>
      </c>
      <c r="AD76" s="10">
        <v>15013137</v>
      </c>
      <c r="AE76" s="10">
        <v>2075197</v>
      </c>
      <c r="AF76" s="10">
        <v>17831572.198360004</v>
      </c>
      <c r="AG76" s="10">
        <v>15783717</v>
      </c>
      <c r="AH76" s="10">
        <v>2125997</v>
      </c>
      <c r="AI76" s="10">
        <v>18417417.455640003</v>
      </c>
      <c r="AJ76" s="10">
        <v>15844185</v>
      </c>
      <c r="AK76" s="31">
        <v>2573232</v>
      </c>
      <c r="AL76" s="10">
        <v>18462886.786499996</v>
      </c>
      <c r="AM76" s="10">
        <v>15757030</v>
      </c>
      <c r="AN76" s="31">
        <v>2705857</v>
      </c>
      <c r="AO76" s="10">
        <v>18255708.435599998</v>
      </c>
      <c r="AP76" s="10">
        <v>15225394</v>
      </c>
      <c r="AQ76" s="31">
        <v>3030314</v>
      </c>
    </row>
    <row r="77" spans="1:43">
      <c r="A77" s="102">
        <v>68</v>
      </c>
      <c r="B77" s="7" t="s">
        <v>1774</v>
      </c>
      <c r="C77" s="103">
        <v>19.55</v>
      </c>
      <c r="D77" s="62">
        <v>900481</v>
      </c>
      <c r="E77" s="37">
        <v>519131</v>
      </c>
      <c r="F77" s="62">
        <v>563283.19999999995</v>
      </c>
      <c r="G77" s="62">
        <v>887748.23</v>
      </c>
      <c r="H77" s="62">
        <v>570221</v>
      </c>
      <c r="I77" s="62">
        <v>569433.19999999995</v>
      </c>
      <c r="J77" s="62">
        <v>1081794.7444083365</v>
      </c>
      <c r="K77" s="62">
        <v>683924</v>
      </c>
      <c r="L77" s="62">
        <v>619012.19999999995</v>
      </c>
      <c r="M77" s="62">
        <v>1153948.4099999999</v>
      </c>
      <c r="N77" s="62">
        <v>705236</v>
      </c>
      <c r="O77" s="62">
        <v>571560.19999999995</v>
      </c>
      <c r="P77" s="62">
        <v>67172</v>
      </c>
      <c r="Q77" s="62">
        <v>1145043.3689110049</v>
      </c>
      <c r="R77" s="62">
        <v>908027</v>
      </c>
      <c r="S77" s="62">
        <v>625958</v>
      </c>
      <c r="T77" s="62">
        <v>0</v>
      </c>
      <c r="U77" s="62">
        <v>1249385.60142</v>
      </c>
      <c r="V77" s="62">
        <v>1005920</v>
      </c>
      <c r="W77" s="62">
        <v>589390</v>
      </c>
      <c r="X77" s="62">
        <v>3164</v>
      </c>
      <c r="Y77" s="62">
        <v>37129</v>
      </c>
      <c r="Z77" s="62">
        <v>1252208.6499999999</v>
      </c>
      <c r="AA77" s="62">
        <v>987728</v>
      </c>
      <c r="AB77" s="62">
        <v>592554</v>
      </c>
      <c r="AC77" s="10">
        <v>1423805.89</v>
      </c>
      <c r="AD77" s="10">
        <v>1108375</v>
      </c>
      <c r="AE77" s="10">
        <v>598954</v>
      </c>
      <c r="AF77" s="10">
        <v>1317133.4800000004</v>
      </c>
      <c r="AG77" s="10">
        <v>1067389</v>
      </c>
      <c r="AH77" s="10">
        <v>602704</v>
      </c>
      <c r="AI77" s="10">
        <v>1306815.92</v>
      </c>
      <c r="AJ77" s="10">
        <v>1065116</v>
      </c>
      <c r="AK77" s="31">
        <v>606379</v>
      </c>
      <c r="AL77" s="10">
        <v>1311758.95</v>
      </c>
      <c r="AM77" s="10">
        <v>1106711</v>
      </c>
      <c r="AN77" s="31">
        <v>610004</v>
      </c>
      <c r="AO77" s="10">
        <v>1259226.5200000005</v>
      </c>
      <c r="AP77" s="10">
        <v>1022166</v>
      </c>
      <c r="AQ77" s="31">
        <v>617374</v>
      </c>
    </row>
    <row r="78" spans="1:43">
      <c r="A78" s="102">
        <v>69</v>
      </c>
      <c r="B78" s="7" t="s">
        <v>1775</v>
      </c>
      <c r="C78" s="103">
        <v>17.5</v>
      </c>
      <c r="D78" s="62">
        <v>48982</v>
      </c>
      <c r="E78" s="37">
        <v>82658</v>
      </c>
      <c r="F78" s="62">
        <v>32727.599999999999</v>
      </c>
      <c r="G78" s="62">
        <v>75947.62</v>
      </c>
      <c r="H78" s="62">
        <v>69777</v>
      </c>
      <c r="I78" s="62">
        <v>41165.599999999999</v>
      </c>
      <c r="J78" s="62">
        <v>90842.16</v>
      </c>
      <c r="K78" s="62">
        <v>76148</v>
      </c>
      <c r="L78" s="62">
        <v>45639.6</v>
      </c>
      <c r="M78" s="62">
        <v>166242.96</v>
      </c>
      <c r="N78" s="62">
        <v>127944</v>
      </c>
      <c r="O78" s="62">
        <v>70567.600000000006</v>
      </c>
      <c r="P78" s="62">
        <v>0</v>
      </c>
      <c r="Q78" s="62">
        <v>208216.51714449763</v>
      </c>
      <c r="R78" s="62">
        <v>147140</v>
      </c>
      <c r="S78" s="62">
        <v>69156</v>
      </c>
      <c r="T78" s="62">
        <v>0</v>
      </c>
      <c r="U78" s="62">
        <v>203635.52184</v>
      </c>
      <c r="V78" s="62">
        <v>157619</v>
      </c>
      <c r="W78" s="62">
        <v>66390</v>
      </c>
      <c r="X78" s="62">
        <v>0</v>
      </c>
      <c r="Y78" s="62">
        <v>0</v>
      </c>
      <c r="Z78" s="62">
        <v>268510.82</v>
      </c>
      <c r="AA78" s="62">
        <v>194827</v>
      </c>
      <c r="AB78" s="62">
        <v>73684</v>
      </c>
      <c r="AC78" s="10">
        <v>164036.83000000002</v>
      </c>
      <c r="AD78" s="10">
        <v>133703</v>
      </c>
      <c r="AE78" s="10">
        <v>73684</v>
      </c>
      <c r="AF78" s="10">
        <v>166579.44999999998</v>
      </c>
      <c r="AG78" s="10">
        <v>138227</v>
      </c>
      <c r="AH78" s="10">
        <v>73684</v>
      </c>
      <c r="AI78" s="10">
        <v>168011.94999999998</v>
      </c>
      <c r="AJ78" s="10">
        <v>147058</v>
      </c>
      <c r="AK78" s="31">
        <v>73684</v>
      </c>
      <c r="AL78" s="10">
        <v>118799.64000000001</v>
      </c>
      <c r="AM78" s="10">
        <v>105143</v>
      </c>
      <c r="AN78" s="31">
        <v>73684</v>
      </c>
      <c r="AO78" s="10">
        <v>118538.28</v>
      </c>
      <c r="AP78" s="10">
        <v>100240</v>
      </c>
      <c r="AQ78" s="31">
        <v>73684</v>
      </c>
    </row>
    <row r="79" spans="1:43">
      <c r="A79" s="102">
        <v>70</v>
      </c>
      <c r="B79" s="7" t="s">
        <v>1776</v>
      </c>
      <c r="C79" s="103">
        <v>46.68</v>
      </c>
      <c r="D79" s="62">
        <v>166617</v>
      </c>
      <c r="E79" s="37">
        <v>55122</v>
      </c>
      <c r="F79" s="62">
        <v>142474</v>
      </c>
      <c r="G79" s="62">
        <v>226965.47</v>
      </c>
      <c r="H79" s="62">
        <v>100136</v>
      </c>
      <c r="I79" s="62">
        <v>177549</v>
      </c>
      <c r="J79" s="62">
        <v>271608.17</v>
      </c>
      <c r="K79" s="62">
        <v>128312</v>
      </c>
      <c r="L79" s="62">
        <v>203607</v>
      </c>
      <c r="M79" s="62">
        <v>297621.34999999998</v>
      </c>
      <c r="N79" s="62">
        <v>135954</v>
      </c>
      <c r="O79" s="62">
        <v>218598</v>
      </c>
      <c r="P79" s="62">
        <v>0</v>
      </c>
      <c r="Q79" s="62">
        <v>294362.54217799043</v>
      </c>
      <c r="R79" s="62">
        <v>133527</v>
      </c>
      <c r="S79" s="62">
        <v>214226</v>
      </c>
      <c r="T79" s="62">
        <v>0</v>
      </c>
      <c r="U79" s="62">
        <v>275850.41592</v>
      </c>
      <c r="V79" s="62">
        <v>131098</v>
      </c>
      <c r="W79" s="62">
        <v>205657</v>
      </c>
      <c r="X79" s="62">
        <v>0</v>
      </c>
      <c r="Y79" s="62">
        <v>0</v>
      </c>
      <c r="Z79" s="62">
        <v>403261.59</v>
      </c>
      <c r="AA79" s="62">
        <v>190360</v>
      </c>
      <c r="AB79" s="62">
        <v>212902</v>
      </c>
      <c r="AC79" s="10">
        <v>531229.02000000014</v>
      </c>
      <c r="AD79" s="10">
        <v>258303</v>
      </c>
      <c r="AE79" s="10">
        <v>272926</v>
      </c>
      <c r="AF79" s="10">
        <v>513675.18</v>
      </c>
      <c r="AG79" s="10">
        <v>262243</v>
      </c>
      <c r="AH79" s="10">
        <v>272926</v>
      </c>
      <c r="AI79" s="10">
        <v>350080.55</v>
      </c>
      <c r="AJ79" s="10">
        <v>180975</v>
      </c>
      <c r="AK79" s="31">
        <v>272926</v>
      </c>
      <c r="AL79" s="10">
        <v>289331.62</v>
      </c>
      <c r="AM79" s="10">
        <v>153272</v>
      </c>
      <c r="AN79" s="31">
        <v>272926</v>
      </c>
      <c r="AO79" s="10">
        <v>236011.40000000002</v>
      </c>
      <c r="AP79" s="10">
        <v>127014</v>
      </c>
      <c r="AQ79" s="31">
        <v>236011.40000000002</v>
      </c>
    </row>
    <row r="80" spans="1:43">
      <c r="A80" s="102">
        <v>71</v>
      </c>
      <c r="B80" s="7" t="s">
        <v>1777</v>
      </c>
      <c r="C80" s="103">
        <v>17.5</v>
      </c>
      <c r="D80" s="62">
        <v>26325457</v>
      </c>
      <c r="E80" s="37">
        <v>27029911</v>
      </c>
      <c r="F80" s="62">
        <v>3753262</v>
      </c>
      <c r="G80" s="62">
        <v>27291804.810000006</v>
      </c>
      <c r="H80" s="62">
        <v>27200094</v>
      </c>
      <c r="I80" s="62">
        <v>3957823</v>
      </c>
      <c r="J80" s="62">
        <v>28772437.490009252</v>
      </c>
      <c r="K80" s="62">
        <v>27211346</v>
      </c>
      <c r="L80" s="62">
        <v>4306061</v>
      </c>
      <c r="M80" s="62">
        <v>29725451.43</v>
      </c>
      <c r="N80" s="62">
        <v>27058817</v>
      </c>
      <c r="O80" s="62">
        <v>4117771</v>
      </c>
      <c r="P80" s="62">
        <v>483935</v>
      </c>
      <c r="Q80" s="62">
        <v>31202047.404463161</v>
      </c>
      <c r="R80" s="62">
        <v>27175421</v>
      </c>
      <c r="S80" s="62">
        <v>4509672</v>
      </c>
      <c r="T80" s="62">
        <v>0</v>
      </c>
      <c r="U80" s="62">
        <v>31223555.451959997</v>
      </c>
      <c r="V80" s="62">
        <v>27353004</v>
      </c>
      <c r="W80" s="62">
        <v>4246217</v>
      </c>
      <c r="X80" s="62">
        <v>22796</v>
      </c>
      <c r="Y80" s="62">
        <v>332859</v>
      </c>
      <c r="Z80" s="62">
        <v>31951682.219999999</v>
      </c>
      <c r="AA80" s="62">
        <v>27692459</v>
      </c>
      <c r="AB80" s="62">
        <v>4269013</v>
      </c>
      <c r="AC80" s="10">
        <v>33482299.539999999</v>
      </c>
      <c r="AD80" s="10">
        <v>28151599</v>
      </c>
      <c r="AE80" s="10">
        <v>5786817.6029244997</v>
      </c>
      <c r="AF80" s="10">
        <v>34213600.439999998</v>
      </c>
      <c r="AG80" s="10">
        <v>29050571</v>
      </c>
      <c r="AH80" s="17">
        <f>6079019.44455637+101064</f>
        <v>6180083.4445563704</v>
      </c>
      <c r="AI80" s="10">
        <v>34741461.949999996</v>
      </c>
      <c r="AJ80" s="10">
        <v>29063843</v>
      </c>
      <c r="AK80" s="31">
        <v>6334657.4445563704</v>
      </c>
      <c r="AL80" s="10">
        <v>34881940.840000004</v>
      </c>
      <c r="AM80" s="10">
        <v>29397926</v>
      </c>
      <c r="AN80" s="31">
        <v>6426157.4445563704</v>
      </c>
      <c r="AO80" s="10">
        <v>35588532.009999998</v>
      </c>
      <c r="AP80" s="10">
        <v>29520671</v>
      </c>
      <c r="AQ80" s="31">
        <v>6629052.4445563704</v>
      </c>
    </row>
    <row r="81" spans="1:43">
      <c r="A81" s="102">
        <v>72</v>
      </c>
      <c r="B81" s="7" t="s">
        <v>1778</v>
      </c>
      <c r="C81" s="103">
        <v>17.5</v>
      </c>
      <c r="D81" s="62">
        <v>30013625</v>
      </c>
      <c r="E81" s="37">
        <v>21693435</v>
      </c>
      <c r="F81" s="62">
        <v>8320190</v>
      </c>
      <c r="G81" s="62">
        <v>31787364.080000002</v>
      </c>
      <c r="H81" s="62">
        <v>22637645</v>
      </c>
      <c r="I81" s="62">
        <v>9149719</v>
      </c>
      <c r="J81" s="62">
        <v>33384729.905952133</v>
      </c>
      <c r="K81" s="62">
        <v>24241171</v>
      </c>
      <c r="L81" s="62">
        <v>9429258</v>
      </c>
      <c r="M81" s="62">
        <v>34838597.450000003</v>
      </c>
      <c r="N81" s="62">
        <v>25612050</v>
      </c>
      <c r="O81" s="62">
        <v>8665307</v>
      </c>
      <c r="P81" s="62">
        <v>1018378</v>
      </c>
      <c r="Q81" s="62">
        <v>34865610.348156936</v>
      </c>
      <c r="R81" s="62">
        <v>25982767</v>
      </c>
      <c r="S81" s="62">
        <v>9490011</v>
      </c>
      <c r="T81" s="62">
        <v>0</v>
      </c>
      <c r="U81" s="62">
        <v>33815804.735880002</v>
      </c>
      <c r="V81" s="62">
        <v>26783708</v>
      </c>
      <c r="W81" s="62">
        <v>8935606</v>
      </c>
      <c r="X81" s="62">
        <v>47970</v>
      </c>
      <c r="Y81" s="62">
        <v>604210</v>
      </c>
      <c r="Z81" s="62">
        <v>34643308.829999998</v>
      </c>
      <c r="AA81" s="62">
        <v>27284947</v>
      </c>
      <c r="AB81" s="62">
        <v>8983576</v>
      </c>
      <c r="AC81" s="10">
        <v>35441243.159999996</v>
      </c>
      <c r="AD81" s="10">
        <v>28041617</v>
      </c>
      <c r="AE81" s="10">
        <v>9138016</v>
      </c>
      <c r="AF81" s="10">
        <v>35496365.130000003</v>
      </c>
      <c r="AG81" s="10">
        <v>28917668</v>
      </c>
      <c r="AH81" s="10">
        <v>9233066</v>
      </c>
      <c r="AI81" s="10">
        <v>35239525.229999997</v>
      </c>
      <c r="AJ81" s="10">
        <v>29520834</v>
      </c>
      <c r="AK81" s="31">
        <v>9326041</v>
      </c>
      <c r="AL81" s="10">
        <v>36075718.260000005</v>
      </c>
      <c r="AM81" s="10">
        <v>30256260</v>
      </c>
      <c r="AN81" s="31">
        <v>9419066</v>
      </c>
      <c r="AO81" s="10">
        <v>36117171.75</v>
      </c>
      <c r="AP81" s="10">
        <v>29976096</v>
      </c>
      <c r="AQ81" s="31">
        <v>9622951</v>
      </c>
    </row>
    <row r="82" spans="1:43">
      <c r="A82" s="102">
        <v>73</v>
      </c>
      <c r="B82" s="7" t="s">
        <v>1779</v>
      </c>
      <c r="C82" s="103">
        <v>17.5</v>
      </c>
      <c r="D82" s="62">
        <v>20084837</v>
      </c>
      <c r="E82" s="37">
        <v>24834561</v>
      </c>
      <c r="F82" s="62">
        <v>3188973.6</v>
      </c>
      <c r="G82" s="62">
        <v>21999587.074999996</v>
      </c>
      <c r="H82" s="62">
        <v>24648038</v>
      </c>
      <c r="I82" s="62">
        <v>3524054.6</v>
      </c>
      <c r="J82" s="62">
        <v>22956468.83366517</v>
      </c>
      <c r="K82" s="62">
        <v>24204569</v>
      </c>
      <c r="L82" s="62">
        <v>3691508.6</v>
      </c>
      <c r="M82" s="62">
        <v>24352509.547620002</v>
      </c>
      <c r="N82" s="62">
        <v>23678833</v>
      </c>
      <c r="O82" s="62">
        <v>3521908.6</v>
      </c>
      <c r="P82" s="62">
        <v>413907</v>
      </c>
      <c r="Q82" s="62">
        <v>25074340.33835483</v>
      </c>
      <c r="R82" s="62">
        <v>23853832</v>
      </c>
      <c r="S82" s="62">
        <v>3857099</v>
      </c>
      <c r="T82" s="62">
        <v>0</v>
      </c>
      <c r="U82" s="62">
        <v>25207774.047433194</v>
      </c>
      <c r="V82" s="62">
        <v>23636066</v>
      </c>
      <c r="W82" s="62">
        <v>3631768</v>
      </c>
      <c r="X82" s="62">
        <v>19497</v>
      </c>
      <c r="Y82" s="62">
        <v>275484</v>
      </c>
      <c r="Z82" s="62">
        <v>25446765.917099997</v>
      </c>
      <c r="AA82" s="62">
        <v>23938734</v>
      </c>
      <c r="AB82" s="62">
        <v>3651265</v>
      </c>
      <c r="AC82" s="10">
        <v>26335982.540799998</v>
      </c>
      <c r="AD82" s="10">
        <v>24613424</v>
      </c>
      <c r="AE82" s="10">
        <v>3890647.9861599999</v>
      </c>
      <c r="AF82" s="10">
        <v>26535745.209500007</v>
      </c>
      <c r="AG82" s="10">
        <v>25162541</v>
      </c>
      <c r="AH82" s="10">
        <v>4078924.8425356252</v>
      </c>
      <c r="AI82" s="10">
        <v>27117828.372749999</v>
      </c>
      <c r="AJ82" s="10">
        <v>24153827</v>
      </c>
      <c r="AK82" s="31">
        <v>4312267.8425356252</v>
      </c>
      <c r="AL82" s="10">
        <v>26929202.733199999</v>
      </c>
      <c r="AM82" s="10">
        <v>23751768</v>
      </c>
      <c r="AN82" s="31">
        <v>4379292.8425356252</v>
      </c>
      <c r="AO82" s="10">
        <v>26660498.619539998</v>
      </c>
      <c r="AP82" s="10">
        <v>22460566</v>
      </c>
      <c r="AQ82" s="31">
        <v>4525097.8425356252</v>
      </c>
    </row>
    <row r="83" spans="1:43">
      <c r="A83" s="102">
        <v>74</v>
      </c>
      <c r="B83" s="7" t="s">
        <v>1780</v>
      </c>
      <c r="C83" s="103">
        <v>17.5</v>
      </c>
      <c r="D83" s="62">
        <v>2642380</v>
      </c>
      <c r="E83" s="37">
        <v>1930020</v>
      </c>
      <c r="F83" s="62">
        <v>712360</v>
      </c>
      <c r="G83" s="62">
        <v>2837157.02</v>
      </c>
      <c r="H83" s="62">
        <v>1916205</v>
      </c>
      <c r="I83" s="62">
        <v>920952</v>
      </c>
      <c r="J83" s="62">
        <v>2894786.9036194519</v>
      </c>
      <c r="K83" s="62">
        <v>1943673</v>
      </c>
      <c r="L83" s="62">
        <v>951114</v>
      </c>
      <c r="M83" s="62">
        <v>3308363.25</v>
      </c>
      <c r="N83" s="62">
        <v>2201765</v>
      </c>
      <c r="O83" s="62">
        <v>990223</v>
      </c>
      <c r="P83" s="62">
        <v>116375</v>
      </c>
      <c r="Q83" s="62">
        <v>3364244.2070966512</v>
      </c>
      <c r="R83" s="62">
        <v>2590037</v>
      </c>
      <c r="S83" s="62">
        <v>1084466</v>
      </c>
      <c r="T83" s="62">
        <v>0</v>
      </c>
      <c r="U83" s="62">
        <v>3310478.6745599997</v>
      </c>
      <c r="V83" s="62">
        <v>2602950</v>
      </c>
      <c r="W83" s="62">
        <v>1021111</v>
      </c>
      <c r="X83" s="62">
        <v>5482</v>
      </c>
      <c r="Y83" s="62">
        <v>67823</v>
      </c>
      <c r="Z83" s="62">
        <v>3402540.04</v>
      </c>
      <c r="AA83" s="62">
        <v>2702788</v>
      </c>
      <c r="AB83" s="62">
        <v>1026593</v>
      </c>
      <c r="AC83" s="10">
        <v>3431229.1799999997</v>
      </c>
      <c r="AD83" s="10">
        <v>2733958</v>
      </c>
      <c r="AE83" s="10">
        <v>1041993</v>
      </c>
      <c r="AF83" s="10">
        <v>3138146.3000000003</v>
      </c>
      <c r="AG83" s="10">
        <v>2712329</v>
      </c>
      <c r="AH83" s="10">
        <v>1050593</v>
      </c>
      <c r="AI83" s="10">
        <v>3182088.0800000005</v>
      </c>
      <c r="AJ83" s="10">
        <v>2730251</v>
      </c>
      <c r="AK83" s="31">
        <v>1059343</v>
      </c>
      <c r="AL83" s="10">
        <v>3228031.8499999992</v>
      </c>
      <c r="AM83" s="10">
        <v>2757185</v>
      </c>
      <c r="AN83" s="31">
        <v>1067968</v>
      </c>
      <c r="AO83" s="10">
        <v>2985824.2499999995</v>
      </c>
      <c r="AP83" s="10">
        <v>2500490</v>
      </c>
      <c r="AQ83" s="31">
        <v>1085623</v>
      </c>
    </row>
    <row r="84" spans="1:43">
      <c r="A84" s="102">
        <v>75</v>
      </c>
      <c r="B84" s="7" t="s">
        <v>1781</v>
      </c>
      <c r="C84" s="103">
        <v>17.5</v>
      </c>
      <c r="D84" s="62">
        <v>0</v>
      </c>
      <c r="E84" s="37">
        <v>0</v>
      </c>
      <c r="F84" s="62">
        <v>0</v>
      </c>
      <c r="G84" s="62">
        <v>0</v>
      </c>
      <c r="H84" s="62">
        <v>0</v>
      </c>
      <c r="I84" s="62">
        <v>0</v>
      </c>
      <c r="J84" s="62">
        <v>0</v>
      </c>
      <c r="K84" s="62">
        <v>0</v>
      </c>
      <c r="L84" s="62">
        <v>0</v>
      </c>
      <c r="M84" s="62">
        <v>0</v>
      </c>
      <c r="N84" s="62">
        <v>0</v>
      </c>
      <c r="O84" s="62">
        <v>0</v>
      </c>
      <c r="P84" s="62">
        <v>0</v>
      </c>
      <c r="Q84" s="62">
        <v>0</v>
      </c>
      <c r="R84" s="62">
        <v>0</v>
      </c>
      <c r="S84" s="62">
        <v>0</v>
      </c>
      <c r="T84" s="62">
        <v>0</v>
      </c>
      <c r="U84" s="62">
        <v>0</v>
      </c>
      <c r="V84" s="62">
        <v>0</v>
      </c>
      <c r="W84" s="62">
        <v>0</v>
      </c>
      <c r="X84" s="62">
        <v>0</v>
      </c>
      <c r="Y84" s="62">
        <v>0</v>
      </c>
      <c r="Z84" s="62">
        <v>0</v>
      </c>
      <c r="AA84" s="62">
        <v>0</v>
      </c>
      <c r="AB84" s="62">
        <v>0</v>
      </c>
      <c r="AC84" s="10">
        <v>0</v>
      </c>
      <c r="AD84" s="10">
        <v>0</v>
      </c>
      <c r="AE84" s="10">
        <v>0</v>
      </c>
      <c r="AF84" s="10">
        <v>0</v>
      </c>
      <c r="AG84" s="10">
        <v>0</v>
      </c>
      <c r="AH84" s="10">
        <v>0</v>
      </c>
      <c r="AI84" s="10">
        <v>0</v>
      </c>
      <c r="AJ84" s="10">
        <v>0</v>
      </c>
      <c r="AK84" s="31">
        <v>0</v>
      </c>
      <c r="AL84" s="10">
        <v>0</v>
      </c>
      <c r="AM84" s="10">
        <v>0</v>
      </c>
      <c r="AN84" s="31">
        <v>0</v>
      </c>
      <c r="AO84" s="10">
        <v>0</v>
      </c>
      <c r="AP84" s="10">
        <v>0</v>
      </c>
      <c r="AQ84" s="31">
        <v>0</v>
      </c>
    </row>
    <row r="85" spans="1:43">
      <c r="A85" s="102">
        <v>76</v>
      </c>
      <c r="B85" s="7" t="s">
        <v>1782</v>
      </c>
      <c r="C85" s="103">
        <v>50.6</v>
      </c>
      <c r="D85" s="62">
        <v>0</v>
      </c>
      <c r="E85" s="37">
        <v>0</v>
      </c>
      <c r="F85" s="62">
        <v>0</v>
      </c>
      <c r="G85" s="62">
        <v>0</v>
      </c>
      <c r="H85" s="62">
        <v>0</v>
      </c>
      <c r="I85" s="62">
        <v>0</v>
      </c>
      <c r="J85" s="62">
        <v>0</v>
      </c>
      <c r="K85" s="62">
        <v>0</v>
      </c>
      <c r="L85" s="62">
        <v>0</v>
      </c>
      <c r="M85" s="62">
        <v>0</v>
      </c>
      <c r="N85" s="62">
        <v>0</v>
      </c>
      <c r="O85" s="62">
        <v>0</v>
      </c>
      <c r="P85" s="62">
        <v>0</v>
      </c>
      <c r="Q85" s="62">
        <v>0</v>
      </c>
      <c r="R85" s="62">
        <v>0</v>
      </c>
      <c r="S85" s="62">
        <v>0</v>
      </c>
      <c r="T85" s="62">
        <v>0</v>
      </c>
      <c r="U85" s="62">
        <v>0</v>
      </c>
      <c r="V85" s="62">
        <v>0</v>
      </c>
      <c r="W85" s="62">
        <v>0</v>
      </c>
      <c r="X85" s="62">
        <v>0</v>
      </c>
      <c r="Y85" s="62">
        <v>0</v>
      </c>
      <c r="Z85" s="62">
        <v>0</v>
      </c>
      <c r="AA85" s="62">
        <v>0</v>
      </c>
      <c r="AB85" s="62">
        <v>0</v>
      </c>
      <c r="AC85" s="10">
        <v>0</v>
      </c>
      <c r="AD85" s="10">
        <v>0</v>
      </c>
      <c r="AE85" s="10">
        <v>0</v>
      </c>
      <c r="AF85" s="10">
        <v>0</v>
      </c>
      <c r="AG85" s="10">
        <v>0</v>
      </c>
      <c r="AH85" s="10">
        <v>0</v>
      </c>
      <c r="AI85" s="10">
        <v>0</v>
      </c>
      <c r="AJ85" s="10">
        <v>0</v>
      </c>
      <c r="AK85" s="31">
        <v>0</v>
      </c>
      <c r="AL85" s="10">
        <v>0</v>
      </c>
      <c r="AM85" s="10">
        <v>0</v>
      </c>
      <c r="AN85" s="31">
        <v>0</v>
      </c>
      <c r="AO85" s="10">
        <v>0</v>
      </c>
      <c r="AP85" s="10">
        <v>0</v>
      </c>
      <c r="AQ85" s="31">
        <v>0</v>
      </c>
    </row>
    <row r="86" spans="1:43">
      <c r="A86" s="102">
        <v>77</v>
      </c>
      <c r="B86" s="7" t="s">
        <v>1783</v>
      </c>
      <c r="C86" s="103">
        <v>48.19</v>
      </c>
      <c r="D86" s="62">
        <v>10549229</v>
      </c>
      <c r="E86" s="37">
        <v>3948825</v>
      </c>
      <c r="F86" s="62">
        <v>6600404</v>
      </c>
      <c r="G86" s="62">
        <v>11244182.879999999</v>
      </c>
      <c r="H86" s="62">
        <v>4402719</v>
      </c>
      <c r="I86" s="62">
        <v>6966367</v>
      </c>
      <c r="J86" s="62">
        <v>11934136.084547279</v>
      </c>
      <c r="K86" s="62">
        <v>4703853</v>
      </c>
      <c r="L86" s="62">
        <v>7317967</v>
      </c>
      <c r="M86" s="62">
        <v>13091381.120000001</v>
      </c>
      <c r="N86" s="62">
        <v>5025155</v>
      </c>
      <c r="O86" s="62">
        <v>7217947</v>
      </c>
      <c r="P86" s="62">
        <v>848279</v>
      </c>
      <c r="Q86" s="62">
        <v>13862037.638614353</v>
      </c>
      <c r="R86" s="62">
        <v>5156920</v>
      </c>
      <c r="S86" s="62">
        <v>7904901</v>
      </c>
      <c r="T86" s="62">
        <v>800217</v>
      </c>
      <c r="U86" s="62">
        <v>13727725.332659999</v>
      </c>
      <c r="V86" s="62">
        <v>5395470</v>
      </c>
      <c r="W86" s="62">
        <v>8196565</v>
      </c>
      <c r="X86" s="62">
        <v>44003</v>
      </c>
      <c r="Y86" s="62">
        <v>505400</v>
      </c>
      <c r="Z86" s="62">
        <v>13936065.529999997</v>
      </c>
      <c r="AA86" s="62">
        <v>5567549</v>
      </c>
      <c r="AB86" s="62">
        <v>8368517</v>
      </c>
      <c r="AC86" s="10">
        <v>14220617.059999999</v>
      </c>
      <c r="AD86" s="10">
        <v>5766202</v>
      </c>
      <c r="AE86" s="10">
        <v>8454415</v>
      </c>
      <c r="AF86" s="10">
        <v>14221466.569999998</v>
      </c>
      <c r="AG86" s="10">
        <v>5973388</v>
      </c>
      <c r="AH86" s="10">
        <v>8493140</v>
      </c>
      <c r="AI86" s="10">
        <v>13898746.319999997</v>
      </c>
      <c r="AJ86" s="10">
        <v>6212332</v>
      </c>
      <c r="AK86" s="31">
        <v>8530840</v>
      </c>
      <c r="AL86" s="10">
        <v>13645814.699999997</v>
      </c>
      <c r="AM86" s="10">
        <v>6463272</v>
      </c>
      <c r="AN86" s="31">
        <v>8567140</v>
      </c>
      <c r="AO86" s="10">
        <v>13394369.66</v>
      </c>
      <c r="AP86" s="10">
        <v>6691646</v>
      </c>
      <c r="AQ86" s="31">
        <v>8644415</v>
      </c>
    </row>
    <row r="87" spans="1:43">
      <c r="A87" s="102">
        <v>78</v>
      </c>
      <c r="B87" s="7" t="s">
        <v>1784</v>
      </c>
      <c r="C87" s="103">
        <v>17.5</v>
      </c>
      <c r="D87" s="62">
        <v>4317253</v>
      </c>
      <c r="E87" s="37">
        <v>5147915</v>
      </c>
      <c r="F87" s="62">
        <v>363450</v>
      </c>
      <c r="G87" s="62">
        <v>4498246.3891599998</v>
      </c>
      <c r="H87" s="62">
        <v>4992151</v>
      </c>
      <c r="I87" s="62">
        <v>448199</v>
      </c>
      <c r="J87" s="62">
        <v>4612399.3686480699</v>
      </c>
      <c r="K87" s="62">
        <v>4726827</v>
      </c>
      <c r="L87" s="62">
        <v>555890</v>
      </c>
      <c r="M87" s="62">
        <v>4778687.8410799997</v>
      </c>
      <c r="N87" s="62">
        <v>4574431</v>
      </c>
      <c r="O87" s="62">
        <v>580225</v>
      </c>
      <c r="P87" s="62">
        <v>68190</v>
      </c>
      <c r="Q87" s="62">
        <v>4840708.6085977424</v>
      </c>
      <c r="R87" s="62">
        <v>4416450</v>
      </c>
      <c r="S87" s="62">
        <v>635447</v>
      </c>
      <c r="T87" s="62">
        <v>0</v>
      </c>
      <c r="U87" s="62">
        <v>4717531.5725570414</v>
      </c>
      <c r="V87" s="62">
        <v>4342062</v>
      </c>
      <c r="W87" s="62">
        <v>598324</v>
      </c>
      <c r="X87" s="62">
        <v>3212</v>
      </c>
      <c r="Y87" s="62">
        <v>48386</v>
      </c>
      <c r="Z87" s="62">
        <v>4590181.74</v>
      </c>
      <c r="AA87" s="62">
        <v>4311579</v>
      </c>
      <c r="AB87" s="62">
        <v>601536</v>
      </c>
      <c r="AC87" s="10">
        <v>4512264.4704399994</v>
      </c>
      <c r="AD87" s="10">
        <v>4166423</v>
      </c>
      <c r="AE87" s="10">
        <v>622456</v>
      </c>
      <c r="AF87" s="10">
        <v>4653466.1436000001</v>
      </c>
      <c r="AG87" s="10">
        <v>4299403</v>
      </c>
      <c r="AH87" s="10">
        <v>635731</v>
      </c>
      <c r="AI87" s="10">
        <v>4528034.3919200003</v>
      </c>
      <c r="AJ87" s="10">
        <v>4059051</v>
      </c>
      <c r="AK87" s="31">
        <v>690567</v>
      </c>
      <c r="AL87" s="10">
        <v>4322776.7936200006</v>
      </c>
      <c r="AM87" s="10">
        <v>3814498</v>
      </c>
      <c r="AN87" s="31">
        <v>702567</v>
      </c>
      <c r="AO87" s="10">
        <v>4235362.0299200006</v>
      </c>
      <c r="AP87" s="10">
        <v>3546655</v>
      </c>
      <c r="AQ87" s="31">
        <v>728362</v>
      </c>
    </row>
    <row r="88" spans="1:43">
      <c r="A88" s="102">
        <v>79</v>
      </c>
      <c r="B88" s="7" t="s">
        <v>1785</v>
      </c>
      <c r="C88" s="103">
        <v>44.74</v>
      </c>
      <c r="D88" s="62">
        <v>29756497</v>
      </c>
      <c r="E88" s="37">
        <v>15882927</v>
      </c>
      <c r="F88" s="62">
        <v>14241936.999999998</v>
      </c>
      <c r="G88" s="62">
        <v>31544589.330080003</v>
      </c>
      <c r="H88" s="62">
        <v>16574636</v>
      </c>
      <c r="I88" s="62">
        <v>15009207</v>
      </c>
      <c r="J88" s="62">
        <v>33257290.873810038</v>
      </c>
      <c r="K88" s="62">
        <v>17250683</v>
      </c>
      <c r="L88" s="62">
        <v>16006608</v>
      </c>
      <c r="M88" s="62">
        <v>35284541.199999996</v>
      </c>
      <c r="N88" s="62">
        <v>17874077</v>
      </c>
      <c r="O88" s="62">
        <v>15579505</v>
      </c>
      <c r="P88" s="62">
        <v>1830959</v>
      </c>
      <c r="Q88" s="62">
        <v>36242185.987368427</v>
      </c>
      <c r="R88" s="62">
        <v>17529513</v>
      </c>
      <c r="S88" s="62">
        <v>17062255</v>
      </c>
      <c r="T88" s="62">
        <v>1650418</v>
      </c>
      <c r="U88" s="62">
        <v>34827941.444459997</v>
      </c>
      <c r="V88" s="62">
        <v>17559786</v>
      </c>
      <c r="W88" s="62">
        <v>17619480</v>
      </c>
      <c r="X88" s="62">
        <v>94589</v>
      </c>
      <c r="Y88" s="62">
        <v>1101079</v>
      </c>
      <c r="Z88" s="62">
        <v>35260306.700000003</v>
      </c>
      <c r="AA88" s="62">
        <v>17528088</v>
      </c>
      <c r="AB88" s="62">
        <v>17732219</v>
      </c>
      <c r="AC88" s="10">
        <v>36135215.210000008</v>
      </c>
      <c r="AD88" s="10">
        <v>18026125</v>
      </c>
      <c r="AE88" s="10">
        <v>18109090</v>
      </c>
      <c r="AF88" s="10">
        <v>37152939.319999993</v>
      </c>
      <c r="AG88" s="10">
        <v>18540729</v>
      </c>
      <c r="AH88" s="17">
        <f>18612210+50532</f>
        <v>18662742</v>
      </c>
      <c r="AI88" s="10">
        <v>37334953.579999998</v>
      </c>
      <c r="AJ88" s="10">
        <v>19220889</v>
      </c>
      <c r="AK88" s="31">
        <v>18761667</v>
      </c>
      <c r="AL88" s="10">
        <v>37644250.119999997</v>
      </c>
      <c r="AM88" s="10">
        <v>20168359</v>
      </c>
      <c r="AN88" s="31">
        <v>18858492</v>
      </c>
      <c r="AO88" s="10">
        <v>37207996.850000001</v>
      </c>
      <c r="AP88" s="10">
        <v>20566818</v>
      </c>
      <c r="AQ88" s="31">
        <v>19068977</v>
      </c>
    </row>
    <row r="89" spans="1:43">
      <c r="A89" s="102">
        <v>80</v>
      </c>
      <c r="B89" s="7" t="s">
        <v>1786</v>
      </c>
      <c r="C89" s="103">
        <v>60.9</v>
      </c>
      <c r="D89" s="62">
        <v>0</v>
      </c>
      <c r="E89" s="37">
        <v>0</v>
      </c>
      <c r="F89" s="62">
        <v>0</v>
      </c>
      <c r="G89" s="62">
        <v>0</v>
      </c>
      <c r="H89" s="62">
        <v>0</v>
      </c>
      <c r="I89" s="62">
        <v>0</v>
      </c>
      <c r="J89" s="62">
        <v>0</v>
      </c>
      <c r="K89" s="62">
        <v>0</v>
      </c>
      <c r="L89" s="62">
        <v>0</v>
      </c>
      <c r="M89" s="62">
        <v>0</v>
      </c>
      <c r="N89" s="62">
        <v>0</v>
      </c>
      <c r="O89" s="62">
        <v>0</v>
      </c>
      <c r="P89" s="62">
        <v>0</v>
      </c>
      <c r="Q89" s="62">
        <v>0</v>
      </c>
      <c r="R89" s="62">
        <v>0</v>
      </c>
      <c r="S89" s="62">
        <v>0</v>
      </c>
      <c r="T89" s="62">
        <v>0</v>
      </c>
      <c r="U89" s="62">
        <v>0</v>
      </c>
      <c r="V89" s="62">
        <v>0</v>
      </c>
      <c r="W89" s="62">
        <v>0</v>
      </c>
      <c r="X89" s="62">
        <v>0</v>
      </c>
      <c r="Y89" s="62">
        <v>0</v>
      </c>
      <c r="Z89" s="62">
        <v>0</v>
      </c>
      <c r="AA89" s="62">
        <v>0</v>
      </c>
      <c r="AB89" s="62">
        <v>0</v>
      </c>
      <c r="AC89" s="10">
        <v>0</v>
      </c>
      <c r="AD89" s="10">
        <v>0</v>
      </c>
      <c r="AE89" s="10">
        <v>0</v>
      </c>
      <c r="AF89" s="10">
        <v>12894.02</v>
      </c>
      <c r="AG89" s="10">
        <v>3632</v>
      </c>
      <c r="AH89" s="10">
        <v>9262</v>
      </c>
      <c r="AI89" s="10">
        <v>13004.9</v>
      </c>
      <c r="AJ89" s="10">
        <v>3770</v>
      </c>
      <c r="AK89" s="31">
        <v>9262</v>
      </c>
      <c r="AL89" s="10">
        <v>13199.960000000001</v>
      </c>
      <c r="AM89" s="10">
        <v>3905</v>
      </c>
      <c r="AN89" s="31">
        <v>9295</v>
      </c>
      <c r="AO89" s="10">
        <v>26341.840000000004</v>
      </c>
      <c r="AP89" s="10">
        <v>8192</v>
      </c>
      <c r="AQ89" s="31">
        <v>18150</v>
      </c>
    </row>
    <row r="90" spans="1:43">
      <c r="A90" s="102">
        <v>81</v>
      </c>
      <c r="B90" s="7" t="s">
        <v>1787</v>
      </c>
      <c r="C90" s="103">
        <v>17.5</v>
      </c>
      <c r="D90" s="62">
        <v>0</v>
      </c>
      <c r="E90" s="37">
        <v>0</v>
      </c>
      <c r="F90" s="62">
        <v>0</v>
      </c>
      <c r="G90" s="62">
        <v>0</v>
      </c>
      <c r="H90" s="62">
        <v>0</v>
      </c>
      <c r="I90" s="62">
        <v>0</v>
      </c>
      <c r="J90" s="62">
        <v>0</v>
      </c>
      <c r="K90" s="62">
        <v>0</v>
      </c>
      <c r="L90" s="62">
        <v>0</v>
      </c>
      <c r="M90" s="62">
        <v>0</v>
      </c>
      <c r="N90" s="62">
        <v>0</v>
      </c>
      <c r="O90" s="62">
        <v>0</v>
      </c>
      <c r="P90" s="62">
        <v>0</v>
      </c>
      <c r="Q90" s="62">
        <v>12306.57500478469</v>
      </c>
      <c r="R90" s="62">
        <v>8124</v>
      </c>
      <c r="S90" s="62">
        <v>0</v>
      </c>
      <c r="T90" s="62">
        <v>4183</v>
      </c>
      <c r="U90" s="62">
        <v>12035.81568</v>
      </c>
      <c r="V90" s="62">
        <v>7678</v>
      </c>
      <c r="W90" s="62">
        <v>4358</v>
      </c>
      <c r="X90" s="62">
        <v>0</v>
      </c>
      <c r="Y90" s="62">
        <v>0</v>
      </c>
      <c r="Z90" s="62">
        <v>12250.07</v>
      </c>
      <c r="AA90" s="62">
        <v>7858</v>
      </c>
      <c r="AB90" s="62">
        <v>4392</v>
      </c>
      <c r="AC90" s="10">
        <v>12697.210000000001</v>
      </c>
      <c r="AD90" s="10">
        <v>8271</v>
      </c>
      <c r="AE90" s="10">
        <v>4426</v>
      </c>
      <c r="AF90" s="10">
        <v>0</v>
      </c>
      <c r="AG90" s="10">
        <v>0</v>
      </c>
      <c r="AH90" s="10">
        <v>0</v>
      </c>
      <c r="AI90" s="10">
        <v>0</v>
      </c>
      <c r="AJ90" s="10">
        <v>0</v>
      </c>
      <c r="AK90" s="31">
        <v>0</v>
      </c>
      <c r="AL90" s="10">
        <v>13199.960000000001</v>
      </c>
      <c r="AM90" s="10">
        <v>10239</v>
      </c>
      <c r="AN90" s="31">
        <v>2961</v>
      </c>
      <c r="AO90" s="10">
        <v>13170.920000000002</v>
      </c>
      <c r="AP90" s="10">
        <v>10950</v>
      </c>
      <c r="AQ90" s="31">
        <v>2961</v>
      </c>
    </row>
    <row r="91" spans="1:43">
      <c r="A91" s="102">
        <v>82</v>
      </c>
      <c r="B91" s="7" t="s">
        <v>1788</v>
      </c>
      <c r="C91" s="103">
        <v>17.5</v>
      </c>
      <c r="D91" s="62">
        <v>22544989</v>
      </c>
      <c r="E91" s="37">
        <v>21198757</v>
      </c>
      <c r="F91" s="62">
        <v>2814514.4</v>
      </c>
      <c r="G91" s="62">
        <v>24332599.68414</v>
      </c>
      <c r="H91" s="62">
        <v>21799788</v>
      </c>
      <c r="I91" s="62">
        <v>3127346.4</v>
      </c>
      <c r="J91" s="62">
        <v>25877873.382828854</v>
      </c>
      <c r="K91" s="62">
        <v>22471945</v>
      </c>
      <c r="L91" s="62">
        <v>3547730.4</v>
      </c>
      <c r="M91" s="62">
        <v>27351540.51557</v>
      </c>
      <c r="N91" s="62">
        <v>23010054</v>
      </c>
      <c r="O91" s="62">
        <v>3884918</v>
      </c>
      <c r="P91" s="62">
        <v>456569</v>
      </c>
      <c r="Q91" s="62">
        <v>28050327.867297076</v>
      </c>
      <c r="R91" s="62">
        <v>23415077</v>
      </c>
      <c r="S91" s="62">
        <v>4254657</v>
      </c>
      <c r="T91" s="62">
        <v>380594</v>
      </c>
      <c r="U91" s="62">
        <v>26964189.833086807</v>
      </c>
      <c r="V91" s="62">
        <v>23687032</v>
      </c>
      <c r="W91" s="62">
        <v>4364460</v>
      </c>
      <c r="X91" s="62">
        <v>23430</v>
      </c>
      <c r="Y91" s="62">
        <v>327711</v>
      </c>
      <c r="Z91" s="62">
        <v>26802911.094560001</v>
      </c>
      <c r="AA91" s="62">
        <v>23914065</v>
      </c>
      <c r="AB91" s="62">
        <v>4387890</v>
      </c>
      <c r="AC91" s="10">
        <v>27796890.404080003</v>
      </c>
      <c r="AD91" s="10">
        <v>24315649</v>
      </c>
      <c r="AE91" s="10">
        <v>4513610</v>
      </c>
      <c r="AF91" s="10">
        <v>28443468.301800001</v>
      </c>
      <c r="AG91" s="10">
        <v>24930173</v>
      </c>
      <c r="AH91" s="10">
        <v>4629609.23820375</v>
      </c>
      <c r="AI91" s="10">
        <v>28945039.577839997</v>
      </c>
      <c r="AJ91" s="10">
        <v>24862384</v>
      </c>
      <c r="AK91" s="31">
        <v>4782129.23820375</v>
      </c>
      <c r="AL91" s="10">
        <v>29322453.03464001</v>
      </c>
      <c r="AM91" s="10">
        <v>24866076</v>
      </c>
      <c r="AN91" s="31">
        <v>4860479.23820375</v>
      </c>
      <c r="AO91" s="10">
        <v>29421665.884350002</v>
      </c>
      <c r="AP91" s="10">
        <v>24493520</v>
      </c>
      <c r="AQ91" s="31">
        <v>5031584.23820375</v>
      </c>
    </row>
    <row r="92" spans="1:43">
      <c r="A92" s="102">
        <v>83</v>
      </c>
      <c r="B92" s="7" t="s">
        <v>1789</v>
      </c>
      <c r="C92" s="103">
        <v>45.45</v>
      </c>
      <c r="D92" s="62">
        <v>17015111</v>
      </c>
      <c r="E92" s="37">
        <v>7598854</v>
      </c>
      <c r="F92" s="62">
        <v>9416257</v>
      </c>
      <c r="G92" s="62">
        <v>18126132.039999999</v>
      </c>
      <c r="H92" s="62">
        <v>8088898</v>
      </c>
      <c r="I92" s="62">
        <v>10037234</v>
      </c>
      <c r="J92" s="62">
        <v>18786648.513602465</v>
      </c>
      <c r="K92" s="62">
        <v>8685044</v>
      </c>
      <c r="L92" s="62">
        <v>10382618</v>
      </c>
      <c r="M92" s="62">
        <v>19759944.039999999</v>
      </c>
      <c r="N92" s="62">
        <v>9220450</v>
      </c>
      <c r="O92" s="62">
        <v>9750332</v>
      </c>
      <c r="P92" s="62">
        <v>1145894</v>
      </c>
      <c r="Q92" s="62">
        <v>19857784.98755981</v>
      </c>
      <c r="R92" s="62">
        <v>9205039</v>
      </c>
      <c r="S92" s="62">
        <v>10678301</v>
      </c>
      <c r="T92" s="62">
        <v>0</v>
      </c>
      <c r="U92" s="62">
        <v>19438423.617059994</v>
      </c>
      <c r="V92" s="62">
        <v>9401494</v>
      </c>
      <c r="W92" s="62">
        <v>10054475</v>
      </c>
      <c r="X92" s="62">
        <v>53977</v>
      </c>
      <c r="Y92" s="62">
        <v>626999</v>
      </c>
      <c r="Z92" s="62">
        <v>19386079.859999999</v>
      </c>
      <c r="AA92" s="62">
        <v>9557760</v>
      </c>
      <c r="AB92" s="62">
        <v>10108452</v>
      </c>
      <c r="AC92" s="10">
        <v>19766953.350000001</v>
      </c>
      <c r="AD92" s="10">
        <v>9774113</v>
      </c>
      <c r="AE92" s="10">
        <v>10196332</v>
      </c>
      <c r="AF92" s="10">
        <v>20120825.100000001</v>
      </c>
      <c r="AG92" s="10">
        <v>10170405</v>
      </c>
      <c r="AH92" s="10">
        <v>10251257</v>
      </c>
      <c r="AI92" s="10">
        <v>20492729.260000002</v>
      </c>
      <c r="AJ92" s="10">
        <v>10728557</v>
      </c>
      <c r="AK92" s="31">
        <v>10306507</v>
      </c>
      <c r="AL92" s="10">
        <v>20764631.130000003</v>
      </c>
      <c r="AM92" s="10">
        <v>11106385</v>
      </c>
      <c r="AN92" s="31">
        <v>10361132</v>
      </c>
      <c r="AO92" s="10">
        <v>20397715.370000001</v>
      </c>
      <c r="AP92" s="10">
        <v>11201362</v>
      </c>
      <c r="AQ92" s="31">
        <v>10479107</v>
      </c>
    </row>
    <row r="93" spans="1:43">
      <c r="A93" s="102">
        <v>84</v>
      </c>
      <c r="B93" s="7" t="s">
        <v>1790</v>
      </c>
      <c r="C93" s="103">
        <v>54.01</v>
      </c>
      <c r="D93" s="62">
        <v>176413</v>
      </c>
      <c r="E93" s="37">
        <v>103434</v>
      </c>
      <c r="F93" s="62">
        <v>72979</v>
      </c>
      <c r="G93" s="62">
        <v>172717.17</v>
      </c>
      <c r="H93" s="62">
        <v>67453</v>
      </c>
      <c r="I93" s="62">
        <v>105264</v>
      </c>
      <c r="J93" s="62">
        <v>102197.43</v>
      </c>
      <c r="K93" s="62">
        <v>29983</v>
      </c>
      <c r="L93" s="62">
        <v>102197.43</v>
      </c>
      <c r="M93" s="62">
        <v>95547.92</v>
      </c>
      <c r="N93" s="62">
        <v>28245</v>
      </c>
      <c r="O93" s="62">
        <v>95547.92</v>
      </c>
      <c r="P93" s="62">
        <v>0</v>
      </c>
      <c r="Q93" s="62">
        <v>86146.025033492828</v>
      </c>
      <c r="R93" s="62">
        <v>25739</v>
      </c>
      <c r="S93" s="62">
        <v>93637</v>
      </c>
      <c r="T93" s="62">
        <v>0</v>
      </c>
      <c r="U93" s="62">
        <v>60179.078399999999</v>
      </c>
      <c r="V93" s="62">
        <v>19896</v>
      </c>
      <c r="W93" s="62">
        <v>60179.078399999999</v>
      </c>
      <c r="X93" s="62">
        <v>0</v>
      </c>
      <c r="Y93" s="62">
        <v>0</v>
      </c>
      <c r="Z93" s="62">
        <v>110250.63</v>
      </c>
      <c r="AA93" s="62">
        <v>34586</v>
      </c>
      <c r="AB93" s="62">
        <v>75665</v>
      </c>
      <c r="AC93" s="10">
        <v>202128.46000000002</v>
      </c>
      <c r="AD93" s="10">
        <v>61700</v>
      </c>
      <c r="AE93" s="10">
        <v>140428</v>
      </c>
      <c r="AF93" s="10">
        <v>218155.53</v>
      </c>
      <c r="AG93" s="10">
        <v>71512</v>
      </c>
      <c r="AH93" s="10">
        <v>146644</v>
      </c>
      <c r="AI93" s="10">
        <v>285056.05</v>
      </c>
      <c r="AJ93" s="10">
        <v>99040</v>
      </c>
      <c r="AK93" s="31">
        <v>186016</v>
      </c>
      <c r="AL93" s="10">
        <v>276131.65999999997</v>
      </c>
      <c r="AM93" s="10">
        <v>108182</v>
      </c>
      <c r="AN93" s="31">
        <v>186016</v>
      </c>
      <c r="AO93" s="10">
        <v>275524.15999999997</v>
      </c>
      <c r="AP93" s="10">
        <v>112798</v>
      </c>
      <c r="AQ93" s="31">
        <v>186016</v>
      </c>
    </row>
    <row r="94" spans="1:43">
      <c r="A94" s="102">
        <v>85</v>
      </c>
      <c r="B94" s="7" t="s">
        <v>1791</v>
      </c>
      <c r="C94" s="103">
        <v>17.5</v>
      </c>
      <c r="D94" s="62">
        <v>1507950</v>
      </c>
      <c r="E94" s="37">
        <v>2243267</v>
      </c>
      <c r="F94" s="62">
        <v>252703.6</v>
      </c>
      <c r="G94" s="62">
        <v>1616181.59</v>
      </c>
      <c r="H94" s="62">
        <v>1929935</v>
      </c>
      <c r="I94" s="62">
        <v>271644.59999999998</v>
      </c>
      <c r="J94" s="62">
        <v>1859265.36</v>
      </c>
      <c r="K94" s="62">
        <v>2013378</v>
      </c>
      <c r="L94" s="62">
        <v>314184.59999999998</v>
      </c>
      <c r="M94" s="62">
        <v>2009843.22</v>
      </c>
      <c r="N94" s="62">
        <v>2095073</v>
      </c>
      <c r="O94" s="62">
        <v>304723.59999999998</v>
      </c>
      <c r="P94" s="62">
        <v>35812</v>
      </c>
      <c r="Q94" s="62">
        <v>2013733.9113952154</v>
      </c>
      <c r="R94" s="62">
        <v>2116114</v>
      </c>
      <c r="S94" s="62">
        <v>333725</v>
      </c>
      <c r="T94" s="62">
        <v>0</v>
      </c>
      <c r="U94" s="62">
        <v>2017979.0678399999</v>
      </c>
      <c r="V94" s="62">
        <v>2078576</v>
      </c>
      <c r="W94" s="62">
        <v>314229</v>
      </c>
      <c r="X94" s="62">
        <v>1687</v>
      </c>
      <c r="Y94" s="62">
        <v>23709</v>
      </c>
      <c r="Z94" s="62">
        <v>1921167.55</v>
      </c>
      <c r="AA94" s="62">
        <v>1979180</v>
      </c>
      <c r="AB94" s="62">
        <v>315916</v>
      </c>
      <c r="AC94" s="10">
        <v>1990036.0999999999</v>
      </c>
      <c r="AD94" s="10">
        <v>1895355</v>
      </c>
      <c r="AE94" s="10">
        <v>324556</v>
      </c>
      <c r="AF94" s="10">
        <v>1954308.02</v>
      </c>
      <c r="AG94" s="10">
        <v>1817599</v>
      </c>
      <c r="AH94" s="10">
        <v>329806</v>
      </c>
      <c r="AI94" s="10">
        <v>1871143.94</v>
      </c>
      <c r="AJ94" s="10">
        <v>1673613</v>
      </c>
      <c r="AK94" s="31">
        <v>334856</v>
      </c>
      <c r="AL94" s="10">
        <v>1830657.57</v>
      </c>
      <c r="AM94" s="10">
        <v>1584800</v>
      </c>
      <c r="AN94" s="31">
        <v>339456</v>
      </c>
      <c r="AO94" s="10">
        <v>1797116.2700000003</v>
      </c>
      <c r="AP94" s="10">
        <v>1503602</v>
      </c>
      <c r="AQ94" s="31">
        <v>349191</v>
      </c>
    </row>
    <row r="95" spans="1:43">
      <c r="A95" s="102">
        <v>86</v>
      </c>
      <c r="B95" s="7" t="s">
        <v>1792</v>
      </c>
      <c r="C95" s="103">
        <v>34.520000000000003</v>
      </c>
      <c r="D95" s="62">
        <v>14379873</v>
      </c>
      <c r="E95" s="37">
        <v>7394800</v>
      </c>
      <c r="F95" s="62">
        <v>7061164</v>
      </c>
      <c r="G95" s="62">
        <v>14811911.220000003</v>
      </c>
      <c r="H95" s="62">
        <v>7910957</v>
      </c>
      <c r="I95" s="62">
        <v>7246465</v>
      </c>
      <c r="J95" s="62">
        <v>16177354.557884984</v>
      </c>
      <c r="K95" s="62">
        <v>8342895</v>
      </c>
      <c r="L95" s="62">
        <v>7856409</v>
      </c>
      <c r="M95" s="62">
        <v>16862713.349999998</v>
      </c>
      <c r="N95" s="62">
        <v>8754200</v>
      </c>
      <c r="O95" s="62">
        <v>7300531</v>
      </c>
      <c r="P95" s="62">
        <v>857984</v>
      </c>
      <c r="Q95" s="62">
        <v>17116009.975915793</v>
      </c>
      <c r="R95" s="62">
        <v>9909425</v>
      </c>
      <c r="S95" s="62">
        <v>7995345</v>
      </c>
      <c r="T95" s="62">
        <v>0</v>
      </c>
      <c r="U95" s="62">
        <v>16500250.305240002</v>
      </c>
      <c r="V95" s="62">
        <v>9949274</v>
      </c>
      <c r="W95" s="62">
        <v>7528257</v>
      </c>
      <c r="X95" s="62">
        <v>40415</v>
      </c>
      <c r="Y95" s="62">
        <v>471948</v>
      </c>
      <c r="Z95" s="62">
        <v>16577826.099999998</v>
      </c>
      <c r="AA95" s="62">
        <v>10194026</v>
      </c>
      <c r="AB95" s="62">
        <v>7568672</v>
      </c>
      <c r="AC95" s="10">
        <v>17510302.93</v>
      </c>
      <c r="AD95" s="10">
        <v>10521254</v>
      </c>
      <c r="AE95" s="10">
        <v>7641192</v>
      </c>
      <c r="AF95" s="10">
        <v>17991276.290000003</v>
      </c>
      <c r="AG95" s="10">
        <v>10956834</v>
      </c>
      <c r="AH95" s="10">
        <v>7687117</v>
      </c>
      <c r="AI95" s="10">
        <v>17813516.280000001</v>
      </c>
      <c r="AJ95" s="10">
        <v>11344349</v>
      </c>
      <c r="AK95" s="31">
        <v>7731667</v>
      </c>
      <c r="AL95" s="10">
        <v>18095294</v>
      </c>
      <c r="AM95" s="10">
        <v>11793004</v>
      </c>
      <c r="AN95" s="31">
        <v>7776017</v>
      </c>
      <c r="AO95" s="10">
        <v>18091522.210000005</v>
      </c>
      <c r="AP95" s="10">
        <v>11897561</v>
      </c>
      <c r="AQ95" s="31">
        <v>7873092</v>
      </c>
    </row>
    <row r="96" spans="1:43">
      <c r="A96" s="102">
        <v>87</v>
      </c>
      <c r="B96" s="7" t="s">
        <v>1793</v>
      </c>
      <c r="C96" s="103">
        <v>39.5</v>
      </c>
      <c r="D96" s="62">
        <v>19356365</v>
      </c>
      <c r="E96" s="37">
        <v>16081730</v>
      </c>
      <c r="F96" s="62">
        <v>3415856.4</v>
      </c>
      <c r="G96" s="62">
        <v>20729712.940000001</v>
      </c>
      <c r="H96" s="62">
        <v>16113527</v>
      </c>
      <c r="I96" s="62">
        <v>4616186</v>
      </c>
      <c r="J96" s="62">
        <v>22100300.970615972</v>
      </c>
      <c r="K96" s="62">
        <v>15537297</v>
      </c>
      <c r="L96" s="62">
        <v>6563004</v>
      </c>
      <c r="M96" s="62">
        <v>23422159.73</v>
      </c>
      <c r="N96" s="62">
        <v>15098039</v>
      </c>
      <c r="O96" s="62">
        <v>7448721</v>
      </c>
      <c r="P96" s="62">
        <v>875400</v>
      </c>
      <c r="Q96" s="62">
        <v>24224414.35406699</v>
      </c>
      <c r="R96" s="62">
        <v>15193256</v>
      </c>
      <c r="S96" s="62">
        <v>8157639</v>
      </c>
      <c r="T96" s="62">
        <v>873519</v>
      </c>
      <c r="U96" s="62">
        <v>23669359.72518</v>
      </c>
      <c r="V96" s="62">
        <v>14824125</v>
      </c>
      <c r="W96" s="62">
        <v>8675518</v>
      </c>
      <c r="X96" s="62">
        <v>46574</v>
      </c>
      <c r="Y96" s="62">
        <v>379066</v>
      </c>
      <c r="Z96" s="62">
        <v>24105912.68</v>
      </c>
      <c r="AA96" s="62">
        <v>14975127</v>
      </c>
      <c r="AB96" s="62">
        <v>9130786</v>
      </c>
      <c r="AC96" s="10">
        <v>24771812.159999996</v>
      </c>
      <c r="AD96" s="10">
        <v>15279722</v>
      </c>
      <c r="AE96" s="10">
        <v>9767174.2199039999</v>
      </c>
      <c r="AF96" s="10">
        <v>24746375.960000001</v>
      </c>
      <c r="AG96" s="10">
        <v>15736133</v>
      </c>
      <c r="AH96" s="10">
        <v>9834624.2199039999</v>
      </c>
      <c r="AI96" s="10">
        <v>25028520.540000003</v>
      </c>
      <c r="AJ96" s="10">
        <v>15784772</v>
      </c>
      <c r="AK96" s="31">
        <v>9901624.2199039999</v>
      </c>
      <c r="AL96" s="10">
        <v>25486357.480000004</v>
      </c>
      <c r="AM96" s="10">
        <v>16206963</v>
      </c>
      <c r="AN96" s="31">
        <v>9967774.2199039999</v>
      </c>
      <c r="AO96" s="10">
        <v>26003641.129999999</v>
      </c>
      <c r="AP96" s="10">
        <v>15891476</v>
      </c>
      <c r="AQ96" s="31">
        <v>10115944.219904</v>
      </c>
    </row>
    <row r="97" spans="1:43">
      <c r="A97" s="102">
        <v>88</v>
      </c>
      <c r="B97" s="7" t="s">
        <v>1794</v>
      </c>
      <c r="C97" s="103">
        <v>25.06</v>
      </c>
      <c r="D97" s="62">
        <v>25936350</v>
      </c>
      <c r="E97" s="37">
        <v>18495624</v>
      </c>
      <c r="F97" s="62">
        <v>7668206.9999999991</v>
      </c>
      <c r="G97" s="62">
        <v>27484649.059999999</v>
      </c>
      <c r="H97" s="62">
        <v>19567354</v>
      </c>
      <c r="I97" s="62">
        <v>8115511</v>
      </c>
      <c r="J97" s="62">
        <v>29177633.708206084</v>
      </c>
      <c r="K97" s="62">
        <v>20413260</v>
      </c>
      <c r="L97" s="62">
        <v>8764374</v>
      </c>
      <c r="M97" s="62">
        <v>30904576.539999995</v>
      </c>
      <c r="N97" s="62">
        <v>21110331</v>
      </c>
      <c r="O97" s="62">
        <v>8764241</v>
      </c>
      <c r="P97" s="62">
        <v>1030005</v>
      </c>
      <c r="Q97" s="62">
        <v>32240256.071471777</v>
      </c>
      <c r="R97" s="62">
        <v>22529505</v>
      </c>
      <c r="S97" s="62">
        <v>9598361</v>
      </c>
      <c r="T97" s="62">
        <v>112390</v>
      </c>
      <c r="U97" s="62">
        <v>31588230.077280004</v>
      </c>
      <c r="V97" s="62">
        <v>22880367</v>
      </c>
      <c r="W97" s="62">
        <v>9143450</v>
      </c>
      <c r="X97" s="62">
        <v>49086</v>
      </c>
      <c r="Y97" s="62">
        <v>613290</v>
      </c>
      <c r="Z97" s="62">
        <v>32076583.279999997</v>
      </c>
      <c r="AA97" s="62">
        <v>23438516</v>
      </c>
      <c r="AB97" s="62">
        <v>9192536</v>
      </c>
      <c r="AC97" s="10">
        <v>33281209.900000002</v>
      </c>
      <c r="AD97" s="10">
        <v>24208253</v>
      </c>
      <c r="AE97" s="10">
        <v>9343416</v>
      </c>
      <c r="AF97" s="10">
        <v>33673060.710000001</v>
      </c>
      <c r="AG97" s="10">
        <v>25085982</v>
      </c>
      <c r="AH97" s="10">
        <v>9437566</v>
      </c>
      <c r="AI97" s="10">
        <v>34368780.379999988</v>
      </c>
      <c r="AJ97" s="10">
        <v>25617334</v>
      </c>
      <c r="AK97" s="31">
        <v>9531741</v>
      </c>
      <c r="AL97" s="10">
        <v>34281775.100000001</v>
      </c>
      <c r="AM97" s="10">
        <v>26279966</v>
      </c>
      <c r="AN97" s="31">
        <v>9624016</v>
      </c>
      <c r="AO97" s="10">
        <v>34160203.240000002</v>
      </c>
      <c r="AP97" s="10">
        <v>25837978</v>
      </c>
      <c r="AQ97" s="31">
        <v>9823611</v>
      </c>
    </row>
    <row r="98" spans="1:43">
      <c r="A98" s="102">
        <v>89</v>
      </c>
      <c r="B98" s="7" t="s">
        <v>1795</v>
      </c>
      <c r="C98" s="103">
        <v>17.5</v>
      </c>
      <c r="D98" s="62">
        <v>2906462</v>
      </c>
      <c r="E98" s="37">
        <v>3581665</v>
      </c>
      <c r="F98" s="62">
        <v>343128.4</v>
      </c>
      <c r="G98" s="62">
        <v>3005078.93</v>
      </c>
      <c r="H98" s="62">
        <v>3288955</v>
      </c>
      <c r="I98" s="62">
        <v>379680.4</v>
      </c>
      <c r="J98" s="62">
        <v>2849766.471590891</v>
      </c>
      <c r="K98" s="62">
        <v>3031703</v>
      </c>
      <c r="L98" s="62">
        <v>415389.4</v>
      </c>
      <c r="M98" s="62">
        <v>3070457.61</v>
      </c>
      <c r="N98" s="62">
        <v>3082373</v>
      </c>
      <c r="O98" s="62">
        <v>407713.4</v>
      </c>
      <c r="P98" s="62">
        <v>47916</v>
      </c>
      <c r="Q98" s="62">
        <v>3245618.0710277515</v>
      </c>
      <c r="R98" s="62">
        <v>3016515</v>
      </c>
      <c r="S98" s="62">
        <v>446517</v>
      </c>
      <c r="T98" s="62">
        <v>0</v>
      </c>
      <c r="U98" s="62">
        <v>3164477.4653399996</v>
      </c>
      <c r="V98" s="62">
        <v>3012929</v>
      </c>
      <c r="W98" s="62">
        <v>420431</v>
      </c>
      <c r="X98" s="62">
        <v>2257</v>
      </c>
      <c r="Y98" s="62">
        <v>33529</v>
      </c>
      <c r="Z98" s="62">
        <v>3286331.37</v>
      </c>
      <c r="AA98" s="62">
        <v>3029696</v>
      </c>
      <c r="AB98" s="62">
        <v>422688</v>
      </c>
      <c r="AC98" s="10">
        <v>3631686.44</v>
      </c>
      <c r="AD98" s="10">
        <v>3207706</v>
      </c>
      <c r="AE98" s="10">
        <v>438768</v>
      </c>
      <c r="AF98" s="10">
        <v>3600508.11</v>
      </c>
      <c r="AG98" s="10">
        <v>3160574</v>
      </c>
      <c r="AH98" s="10">
        <v>448818</v>
      </c>
      <c r="AI98" s="10">
        <v>3756339.3899999997</v>
      </c>
      <c r="AJ98" s="10">
        <v>3220458</v>
      </c>
      <c r="AK98" s="31">
        <v>535881</v>
      </c>
      <c r="AL98" s="10">
        <v>3949969.68</v>
      </c>
      <c r="AM98" s="10">
        <v>3348602</v>
      </c>
      <c r="AN98" s="31">
        <v>601368</v>
      </c>
      <c r="AO98" s="10">
        <v>4012060.0799999996</v>
      </c>
      <c r="AP98" s="10">
        <v>3327566</v>
      </c>
      <c r="AQ98" s="31">
        <v>684494</v>
      </c>
    </row>
    <row r="99" spans="1:43">
      <c r="A99" s="102">
        <v>90</v>
      </c>
      <c r="B99" s="7" t="s">
        <v>1796</v>
      </c>
      <c r="C99" s="103">
        <v>17.5</v>
      </c>
      <c r="D99" s="62">
        <v>0</v>
      </c>
      <c r="E99" s="37">
        <v>0</v>
      </c>
      <c r="F99" s="62">
        <v>0</v>
      </c>
      <c r="G99" s="62">
        <v>0</v>
      </c>
      <c r="H99" s="62">
        <v>0</v>
      </c>
      <c r="I99" s="62">
        <v>0</v>
      </c>
      <c r="J99" s="62">
        <v>0</v>
      </c>
      <c r="K99" s="62">
        <v>0</v>
      </c>
      <c r="L99" s="62">
        <v>0</v>
      </c>
      <c r="M99" s="62">
        <v>0</v>
      </c>
      <c r="N99" s="62">
        <v>0</v>
      </c>
      <c r="O99" s="62">
        <v>0</v>
      </c>
      <c r="P99" s="62">
        <v>0</v>
      </c>
      <c r="Q99" s="62">
        <v>0</v>
      </c>
      <c r="R99" s="62">
        <v>0</v>
      </c>
      <c r="S99" s="62">
        <v>0</v>
      </c>
      <c r="T99" s="62">
        <v>0</v>
      </c>
      <c r="U99" s="62">
        <v>0</v>
      </c>
      <c r="V99" s="62">
        <v>0</v>
      </c>
      <c r="W99" s="62">
        <v>0</v>
      </c>
      <c r="X99" s="62">
        <v>0</v>
      </c>
      <c r="Y99" s="62">
        <v>0</v>
      </c>
      <c r="Z99" s="62">
        <v>0</v>
      </c>
      <c r="AA99" s="62">
        <v>0</v>
      </c>
      <c r="AB99" s="62">
        <v>0</v>
      </c>
      <c r="AC99" s="10">
        <v>0</v>
      </c>
      <c r="AD99" s="10">
        <v>0</v>
      </c>
      <c r="AE99" s="10">
        <v>0</v>
      </c>
      <c r="AF99" s="10">
        <v>0</v>
      </c>
      <c r="AG99" s="10">
        <v>0</v>
      </c>
      <c r="AH99" s="10">
        <v>0</v>
      </c>
      <c r="AI99" s="10">
        <v>0</v>
      </c>
      <c r="AJ99" s="10">
        <v>0</v>
      </c>
      <c r="AK99" s="31">
        <v>0</v>
      </c>
      <c r="AL99" s="10">
        <v>0</v>
      </c>
      <c r="AM99" s="10">
        <v>0</v>
      </c>
      <c r="AN99" s="31">
        <v>0</v>
      </c>
      <c r="AO99" s="10">
        <v>0</v>
      </c>
      <c r="AP99" s="10">
        <v>0</v>
      </c>
      <c r="AQ99" s="31">
        <v>0</v>
      </c>
    </row>
    <row r="100" spans="1:43">
      <c r="A100" s="102">
        <v>91</v>
      </c>
      <c r="B100" s="7" t="s">
        <v>1797</v>
      </c>
      <c r="C100" s="103">
        <v>17.5</v>
      </c>
      <c r="D100" s="62">
        <v>1736037</v>
      </c>
      <c r="E100" s="37">
        <v>1696174</v>
      </c>
      <c r="F100" s="62">
        <v>257383.6</v>
      </c>
      <c r="G100" s="62">
        <v>1886102.04</v>
      </c>
      <c r="H100" s="62">
        <v>1693156</v>
      </c>
      <c r="I100" s="62">
        <v>283644.59999999998</v>
      </c>
      <c r="J100" s="62">
        <v>2063705.1585349285</v>
      </c>
      <c r="K100" s="62">
        <v>1733353</v>
      </c>
      <c r="L100" s="62">
        <v>330352</v>
      </c>
      <c r="M100" s="62">
        <v>2321411.09</v>
      </c>
      <c r="N100" s="62">
        <v>1908319</v>
      </c>
      <c r="O100" s="62">
        <v>369649</v>
      </c>
      <c r="P100" s="62">
        <v>43443</v>
      </c>
      <c r="Q100" s="62">
        <v>2466755.7200229666</v>
      </c>
      <c r="R100" s="62">
        <v>2035074</v>
      </c>
      <c r="S100" s="62">
        <v>404830</v>
      </c>
      <c r="T100" s="62">
        <v>26852</v>
      </c>
      <c r="U100" s="62">
        <v>2428316.4251399999</v>
      </c>
      <c r="V100" s="62">
        <v>2032401</v>
      </c>
      <c r="W100" s="62">
        <v>406463</v>
      </c>
      <c r="X100" s="62">
        <v>2182</v>
      </c>
      <c r="Y100" s="62">
        <v>30012</v>
      </c>
      <c r="Z100" s="62">
        <v>2407929.63</v>
      </c>
      <c r="AA100" s="62">
        <v>2045398</v>
      </c>
      <c r="AB100" s="62">
        <v>408645</v>
      </c>
      <c r="AC100" s="10">
        <v>2354101.85</v>
      </c>
      <c r="AD100" s="10">
        <v>2051456</v>
      </c>
      <c r="AE100" s="10">
        <v>418845</v>
      </c>
      <c r="AF100" s="10">
        <v>2478101.1</v>
      </c>
      <c r="AG100" s="10">
        <v>2103316</v>
      </c>
      <c r="AH100" s="10">
        <v>425470</v>
      </c>
      <c r="AI100" s="10">
        <v>2387006.7599999998</v>
      </c>
      <c r="AJ100" s="10">
        <v>2050836</v>
      </c>
      <c r="AK100" s="31">
        <v>431895</v>
      </c>
      <c r="AL100" s="10">
        <v>2412269.36</v>
      </c>
      <c r="AM100" s="10">
        <v>2019029</v>
      </c>
      <c r="AN100" s="31">
        <v>438270</v>
      </c>
      <c r="AO100" s="10">
        <v>2249261.63</v>
      </c>
      <c r="AP100" s="10">
        <v>1884292</v>
      </c>
      <c r="AQ100" s="31">
        <v>451195</v>
      </c>
    </row>
    <row r="101" spans="1:43">
      <c r="A101" s="102">
        <v>92</v>
      </c>
      <c r="B101" s="7" t="s">
        <v>1798</v>
      </c>
      <c r="C101" s="103">
        <v>17.5</v>
      </c>
      <c r="D101" s="62">
        <v>0</v>
      </c>
      <c r="E101" s="37">
        <v>0</v>
      </c>
      <c r="F101" s="62">
        <v>0</v>
      </c>
      <c r="G101" s="62">
        <v>0</v>
      </c>
      <c r="H101" s="62">
        <v>0</v>
      </c>
      <c r="I101" s="62">
        <v>0</v>
      </c>
      <c r="J101" s="62">
        <v>0</v>
      </c>
      <c r="K101" s="62">
        <v>0</v>
      </c>
      <c r="L101" s="62">
        <v>0</v>
      </c>
      <c r="M101" s="62">
        <v>0</v>
      </c>
      <c r="N101" s="62">
        <v>0</v>
      </c>
      <c r="O101" s="62">
        <v>0</v>
      </c>
      <c r="P101" s="62">
        <v>0</v>
      </c>
      <c r="Q101" s="62">
        <v>0</v>
      </c>
      <c r="R101" s="62">
        <v>0</v>
      </c>
      <c r="S101" s="62">
        <v>0</v>
      </c>
      <c r="T101" s="62">
        <v>0</v>
      </c>
      <c r="U101" s="62">
        <v>0</v>
      </c>
      <c r="V101" s="62">
        <v>0</v>
      </c>
      <c r="W101" s="62">
        <v>0</v>
      </c>
      <c r="X101" s="62">
        <v>0</v>
      </c>
      <c r="Y101" s="62">
        <v>0</v>
      </c>
      <c r="Z101" s="62">
        <v>0</v>
      </c>
      <c r="AA101" s="62">
        <v>0</v>
      </c>
      <c r="AB101" s="62">
        <v>0</v>
      </c>
      <c r="AC101" s="10">
        <v>0</v>
      </c>
      <c r="AD101" s="10">
        <v>0</v>
      </c>
      <c r="AE101" s="10">
        <v>0</v>
      </c>
      <c r="AF101" s="10">
        <v>0</v>
      </c>
      <c r="AG101" s="10">
        <v>0</v>
      </c>
      <c r="AH101" s="10">
        <v>0</v>
      </c>
      <c r="AI101" s="10">
        <v>0</v>
      </c>
      <c r="AJ101" s="10">
        <v>0</v>
      </c>
      <c r="AK101" s="31">
        <v>0</v>
      </c>
      <c r="AL101" s="10">
        <v>0</v>
      </c>
      <c r="AM101" s="10">
        <v>0</v>
      </c>
      <c r="AN101" s="31">
        <v>0</v>
      </c>
      <c r="AO101" s="10">
        <v>0</v>
      </c>
      <c r="AP101" s="10">
        <v>0</v>
      </c>
      <c r="AQ101" s="31">
        <v>0</v>
      </c>
    </row>
    <row r="102" spans="1:43">
      <c r="A102" s="102">
        <v>93</v>
      </c>
      <c r="B102" s="7" t="s">
        <v>1799</v>
      </c>
      <c r="C102" s="103">
        <v>70.209999999999994</v>
      </c>
      <c r="D102" s="62">
        <v>45371743</v>
      </c>
      <c r="E102" s="37">
        <v>24514676</v>
      </c>
      <c r="F102" s="62">
        <v>20857067</v>
      </c>
      <c r="G102" s="62">
        <v>48207134.680500001</v>
      </c>
      <c r="H102" s="62">
        <v>25038448</v>
      </c>
      <c r="I102" s="62">
        <v>23168687</v>
      </c>
      <c r="J102" s="62">
        <v>53450079.377155341</v>
      </c>
      <c r="K102" s="62">
        <v>25416336</v>
      </c>
      <c r="L102" s="62">
        <v>28033743</v>
      </c>
      <c r="M102" s="62">
        <v>59682692.571389988</v>
      </c>
      <c r="N102" s="62">
        <v>25762913</v>
      </c>
      <c r="O102" s="62">
        <v>30352631</v>
      </c>
      <c r="P102" s="62">
        <v>3567149</v>
      </c>
      <c r="Q102" s="62">
        <v>62892763.612918936</v>
      </c>
      <c r="R102" s="62">
        <v>25931368</v>
      </c>
      <c r="S102" s="62">
        <v>33241384</v>
      </c>
      <c r="T102" s="62">
        <v>3720012</v>
      </c>
      <c r="U102" s="62">
        <v>64793932.005067073</v>
      </c>
      <c r="V102" s="62">
        <v>25957484</v>
      </c>
      <c r="W102" s="62">
        <v>38091277</v>
      </c>
      <c r="X102" s="62">
        <v>204491</v>
      </c>
      <c r="Y102" s="62">
        <v>540680</v>
      </c>
      <c r="Z102" s="62">
        <v>68020957.110019997</v>
      </c>
      <c r="AA102" s="62">
        <v>25027814</v>
      </c>
      <c r="AB102" s="62">
        <v>42993143</v>
      </c>
      <c r="AC102" s="10">
        <v>74288708.336989999</v>
      </c>
      <c r="AD102" s="10">
        <v>25279517</v>
      </c>
      <c r="AE102" s="10">
        <v>49378544.796454601</v>
      </c>
      <c r="AF102" s="10">
        <v>79707323.959860012</v>
      </c>
      <c r="AG102" s="10">
        <v>25001383</v>
      </c>
      <c r="AH102" s="10">
        <v>55042003.302143387</v>
      </c>
      <c r="AI102" s="10">
        <v>85328324.66643998</v>
      </c>
      <c r="AJ102" s="10">
        <v>24693137</v>
      </c>
      <c r="AK102" s="31">
        <v>60635188</v>
      </c>
      <c r="AL102" s="10">
        <v>89667949.965919986</v>
      </c>
      <c r="AM102" s="10">
        <v>25666047</v>
      </c>
      <c r="AN102" s="31">
        <v>64001903</v>
      </c>
      <c r="AO102" s="10">
        <v>87583038.240480021</v>
      </c>
      <c r="AP102" s="10">
        <v>26203286</v>
      </c>
      <c r="AQ102" s="31">
        <v>64492532</v>
      </c>
    </row>
    <row r="103" spans="1:43">
      <c r="A103" s="102">
        <v>94</v>
      </c>
      <c r="B103" s="7" t="s">
        <v>1800</v>
      </c>
      <c r="C103" s="103">
        <v>37.729999999999997</v>
      </c>
      <c r="D103" s="62">
        <v>15772369</v>
      </c>
      <c r="E103" s="37">
        <v>8958998</v>
      </c>
      <c r="F103" s="62">
        <v>6900863.9999999991</v>
      </c>
      <c r="G103" s="62">
        <v>16146316.320000002</v>
      </c>
      <c r="H103" s="62">
        <v>8999243</v>
      </c>
      <c r="I103" s="62">
        <v>7147073</v>
      </c>
      <c r="J103" s="62">
        <v>16755601.389419528</v>
      </c>
      <c r="K103" s="62">
        <v>9196548</v>
      </c>
      <c r="L103" s="62">
        <v>7559053</v>
      </c>
      <c r="M103" s="62">
        <v>16953034.73</v>
      </c>
      <c r="N103" s="62">
        <v>9303393</v>
      </c>
      <c r="O103" s="62">
        <v>6852118</v>
      </c>
      <c r="P103" s="62">
        <v>805285</v>
      </c>
      <c r="Q103" s="62">
        <v>17423766.603881337</v>
      </c>
      <c r="R103" s="62">
        <v>9798899</v>
      </c>
      <c r="S103" s="62">
        <v>7504255</v>
      </c>
      <c r="T103" s="62">
        <v>120613</v>
      </c>
      <c r="U103" s="62">
        <v>16843034.112059999</v>
      </c>
      <c r="V103" s="62">
        <v>10187330</v>
      </c>
      <c r="W103" s="62">
        <v>7179423</v>
      </c>
      <c r="X103" s="62">
        <v>38542</v>
      </c>
      <c r="Y103" s="62">
        <v>454353</v>
      </c>
      <c r="Z103" s="62">
        <v>17104751.050000001</v>
      </c>
      <c r="AA103" s="62">
        <v>10317258</v>
      </c>
      <c r="AB103" s="62">
        <v>7217965</v>
      </c>
      <c r="AC103" s="10">
        <v>17453568.07</v>
      </c>
      <c r="AD103" s="10">
        <v>10832169</v>
      </c>
      <c r="AE103" s="10">
        <v>7292285</v>
      </c>
      <c r="AF103" s="10">
        <v>17879851.399999999</v>
      </c>
      <c r="AG103" s="10">
        <v>11242923</v>
      </c>
      <c r="AH103" s="10">
        <v>7338560</v>
      </c>
      <c r="AI103" s="10">
        <v>17736701.940000001</v>
      </c>
      <c r="AJ103" s="10">
        <v>11371020</v>
      </c>
      <c r="AK103" s="31">
        <v>7383635</v>
      </c>
      <c r="AL103" s="10">
        <v>17707799.16</v>
      </c>
      <c r="AM103" s="10">
        <v>11597160</v>
      </c>
      <c r="AN103" s="31">
        <v>7428260</v>
      </c>
      <c r="AO103" s="10">
        <v>18309668.060000002</v>
      </c>
      <c r="AP103" s="10">
        <v>11486709</v>
      </c>
      <c r="AQ103" s="31">
        <v>7526930</v>
      </c>
    </row>
    <row r="104" spans="1:43">
      <c r="A104" s="102">
        <v>95</v>
      </c>
      <c r="B104" s="7" t="s">
        <v>1801</v>
      </c>
      <c r="C104" s="103">
        <v>73.36</v>
      </c>
      <c r="D104" s="62">
        <v>102479194</v>
      </c>
      <c r="E104" s="37">
        <v>13825097</v>
      </c>
      <c r="F104" s="62">
        <v>88654097</v>
      </c>
      <c r="G104" s="62">
        <v>104481870.5</v>
      </c>
      <c r="H104" s="62">
        <v>14847016</v>
      </c>
      <c r="I104" s="62">
        <v>90065583</v>
      </c>
      <c r="J104" s="62">
        <v>106032214.10539405</v>
      </c>
      <c r="K104" s="62">
        <v>15513206</v>
      </c>
      <c r="L104" s="62">
        <v>91119662</v>
      </c>
      <c r="M104" s="62">
        <v>109717451.8</v>
      </c>
      <c r="N104" s="62">
        <v>16580407</v>
      </c>
      <c r="O104" s="62">
        <v>83793405</v>
      </c>
      <c r="P104" s="62">
        <v>9847697</v>
      </c>
      <c r="Q104" s="62">
        <v>113237307.34539331</v>
      </c>
      <c r="R104" s="62">
        <v>19000896</v>
      </c>
      <c r="S104" s="62">
        <v>91768280</v>
      </c>
      <c r="T104" s="62">
        <v>2468131</v>
      </c>
      <c r="U104" s="62">
        <v>110588545.43874</v>
      </c>
      <c r="V104" s="62">
        <v>19582705</v>
      </c>
      <c r="W104" s="62">
        <v>89259672</v>
      </c>
      <c r="X104" s="62">
        <v>479186</v>
      </c>
      <c r="Y104" s="62">
        <v>4762753</v>
      </c>
      <c r="Z104" s="62">
        <v>113992339.77</v>
      </c>
      <c r="AA104" s="62">
        <v>20197065</v>
      </c>
      <c r="AB104" s="62">
        <v>93795275</v>
      </c>
      <c r="AC104" s="10">
        <v>117801266.98000002</v>
      </c>
      <c r="AD104" s="10">
        <v>21470723</v>
      </c>
      <c r="AE104" s="10">
        <v>96330544</v>
      </c>
      <c r="AF104" s="10">
        <v>122984522.46999998</v>
      </c>
      <c r="AG104" s="10">
        <v>22747952</v>
      </c>
      <c r="AH104" s="10">
        <v>100236570</v>
      </c>
      <c r="AI104" s="10">
        <v>126851512.44000001</v>
      </c>
      <c r="AJ104" s="10">
        <v>23922480</v>
      </c>
      <c r="AK104" s="31">
        <v>102929032</v>
      </c>
      <c r="AL104" s="10">
        <v>130963260.19999999</v>
      </c>
      <c r="AM104" s="10">
        <v>25218449</v>
      </c>
      <c r="AN104" s="31">
        <v>105744811</v>
      </c>
      <c r="AO104" s="10">
        <v>133322500.97999999</v>
      </c>
      <c r="AP104" s="10">
        <v>26181193</v>
      </c>
      <c r="AQ104" s="31">
        <v>107141308</v>
      </c>
    </row>
    <row r="105" spans="1:43">
      <c r="A105" s="102">
        <v>96</v>
      </c>
      <c r="B105" s="7" t="s">
        <v>1802</v>
      </c>
      <c r="C105" s="103">
        <v>17.5</v>
      </c>
      <c r="D105" s="62">
        <v>30137881</v>
      </c>
      <c r="E105" s="37">
        <v>32265939</v>
      </c>
      <c r="F105" s="62">
        <v>4439705.5999999996</v>
      </c>
      <c r="G105" s="62">
        <v>31282681.59</v>
      </c>
      <c r="H105" s="62">
        <v>32702864</v>
      </c>
      <c r="I105" s="62">
        <v>4646658.5999999996</v>
      </c>
      <c r="J105" s="62">
        <v>32408337.333121564</v>
      </c>
      <c r="K105" s="62">
        <v>31997640</v>
      </c>
      <c r="L105" s="62">
        <v>4954098.5999999996</v>
      </c>
      <c r="M105" s="62">
        <v>32989864.899999995</v>
      </c>
      <c r="N105" s="62">
        <v>31420687</v>
      </c>
      <c r="O105" s="62">
        <v>4674989.5999999996</v>
      </c>
      <c r="P105" s="62">
        <v>549421</v>
      </c>
      <c r="Q105" s="62">
        <v>32976356.55624881</v>
      </c>
      <c r="R105" s="62">
        <v>31044599</v>
      </c>
      <c r="S105" s="62">
        <v>5119922</v>
      </c>
      <c r="T105" s="62">
        <v>0</v>
      </c>
      <c r="U105" s="62">
        <v>32249708.827199996</v>
      </c>
      <c r="V105" s="62">
        <v>30294456</v>
      </c>
      <c r="W105" s="62">
        <v>4820816</v>
      </c>
      <c r="X105" s="62">
        <v>25880</v>
      </c>
      <c r="Y105" s="62">
        <v>366051</v>
      </c>
      <c r="Z105" s="62">
        <v>32627799.279999997</v>
      </c>
      <c r="AA105" s="62">
        <v>30223796</v>
      </c>
      <c r="AB105" s="62">
        <v>4846696</v>
      </c>
      <c r="AC105" s="10">
        <v>32919523.759999994</v>
      </c>
      <c r="AD105" s="10">
        <v>30639342</v>
      </c>
      <c r="AE105" s="10">
        <v>4988896</v>
      </c>
      <c r="AF105" s="10">
        <v>33718540.630000003</v>
      </c>
      <c r="AG105" s="10">
        <v>31562698</v>
      </c>
      <c r="AH105" s="10">
        <v>5077571</v>
      </c>
      <c r="AI105" s="10">
        <v>34334682.75</v>
      </c>
      <c r="AJ105" s="10">
        <v>30535810</v>
      </c>
      <c r="AK105" s="31">
        <v>5403420</v>
      </c>
      <c r="AL105" s="10">
        <v>35910247.149999999</v>
      </c>
      <c r="AM105" s="10">
        <v>30727509</v>
      </c>
      <c r="AN105" s="31">
        <v>5492795</v>
      </c>
      <c r="AO105" s="10">
        <v>35716152.020000003</v>
      </c>
      <c r="AP105" s="10">
        <v>29797870</v>
      </c>
      <c r="AQ105" s="31">
        <v>5918282</v>
      </c>
    </row>
    <row r="106" spans="1:43">
      <c r="A106" s="102">
        <v>97</v>
      </c>
      <c r="B106" s="7" t="s">
        <v>1803</v>
      </c>
      <c r="C106" s="103">
        <v>73.709999999999994</v>
      </c>
      <c r="D106" s="62">
        <v>48848791</v>
      </c>
      <c r="E106" s="37">
        <v>12405593</v>
      </c>
      <c r="F106" s="62">
        <v>36443198</v>
      </c>
      <c r="G106" s="62">
        <v>52232259.629999988</v>
      </c>
      <c r="H106" s="62">
        <v>13502431</v>
      </c>
      <c r="I106" s="62">
        <v>38857303</v>
      </c>
      <c r="J106" s="62">
        <v>53959279.694781937</v>
      </c>
      <c r="K106" s="62">
        <v>14179903</v>
      </c>
      <c r="L106" s="62">
        <v>40080379</v>
      </c>
      <c r="M106" s="62">
        <v>55478399.75</v>
      </c>
      <c r="N106" s="62">
        <v>14473238</v>
      </c>
      <c r="O106" s="62">
        <v>36822755</v>
      </c>
      <c r="P106" s="62">
        <v>4327540</v>
      </c>
      <c r="Q106" s="62">
        <v>55319139.938725367</v>
      </c>
      <c r="R106" s="62">
        <v>14039877</v>
      </c>
      <c r="S106" s="62">
        <v>40327289</v>
      </c>
      <c r="T106" s="62">
        <v>951974</v>
      </c>
      <c r="U106" s="62">
        <v>54357220.723620005</v>
      </c>
      <c r="V106" s="62">
        <v>14307424</v>
      </c>
      <c r="W106" s="62">
        <v>39281344</v>
      </c>
      <c r="X106" s="62">
        <v>210880</v>
      </c>
      <c r="Y106" s="62">
        <v>1921789</v>
      </c>
      <c r="Z106" s="62">
        <v>55048365.490000002</v>
      </c>
      <c r="AA106" s="62">
        <v>14570762</v>
      </c>
      <c r="AB106" s="62">
        <v>40477603</v>
      </c>
      <c r="AC106" s="10">
        <v>58628763.059999995</v>
      </c>
      <c r="AD106" s="10">
        <v>14936099</v>
      </c>
      <c r="AE106" s="10">
        <v>43692664</v>
      </c>
      <c r="AF106" s="10">
        <v>59765864.699999996</v>
      </c>
      <c r="AG106" s="10">
        <v>15456359</v>
      </c>
      <c r="AH106" s="10">
        <v>44309506</v>
      </c>
      <c r="AI106" s="10">
        <v>61364752.100000001</v>
      </c>
      <c r="AJ106" s="10">
        <v>15954871</v>
      </c>
      <c r="AK106" s="31">
        <v>45409881</v>
      </c>
      <c r="AL106" s="10">
        <v>62363310.040000007</v>
      </c>
      <c r="AM106" s="10">
        <v>16662973</v>
      </c>
      <c r="AN106" s="31">
        <v>45700337</v>
      </c>
      <c r="AO106" s="10">
        <v>64368039</v>
      </c>
      <c r="AP106" s="10">
        <v>16963311</v>
      </c>
      <c r="AQ106" s="31">
        <v>47404728</v>
      </c>
    </row>
    <row r="107" spans="1:43">
      <c r="A107" s="102">
        <v>98</v>
      </c>
      <c r="B107" s="7" t="s">
        <v>1804</v>
      </c>
      <c r="C107" s="103">
        <v>45.77</v>
      </c>
      <c r="D107" s="62">
        <v>741408</v>
      </c>
      <c r="E107" s="37">
        <v>396558</v>
      </c>
      <c r="F107" s="62">
        <v>420539.6</v>
      </c>
      <c r="G107" s="62">
        <v>831136.1</v>
      </c>
      <c r="H107" s="62">
        <v>382280</v>
      </c>
      <c r="I107" s="62">
        <v>473569</v>
      </c>
      <c r="J107" s="62">
        <v>875058.42915476626</v>
      </c>
      <c r="K107" s="62">
        <v>374728</v>
      </c>
      <c r="L107" s="62">
        <v>500454</v>
      </c>
      <c r="M107" s="62">
        <v>898069.22</v>
      </c>
      <c r="N107" s="62">
        <v>381234</v>
      </c>
      <c r="O107" s="62">
        <v>462482</v>
      </c>
      <c r="P107" s="62">
        <v>54353</v>
      </c>
      <c r="Q107" s="62">
        <v>938109.73427751218</v>
      </c>
      <c r="R107" s="62">
        <v>382731</v>
      </c>
      <c r="S107" s="62">
        <v>506498</v>
      </c>
      <c r="T107" s="62">
        <v>48881</v>
      </c>
      <c r="U107" s="62">
        <v>920526.84221999999</v>
      </c>
      <c r="V107" s="62">
        <v>383625</v>
      </c>
      <c r="W107" s="62">
        <v>526600</v>
      </c>
      <c r="X107" s="62">
        <v>2827</v>
      </c>
      <c r="Y107" s="62">
        <v>28377</v>
      </c>
      <c r="Z107" s="62">
        <v>784588.89</v>
      </c>
      <c r="AA107" s="62">
        <v>384062</v>
      </c>
      <c r="AB107" s="62">
        <v>529427</v>
      </c>
      <c r="AC107" s="10">
        <v>794115.07999999984</v>
      </c>
      <c r="AD107" s="10">
        <v>388914</v>
      </c>
      <c r="AE107" s="10">
        <v>532667</v>
      </c>
      <c r="AF107" s="10">
        <v>872998.09999999986</v>
      </c>
      <c r="AG107" s="10">
        <v>415121</v>
      </c>
      <c r="AH107" s="10">
        <v>534842</v>
      </c>
      <c r="AI107" s="10">
        <v>924504.84</v>
      </c>
      <c r="AJ107" s="10">
        <v>460528</v>
      </c>
      <c r="AK107" s="31">
        <v>537067</v>
      </c>
      <c r="AL107" s="10">
        <v>872994.29</v>
      </c>
      <c r="AM107" s="10">
        <v>469626</v>
      </c>
      <c r="AN107" s="31">
        <v>539192</v>
      </c>
      <c r="AO107" s="10">
        <v>894111.96999999986</v>
      </c>
      <c r="AP107" s="10">
        <v>487635</v>
      </c>
      <c r="AQ107" s="31">
        <v>544087</v>
      </c>
    </row>
    <row r="108" spans="1:43">
      <c r="A108" s="102">
        <v>99</v>
      </c>
      <c r="B108" s="7" t="s">
        <v>1805</v>
      </c>
      <c r="C108" s="103">
        <v>19.59</v>
      </c>
      <c r="D108" s="62">
        <v>21688050</v>
      </c>
      <c r="E108" s="37">
        <v>15487944</v>
      </c>
      <c r="F108" s="62">
        <v>6200106</v>
      </c>
      <c r="G108" s="62">
        <v>23679618.058180004</v>
      </c>
      <c r="H108" s="62">
        <v>16211628</v>
      </c>
      <c r="I108" s="62">
        <v>7467990</v>
      </c>
      <c r="J108" s="62">
        <v>24391941.818536025</v>
      </c>
      <c r="K108" s="62">
        <v>16728189</v>
      </c>
      <c r="L108" s="62">
        <v>7700920</v>
      </c>
      <c r="M108" s="62">
        <v>25837985.804400004</v>
      </c>
      <c r="N108" s="62">
        <v>17375190</v>
      </c>
      <c r="O108" s="62">
        <v>7572812</v>
      </c>
      <c r="P108" s="62">
        <v>889984</v>
      </c>
      <c r="Q108" s="62">
        <v>26373440.684976753</v>
      </c>
      <c r="R108" s="62">
        <v>17554085</v>
      </c>
      <c r="S108" s="62">
        <v>8293540</v>
      </c>
      <c r="T108" s="62">
        <v>525816</v>
      </c>
      <c r="U108" s="62">
        <v>25261529.643114474</v>
      </c>
      <c r="V108" s="62">
        <v>17725290</v>
      </c>
      <c r="W108" s="62">
        <v>8304130</v>
      </c>
      <c r="X108" s="62">
        <v>44580</v>
      </c>
      <c r="Y108" s="62">
        <v>543071</v>
      </c>
      <c r="Z108" s="62">
        <v>25263537.016260002</v>
      </c>
      <c r="AA108" s="62">
        <v>18503444</v>
      </c>
      <c r="AB108" s="62">
        <v>8348710</v>
      </c>
      <c r="AC108" s="10">
        <v>25735907.438639998</v>
      </c>
      <c r="AD108" s="10">
        <v>19355356</v>
      </c>
      <c r="AE108" s="10">
        <v>8460190</v>
      </c>
      <c r="AF108" s="10">
        <v>26223593.931839999</v>
      </c>
      <c r="AG108" s="10">
        <v>20174842</v>
      </c>
      <c r="AH108" s="10">
        <v>8529165</v>
      </c>
      <c r="AI108" s="10">
        <v>26242664.986009996</v>
      </c>
      <c r="AJ108" s="10">
        <v>20657534</v>
      </c>
      <c r="AK108" s="31">
        <v>8597390</v>
      </c>
      <c r="AL108" s="10">
        <v>26484573.869379997</v>
      </c>
      <c r="AM108" s="10">
        <v>21281099</v>
      </c>
      <c r="AN108" s="31">
        <v>8664640</v>
      </c>
      <c r="AO108" s="10">
        <v>26222277.008499999</v>
      </c>
      <c r="AP108" s="10">
        <v>21252070</v>
      </c>
      <c r="AQ108" s="31">
        <v>8810280</v>
      </c>
    </row>
    <row r="109" spans="1:43">
      <c r="A109" s="102">
        <v>100</v>
      </c>
      <c r="B109" s="7" t="s">
        <v>1806</v>
      </c>
      <c r="C109" s="103">
        <v>42.7</v>
      </c>
      <c r="D109" s="62">
        <v>63860283</v>
      </c>
      <c r="E109" s="37">
        <v>61259855</v>
      </c>
      <c r="F109" s="62">
        <v>8530320.4000000004</v>
      </c>
      <c r="G109" s="62">
        <v>69363562.731240004</v>
      </c>
      <c r="H109" s="62">
        <v>61627654</v>
      </c>
      <c r="I109" s="62">
        <v>10628154.4</v>
      </c>
      <c r="J109" s="62">
        <v>71074303.101445913</v>
      </c>
      <c r="K109" s="62">
        <v>60232844</v>
      </c>
      <c r="L109" s="62">
        <v>13996312.4</v>
      </c>
      <c r="M109" s="62">
        <v>75064337.095980003</v>
      </c>
      <c r="N109" s="62">
        <v>59230314</v>
      </c>
      <c r="O109" s="62">
        <v>15333796.399999999</v>
      </c>
      <c r="P109" s="62">
        <v>1802082</v>
      </c>
      <c r="Q109" s="62">
        <v>78471847.638417289</v>
      </c>
      <c r="R109" s="62">
        <v>59169653</v>
      </c>
      <c r="S109" s="62">
        <v>16793161</v>
      </c>
      <c r="T109" s="62">
        <v>2509034</v>
      </c>
      <c r="U109" s="62">
        <v>77781484.489536598</v>
      </c>
      <c r="V109" s="62">
        <v>57763279</v>
      </c>
      <c r="W109" s="62">
        <v>19634107</v>
      </c>
      <c r="X109" s="62">
        <v>105405</v>
      </c>
      <c r="Y109" s="62">
        <v>278693</v>
      </c>
      <c r="Z109" s="62">
        <v>79535372.041889995</v>
      </c>
      <c r="AA109" s="62">
        <v>57510511</v>
      </c>
      <c r="AB109" s="62">
        <v>22024861</v>
      </c>
      <c r="AC109" s="10">
        <v>84912568.179920003</v>
      </c>
      <c r="AD109" s="10">
        <v>58401638</v>
      </c>
      <c r="AE109" s="10">
        <v>28083628.771975774</v>
      </c>
      <c r="AF109" s="10">
        <v>89880263.175519973</v>
      </c>
      <c r="AG109" s="10">
        <v>59388693</v>
      </c>
      <c r="AH109" s="10">
        <v>31805022.666226074</v>
      </c>
      <c r="AI109" s="10">
        <v>91598610.68881999</v>
      </c>
      <c r="AJ109" s="10">
        <v>58137448</v>
      </c>
      <c r="AK109" s="31">
        <v>33596454.666226074</v>
      </c>
      <c r="AL109" s="10">
        <v>95619668.628199995</v>
      </c>
      <c r="AM109" s="10">
        <v>57889811</v>
      </c>
      <c r="AN109" s="149">
        <f>37729858+1000000</f>
        <v>38729858</v>
      </c>
      <c r="AO109" s="10">
        <v>97409677.469920009</v>
      </c>
      <c r="AP109" s="10">
        <v>56417775</v>
      </c>
      <c r="AQ109" s="31">
        <v>42091391</v>
      </c>
    </row>
    <row r="110" spans="1:43">
      <c r="A110" s="102">
        <v>101</v>
      </c>
      <c r="B110" s="7" t="s">
        <v>1807</v>
      </c>
      <c r="C110" s="103">
        <v>37.39</v>
      </c>
      <c r="D110" s="62">
        <v>44517161</v>
      </c>
      <c r="E110" s="37">
        <v>21157822</v>
      </c>
      <c r="F110" s="62">
        <v>23359339</v>
      </c>
      <c r="G110" s="62">
        <v>48378503.32774999</v>
      </c>
      <c r="H110" s="62">
        <v>22883906</v>
      </c>
      <c r="I110" s="62">
        <v>25494597</v>
      </c>
      <c r="J110" s="62">
        <v>50651137.614666902</v>
      </c>
      <c r="K110" s="62">
        <v>24244322</v>
      </c>
      <c r="L110" s="62">
        <v>26478420</v>
      </c>
      <c r="M110" s="62">
        <v>54191343.764519997</v>
      </c>
      <c r="N110" s="62">
        <v>25464638</v>
      </c>
      <c r="O110" s="62">
        <v>25705683</v>
      </c>
      <c r="P110" s="62">
        <v>3021023</v>
      </c>
      <c r="Q110" s="62">
        <v>56699650.475846313</v>
      </c>
      <c r="R110" s="62">
        <v>28327955</v>
      </c>
      <c r="S110" s="62">
        <v>28152172</v>
      </c>
      <c r="T110" s="62">
        <v>219523</v>
      </c>
      <c r="U110" s="62">
        <v>54564219.318353519</v>
      </c>
      <c r="V110" s="62">
        <v>28507883</v>
      </c>
      <c r="W110" s="62">
        <v>26714222</v>
      </c>
      <c r="X110" s="62">
        <v>143414</v>
      </c>
      <c r="Y110" s="62">
        <v>1674609</v>
      </c>
      <c r="Z110" s="62">
        <v>55195445.872189999</v>
      </c>
      <c r="AA110" s="62">
        <v>29273443</v>
      </c>
      <c r="AB110" s="62">
        <v>26857636</v>
      </c>
      <c r="AC110" s="10">
        <v>57091389.563199997</v>
      </c>
      <c r="AD110" s="10">
        <v>30265045</v>
      </c>
      <c r="AE110" s="10">
        <v>27111396</v>
      </c>
      <c r="AF110" s="10">
        <v>57706781.893489994</v>
      </c>
      <c r="AG110" s="10">
        <v>31221709</v>
      </c>
      <c r="AH110" s="10">
        <v>27268946</v>
      </c>
      <c r="AI110" s="10">
        <v>57559562.145959996</v>
      </c>
      <c r="AJ110" s="10">
        <v>32626068</v>
      </c>
      <c r="AK110" s="31">
        <v>27423796</v>
      </c>
      <c r="AL110" s="10">
        <v>57388919.031509995</v>
      </c>
      <c r="AM110" s="10">
        <v>34322367</v>
      </c>
      <c r="AN110" s="31">
        <v>27575946</v>
      </c>
      <c r="AO110" s="10">
        <v>56727033.490920007</v>
      </c>
      <c r="AP110" s="10">
        <v>35443923</v>
      </c>
      <c r="AQ110" s="31">
        <v>27903911</v>
      </c>
    </row>
    <row r="111" spans="1:43">
      <c r="A111" s="102">
        <v>102</v>
      </c>
      <c r="B111" s="7" t="s">
        <v>1808</v>
      </c>
      <c r="C111" s="103">
        <v>34.78</v>
      </c>
      <c r="D111" s="62">
        <v>4190819</v>
      </c>
      <c r="E111" s="37">
        <v>3370570</v>
      </c>
      <c r="F111" s="62">
        <v>920190</v>
      </c>
      <c r="G111" s="62">
        <v>4507080.37</v>
      </c>
      <c r="H111" s="62">
        <v>3270816</v>
      </c>
      <c r="I111" s="62">
        <v>1236264</v>
      </c>
      <c r="J111" s="62">
        <v>4667891.46</v>
      </c>
      <c r="K111" s="62">
        <v>3208836</v>
      </c>
      <c r="L111" s="62">
        <v>1459055</v>
      </c>
      <c r="M111" s="62">
        <v>4729864.9000000004</v>
      </c>
      <c r="N111" s="62">
        <v>3182970</v>
      </c>
      <c r="O111" s="62">
        <v>1384217</v>
      </c>
      <c r="P111" s="62">
        <v>162678</v>
      </c>
      <c r="Q111" s="62">
        <v>4714528.3669741629</v>
      </c>
      <c r="R111" s="62">
        <v>3198884</v>
      </c>
      <c r="S111" s="62">
        <v>1515957</v>
      </c>
      <c r="T111" s="62">
        <v>0</v>
      </c>
      <c r="U111" s="62">
        <v>1175619</v>
      </c>
      <c r="V111" s="62">
        <v>817563.31469409086</v>
      </c>
      <c r="W111" s="62">
        <v>351185</v>
      </c>
      <c r="X111" s="62">
        <v>1885</v>
      </c>
      <c r="Y111" s="62">
        <v>11299</v>
      </c>
      <c r="Z111" s="62">
        <v>1172043.8400000001</v>
      </c>
      <c r="AA111" s="62">
        <v>834757</v>
      </c>
      <c r="AB111" s="62">
        <v>353070</v>
      </c>
      <c r="AC111" s="10">
        <v>1240218.98</v>
      </c>
      <c r="AD111" s="10">
        <v>861891</v>
      </c>
      <c r="AE111" s="10">
        <v>378328</v>
      </c>
      <c r="AF111" s="10">
        <v>1272336.7400000002</v>
      </c>
      <c r="AG111" s="10">
        <v>903996</v>
      </c>
      <c r="AH111" s="10">
        <v>378328</v>
      </c>
      <c r="AI111" s="10">
        <v>1283278.0999999999</v>
      </c>
      <c r="AJ111" s="10">
        <v>908860</v>
      </c>
      <c r="AK111" s="31">
        <v>388787</v>
      </c>
      <c r="AL111" s="10">
        <v>1342125.9200000004</v>
      </c>
      <c r="AM111" s="10">
        <v>945781</v>
      </c>
      <c r="AN111" s="31">
        <v>396345</v>
      </c>
      <c r="AO111" s="10">
        <v>1326002.28</v>
      </c>
      <c r="AP111" s="10">
        <v>873318</v>
      </c>
      <c r="AQ111" s="31">
        <v>452684</v>
      </c>
    </row>
    <row r="112" spans="1:43">
      <c r="A112" s="102">
        <v>103</v>
      </c>
      <c r="B112" s="7" t="s">
        <v>1809</v>
      </c>
      <c r="C112" s="103">
        <v>66.08</v>
      </c>
      <c r="D112" s="62">
        <v>23488604</v>
      </c>
      <c r="E112" s="37">
        <v>5365218</v>
      </c>
      <c r="F112" s="62">
        <v>18123386</v>
      </c>
      <c r="G112" s="62">
        <v>24280379.689999998</v>
      </c>
      <c r="H112" s="62">
        <v>5820028</v>
      </c>
      <c r="I112" s="62">
        <v>18638594</v>
      </c>
      <c r="J112" s="62">
        <v>24266064.215644144</v>
      </c>
      <c r="K112" s="62">
        <v>6154419</v>
      </c>
      <c r="L112" s="62">
        <v>18778744</v>
      </c>
      <c r="M112" s="62">
        <v>24824626.379999999</v>
      </c>
      <c r="N112" s="62">
        <v>6443188</v>
      </c>
      <c r="O112" s="62">
        <v>17123527</v>
      </c>
      <c r="P112" s="62">
        <v>2012418</v>
      </c>
      <c r="Q112" s="62">
        <v>25171808.228991386</v>
      </c>
      <c r="R112" s="62">
        <v>6290979</v>
      </c>
      <c r="S112" s="62">
        <v>18753226</v>
      </c>
      <c r="T112" s="62">
        <v>127603</v>
      </c>
      <c r="U112" s="62">
        <v>24334327.323839996</v>
      </c>
      <c r="V112" s="62">
        <v>6408008</v>
      </c>
      <c r="W112" s="62">
        <v>17777812</v>
      </c>
      <c r="X112" s="62">
        <v>95439</v>
      </c>
      <c r="Y112" s="62">
        <v>1071628</v>
      </c>
      <c r="Z112" s="62">
        <v>24492666.370000005</v>
      </c>
      <c r="AA112" s="62">
        <v>6454822</v>
      </c>
      <c r="AB112" s="62">
        <v>18037844</v>
      </c>
      <c r="AC112" s="10">
        <v>25131322.549999997</v>
      </c>
      <c r="AD112" s="10">
        <v>6708647</v>
      </c>
      <c r="AE112" s="10">
        <v>18422676</v>
      </c>
      <c r="AF112" s="10">
        <v>26124799.240000002</v>
      </c>
      <c r="AG112" s="10">
        <v>7163394</v>
      </c>
      <c r="AH112" s="10">
        <v>18961405</v>
      </c>
      <c r="AI112" s="10">
        <v>26236297.479999997</v>
      </c>
      <c r="AJ112" s="10">
        <v>7521101</v>
      </c>
      <c r="AK112" s="31">
        <v>19023155</v>
      </c>
      <c r="AL112" s="10">
        <v>27133681.380000003</v>
      </c>
      <c r="AM112" s="10">
        <v>8111579</v>
      </c>
      <c r="AN112" s="31">
        <v>19085780</v>
      </c>
      <c r="AO112" s="10">
        <v>27651776.550000001</v>
      </c>
      <c r="AP112" s="10">
        <v>8469172</v>
      </c>
      <c r="AQ112" s="31">
        <v>19225095</v>
      </c>
    </row>
    <row r="113" spans="1:43">
      <c r="A113" s="102">
        <v>104</v>
      </c>
      <c r="B113" s="7" t="s">
        <v>1370</v>
      </c>
      <c r="C113" s="103">
        <v>17.5</v>
      </c>
      <c r="D113" s="62">
        <v>0</v>
      </c>
      <c r="E113" s="37">
        <v>0</v>
      </c>
      <c r="F113" s="62">
        <v>0</v>
      </c>
      <c r="G113" s="62">
        <v>0</v>
      </c>
      <c r="H113" s="62">
        <v>0</v>
      </c>
      <c r="I113" s="62">
        <v>0</v>
      </c>
      <c r="J113" s="62">
        <v>0</v>
      </c>
      <c r="K113" s="62">
        <v>0</v>
      </c>
      <c r="L113" s="62">
        <v>0</v>
      </c>
      <c r="M113" s="62">
        <v>0</v>
      </c>
      <c r="N113" s="62">
        <v>0</v>
      </c>
      <c r="O113" s="62">
        <v>0</v>
      </c>
      <c r="P113" s="62">
        <v>0</v>
      </c>
      <c r="Q113" s="62">
        <v>0</v>
      </c>
      <c r="R113" s="62">
        <v>0</v>
      </c>
      <c r="S113" s="62">
        <v>0</v>
      </c>
      <c r="T113" s="62">
        <v>0</v>
      </c>
      <c r="U113" s="62">
        <v>0</v>
      </c>
      <c r="V113" s="62">
        <v>0</v>
      </c>
      <c r="W113" s="62">
        <v>0</v>
      </c>
      <c r="X113" s="62">
        <v>0</v>
      </c>
      <c r="Y113" s="62">
        <v>0</v>
      </c>
      <c r="Z113" s="62">
        <v>0</v>
      </c>
      <c r="AA113" s="62">
        <v>0</v>
      </c>
      <c r="AB113" s="62">
        <v>0</v>
      </c>
      <c r="AC113" s="10">
        <v>0</v>
      </c>
      <c r="AD113" s="10">
        <v>0</v>
      </c>
      <c r="AE113" s="10">
        <v>0</v>
      </c>
      <c r="AF113" s="10">
        <v>0</v>
      </c>
      <c r="AG113" s="10">
        <v>0</v>
      </c>
      <c r="AH113" s="10">
        <v>0</v>
      </c>
      <c r="AI113" s="10">
        <v>0</v>
      </c>
      <c r="AJ113" s="10">
        <v>0</v>
      </c>
      <c r="AK113" s="31">
        <v>0</v>
      </c>
      <c r="AL113" s="10">
        <v>0</v>
      </c>
      <c r="AM113" s="10">
        <v>0</v>
      </c>
      <c r="AN113" s="31">
        <v>0</v>
      </c>
      <c r="AO113" s="10">
        <v>0</v>
      </c>
      <c r="AP113" s="10">
        <v>0</v>
      </c>
      <c r="AQ113" s="31">
        <v>0</v>
      </c>
    </row>
    <row r="114" spans="1:43">
      <c r="A114" s="102">
        <v>105</v>
      </c>
      <c r="B114" s="7" t="s">
        <v>1810</v>
      </c>
      <c r="C114" s="103">
        <v>26.25</v>
      </c>
      <c r="D114" s="62">
        <v>9890177</v>
      </c>
      <c r="E114" s="37">
        <v>6461877</v>
      </c>
      <c r="F114" s="62">
        <v>3428300</v>
      </c>
      <c r="G114" s="62">
        <v>11110810.230000002</v>
      </c>
      <c r="H114" s="62">
        <v>7042873</v>
      </c>
      <c r="I114" s="62">
        <v>4067937</v>
      </c>
      <c r="J114" s="62">
        <v>11765704.999744495</v>
      </c>
      <c r="K114" s="62">
        <v>7509511</v>
      </c>
      <c r="L114" s="62">
        <v>4294072</v>
      </c>
      <c r="M114" s="62">
        <v>12224355.249999996</v>
      </c>
      <c r="N114" s="62">
        <v>7808142</v>
      </c>
      <c r="O114" s="62">
        <v>3977475</v>
      </c>
      <c r="P114" s="62">
        <v>467447</v>
      </c>
      <c r="Q114" s="62">
        <v>13336299.693443066</v>
      </c>
      <c r="R114" s="62">
        <v>7954056</v>
      </c>
      <c r="S114" s="62">
        <v>4356024</v>
      </c>
      <c r="T114" s="62">
        <v>1026220</v>
      </c>
      <c r="U114" s="62">
        <v>12957759.106319999</v>
      </c>
      <c r="V114" s="62">
        <v>8151601</v>
      </c>
      <c r="W114" s="62">
        <v>5067813</v>
      </c>
      <c r="X114" s="62">
        <v>27206</v>
      </c>
      <c r="Y114" s="62">
        <v>326500</v>
      </c>
      <c r="Z114" s="62">
        <v>13112600.769999998</v>
      </c>
      <c r="AA114" s="62">
        <v>8111641</v>
      </c>
      <c r="AB114" s="62">
        <v>5095019</v>
      </c>
      <c r="AC114" s="10">
        <v>13510524.82</v>
      </c>
      <c r="AD114" s="10">
        <v>8329567</v>
      </c>
      <c r="AE114" s="10">
        <v>5180958</v>
      </c>
      <c r="AF114" s="10">
        <v>13168838.209999999</v>
      </c>
      <c r="AG114" s="10">
        <v>8562303</v>
      </c>
      <c r="AH114" s="17">
        <f>5218183+42110</f>
        <v>5260293</v>
      </c>
      <c r="AI114" s="10">
        <v>13311710.359999999</v>
      </c>
      <c r="AJ114" s="10">
        <v>8894215</v>
      </c>
      <c r="AK114" s="31">
        <v>5297543</v>
      </c>
      <c r="AL114" s="10">
        <v>12726852.809999999</v>
      </c>
      <c r="AM114" s="10">
        <v>9153957</v>
      </c>
      <c r="AN114" s="31">
        <v>5332268</v>
      </c>
      <c r="AO114" s="10">
        <v>12709129.820000002</v>
      </c>
      <c r="AP114" s="10">
        <v>9404745</v>
      </c>
      <c r="AQ114" s="31">
        <v>5407948</v>
      </c>
    </row>
    <row r="115" spans="1:43">
      <c r="A115" s="102">
        <v>106</v>
      </c>
      <c r="B115" s="7" t="s">
        <v>1811</v>
      </c>
      <c r="C115" s="103">
        <v>42.96</v>
      </c>
      <c r="D115" s="62">
        <v>0</v>
      </c>
      <c r="E115" s="37">
        <v>0</v>
      </c>
      <c r="F115" s="62">
        <v>0</v>
      </c>
      <c r="G115" s="62">
        <v>0</v>
      </c>
      <c r="H115" s="62">
        <v>0</v>
      </c>
      <c r="I115" s="62">
        <v>0</v>
      </c>
      <c r="J115" s="62">
        <v>0</v>
      </c>
      <c r="K115" s="62">
        <v>0</v>
      </c>
      <c r="L115" s="62">
        <v>0</v>
      </c>
      <c r="M115" s="62">
        <v>0</v>
      </c>
      <c r="N115" s="62">
        <v>0</v>
      </c>
      <c r="O115" s="62">
        <v>0</v>
      </c>
      <c r="P115" s="62">
        <v>0</v>
      </c>
      <c r="Q115" s="62">
        <v>0</v>
      </c>
      <c r="R115" s="62">
        <v>0</v>
      </c>
      <c r="S115" s="62">
        <v>0</v>
      </c>
      <c r="T115" s="62">
        <v>0</v>
      </c>
      <c r="U115" s="62">
        <v>0</v>
      </c>
      <c r="V115" s="62">
        <v>0</v>
      </c>
      <c r="W115" s="62">
        <v>0</v>
      </c>
      <c r="X115" s="62">
        <v>0</v>
      </c>
      <c r="Y115" s="62">
        <v>0</v>
      </c>
      <c r="Z115" s="62">
        <v>0</v>
      </c>
      <c r="AA115" s="62">
        <v>0</v>
      </c>
      <c r="AB115" s="62">
        <v>0</v>
      </c>
      <c r="AC115" s="10">
        <v>0</v>
      </c>
      <c r="AD115" s="10">
        <v>0</v>
      </c>
      <c r="AE115" s="10">
        <v>0</v>
      </c>
      <c r="AF115" s="10">
        <v>0</v>
      </c>
      <c r="AG115" s="10">
        <v>0</v>
      </c>
      <c r="AH115" s="10">
        <v>0</v>
      </c>
      <c r="AI115" s="10">
        <v>0</v>
      </c>
      <c r="AJ115" s="10">
        <v>0</v>
      </c>
      <c r="AK115" s="31">
        <v>0</v>
      </c>
      <c r="AL115" s="10">
        <v>0</v>
      </c>
      <c r="AM115" s="10">
        <v>0</v>
      </c>
      <c r="AN115" s="31">
        <v>0</v>
      </c>
      <c r="AO115" s="10">
        <v>0</v>
      </c>
      <c r="AP115" s="10">
        <v>0</v>
      </c>
      <c r="AQ115" s="31">
        <v>0</v>
      </c>
    </row>
    <row r="116" spans="1:43">
      <c r="A116" s="102">
        <v>107</v>
      </c>
      <c r="B116" s="7" t="s">
        <v>1812</v>
      </c>
      <c r="C116" s="103">
        <v>17.5</v>
      </c>
      <c r="D116" s="62">
        <v>31232007</v>
      </c>
      <c r="E116" s="37">
        <v>26625347</v>
      </c>
      <c r="F116" s="62">
        <v>5446301.5999999996</v>
      </c>
      <c r="G116" s="62">
        <v>32559971.797839999</v>
      </c>
      <c r="H116" s="62">
        <v>27559732</v>
      </c>
      <c r="I116" s="62">
        <v>5678695.5999999996</v>
      </c>
      <c r="J116" s="62">
        <v>34505025.028608091</v>
      </c>
      <c r="K116" s="62">
        <v>28613858</v>
      </c>
      <c r="L116" s="62">
        <v>6019080</v>
      </c>
      <c r="M116" s="62">
        <v>34138942.174929991</v>
      </c>
      <c r="N116" s="62">
        <v>29038790</v>
      </c>
      <c r="O116" s="62">
        <v>5551677</v>
      </c>
      <c r="P116" s="62">
        <v>652453</v>
      </c>
      <c r="Q116" s="62">
        <v>34553577.53120216</v>
      </c>
      <c r="R116" s="62">
        <v>28958748</v>
      </c>
      <c r="S116" s="62">
        <v>6080047</v>
      </c>
      <c r="T116" s="62">
        <v>0</v>
      </c>
      <c r="U116" s="62">
        <v>33723505.701047271</v>
      </c>
      <c r="V116" s="62">
        <v>29373670</v>
      </c>
      <c r="W116" s="62">
        <v>5724851</v>
      </c>
      <c r="X116" s="62">
        <v>30734</v>
      </c>
      <c r="Y116" s="62">
        <v>413662</v>
      </c>
      <c r="Z116" s="62">
        <v>33676197.520679988</v>
      </c>
      <c r="AA116" s="62">
        <v>29773120</v>
      </c>
      <c r="AB116" s="62">
        <v>5755585</v>
      </c>
      <c r="AC116" s="10">
        <v>35226845.308150001</v>
      </c>
      <c r="AD116" s="10">
        <v>30509144</v>
      </c>
      <c r="AE116" s="10">
        <v>5893705</v>
      </c>
      <c r="AF116" s="10">
        <v>35681068.365740001</v>
      </c>
      <c r="AG116" s="10">
        <v>31184657</v>
      </c>
      <c r="AH116" s="17">
        <f>5981325.49100113+92942</f>
        <v>6074267.4910011301</v>
      </c>
      <c r="AI116" s="10">
        <v>35333205.213599995</v>
      </c>
      <c r="AJ116" s="10">
        <v>30916076</v>
      </c>
      <c r="AK116" s="31">
        <v>6157967.4910011301</v>
      </c>
      <c r="AL116" s="10">
        <v>34881817.403679989</v>
      </c>
      <c r="AM116" s="10">
        <v>30325627</v>
      </c>
      <c r="AN116" s="31">
        <v>6238892.4910011301</v>
      </c>
      <c r="AO116" s="10">
        <v>34761401.33839</v>
      </c>
      <c r="AP116" s="10">
        <v>29058004</v>
      </c>
      <c r="AQ116" s="31">
        <v>6413737.4910011301</v>
      </c>
    </row>
    <row r="117" spans="1:43">
      <c r="A117" s="102">
        <v>108</v>
      </c>
      <c r="B117" s="7" t="s">
        <v>1813</v>
      </c>
      <c r="C117" s="103">
        <v>35.6</v>
      </c>
      <c r="D117" s="62">
        <v>127431</v>
      </c>
      <c r="E117" s="37">
        <v>75115</v>
      </c>
      <c r="F117" s="62">
        <v>71846.8</v>
      </c>
      <c r="G117" s="62">
        <v>97646.94</v>
      </c>
      <c r="H117" s="62">
        <v>63992</v>
      </c>
      <c r="I117" s="62">
        <v>72296.800000000003</v>
      </c>
      <c r="J117" s="62">
        <v>113552.7</v>
      </c>
      <c r="K117" s="62">
        <v>67109</v>
      </c>
      <c r="L117" s="62">
        <v>80208.800000000003</v>
      </c>
      <c r="M117" s="62">
        <v>154299.47</v>
      </c>
      <c r="N117" s="62">
        <v>77762</v>
      </c>
      <c r="O117" s="62">
        <v>102158.8</v>
      </c>
      <c r="P117" s="62">
        <v>0</v>
      </c>
      <c r="Q117" s="62">
        <v>158990.21712535885</v>
      </c>
      <c r="R117" s="62">
        <v>82506</v>
      </c>
      <c r="S117" s="62">
        <v>100116</v>
      </c>
      <c r="T117" s="62">
        <v>0</v>
      </c>
      <c r="U117" s="62">
        <v>167528.0748</v>
      </c>
      <c r="V117" s="62">
        <v>89091</v>
      </c>
      <c r="W117" s="62">
        <v>96111</v>
      </c>
      <c r="X117" s="62">
        <v>0</v>
      </c>
      <c r="Y117" s="62">
        <v>0</v>
      </c>
      <c r="Z117" s="62">
        <v>110250.63</v>
      </c>
      <c r="AA117" s="62">
        <v>62127</v>
      </c>
      <c r="AB117" s="62">
        <v>96111</v>
      </c>
      <c r="AC117" s="10">
        <v>189431.25</v>
      </c>
      <c r="AD117" s="10">
        <v>104098</v>
      </c>
      <c r="AE117" s="10">
        <v>96111</v>
      </c>
      <c r="AF117" s="10">
        <v>192367.49000000002</v>
      </c>
      <c r="AG117" s="10">
        <v>104174</v>
      </c>
      <c r="AH117" s="10">
        <v>96111</v>
      </c>
      <c r="AI117" s="10">
        <v>168011.94999999998</v>
      </c>
      <c r="AJ117" s="10">
        <v>107732</v>
      </c>
      <c r="AK117" s="31">
        <v>96111</v>
      </c>
      <c r="AL117" s="10">
        <v>105599.68000000001</v>
      </c>
      <c r="AM117" s="10">
        <v>71097</v>
      </c>
      <c r="AN117" s="31">
        <v>96111</v>
      </c>
      <c r="AO117" s="10">
        <v>105367.36000000002</v>
      </c>
      <c r="AP117" s="10">
        <v>68309</v>
      </c>
      <c r="AQ117" s="31">
        <v>96111</v>
      </c>
    </row>
    <row r="118" spans="1:43">
      <c r="A118" s="102">
        <v>109</v>
      </c>
      <c r="B118" s="7" t="s">
        <v>1814</v>
      </c>
      <c r="C118" s="103">
        <v>17.5</v>
      </c>
      <c r="D118" s="62">
        <v>41274</v>
      </c>
      <c r="E118" s="37">
        <v>33796</v>
      </c>
      <c r="F118" s="62">
        <v>8396.4</v>
      </c>
      <c r="G118" s="62">
        <v>51911.4</v>
      </c>
      <c r="H118" s="62">
        <v>35263</v>
      </c>
      <c r="I118" s="62">
        <v>16648</v>
      </c>
      <c r="J118" s="62">
        <v>54330.509943651086</v>
      </c>
      <c r="K118" s="62">
        <v>37234</v>
      </c>
      <c r="L118" s="62">
        <v>17097</v>
      </c>
      <c r="M118" s="62">
        <v>50519.31</v>
      </c>
      <c r="N118" s="62">
        <v>38690</v>
      </c>
      <c r="O118" s="62">
        <v>17447</v>
      </c>
      <c r="P118" s="62">
        <v>0</v>
      </c>
      <c r="Q118" s="62">
        <v>38313.742821052641</v>
      </c>
      <c r="R118" s="62">
        <v>38151</v>
      </c>
      <c r="S118" s="62">
        <v>17098</v>
      </c>
      <c r="T118" s="62">
        <v>0</v>
      </c>
      <c r="U118" s="62">
        <v>28361.246939999997</v>
      </c>
      <c r="V118" s="62">
        <v>34636</v>
      </c>
      <c r="W118" s="62">
        <v>16414</v>
      </c>
      <c r="X118" s="62">
        <v>0</v>
      </c>
      <c r="Y118" s="62">
        <v>0</v>
      </c>
      <c r="Z118" s="62">
        <v>39039.35</v>
      </c>
      <c r="AA118" s="62">
        <v>35217</v>
      </c>
      <c r="AB118" s="62">
        <v>16414</v>
      </c>
      <c r="AC118" s="10">
        <v>35111.69</v>
      </c>
      <c r="AD118" s="10">
        <v>34852</v>
      </c>
      <c r="AE118" s="10">
        <v>16414</v>
      </c>
      <c r="AF118" s="10">
        <v>31217.899999999998</v>
      </c>
      <c r="AG118" s="10">
        <v>31218</v>
      </c>
      <c r="AH118" s="10">
        <v>16414</v>
      </c>
      <c r="AI118" s="10">
        <v>22957.61</v>
      </c>
      <c r="AJ118" s="10">
        <v>20662</v>
      </c>
      <c r="AK118" s="31">
        <v>16414</v>
      </c>
      <c r="AL118" s="10">
        <v>31484.75</v>
      </c>
      <c r="AM118" s="10">
        <v>22007</v>
      </c>
      <c r="AN118" s="31">
        <v>16414</v>
      </c>
      <c r="AO118" s="10">
        <v>21496.61</v>
      </c>
      <c r="AP118" s="10">
        <v>18430</v>
      </c>
      <c r="AQ118" s="31">
        <v>16414</v>
      </c>
    </row>
    <row r="119" spans="1:43">
      <c r="A119" s="102">
        <v>110</v>
      </c>
      <c r="B119" s="7" t="s">
        <v>1815</v>
      </c>
      <c r="C119" s="103">
        <v>34.619999999999997</v>
      </c>
      <c r="D119" s="62">
        <v>17156243</v>
      </c>
      <c r="E119" s="37">
        <v>11239997</v>
      </c>
      <c r="F119" s="62">
        <v>5916246</v>
      </c>
      <c r="G119" s="62">
        <v>18952992.459999997</v>
      </c>
      <c r="H119" s="62">
        <v>12369492</v>
      </c>
      <c r="I119" s="62">
        <v>6583500</v>
      </c>
      <c r="J119" s="62">
        <v>21091974.376996525</v>
      </c>
      <c r="K119" s="62">
        <v>13330299</v>
      </c>
      <c r="L119" s="62">
        <v>7761675</v>
      </c>
      <c r="M119" s="62">
        <v>22437094.370000001</v>
      </c>
      <c r="N119" s="62">
        <v>14299322</v>
      </c>
      <c r="O119" s="62">
        <v>7320485</v>
      </c>
      <c r="P119" s="62">
        <v>860329</v>
      </c>
      <c r="Q119" s="62">
        <v>23677504.63712154</v>
      </c>
      <c r="R119" s="62">
        <v>14635325</v>
      </c>
      <c r="S119" s="62">
        <v>8017198</v>
      </c>
      <c r="T119" s="62">
        <v>1024982</v>
      </c>
      <c r="U119" s="62">
        <v>23187153.685799997</v>
      </c>
      <c r="V119" s="62">
        <v>15109681</v>
      </c>
      <c r="W119" s="62">
        <v>8513937</v>
      </c>
      <c r="X119" s="62">
        <v>45707</v>
      </c>
      <c r="Y119" s="62">
        <v>552411</v>
      </c>
      <c r="Z119" s="62">
        <v>23744711.860000003</v>
      </c>
      <c r="AA119" s="62">
        <v>15535022</v>
      </c>
      <c r="AB119" s="62">
        <v>8559644</v>
      </c>
      <c r="AC119" s="10">
        <v>25114629.089999996</v>
      </c>
      <c r="AD119" s="10">
        <v>16118863</v>
      </c>
      <c r="AE119" s="10">
        <v>8995766</v>
      </c>
      <c r="AF119" s="10">
        <v>27387656.219999999</v>
      </c>
      <c r="AG119" s="10">
        <v>16893716</v>
      </c>
      <c r="AH119" s="10">
        <v>10493940</v>
      </c>
      <c r="AI119" s="10">
        <v>28066998.630000003</v>
      </c>
      <c r="AJ119" s="10">
        <v>17847710</v>
      </c>
      <c r="AK119" s="31">
        <v>10571515</v>
      </c>
      <c r="AL119" s="10">
        <v>29002097.030000001</v>
      </c>
      <c r="AM119" s="10">
        <v>18689770</v>
      </c>
      <c r="AN119" s="31">
        <v>10650490</v>
      </c>
      <c r="AO119" s="10">
        <v>29937376.269999996</v>
      </c>
      <c r="AP119" s="10">
        <v>19574310</v>
      </c>
      <c r="AQ119" s="31">
        <v>10827425</v>
      </c>
    </row>
    <row r="120" spans="1:43">
      <c r="A120" s="102">
        <v>111</v>
      </c>
      <c r="B120" s="7" t="s">
        <v>1816</v>
      </c>
      <c r="C120" s="103">
        <v>39.33</v>
      </c>
      <c r="D120" s="62">
        <v>7544687</v>
      </c>
      <c r="E120" s="37">
        <v>4071482</v>
      </c>
      <c r="F120" s="62">
        <v>3480552</v>
      </c>
      <c r="G120" s="62">
        <v>8086549.8600000003</v>
      </c>
      <c r="H120" s="62">
        <v>4268438</v>
      </c>
      <c r="I120" s="62">
        <v>3818112</v>
      </c>
      <c r="J120" s="62">
        <v>8451939.3722802009</v>
      </c>
      <c r="K120" s="62">
        <v>4295869</v>
      </c>
      <c r="L120" s="62">
        <v>4156070</v>
      </c>
      <c r="M120" s="62">
        <v>9035827.3699999992</v>
      </c>
      <c r="N120" s="62">
        <v>4303354</v>
      </c>
      <c r="O120" s="62">
        <v>4234786</v>
      </c>
      <c r="P120" s="62">
        <v>497687</v>
      </c>
      <c r="Q120" s="62">
        <v>9050222.3941818178</v>
      </c>
      <c r="R120" s="62">
        <v>4343476</v>
      </c>
      <c r="S120" s="62">
        <v>4637824</v>
      </c>
      <c r="T120" s="62">
        <v>68922</v>
      </c>
      <c r="U120" s="62">
        <v>8636188.0120199993</v>
      </c>
      <c r="V120" s="62">
        <v>4357208</v>
      </c>
      <c r="W120" s="62">
        <v>4431778</v>
      </c>
      <c r="X120" s="62">
        <v>23792</v>
      </c>
      <c r="Y120" s="62">
        <v>276151</v>
      </c>
      <c r="Z120" s="62">
        <v>8744249.379999999</v>
      </c>
      <c r="AA120" s="62">
        <v>4488653</v>
      </c>
      <c r="AB120" s="62">
        <v>4455570</v>
      </c>
      <c r="AC120" s="10">
        <v>8663530.7500000019</v>
      </c>
      <c r="AD120" s="10">
        <v>4623232</v>
      </c>
      <c r="AE120" s="10">
        <v>4493290</v>
      </c>
      <c r="AF120" s="10">
        <v>8574245.4499999993</v>
      </c>
      <c r="AG120" s="10">
        <v>4727723</v>
      </c>
      <c r="AH120" s="10">
        <v>4516215</v>
      </c>
      <c r="AI120" s="10">
        <v>8273052.5900000017</v>
      </c>
      <c r="AJ120" s="10">
        <v>4695999</v>
      </c>
      <c r="AK120" s="31">
        <v>4537515</v>
      </c>
      <c r="AL120" s="10">
        <v>7978374.4699999979</v>
      </c>
      <c r="AM120" s="10">
        <v>4781695</v>
      </c>
      <c r="AN120" s="31">
        <v>4557815</v>
      </c>
      <c r="AO120" s="10">
        <v>7719354.0099999998</v>
      </c>
      <c r="AP120" s="10">
        <v>4716269</v>
      </c>
      <c r="AQ120" s="31">
        <v>4600550</v>
      </c>
    </row>
    <row r="121" spans="1:43">
      <c r="A121" s="102">
        <v>112</v>
      </c>
      <c r="B121" s="7" t="s">
        <v>1817</v>
      </c>
      <c r="C121" s="103">
        <v>31.43</v>
      </c>
      <c r="D121" s="62">
        <v>2157167</v>
      </c>
      <c r="E121" s="37">
        <v>1168273</v>
      </c>
      <c r="F121" s="62">
        <v>1194161</v>
      </c>
      <c r="G121" s="62">
        <v>2358065.48</v>
      </c>
      <c r="H121" s="62">
        <v>1185776</v>
      </c>
      <c r="I121" s="62">
        <v>1307669</v>
      </c>
      <c r="J121" s="62">
        <v>2400533.1579714394</v>
      </c>
      <c r="K121" s="62">
        <v>1206660</v>
      </c>
      <c r="L121" s="62">
        <v>1331035</v>
      </c>
      <c r="M121" s="62">
        <v>2341550.79</v>
      </c>
      <c r="N121" s="62">
        <v>1228016</v>
      </c>
      <c r="O121" s="62">
        <v>1203272</v>
      </c>
      <c r="P121" s="62">
        <v>141413</v>
      </c>
      <c r="Q121" s="62">
        <v>2240177.4551578951</v>
      </c>
      <c r="R121" s="62">
        <v>1250541</v>
      </c>
      <c r="S121" s="62">
        <v>1317791</v>
      </c>
      <c r="T121" s="62">
        <v>0</v>
      </c>
      <c r="U121" s="62">
        <v>2244631.2231000001</v>
      </c>
      <c r="V121" s="62">
        <v>1266515</v>
      </c>
      <c r="W121" s="62">
        <v>1240805</v>
      </c>
      <c r="X121" s="62">
        <v>6661</v>
      </c>
      <c r="Y121" s="62">
        <v>76800</v>
      </c>
      <c r="Z121" s="62">
        <v>0</v>
      </c>
      <c r="AA121" s="62">
        <v>0</v>
      </c>
      <c r="AB121" s="62">
        <v>0</v>
      </c>
      <c r="AC121" s="10">
        <v>0</v>
      </c>
      <c r="AD121" s="10">
        <v>0</v>
      </c>
      <c r="AE121" s="10">
        <v>0</v>
      </c>
      <c r="AF121" s="10">
        <v>0</v>
      </c>
      <c r="AG121" s="10">
        <v>0</v>
      </c>
      <c r="AH121" s="10">
        <v>0</v>
      </c>
      <c r="AI121" s="10">
        <v>0</v>
      </c>
      <c r="AJ121" s="10">
        <v>0</v>
      </c>
      <c r="AK121" s="31">
        <v>0</v>
      </c>
      <c r="AL121" s="10">
        <v>0</v>
      </c>
      <c r="AM121" s="10">
        <v>0</v>
      </c>
      <c r="AN121" s="31">
        <v>0</v>
      </c>
      <c r="AO121" s="10">
        <v>0</v>
      </c>
      <c r="AP121" s="10">
        <v>0</v>
      </c>
      <c r="AQ121" s="31">
        <v>0</v>
      </c>
    </row>
    <row r="122" spans="1:43">
      <c r="A122" s="102">
        <v>113</v>
      </c>
      <c r="B122" s="7" t="s">
        <v>1818</v>
      </c>
      <c r="C122" s="103">
        <v>17.5</v>
      </c>
      <c r="D122" s="62">
        <v>0</v>
      </c>
      <c r="E122" s="37">
        <v>0</v>
      </c>
      <c r="F122" s="62">
        <v>0</v>
      </c>
      <c r="G122" s="62">
        <v>0</v>
      </c>
      <c r="H122" s="62">
        <v>0</v>
      </c>
      <c r="I122" s="62">
        <v>0</v>
      </c>
      <c r="J122" s="62">
        <v>0</v>
      </c>
      <c r="K122" s="62">
        <v>0</v>
      </c>
      <c r="L122" s="62">
        <v>0</v>
      </c>
      <c r="M122" s="62">
        <v>0</v>
      </c>
      <c r="N122" s="62">
        <v>0</v>
      </c>
      <c r="O122" s="62">
        <v>0</v>
      </c>
      <c r="P122" s="62">
        <v>0</v>
      </c>
      <c r="Q122" s="62">
        <v>0</v>
      </c>
      <c r="R122" s="62">
        <v>0</v>
      </c>
      <c r="S122" s="62">
        <v>0</v>
      </c>
      <c r="T122" s="62">
        <v>0</v>
      </c>
      <c r="U122" s="62">
        <v>0</v>
      </c>
      <c r="V122" s="62">
        <v>0</v>
      </c>
      <c r="W122" s="62">
        <v>0</v>
      </c>
      <c r="X122" s="62">
        <v>0</v>
      </c>
      <c r="Y122" s="62">
        <v>0</v>
      </c>
      <c r="Z122" s="62">
        <v>0</v>
      </c>
      <c r="AA122" s="62">
        <v>0</v>
      </c>
      <c r="AB122" s="62">
        <v>0</v>
      </c>
      <c r="AC122" s="10">
        <v>0</v>
      </c>
      <c r="AD122" s="10">
        <v>0</v>
      </c>
      <c r="AE122" s="10">
        <v>0</v>
      </c>
      <c r="AF122" s="10">
        <v>0</v>
      </c>
      <c r="AG122" s="10">
        <v>0</v>
      </c>
      <c r="AH122" s="10">
        <v>0</v>
      </c>
      <c r="AI122" s="10">
        <v>0</v>
      </c>
      <c r="AJ122" s="10">
        <v>0</v>
      </c>
      <c r="AK122" s="31">
        <v>0</v>
      </c>
      <c r="AL122" s="10">
        <v>0</v>
      </c>
      <c r="AM122" s="10">
        <v>0</v>
      </c>
      <c r="AN122" s="31">
        <v>0</v>
      </c>
      <c r="AO122" s="10">
        <v>0</v>
      </c>
      <c r="AP122" s="10">
        <v>0</v>
      </c>
      <c r="AQ122" s="31">
        <v>0</v>
      </c>
    </row>
    <row r="123" spans="1:43">
      <c r="A123" s="102">
        <v>114</v>
      </c>
      <c r="B123" s="7" t="s">
        <v>1819</v>
      </c>
      <c r="C123" s="103">
        <v>53.47</v>
      </c>
      <c r="D123" s="62">
        <v>17313166</v>
      </c>
      <c r="E123" s="37">
        <v>9111371</v>
      </c>
      <c r="F123" s="62">
        <v>8732668</v>
      </c>
      <c r="G123" s="62">
        <v>17803363.970000003</v>
      </c>
      <c r="H123" s="62">
        <v>9283824</v>
      </c>
      <c r="I123" s="62">
        <v>9054173</v>
      </c>
      <c r="J123" s="62">
        <v>18475981.23195523</v>
      </c>
      <c r="K123" s="62">
        <v>9232071</v>
      </c>
      <c r="L123" s="62">
        <v>9486783</v>
      </c>
      <c r="M123" s="62">
        <v>18457057.809999999</v>
      </c>
      <c r="N123" s="62">
        <v>9067762</v>
      </c>
      <c r="O123" s="62">
        <v>8710983</v>
      </c>
      <c r="P123" s="62">
        <v>1023745</v>
      </c>
      <c r="Q123" s="62">
        <v>18757500.666304301</v>
      </c>
      <c r="R123" s="62">
        <v>8914962</v>
      </c>
      <c r="S123" s="62">
        <v>9540033</v>
      </c>
      <c r="T123" s="62">
        <v>302506</v>
      </c>
      <c r="U123" s="62">
        <v>18168641.884320002</v>
      </c>
      <c r="V123" s="62">
        <v>8874442</v>
      </c>
      <c r="W123" s="62">
        <v>9267538</v>
      </c>
      <c r="X123" s="62">
        <v>49752</v>
      </c>
      <c r="Y123" s="62">
        <v>572724</v>
      </c>
      <c r="Z123" s="62">
        <v>19123336.359999999</v>
      </c>
      <c r="AA123" s="62">
        <v>9165933</v>
      </c>
      <c r="AB123" s="62">
        <v>9957403</v>
      </c>
      <c r="AC123" s="10">
        <v>19845137.929999996</v>
      </c>
      <c r="AD123" s="10">
        <v>9446211</v>
      </c>
      <c r="AE123" s="10">
        <v>10481761.769687749</v>
      </c>
      <c r="AF123" s="10">
        <v>21688417.030000001</v>
      </c>
      <c r="AG123" s="10">
        <v>9832399</v>
      </c>
      <c r="AH123" s="10">
        <v>11932187.357180249</v>
      </c>
      <c r="AI123" s="10">
        <v>21246903.91</v>
      </c>
      <c r="AJ123" s="10">
        <v>9761739</v>
      </c>
      <c r="AK123" s="31">
        <v>11983812.357180249</v>
      </c>
      <c r="AL123" s="10">
        <v>21378359.310000002</v>
      </c>
      <c r="AM123" s="10">
        <v>9879409</v>
      </c>
      <c r="AN123" s="31">
        <v>12035012.357180249</v>
      </c>
      <c r="AO123" s="10">
        <v>20360058.930000003</v>
      </c>
      <c r="AP123" s="10">
        <v>9575385</v>
      </c>
      <c r="AQ123" s="31">
        <v>12140007.357180249</v>
      </c>
    </row>
    <row r="124" spans="1:43">
      <c r="A124" s="102">
        <v>115</v>
      </c>
      <c r="B124" s="7" t="s">
        <v>1820</v>
      </c>
      <c r="C124" s="103">
        <v>17.5</v>
      </c>
      <c r="D124" s="62">
        <v>0</v>
      </c>
      <c r="E124" s="37">
        <v>0</v>
      </c>
      <c r="F124" s="62">
        <v>0</v>
      </c>
      <c r="G124" s="62">
        <v>0</v>
      </c>
      <c r="H124" s="62">
        <v>0</v>
      </c>
      <c r="I124" s="62">
        <v>0</v>
      </c>
      <c r="J124" s="62">
        <v>0</v>
      </c>
      <c r="K124" s="62">
        <v>0</v>
      </c>
      <c r="L124" s="62">
        <v>0</v>
      </c>
      <c r="M124" s="62">
        <v>0</v>
      </c>
      <c r="N124" s="62">
        <v>0</v>
      </c>
      <c r="O124" s="62">
        <v>0</v>
      </c>
      <c r="P124" s="62">
        <v>0</v>
      </c>
      <c r="Q124" s="62">
        <v>0</v>
      </c>
      <c r="R124" s="62">
        <v>0</v>
      </c>
      <c r="S124" s="62">
        <v>0</v>
      </c>
      <c r="T124" s="62">
        <v>0</v>
      </c>
      <c r="U124" s="62">
        <v>12362.3995134</v>
      </c>
      <c r="V124" s="62">
        <v>9161</v>
      </c>
      <c r="W124" s="62">
        <v>3201</v>
      </c>
      <c r="X124" s="62">
        <v>0</v>
      </c>
      <c r="Y124" s="62">
        <v>0</v>
      </c>
      <c r="Z124" s="62">
        <v>12532.104200000002</v>
      </c>
      <c r="AA124" s="62">
        <v>9543</v>
      </c>
      <c r="AB124" s="62">
        <v>3201</v>
      </c>
      <c r="AC124" s="10">
        <v>13020.859919999999</v>
      </c>
      <c r="AD124" s="10">
        <v>10245</v>
      </c>
      <c r="AE124" s="10">
        <v>3201</v>
      </c>
      <c r="AF124" s="10">
        <v>0</v>
      </c>
      <c r="AG124" s="10">
        <v>0</v>
      </c>
      <c r="AH124" s="10">
        <v>0</v>
      </c>
      <c r="AI124" s="10">
        <v>0</v>
      </c>
      <c r="AJ124" s="10">
        <v>0</v>
      </c>
      <c r="AK124" s="31">
        <v>0</v>
      </c>
      <c r="AL124" s="10">
        <v>0</v>
      </c>
      <c r="AM124" s="10">
        <v>0</v>
      </c>
      <c r="AN124" s="31">
        <v>0</v>
      </c>
      <c r="AO124" s="10">
        <v>0</v>
      </c>
      <c r="AP124" s="10">
        <v>0</v>
      </c>
      <c r="AQ124" s="31">
        <v>0</v>
      </c>
    </row>
    <row r="125" spans="1:43">
      <c r="A125" s="102">
        <v>116</v>
      </c>
      <c r="B125" s="7" t="s">
        <v>1821</v>
      </c>
      <c r="C125" s="103">
        <v>35.409999999999997</v>
      </c>
      <c r="D125" s="62">
        <v>0</v>
      </c>
      <c r="E125" s="37">
        <v>0</v>
      </c>
      <c r="F125" s="62">
        <v>0</v>
      </c>
      <c r="G125" s="62">
        <v>0</v>
      </c>
      <c r="H125" s="62">
        <v>0</v>
      </c>
      <c r="I125" s="62">
        <v>0</v>
      </c>
      <c r="J125" s="62">
        <v>0</v>
      </c>
      <c r="K125" s="62">
        <v>0</v>
      </c>
      <c r="L125" s="62">
        <v>0</v>
      </c>
      <c r="M125" s="62">
        <v>0</v>
      </c>
      <c r="N125" s="62">
        <v>0</v>
      </c>
      <c r="O125" s="62">
        <v>0</v>
      </c>
      <c r="P125" s="62">
        <v>0</v>
      </c>
      <c r="Q125" s="62">
        <v>0</v>
      </c>
      <c r="R125" s="62">
        <v>0</v>
      </c>
      <c r="S125" s="62">
        <v>0</v>
      </c>
      <c r="T125" s="62">
        <v>0</v>
      </c>
      <c r="U125" s="62">
        <v>0</v>
      </c>
      <c r="V125" s="62">
        <v>0</v>
      </c>
      <c r="W125" s="62">
        <v>0</v>
      </c>
      <c r="X125" s="62">
        <v>0</v>
      </c>
      <c r="Y125" s="62">
        <v>0</v>
      </c>
      <c r="Z125" s="62">
        <v>0</v>
      </c>
      <c r="AA125" s="62">
        <v>0</v>
      </c>
      <c r="AB125" s="62">
        <v>0</v>
      </c>
      <c r="AC125" s="10">
        <v>0</v>
      </c>
      <c r="AD125" s="10">
        <v>0</v>
      </c>
      <c r="AE125" s="10">
        <v>0</v>
      </c>
      <c r="AF125" s="10">
        <v>0</v>
      </c>
      <c r="AG125" s="10">
        <v>0</v>
      </c>
      <c r="AH125" s="17">
        <f>0+42110</f>
        <v>42110</v>
      </c>
      <c r="AI125" s="10">
        <v>65024.500000000007</v>
      </c>
      <c r="AJ125" s="10">
        <v>41295</v>
      </c>
      <c r="AK125" s="31">
        <v>42110</v>
      </c>
      <c r="AL125" s="10">
        <v>79199.760000000009</v>
      </c>
      <c r="AM125" s="10">
        <v>51428</v>
      </c>
      <c r="AN125" s="31">
        <v>42110</v>
      </c>
      <c r="AO125" s="10">
        <v>118538.28</v>
      </c>
      <c r="AP125" s="10">
        <v>77239</v>
      </c>
      <c r="AQ125" s="31">
        <v>42110</v>
      </c>
    </row>
    <row r="126" spans="1:43">
      <c r="A126" s="102">
        <v>117</v>
      </c>
      <c r="B126" s="7" t="s">
        <v>1822</v>
      </c>
      <c r="C126" s="103">
        <v>17.5</v>
      </c>
      <c r="D126" s="62">
        <v>4520668</v>
      </c>
      <c r="E126" s="37">
        <v>5166154</v>
      </c>
      <c r="F126" s="62">
        <v>625061.19999999995</v>
      </c>
      <c r="G126" s="62">
        <v>4764269</v>
      </c>
      <c r="H126" s="62">
        <v>5245116</v>
      </c>
      <c r="I126" s="62">
        <v>667691.19999999995</v>
      </c>
      <c r="J126" s="62">
        <v>5019642.6810837509</v>
      </c>
      <c r="K126" s="62">
        <v>5189433</v>
      </c>
      <c r="L126" s="62">
        <v>730915.2</v>
      </c>
      <c r="M126" s="62">
        <v>5205800.76</v>
      </c>
      <c r="N126" s="62">
        <v>5053095</v>
      </c>
      <c r="O126" s="62">
        <v>707232.2</v>
      </c>
      <c r="P126" s="62">
        <v>83116</v>
      </c>
      <c r="Q126" s="62">
        <v>5406525.5920688985</v>
      </c>
      <c r="R126" s="62">
        <v>4995543</v>
      </c>
      <c r="S126" s="62">
        <v>774541</v>
      </c>
      <c r="T126" s="62">
        <v>0</v>
      </c>
      <c r="U126" s="62">
        <v>5658505.69092</v>
      </c>
      <c r="V126" s="62">
        <v>4937924</v>
      </c>
      <c r="W126" s="62">
        <v>729292</v>
      </c>
      <c r="X126" s="62">
        <v>3915</v>
      </c>
      <c r="Y126" s="62">
        <v>57584</v>
      </c>
      <c r="Z126" s="62">
        <v>5783756.2999999998</v>
      </c>
      <c r="AA126" s="62">
        <v>5102966</v>
      </c>
      <c r="AB126" s="62">
        <v>733207</v>
      </c>
      <c r="AC126" s="10">
        <v>6074126.3499999996</v>
      </c>
      <c r="AD126" s="10">
        <v>5356386</v>
      </c>
      <c r="AE126" s="10">
        <v>815648.27781250002</v>
      </c>
      <c r="AF126" s="10">
        <v>6128452.2700000014</v>
      </c>
      <c r="AG126" s="10">
        <v>5607720</v>
      </c>
      <c r="AH126" s="10">
        <v>879855.99517187499</v>
      </c>
      <c r="AI126" s="10">
        <v>5981187.5199999996</v>
      </c>
      <c r="AJ126" s="10">
        <v>5351851</v>
      </c>
      <c r="AK126" s="31">
        <v>938253.99517187499</v>
      </c>
      <c r="AL126" s="10">
        <v>5986156.3800000008</v>
      </c>
      <c r="AM126" s="10">
        <v>5261618</v>
      </c>
      <c r="AN126" s="31">
        <v>953528.99517187499</v>
      </c>
      <c r="AO126" s="10">
        <v>5790379.5499999998</v>
      </c>
      <c r="AP126" s="10">
        <v>4888340</v>
      </c>
      <c r="AQ126" s="31">
        <v>985813.99517187499</v>
      </c>
    </row>
    <row r="127" spans="1:43">
      <c r="A127" s="102">
        <v>118</v>
      </c>
      <c r="B127" s="7" t="s">
        <v>1823</v>
      </c>
      <c r="C127" s="103">
        <v>47.82</v>
      </c>
      <c r="D127" s="62">
        <v>4947085</v>
      </c>
      <c r="E127" s="37">
        <v>2594870</v>
      </c>
      <c r="F127" s="62">
        <v>2352215</v>
      </c>
      <c r="G127" s="62">
        <v>5102050.8600000003</v>
      </c>
      <c r="H127" s="62">
        <v>2752876</v>
      </c>
      <c r="I127" s="62">
        <v>2423716</v>
      </c>
      <c r="J127" s="62">
        <v>5360750.4569571586</v>
      </c>
      <c r="K127" s="62">
        <v>2911501</v>
      </c>
      <c r="L127" s="62">
        <v>2541088</v>
      </c>
      <c r="M127" s="62">
        <v>5579019.2300000014</v>
      </c>
      <c r="N127" s="62">
        <v>2979985</v>
      </c>
      <c r="O127" s="62">
        <v>2365166</v>
      </c>
      <c r="P127" s="62">
        <v>277963</v>
      </c>
      <c r="Q127" s="62">
        <v>5830872.9364822973</v>
      </c>
      <c r="R127" s="62">
        <v>3036721</v>
      </c>
      <c r="S127" s="62">
        <v>2590266</v>
      </c>
      <c r="T127" s="62">
        <v>203886</v>
      </c>
      <c r="U127" s="62">
        <v>5481069.2047199989</v>
      </c>
      <c r="V127" s="62">
        <v>3009340</v>
      </c>
      <c r="W127" s="62">
        <v>2630918</v>
      </c>
      <c r="X127" s="62">
        <v>14124</v>
      </c>
      <c r="Y127" s="62">
        <v>166110</v>
      </c>
      <c r="Z127" s="62">
        <v>5309028.63</v>
      </c>
      <c r="AA127" s="62">
        <v>2928688</v>
      </c>
      <c r="AB127" s="62">
        <v>2645042</v>
      </c>
      <c r="AC127" s="10">
        <v>5256094.54</v>
      </c>
      <c r="AD127" s="10">
        <v>2947000</v>
      </c>
      <c r="AE127" s="10">
        <v>2669842</v>
      </c>
      <c r="AF127" s="10">
        <v>5316163.6799999988</v>
      </c>
      <c r="AG127" s="10">
        <v>2900902</v>
      </c>
      <c r="AH127" s="10">
        <v>2684967</v>
      </c>
      <c r="AI127" s="10">
        <v>5366429.71</v>
      </c>
      <c r="AJ127" s="10">
        <v>2903829</v>
      </c>
      <c r="AK127" s="31">
        <v>2699817</v>
      </c>
      <c r="AL127" s="10">
        <v>5540979.4299999988</v>
      </c>
      <c r="AM127" s="10">
        <v>2982219</v>
      </c>
      <c r="AN127" s="31">
        <v>2714617</v>
      </c>
      <c r="AO127" s="10">
        <v>5481688.6299299989</v>
      </c>
      <c r="AP127" s="10">
        <v>2891843</v>
      </c>
      <c r="AQ127" s="31">
        <v>2746462</v>
      </c>
    </row>
    <row r="128" spans="1:43">
      <c r="A128" s="102">
        <v>119</v>
      </c>
      <c r="B128" s="7" t="s">
        <v>1824</v>
      </c>
      <c r="C128" s="103">
        <v>17.5</v>
      </c>
      <c r="D128" s="62">
        <v>0</v>
      </c>
      <c r="E128" s="37">
        <v>0</v>
      </c>
      <c r="F128" s="62">
        <v>0</v>
      </c>
      <c r="G128" s="62">
        <v>0</v>
      </c>
      <c r="H128" s="62">
        <v>0</v>
      </c>
      <c r="I128" s="62">
        <v>0</v>
      </c>
      <c r="J128" s="62">
        <v>0</v>
      </c>
      <c r="K128" s="62">
        <v>0</v>
      </c>
      <c r="L128" s="62">
        <v>0</v>
      </c>
      <c r="M128" s="62">
        <v>0</v>
      </c>
      <c r="N128" s="62">
        <v>0</v>
      </c>
      <c r="O128" s="62">
        <v>0</v>
      </c>
      <c r="P128" s="62">
        <v>0</v>
      </c>
      <c r="Q128" s="62">
        <v>0</v>
      </c>
      <c r="R128" s="62">
        <v>0</v>
      </c>
      <c r="S128" s="62">
        <v>0</v>
      </c>
      <c r="T128" s="62">
        <v>0</v>
      </c>
      <c r="U128" s="62">
        <v>0</v>
      </c>
      <c r="V128" s="62">
        <v>0</v>
      </c>
      <c r="W128" s="62">
        <v>0</v>
      </c>
      <c r="X128" s="62">
        <v>0</v>
      </c>
      <c r="Y128" s="62">
        <v>0</v>
      </c>
      <c r="Z128" s="62">
        <v>0</v>
      </c>
      <c r="AA128" s="62">
        <v>0</v>
      </c>
      <c r="AB128" s="62">
        <v>0</v>
      </c>
      <c r="AC128" s="10">
        <v>0</v>
      </c>
      <c r="AD128" s="10">
        <v>0</v>
      </c>
      <c r="AE128" s="10">
        <v>0</v>
      </c>
      <c r="AF128" s="10">
        <v>0</v>
      </c>
      <c r="AG128" s="10">
        <v>0</v>
      </c>
      <c r="AH128" s="17">
        <f>0+16844</f>
        <v>16844</v>
      </c>
      <c r="AI128" s="10">
        <v>39912.938879999994</v>
      </c>
      <c r="AJ128" s="10">
        <v>35608</v>
      </c>
      <c r="AK128" s="31">
        <v>16844</v>
      </c>
      <c r="AL128" s="10">
        <v>0</v>
      </c>
      <c r="AM128" s="10">
        <v>0</v>
      </c>
      <c r="AN128" s="31">
        <v>0</v>
      </c>
      <c r="AO128" s="10">
        <v>0</v>
      </c>
      <c r="AP128" s="10">
        <v>0</v>
      </c>
      <c r="AQ128" s="31">
        <v>0</v>
      </c>
    </row>
    <row r="129" spans="1:43">
      <c r="A129" s="102">
        <v>120</v>
      </c>
      <c r="B129" s="7" t="s">
        <v>1825</v>
      </c>
      <c r="C129" s="103">
        <v>27.33</v>
      </c>
      <c r="D129" s="62">
        <v>0</v>
      </c>
      <c r="E129" s="37">
        <v>0</v>
      </c>
      <c r="F129" s="62">
        <v>0</v>
      </c>
      <c r="G129" s="62">
        <v>0</v>
      </c>
      <c r="H129" s="62">
        <v>0</v>
      </c>
      <c r="I129" s="62">
        <v>0</v>
      </c>
      <c r="J129" s="62">
        <v>0</v>
      </c>
      <c r="K129" s="62">
        <v>0</v>
      </c>
      <c r="L129" s="62">
        <v>0</v>
      </c>
      <c r="M129" s="62">
        <v>0</v>
      </c>
      <c r="N129" s="62">
        <v>0</v>
      </c>
      <c r="O129" s="62">
        <v>0</v>
      </c>
      <c r="P129" s="62">
        <v>0</v>
      </c>
      <c r="Q129" s="62">
        <v>0</v>
      </c>
      <c r="R129" s="62">
        <v>0</v>
      </c>
      <c r="S129" s="62">
        <v>0</v>
      </c>
      <c r="T129" s="62">
        <v>0</v>
      </c>
      <c r="U129" s="62">
        <v>0</v>
      </c>
      <c r="V129" s="62">
        <v>0</v>
      </c>
      <c r="W129" s="62">
        <v>0</v>
      </c>
      <c r="X129" s="62">
        <v>0</v>
      </c>
      <c r="Y129" s="62">
        <v>0</v>
      </c>
      <c r="Z129" s="62">
        <v>0</v>
      </c>
      <c r="AA129" s="62">
        <v>0</v>
      </c>
      <c r="AB129" s="62">
        <v>0</v>
      </c>
      <c r="AC129" s="10">
        <v>0</v>
      </c>
      <c r="AD129" s="10">
        <v>0</v>
      </c>
      <c r="AE129" s="10">
        <v>0</v>
      </c>
      <c r="AF129" s="10">
        <v>0</v>
      </c>
      <c r="AG129" s="10">
        <v>0</v>
      </c>
      <c r="AH129" s="10">
        <v>0</v>
      </c>
      <c r="AI129" s="10">
        <v>0</v>
      </c>
      <c r="AJ129" s="10">
        <v>0</v>
      </c>
      <c r="AK129" s="31">
        <v>0</v>
      </c>
      <c r="AL129" s="10">
        <v>0</v>
      </c>
      <c r="AM129" s="10">
        <v>0</v>
      </c>
      <c r="AN129" s="31">
        <v>0</v>
      </c>
      <c r="AO129" s="10">
        <v>0</v>
      </c>
      <c r="AP129" s="10">
        <v>0</v>
      </c>
      <c r="AQ129" s="31">
        <v>0</v>
      </c>
    </row>
    <row r="130" spans="1:43">
      <c r="A130" s="102">
        <v>121</v>
      </c>
      <c r="B130" s="7" t="s">
        <v>1826</v>
      </c>
      <c r="C130" s="103">
        <v>17.5</v>
      </c>
      <c r="D130" s="62">
        <v>853878</v>
      </c>
      <c r="E130" s="37">
        <v>675229</v>
      </c>
      <c r="F130" s="62">
        <v>178649</v>
      </c>
      <c r="G130" s="62">
        <v>880073.22</v>
      </c>
      <c r="H130" s="62">
        <v>741790</v>
      </c>
      <c r="I130" s="62">
        <v>184299</v>
      </c>
      <c r="J130" s="62">
        <v>762441.64943651087</v>
      </c>
      <c r="K130" s="62">
        <v>762443</v>
      </c>
      <c r="L130" s="62">
        <v>188899</v>
      </c>
      <c r="M130" s="62">
        <v>856176.18</v>
      </c>
      <c r="N130" s="62">
        <v>765743</v>
      </c>
      <c r="O130" s="62">
        <v>183712</v>
      </c>
      <c r="P130" s="62">
        <v>21591</v>
      </c>
      <c r="Q130" s="62">
        <v>853326.37133779912</v>
      </c>
      <c r="R130" s="62">
        <v>779131</v>
      </c>
      <c r="S130" s="62">
        <v>201197</v>
      </c>
      <c r="T130" s="62">
        <v>0</v>
      </c>
      <c r="U130" s="62">
        <v>790173.65255999996</v>
      </c>
      <c r="V130" s="62">
        <v>768393</v>
      </c>
      <c r="W130" s="62">
        <v>189443</v>
      </c>
      <c r="X130" s="62">
        <v>1017</v>
      </c>
      <c r="Y130" s="62">
        <v>13112</v>
      </c>
      <c r="Z130" s="62">
        <v>776252.26</v>
      </c>
      <c r="AA130" s="62">
        <v>758287</v>
      </c>
      <c r="AB130" s="62">
        <v>190460</v>
      </c>
      <c r="AC130" s="10">
        <v>853060.55999999982</v>
      </c>
      <c r="AD130" s="10">
        <v>775699</v>
      </c>
      <c r="AE130" s="10">
        <v>194340</v>
      </c>
      <c r="AF130" s="10">
        <v>908416.76</v>
      </c>
      <c r="AG130" s="10">
        <v>820354</v>
      </c>
      <c r="AH130" s="10">
        <v>196865</v>
      </c>
      <c r="AI130" s="10">
        <v>806235.6399999999</v>
      </c>
      <c r="AJ130" s="10">
        <v>725612</v>
      </c>
      <c r="AK130" s="31">
        <v>199115</v>
      </c>
      <c r="AL130" s="10">
        <v>700017.85</v>
      </c>
      <c r="AM130" s="10">
        <v>630016</v>
      </c>
      <c r="AN130" s="31">
        <v>200990</v>
      </c>
      <c r="AO130" s="10">
        <v>719680.2</v>
      </c>
      <c r="AP130" s="10">
        <v>604602</v>
      </c>
      <c r="AQ130" s="31">
        <v>205060</v>
      </c>
    </row>
    <row r="131" spans="1:43">
      <c r="A131" s="102">
        <v>122</v>
      </c>
      <c r="B131" s="7" t="s">
        <v>1827</v>
      </c>
      <c r="C131" s="103">
        <v>24.47</v>
      </c>
      <c r="D131" s="62">
        <v>18966432</v>
      </c>
      <c r="E131" s="37">
        <v>14270699</v>
      </c>
      <c r="F131" s="62">
        <v>4695733</v>
      </c>
      <c r="G131" s="62">
        <v>20142433.842250001</v>
      </c>
      <c r="H131" s="62">
        <v>14796651</v>
      </c>
      <c r="I131" s="62">
        <v>5345783</v>
      </c>
      <c r="J131" s="62">
        <v>21096225.834211223</v>
      </c>
      <c r="K131" s="62">
        <v>15271206</v>
      </c>
      <c r="L131" s="62">
        <v>5825020</v>
      </c>
      <c r="M131" s="62">
        <v>21748945.017949998</v>
      </c>
      <c r="N131" s="62">
        <v>15848159</v>
      </c>
      <c r="O131" s="62">
        <v>5373174</v>
      </c>
      <c r="P131" s="62">
        <v>631474</v>
      </c>
      <c r="Q131" s="62">
        <v>22213294.657841306</v>
      </c>
      <c r="R131" s="62">
        <v>15909369</v>
      </c>
      <c r="S131" s="62">
        <v>5884555</v>
      </c>
      <c r="T131" s="62">
        <v>419371</v>
      </c>
      <c r="U131" s="62">
        <v>21774380.339327995</v>
      </c>
      <c r="V131" s="62">
        <v>16297523</v>
      </c>
      <c r="W131" s="62">
        <v>5935651</v>
      </c>
      <c r="X131" s="62">
        <v>31865</v>
      </c>
      <c r="Y131" s="62">
        <v>401910</v>
      </c>
      <c r="Z131" s="62">
        <v>22331596.871920001</v>
      </c>
      <c r="AA131" s="62">
        <v>16434712</v>
      </c>
      <c r="AB131" s="62">
        <v>5967516</v>
      </c>
      <c r="AC131" s="10">
        <v>23401737.684919998</v>
      </c>
      <c r="AD131" s="10">
        <v>16986703</v>
      </c>
      <c r="AE131" s="10">
        <v>6460513.713344737</v>
      </c>
      <c r="AF131" s="10">
        <v>23673254.269769996</v>
      </c>
      <c r="AG131" s="10">
        <v>17673274</v>
      </c>
      <c r="AH131" s="10">
        <v>6526113.713344737</v>
      </c>
      <c r="AI131" s="10">
        <v>23675035.831840001</v>
      </c>
      <c r="AJ131" s="10">
        <v>17821949</v>
      </c>
      <c r="AK131" s="31">
        <v>6590763.713344737</v>
      </c>
      <c r="AL131" s="10">
        <v>24041587.167499997</v>
      </c>
      <c r="AM131" s="10">
        <v>18466336</v>
      </c>
      <c r="AN131" s="31">
        <v>6654913.713344737</v>
      </c>
      <c r="AO131" s="10">
        <v>23962139.080309998</v>
      </c>
      <c r="AP131" s="10">
        <v>18266304</v>
      </c>
      <c r="AQ131" s="31">
        <v>6795548.713344737</v>
      </c>
    </row>
    <row r="132" spans="1:43">
      <c r="A132" s="102">
        <v>123</v>
      </c>
      <c r="B132" s="7" t="s">
        <v>1828</v>
      </c>
      <c r="C132" s="103">
        <v>46.99</v>
      </c>
      <c r="D132" s="62">
        <v>29389</v>
      </c>
      <c r="E132" s="37">
        <v>7918</v>
      </c>
      <c r="F132" s="62">
        <v>28480</v>
      </c>
      <c r="G132" s="62">
        <v>32548.98</v>
      </c>
      <c r="H132" s="62">
        <v>8976</v>
      </c>
      <c r="I132" s="62">
        <v>30063</v>
      </c>
      <c r="J132" s="62">
        <v>22710.54</v>
      </c>
      <c r="K132" s="62">
        <v>6659</v>
      </c>
      <c r="L132" s="62">
        <v>22710.54</v>
      </c>
      <c r="M132" s="62">
        <v>11943.49</v>
      </c>
      <c r="N132" s="62">
        <v>3468</v>
      </c>
      <c r="O132" s="62">
        <v>11943.49</v>
      </c>
      <c r="P132" s="62">
        <v>0</v>
      </c>
      <c r="Q132" s="62">
        <v>36919.725014354073</v>
      </c>
      <c r="R132" s="62">
        <v>12160</v>
      </c>
      <c r="S132" s="62">
        <v>11705</v>
      </c>
      <c r="T132" s="62">
        <v>13055</v>
      </c>
      <c r="U132" s="62">
        <v>48143.262719999999</v>
      </c>
      <c r="V132" s="62">
        <v>16555</v>
      </c>
      <c r="W132" s="62">
        <v>31588</v>
      </c>
      <c r="X132" s="62">
        <v>0</v>
      </c>
      <c r="Y132" s="62">
        <v>0</v>
      </c>
      <c r="Z132" s="62">
        <v>36750.21</v>
      </c>
      <c r="AA132" s="62">
        <v>13241</v>
      </c>
      <c r="AB132" s="62">
        <v>31588</v>
      </c>
      <c r="AC132" s="10">
        <v>63486.049999999996</v>
      </c>
      <c r="AD132" s="10">
        <v>23471</v>
      </c>
      <c r="AE132" s="10">
        <v>40015</v>
      </c>
      <c r="AF132" s="10">
        <v>64470.1</v>
      </c>
      <c r="AG132" s="10">
        <v>24990</v>
      </c>
      <c r="AH132" s="10">
        <v>40015</v>
      </c>
      <c r="AI132" s="10">
        <v>91034.3</v>
      </c>
      <c r="AJ132" s="10">
        <v>38572</v>
      </c>
      <c r="AK132" s="31">
        <v>52462</v>
      </c>
      <c r="AL132" s="10">
        <v>105599.68000000001</v>
      </c>
      <c r="AM132" s="10">
        <v>47255</v>
      </c>
      <c r="AN132" s="31">
        <v>58345</v>
      </c>
      <c r="AO132" s="10">
        <v>105367.36000000002</v>
      </c>
      <c r="AP132" s="10">
        <v>49870</v>
      </c>
      <c r="AQ132" s="31">
        <v>58345</v>
      </c>
    </row>
    <row r="133" spans="1:43">
      <c r="A133" s="102">
        <v>124</v>
      </c>
      <c r="B133" s="7" t="s">
        <v>1829</v>
      </c>
      <c r="C133" s="103">
        <v>64.099999999999994</v>
      </c>
      <c r="D133" s="62">
        <v>0</v>
      </c>
      <c r="E133" s="37">
        <v>0</v>
      </c>
      <c r="F133" s="62">
        <v>0</v>
      </c>
      <c r="G133" s="62">
        <v>10849.66</v>
      </c>
      <c r="H133" s="62">
        <v>2254</v>
      </c>
      <c r="I133" s="62">
        <v>8596</v>
      </c>
      <c r="J133" s="62">
        <v>0</v>
      </c>
      <c r="K133" s="62">
        <v>0</v>
      </c>
      <c r="L133" s="62">
        <v>0</v>
      </c>
      <c r="M133" s="62">
        <v>0</v>
      </c>
      <c r="N133" s="62">
        <v>0</v>
      </c>
      <c r="O133" s="62">
        <v>0</v>
      </c>
      <c r="P133" s="62">
        <v>0</v>
      </c>
      <c r="Q133" s="62">
        <v>0</v>
      </c>
      <c r="R133" s="62">
        <v>0</v>
      </c>
      <c r="S133" s="62">
        <v>0</v>
      </c>
      <c r="T133" s="62">
        <v>0</v>
      </c>
      <c r="U133" s="62">
        <v>0</v>
      </c>
      <c r="V133" s="62">
        <v>0</v>
      </c>
      <c r="W133" s="62">
        <v>0</v>
      </c>
      <c r="X133" s="62">
        <v>0</v>
      </c>
      <c r="Y133" s="62">
        <v>0</v>
      </c>
      <c r="Z133" s="62">
        <v>0</v>
      </c>
      <c r="AA133" s="62">
        <v>0</v>
      </c>
      <c r="AB133" s="62">
        <v>0</v>
      </c>
      <c r="AC133" s="10">
        <v>0</v>
      </c>
      <c r="AD133" s="10">
        <v>0</v>
      </c>
      <c r="AE133" s="10">
        <v>0</v>
      </c>
      <c r="AF133" s="10">
        <v>0</v>
      </c>
      <c r="AG133" s="10">
        <v>0</v>
      </c>
      <c r="AH133" s="10">
        <v>0</v>
      </c>
      <c r="AI133" s="10">
        <v>13004.9</v>
      </c>
      <c r="AJ133" s="10">
        <v>5113</v>
      </c>
      <c r="AK133" s="31">
        <v>7892</v>
      </c>
      <c r="AL133" s="10">
        <v>13199.960000000001</v>
      </c>
      <c r="AM133" s="10">
        <v>4892</v>
      </c>
      <c r="AN133" s="31">
        <v>8308</v>
      </c>
      <c r="AO133" s="10">
        <v>13170.920000000002</v>
      </c>
      <c r="AP133" s="10">
        <v>4778</v>
      </c>
      <c r="AQ133" s="31">
        <v>8393</v>
      </c>
    </row>
    <row r="134" spans="1:43">
      <c r="A134" s="102">
        <v>125</v>
      </c>
      <c r="B134" s="7" t="s">
        <v>1830</v>
      </c>
      <c r="C134" s="103">
        <v>17.5</v>
      </c>
      <c r="D134" s="62">
        <v>8751097</v>
      </c>
      <c r="E134" s="37">
        <v>7733519</v>
      </c>
      <c r="F134" s="62">
        <v>1207690</v>
      </c>
      <c r="G134" s="62">
        <v>9436456.4439200014</v>
      </c>
      <c r="H134" s="62">
        <v>8041734</v>
      </c>
      <c r="I134" s="62">
        <v>1394722</v>
      </c>
      <c r="J134" s="62">
        <v>9734129.4134850893</v>
      </c>
      <c r="K134" s="62">
        <v>8255080</v>
      </c>
      <c r="L134" s="62">
        <v>1487347</v>
      </c>
      <c r="M134" s="62">
        <v>10286417.543199999</v>
      </c>
      <c r="N134" s="62">
        <v>8498460</v>
      </c>
      <c r="O134" s="62">
        <v>1599929</v>
      </c>
      <c r="P134" s="62">
        <v>188029</v>
      </c>
      <c r="Q134" s="62">
        <v>10374344.582891179</v>
      </c>
      <c r="R134" s="62">
        <v>8558834</v>
      </c>
      <c r="S134" s="62">
        <v>1752199</v>
      </c>
      <c r="T134" s="62">
        <v>63312</v>
      </c>
      <c r="U134" s="62">
        <v>9724196.0291673597</v>
      </c>
      <c r="V134" s="62">
        <v>8552465</v>
      </c>
      <c r="W134" s="62">
        <v>1709449</v>
      </c>
      <c r="X134" s="62">
        <v>9177</v>
      </c>
      <c r="Y134" s="62">
        <v>125810</v>
      </c>
      <c r="Z134" s="62">
        <v>9832645.2214000002</v>
      </c>
      <c r="AA134" s="62">
        <v>8627525</v>
      </c>
      <c r="AB134" s="62">
        <v>1718626</v>
      </c>
      <c r="AC134" s="10">
        <v>10074274.181770001</v>
      </c>
      <c r="AD134" s="10">
        <v>8807063</v>
      </c>
      <c r="AE134" s="10">
        <v>1763706</v>
      </c>
      <c r="AF134" s="10">
        <v>9949641.3842999991</v>
      </c>
      <c r="AG134" s="10">
        <v>8901871</v>
      </c>
      <c r="AH134" s="10">
        <v>1790806</v>
      </c>
      <c r="AI134" s="10">
        <v>9617698.6389000006</v>
      </c>
      <c r="AJ134" s="10">
        <v>8555966</v>
      </c>
      <c r="AK134" s="31">
        <v>1816706</v>
      </c>
      <c r="AL134" s="10">
        <v>9693663.2637600005</v>
      </c>
      <c r="AM134" s="10">
        <v>8402066</v>
      </c>
      <c r="AN134" s="31">
        <v>1842181</v>
      </c>
      <c r="AO134" s="10">
        <v>9175786.1101999991</v>
      </c>
      <c r="AP134" s="10">
        <v>7758081</v>
      </c>
      <c r="AQ134" s="31">
        <v>1896961</v>
      </c>
    </row>
    <row r="135" spans="1:43">
      <c r="A135" s="102">
        <v>126</v>
      </c>
      <c r="B135" s="7" t="s">
        <v>1831</v>
      </c>
      <c r="C135" s="103">
        <v>17.5</v>
      </c>
      <c r="D135" s="62">
        <v>11161455</v>
      </c>
      <c r="E135" s="37">
        <v>11250796</v>
      </c>
      <c r="F135" s="62">
        <v>1441301.6</v>
      </c>
      <c r="G135" s="62">
        <v>11707485.16</v>
      </c>
      <c r="H135" s="62">
        <v>11494628</v>
      </c>
      <c r="I135" s="62">
        <v>1562803.6</v>
      </c>
      <c r="J135" s="62">
        <v>12038269.950589731</v>
      </c>
      <c r="K135" s="62">
        <v>11546692</v>
      </c>
      <c r="L135" s="62">
        <v>1725971.6</v>
      </c>
      <c r="M135" s="62">
        <v>12378598.029999999</v>
      </c>
      <c r="N135" s="62">
        <v>11167921</v>
      </c>
      <c r="O135" s="62">
        <v>1674475.6</v>
      </c>
      <c r="P135" s="62">
        <v>196790</v>
      </c>
      <c r="Q135" s="62">
        <v>12611946.734974166</v>
      </c>
      <c r="R135" s="62">
        <v>11483505</v>
      </c>
      <c r="S135" s="62">
        <v>1833840</v>
      </c>
      <c r="T135" s="62">
        <v>0</v>
      </c>
      <c r="U135" s="62">
        <v>12195817.037459999</v>
      </c>
      <c r="V135" s="62">
        <v>11202192</v>
      </c>
      <c r="W135" s="62">
        <v>1726707</v>
      </c>
      <c r="X135" s="62">
        <v>9270</v>
      </c>
      <c r="Y135" s="62">
        <v>133013</v>
      </c>
      <c r="Z135" s="62">
        <v>0</v>
      </c>
      <c r="AA135" s="62">
        <v>0</v>
      </c>
      <c r="AB135" s="62">
        <v>0</v>
      </c>
      <c r="AC135" s="10">
        <v>0</v>
      </c>
      <c r="AD135" s="10">
        <v>0</v>
      </c>
      <c r="AE135" s="10">
        <v>0</v>
      </c>
      <c r="AF135" s="10">
        <v>0</v>
      </c>
      <c r="AG135" s="10">
        <v>0</v>
      </c>
      <c r="AH135" s="10">
        <v>0</v>
      </c>
      <c r="AI135" s="10">
        <v>0</v>
      </c>
      <c r="AJ135" s="10">
        <v>0</v>
      </c>
      <c r="AK135" s="31">
        <v>0</v>
      </c>
      <c r="AL135" s="10">
        <v>0</v>
      </c>
      <c r="AM135" s="10">
        <v>0</v>
      </c>
      <c r="AN135" s="31">
        <v>0</v>
      </c>
      <c r="AO135" s="10">
        <v>0</v>
      </c>
      <c r="AP135" s="10">
        <v>0</v>
      </c>
      <c r="AQ135" s="31">
        <v>0</v>
      </c>
    </row>
    <row r="136" spans="1:43">
      <c r="A136" s="102">
        <v>127</v>
      </c>
      <c r="B136" s="7" t="s">
        <v>1832</v>
      </c>
      <c r="C136" s="103">
        <v>17.5</v>
      </c>
      <c r="D136" s="62">
        <v>3541366</v>
      </c>
      <c r="E136" s="37">
        <v>2921690</v>
      </c>
      <c r="F136" s="62">
        <v>619676</v>
      </c>
      <c r="G136" s="62">
        <v>3642953.19</v>
      </c>
      <c r="H136" s="62">
        <v>2938353</v>
      </c>
      <c r="I136" s="62">
        <v>707251</v>
      </c>
      <c r="J136" s="62">
        <v>3688012.9120416823</v>
      </c>
      <c r="K136" s="62">
        <v>2957523</v>
      </c>
      <c r="L136" s="62">
        <v>790818</v>
      </c>
      <c r="M136" s="62">
        <v>3648857.07</v>
      </c>
      <c r="N136" s="62">
        <v>2998072</v>
      </c>
      <c r="O136" s="62">
        <v>726623</v>
      </c>
      <c r="P136" s="62">
        <v>85395</v>
      </c>
      <c r="Q136" s="62">
        <v>3508714.1457454548</v>
      </c>
      <c r="R136" s="62">
        <v>3029964</v>
      </c>
      <c r="S136" s="62">
        <v>795778</v>
      </c>
      <c r="T136" s="62">
        <v>0</v>
      </c>
      <c r="U136" s="62">
        <v>3258631.5302400002</v>
      </c>
      <c r="V136" s="62">
        <v>3006599</v>
      </c>
      <c r="W136" s="62">
        <v>749289</v>
      </c>
      <c r="X136" s="62">
        <v>4022</v>
      </c>
      <c r="Y136" s="62">
        <v>51717</v>
      </c>
      <c r="Z136" s="62">
        <v>3188704</v>
      </c>
      <c r="AA136" s="62">
        <v>2995877</v>
      </c>
      <c r="AB136" s="62">
        <v>753311</v>
      </c>
      <c r="AC136" s="10">
        <v>3317758.7599999988</v>
      </c>
      <c r="AD136" s="10">
        <v>3073443</v>
      </c>
      <c r="AE136" s="10">
        <v>767671</v>
      </c>
      <c r="AF136" s="10">
        <v>3450986.7199999997</v>
      </c>
      <c r="AG136" s="10">
        <v>3186043</v>
      </c>
      <c r="AH136" s="10">
        <v>776846</v>
      </c>
      <c r="AI136" s="10">
        <v>3505759.1100000003</v>
      </c>
      <c r="AJ136" s="10">
        <v>3095381</v>
      </c>
      <c r="AK136" s="31">
        <v>786221</v>
      </c>
      <c r="AL136" s="10">
        <v>3617908.4000000004</v>
      </c>
      <c r="AM136" s="10">
        <v>3106474</v>
      </c>
      <c r="AN136" s="31">
        <v>795746</v>
      </c>
      <c r="AO136" s="10">
        <v>3350319.81</v>
      </c>
      <c r="AP136" s="10">
        <v>2835513</v>
      </c>
      <c r="AQ136" s="31">
        <v>814996</v>
      </c>
    </row>
    <row r="137" spans="1:43">
      <c r="A137" s="102">
        <v>128</v>
      </c>
      <c r="B137" s="7" t="s">
        <v>1833</v>
      </c>
      <c r="C137" s="103">
        <v>56.87</v>
      </c>
      <c r="D137" s="62">
        <v>59731907</v>
      </c>
      <c r="E137" s="37">
        <v>29319627</v>
      </c>
      <c r="F137" s="62">
        <v>31984671</v>
      </c>
      <c r="G137" s="62">
        <v>61978683.149999999</v>
      </c>
      <c r="H137" s="62">
        <v>32052321</v>
      </c>
      <c r="I137" s="62">
        <v>33057731</v>
      </c>
      <c r="J137" s="62">
        <v>65881401.521652639</v>
      </c>
      <c r="K137" s="62">
        <v>33678683</v>
      </c>
      <c r="L137" s="62">
        <v>34988016</v>
      </c>
      <c r="M137" s="62">
        <v>68099107.280000016</v>
      </c>
      <c r="N137" s="62">
        <v>34744794</v>
      </c>
      <c r="O137" s="62">
        <v>33819377</v>
      </c>
      <c r="P137" s="62">
        <v>2258641</v>
      </c>
      <c r="Q137" s="62">
        <v>71235841.205159843</v>
      </c>
      <c r="R137" s="62">
        <v>34829065</v>
      </c>
      <c r="S137" s="62">
        <v>35356458</v>
      </c>
      <c r="T137" s="62">
        <v>1050318</v>
      </c>
      <c r="U137" s="62">
        <v>70567491.926159993</v>
      </c>
      <c r="V137" s="62">
        <v>35268131</v>
      </c>
      <c r="W137" s="62">
        <v>34622057</v>
      </c>
      <c r="X137" s="62">
        <v>185867</v>
      </c>
      <c r="Y137" s="62">
        <v>1787452</v>
      </c>
      <c r="Z137" s="62">
        <v>71678180.060000002</v>
      </c>
      <c r="AA137" s="62">
        <v>35711436</v>
      </c>
      <c r="AB137" s="62">
        <v>35966744</v>
      </c>
      <c r="AC137" s="10">
        <v>77249638.609999985</v>
      </c>
      <c r="AD137" s="10">
        <v>36816955</v>
      </c>
      <c r="AE137" s="10">
        <v>40527259.019415751</v>
      </c>
      <c r="AF137" s="10">
        <v>81685330.230000004</v>
      </c>
      <c r="AG137" s="10">
        <v>37879800</v>
      </c>
      <c r="AH137" s="17">
        <f>44126723.07174+387413</f>
        <v>44514136.071740001</v>
      </c>
      <c r="AI137" s="10">
        <v>83661746.030000001</v>
      </c>
      <c r="AJ137" s="10">
        <v>38734196</v>
      </c>
      <c r="AK137" s="31">
        <v>45091781.071740001</v>
      </c>
      <c r="AL137" s="10">
        <v>85387258.689999998</v>
      </c>
      <c r="AM137" s="10">
        <v>38924761</v>
      </c>
      <c r="AN137" s="31">
        <v>46462498</v>
      </c>
      <c r="AO137" s="10">
        <v>87808524.019999996</v>
      </c>
      <c r="AP137" s="10">
        <v>38182889</v>
      </c>
      <c r="AQ137" s="31">
        <v>49625635</v>
      </c>
    </row>
    <row r="138" spans="1:43">
      <c r="A138" s="102">
        <v>129</v>
      </c>
      <c r="B138" s="7" t="s">
        <v>1834</v>
      </c>
      <c r="C138" s="103">
        <v>33.450000000000003</v>
      </c>
      <c r="D138" s="62">
        <v>48982</v>
      </c>
      <c r="E138" s="37">
        <v>21657</v>
      </c>
      <c r="F138" s="62">
        <v>27325</v>
      </c>
      <c r="G138" s="62">
        <v>32548.98</v>
      </c>
      <c r="H138" s="62">
        <v>22929</v>
      </c>
      <c r="I138" s="62">
        <v>27475</v>
      </c>
      <c r="J138" s="62">
        <v>11355.27</v>
      </c>
      <c r="K138" s="62">
        <v>7744</v>
      </c>
      <c r="L138" s="62">
        <v>11355.27</v>
      </c>
      <c r="M138" s="62">
        <v>11943.49</v>
      </c>
      <c r="N138" s="62">
        <v>6852</v>
      </c>
      <c r="O138" s="62">
        <v>11668.27</v>
      </c>
      <c r="P138" s="62">
        <v>0</v>
      </c>
      <c r="Q138" s="62">
        <v>49226.300019138762</v>
      </c>
      <c r="R138" s="62">
        <v>29178</v>
      </c>
      <c r="S138" s="62">
        <v>11435</v>
      </c>
      <c r="T138" s="62">
        <v>8613</v>
      </c>
      <c r="U138" s="62">
        <v>60179.078399999999</v>
      </c>
      <c r="V138" s="62">
        <v>31929</v>
      </c>
      <c r="W138" s="62">
        <v>28250</v>
      </c>
      <c r="X138" s="62">
        <v>0</v>
      </c>
      <c r="Y138" s="62">
        <v>0</v>
      </c>
      <c r="Z138" s="62">
        <v>49000.28</v>
      </c>
      <c r="AA138" s="62">
        <v>31936</v>
      </c>
      <c r="AB138" s="62">
        <v>28250</v>
      </c>
      <c r="AC138" s="10">
        <v>76183.260000000009</v>
      </c>
      <c r="AD138" s="10">
        <v>40981</v>
      </c>
      <c r="AE138" s="10">
        <v>35202</v>
      </c>
      <c r="AF138" s="10">
        <v>38682.05999999999</v>
      </c>
      <c r="AG138" s="10">
        <v>25218</v>
      </c>
      <c r="AH138" s="10">
        <v>35202</v>
      </c>
      <c r="AI138" s="10">
        <v>39014.69999999999</v>
      </c>
      <c r="AJ138" s="10">
        <v>24838</v>
      </c>
      <c r="AK138" s="31">
        <v>35202</v>
      </c>
      <c r="AL138" s="10">
        <v>65999.8</v>
      </c>
      <c r="AM138" s="10">
        <v>34098</v>
      </c>
      <c r="AN138" s="31">
        <v>35202</v>
      </c>
      <c r="AO138" s="10">
        <v>39512.76</v>
      </c>
      <c r="AP138" s="10">
        <v>25830</v>
      </c>
      <c r="AQ138" s="31">
        <v>35202</v>
      </c>
    </row>
    <row r="139" spans="1:43">
      <c r="A139" s="102">
        <v>130</v>
      </c>
      <c r="B139" s="7" t="s">
        <v>1835</v>
      </c>
      <c r="C139" s="103">
        <v>61.33</v>
      </c>
      <c r="D139" s="62">
        <v>0</v>
      </c>
      <c r="E139" s="37">
        <v>0</v>
      </c>
      <c r="F139" s="62">
        <v>0</v>
      </c>
      <c r="G139" s="62">
        <v>0</v>
      </c>
      <c r="H139" s="62">
        <v>0</v>
      </c>
      <c r="I139" s="62">
        <v>0</v>
      </c>
      <c r="J139" s="62">
        <v>0</v>
      </c>
      <c r="K139" s="62">
        <v>0</v>
      </c>
      <c r="L139" s="62">
        <v>0</v>
      </c>
      <c r="M139" s="62">
        <v>0</v>
      </c>
      <c r="N139" s="62">
        <v>0</v>
      </c>
      <c r="O139" s="62">
        <v>0</v>
      </c>
      <c r="P139" s="62">
        <v>0</v>
      </c>
      <c r="Q139" s="62">
        <v>0</v>
      </c>
      <c r="R139" s="62">
        <v>0</v>
      </c>
      <c r="S139" s="62">
        <v>0</v>
      </c>
      <c r="T139" s="62">
        <v>0</v>
      </c>
      <c r="U139" s="62">
        <v>0</v>
      </c>
      <c r="V139" s="62">
        <v>0</v>
      </c>
      <c r="W139" s="62">
        <v>0</v>
      </c>
      <c r="X139" s="62">
        <v>0</v>
      </c>
      <c r="Y139" s="62">
        <v>0</v>
      </c>
      <c r="Z139" s="62">
        <v>0</v>
      </c>
      <c r="AA139" s="62">
        <v>0</v>
      </c>
      <c r="AB139" s="62">
        <v>0</v>
      </c>
      <c r="AC139" s="10">
        <v>0</v>
      </c>
      <c r="AD139" s="10">
        <v>0</v>
      </c>
      <c r="AE139" s="10">
        <v>0</v>
      </c>
      <c r="AF139" s="10">
        <v>0</v>
      </c>
      <c r="AG139" s="10">
        <v>0</v>
      </c>
      <c r="AH139" s="10">
        <v>0</v>
      </c>
      <c r="AI139" s="10">
        <v>0</v>
      </c>
      <c r="AJ139" s="10">
        <v>0</v>
      </c>
      <c r="AK139" s="31">
        <v>0</v>
      </c>
      <c r="AL139" s="10">
        <v>0</v>
      </c>
      <c r="AM139" s="10">
        <v>0</v>
      </c>
      <c r="AN139" s="31">
        <v>0</v>
      </c>
      <c r="AO139" s="10">
        <v>0</v>
      </c>
      <c r="AP139" s="10">
        <v>0</v>
      </c>
      <c r="AQ139" s="31">
        <v>0</v>
      </c>
    </row>
    <row r="140" spans="1:43">
      <c r="A140" s="102">
        <v>131</v>
      </c>
      <c r="B140" s="7" t="s">
        <v>1836</v>
      </c>
      <c r="C140" s="103">
        <v>17.5</v>
      </c>
      <c r="D140" s="62">
        <v>25403781</v>
      </c>
      <c r="E140" s="37">
        <v>22762272</v>
      </c>
      <c r="F140" s="62">
        <v>3340480.4</v>
      </c>
      <c r="G140" s="62">
        <v>27560964.819960002</v>
      </c>
      <c r="H140" s="62">
        <v>23564072</v>
      </c>
      <c r="I140" s="62">
        <v>3996893</v>
      </c>
      <c r="J140" s="62">
        <v>29139913.603763632</v>
      </c>
      <c r="K140" s="62">
        <v>24642808</v>
      </c>
      <c r="L140" s="62">
        <v>4497106</v>
      </c>
      <c r="M140" s="62">
        <v>31044967.342000008</v>
      </c>
      <c r="N140" s="62">
        <v>26194370</v>
      </c>
      <c r="O140" s="62">
        <v>4340488</v>
      </c>
      <c r="P140" s="62">
        <v>510109</v>
      </c>
      <c r="Q140" s="62">
        <v>32711413.88404119</v>
      </c>
      <c r="R140" s="62">
        <v>26992341</v>
      </c>
      <c r="S140" s="62">
        <v>4753585</v>
      </c>
      <c r="T140" s="62">
        <v>965488</v>
      </c>
      <c r="U140" s="62">
        <v>32995448.474696219</v>
      </c>
      <c r="V140" s="62">
        <v>27678867</v>
      </c>
      <c r="W140" s="62">
        <v>5384965</v>
      </c>
      <c r="X140" s="62">
        <v>28909</v>
      </c>
      <c r="Y140" s="62">
        <v>403099</v>
      </c>
      <c r="Z140" s="62">
        <v>34007006.427199997</v>
      </c>
      <c r="AA140" s="62">
        <v>28453971</v>
      </c>
      <c r="AB140" s="62">
        <v>5553035</v>
      </c>
      <c r="AC140" s="10">
        <v>35828380.478589997</v>
      </c>
      <c r="AD140" s="10">
        <v>29594328</v>
      </c>
      <c r="AE140" s="10">
        <v>6234052</v>
      </c>
      <c r="AF140" s="10">
        <v>37036862.488399997</v>
      </c>
      <c r="AG140" s="10">
        <v>30669232</v>
      </c>
      <c r="AH140" s="10">
        <v>6396085.2338675</v>
      </c>
      <c r="AI140" s="10">
        <v>37371415.691150002</v>
      </c>
      <c r="AJ140" s="10">
        <v>31288570</v>
      </c>
      <c r="AK140" s="31">
        <v>6499060.2338675</v>
      </c>
      <c r="AL140" s="10">
        <v>39001020.533249997</v>
      </c>
      <c r="AM140" s="10">
        <v>32512856</v>
      </c>
      <c r="AN140" s="31">
        <v>6603785.2338675</v>
      </c>
      <c r="AO140" s="10">
        <v>40329887.992679983</v>
      </c>
      <c r="AP140" s="10">
        <v>33379675</v>
      </c>
      <c r="AQ140" s="31">
        <v>6950213</v>
      </c>
    </row>
    <row r="141" spans="1:43">
      <c r="A141" s="102">
        <v>132</v>
      </c>
      <c r="B141" s="7" t="s">
        <v>1837</v>
      </c>
      <c r="C141" s="103">
        <v>17.5</v>
      </c>
      <c r="D141" s="62">
        <v>88168</v>
      </c>
      <c r="E141" s="37">
        <v>40638</v>
      </c>
      <c r="F141" s="62">
        <v>75997</v>
      </c>
      <c r="G141" s="62">
        <v>97646.94</v>
      </c>
      <c r="H141" s="62">
        <v>51939</v>
      </c>
      <c r="I141" s="62">
        <v>80464</v>
      </c>
      <c r="J141" s="62">
        <v>158055.47</v>
      </c>
      <c r="K141" s="62">
        <v>85670</v>
      </c>
      <c r="L141" s="62">
        <v>107527</v>
      </c>
      <c r="M141" s="62">
        <v>166242.96</v>
      </c>
      <c r="N141" s="62">
        <v>90274</v>
      </c>
      <c r="O141" s="62">
        <v>111270</v>
      </c>
      <c r="P141" s="62">
        <v>0</v>
      </c>
      <c r="Q141" s="62">
        <v>123065.7500478469</v>
      </c>
      <c r="R141" s="62">
        <v>72206</v>
      </c>
      <c r="S141" s="62">
        <v>109045</v>
      </c>
      <c r="T141" s="62">
        <v>0</v>
      </c>
      <c r="U141" s="62">
        <v>179563.89048</v>
      </c>
      <c r="V141" s="62">
        <v>109118</v>
      </c>
      <c r="W141" s="62">
        <v>104683</v>
      </c>
      <c r="X141" s="62">
        <v>0</v>
      </c>
      <c r="Y141" s="62">
        <v>0</v>
      </c>
      <c r="Z141" s="62">
        <v>231760.61</v>
      </c>
      <c r="AA141" s="62">
        <v>138940</v>
      </c>
      <c r="AB141" s="62">
        <v>104683</v>
      </c>
      <c r="AC141" s="10">
        <v>176734.04000000004</v>
      </c>
      <c r="AD141" s="10">
        <v>114460</v>
      </c>
      <c r="AE141" s="10">
        <v>104683</v>
      </c>
      <c r="AF141" s="10">
        <v>218155.53</v>
      </c>
      <c r="AG141" s="10">
        <v>163644</v>
      </c>
      <c r="AH141" s="10">
        <v>104683</v>
      </c>
      <c r="AI141" s="10">
        <v>259046.25</v>
      </c>
      <c r="AJ141" s="10">
        <v>194505</v>
      </c>
      <c r="AK141" s="31">
        <v>104683</v>
      </c>
      <c r="AL141" s="10">
        <v>210131.86</v>
      </c>
      <c r="AM141" s="10">
        <v>161349</v>
      </c>
      <c r="AN141" s="31">
        <v>104683</v>
      </c>
      <c r="AO141" s="10">
        <v>222840.48</v>
      </c>
      <c r="AP141" s="10">
        <v>184676</v>
      </c>
      <c r="AQ141" s="31">
        <v>104683</v>
      </c>
    </row>
    <row r="142" spans="1:43">
      <c r="A142" s="102">
        <v>133</v>
      </c>
      <c r="B142" s="7" t="s">
        <v>1838</v>
      </c>
      <c r="C142" s="103">
        <v>45.03</v>
      </c>
      <c r="D142" s="62">
        <v>10315927</v>
      </c>
      <c r="E142" s="37">
        <v>6313474</v>
      </c>
      <c r="F142" s="62">
        <v>4191804</v>
      </c>
      <c r="G142" s="62">
        <v>11106581.581619998</v>
      </c>
      <c r="H142" s="62">
        <v>6669358</v>
      </c>
      <c r="I142" s="62">
        <v>4533288</v>
      </c>
      <c r="J142" s="62">
        <v>11701251.39486149</v>
      </c>
      <c r="K142" s="62">
        <v>6808999</v>
      </c>
      <c r="L142" s="62">
        <v>4892252</v>
      </c>
      <c r="M142" s="62">
        <v>11345667.9342</v>
      </c>
      <c r="N142" s="62">
        <v>6751013</v>
      </c>
      <c r="O142" s="62">
        <v>4434897</v>
      </c>
      <c r="P142" s="62">
        <v>521205</v>
      </c>
      <c r="Q142" s="62">
        <v>11124134.858732402</v>
      </c>
      <c r="R142" s="62">
        <v>6628581</v>
      </c>
      <c r="S142" s="62">
        <v>4856980</v>
      </c>
      <c r="T142" s="62">
        <v>0</v>
      </c>
      <c r="U142" s="62">
        <v>10564226.240915999</v>
      </c>
      <c r="V142" s="62">
        <v>6698225</v>
      </c>
      <c r="W142" s="62">
        <v>4573236</v>
      </c>
      <c r="X142" s="62">
        <v>24551</v>
      </c>
      <c r="Y142" s="62">
        <v>288168</v>
      </c>
      <c r="Z142" s="62">
        <v>11116936.478390001</v>
      </c>
      <c r="AA142" s="62">
        <v>6800968</v>
      </c>
      <c r="AB142" s="62">
        <v>4597787</v>
      </c>
      <c r="AC142" s="10">
        <v>11381036.588100001</v>
      </c>
      <c r="AD142" s="10">
        <v>6914226</v>
      </c>
      <c r="AE142" s="10">
        <v>4644027</v>
      </c>
      <c r="AF142" s="10">
        <v>11961763.44396</v>
      </c>
      <c r="AG142" s="10">
        <v>7174489</v>
      </c>
      <c r="AH142" s="10">
        <v>4881727.8637754824</v>
      </c>
      <c r="AI142" s="10">
        <v>12460674.085960001</v>
      </c>
      <c r="AJ142" s="10">
        <v>7150740</v>
      </c>
      <c r="AK142" s="31">
        <v>5309934</v>
      </c>
      <c r="AL142" s="10">
        <v>12443297.537840001</v>
      </c>
      <c r="AM142" s="10">
        <v>7047648</v>
      </c>
      <c r="AN142" s="31">
        <v>5395650</v>
      </c>
      <c r="AO142" s="10">
        <v>12499752.025560001</v>
      </c>
      <c r="AP142" s="10">
        <v>6931227</v>
      </c>
      <c r="AQ142" s="31">
        <v>5617684</v>
      </c>
    </row>
    <row r="143" spans="1:43">
      <c r="A143" s="102">
        <v>134</v>
      </c>
      <c r="B143" s="7" t="s">
        <v>1839</v>
      </c>
      <c r="C143" s="103">
        <v>40.43</v>
      </c>
      <c r="D143" s="62">
        <v>0</v>
      </c>
      <c r="E143" s="37">
        <v>41626</v>
      </c>
      <c r="F143" s="62">
        <v>0</v>
      </c>
      <c r="G143" s="62">
        <v>0</v>
      </c>
      <c r="H143" s="62">
        <v>10840</v>
      </c>
      <c r="I143" s="62">
        <v>0</v>
      </c>
      <c r="J143" s="62">
        <v>11355.27</v>
      </c>
      <c r="K143" s="62">
        <v>8053</v>
      </c>
      <c r="L143" s="62">
        <v>4441</v>
      </c>
      <c r="M143" s="62">
        <v>0</v>
      </c>
      <c r="N143" s="62">
        <v>0</v>
      </c>
      <c r="O143" s="62">
        <v>0</v>
      </c>
      <c r="P143" s="62">
        <v>0</v>
      </c>
      <c r="Q143" s="62">
        <v>0</v>
      </c>
      <c r="R143" s="62">
        <v>0</v>
      </c>
      <c r="S143" s="62">
        <v>0</v>
      </c>
      <c r="T143" s="62">
        <v>0</v>
      </c>
      <c r="U143" s="62">
        <v>0</v>
      </c>
      <c r="V143" s="62">
        <v>0</v>
      </c>
      <c r="W143" s="62">
        <v>0</v>
      </c>
      <c r="X143" s="62">
        <v>0</v>
      </c>
      <c r="Y143" s="62">
        <v>0</v>
      </c>
      <c r="Z143" s="62">
        <v>0</v>
      </c>
      <c r="AA143" s="62">
        <v>0</v>
      </c>
      <c r="AB143" s="62">
        <v>0</v>
      </c>
      <c r="AC143" s="10">
        <v>0</v>
      </c>
      <c r="AD143" s="10">
        <v>0</v>
      </c>
      <c r="AE143" s="10">
        <v>0</v>
      </c>
      <c r="AF143" s="10">
        <v>0</v>
      </c>
      <c r="AG143" s="10">
        <v>0</v>
      </c>
      <c r="AH143" s="10">
        <v>0</v>
      </c>
      <c r="AI143" s="10">
        <v>0</v>
      </c>
      <c r="AJ143" s="10">
        <v>0</v>
      </c>
      <c r="AK143" s="31">
        <v>0</v>
      </c>
      <c r="AL143" s="10">
        <v>13199.960000000001</v>
      </c>
      <c r="AM143" s="10">
        <v>7925</v>
      </c>
      <c r="AN143" s="31">
        <v>5275</v>
      </c>
      <c r="AO143" s="10">
        <v>13170.920000000002</v>
      </c>
      <c r="AP143" s="10">
        <v>7908</v>
      </c>
      <c r="AQ143" s="31">
        <v>5318</v>
      </c>
    </row>
    <row r="144" spans="1:43">
      <c r="A144" s="102">
        <v>135</v>
      </c>
      <c r="B144" s="7" t="s">
        <v>1840</v>
      </c>
      <c r="C144" s="103">
        <v>42.28</v>
      </c>
      <c r="D144" s="62">
        <v>1359210</v>
      </c>
      <c r="E144" s="37">
        <v>887960</v>
      </c>
      <c r="F144" s="62">
        <v>664264.4</v>
      </c>
      <c r="G144" s="62">
        <v>1587801.09</v>
      </c>
      <c r="H144" s="62">
        <v>867451</v>
      </c>
      <c r="I144" s="62">
        <v>792435</v>
      </c>
      <c r="J144" s="62">
        <v>1588437.3443519876</v>
      </c>
      <c r="K144" s="62">
        <v>838841</v>
      </c>
      <c r="L144" s="62">
        <v>802385</v>
      </c>
      <c r="M144" s="62">
        <v>1766981.09</v>
      </c>
      <c r="N144" s="62">
        <v>954681</v>
      </c>
      <c r="O144" s="62">
        <v>795938</v>
      </c>
      <c r="P144" s="62">
        <v>93541</v>
      </c>
      <c r="Q144" s="62">
        <v>1972860.5563712921</v>
      </c>
      <c r="R144" s="62">
        <v>1032537</v>
      </c>
      <c r="S144" s="62">
        <v>871689</v>
      </c>
      <c r="T144" s="62">
        <v>68635</v>
      </c>
      <c r="U144" s="62">
        <v>1871122.0890599999</v>
      </c>
      <c r="V144" s="62">
        <v>1073712</v>
      </c>
      <c r="W144" s="62">
        <v>885390</v>
      </c>
      <c r="X144" s="62">
        <v>4753</v>
      </c>
      <c r="Y144" s="62">
        <v>55456</v>
      </c>
      <c r="Z144" s="62">
        <v>1879808.57</v>
      </c>
      <c r="AA144" s="62">
        <v>1112638</v>
      </c>
      <c r="AB144" s="62">
        <v>890143</v>
      </c>
      <c r="AC144" s="10">
        <v>1763923.64</v>
      </c>
      <c r="AD144" s="10">
        <v>1024852</v>
      </c>
      <c r="AE144" s="10">
        <v>897623</v>
      </c>
      <c r="AF144" s="10">
        <v>1787430.03</v>
      </c>
      <c r="AG144" s="10">
        <v>1049519</v>
      </c>
      <c r="AH144" s="10">
        <v>902423</v>
      </c>
      <c r="AI144" s="10">
        <v>1736861.59</v>
      </c>
      <c r="AJ144" s="10">
        <v>1013330</v>
      </c>
      <c r="AK144" s="31">
        <v>907048</v>
      </c>
      <c r="AL144" s="10">
        <v>1599126.75</v>
      </c>
      <c r="AM144" s="10">
        <v>961437</v>
      </c>
      <c r="AN144" s="31">
        <v>911123</v>
      </c>
      <c r="AO144" s="10">
        <v>1464807.0700000003</v>
      </c>
      <c r="AP144" s="10">
        <v>854286</v>
      </c>
      <c r="AQ144" s="31">
        <v>919098</v>
      </c>
    </row>
    <row r="145" spans="1:43">
      <c r="A145" s="102">
        <v>136</v>
      </c>
      <c r="B145" s="7" t="s">
        <v>1841</v>
      </c>
      <c r="C145" s="103">
        <v>28.31</v>
      </c>
      <c r="D145" s="62">
        <v>20308343</v>
      </c>
      <c r="E145" s="37">
        <v>15968390</v>
      </c>
      <c r="F145" s="62">
        <v>5943728.7999999998</v>
      </c>
      <c r="G145" s="62">
        <v>21289179.32736</v>
      </c>
      <c r="H145" s="62">
        <v>16431845</v>
      </c>
      <c r="I145" s="62">
        <v>6258871.7999999998</v>
      </c>
      <c r="J145" s="62">
        <v>21897651.375525266</v>
      </c>
      <c r="K145" s="62">
        <v>16494287</v>
      </c>
      <c r="L145" s="62">
        <v>6476815.7999999998</v>
      </c>
      <c r="M145" s="62">
        <v>23131552.826769996</v>
      </c>
      <c r="N145" s="62">
        <v>16702590</v>
      </c>
      <c r="O145" s="62">
        <v>6156408.7999999998</v>
      </c>
      <c r="P145" s="62">
        <v>723523</v>
      </c>
      <c r="Q145" s="62">
        <v>23686855.094075777</v>
      </c>
      <c r="R145" s="62">
        <v>16771102</v>
      </c>
      <c r="S145" s="62">
        <v>6742333</v>
      </c>
      <c r="T145" s="62">
        <v>173420</v>
      </c>
      <c r="U145" s="62">
        <v>22575963.196708795</v>
      </c>
      <c r="V145" s="62">
        <v>16700563</v>
      </c>
      <c r="W145" s="62">
        <v>6511735</v>
      </c>
      <c r="X145" s="62">
        <v>34958</v>
      </c>
      <c r="Y145" s="62">
        <v>435435</v>
      </c>
      <c r="Z145" s="62">
        <v>23040981.368379999</v>
      </c>
      <c r="AA145" s="62">
        <v>16787957</v>
      </c>
      <c r="AB145" s="62">
        <v>6546693</v>
      </c>
      <c r="AC145" s="10">
        <v>23796222.088170003</v>
      </c>
      <c r="AD145" s="10">
        <v>17016065</v>
      </c>
      <c r="AE145" s="10">
        <v>7025699.6612902638</v>
      </c>
      <c r="AF145" s="10">
        <v>24224596.215680003</v>
      </c>
      <c r="AG145" s="10">
        <v>17524292</v>
      </c>
      <c r="AH145" s="10">
        <v>7091024.6612902638</v>
      </c>
      <c r="AI145" s="10">
        <v>24025115.2018</v>
      </c>
      <c r="AJ145" s="10">
        <v>17695327</v>
      </c>
      <c r="AK145" s="31">
        <v>7155224.6612902638</v>
      </c>
      <c r="AL145" s="10">
        <v>24361946.347450003</v>
      </c>
      <c r="AM145" s="10">
        <v>17968840</v>
      </c>
      <c r="AN145" s="31">
        <v>7219349.6612902638</v>
      </c>
      <c r="AO145" s="10">
        <v>24902897.913260002</v>
      </c>
      <c r="AP145" s="10">
        <v>17988443</v>
      </c>
      <c r="AQ145" s="31">
        <v>7363119.6612902638</v>
      </c>
    </row>
    <row r="146" spans="1:43">
      <c r="A146" s="102">
        <v>137</v>
      </c>
      <c r="B146" s="7" t="s">
        <v>1842</v>
      </c>
      <c r="C146" s="103">
        <v>78.930000000000007</v>
      </c>
      <c r="D146" s="62">
        <v>67827362</v>
      </c>
      <c r="E146" s="37">
        <v>6811798</v>
      </c>
      <c r="F146" s="62">
        <v>61015564</v>
      </c>
      <c r="G146" s="62">
        <v>72388532.229999989</v>
      </c>
      <c r="H146" s="62">
        <v>7289305</v>
      </c>
      <c r="I146" s="62">
        <v>65099227</v>
      </c>
      <c r="J146" s="62">
        <v>73576060.433260515</v>
      </c>
      <c r="K146" s="62">
        <v>7637734</v>
      </c>
      <c r="L146" s="62">
        <v>66054475</v>
      </c>
      <c r="M146" s="62">
        <v>75721641.38000001</v>
      </c>
      <c r="N146" s="62">
        <v>7973794</v>
      </c>
      <c r="O146" s="62">
        <v>60651347</v>
      </c>
      <c r="P146" s="62">
        <v>7127961</v>
      </c>
      <c r="Q146" s="62">
        <v>76657779.796516746</v>
      </c>
      <c r="R146" s="62">
        <v>8297090</v>
      </c>
      <c r="S146" s="62">
        <v>66423722</v>
      </c>
      <c r="T146" s="62">
        <v>1936968</v>
      </c>
      <c r="U146" s="62">
        <v>73138531.001340002</v>
      </c>
      <c r="V146" s="62">
        <v>8592467</v>
      </c>
      <c r="W146" s="62">
        <v>64367063</v>
      </c>
      <c r="X146" s="62">
        <v>345551</v>
      </c>
      <c r="Y146" s="62">
        <v>3815151</v>
      </c>
      <c r="Z146" s="62">
        <v>76399996.650000006</v>
      </c>
      <c r="AA146" s="62">
        <v>8863130</v>
      </c>
      <c r="AB146" s="62">
        <v>67536867</v>
      </c>
      <c r="AC146" s="10">
        <v>78653933.859999999</v>
      </c>
      <c r="AD146" s="10">
        <v>9198156</v>
      </c>
      <c r="AE146" s="10">
        <v>69455778</v>
      </c>
      <c r="AF146" s="10">
        <v>78916203.399999991</v>
      </c>
      <c r="AG146" s="10">
        <v>9463063</v>
      </c>
      <c r="AH146" s="10">
        <v>69621603</v>
      </c>
      <c r="AI146" s="10">
        <v>78698902.669999987</v>
      </c>
      <c r="AJ146" s="10">
        <v>9692069</v>
      </c>
      <c r="AK146" s="31">
        <v>69785403</v>
      </c>
      <c r="AL146" s="10">
        <v>80596955.480000004</v>
      </c>
      <c r="AM146" s="10">
        <v>10055521</v>
      </c>
      <c r="AN146" s="31">
        <v>70541434</v>
      </c>
      <c r="AO146" s="10">
        <v>80344375.670000002</v>
      </c>
      <c r="AP146" s="10">
        <v>10380314</v>
      </c>
      <c r="AQ146" s="31">
        <v>70897779</v>
      </c>
    </row>
    <row r="147" spans="1:43">
      <c r="A147" s="102">
        <v>138</v>
      </c>
      <c r="B147" s="7" t="s">
        <v>1843</v>
      </c>
      <c r="C147" s="103">
        <v>45.99</v>
      </c>
      <c r="D147" s="62">
        <v>7472867</v>
      </c>
      <c r="E147" s="37">
        <v>2486366</v>
      </c>
      <c r="F147" s="62">
        <v>5057500</v>
      </c>
      <c r="G147" s="62">
        <v>8292536.7375000007</v>
      </c>
      <c r="H147" s="62">
        <v>2670563</v>
      </c>
      <c r="I147" s="62">
        <v>5621974</v>
      </c>
      <c r="J147" s="62">
        <v>8815309.2047224138</v>
      </c>
      <c r="K147" s="62">
        <v>2839812</v>
      </c>
      <c r="L147" s="62">
        <v>5975497</v>
      </c>
      <c r="M147" s="62">
        <v>9235166.8740800004</v>
      </c>
      <c r="N147" s="62">
        <v>2966673</v>
      </c>
      <c r="O147" s="62">
        <v>5609272</v>
      </c>
      <c r="P147" s="62">
        <v>659222</v>
      </c>
      <c r="Q147" s="62">
        <v>9728111.1448041964</v>
      </c>
      <c r="R147" s="62">
        <v>4701926</v>
      </c>
      <c r="S147" s="62">
        <v>6143124</v>
      </c>
      <c r="T147" s="62">
        <v>0</v>
      </c>
      <c r="U147" s="62">
        <v>9332695.0668703802</v>
      </c>
      <c r="V147" s="62">
        <v>4752702</v>
      </c>
      <c r="W147" s="62">
        <v>5784243</v>
      </c>
      <c r="X147" s="62">
        <v>31052</v>
      </c>
      <c r="Y147" s="62">
        <v>355029</v>
      </c>
      <c r="Z147" s="62">
        <v>9580765.2985399999</v>
      </c>
      <c r="AA147" s="62">
        <v>4942015</v>
      </c>
      <c r="AB147" s="62">
        <v>5815295</v>
      </c>
      <c r="AC147" s="10">
        <v>10187944.10832</v>
      </c>
      <c r="AD147" s="10">
        <v>5093347</v>
      </c>
      <c r="AE147" s="10">
        <v>5859695</v>
      </c>
      <c r="AF147" s="10">
        <v>10400760.003870001</v>
      </c>
      <c r="AG147" s="10">
        <v>5244027</v>
      </c>
      <c r="AH147" s="10">
        <v>5887320</v>
      </c>
      <c r="AI147" s="10">
        <v>10475107.010799998</v>
      </c>
      <c r="AJ147" s="10">
        <v>5458850</v>
      </c>
      <c r="AK147" s="31">
        <v>5914920</v>
      </c>
      <c r="AL147" s="10">
        <v>10396781.262500001</v>
      </c>
      <c r="AM147" s="10">
        <v>5558390</v>
      </c>
      <c r="AN147" s="31">
        <v>5941845</v>
      </c>
      <c r="AO147" s="10">
        <v>10041924.281359999</v>
      </c>
      <c r="AP147" s="10">
        <v>5468971</v>
      </c>
      <c r="AQ147" s="31">
        <v>5999100</v>
      </c>
    </row>
    <row r="148" spans="1:43">
      <c r="A148" s="102">
        <v>139</v>
      </c>
      <c r="B148" s="7" t="s">
        <v>1844</v>
      </c>
      <c r="C148" s="103">
        <v>17.5</v>
      </c>
      <c r="D148" s="62">
        <v>24098111</v>
      </c>
      <c r="E148" s="37">
        <v>19256994</v>
      </c>
      <c r="F148" s="62">
        <v>4841117</v>
      </c>
      <c r="G148" s="62">
        <v>25867183.04544</v>
      </c>
      <c r="H148" s="62">
        <v>20502679</v>
      </c>
      <c r="I148" s="62">
        <v>5364504</v>
      </c>
      <c r="J148" s="62">
        <v>26814198.336775228</v>
      </c>
      <c r="K148" s="62">
        <v>21690292</v>
      </c>
      <c r="L148" s="62">
        <v>5538660</v>
      </c>
      <c r="M148" s="62">
        <v>28242723.701650001</v>
      </c>
      <c r="N148" s="62">
        <v>22606527</v>
      </c>
      <c r="O148" s="62">
        <v>5179893</v>
      </c>
      <c r="P148" s="62">
        <v>608759</v>
      </c>
      <c r="Q148" s="62">
        <v>29889258.479898021</v>
      </c>
      <c r="R148" s="62">
        <v>24108745</v>
      </c>
      <c r="S148" s="62">
        <v>5672879</v>
      </c>
      <c r="T148" s="62">
        <v>107634</v>
      </c>
      <c r="U148" s="62">
        <v>29092218.3157188</v>
      </c>
      <c r="V148" s="62">
        <v>24749829</v>
      </c>
      <c r="W148" s="62">
        <v>5442815</v>
      </c>
      <c r="X148" s="62">
        <v>29220</v>
      </c>
      <c r="Y148" s="62">
        <v>392928</v>
      </c>
      <c r="Z148" s="62">
        <v>29701471.955480002</v>
      </c>
      <c r="AA148" s="62">
        <v>25246689</v>
      </c>
      <c r="AB148" s="62">
        <v>5472035</v>
      </c>
      <c r="AC148" s="10">
        <v>31278850.639399998</v>
      </c>
      <c r="AD148" s="10">
        <v>26008119</v>
      </c>
      <c r="AE148" s="10">
        <v>5705503.4027372804</v>
      </c>
      <c r="AF148" s="10">
        <v>32117617.453449998</v>
      </c>
      <c r="AG148" s="10">
        <v>26860574</v>
      </c>
      <c r="AH148" s="10">
        <v>5789203.4027372804</v>
      </c>
      <c r="AI148" s="10">
        <v>32526014.474999998</v>
      </c>
      <c r="AJ148" s="10">
        <v>27549192</v>
      </c>
      <c r="AK148" s="31">
        <v>5873878.4027372804</v>
      </c>
      <c r="AL148" s="10">
        <v>33687637.267440006</v>
      </c>
      <c r="AM148" s="10">
        <v>28536777</v>
      </c>
      <c r="AN148" s="31">
        <v>5961103.4027372804</v>
      </c>
      <c r="AO148" s="10">
        <v>33817637.171700001</v>
      </c>
      <c r="AP148" s="10">
        <v>28266492</v>
      </c>
      <c r="AQ148" s="31">
        <v>6152833.4027372804</v>
      </c>
    </row>
    <row r="149" spans="1:43">
      <c r="A149" s="102">
        <v>140</v>
      </c>
      <c r="B149" s="7" t="s">
        <v>1845</v>
      </c>
      <c r="C149" s="103">
        <v>46.13</v>
      </c>
      <c r="D149" s="62">
        <v>9796</v>
      </c>
      <c r="E149" s="37">
        <v>1348</v>
      </c>
      <c r="F149" s="62">
        <v>8448</v>
      </c>
      <c r="G149" s="62">
        <v>0</v>
      </c>
      <c r="H149" s="62">
        <v>362</v>
      </c>
      <c r="I149" s="62">
        <v>0</v>
      </c>
      <c r="J149" s="62">
        <v>11355.27</v>
      </c>
      <c r="K149" s="62">
        <v>3159</v>
      </c>
      <c r="L149" s="62">
        <v>8196</v>
      </c>
      <c r="M149" s="62">
        <v>11943.49</v>
      </c>
      <c r="N149" s="62">
        <v>3356</v>
      </c>
      <c r="O149" s="62">
        <v>8587</v>
      </c>
      <c r="P149" s="62">
        <v>0</v>
      </c>
      <c r="Q149" s="62">
        <v>12306.57500478469</v>
      </c>
      <c r="R149" s="62">
        <v>4308</v>
      </c>
      <c r="S149" s="62">
        <v>8415</v>
      </c>
      <c r="T149" s="62">
        <v>0</v>
      </c>
      <c r="U149" s="62">
        <v>0</v>
      </c>
      <c r="V149" s="62">
        <v>0</v>
      </c>
      <c r="W149" s="62">
        <v>0</v>
      </c>
      <c r="X149" s="62">
        <v>0</v>
      </c>
      <c r="Y149" s="62">
        <v>0</v>
      </c>
      <c r="Z149" s="62">
        <v>24500.14</v>
      </c>
      <c r="AA149" s="62">
        <v>9683</v>
      </c>
      <c r="AB149" s="62">
        <v>14817</v>
      </c>
      <c r="AC149" s="10">
        <v>0</v>
      </c>
      <c r="AD149" s="10">
        <v>0</v>
      </c>
      <c r="AE149" s="10">
        <v>0</v>
      </c>
      <c r="AF149" s="10">
        <v>0</v>
      </c>
      <c r="AG149" s="10">
        <v>0</v>
      </c>
      <c r="AH149" s="10">
        <v>0</v>
      </c>
      <c r="AI149" s="10">
        <v>0</v>
      </c>
      <c r="AJ149" s="10">
        <v>0</v>
      </c>
      <c r="AK149" s="31">
        <v>0</v>
      </c>
      <c r="AL149" s="10">
        <v>0</v>
      </c>
      <c r="AM149" s="10">
        <v>0</v>
      </c>
      <c r="AN149" s="31">
        <v>0</v>
      </c>
      <c r="AO149" s="10">
        <v>0</v>
      </c>
      <c r="AP149" s="10">
        <v>0</v>
      </c>
      <c r="AQ149" s="31">
        <v>0</v>
      </c>
    </row>
    <row r="150" spans="1:43">
      <c r="A150" s="102">
        <v>141</v>
      </c>
      <c r="B150" s="7" t="s">
        <v>1846</v>
      </c>
      <c r="C150" s="103">
        <v>40.5</v>
      </c>
      <c r="D150" s="62">
        <v>19050737</v>
      </c>
      <c r="E150" s="37">
        <v>14410446</v>
      </c>
      <c r="F150" s="62">
        <v>5370695</v>
      </c>
      <c r="G150" s="62">
        <v>20737185.89144</v>
      </c>
      <c r="H150" s="62">
        <v>14946735</v>
      </c>
      <c r="I150" s="62">
        <v>5923344</v>
      </c>
      <c r="J150" s="62">
        <v>22500615.0596264</v>
      </c>
      <c r="K150" s="62">
        <v>15356761</v>
      </c>
      <c r="L150" s="62">
        <v>7143854</v>
      </c>
      <c r="M150" s="62">
        <v>23936352.536320001</v>
      </c>
      <c r="N150" s="62">
        <v>15521036</v>
      </c>
      <c r="O150" s="62">
        <v>7530326</v>
      </c>
      <c r="P150" s="62">
        <v>884991</v>
      </c>
      <c r="Q150" s="62">
        <v>25532071.962211221</v>
      </c>
      <c r="R150" s="62">
        <v>16165733</v>
      </c>
      <c r="S150" s="62">
        <v>8247011</v>
      </c>
      <c r="T150" s="62">
        <v>1119328</v>
      </c>
      <c r="U150" s="62">
        <v>25192997.510822278</v>
      </c>
      <c r="V150" s="62">
        <v>16204219</v>
      </c>
      <c r="W150" s="62">
        <v>8819158</v>
      </c>
      <c r="X150" s="62">
        <v>47345</v>
      </c>
      <c r="Y150" s="62">
        <v>569311</v>
      </c>
      <c r="Z150" s="62">
        <v>25384240.533760004</v>
      </c>
      <c r="AA150" s="62">
        <v>16175387</v>
      </c>
      <c r="AB150" s="62">
        <v>9208854</v>
      </c>
      <c r="AC150" s="10">
        <v>26736601.318939991</v>
      </c>
      <c r="AD150" s="10">
        <v>16738223</v>
      </c>
      <c r="AE150" s="10">
        <v>10247974.530620005</v>
      </c>
      <c r="AF150" s="10">
        <v>26971069.026599996</v>
      </c>
      <c r="AG150" s="10">
        <v>17041341</v>
      </c>
      <c r="AH150" s="10">
        <v>10495017.737085393</v>
      </c>
      <c r="AI150" s="10">
        <v>27792860.269480001</v>
      </c>
      <c r="AJ150" s="10">
        <v>16943537</v>
      </c>
      <c r="AK150" s="31">
        <v>10859646.737085393</v>
      </c>
      <c r="AL150" s="10">
        <v>28189612.605080001</v>
      </c>
      <c r="AM150" s="10">
        <v>16846912</v>
      </c>
      <c r="AN150" s="31">
        <v>11342701</v>
      </c>
      <c r="AO150" s="10">
        <v>27512651.906879999</v>
      </c>
      <c r="AP150" s="10">
        <v>16516841</v>
      </c>
      <c r="AQ150" s="31">
        <v>11490541</v>
      </c>
    </row>
    <row r="151" spans="1:43">
      <c r="A151" s="102">
        <v>142</v>
      </c>
      <c r="B151" s="7" t="s">
        <v>1847</v>
      </c>
      <c r="C151" s="103">
        <v>17.5</v>
      </c>
      <c r="D151" s="62">
        <v>11353848</v>
      </c>
      <c r="E151" s="37">
        <v>8981808</v>
      </c>
      <c r="F151" s="62">
        <v>3687093.2</v>
      </c>
      <c r="G151" s="62">
        <v>11214367.350959999</v>
      </c>
      <c r="H151" s="62">
        <v>9384311</v>
      </c>
      <c r="I151" s="62">
        <v>3756143.2</v>
      </c>
      <c r="J151" s="62">
        <v>11280495.442531671</v>
      </c>
      <c r="K151" s="62">
        <v>9618212</v>
      </c>
      <c r="L151" s="62">
        <v>3823493.2</v>
      </c>
      <c r="M151" s="62">
        <v>11671069.35836</v>
      </c>
      <c r="N151" s="62">
        <v>9831732</v>
      </c>
      <c r="O151" s="62">
        <v>3482560.2</v>
      </c>
      <c r="P151" s="62">
        <v>409283</v>
      </c>
      <c r="Q151" s="62">
        <v>11794688.48922978</v>
      </c>
      <c r="R151" s="62">
        <v>9783137</v>
      </c>
      <c r="S151" s="62">
        <v>3814006</v>
      </c>
      <c r="T151" s="62">
        <v>0</v>
      </c>
      <c r="U151" s="62">
        <v>11155892.276219161</v>
      </c>
      <c r="V151" s="62">
        <v>9798290</v>
      </c>
      <c r="W151" s="62">
        <v>3591192</v>
      </c>
      <c r="X151" s="62">
        <v>19279</v>
      </c>
      <c r="Y151" s="62">
        <v>234235</v>
      </c>
      <c r="Z151" s="62">
        <v>10984440.041849999</v>
      </c>
      <c r="AA151" s="62">
        <v>9799215</v>
      </c>
      <c r="AB151" s="62">
        <v>3610471</v>
      </c>
      <c r="AC151" s="10">
        <v>10867343.796599999</v>
      </c>
      <c r="AD151" s="10">
        <v>9900725</v>
      </c>
      <c r="AE151" s="10">
        <v>3654871</v>
      </c>
      <c r="AF151" s="10">
        <v>10592145.907740001</v>
      </c>
      <c r="AG151" s="10">
        <v>9917428</v>
      </c>
      <c r="AH151" s="10">
        <v>3681846</v>
      </c>
      <c r="AI151" s="10">
        <v>10591221.700679999</v>
      </c>
      <c r="AJ151" s="10">
        <v>9492718</v>
      </c>
      <c r="AK151" s="31">
        <v>3708196</v>
      </c>
      <c r="AL151" s="10">
        <v>10627740.812809998</v>
      </c>
      <c r="AM151" s="10">
        <v>9322055</v>
      </c>
      <c r="AN151" s="31">
        <v>3734246</v>
      </c>
      <c r="AO151" s="10">
        <v>10359200.878399998</v>
      </c>
      <c r="AP151" s="10">
        <v>8708283</v>
      </c>
      <c r="AQ151" s="31">
        <v>3789356</v>
      </c>
    </row>
    <row r="152" spans="1:43">
      <c r="A152" s="102">
        <v>143</v>
      </c>
      <c r="B152" s="7" t="s">
        <v>1848</v>
      </c>
      <c r="C152" s="103">
        <v>42.15</v>
      </c>
      <c r="D152" s="62">
        <v>127431</v>
      </c>
      <c r="E152" s="37">
        <v>66133</v>
      </c>
      <c r="F152" s="62">
        <v>89877</v>
      </c>
      <c r="G152" s="62">
        <v>216115.81</v>
      </c>
      <c r="H152" s="62">
        <v>74385</v>
      </c>
      <c r="I152" s="62">
        <v>144631</v>
      </c>
      <c r="J152" s="62">
        <v>248897.63</v>
      </c>
      <c r="K152" s="62">
        <v>92185</v>
      </c>
      <c r="L152" s="62">
        <v>163818</v>
      </c>
      <c r="M152" s="62">
        <v>345395.31</v>
      </c>
      <c r="N152" s="62">
        <v>131667</v>
      </c>
      <c r="O152" s="62">
        <v>218880</v>
      </c>
      <c r="P152" s="62">
        <v>0</v>
      </c>
      <c r="Q152" s="62">
        <v>380508.56721148331</v>
      </c>
      <c r="R152" s="62">
        <v>174361</v>
      </c>
      <c r="S152" s="62">
        <v>214502</v>
      </c>
      <c r="T152" s="62">
        <v>0</v>
      </c>
      <c r="U152" s="62">
        <v>360101.12568</v>
      </c>
      <c r="V152" s="62">
        <v>174095</v>
      </c>
      <c r="W152" s="62">
        <v>205922</v>
      </c>
      <c r="X152" s="62">
        <v>0</v>
      </c>
      <c r="Y152" s="62">
        <v>0</v>
      </c>
      <c r="Z152" s="62">
        <v>403261.59</v>
      </c>
      <c r="AA152" s="62">
        <v>188394</v>
      </c>
      <c r="AB152" s="62">
        <v>214868</v>
      </c>
      <c r="AC152" s="10">
        <v>493137.38999999996</v>
      </c>
      <c r="AD152" s="10">
        <v>235451</v>
      </c>
      <c r="AE152" s="10">
        <v>257686</v>
      </c>
      <c r="AF152" s="10">
        <v>474993.12</v>
      </c>
      <c r="AG152" s="10">
        <v>238640</v>
      </c>
      <c r="AH152" s="10">
        <v>257686</v>
      </c>
      <c r="AI152" s="10">
        <v>466072.9</v>
      </c>
      <c r="AJ152" s="10">
        <v>251663</v>
      </c>
      <c r="AK152" s="31">
        <v>257686</v>
      </c>
      <c r="AL152" s="10">
        <v>328931.5</v>
      </c>
      <c r="AM152" s="10">
        <v>187234</v>
      </c>
      <c r="AN152" s="31">
        <v>257686</v>
      </c>
      <c r="AO152" s="10">
        <v>328207.83999999997</v>
      </c>
      <c r="AP152" s="10">
        <v>191008</v>
      </c>
      <c r="AQ152" s="31">
        <v>257686</v>
      </c>
    </row>
    <row r="153" spans="1:43">
      <c r="A153" s="102">
        <v>144</v>
      </c>
      <c r="B153" s="7" t="s">
        <v>1849</v>
      </c>
      <c r="C153" s="103">
        <v>17.5</v>
      </c>
      <c r="D153" s="62">
        <v>14041498</v>
      </c>
      <c r="E153" s="37">
        <v>12710447</v>
      </c>
      <c r="F153" s="62">
        <v>2066540</v>
      </c>
      <c r="G153" s="62">
        <v>14992137.828520002</v>
      </c>
      <c r="H153" s="62">
        <v>13156596</v>
      </c>
      <c r="I153" s="62">
        <v>2232902</v>
      </c>
      <c r="J153" s="62">
        <v>15825233.977843994</v>
      </c>
      <c r="K153" s="62">
        <v>13644898</v>
      </c>
      <c r="L153" s="62">
        <v>2393856</v>
      </c>
      <c r="M153" s="62">
        <v>16400242.809939997</v>
      </c>
      <c r="N153" s="62">
        <v>14112689</v>
      </c>
      <c r="O153" s="62">
        <v>2282723</v>
      </c>
      <c r="P153" s="62">
        <v>268274</v>
      </c>
      <c r="Q153" s="62">
        <v>16957084.776921969</v>
      </c>
      <c r="R153" s="62">
        <v>14253296</v>
      </c>
      <c r="S153" s="62">
        <v>2499977</v>
      </c>
      <c r="T153" s="62">
        <v>203812</v>
      </c>
      <c r="U153" s="62">
        <v>16906352.002642978</v>
      </c>
      <c r="V153" s="62">
        <v>14393705</v>
      </c>
      <c r="W153" s="62">
        <v>2545833</v>
      </c>
      <c r="X153" s="62">
        <v>13667</v>
      </c>
      <c r="Y153" s="62">
        <v>193189</v>
      </c>
      <c r="Z153" s="62">
        <v>17102812.789599996</v>
      </c>
      <c r="AA153" s="62">
        <v>14677975</v>
      </c>
      <c r="AB153" s="62">
        <v>2559500</v>
      </c>
      <c r="AC153" s="10">
        <v>17797548.09409</v>
      </c>
      <c r="AD153" s="10">
        <v>15205869</v>
      </c>
      <c r="AE153" s="10">
        <v>2722401.9791164375</v>
      </c>
      <c r="AF153" s="10">
        <v>18113898.173040003</v>
      </c>
      <c r="AG153" s="10">
        <v>15501270</v>
      </c>
      <c r="AH153" s="17">
        <f>2834284.52940783+109486</f>
        <v>2943770.52940783</v>
      </c>
      <c r="AI153" s="10">
        <v>18277939.337160002</v>
      </c>
      <c r="AJ153" s="10">
        <v>15616820</v>
      </c>
      <c r="AK153" s="31">
        <v>3032974.52940783</v>
      </c>
      <c r="AL153" s="10">
        <v>18118176.856480002</v>
      </c>
      <c r="AM153" s="10">
        <v>15505476</v>
      </c>
      <c r="AN153" s="31">
        <v>3079599.52940783</v>
      </c>
      <c r="AO153" s="10">
        <v>17848954.323200006</v>
      </c>
      <c r="AP153" s="10">
        <v>14939873</v>
      </c>
      <c r="AQ153" s="31">
        <v>3178709.52940783</v>
      </c>
    </row>
    <row r="154" spans="1:43">
      <c r="A154" s="102">
        <v>145</v>
      </c>
      <c r="B154" s="7" t="s">
        <v>1850</v>
      </c>
      <c r="C154" s="103">
        <v>38.74</v>
      </c>
      <c r="D154" s="62">
        <v>7998550</v>
      </c>
      <c r="E154" s="37">
        <v>4971749</v>
      </c>
      <c r="F154" s="62">
        <v>3291409</v>
      </c>
      <c r="G154" s="62">
        <v>8273057.0684000002</v>
      </c>
      <c r="H154" s="62">
        <v>5048628</v>
      </c>
      <c r="I154" s="62">
        <v>3382518</v>
      </c>
      <c r="J154" s="62">
        <v>8552328.663848212</v>
      </c>
      <c r="K154" s="62">
        <v>5164589</v>
      </c>
      <c r="L154" s="62">
        <v>3471243</v>
      </c>
      <c r="M154" s="62">
        <v>9261013.0245499983</v>
      </c>
      <c r="N154" s="62">
        <v>5370868</v>
      </c>
      <c r="O154" s="62">
        <v>3481041</v>
      </c>
      <c r="P154" s="62">
        <v>409104</v>
      </c>
      <c r="Q154" s="62">
        <v>10163781.091275636</v>
      </c>
      <c r="R154" s="62">
        <v>6164282</v>
      </c>
      <c r="S154" s="62">
        <v>3812342</v>
      </c>
      <c r="T154" s="62">
        <v>187157</v>
      </c>
      <c r="U154" s="62">
        <v>9993589.1704833005</v>
      </c>
      <c r="V154" s="62">
        <v>6118107</v>
      </c>
      <c r="W154" s="62">
        <v>3801121</v>
      </c>
      <c r="X154" s="62">
        <v>20406</v>
      </c>
      <c r="Y154" s="62">
        <v>208222</v>
      </c>
      <c r="Z154" s="62">
        <v>10250129.685999997</v>
      </c>
      <c r="AA154" s="62">
        <v>6235286</v>
      </c>
      <c r="AB154" s="62">
        <v>4014844</v>
      </c>
      <c r="AC154" s="10">
        <v>10455362.598579997</v>
      </c>
      <c r="AD154" s="10">
        <v>6361939</v>
      </c>
      <c r="AE154" s="10">
        <v>4130764.5356259407</v>
      </c>
      <c r="AF154" s="10">
        <v>10405973.177240001</v>
      </c>
      <c r="AG154" s="10">
        <v>6503570</v>
      </c>
      <c r="AH154" s="10">
        <v>4159864.5356259407</v>
      </c>
      <c r="AI154" s="10">
        <v>10520096.445809999</v>
      </c>
      <c r="AJ154" s="10">
        <v>6787210</v>
      </c>
      <c r="AK154" s="31">
        <v>4188864.5356259407</v>
      </c>
      <c r="AL154" s="10">
        <v>10093730.667000001</v>
      </c>
      <c r="AM154" s="10">
        <v>6547555</v>
      </c>
      <c r="AN154" s="31">
        <v>4216164.5356259402</v>
      </c>
      <c r="AO154" s="10">
        <v>10429935.11328</v>
      </c>
      <c r="AP154" s="10">
        <v>6471707</v>
      </c>
      <c r="AQ154" s="31">
        <v>4276884.5356259402</v>
      </c>
    </row>
    <row r="155" spans="1:43">
      <c r="A155" s="102">
        <v>146</v>
      </c>
      <c r="B155" s="7" t="s">
        <v>1851</v>
      </c>
      <c r="C155" s="103">
        <v>34.67</v>
      </c>
      <c r="D155" s="62">
        <v>4799043</v>
      </c>
      <c r="E155" s="37">
        <v>2658720</v>
      </c>
      <c r="F155" s="62">
        <v>2146114</v>
      </c>
      <c r="G155" s="62">
        <v>5190670.9800000004</v>
      </c>
      <c r="H155" s="62">
        <v>2889584</v>
      </c>
      <c r="I155" s="62">
        <v>2301087</v>
      </c>
      <c r="J155" s="62">
        <v>5317162.33</v>
      </c>
      <c r="K155" s="62">
        <v>3023826</v>
      </c>
      <c r="L155" s="62">
        <v>2348711</v>
      </c>
      <c r="M155" s="62">
        <v>5543481.6000000006</v>
      </c>
      <c r="N155" s="62">
        <v>3105681</v>
      </c>
      <c r="O155" s="62">
        <v>2181431</v>
      </c>
      <c r="P155" s="62">
        <v>256370</v>
      </c>
      <c r="Q155" s="62">
        <v>5602857.9883483276</v>
      </c>
      <c r="R155" s="62">
        <v>3253249</v>
      </c>
      <c r="S155" s="62">
        <v>2389045</v>
      </c>
      <c r="T155" s="62">
        <v>0</v>
      </c>
      <c r="U155" s="62">
        <v>120358</v>
      </c>
      <c r="V155" s="62">
        <v>71289.72480853874</v>
      </c>
      <c r="W155" s="62">
        <v>48927</v>
      </c>
      <c r="X155" s="62">
        <v>263</v>
      </c>
      <c r="Y155" s="62">
        <v>3142</v>
      </c>
      <c r="Z155" s="62">
        <v>122500.7</v>
      </c>
      <c r="AA155" s="62">
        <v>75884</v>
      </c>
      <c r="AB155" s="62">
        <v>49190</v>
      </c>
      <c r="AC155" s="10">
        <v>189431.25</v>
      </c>
      <c r="AD155" s="10">
        <v>117945</v>
      </c>
      <c r="AE155" s="10">
        <v>71486</v>
      </c>
      <c r="AF155" s="10">
        <v>192367.49000000002</v>
      </c>
      <c r="AG155" s="10">
        <v>118421</v>
      </c>
      <c r="AH155" s="10">
        <v>73946</v>
      </c>
      <c r="AI155" s="10">
        <v>130049.00000000001</v>
      </c>
      <c r="AJ155" s="10">
        <v>82782</v>
      </c>
      <c r="AK155" s="31">
        <v>73946</v>
      </c>
      <c r="AL155" s="10">
        <v>196931.90000000002</v>
      </c>
      <c r="AM155" s="10">
        <v>131323</v>
      </c>
      <c r="AN155" s="31">
        <v>73946</v>
      </c>
      <c r="AO155" s="10">
        <v>105367.36000000002</v>
      </c>
      <c r="AP155" s="10">
        <v>69257</v>
      </c>
      <c r="AQ155" s="31">
        <v>73946</v>
      </c>
    </row>
    <row r="156" spans="1:43">
      <c r="A156" s="102">
        <v>147</v>
      </c>
      <c r="B156" s="7" t="s">
        <v>1852</v>
      </c>
      <c r="C156" s="103">
        <v>32.72</v>
      </c>
      <c r="D156" s="62">
        <v>0</v>
      </c>
      <c r="E156" s="37">
        <v>0</v>
      </c>
      <c r="F156" s="62">
        <v>0</v>
      </c>
      <c r="G156" s="62">
        <v>0</v>
      </c>
      <c r="H156" s="62">
        <v>0</v>
      </c>
      <c r="I156" s="62">
        <v>0</v>
      </c>
      <c r="J156" s="62">
        <v>0</v>
      </c>
      <c r="K156" s="62">
        <v>0</v>
      </c>
      <c r="L156" s="62">
        <v>0</v>
      </c>
      <c r="M156" s="62">
        <v>0</v>
      </c>
      <c r="N156" s="62">
        <v>0</v>
      </c>
      <c r="O156" s="62">
        <v>0</v>
      </c>
      <c r="P156" s="62">
        <v>0</v>
      </c>
      <c r="Q156" s="62">
        <v>0</v>
      </c>
      <c r="R156" s="62">
        <v>0</v>
      </c>
      <c r="S156" s="62">
        <v>0</v>
      </c>
      <c r="T156" s="62">
        <v>0</v>
      </c>
      <c r="U156" s="62">
        <v>0</v>
      </c>
      <c r="V156" s="62">
        <v>0</v>
      </c>
      <c r="W156" s="62">
        <v>0</v>
      </c>
      <c r="X156" s="62">
        <v>0</v>
      </c>
      <c r="Y156" s="62">
        <v>0</v>
      </c>
      <c r="Z156" s="62">
        <v>0</v>
      </c>
      <c r="AA156" s="62">
        <v>0</v>
      </c>
      <c r="AB156" s="62">
        <v>0</v>
      </c>
      <c r="AC156" s="10">
        <v>0</v>
      </c>
      <c r="AD156" s="10">
        <v>0</v>
      </c>
      <c r="AE156" s="10">
        <v>0</v>
      </c>
      <c r="AF156" s="10">
        <v>12894.02</v>
      </c>
      <c r="AG156" s="10">
        <v>9530</v>
      </c>
      <c r="AH156" s="10">
        <v>3364</v>
      </c>
      <c r="AI156" s="10">
        <v>13004.9</v>
      </c>
      <c r="AJ156" s="10">
        <v>9489</v>
      </c>
      <c r="AK156" s="31">
        <v>3597</v>
      </c>
      <c r="AL156" s="10">
        <v>26399.920000000002</v>
      </c>
      <c r="AM156" s="10">
        <v>18957</v>
      </c>
      <c r="AN156" s="31">
        <v>7443</v>
      </c>
      <c r="AO156" s="10">
        <v>26341.840000000004</v>
      </c>
      <c r="AP156" s="10">
        <v>17904</v>
      </c>
      <c r="AQ156" s="31">
        <v>8468</v>
      </c>
    </row>
    <row r="157" spans="1:43">
      <c r="A157" s="102">
        <v>148</v>
      </c>
      <c r="B157" s="7" t="s">
        <v>1853</v>
      </c>
      <c r="C157" s="103">
        <v>34.11</v>
      </c>
      <c r="D157" s="62">
        <v>1916314</v>
      </c>
      <c r="E157" s="37">
        <v>1602997</v>
      </c>
      <c r="F157" s="62">
        <v>511327.6</v>
      </c>
      <c r="G157" s="62">
        <v>2000612.16</v>
      </c>
      <c r="H157" s="62">
        <v>1636328</v>
      </c>
      <c r="I157" s="62">
        <v>598919.6</v>
      </c>
      <c r="J157" s="62">
        <v>2254707.4840702428</v>
      </c>
      <c r="K157" s="62">
        <v>1643144</v>
      </c>
      <c r="L157" s="62">
        <v>740945.6</v>
      </c>
      <c r="M157" s="62">
        <v>2340403.35</v>
      </c>
      <c r="N157" s="62">
        <v>1550747</v>
      </c>
      <c r="O157" s="62">
        <v>771260.6</v>
      </c>
      <c r="P157" s="62">
        <v>90641</v>
      </c>
      <c r="Q157" s="62">
        <v>2211537.9160803831</v>
      </c>
      <c r="R157" s="62">
        <v>1508600</v>
      </c>
      <c r="S157" s="62">
        <v>844664</v>
      </c>
      <c r="T157" s="62">
        <v>0</v>
      </c>
      <c r="U157" s="62">
        <v>2101664.4740400002</v>
      </c>
      <c r="V157" s="62">
        <v>1386013</v>
      </c>
      <c r="W157" s="62">
        <v>795318</v>
      </c>
      <c r="X157" s="62">
        <v>4270</v>
      </c>
      <c r="Y157" s="62">
        <v>51076</v>
      </c>
      <c r="Z157" s="62">
        <v>2085248.98</v>
      </c>
      <c r="AA157" s="62">
        <v>1418502</v>
      </c>
      <c r="AB157" s="62">
        <v>799588</v>
      </c>
      <c r="AC157" s="17">
        <v>2003814</v>
      </c>
      <c r="AD157" s="10">
        <v>1493112</v>
      </c>
      <c r="AE157" s="17">
        <v>737198</v>
      </c>
      <c r="AF157" s="10">
        <v>1859232.2499999993</v>
      </c>
      <c r="AG157" s="10">
        <v>1282510</v>
      </c>
      <c r="AH157" s="10">
        <v>742373</v>
      </c>
      <c r="AI157" s="10">
        <v>1841661.51</v>
      </c>
      <c r="AJ157" s="10">
        <v>1232284</v>
      </c>
      <c r="AK157" s="31">
        <v>747323</v>
      </c>
      <c r="AL157" s="10">
        <v>1924866.88</v>
      </c>
      <c r="AM157" s="10">
        <v>1307443</v>
      </c>
      <c r="AN157" s="31">
        <v>752323</v>
      </c>
      <c r="AO157" s="10">
        <v>1846691.1099999999</v>
      </c>
      <c r="AP157" s="10">
        <v>1231226</v>
      </c>
      <c r="AQ157" s="31">
        <v>762663</v>
      </c>
    </row>
    <row r="158" spans="1:43">
      <c r="A158" s="102">
        <v>149</v>
      </c>
      <c r="B158" s="7" t="s">
        <v>1854</v>
      </c>
      <c r="C158" s="103">
        <v>87.01</v>
      </c>
      <c r="D158" s="62">
        <v>120547909</v>
      </c>
      <c r="E158" s="37">
        <v>3240618</v>
      </c>
      <c r="F158" s="62">
        <v>117307291</v>
      </c>
      <c r="G158" s="62">
        <v>127369323.28</v>
      </c>
      <c r="H158" s="62">
        <v>4587152</v>
      </c>
      <c r="I158" s="62">
        <v>123087075</v>
      </c>
      <c r="J158" s="62">
        <v>133779067.90829407</v>
      </c>
      <c r="K158" s="62">
        <v>5310337</v>
      </c>
      <c r="L158" s="62">
        <v>128507796</v>
      </c>
      <c r="M158" s="62">
        <v>141941371.93000001</v>
      </c>
      <c r="N158" s="62">
        <v>5886137</v>
      </c>
      <c r="O158" s="62">
        <v>121747087</v>
      </c>
      <c r="P158" s="62">
        <v>14308148</v>
      </c>
      <c r="Q158" s="62">
        <v>146793573.0315024</v>
      </c>
      <c r="R158" s="62">
        <v>5813067</v>
      </c>
      <c r="S158" s="62">
        <v>133334130</v>
      </c>
      <c r="T158" s="62">
        <v>7646376</v>
      </c>
      <c r="U158" s="62">
        <v>144327894.38892001</v>
      </c>
      <c r="V158" s="62">
        <v>6144533</v>
      </c>
      <c r="W158" s="62">
        <v>135531978</v>
      </c>
      <c r="X158" s="62">
        <v>727596</v>
      </c>
      <c r="Y158" s="62">
        <v>5051357</v>
      </c>
      <c r="Z158" s="62">
        <v>152346056.93000001</v>
      </c>
      <c r="AA158" s="62">
        <v>6462722</v>
      </c>
      <c r="AB158" s="62">
        <v>145883335</v>
      </c>
      <c r="AC158" s="10">
        <v>158948561.05000004</v>
      </c>
      <c r="AD158" s="10">
        <v>6790964</v>
      </c>
      <c r="AE158" s="10">
        <v>152157597</v>
      </c>
      <c r="AF158" s="10">
        <v>166158253.06999999</v>
      </c>
      <c r="AG158" s="10">
        <v>7071945</v>
      </c>
      <c r="AH158" s="17">
        <f>159086308+320037</f>
        <v>159406345</v>
      </c>
      <c r="AI158" s="10">
        <v>177176380.49999997</v>
      </c>
      <c r="AJ158" s="10">
        <v>8004505</v>
      </c>
      <c r="AK158" s="31">
        <v>169171876</v>
      </c>
      <c r="AL158" s="10">
        <v>186136094.67000002</v>
      </c>
      <c r="AM158" s="10">
        <v>8507699</v>
      </c>
      <c r="AN158" s="31">
        <v>177628396</v>
      </c>
      <c r="AO158" s="10">
        <v>185788081.69999999</v>
      </c>
      <c r="AP158" s="10">
        <v>8809108</v>
      </c>
      <c r="AQ158" s="31">
        <v>178458236</v>
      </c>
    </row>
    <row r="159" spans="1:43">
      <c r="A159" s="102">
        <v>150</v>
      </c>
      <c r="B159" s="7" t="s">
        <v>1855</v>
      </c>
      <c r="C159" s="103">
        <v>17.5</v>
      </c>
      <c r="D159" s="62">
        <v>5823545</v>
      </c>
      <c r="E159" s="37">
        <v>5026681</v>
      </c>
      <c r="F159" s="62">
        <v>1520616</v>
      </c>
      <c r="G159" s="62">
        <v>6350292.3199999994</v>
      </c>
      <c r="H159" s="62">
        <v>5174125</v>
      </c>
      <c r="I159" s="62">
        <v>1676639</v>
      </c>
      <c r="J159" s="62">
        <v>6681418.6652666908</v>
      </c>
      <c r="K159" s="62">
        <v>5156036</v>
      </c>
      <c r="L159" s="62">
        <v>1878003</v>
      </c>
      <c r="M159" s="62">
        <v>7031845.7699999986</v>
      </c>
      <c r="N159" s="62">
        <v>5144595</v>
      </c>
      <c r="O159" s="62">
        <v>1850212</v>
      </c>
      <c r="P159" s="62">
        <v>217444</v>
      </c>
      <c r="Q159" s="62">
        <v>6993248.0376650728</v>
      </c>
      <c r="R159" s="62">
        <v>5210177</v>
      </c>
      <c r="S159" s="62">
        <v>2026303</v>
      </c>
      <c r="T159" s="62">
        <v>0</v>
      </c>
      <c r="U159" s="62">
        <v>6834255.432719999</v>
      </c>
      <c r="V159" s="62">
        <v>5256806</v>
      </c>
      <c r="W159" s="62">
        <v>1907927</v>
      </c>
      <c r="X159" s="62">
        <v>10242</v>
      </c>
      <c r="Y159" s="62">
        <v>126584</v>
      </c>
      <c r="Z159" s="62">
        <v>6866001.4999999991</v>
      </c>
      <c r="AA159" s="62">
        <v>5431263</v>
      </c>
      <c r="AB159" s="62">
        <v>1918169</v>
      </c>
      <c r="AC159" s="10">
        <v>7058725.3000000007</v>
      </c>
      <c r="AD159" s="10">
        <v>5598309</v>
      </c>
      <c r="AE159" s="10">
        <v>1947049</v>
      </c>
      <c r="AF159" s="10">
        <v>6795658.4500000011</v>
      </c>
      <c r="AG159" s="10">
        <v>5748371</v>
      </c>
      <c r="AH159" s="10">
        <v>1964149</v>
      </c>
      <c r="AI159" s="10">
        <v>6714728.879999999</v>
      </c>
      <c r="AJ159" s="10">
        <v>5764466</v>
      </c>
      <c r="AK159" s="31">
        <v>1980674</v>
      </c>
      <c r="AL159" s="10">
        <v>6274000.4799999986</v>
      </c>
      <c r="AM159" s="10">
        <v>5563066</v>
      </c>
      <c r="AN159" s="31">
        <v>1995699</v>
      </c>
      <c r="AO159" s="10">
        <v>6504171.9400000004</v>
      </c>
      <c r="AP159" s="10">
        <v>5425885</v>
      </c>
      <c r="AQ159" s="31">
        <v>2029359</v>
      </c>
    </row>
    <row r="160" spans="1:43">
      <c r="A160" s="102">
        <v>151</v>
      </c>
      <c r="B160" s="7" t="s">
        <v>1856</v>
      </c>
      <c r="C160" s="103">
        <v>50.93</v>
      </c>
      <c r="D160" s="62">
        <v>13764844</v>
      </c>
      <c r="E160" s="37">
        <v>5533064</v>
      </c>
      <c r="F160" s="62">
        <v>8584389</v>
      </c>
      <c r="G160" s="62">
        <v>14951710.08</v>
      </c>
      <c r="H160" s="62">
        <v>6005588</v>
      </c>
      <c r="I160" s="62">
        <v>9273246</v>
      </c>
      <c r="J160" s="62">
        <v>15396418.602011576</v>
      </c>
      <c r="K160" s="62">
        <v>6321482</v>
      </c>
      <c r="L160" s="62">
        <v>9525396</v>
      </c>
      <c r="M160" s="62">
        <v>16077270.590000004</v>
      </c>
      <c r="N160" s="62">
        <v>6607213</v>
      </c>
      <c r="O160" s="62">
        <v>8869110</v>
      </c>
      <c r="P160" s="62">
        <v>1042329</v>
      </c>
      <c r="Q160" s="62">
        <v>16403919.290181819</v>
      </c>
      <c r="R160" s="62">
        <v>7103381</v>
      </c>
      <c r="S160" s="62">
        <v>9713210</v>
      </c>
      <c r="T160" s="62">
        <v>0</v>
      </c>
      <c r="U160" s="62">
        <v>16141548.42372</v>
      </c>
      <c r="V160" s="62">
        <v>7199987</v>
      </c>
      <c r="W160" s="62">
        <v>9145765</v>
      </c>
      <c r="X160" s="62">
        <v>49099</v>
      </c>
      <c r="Y160" s="62">
        <v>563921</v>
      </c>
      <c r="Z160" s="62">
        <v>16759773.840000002</v>
      </c>
      <c r="AA160" s="62">
        <v>7378547</v>
      </c>
      <c r="AB160" s="62">
        <v>9381227</v>
      </c>
      <c r="AC160" s="10">
        <v>16738311.800000001</v>
      </c>
      <c r="AD160" s="10">
        <v>7574816</v>
      </c>
      <c r="AE160" s="10">
        <v>9450987</v>
      </c>
      <c r="AF160" s="10">
        <v>16586640.989999998</v>
      </c>
      <c r="AG160" s="10">
        <v>7776403</v>
      </c>
      <c r="AH160" s="10">
        <v>9493437</v>
      </c>
      <c r="AI160" s="10">
        <v>16135346.720000001</v>
      </c>
      <c r="AJ160" s="10">
        <v>7906856</v>
      </c>
      <c r="AK160" s="31">
        <v>9534162</v>
      </c>
      <c r="AL160" s="10">
        <v>16315414.450000001</v>
      </c>
      <c r="AM160" s="10">
        <v>8170911</v>
      </c>
      <c r="AN160" s="31">
        <v>9574112</v>
      </c>
      <c r="AO160" s="10">
        <v>15935660.719999999</v>
      </c>
      <c r="AP160" s="10">
        <v>7913187</v>
      </c>
      <c r="AQ160" s="31">
        <v>9661287</v>
      </c>
    </row>
    <row r="161" spans="1:43">
      <c r="A161" s="102">
        <v>152</v>
      </c>
      <c r="B161" s="7" t="s">
        <v>1857</v>
      </c>
      <c r="C161" s="103">
        <v>17.5</v>
      </c>
      <c r="D161" s="62">
        <v>5379558</v>
      </c>
      <c r="E161" s="37">
        <v>5779799</v>
      </c>
      <c r="F161" s="62">
        <v>1111972.8</v>
      </c>
      <c r="G161" s="62">
        <v>5557057.9500000002</v>
      </c>
      <c r="H161" s="62">
        <v>5755763</v>
      </c>
      <c r="I161" s="62">
        <v>1149222.8</v>
      </c>
      <c r="J161" s="62">
        <v>5681111.1449849457</v>
      </c>
      <c r="K161" s="62">
        <v>5626258</v>
      </c>
      <c r="L161" s="62">
        <v>1185272.8</v>
      </c>
      <c r="M161" s="62">
        <v>5690851.3399999999</v>
      </c>
      <c r="N161" s="62">
        <v>5524370</v>
      </c>
      <c r="O161" s="62">
        <v>1091138.8</v>
      </c>
      <c r="P161" s="62">
        <v>128234</v>
      </c>
      <c r="Q161" s="62">
        <v>5746214.0793875596</v>
      </c>
      <c r="R161" s="62">
        <v>5564115</v>
      </c>
      <c r="S161" s="62">
        <v>1194985</v>
      </c>
      <c r="T161" s="62">
        <v>0</v>
      </c>
      <c r="U161" s="62">
        <v>5692629.6463799989</v>
      </c>
      <c r="V161" s="62">
        <v>5437790</v>
      </c>
      <c r="W161" s="62">
        <v>1125174</v>
      </c>
      <c r="X161" s="62">
        <v>6041</v>
      </c>
      <c r="Y161" s="62">
        <v>80270</v>
      </c>
      <c r="Z161" s="62">
        <v>5550215.3299999982</v>
      </c>
      <c r="AA161" s="62">
        <v>5659278</v>
      </c>
      <c r="AB161" s="62">
        <v>1131215</v>
      </c>
      <c r="AC161" s="10">
        <v>5797767.8000000007</v>
      </c>
      <c r="AD161" s="10">
        <v>5640423</v>
      </c>
      <c r="AE161" s="10">
        <v>1156055</v>
      </c>
      <c r="AF161" s="10">
        <v>5519096.620000001</v>
      </c>
      <c r="AG161" s="10">
        <v>5519097</v>
      </c>
      <c r="AH161" s="10">
        <v>1170680</v>
      </c>
      <c r="AI161" s="10">
        <v>5600729.1799999997</v>
      </c>
      <c r="AJ161" s="10">
        <v>5040656</v>
      </c>
      <c r="AK161" s="31">
        <v>1185105</v>
      </c>
      <c r="AL161" s="10">
        <v>5259228.0599999996</v>
      </c>
      <c r="AM161" s="10">
        <v>4733305</v>
      </c>
      <c r="AN161" s="31">
        <v>1198130</v>
      </c>
      <c r="AO161" s="10">
        <v>5241794.76</v>
      </c>
      <c r="AP161" s="10">
        <v>4408169</v>
      </c>
      <c r="AQ161" s="31">
        <v>1226895</v>
      </c>
    </row>
    <row r="162" spans="1:43">
      <c r="A162" s="102">
        <v>153</v>
      </c>
      <c r="B162" s="7" t="s">
        <v>1858</v>
      </c>
      <c r="C162" s="103">
        <v>59.92</v>
      </c>
      <c r="D162" s="62">
        <v>50087399</v>
      </c>
      <c r="E162" s="37">
        <v>17364613</v>
      </c>
      <c r="F162" s="62">
        <v>32722786</v>
      </c>
      <c r="G162" s="62">
        <v>52403637.229999997</v>
      </c>
      <c r="H162" s="62">
        <v>18470739</v>
      </c>
      <c r="I162" s="62">
        <v>33951319</v>
      </c>
      <c r="J162" s="62">
        <v>55214981.567387104</v>
      </c>
      <c r="K162" s="62">
        <v>19608537</v>
      </c>
      <c r="L162" s="62">
        <v>35606445</v>
      </c>
      <c r="M162" s="62">
        <v>61199688.75</v>
      </c>
      <c r="N162" s="62">
        <v>20722302</v>
      </c>
      <c r="O162" s="62">
        <v>36220613</v>
      </c>
      <c r="P162" s="62">
        <v>4256774</v>
      </c>
      <c r="Q162" s="62">
        <v>63052401.664000005</v>
      </c>
      <c r="R162" s="62">
        <v>21186482</v>
      </c>
      <c r="S162" s="62">
        <v>39667839</v>
      </c>
      <c r="T162" s="62">
        <v>2198081</v>
      </c>
      <c r="U162" s="62">
        <v>61830792.262439989</v>
      </c>
      <c r="V162" s="62">
        <v>21870806</v>
      </c>
      <c r="W162" s="62">
        <v>39420116</v>
      </c>
      <c r="X162" s="62">
        <v>211625</v>
      </c>
      <c r="Y162" s="62">
        <v>2394129</v>
      </c>
      <c r="Z162" s="62">
        <v>64079292.579999998</v>
      </c>
      <c r="AA162" s="62">
        <v>22623162</v>
      </c>
      <c r="AB162" s="62">
        <v>41456131</v>
      </c>
      <c r="AC162" s="10">
        <v>66413236.799999997</v>
      </c>
      <c r="AD162" s="10">
        <v>23577860</v>
      </c>
      <c r="AE162" s="10">
        <v>42835377</v>
      </c>
      <c r="AF162" s="10">
        <v>67647235.61999999</v>
      </c>
      <c r="AG162" s="10">
        <v>24414874</v>
      </c>
      <c r="AH162" s="10">
        <v>43232362</v>
      </c>
      <c r="AI162" s="10">
        <v>68009798.659999996</v>
      </c>
      <c r="AJ162" s="10">
        <v>25511102</v>
      </c>
      <c r="AK162" s="31">
        <v>43390737</v>
      </c>
      <c r="AL162" s="10">
        <v>68789894.089999989</v>
      </c>
      <c r="AM162" s="10">
        <v>26480524</v>
      </c>
      <c r="AN162" s="31">
        <v>43547587</v>
      </c>
      <c r="AO162" s="10">
        <v>69488787.129999995</v>
      </c>
      <c r="AP162" s="10">
        <v>27478840</v>
      </c>
      <c r="AQ162" s="31">
        <v>43889797</v>
      </c>
    </row>
    <row r="163" spans="1:43">
      <c r="A163" s="102">
        <v>154</v>
      </c>
      <c r="B163" s="7" t="s">
        <v>1859</v>
      </c>
      <c r="C163" s="103">
        <v>17.5</v>
      </c>
      <c r="D163" s="62">
        <v>803815</v>
      </c>
      <c r="E163" s="37">
        <v>973857</v>
      </c>
      <c r="F163" s="62">
        <v>223181.2</v>
      </c>
      <c r="G163" s="62">
        <v>852583.6</v>
      </c>
      <c r="H163" s="62">
        <v>827268</v>
      </c>
      <c r="I163" s="62">
        <v>239065.2</v>
      </c>
      <c r="J163" s="62">
        <v>947175.22926746425</v>
      </c>
      <c r="K163" s="62">
        <v>853066</v>
      </c>
      <c r="L163" s="62">
        <v>261625.2</v>
      </c>
      <c r="M163" s="62">
        <v>1053847.72</v>
      </c>
      <c r="N163" s="62">
        <v>849640</v>
      </c>
      <c r="O163" s="62">
        <v>257545.2</v>
      </c>
      <c r="P163" s="62">
        <v>30268</v>
      </c>
      <c r="Q163" s="62">
        <v>1038637.2936880384</v>
      </c>
      <c r="R163" s="62">
        <v>875032</v>
      </c>
      <c r="S163" s="62">
        <v>282057</v>
      </c>
      <c r="T163" s="62">
        <v>0</v>
      </c>
      <c r="U163" s="62">
        <v>1122116.9748600002</v>
      </c>
      <c r="V163" s="62">
        <v>937904</v>
      </c>
      <c r="W163" s="62">
        <v>265580</v>
      </c>
      <c r="X163" s="62">
        <v>1426</v>
      </c>
      <c r="Y163" s="62">
        <v>18126</v>
      </c>
      <c r="Z163" s="62">
        <v>1105463.82</v>
      </c>
      <c r="AA163" s="62">
        <v>928988</v>
      </c>
      <c r="AB163" s="62">
        <v>267006</v>
      </c>
      <c r="AC163" s="10">
        <v>1073636.7000000002</v>
      </c>
      <c r="AD163" s="10">
        <v>916296</v>
      </c>
      <c r="AE163" s="10">
        <v>271766</v>
      </c>
      <c r="AF163" s="10">
        <v>1092855.1200000001</v>
      </c>
      <c r="AG163" s="10">
        <v>934972</v>
      </c>
      <c r="AH163" s="10">
        <v>274716</v>
      </c>
      <c r="AI163" s="10">
        <v>934315.57</v>
      </c>
      <c r="AJ163" s="10">
        <v>840884</v>
      </c>
      <c r="AK163" s="31">
        <v>277216</v>
      </c>
      <c r="AL163" s="10">
        <v>982131.53</v>
      </c>
      <c r="AM163" s="10">
        <v>843668</v>
      </c>
      <c r="AN163" s="31">
        <v>279816</v>
      </c>
      <c r="AO163" s="10">
        <v>997887.19000000006</v>
      </c>
      <c r="AP163" s="10">
        <v>837493</v>
      </c>
      <c r="AQ163" s="31">
        <v>285371</v>
      </c>
    </row>
    <row r="164" spans="1:43">
      <c r="A164" s="102">
        <v>155</v>
      </c>
      <c r="B164" s="7" t="s">
        <v>1860</v>
      </c>
      <c r="C164" s="103">
        <v>17.5</v>
      </c>
      <c r="D164" s="62">
        <v>44428216</v>
      </c>
      <c r="E164" s="37">
        <v>48013339</v>
      </c>
      <c r="F164" s="62">
        <v>5197253.5999999996</v>
      </c>
      <c r="G164" s="62">
        <v>48149485.159400001</v>
      </c>
      <c r="H164" s="62">
        <v>48176671</v>
      </c>
      <c r="I164" s="62">
        <v>5848475.5999999996</v>
      </c>
      <c r="J164" s="62">
        <v>50405171.392957248</v>
      </c>
      <c r="K164" s="62">
        <v>48167038</v>
      </c>
      <c r="L164" s="62">
        <v>6740204.5999999996</v>
      </c>
      <c r="M164" s="62">
        <v>53421979.384980008</v>
      </c>
      <c r="N164" s="62">
        <v>48294113</v>
      </c>
      <c r="O164" s="62">
        <v>6801697.5999999996</v>
      </c>
      <c r="P164" s="62">
        <v>799359</v>
      </c>
      <c r="Q164" s="62">
        <v>55137317.164318644</v>
      </c>
      <c r="R164" s="62">
        <v>49717650</v>
      </c>
      <c r="S164" s="62">
        <v>7449035</v>
      </c>
      <c r="T164" s="62">
        <v>0</v>
      </c>
      <c r="U164" s="62">
        <v>53464106.958999999</v>
      </c>
      <c r="V164" s="62">
        <v>49818987</v>
      </c>
      <c r="W164" s="62">
        <v>7013863</v>
      </c>
      <c r="X164" s="62">
        <v>37654</v>
      </c>
      <c r="Y164" s="62">
        <v>548918</v>
      </c>
      <c r="Z164" s="62">
        <v>56211262.726240009</v>
      </c>
      <c r="AA164" s="62">
        <v>51205216</v>
      </c>
      <c r="AB164" s="62">
        <v>7051517</v>
      </c>
      <c r="AC164" s="10">
        <v>59157960.380999997</v>
      </c>
      <c r="AD164" s="10">
        <v>52989430</v>
      </c>
      <c r="AE164" s="10">
        <v>7876798.51666875</v>
      </c>
      <c r="AF164" s="10">
        <v>62856513.067499988</v>
      </c>
      <c r="AG164" s="10">
        <v>55493228</v>
      </c>
      <c r="AH164" s="17">
        <f>8657571.33420469+8422</f>
        <v>8665993.3342046905</v>
      </c>
      <c r="AI164" s="10">
        <v>64514813.130400017</v>
      </c>
      <c r="AJ164" s="10">
        <v>56156903</v>
      </c>
      <c r="AK164" s="31">
        <v>9584428.3342046905</v>
      </c>
      <c r="AL164" s="10">
        <v>67063773.197500005</v>
      </c>
      <c r="AM164" s="10">
        <v>57095237</v>
      </c>
      <c r="AN164" s="31">
        <v>9968536</v>
      </c>
      <c r="AO164" s="10">
        <v>69116723.419239998</v>
      </c>
      <c r="AP164" s="10">
        <v>57485649</v>
      </c>
      <c r="AQ164" s="31">
        <v>11631074</v>
      </c>
    </row>
    <row r="165" spans="1:43">
      <c r="A165" s="102">
        <v>156</v>
      </c>
      <c r="B165" s="7" t="s">
        <v>1861</v>
      </c>
      <c r="C165" s="103">
        <v>17.5</v>
      </c>
      <c r="D165" s="62">
        <v>0</v>
      </c>
      <c r="E165" s="37">
        <v>0</v>
      </c>
      <c r="F165" s="62">
        <v>0</v>
      </c>
      <c r="G165" s="62">
        <v>0</v>
      </c>
      <c r="H165" s="62">
        <v>0</v>
      </c>
      <c r="I165" s="62">
        <v>0</v>
      </c>
      <c r="J165" s="62">
        <v>0</v>
      </c>
      <c r="K165" s="62">
        <v>0</v>
      </c>
      <c r="L165" s="62">
        <v>0</v>
      </c>
      <c r="M165" s="62">
        <v>0</v>
      </c>
      <c r="N165" s="62">
        <v>0</v>
      </c>
      <c r="O165" s="62">
        <v>0</v>
      </c>
      <c r="P165" s="62">
        <v>0</v>
      </c>
      <c r="Q165" s="62">
        <v>0</v>
      </c>
      <c r="R165" s="62">
        <v>0</v>
      </c>
      <c r="S165" s="62">
        <v>0</v>
      </c>
      <c r="T165" s="62">
        <v>0</v>
      </c>
      <c r="U165" s="62">
        <v>0</v>
      </c>
      <c r="V165" s="62">
        <v>0</v>
      </c>
      <c r="W165" s="62">
        <v>0</v>
      </c>
      <c r="X165" s="62">
        <v>0</v>
      </c>
      <c r="Y165" s="62">
        <v>0</v>
      </c>
      <c r="Z165" s="62">
        <v>0</v>
      </c>
      <c r="AA165" s="62">
        <v>0</v>
      </c>
      <c r="AB165" s="62">
        <v>0</v>
      </c>
      <c r="AC165" s="10">
        <v>0</v>
      </c>
      <c r="AD165" s="10">
        <v>0</v>
      </c>
      <c r="AE165" s="10">
        <v>0</v>
      </c>
      <c r="AF165" s="10">
        <v>0</v>
      </c>
      <c r="AG165" s="10">
        <v>0</v>
      </c>
      <c r="AH165" s="10">
        <v>0</v>
      </c>
      <c r="AI165" s="10">
        <v>0</v>
      </c>
      <c r="AJ165" s="10">
        <v>0</v>
      </c>
      <c r="AK165" s="31">
        <v>0</v>
      </c>
      <c r="AL165" s="10">
        <v>0</v>
      </c>
      <c r="AM165" s="10">
        <v>0</v>
      </c>
      <c r="AN165" s="31">
        <v>0</v>
      </c>
      <c r="AO165" s="10">
        <v>0</v>
      </c>
      <c r="AP165" s="10">
        <v>0</v>
      </c>
      <c r="AQ165" s="31">
        <v>0</v>
      </c>
    </row>
    <row r="166" spans="1:43">
      <c r="A166" s="102">
        <v>157</v>
      </c>
      <c r="B166" s="7" t="s">
        <v>1862</v>
      </c>
      <c r="C166" s="103">
        <v>17.5</v>
      </c>
      <c r="D166" s="62">
        <v>5018892</v>
      </c>
      <c r="E166" s="37">
        <v>5683798</v>
      </c>
      <c r="F166" s="62">
        <v>493536.8</v>
      </c>
      <c r="G166" s="62">
        <v>5151111.5048699994</v>
      </c>
      <c r="H166" s="62">
        <v>5403675</v>
      </c>
      <c r="I166" s="62">
        <v>575118.80000000005</v>
      </c>
      <c r="J166" s="62">
        <v>5228858.1013507508</v>
      </c>
      <c r="K166" s="62">
        <v>5190002</v>
      </c>
      <c r="L166" s="62">
        <v>677097.8</v>
      </c>
      <c r="M166" s="62">
        <v>5555855.546620002</v>
      </c>
      <c r="N166" s="62">
        <v>5184708</v>
      </c>
      <c r="O166" s="62">
        <v>693055.8</v>
      </c>
      <c r="P166" s="62">
        <v>81450</v>
      </c>
      <c r="Q166" s="62">
        <v>5820338.6126000388</v>
      </c>
      <c r="R166" s="62">
        <v>5207737</v>
      </c>
      <c r="S166" s="62">
        <v>759016</v>
      </c>
      <c r="T166" s="62">
        <v>0</v>
      </c>
      <c r="U166" s="62">
        <v>5740716.07941732</v>
      </c>
      <c r="V166" s="62">
        <v>5163138</v>
      </c>
      <c r="W166" s="62">
        <v>714674</v>
      </c>
      <c r="X166" s="62">
        <v>3837</v>
      </c>
      <c r="Y166" s="62">
        <v>57830</v>
      </c>
      <c r="Z166" s="62">
        <v>5352912.2345500002</v>
      </c>
      <c r="AA166" s="62">
        <v>5178637</v>
      </c>
      <c r="AB166" s="62">
        <v>718511</v>
      </c>
      <c r="AC166" s="10">
        <v>5424170.2317799991</v>
      </c>
      <c r="AD166" s="10">
        <v>5128408</v>
      </c>
      <c r="AE166" s="10">
        <v>743071</v>
      </c>
      <c r="AF166" s="10">
        <v>5868235.8212800017</v>
      </c>
      <c r="AG166" s="10">
        <v>5381474</v>
      </c>
      <c r="AH166" s="10">
        <v>759321</v>
      </c>
      <c r="AI166" s="10">
        <v>5682114.4160699993</v>
      </c>
      <c r="AJ166" s="10">
        <v>5004725</v>
      </c>
      <c r="AK166" s="31">
        <v>841588</v>
      </c>
      <c r="AL166" s="10">
        <v>5601678.0140399989</v>
      </c>
      <c r="AM166" s="10">
        <v>4808245</v>
      </c>
      <c r="AN166" s="31">
        <v>857038</v>
      </c>
      <c r="AO166" s="10">
        <v>6043300.8275599992</v>
      </c>
      <c r="AP166" s="10">
        <v>5030628</v>
      </c>
      <c r="AQ166" s="149">
        <f>1012673+19818</f>
        <v>1032491</v>
      </c>
    </row>
    <row r="167" spans="1:43">
      <c r="A167" s="102">
        <v>158</v>
      </c>
      <c r="B167" s="7" t="s">
        <v>1863</v>
      </c>
      <c r="C167" s="103">
        <v>21.9</v>
      </c>
      <c r="D167" s="62">
        <v>11139291</v>
      </c>
      <c r="E167" s="37">
        <v>10499232</v>
      </c>
      <c r="F167" s="62">
        <v>1464107.2</v>
      </c>
      <c r="G167" s="62">
        <v>12115413.634199999</v>
      </c>
      <c r="H167" s="62">
        <v>10452829</v>
      </c>
      <c r="I167" s="62">
        <v>1818491.2</v>
      </c>
      <c r="J167" s="62">
        <v>12477893.258578453</v>
      </c>
      <c r="K167" s="62">
        <v>10490580</v>
      </c>
      <c r="L167" s="62">
        <v>2325579.2000000002</v>
      </c>
      <c r="M167" s="62">
        <v>13440913.22665</v>
      </c>
      <c r="N167" s="62">
        <v>10423513</v>
      </c>
      <c r="O167" s="62">
        <v>2700077</v>
      </c>
      <c r="P167" s="62">
        <v>317323</v>
      </c>
      <c r="Q167" s="62">
        <v>14231659.398570258</v>
      </c>
      <c r="R167" s="62">
        <v>10530521</v>
      </c>
      <c r="S167" s="62">
        <v>2957052</v>
      </c>
      <c r="T167" s="62">
        <v>744086</v>
      </c>
      <c r="U167" s="62">
        <v>13640184.029312642</v>
      </c>
      <c r="V167" s="62">
        <v>10374233</v>
      </c>
      <c r="W167" s="62">
        <v>3484917</v>
      </c>
      <c r="X167" s="62">
        <v>18709</v>
      </c>
      <c r="Y167" s="62">
        <v>237937</v>
      </c>
      <c r="Z167" s="62">
        <v>13593606.621599995</v>
      </c>
      <c r="AA167" s="62">
        <v>10469428</v>
      </c>
      <c r="AB167" s="62">
        <v>3503626</v>
      </c>
      <c r="AC167" s="10">
        <v>14276865.484880002</v>
      </c>
      <c r="AD167" s="10">
        <v>10931785</v>
      </c>
      <c r="AE167" s="10">
        <v>3693487.508446292</v>
      </c>
      <c r="AF167" s="10">
        <v>14181867.184600001</v>
      </c>
      <c r="AG167" s="10">
        <v>11325231</v>
      </c>
      <c r="AH167" s="10">
        <v>3731912.508446292</v>
      </c>
      <c r="AI167" s="10">
        <v>14701467.741599999</v>
      </c>
      <c r="AJ167" s="10">
        <v>11519536</v>
      </c>
      <c r="AK167" s="31">
        <v>3770462.508446292</v>
      </c>
      <c r="AL167" s="10">
        <v>15178691.897499997</v>
      </c>
      <c r="AM167" s="10">
        <v>11837909</v>
      </c>
      <c r="AN167" s="31">
        <v>3809412.508446292</v>
      </c>
      <c r="AO167" s="10">
        <v>14722352.576169997</v>
      </c>
      <c r="AP167" s="10">
        <v>11622810</v>
      </c>
      <c r="AQ167" s="31">
        <v>3895817.508446292</v>
      </c>
    </row>
    <row r="168" spans="1:43">
      <c r="A168" s="102">
        <v>159</v>
      </c>
      <c r="B168" s="7" t="s">
        <v>1864</v>
      </c>
      <c r="C168" s="103">
        <v>17.5</v>
      </c>
      <c r="D168" s="62">
        <v>22710932</v>
      </c>
      <c r="E168" s="37">
        <v>20812705</v>
      </c>
      <c r="F168" s="62">
        <v>3547400</v>
      </c>
      <c r="G168" s="62">
        <v>23361827.510000005</v>
      </c>
      <c r="H168" s="62">
        <v>21048279</v>
      </c>
      <c r="I168" s="62">
        <v>3906490</v>
      </c>
      <c r="J168" s="62">
        <v>23686877.90819297</v>
      </c>
      <c r="K168" s="62">
        <v>21094587</v>
      </c>
      <c r="L168" s="62">
        <v>4239607</v>
      </c>
      <c r="M168" s="62">
        <v>24733177.429999996</v>
      </c>
      <c r="N168" s="62">
        <v>21260686</v>
      </c>
      <c r="O168" s="62">
        <v>3963684</v>
      </c>
      <c r="P168" s="62">
        <v>465826</v>
      </c>
      <c r="Q168" s="62">
        <v>25548586.481975123</v>
      </c>
      <c r="R168" s="62">
        <v>21378942</v>
      </c>
      <c r="S168" s="62">
        <v>4340920</v>
      </c>
      <c r="T168" s="62">
        <v>0</v>
      </c>
      <c r="U168" s="62">
        <v>24685139.268599994</v>
      </c>
      <c r="V168" s="62">
        <v>21321759</v>
      </c>
      <c r="W168" s="62">
        <v>4087324</v>
      </c>
      <c r="X168" s="62">
        <v>21942</v>
      </c>
      <c r="Y168" s="62">
        <v>306429</v>
      </c>
      <c r="Z168" s="62">
        <v>24642877.109999999</v>
      </c>
      <c r="AA168" s="62">
        <v>21481517</v>
      </c>
      <c r="AB168" s="62">
        <v>4109266</v>
      </c>
      <c r="AC168" s="10">
        <v>25335232.990000002</v>
      </c>
      <c r="AD168" s="10">
        <v>21911262</v>
      </c>
      <c r="AE168" s="10">
        <v>4224986</v>
      </c>
      <c r="AF168" s="10">
        <v>24962248.150000006</v>
      </c>
      <c r="AG168" s="10">
        <v>22263076</v>
      </c>
      <c r="AH168" s="10">
        <v>4294961</v>
      </c>
      <c r="AI168" s="10">
        <v>24849640.570000004</v>
      </c>
      <c r="AJ168" s="10">
        <v>21747129</v>
      </c>
      <c r="AK168" s="31">
        <v>4363911</v>
      </c>
      <c r="AL168" s="10">
        <v>25612986.450000003</v>
      </c>
      <c r="AM168" s="10">
        <v>21804274</v>
      </c>
      <c r="AN168" s="31">
        <v>4434186</v>
      </c>
      <c r="AO168" s="10">
        <v>25829656.509999998</v>
      </c>
      <c r="AP168" s="10">
        <v>21477556</v>
      </c>
      <c r="AQ168" s="31">
        <v>4587691</v>
      </c>
    </row>
    <row r="169" spans="1:43">
      <c r="A169" s="102">
        <v>160</v>
      </c>
      <c r="B169" s="7" t="s">
        <v>1865</v>
      </c>
      <c r="C169" s="103">
        <v>73.709999999999994</v>
      </c>
      <c r="D169" s="62">
        <v>134573109</v>
      </c>
      <c r="E169" s="37">
        <v>29664794</v>
      </c>
      <c r="F169" s="62">
        <v>108399118</v>
      </c>
      <c r="G169" s="62">
        <v>139116837.98003998</v>
      </c>
      <c r="H169" s="62">
        <v>31162657</v>
      </c>
      <c r="I169" s="62">
        <v>111660607</v>
      </c>
      <c r="J169" s="62">
        <v>147723629.79585069</v>
      </c>
      <c r="K169" s="62">
        <v>32819557</v>
      </c>
      <c r="L169" s="62">
        <v>117869547</v>
      </c>
      <c r="M169" s="62">
        <v>150534733.39768001</v>
      </c>
      <c r="N169" s="62">
        <v>34088424</v>
      </c>
      <c r="O169" s="62">
        <v>107274461</v>
      </c>
      <c r="P169" s="62">
        <v>12607274</v>
      </c>
      <c r="Q169" s="62">
        <v>154968734.65788475</v>
      </c>
      <c r="R169" s="62">
        <v>33789587</v>
      </c>
      <c r="S169" s="62">
        <v>117484100</v>
      </c>
      <c r="T169" s="62">
        <v>3695048</v>
      </c>
      <c r="U169" s="62">
        <v>151465731.89643282</v>
      </c>
      <c r="V169" s="62">
        <v>34730786</v>
      </c>
      <c r="W169" s="62">
        <v>114495103</v>
      </c>
      <c r="X169" s="62">
        <v>614660</v>
      </c>
      <c r="Y169" s="62">
        <v>6425960</v>
      </c>
      <c r="Z169" s="62">
        <v>157898864.58336002</v>
      </c>
      <c r="AA169" s="62">
        <v>36240147</v>
      </c>
      <c r="AB169" s="62">
        <v>121658718</v>
      </c>
      <c r="AC169" s="10">
        <v>163641193.22828004</v>
      </c>
      <c r="AD169" s="10">
        <v>37162840</v>
      </c>
      <c r="AE169" s="10">
        <v>126478353</v>
      </c>
      <c r="AF169" s="10">
        <v>168760616.72439998</v>
      </c>
      <c r="AG169" s="10">
        <v>38859325</v>
      </c>
      <c r="AH169" s="17">
        <f>129901292+25266</f>
        <v>129926558</v>
      </c>
      <c r="AI169" s="10">
        <v>176078571.80969998</v>
      </c>
      <c r="AJ169" s="10">
        <v>40949807</v>
      </c>
      <c r="AK169" s="31">
        <v>135128765</v>
      </c>
      <c r="AL169" s="10">
        <v>177537953.73000002</v>
      </c>
      <c r="AM169" s="10">
        <v>43089941</v>
      </c>
      <c r="AN169" s="31">
        <v>135511265</v>
      </c>
      <c r="AO169" s="10">
        <v>183238361.64999998</v>
      </c>
      <c r="AP169" s="10">
        <v>44649981</v>
      </c>
      <c r="AQ169" s="31">
        <v>138588381</v>
      </c>
    </row>
    <row r="170" spans="1:43">
      <c r="A170" s="102">
        <v>161</v>
      </c>
      <c r="B170" s="7" t="s">
        <v>1866</v>
      </c>
      <c r="C170" s="103">
        <v>43.42</v>
      </c>
      <c r="D170" s="62">
        <v>22679461</v>
      </c>
      <c r="E170" s="37">
        <v>13063961</v>
      </c>
      <c r="F170" s="62">
        <v>9615500</v>
      </c>
      <c r="G170" s="62">
        <v>24089447.75</v>
      </c>
      <c r="H170" s="62">
        <v>13513577</v>
      </c>
      <c r="I170" s="62">
        <v>10575871</v>
      </c>
      <c r="J170" s="62">
        <v>25130130.610954065</v>
      </c>
      <c r="K170" s="62">
        <v>13594068</v>
      </c>
      <c r="L170" s="62">
        <v>11536063</v>
      </c>
      <c r="M170" s="62">
        <v>26252078.679999992</v>
      </c>
      <c r="N170" s="62">
        <v>13563370</v>
      </c>
      <c r="O170" s="62">
        <v>11354310</v>
      </c>
      <c r="P170" s="62">
        <v>1334399</v>
      </c>
      <c r="Q170" s="62">
        <v>27121644.13746221</v>
      </c>
      <c r="R170" s="62">
        <v>13598080</v>
      </c>
      <c r="S170" s="62">
        <v>12434935</v>
      </c>
      <c r="T170" s="62">
        <v>1088629</v>
      </c>
      <c r="U170" s="62">
        <v>26588449.146960001</v>
      </c>
      <c r="V170" s="62">
        <v>13600623</v>
      </c>
      <c r="W170" s="62">
        <v>12738623</v>
      </c>
      <c r="X170" s="62">
        <v>68387</v>
      </c>
      <c r="Y170" s="62">
        <v>790929</v>
      </c>
      <c r="Z170" s="62">
        <v>26899330.039999999</v>
      </c>
      <c r="AA170" s="62">
        <v>13801952</v>
      </c>
      <c r="AB170" s="62">
        <v>13097378</v>
      </c>
      <c r="AC170" s="10">
        <v>27321398.960000005</v>
      </c>
      <c r="AD170" s="10">
        <v>14243896</v>
      </c>
      <c r="AE170" s="10">
        <v>13211578</v>
      </c>
      <c r="AF170" s="10">
        <v>27755975.950000003</v>
      </c>
      <c r="AG170" s="10">
        <v>14764702</v>
      </c>
      <c r="AH170" s="10">
        <v>13282703</v>
      </c>
      <c r="AI170" s="10">
        <v>27236633.910000004</v>
      </c>
      <c r="AJ170" s="10">
        <v>14951306</v>
      </c>
      <c r="AK170" s="31">
        <v>13351728</v>
      </c>
      <c r="AL170" s="10">
        <v>27187438.540000007</v>
      </c>
      <c r="AM170" s="10">
        <v>15433886</v>
      </c>
      <c r="AN170" s="31">
        <v>13418728</v>
      </c>
      <c r="AO170" s="10">
        <v>27123791.77</v>
      </c>
      <c r="AP170" s="10">
        <v>15449969</v>
      </c>
      <c r="AQ170" s="31">
        <v>13564533</v>
      </c>
    </row>
    <row r="171" spans="1:43">
      <c r="A171" s="102">
        <v>162</v>
      </c>
      <c r="B171" s="7" t="s">
        <v>1867</v>
      </c>
      <c r="C171" s="103">
        <v>41.54</v>
      </c>
      <c r="D171" s="62">
        <v>11716392</v>
      </c>
      <c r="E171" s="37">
        <v>8601526</v>
      </c>
      <c r="F171" s="62">
        <v>3708907</v>
      </c>
      <c r="G171" s="62">
        <v>12276374.15</v>
      </c>
      <c r="H171" s="62">
        <v>8871625</v>
      </c>
      <c r="I171" s="62">
        <v>3921700</v>
      </c>
      <c r="J171" s="62">
        <v>13121501.42336395</v>
      </c>
      <c r="K171" s="62">
        <v>8885020</v>
      </c>
      <c r="L171" s="62">
        <v>4314259</v>
      </c>
      <c r="M171" s="62">
        <v>13675383.389999999</v>
      </c>
      <c r="N171" s="62">
        <v>9084809</v>
      </c>
      <c r="O171" s="62">
        <v>4134848</v>
      </c>
      <c r="P171" s="62">
        <v>485942</v>
      </c>
      <c r="Q171" s="62">
        <v>13799998.378687082</v>
      </c>
      <c r="R171" s="62">
        <v>9022501</v>
      </c>
      <c r="S171" s="62">
        <v>4528374</v>
      </c>
      <c r="T171" s="62">
        <v>249123</v>
      </c>
      <c r="U171" s="62">
        <v>13414483.32636</v>
      </c>
      <c r="V171" s="62">
        <v>8836567</v>
      </c>
      <c r="W171" s="62">
        <v>4498396</v>
      </c>
      <c r="X171" s="62">
        <v>24149</v>
      </c>
      <c r="Y171" s="62">
        <v>295077</v>
      </c>
      <c r="Z171" s="62">
        <v>13457816.690000003</v>
      </c>
      <c r="AA171" s="62">
        <v>8981951</v>
      </c>
      <c r="AB171" s="62">
        <v>4522545</v>
      </c>
      <c r="AC171" s="10">
        <v>14298145.129999995</v>
      </c>
      <c r="AD171" s="10">
        <v>9188886</v>
      </c>
      <c r="AE171" s="10">
        <v>5219936.6884947494</v>
      </c>
      <c r="AF171" s="10">
        <v>14546535.939999999</v>
      </c>
      <c r="AG171" s="10">
        <v>9433283</v>
      </c>
      <c r="AH171" s="10">
        <v>5354695.9110325621</v>
      </c>
      <c r="AI171" s="10">
        <v>14945462.859999999</v>
      </c>
      <c r="AJ171" s="10">
        <v>9374156</v>
      </c>
      <c r="AK171" s="31">
        <v>5605871.9110325621</v>
      </c>
      <c r="AL171" s="10">
        <v>15341249.750000002</v>
      </c>
      <c r="AM171" s="10">
        <v>9506767</v>
      </c>
      <c r="AN171" s="31">
        <v>5834483</v>
      </c>
      <c r="AO171" s="10">
        <v>15538424.619999999</v>
      </c>
      <c r="AP171" s="10">
        <v>9187168</v>
      </c>
      <c r="AQ171" s="31">
        <v>6351257</v>
      </c>
    </row>
    <row r="172" spans="1:43">
      <c r="A172" s="102">
        <v>163</v>
      </c>
      <c r="B172" s="7" t="s">
        <v>1868</v>
      </c>
      <c r="C172" s="103">
        <v>75.98</v>
      </c>
      <c r="D172" s="62">
        <v>129974090</v>
      </c>
      <c r="E172" s="37">
        <v>29799249</v>
      </c>
      <c r="F172" s="62">
        <v>100174841</v>
      </c>
      <c r="G172" s="62">
        <v>135144695.81999999</v>
      </c>
      <c r="H172" s="62">
        <v>31653289</v>
      </c>
      <c r="I172" s="62">
        <v>103751349</v>
      </c>
      <c r="J172" s="62">
        <v>144686831.68873173</v>
      </c>
      <c r="K172" s="62">
        <v>33225614</v>
      </c>
      <c r="L172" s="62">
        <v>111461218</v>
      </c>
      <c r="M172" s="62">
        <v>152073058.32999998</v>
      </c>
      <c r="N172" s="62">
        <v>34465340</v>
      </c>
      <c r="O172" s="62">
        <v>105239589</v>
      </c>
      <c r="P172" s="62">
        <v>12368129</v>
      </c>
      <c r="Q172" s="62">
        <v>155276011.32322299</v>
      </c>
      <c r="R172" s="62">
        <v>36436147</v>
      </c>
      <c r="S172" s="62">
        <v>115255564</v>
      </c>
      <c r="T172" s="62">
        <v>3584300</v>
      </c>
      <c r="U172" s="62">
        <v>152859294.83544001</v>
      </c>
      <c r="V172" s="62">
        <v>37505365</v>
      </c>
      <c r="W172" s="62">
        <v>113140585</v>
      </c>
      <c r="X172" s="62">
        <v>607389</v>
      </c>
      <c r="Y172" s="62">
        <v>5439440</v>
      </c>
      <c r="Z172" s="62">
        <v>156427178.34000003</v>
      </c>
      <c r="AA172" s="62">
        <v>38215898</v>
      </c>
      <c r="AB172" s="62">
        <v>118211280</v>
      </c>
      <c r="AC172" s="10">
        <v>165697522.48000002</v>
      </c>
      <c r="AD172" s="10">
        <v>39600037</v>
      </c>
      <c r="AE172" s="10">
        <v>126107787</v>
      </c>
      <c r="AF172" s="10">
        <v>173772185.64999998</v>
      </c>
      <c r="AG172" s="10">
        <v>40871553</v>
      </c>
      <c r="AH172" s="17">
        <f>132900633+471634</f>
        <v>133372267</v>
      </c>
      <c r="AI172" s="10">
        <v>181764114.65000001</v>
      </c>
      <c r="AJ172" s="10">
        <v>43133574</v>
      </c>
      <c r="AK172" s="31">
        <v>138630541</v>
      </c>
      <c r="AL172" s="10">
        <v>191949856.55000001</v>
      </c>
      <c r="AM172" s="10">
        <v>44587175</v>
      </c>
      <c r="AN172" s="31">
        <v>147362682</v>
      </c>
      <c r="AO172" s="10">
        <v>192172422.52999997</v>
      </c>
      <c r="AP172" s="10">
        <v>46018423</v>
      </c>
      <c r="AQ172" s="31">
        <v>151448721</v>
      </c>
    </row>
    <row r="173" spans="1:43">
      <c r="A173" s="102">
        <v>164</v>
      </c>
      <c r="B173" s="7" t="s">
        <v>1869</v>
      </c>
      <c r="C173" s="103">
        <v>17.5</v>
      </c>
      <c r="D173" s="62">
        <v>14215391</v>
      </c>
      <c r="E173" s="37">
        <v>13251512</v>
      </c>
      <c r="F173" s="62">
        <v>1760537.6000000001</v>
      </c>
      <c r="G173" s="62">
        <v>15771023.292079998</v>
      </c>
      <c r="H173" s="62">
        <v>13495114</v>
      </c>
      <c r="I173" s="62">
        <v>2275909</v>
      </c>
      <c r="J173" s="62">
        <v>17356642.058858942</v>
      </c>
      <c r="K173" s="62">
        <v>13944761</v>
      </c>
      <c r="L173" s="62">
        <v>3411881</v>
      </c>
      <c r="M173" s="62">
        <v>18585463.714159999</v>
      </c>
      <c r="N173" s="62">
        <v>14489660</v>
      </c>
      <c r="O173" s="62">
        <v>3665072</v>
      </c>
      <c r="P173" s="62">
        <v>430732</v>
      </c>
      <c r="Q173" s="62">
        <v>19408007.987414353</v>
      </c>
      <c r="R173" s="62">
        <v>16010874</v>
      </c>
      <c r="S173" s="62">
        <v>4013888</v>
      </c>
      <c r="T173" s="62">
        <v>0</v>
      </c>
      <c r="U173" s="62">
        <v>19103918.4621954</v>
      </c>
      <c r="V173" s="62">
        <v>16284477</v>
      </c>
      <c r="W173" s="62">
        <v>3779396</v>
      </c>
      <c r="X173" s="62">
        <v>20290</v>
      </c>
      <c r="Y173" s="62">
        <v>270977</v>
      </c>
      <c r="Z173" s="62">
        <v>19086223.734719999</v>
      </c>
      <c r="AA173" s="62">
        <v>16630403</v>
      </c>
      <c r="AB173" s="62">
        <v>3799686</v>
      </c>
      <c r="AC173" s="10">
        <v>19513606.067749999</v>
      </c>
      <c r="AD173" s="10">
        <v>17151894</v>
      </c>
      <c r="AE173" s="10">
        <v>3887366</v>
      </c>
      <c r="AF173" s="10">
        <v>19765823.121270001</v>
      </c>
      <c r="AG173" s="10">
        <v>17368045</v>
      </c>
      <c r="AH173" s="17">
        <f>3941766+42110</f>
        <v>3983876</v>
      </c>
      <c r="AI173" s="10">
        <v>19490234.623029999</v>
      </c>
      <c r="AJ173" s="10">
        <v>17091539</v>
      </c>
      <c r="AK173" s="31">
        <v>4036801</v>
      </c>
      <c r="AL173" s="10">
        <v>19743094.595660001</v>
      </c>
      <c r="AM173" s="10">
        <v>17067615</v>
      </c>
      <c r="AN173" s="31">
        <v>4089401</v>
      </c>
      <c r="AO173" s="10">
        <v>20021615.672320001</v>
      </c>
      <c r="AP173" s="10">
        <v>16786039</v>
      </c>
      <c r="AQ173" s="31">
        <v>4206331</v>
      </c>
    </row>
    <row r="174" spans="1:43">
      <c r="A174" s="102">
        <v>165</v>
      </c>
      <c r="B174" s="7" t="s">
        <v>1870</v>
      </c>
      <c r="C174" s="103">
        <v>54.04</v>
      </c>
      <c r="D174" s="62">
        <v>54185598</v>
      </c>
      <c r="E174" s="37">
        <v>21722732</v>
      </c>
      <c r="F174" s="62">
        <v>32462866</v>
      </c>
      <c r="G174" s="62">
        <v>58405248.022889994</v>
      </c>
      <c r="H174" s="62">
        <v>23530624</v>
      </c>
      <c r="I174" s="62">
        <v>34874624</v>
      </c>
      <c r="J174" s="62">
        <v>62297084.542392798</v>
      </c>
      <c r="K174" s="62">
        <v>24505538</v>
      </c>
      <c r="L174" s="62">
        <v>37791547</v>
      </c>
      <c r="M174" s="62">
        <v>66974103.664699994</v>
      </c>
      <c r="N174" s="62">
        <v>25736533</v>
      </c>
      <c r="O174" s="62">
        <v>36900852</v>
      </c>
      <c r="P174" s="62">
        <v>4336719</v>
      </c>
      <c r="Q174" s="62">
        <v>70256109.620756119</v>
      </c>
      <c r="R174" s="62">
        <v>28341018</v>
      </c>
      <c r="S174" s="62">
        <v>40412820</v>
      </c>
      <c r="T174" s="62">
        <v>1502272</v>
      </c>
      <c r="U174" s="62">
        <v>69445049.599893317</v>
      </c>
      <c r="V174" s="62">
        <v>29256886</v>
      </c>
      <c r="W174" s="62">
        <v>39466415</v>
      </c>
      <c r="X174" s="62">
        <v>211873</v>
      </c>
      <c r="Y174" s="62">
        <v>2408479</v>
      </c>
      <c r="Z174" s="62">
        <v>74002031.259239987</v>
      </c>
      <c r="AA174" s="62">
        <v>29910919</v>
      </c>
      <c r="AB174" s="62">
        <v>44091112</v>
      </c>
      <c r="AC174" s="10">
        <v>78173570.110089988</v>
      </c>
      <c r="AD174" s="10">
        <v>31406125</v>
      </c>
      <c r="AE174" s="10">
        <v>46767445</v>
      </c>
      <c r="AF174" s="10">
        <v>79552182.518289998</v>
      </c>
      <c r="AG174" s="10">
        <v>32589651</v>
      </c>
      <c r="AH174" s="17">
        <f>46962532+101064</f>
        <v>47063596</v>
      </c>
      <c r="AI174" s="10">
        <v>80737953.747600004</v>
      </c>
      <c r="AJ174" s="10">
        <v>34410984</v>
      </c>
      <c r="AK174" s="31">
        <v>47246321</v>
      </c>
      <c r="AL174" s="10">
        <v>84059175.637440011</v>
      </c>
      <c r="AM174" s="10">
        <v>35620417</v>
      </c>
      <c r="AN174" s="31">
        <v>48438759</v>
      </c>
      <c r="AO174" s="10">
        <v>84148786.035580009</v>
      </c>
      <c r="AP174" s="10">
        <v>37450081</v>
      </c>
      <c r="AQ174" s="31">
        <v>48846419</v>
      </c>
    </row>
    <row r="175" spans="1:43">
      <c r="A175" s="102">
        <v>166</v>
      </c>
      <c r="B175" s="7" t="s">
        <v>1871</v>
      </c>
      <c r="C175" s="103">
        <v>17.5</v>
      </c>
      <c r="D175" s="62">
        <v>0</v>
      </c>
      <c r="E175" s="37">
        <v>0</v>
      </c>
      <c r="F175" s="62">
        <v>0</v>
      </c>
      <c r="G175" s="62">
        <v>0</v>
      </c>
      <c r="H175" s="62">
        <v>0</v>
      </c>
      <c r="I175" s="62">
        <v>0</v>
      </c>
      <c r="J175" s="62">
        <v>0</v>
      </c>
      <c r="K175" s="62">
        <v>0</v>
      </c>
      <c r="L175" s="62">
        <v>0</v>
      </c>
      <c r="M175" s="62">
        <v>0</v>
      </c>
      <c r="N175" s="62">
        <v>0</v>
      </c>
      <c r="O175" s="62">
        <v>0</v>
      </c>
      <c r="P175" s="62">
        <v>0</v>
      </c>
      <c r="Q175" s="62">
        <v>0</v>
      </c>
      <c r="R175" s="62">
        <v>0</v>
      </c>
      <c r="S175" s="62">
        <v>0</v>
      </c>
      <c r="T175" s="62">
        <v>0</v>
      </c>
      <c r="U175" s="62">
        <v>0</v>
      </c>
      <c r="V175" s="62">
        <v>0</v>
      </c>
      <c r="W175" s="62">
        <v>0</v>
      </c>
      <c r="X175" s="62">
        <v>0</v>
      </c>
      <c r="Y175" s="62">
        <v>0</v>
      </c>
      <c r="Z175" s="62">
        <v>0</v>
      </c>
      <c r="AA175" s="62">
        <v>0</v>
      </c>
      <c r="AB175" s="62">
        <v>0</v>
      </c>
      <c r="AC175" s="10">
        <v>0</v>
      </c>
      <c r="AD175" s="10">
        <v>0</v>
      </c>
      <c r="AE175" s="10">
        <v>0</v>
      </c>
      <c r="AF175" s="10">
        <v>0</v>
      </c>
      <c r="AG175" s="10">
        <v>0</v>
      </c>
      <c r="AH175" s="10">
        <v>0</v>
      </c>
      <c r="AI175" s="10">
        <v>0</v>
      </c>
      <c r="AJ175" s="10">
        <v>0</v>
      </c>
      <c r="AK175" s="31">
        <v>0</v>
      </c>
      <c r="AL175" s="10">
        <v>0</v>
      </c>
      <c r="AM175" s="10">
        <v>0</v>
      </c>
      <c r="AN175" s="31">
        <v>0</v>
      </c>
      <c r="AO175" s="10">
        <v>0</v>
      </c>
      <c r="AP175" s="10">
        <v>0</v>
      </c>
      <c r="AQ175" s="31">
        <v>0</v>
      </c>
    </row>
    <row r="176" spans="1:43">
      <c r="A176" s="102">
        <v>167</v>
      </c>
      <c r="B176" s="7" t="s">
        <v>1872</v>
      </c>
      <c r="C176" s="103">
        <v>34.590000000000003</v>
      </c>
      <c r="D176" s="62">
        <v>34070637</v>
      </c>
      <c r="E176" s="37">
        <v>22637801</v>
      </c>
      <c r="F176" s="62">
        <v>11432836</v>
      </c>
      <c r="G176" s="62">
        <v>37066064.086240001</v>
      </c>
      <c r="H176" s="62">
        <v>23186796</v>
      </c>
      <c r="I176" s="62">
        <v>13879268</v>
      </c>
      <c r="J176" s="62">
        <v>38933172.153506003</v>
      </c>
      <c r="K176" s="62">
        <v>23627132</v>
      </c>
      <c r="L176" s="62">
        <v>15306040</v>
      </c>
      <c r="M176" s="62">
        <v>41292178.534949996</v>
      </c>
      <c r="N176" s="62">
        <v>24028768</v>
      </c>
      <c r="O176" s="62">
        <v>15447917</v>
      </c>
      <c r="P176" s="62">
        <v>1815494</v>
      </c>
      <c r="Q176" s="62">
        <v>43173220.767601192</v>
      </c>
      <c r="R176" s="62">
        <v>24399237</v>
      </c>
      <c r="S176" s="62">
        <v>16918143</v>
      </c>
      <c r="T176" s="62">
        <v>1855841</v>
      </c>
      <c r="U176" s="62">
        <v>42531299.518475883</v>
      </c>
      <c r="V176" s="62">
        <v>24405336</v>
      </c>
      <c r="W176" s="62">
        <v>17778173</v>
      </c>
      <c r="X176" s="62">
        <v>95441</v>
      </c>
      <c r="Y176" s="62">
        <v>1022220</v>
      </c>
      <c r="Z176" s="62">
        <v>42752257.461410008</v>
      </c>
      <c r="AA176" s="62">
        <v>25008185</v>
      </c>
      <c r="AB176" s="62">
        <v>17873614</v>
      </c>
      <c r="AC176" s="10">
        <v>43053921.076990001</v>
      </c>
      <c r="AD176" s="10">
        <v>25772728</v>
      </c>
      <c r="AE176" s="10">
        <v>18060214</v>
      </c>
      <c r="AF176" s="10">
        <v>43496373.837260008</v>
      </c>
      <c r="AG176" s="10">
        <v>26613090</v>
      </c>
      <c r="AH176" s="10">
        <v>18175039</v>
      </c>
      <c r="AI176" s="10">
        <v>41985292.046640001</v>
      </c>
      <c r="AJ176" s="10">
        <v>26566576</v>
      </c>
      <c r="AK176" s="31">
        <v>18283964</v>
      </c>
      <c r="AL176" s="10">
        <v>40931631.918399997</v>
      </c>
      <c r="AM176" s="10">
        <v>26810067</v>
      </c>
      <c r="AN176" s="31">
        <v>18388239</v>
      </c>
      <c r="AO176" s="10">
        <v>40048769.469539993</v>
      </c>
      <c r="AP176" s="10">
        <v>26489859</v>
      </c>
      <c r="AQ176" s="31">
        <v>18610109</v>
      </c>
    </row>
    <row r="177" spans="1:43">
      <c r="A177" s="102">
        <v>168</v>
      </c>
      <c r="B177" s="7" t="s">
        <v>1873</v>
      </c>
      <c r="C177" s="103">
        <v>17.5</v>
      </c>
      <c r="D177" s="62">
        <v>22442162</v>
      </c>
      <c r="E177" s="37">
        <v>18815418</v>
      </c>
      <c r="F177" s="62">
        <v>3626744</v>
      </c>
      <c r="G177" s="62">
        <v>23820222.600000001</v>
      </c>
      <c r="H177" s="62">
        <v>19829287</v>
      </c>
      <c r="I177" s="62">
        <v>3990936</v>
      </c>
      <c r="J177" s="62">
        <v>24883005.764629867</v>
      </c>
      <c r="K177" s="62">
        <v>20408599</v>
      </c>
      <c r="L177" s="62">
        <v>4474407</v>
      </c>
      <c r="M177" s="62">
        <v>26084987.150000002</v>
      </c>
      <c r="N177" s="62">
        <v>21181516</v>
      </c>
      <c r="O177" s="62">
        <v>4387801</v>
      </c>
      <c r="P177" s="62">
        <v>515670</v>
      </c>
      <c r="Q177" s="62">
        <v>27241689.681577034</v>
      </c>
      <c r="R177" s="62">
        <v>22473658</v>
      </c>
      <c r="S177" s="62">
        <v>4805402</v>
      </c>
      <c r="T177" s="62">
        <v>0</v>
      </c>
      <c r="U177" s="62">
        <v>26691563.970600002</v>
      </c>
      <c r="V177" s="62">
        <v>22521401</v>
      </c>
      <c r="W177" s="62">
        <v>4524671</v>
      </c>
      <c r="X177" s="62">
        <v>24290</v>
      </c>
      <c r="Y177" s="62">
        <v>337066</v>
      </c>
      <c r="Z177" s="62">
        <v>27367247.329999998</v>
      </c>
      <c r="AA177" s="62">
        <v>23246510</v>
      </c>
      <c r="AB177" s="62">
        <v>4548961</v>
      </c>
      <c r="AC177" s="10">
        <v>28162380.189999998</v>
      </c>
      <c r="AD177" s="10">
        <v>24103028</v>
      </c>
      <c r="AE177" s="10">
        <v>4677641</v>
      </c>
      <c r="AF177" s="10">
        <v>29501925.989999995</v>
      </c>
      <c r="AG177" s="10">
        <v>24213134</v>
      </c>
      <c r="AH177" s="17">
        <f>5288792+8422</f>
        <v>5297214</v>
      </c>
      <c r="AI177" s="10">
        <v>30687140.549999997</v>
      </c>
      <c r="AJ177" s="10">
        <v>25404870</v>
      </c>
      <c r="AK177" s="31">
        <v>5381364</v>
      </c>
      <c r="AL177" s="10">
        <v>30592758.849999998</v>
      </c>
      <c r="AM177" s="10">
        <v>25878831</v>
      </c>
      <c r="AN177" s="31">
        <v>5464064</v>
      </c>
      <c r="AO177" s="10">
        <v>30713624.370000001</v>
      </c>
      <c r="AP177" s="10">
        <v>25564980</v>
      </c>
      <c r="AQ177" s="31">
        <v>5644629</v>
      </c>
    </row>
    <row r="178" spans="1:43">
      <c r="A178" s="102">
        <v>169</v>
      </c>
      <c r="B178" s="7" t="s">
        <v>1874</v>
      </c>
      <c r="C178" s="103">
        <v>17.5</v>
      </c>
      <c r="D178" s="62">
        <v>2842071</v>
      </c>
      <c r="E178" s="37">
        <v>3116566</v>
      </c>
      <c r="F178" s="62">
        <v>338668.4</v>
      </c>
      <c r="G178" s="62">
        <v>2997167.17</v>
      </c>
      <c r="H178" s="62">
        <v>2911376</v>
      </c>
      <c r="I178" s="62">
        <v>375835.4</v>
      </c>
      <c r="J178" s="62">
        <v>3025165.423394056</v>
      </c>
      <c r="K178" s="62">
        <v>2851568</v>
      </c>
      <c r="L178" s="62">
        <v>421906.4</v>
      </c>
      <c r="M178" s="62">
        <v>3162483.16</v>
      </c>
      <c r="N178" s="62">
        <v>2895625</v>
      </c>
      <c r="O178" s="62">
        <v>416376.4</v>
      </c>
      <c r="P178" s="62">
        <v>48934</v>
      </c>
      <c r="Q178" s="62">
        <v>3266374.1133779911</v>
      </c>
      <c r="R178" s="62">
        <v>3033215</v>
      </c>
      <c r="S178" s="62">
        <v>456004</v>
      </c>
      <c r="T178" s="62">
        <v>0</v>
      </c>
      <c r="U178" s="62">
        <v>3153015.2271000003</v>
      </c>
      <c r="V178" s="62">
        <v>2931584</v>
      </c>
      <c r="W178" s="62">
        <v>429364</v>
      </c>
      <c r="X178" s="62">
        <v>2305</v>
      </c>
      <c r="Y178" s="62">
        <v>34185</v>
      </c>
      <c r="Z178" s="62">
        <v>3339019.88</v>
      </c>
      <c r="AA178" s="62">
        <v>3088812</v>
      </c>
      <c r="AB178" s="62">
        <v>431669</v>
      </c>
      <c r="AC178" s="10">
        <v>3695947.6200000006</v>
      </c>
      <c r="AD178" s="10">
        <v>3317639</v>
      </c>
      <c r="AE178" s="10">
        <v>449149</v>
      </c>
      <c r="AF178" s="10">
        <v>3724025.8699999996</v>
      </c>
      <c r="AG178" s="10">
        <v>3296965</v>
      </c>
      <c r="AH178" s="10">
        <v>459899</v>
      </c>
      <c r="AI178" s="10">
        <v>3955020.5</v>
      </c>
      <c r="AJ178" s="10">
        <v>3359179</v>
      </c>
      <c r="AK178" s="31">
        <v>595842</v>
      </c>
      <c r="AL178" s="10">
        <v>4014302.5699999994</v>
      </c>
      <c r="AM178" s="10">
        <v>3344045</v>
      </c>
      <c r="AN178" s="31">
        <v>670258</v>
      </c>
      <c r="AO178" s="10">
        <v>4098862.3900000006</v>
      </c>
      <c r="AP178" s="10">
        <v>3406086</v>
      </c>
      <c r="AQ178" s="31">
        <v>694733</v>
      </c>
    </row>
    <row r="179" spans="1:43">
      <c r="A179" s="102">
        <v>170</v>
      </c>
      <c r="B179" s="7" t="s">
        <v>1875</v>
      </c>
      <c r="C179" s="103">
        <v>41.97</v>
      </c>
      <c r="D179" s="62">
        <v>37010306</v>
      </c>
      <c r="E179" s="37">
        <v>32604757</v>
      </c>
      <c r="F179" s="62">
        <v>6151638.0000000028</v>
      </c>
      <c r="G179" s="62">
        <v>39489888.753479995</v>
      </c>
      <c r="H179" s="62">
        <v>33387418</v>
      </c>
      <c r="I179" s="62">
        <v>7207775.0000000028</v>
      </c>
      <c r="J179" s="62">
        <v>41647924.173341915</v>
      </c>
      <c r="K179" s="62">
        <v>33111874</v>
      </c>
      <c r="L179" s="62">
        <v>9149845.0000000037</v>
      </c>
      <c r="M179" s="62">
        <v>44383211.209059998</v>
      </c>
      <c r="N179" s="62">
        <v>32757172</v>
      </c>
      <c r="O179" s="62">
        <v>10403395</v>
      </c>
      <c r="P179" s="62">
        <v>1222644</v>
      </c>
      <c r="Q179" s="62">
        <v>46013474.233912654</v>
      </c>
      <c r="R179" s="62">
        <v>32958768</v>
      </c>
      <c r="S179" s="62">
        <v>11393518</v>
      </c>
      <c r="T179" s="62">
        <v>1661188</v>
      </c>
      <c r="U179" s="62">
        <v>46421470.443365268</v>
      </c>
      <c r="V179" s="62">
        <v>33104620</v>
      </c>
      <c r="W179" s="62">
        <v>13061334</v>
      </c>
      <c r="X179" s="62">
        <v>70119</v>
      </c>
      <c r="Y179" s="62">
        <v>185397</v>
      </c>
      <c r="Z179" s="62">
        <v>47531356.683839999</v>
      </c>
      <c r="AA179" s="62">
        <v>33125854</v>
      </c>
      <c r="AB179" s="62">
        <v>14405503</v>
      </c>
      <c r="AC179" s="10">
        <v>50561006.405809999</v>
      </c>
      <c r="AD179" s="10">
        <v>33652670</v>
      </c>
      <c r="AE179" s="10">
        <v>17545220.816238921</v>
      </c>
      <c r="AF179" s="10">
        <v>51938566.105600007</v>
      </c>
      <c r="AG179" s="10">
        <v>33591541</v>
      </c>
      <c r="AH179" s="10">
        <v>18678850.960200321</v>
      </c>
      <c r="AI179" s="10">
        <v>52135804.352599993</v>
      </c>
      <c r="AJ179" s="10">
        <v>32592161</v>
      </c>
      <c r="AK179" s="31">
        <v>19543643</v>
      </c>
      <c r="AL179" s="10">
        <v>55409404.919719994</v>
      </c>
      <c r="AM179" s="10">
        <v>32493304</v>
      </c>
      <c r="AN179" s="31">
        <v>22916101</v>
      </c>
      <c r="AO179" s="10">
        <v>54854523.918049991</v>
      </c>
      <c r="AP179" s="10">
        <v>31931943</v>
      </c>
      <c r="AQ179" s="31">
        <v>24140701</v>
      </c>
    </row>
    <row r="180" spans="1:43">
      <c r="A180" s="102">
        <v>171</v>
      </c>
      <c r="B180" s="7" t="s">
        <v>1876</v>
      </c>
      <c r="C180" s="103">
        <v>19.84</v>
      </c>
      <c r="D180" s="62">
        <v>32271473</v>
      </c>
      <c r="E180" s="37">
        <v>20214215</v>
      </c>
      <c r="F180" s="62">
        <v>12057258</v>
      </c>
      <c r="G180" s="62">
        <v>34872556.111840002</v>
      </c>
      <c r="H180" s="62">
        <v>21245140</v>
      </c>
      <c r="I180" s="62">
        <v>13627416</v>
      </c>
      <c r="J180" s="62">
        <v>36714948.679464169</v>
      </c>
      <c r="K180" s="62">
        <v>22881016</v>
      </c>
      <c r="L180" s="62">
        <v>14129652</v>
      </c>
      <c r="M180" s="62">
        <v>38563639.171119995</v>
      </c>
      <c r="N180" s="62">
        <v>24240148</v>
      </c>
      <c r="O180" s="62">
        <v>13086402</v>
      </c>
      <c r="P180" s="62">
        <v>1537960</v>
      </c>
      <c r="Q180" s="62">
        <v>40253567.818422206</v>
      </c>
      <c r="R180" s="62">
        <v>26140832</v>
      </c>
      <c r="S180" s="62">
        <v>14331875</v>
      </c>
      <c r="T180" s="62">
        <v>0</v>
      </c>
      <c r="U180" s="62">
        <v>39637274.173409283</v>
      </c>
      <c r="V180" s="62">
        <v>27040077</v>
      </c>
      <c r="W180" s="62">
        <v>13494608</v>
      </c>
      <c r="X180" s="62">
        <v>72445</v>
      </c>
      <c r="Y180" s="62">
        <v>878947</v>
      </c>
      <c r="Z180" s="62">
        <v>39583756.739600003</v>
      </c>
      <c r="AA180" s="62">
        <v>27951328</v>
      </c>
      <c r="AB180" s="62">
        <v>13567053</v>
      </c>
      <c r="AC180" s="10">
        <v>41137358.67464</v>
      </c>
      <c r="AD180" s="10">
        <v>28739555</v>
      </c>
      <c r="AE180" s="10">
        <v>13747293</v>
      </c>
      <c r="AF180" s="10">
        <v>40558278.62376</v>
      </c>
      <c r="AG180" s="10">
        <v>29710952</v>
      </c>
      <c r="AH180" s="10">
        <v>13855893</v>
      </c>
      <c r="AI180" s="10">
        <v>40490934.449160002</v>
      </c>
      <c r="AJ180" s="10">
        <v>31137078</v>
      </c>
      <c r="AK180" s="31">
        <v>13963368</v>
      </c>
      <c r="AL180" s="10">
        <v>40254049.280549996</v>
      </c>
      <c r="AM180" s="10">
        <v>32113539</v>
      </c>
      <c r="AN180" s="31">
        <v>14068193</v>
      </c>
      <c r="AO180" s="10">
        <v>40243211.142080009</v>
      </c>
      <c r="AP180" s="10">
        <v>32421451</v>
      </c>
      <c r="AQ180" s="31">
        <v>14297323</v>
      </c>
    </row>
    <row r="181" spans="1:43">
      <c r="A181" s="102">
        <v>172</v>
      </c>
      <c r="B181" s="7" t="s">
        <v>1877</v>
      </c>
      <c r="C181" s="103">
        <v>17.5</v>
      </c>
      <c r="D181" s="62">
        <v>15407543</v>
      </c>
      <c r="E181" s="37">
        <v>12020189</v>
      </c>
      <c r="F181" s="62">
        <v>4044754</v>
      </c>
      <c r="G181" s="62">
        <v>15474024.460000001</v>
      </c>
      <c r="H181" s="62">
        <v>12882004</v>
      </c>
      <c r="I181" s="62">
        <v>4145104</v>
      </c>
      <c r="J181" s="62">
        <v>17073801.756701652</v>
      </c>
      <c r="K181" s="62">
        <v>13860224</v>
      </c>
      <c r="L181" s="62">
        <v>4425065</v>
      </c>
      <c r="M181" s="62">
        <v>17636286.130000006</v>
      </c>
      <c r="N181" s="62">
        <v>14142204</v>
      </c>
      <c r="O181" s="62">
        <v>4051695</v>
      </c>
      <c r="P181" s="62">
        <v>476170</v>
      </c>
      <c r="Q181" s="62">
        <v>16283467.18671005</v>
      </c>
      <c r="R181" s="62">
        <v>14193190</v>
      </c>
      <c r="S181" s="62">
        <v>4437308</v>
      </c>
      <c r="T181" s="62">
        <v>0</v>
      </c>
      <c r="U181" s="62">
        <v>16336474.718640003</v>
      </c>
      <c r="V181" s="62">
        <v>14184603</v>
      </c>
      <c r="W181" s="62">
        <v>4178081</v>
      </c>
      <c r="X181" s="62">
        <v>22430</v>
      </c>
      <c r="Y181" s="62">
        <v>283872</v>
      </c>
      <c r="Z181" s="62">
        <v>16170543.359999999</v>
      </c>
      <c r="AA181" s="62">
        <v>14364504</v>
      </c>
      <c r="AB181" s="62">
        <v>4200511</v>
      </c>
      <c r="AC181" s="10">
        <v>16786403.150000002</v>
      </c>
      <c r="AD181" s="10">
        <v>14863230</v>
      </c>
      <c r="AE181" s="10">
        <v>4271711</v>
      </c>
      <c r="AF181" s="10">
        <v>17312286.150000002</v>
      </c>
      <c r="AG181" s="10">
        <v>15116709</v>
      </c>
      <c r="AH181" s="10">
        <v>4316511</v>
      </c>
      <c r="AI181" s="10">
        <v>16847491.769999996</v>
      </c>
      <c r="AJ181" s="10">
        <v>14820989</v>
      </c>
      <c r="AK181" s="31">
        <v>4359861</v>
      </c>
      <c r="AL181" s="10">
        <v>16578175.300000003</v>
      </c>
      <c r="AM181" s="10">
        <v>14402235</v>
      </c>
      <c r="AN181" s="31">
        <v>4402061</v>
      </c>
      <c r="AO181" s="10">
        <v>16891753.790000003</v>
      </c>
      <c r="AP181" s="10">
        <v>14087772</v>
      </c>
      <c r="AQ181" s="31">
        <v>4493526</v>
      </c>
    </row>
    <row r="182" spans="1:43">
      <c r="A182" s="102">
        <v>173</v>
      </c>
      <c r="B182" s="7" t="s">
        <v>1878</v>
      </c>
      <c r="C182" s="103">
        <v>17.5</v>
      </c>
      <c r="D182" s="62">
        <v>3297524</v>
      </c>
      <c r="E182" s="37">
        <v>3310959</v>
      </c>
      <c r="F182" s="62">
        <v>473897.6</v>
      </c>
      <c r="G182" s="62">
        <v>3387984.92</v>
      </c>
      <c r="H182" s="62">
        <v>3308386</v>
      </c>
      <c r="I182" s="62">
        <v>497697.6</v>
      </c>
      <c r="J182" s="62">
        <v>3488042.5977460435</v>
      </c>
      <c r="K182" s="62">
        <v>3193722</v>
      </c>
      <c r="L182" s="62">
        <v>531510.6</v>
      </c>
      <c r="M182" s="62">
        <v>3669467.71</v>
      </c>
      <c r="N182" s="62">
        <v>3252117</v>
      </c>
      <c r="O182" s="62">
        <v>508287.6</v>
      </c>
      <c r="P182" s="62">
        <v>59736</v>
      </c>
      <c r="Q182" s="62">
        <v>3955927.7226870819</v>
      </c>
      <c r="R182" s="62">
        <v>3490891</v>
      </c>
      <c r="S182" s="62">
        <v>556663</v>
      </c>
      <c r="T182" s="62">
        <v>0</v>
      </c>
      <c r="U182" s="62">
        <v>3799146.5653200001</v>
      </c>
      <c r="V182" s="62">
        <v>3492437</v>
      </c>
      <c r="W182" s="62">
        <v>524142</v>
      </c>
      <c r="X182" s="62">
        <v>2814</v>
      </c>
      <c r="Y182" s="62">
        <v>41557</v>
      </c>
      <c r="Z182" s="62">
        <v>3951256.51</v>
      </c>
      <c r="AA182" s="62">
        <v>3548014</v>
      </c>
      <c r="AB182" s="62">
        <v>526956</v>
      </c>
      <c r="AC182" s="10">
        <v>4131578.0200000009</v>
      </c>
      <c r="AD182" s="10">
        <v>3667812</v>
      </c>
      <c r="AE182" s="10">
        <v>546236</v>
      </c>
      <c r="AF182" s="10">
        <v>4068140.6800000006</v>
      </c>
      <c r="AG182" s="10">
        <v>3673844</v>
      </c>
      <c r="AH182" s="10">
        <v>587658.15474999999</v>
      </c>
      <c r="AI182" s="10">
        <v>4564402.3699999992</v>
      </c>
      <c r="AJ182" s="10">
        <v>3935161</v>
      </c>
      <c r="AK182" s="31">
        <v>661547.15474999999</v>
      </c>
      <c r="AL182" s="10">
        <v>4686148.55</v>
      </c>
      <c r="AM182" s="10">
        <v>3913634</v>
      </c>
      <c r="AN182" s="31">
        <v>772515</v>
      </c>
      <c r="AO182" s="10">
        <v>4517988.9499999983</v>
      </c>
      <c r="AP182" s="10">
        <v>3760023</v>
      </c>
      <c r="AQ182" s="31">
        <v>799465</v>
      </c>
    </row>
    <row r="183" spans="1:43">
      <c r="A183" s="102">
        <v>174</v>
      </c>
      <c r="B183" s="7" t="s">
        <v>1879</v>
      </c>
      <c r="C183" s="103">
        <v>34.08</v>
      </c>
      <c r="D183" s="62">
        <v>10044441</v>
      </c>
      <c r="E183" s="37">
        <v>8591307</v>
      </c>
      <c r="F183" s="62">
        <v>2211508</v>
      </c>
      <c r="G183" s="62">
        <v>10644015.071359999</v>
      </c>
      <c r="H183" s="62">
        <v>8569489</v>
      </c>
      <c r="I183" s="62">
        <v>2382686</v>
      </c>
      <c r="J183" s="62">
        <v>11391224.980435096</v>
      </c>
      <c r="K183" s="62">
        <v>8539540</v>
      </c>
      <c r="L183" s="62">
        <v>2851685</v>
      </c>
      <c r="M183" s="62">
        <v>11937003.731199998</v>
      </c>
      <c r="N183" s="62">
        <v>8673841</v>
      </c>
      <c r="O183" s="62">
        <v>2919995</v>
      </c>
      <c r="P183" s="62">
        <v>343168</v>
      </c>
      <c r="Q183" s="62">
        <v>12185553.479722442</v>
      </c>
      <c r="R183" s="62">
        <v>8524586</v>
      </c>
      <c r="S183" s="62">
        <v>3197900</v>
      </c>
      <c r="T183" s="62">
        <v>463067</v>
      </c>
      <c r="U183" s="62">
        <v>12064502.865547679</v>
      </c>
      <c r="V183" s="62">
        <v>8480324</v>
      </c>
      <c r="W183" s="62">
        <v>3515408</v>
      </c>
      <c r="X183" s="62">
        <v>18872</v>
      </c>
      <c r="Y183" s="62">
        <v>160487</v>
      </c>
      <c r="Z183" s="62">
        <v>12168260.781569999</v>
      </c>
      <c r="AA183" s="62">
        <v>8664177</v>
      </c>
      <c r="AB183" s="62">
        <v>3534280</v>
      </c>
      <c r="AC183" s="10">
        <v>12727909.260160001</v>
      </c>
      <c r="AD183" s="10">
        <v>8836949</v>
      </c>
      <c r="AE183" s="10">
        <v>3990864.5528999842</v>
      </c>
      <c r="AF183" s="10">
        <v>12848218.426860001</v>
      </c>
      <c r="AG183" s="10">
        <v>9277415</v>
      </c>
      <c r="AH183" s="10">
        <v>4024014.5528999842</v>
      </c>
      <c r="AI183" s="10">
        <v>13617361.215549998</v>
      </c>
      <c r="AJ183" s="10">
        <v>9450152</v>
      </c>
      <c r="AK183" s="31">
        <v>4180312.5528999842</v>
      </c>
      <c r="AL183" s="10">
        <v>13850824.283779997</v>
      </c>
      <c r="AM183" s="10">
        <v>9411919</v>
      </c>
      <c r="AN183" s="31">
        <v>4438905</v>
      </c>
      <c r="AO183" s="10">
        <v>14059518.789270002</v>
      </c>
      <c r="AP183" s="10">
        <v>9349998</v>
      </c>
      <c r="AQ183" s="31">
        <v>4733058</v>
      </c>
    </row>
    <row r="184" spans="1:43">
      <c r="A184" s="102">
        <v>175</v>
      </c>
      <c r="B184" s="7" t="s">
        <v>1880</v>
      </c>
      <c r="C184" s="103">
        <v>17.5</v>
      </c>
      <c r="D184" s="62">
        <v>21083357</v>
      </c>
      <c r="E184" s="37">
        <v>16366654</v>
      </c>
      <c r="F184" s="62">
        <v>4716703</v>
      </c>
      <c r="G184" s="62">
        <v>22222544.690400001</v>
      </c>
      <c r="H184" s="62">
        <v>17108794</v>
      </c>
      <c r="I184" s="62">
        <v>5113751</v>
      </c>
      <c r="J184" s="62">
        <v>23437455.400163922</v>
      </c>
      <c r="K184" s="62">
        <v>17719122</v>
      </c>
      <c r="L184" s="62">
        <v>5718333</v>
      </c>
      <c r="M184" s="62">
        <v>24405492.276769999</v>
      </c>
      <c r="N184" s="62">
        <v>18347283</v>
      </c>
      <c r="O184" s="62">
        <v>5421102</v>
      </c>
      <c r="P184" s="62">
        <v>637107</v>
      </c>
      <c r="Q184" s="62">
        <v>24887881.817815583</v>
      </c>
      <c r="R184" s="62">
        <v>19908771</v>
      </c>
      <c r="S184" s="62">
        <v>5937045</v>
      </c>
      <c r="T184" s="62">
        <v>0</v>
      </c>
      <c r="U184" s="62">
        <v>24403976.669405282</v>
      </c>
      <c r="V184" s="62">
        <v>20304518</v>
      </c>
      <c r="W184" s="62">
        <v>5590203</v>
      </c>
      <c r="X184" s="62">
        <v>30011</v>
      </c>
      <c r="Y184" s="62">
        <v>389731</v>
      </c>
      <c r="Z184" s="62">
        <v>24263807.570240002</v>
      </c>
      <c r="AA184" s="62">
        <v>20679989</v>
      </c>
      <c r="AB184" s="62">
        <v>5620214</v>
      </c>
      <c r="AC184" s="10">
        <v>24324022.98694</v>
      </c>
      <c r="AD184" s="10">
        <v>21208313</v>
      </c>
      <c r="AE184" s="10">
        <v>5730534</v>
      </c>
      <c r="AF184" s="10">
        <v>24155267.42306</v>
      </c>
      <c r="AG184" s="10">
        <v>21603285</v>
      </c>
      <c r="AH184" s="10">
        <v>5797959</v>
      </c>
      <c r="AI184" s="10">
        <v>23366471.620039996</v>
      </c>
      <c r="AJ184" s="10">
        <v>20811592</v>
      </c>
      <c r="AK184" s="31">
        <v>5862409</v>
      </c>
      <c r="AL184" s="10">
        <v>23395043.4848</v>
      </c>
      <c r="AM184" s="10">
        <v>20516702</v>
      </c>
      <c r="AN184" s="31">
        <v>5925859</v>
      </c>
      <c r="AO184" s="10">
        <v>23253777.20984</v>
      </c>
      <c r="AP184" s="10">
        <v>19507465</v>
      </c>
      <c r="AQ184" s="31">
        <v>6063084</v>
      </c>
    </row>
    <row r="185" spans="1:43">
      <c r="A185" s="102">
        <v>176</v>
      </c>
      <c r="B185" s="7" t="s">
        <v>1881</v>
      </c>
      <c r="C185" s="103">
        <v>17.5</v>
      </c>
      <c r="D185" s="62">
        <v>40248747</v>
      </c>
      <c r="E185" s="37">
        <v>32874703</v>
      </c>
      <c r="F185" s="62">
        <v>10251400.4</v>
      </c>
      <c r="G185" s="62">
        <v>43002389.842659995</v>
      </c>
      <c r="H185" s="62">
        <v>34340915</v>
      </c>
      <c r="I185" s="62">
        <v>10733287.4</v>
      </c>
      <c r="J185" s="62">
        <v>46366010.244539626</v>
      </c>
      <c r="K185" s="62">
        <v>35851875</v>
      </c>
      <c r="L185" s="62">
        <v>11321921.4</v>
      </c>
      <c r="M185" s="62">
        <v>48419758.008079998</v>
      </c>
      <c r="N185" s="62">
        <v>37389566</v>
      </c>
      <c r="O185" s="62">
        <v>10452869.4</v>
      </c>
      <c r="P185" s="62">
        <v>1228458</v>
      </c>
      <c r="Q185" s="62">
        <v>50459876.273372002</v>
      </c>
      <c r="R185" s="62">
        <v>41624962</v>
      </c>
      <c r="S185" s="62">
        <v>11447701</v>
      </c>
      <c r="T185" s="62">
        <v>0</v>
      </c>
      <c r="U185" s="62">
        <v>49632982.275670551</v>
      </c>
      <c r="V185" s="62">
        <v>42205952</v>
      </c>
      <c r="W185" s="62">
        <v>10778927</v>
      </c>
      <c r="X185" s="62">
        <v>57866</v>
      </c>
      <c r="Y185" s="62">
        <v>741233</v>
      </c>
      <c r="Z185" s="62">
        <v>51296237.986520007</v>
      </c>
      <c r="AA185" s="62">
        <v>42820019</v>
      </c>
      <c r="AB185" s="62">
        <v>10836793</v>
      </c>
      <c r="AC185" s="10">
        <v>53745484.954950012</v>
      </c>
      <c r="AD185" s="10">
        <v>44080589</v>
      </c>
      <c r="AE185" s="10">
        <v>11047553</v>
      </c>
      <c r="AF185" s="10">
        <v>52242342.704740003</v>
      </c>
      <c r="AG185" s="10">
        <v>45112884</v>
      </c>
      <c r="AH185" s="17">
        <f>11173603+33688</f>
        <v>11207291</v>
      </c>
      <c r="AI185" s="10">
        <v>52268719.305079997</v>
      </c>
      <c r="AJ185" s="10">
        <v>45014043</v>
      </c>
      <c r="AK185" s="31">
        <v>11332041</v>
      </c>
      <c r="AL185" s="10">
        <v>52826959.864799984</v>
      </c>
      <c r="AM185" s="10">
        <v>45090390</v>
      </c>
      <c r="AN185" s="31">
        <v>11454441</v>
      </c>
      <c r="AO185" s="10">
        <v>53575422.423319995</v>
      </c>
      <c r="AP185" s="10">
        <v>44545699</v>
      </c>
      <c r="AQ185" s="31">
        <v>11719376</v>
      </c>
    </row>
    <row r="186" spans="1:43">
      <c r="A186" s="102">
        <v>177</v>
      </c>
      <c r="B186" s="7" t="s">
        <v>1882</v>
      </c>
      <c r="C186" s="103">
        <v>34.32</v>
      </c>
      <c r="D186" s="62">
        <v>19580722</v>
      </c>
      <c r="E186" s="37">
        <v>13433801</v>
      </c>
      <c r="F186" s="62">
        <v>6292863</v>
      </c>
      <c r="G186" s="62">
        <v>20747660.14057</v>
      </c>
      <c r="H186" s="62">
        <v>13372805</v>
      </c>
      <c r="I186" s="62">
        <v>7374855</v>
      </c>
      <c r="J186" s="62">
        <v>21605016.00124561</v>
      </c>
      <c r="K186" s="62">
        <v>13383579</v>
      </c>
      <c r="L186" s="62">
        <v>8221437</v>
      </c>
      <c r="M186" s="62">
        <v>22347779.065000005</v>
      </c>
      <c r="N186" s="62">
        <v>13117342</v>
      </c>
      <c r="O186" s="62">
        <v>8860400</v>
      </c>
      <c r="P186" s="62">
        <v>370037</v>
      </c>
      <c r="Q186" s="62">
        <v>23324796.46238941</v>
      </c>
      <c r="R186" s="62">
        <v>12868279</v>
      </c>
      <c r="S186" s="62">
        <v>9045828</v>
      </c>
      <c r="T186" s="62">
        <v>1410689</v>
      </c>
      <c r="U186" s="62">
        <v>22310016.342912722</v>
      </c>
      <c r="V186" s="62">
        <v>12851891</v>
      </c>
      <c r="W186" s="62">
        <v>9845648</v>
      </c>
      <c r="X186" s="62">
        <v>52856</v>
      </c>
      <c r="Y186" s="62">
        <v>624313</v>
      </c>
      <c r="Z186" s="62">
        <v>22260938.035379998</v>
      </c>
      <c r="AA186" s="62">
        <v>13120301</v>
      </c>
      <c r="AB186" s="62">
        <v>9898504</v>
      </c>
      <c r="AC186" s="10">
        <v>22211260.904100001</v>
      </c>
      <c r="AD186" s="10">
        <v>13680191</v>
      </c>
      <c r="AE186" s="10">
        <v>9997944</v>
      </c>
      <c r="AF186" s="10">
        <v>22149987.50784</v>
      </c>
      <c r="AG186" s="10">
        <v>14085853</v>
      </c>
      <c r="AH186" s="10">
        <v>10058469</v>
      </c>
      <c r="AI186" s="10">
        <v>21554025.020479999</v>
      </c>
      <c r="AJ186" s="10">
        <v>14114067</v>
      </c>
      <c r="AK186" s="31">
        <v>10117244</v>
      </c>
      <c r="AL186" s="10">
        <v>21958660.335269995</v>
      </c>
      <c r="AM186" s="10">
        <v>14480057</v>
      </c>
      <c r="AN186" s="31">
        <v>10175519</v>
      </c>
      <c r="AO186" s="10">
        <v>21801549.408149999</v>
      </c>
      <c r="AP186" s="10">
        <v>14412519</v>
      </c>
      <c r="AQ186" s="31">
        <v>10301469</v>
      </c>
    </row>
    <row r="187" spans="1:43">
      <c r="A187" s="102">
        <v>178</v>
      </c>
      <c r="B187" s="7" t="s">
        <v>1883</v>
      </c>
      <c r="C187" s="103">
        <v>17.5</v>
      </c>
      <c r="D187" s="62">
        <v>24907341</v>
      </c>
      <c r="E187" s="37">
        <v>20737665</v>
      </c>
      <c r="F187" s="62">
        <v>5187289.5999999996</v>
      </c>
      <c r="G187" s="62">
        <v>26011915.689749997</v>
      </c>
      <c r="H187" s="62">
        <v>21369417</v>
      </c>
      <c r="I187" s="62">
        <v>5380590.5999999996</v>
      </c>
      <c r="J187" s="62">
        <v>27602185.703187775</v>
      </c>
      <c r="K187" s="62">
        <v>21907581</v>
      </c>
      <c r="L187" s="62">
        <v>5694605</v>
      </c>
      <c r="M187" s="62">
        <v>30260569.438900001</v>
      </c>
      <c r="N187" s="62">
        <v>22718830</v>
      </c>
      <c r="O187" s="62">
        <v>6748618</v>
      </c>
      <c r="P187" s="62">
        <v>793121</v>
      </c>
      <c r="Q187" s="62">
        <v>32562555.060026802</v>
      </c>
      <c r="R187" s="62">
        <v>24854305</v>
      </c>
      <c r="S187" s="62">
        <v>7390904</v>
      </c>
      <c r="T187" s="62">
        <v>317346</v>
      </c>
      <c r="U187" s="62">
        <v>32186376.980879758</v>
      </c>
      <c r="V187" s="62">
        <v>25348596</v>
      </c>
      <c r="W187" s="62">
        <v>7257935</v>
      </c>
      <c r="X187" s="62">
        <v>38964</v>
      </c>
      <c r="Y187" s="62">
        <v>504526</v>
      </c>
      <c r="Z187" s="62">
        <v>33172689.346400008</v>
      </c>
      <c r="AA187" s="62">
        <v>25849124</v>
      </c>
      <c r="AB187" s="62">
        <v>7323565</v>
      </c>
      <c r="AC187" s="10">
        <v>34237368.45262</v>
      </c>
      <c r="AD187" s="10">
        <v>26657847</v>
      </c>
      <c r="AE187" s="10">
        <v>7672924</v>
      </c>
      <c r="AF187" s="10">
        <v>34787745.958120003</v>
      </c>
      <c r="AG187" s="10">
        <v>27402853</v>
      </c>
      <c r="AH187" s="17">
        <f>7765699+8422</f>
        <v>7774121</v>
      </c>
      <c r="AI187" s="10">
        <v>35264711.847039998</v>
      </c>
      <c r="AJ187" s="10">
        <v>28117748</v>
      </c>
      <c r="AK187" s="31">
        <v>7867296</v>
      </c>
      <c r="AL187" s="10">
        <v>36086251.428580001</v>
      </c>
      <c r="AM187" s="10">
        <v>29102972</v>
      </c>
      <c r="AN187" s="31">
        <v>7960596</v>
      </c>
      <c r="AO187" s="10">
        <v>36017412.116479993</v>
      </c>
      <c r="AP187" s="10">
        <v>29811821</v>
      </c>
      <c r="AQ187" s="31">
        <v>8166076</v>
      </c>
    </row>
    <row r="188" spans="1:43">
      <c r="A188" s="102">
        <v>179</v>
      </c>
      <c r="B188" s="7" t="s">
        <v>1884</v>
      </c>
      <c r="C188" s="103">
        <v>31.12</v>
      </c>
      <c r="D188" s="62">
        <v>0</v>
      </c>
      <c r="E188" s="37">
        <v>4125</v>
      </c>
      <c r="F188" s="62">
        <v>0</v>
      </c>
      <c r="G188" s="62">
        <v>11108.373639999998</v>
      </c>
      <c r="H188" s="62">
        <v>4683</v>
      </c>
      <c r="I188" s="62">
        <v>6425</v>
      </c>
      <c r="J188" s="62">
        <v>23065.342200000003</v>
      </c>
      <c r="K188" s="62">
        <v>9814</v>
      </c>
      <c r="L188" s="62">
        <v>13251</v>
      </c>
      <c r="M188" s="62">
        <v>48402.476480000005</v>
      </c>
      <c r="N188" s="62">
        <v>20739</v>
      </c>
      <c r="O188" s="62">
        <v>27663</v>
      </c>
      <c r="P188" s="62">
        <v>0</v>
      </c>
      <c r="Q188" s="62">
        <v>49954.876631578947</v>
      </c>
      <c r="R188" s="62">
        <v>22735</v>
      </c>
      <c r="S188" s="62">
        <v>27110</v>
      </c>
      <c r="T188" s="62">
        <v>110</v>
      </c>
      <c r="U188" s="62">
        <v>36523.099191600006</v>
      </c>
      <c r="V188" s="62">
        <v>17440</v>
      </c>
      <c r="W188" s="62">
        <v>26131</v>
      </c>
      <c r="X188" s="62">
        <v>0</v>
      </c>
      <c r="Y188" s="62">
        <v>0</v>
      </c>
      <c r="Z188" s="62">
        <v>24882.900699999998</v>
      </c>
      <c r="AA188" s="62">
        <v>12459</v>
      </c>
      <c r="AB188" s="62">
        <v>24882.900699999998</v>
      </c>
      <c r="AC188" s="10">
        <v>0</v>
      </c>
      <c r="AD188" s="10">
        <v>0</v>
      </c>
      <c r="AE188" s="10">
        <v>0</v>
      </c>
      <c r="AF188" s="10">
        <v>26487.781899999998</v>
      </c>
      <c r="AG188" s="10">
        <v>14438</v>
      </c>
      <c r="AH188" s="10">
        <v>12050</v>
      </c>
      <c r="AI188" s="10">
        <v>26544.465999999997</v>
      </c>
      <c r="AJ188" s="10">
        <v>15491</v>
      </c>
      <c r="AK188" s="31">
        <v>12050</v>
      </c>
      <c r="AL188" s="10">
        <v>26877.483239999998</v>
      </c>
      <c r="AM188" s="10">
        <v>16445</v>
      </c>
      <c r="AN188" s="31">
        <v>12050</v>
      </c>
      <c r="AO188" s="10">
        <v>53506.747079999994</v>
      </c>
      <c r="AP188" s="10">
        <v>35758</v>
      </c>
      <c r="AQ188" s="31">
        <v>17749</v>
      </c>
    </row>
    <row r="189" spans="1:43">
      <c r="A189" s="102">
        <v>180</v>
      </c>
      <c r="B189" s="7" t="s">
        <v>1885</v>
      </c>
      <c r="C189" s="103">
        <v>37.03</v>
      </c>
      <c r="D189" s="62">
        <v>0</v>
      </c>
      <c r="E189" s="37">
        <v>0</v>
      </c>
      <c r="F189" s="62">
        <v>0</v>
      </c>
      <c r="G189" s="62">
        <v>0</v>
      </c>
      <c r="H189" s="62">
        <v>0</v>
      </c>
      <c r="I189" s="62">
        <v>0</v>
      </c>
      <c r="J189" s="62">
        <v>0</v>
      </c>
      <c r="K189" s="62">
        <v>0</v>
      </c>
      <c r="L189" s="62">
        <v>0</v>
      </c>
      <c r="M189" s="62">
        <v>0</v>
      </c>
      <c r="N189" s="62">
        <v>0</v>
      </c>
      <c r="O189" s="62">
        <v>0</v>
      </c>
      <c r="P189" s="62">
        <v>0</v>
      </c>
      <c r="Q189" s="62">
        <v>0</v>
      </c>
      <c r="R189" s="62">
        <v>0</v>
      </c>
      <c r="S189" s="62">
        <v>0</v>
      </c>
      <c r="T189" s="62">
        <v>0</v>
      </c>
      <c r="U189" s="62">
        <v>0</v>
      </c>
      <c r="V189" s="62">
        <v>0</v>
      </c>
      <c r="W189" s="62">
        <v>0</v>
      </c>
      <c r="X189" s="62">
        <v>0</v>
      </c>
      <c r="Y189" s="62">
        <v>0</v>
      </c>
      <c r="Z189" s="62">
        <v>0</v>
      </c>
      <c r="AA189" s="62">
        <v>0</v>
      </c>
      <c r="AB189" s="62">
        <v>0</v>
      </c>
      <c r="AC189" s="10">
        <v>0</v>
      </c>
      <c r="AD189" s="10">
        <v>0</v>
      </c>
      <c r="AE189" s="10">
        <v>0</v>
      </c>
      <c r="AF189" s="10">
        <v>0</v>
      </c>
      <c r="AG189" s="10">
        <v>0</v>
      </c>
      <c r="AH189" s="17">
        <f>0+50532</f>
        <v>50532</v>
      </c>
      <c r="AI189" s="10">
        <v>39014.69999999999</v>
      </c>
      <c r="AJ189" s="10">
        <v>23081</v>
      </c>
      <c r="AK189" s="31">
        <v>39014.69999999999</v>
      </c>
      <c r="AL189" s="10">
        <v>39599.880000000005</v>
      </c>
      <c r="AM189" s="10">
        <v>24335</v>
      </c>
      <c r="AN189" s="31">
        <v>39014.69999999999</v>
      </c>
      <c r="AO189" s="10">
        <v>52683.680000000008</v>
      </c>
      <c r="AP189" s="10">
        <v>33389</v>
      </c>
      <c r="AQ189" s="31">
        <v>39014.69999999999</v>
      </c>
    </row>
    <row r="190" spans="1:43">
      <c r="A190" s="102">
        <v>181</v>
      </c>
      <c r="B190" s="7" t="s">
        <v>1886</v>
      </c>
      <c r="C190" s="103">
        <v>55.43</v>
      </c>
      <c r="D190" s="62">
        <v>56448568</v>
      </c>
      <c r="E190" s="37">
        <v>25976682</v>
      </c>
      <c r="F190" s="62">
        <v>30471886</v>
      </c>
      <c r="G190" s="62">
        <v>60543616.070000008</v>
      </c>
      <c r="H190" s="62">
        <v>27289639</v>
      </c>
      <c r="I190" s="62">
        <v>33253977</v>
      </c>
      <c r="J190" s="62">
        <v>64593404.869511366</v>
      </c>
      <c r="K190" s="62">
        <v>28479615</v>
      </c>
      <c r="L190" s="62">
        <v>36113790</v>
      </c>
      <c r="M190" s="62">
        <v>66932258.720000006</v>
      </c>
      <c r="N190" s="62">
        <v>29640305</v>
      </c>
      <c r="O190" s="62">
        <v>33440001</v>
      </c>
      <c r="P190" s="62">
        <v>3929987</v>
      </c>
      <c r="Q190" s="62">
        <v>70754596.227797136</v>
      </c>
      <c r="R190" s="62">
        <v>29742140</v>
      </c>
      <c r="S190" s="62">
        <v>36622588</v>
      </c>
      <c r="T190" s="62">
        <v>4389868</v>
      </c>
      <c r="U190" s="62">
        <v>67174266.656939983</v>
      </c>
      <c r="V190" s="62">
        <v>30293532</v>
      </c>
      <c r="W190" s="62">
        <v>38616511</v>
      </c>
      <c r="X190" s="62">
        <v>207311</v>
      </c>
      <c r="Y190" s="62">
        <v>2370809</v>
      </c>
      <c r="Z190" s="62">
        <v>66167336.409999996</v>
      </c>
      <c r="AA190" s="62">
        <v>30557302</v>
      </c>
      <c r="AB190" s="62">
        <v>38823822</v>
      </c>
      <c r="AC190" s="10">
        <v>68082307.960000008</v>
      </c>
      <c r="AD190" s="10">
        <v>31301841</v>
      </c>
      <c r="AE190" s="10">
        <v>39110902</v>
      </c>
      <c r="AF190" s="10">
        <v>72821269.290000007</v>
      </c>
      <c r="AG190" s="10">
        <v>32658088</v>
      </c>
      <c r="AH190" s="17">
        <f>40240901.1178455+421101</f>
        <v>40662002.117845498</v>
      </c>
      <c r="AI190" s="10">
        <v>73674473.939999998</v>
      </c>
      <c r="AJ190" s="10">
        <v>33532493</v>
      </c>
      <c r="AK190" s="31">
        <v>40839452.117845498</v>
      </c>
      <c r="AL190" s="10">
        <v>75476679.289999992</v>
      </c>
      <c r="AM190" s="10">
        <v>34357316</v>
      </c>
      <c r="AN190" s="31">
        <v>41119363</v>
      </c>
      <c r="AO190" s="10">
        <v>76096298.539999992</v>
      </c>
      <c r="AP190" s="10">
        <v>34166160</v>
      </c>
      <c r="AQ190" s="31">
        <v>42147523</v>
      </c>
    </row>
    <row r="191" spans="1:43">
      <c r="A191" s="102">
        <v>182</v>
      </c>
      <c r="B191" s="7" t="s">
        <v>1887</v>
      </c>
      <c r="C191" s="103">
        <v>49.77</v>
      </c>
      <c r="D191" s="62">
        <v>26467283</v>
      </c>
      <c r="E191" s="37">
        <v>12717234</v>
      </c>
      <c r="F191" s="62">
        <v>15072339.000000002</v>
      </c>
      <c r="G191" s="62">
        <v>28711248.540000003</v>
      </c>
      <c r="H191" s="62">
        <v>13593641</v>
      </c>
      <c r="I191" s="62">
        <v>16271963.000000002</v>
      </c>
      <c r="J191" s="62">
        <v>29349175.555037435</v>
      </c>
      <c r="K191" s="62">
        <v>13995503</v>
      </c>
      <c r="L191" s="62">
        <v>16591501.000000002</v>
      </c>
      <c r="M191" s="62">
        <v>30535052.200000003</v>
      </c>
      <c r="N191" s="62">
        <v>14305024</v>
      </c>
      <c r="O191" s="62">
        <v>15378099</v>
      </c>
      <c r="P191" s="62">
        <v>1807289</v>
      </c>
      <c r="Q191" s="62">
        <v>32049946.575188514</v>
      </c>
      <c r="R191" s="62">
        <v>14608790</v>
      </c>
      <c r="S191" s="62">
        <v>16841680</v>
      </c>
      <c r="T191" s="62">
        <v>599477</v>
      </c>
      <c r="U191" s="62">
        <v>31398532.903860003</v>
      </c>
      <c r="V191" s="62">
        <v>14805660</v>
      </c>
      <c r="W191" s="62">
        <v>16422246</v>
      </c>
      <c r="X191" s="62">
        <v>88162</v>
      </c>
      <c r="Y191" s="62">
        <v>1020099</v>
      </c>
      <c r="Z191" s="62">
        <v>32141290.059999999</v>
      </c>
      <c r="AA191" s="62">
        <v>15132961</v>
      </c>
      <c r="AB191" s="62">
        <v>17008329</v>
      </c>
      <c r="AC191" s="10">
        <v>32752133.430000003</v>
      </c>
      <c r="AD191" s="10">
        <v>15459649</v>
      </c>
      <c r="AE191" s="10">
        <v>17292484</v>
      </c>
      <c r="AF191" s="10">
        <v>32588658.5</v>
      </c>
      <c r="AG191" s="10">
        <v>15715800</v>
      </c>
      <c r="AH191" s="10">
        <v>17376809</v>
      </c>
      <c r="AI191" s="10">
        <v>32073963.209999997</v>
      </c>
      <c r="AJ191" s="10">
        <v>15945136</v>
      </c>
      <c r="AK191" s="31">
        <v>17459284</v>
      </c>
      <c r="AL191" s="10">
        <v>32000342.629999999</v>
      </c>
      <c r="AM191" s="10">
        <v>16053881</v>
      </c>
      <c r="AN191" s="31">
        <v>17539709</v>
      </c>
      <c r="AO191" s="10">
        <v>31055481.599999998</v>
      </c>
      <c r="AP191" s="10">
        <v>15735683</v>
      </c>
      <c r="AQ191" s="31">
        <v>17709989</v>
      </c>
    </row>
    <row r="192" spans="1:43">
      <c r="A192" s="102">
        <v>183</v>
      </c>
      <c r="B192" s="7" t="s">
        <v>1888</v>
      </c>
      <c r="C192" s="103">
        <v>17.5</v>
      </c>
      <c r="D192" s="62">
        <v>0</v>
      </c>
      <c r="E192" s="37">
        <v>2821</v>
      </c>
      <c r="F192" s="62">
        <v>0</v>
      </c>
      <c r="G192" s="62">
        <v>0</v>
      </c>
      <c r="H192" s="62">
        <v>746</v>
      </c>
      <c r="I192" s="62">
        <v>0</v>
      </c>
      <c r="J192" s="62">
        <v>0</v>
      </c>
      <c r="K192" s="62">
        <v>0</v>
      </c>
      <c r="L192" s="62">
        <v>0</v>
      </c>
      <c r="M192" s="62">
        <v>35830.47</v>
      </c>
      <c r="N192" s="62">
        <v>21223</v>
      </c>
      <c r="O192" s="62">
        <v>17650</v>
      </c>
      <c r="P192" s="62">
        <v>0</v>
      </c>
      <c r="Q192" s="62">
        <v>36919.725014354073</v>
      </c>
      <c r="R192" s="62">
        <v>21121</v>
      </c>
      <c r="S192" s="62">
        <v>17297</v>
      </c>
      <c r="T192" s="62">
        <v>0</v>
      </c>
      <c r="U192" s="62">
        <v>36107.447039999999</v>
      </c>
      <c r="V192" s="62">
        <v>18057</v>
      </c>
      <c r="W192" s="62">
        <v>18050</v>
      </c>
      <c r="X192" s="62">
        <v>0</v>
      </c>
      <c r="Y192" s="62">
        <v>0</v>
      </c>
      <c r="Z192" s="62">
        <v>36750.21</v>
      </c>
      <c r="AA192" s="62">
        <v>21942</v>
      </c>
      <c r="AB192" s="62">
        <v>18050</v>
      </c>
      <c r="AC192" s="10">
        <v>38091.630000000005</v>
      </c>
      <c r="AD192" s="10">
        <v>24466</v>
      </c>
      <c r="AE192" s="10">
        <v>18050</v>
      </c>
      <c r="AF192" s="10">
        <v>51576.08</v>
      </c>
      <c r="AG192" s="10">
        <v>33824</v>
      </c>
      <c r="AH192" s="10">
        <v>18050</v>
      </c>
      <c r="AI192" s="10">
        <v>52019.6</v>
      </c>
      <c r="AJ192" s="10">
        <v>39422</v>
      </c>
      <c r="AK192" s="31">
        <v>18050</v>
      </c>
      <c r="AL192" s="10">
        <v>13199.960000000001</v>
      </c>
      <c r="AM192" s="10">
        <v>11856</v>
      </c>
      <c r="AN192" s="31">
        <v>13199.960000000001</v>
      </c>
      <c r="AO192" s="10">
        <v>26341.840000000004</v>
      </c>
      <c r="AP192" s="10">
        <v>21863</v>
      </c>
      <c r="AQ192" s="31">
        <v>13199.960000000001</v>
      </c>
    </row>
    <row r="193" spans="1:43">
      <c r="A193" s="102">
        <v>184</v>
      </c>
      <c r="B193" s="7" t="s">
        <v>1889</v>
      </c>
      <c r="C193" s="103">
        <v>17.5</v>
      </c>
      <c r="D193" s="62">
        <v>5089625</v>
      </c>
      <c r="E193" s="37">
        <v>4017323</v>
      </c>
      <c r="F193" s="62">
        <v>1072302</v>
      </c>
      <c r="G193" s="62">
        <v>5471810.5766400006</v>
      </c>
      <c r="H193" s="62">
        <v>4145862</v>
      </c>
      <c r="I193" s="62">
        <v>1325949</v>
      </c>
      <c r="J193" s="62">
        <v>5832959.1376389088</v>
      </c>
      <c r="K193" s="62">
        <v>4345126</v>
      </c>
      <c r="L193" s="62">
        <v>1487833</v>
      </c>
      <c r="M193" s="62">
        <v>6321846.7792799994</v>
      </c>
      <c r="N193" s="62">
        <v>4793498</v>
      </c>
      <c r="O193" s="62">
        <v>1430804</v>
      </c>
      <c r="P193" s="62">
        <v>168153</v>
      </c>
      <c r="Q193" s="62">
        <v>6442872.8063946106</v>
      </c>
      <c r="R193" s="62">
        <v>5100614</v>
      </c>
      <c r="S193" s="62">
        <v>1566978</v>
      </c>
      <c r="T193" s="62">
        <v>0</v>
      </c>
      <c r="U193" s="62">
        <v>6158787.1565006413</v>
      </c>
      <c r="V193" s="62">
        <v>5254874</v>
      </c>
      <c r="W193" s="62">
        <v>1475435</v>
      </c>
      <c r="X193" s="62">
        <v>7921</v>
      </c>
      <c r="Y193" s="62">
        <v>102722</v>
      </c>
      <c r="Z193" s="62">
        <v>6001241.5991799999</v>
      </c>
      <c r="AA193" s="62">
        <v>5162532</v>
      </c>
      <c r="AB193" s="62">
        <v>1483356</v>
      </c>
      <c r="AC193" s="10">
        <v>6436171.7904999992</v>
      </c>
      <c r="AD193" s="10">
        <v>5445815</v>
      </c>
      <c r="AE193" s="10">
        <v>1513276</v>
      </c>
      <c r="AF193" s="10">
        <v>6537210.6908500008</v>
      </c>
      <c r="AG193" s="10">
        <v>5536081</v>
      </c>
      <c r="AH193" s="10">
        <v>1531951</v>
      </c>
      <c r="AI193" s="10">
        <v>6500381.7589600012</v>
      </c>
      <c r="AJ193" s="10">
        <v>5534548</v>
      </c>
      <c r="AK193" s="31">
        <v>1550526</v>
      </c>
      <c r="AL193" s="10">
        <v>6509297.9842300005</v>
      </c>
      <c r="AM193" s="10">
        <v>5617606</v>
      </c>
      <c r="AN193" s="31">
        <v>1568751</v>
      </c>
      <c r="AO193" s="10">
        <v>6306838.4600999998</v>
      </c>
      <c r="AP193" s="10">
        <v>5269521</v>
      </c>
      <c r="AQ193" s="31">
        <v>1606481</v>
      </c>
    </row>
    <row r="194" spans="1:43">
      <c r="A194" s="102">
        <v>185</v>
      </c>
      <c r="B194" s="7" t="s">
        <v>1890</v>
      </c>
      <c r="C194" s="103">
        <v>50.11</v>
      </c>
      <c r="D194" s="62">
        <v>30216135</v>
      </c>
      <c r="E194" s="37">
        <v>22301521</v>
      </c>
      <c r="F194" s="62">
        <v>9514224.4000000004</v>
      </c>
      <c r="G194" s="62">
        <v>33490000.671320003</v>
      </c>
      <c r="H194" s="62">
        <v>22721351</v>
      </c>
      <c r="I194" s="62">
        <v>10882700</v>
      </c>
      <c r="J194" s="62">
        <v>34771548.012968563</v>
      </c>
      <c r="K194" s="62">
        <v>22716028</v>
      </c>
      <c r="L194" s="62">
        <v>12145146</v>
      </c>
      <c r="M194" s="62">
        <v>36857352.51055</v>
      </c>
      <c r="N194" s="62">
        <v>22611874</v>
      </c>
      <c r="O194" s="62">
        <v>12747364</v>
      </c>
      <c r="P194" s="62">
        <v>1498115</v>
      </c>
      <c r="Q194" s="62">
        <v>38573246.502751864</v>
      </c>
      <c r="R194" s="62">
        <v>22694316</v>
      </c>
      <c r="S194" s="62">
        <v>13960569</v>
      </c>
      <c r="T194" s="62">
        <v>1918362</v>
      </c>
      <c r="U194" s="62">
        <v>37839983.058274925</v>
      </c>
      <c r="V194" s="62">
        <v>22556065</v>
      </c>
      <c r="W194" s="62">
        <v>14990659</v>
      </c>
      <c r="X194" s="62">
        <v>80476</v>
      </c>
      <c r="Y194" s="62">
        <v>910271</v>
      </c>
      <c r="Z194" s="62">
        <v>39488612.219000004</v>
      </c>
      <c r="AA194" s="62">
        <v>22785673</v>
      </c>
      <c r="AB194" s="62">
        <v>16702939</v>
      </c>
      <c r="AC194" s="10">
        <v>41626385.357300006</v>
      </c>
      <c r="AD194" s="10">
        <v>23315453</v>
      </c>
      <c r="AE194" s="10">
        <v>18734609.200679597</v>
      </c>
      <c r="AF194" s="10">
        <v>42774603.567850001</v>
      </c>
      <c r="AG194" s="10">
        <v>23819112</v>
      </c>
      <c r="AH194" s="10">
        <v>19457577.302150823</v>
      </c>
      <c r="AI194" s="10">
        <v>43366941.909150004</v>
      </c>
      <c r="AJ194" s="10">
        <v>23509175</v>
      </c>
      <c r="AK194" s="31">
        <v>20022624.302150823</v>
      </c>
      <c r="AL194" s="10">
        <v>44418717.093200006</v>
      </c>
      <c r="AM194" s="10">
        <v>23574280</v>
      </c>
      <c r="AN194" s="31">
        <v>20844437</v>
      </c>
      <c r="AO194" s="10">
        <v>45013216.029600002</v>
      </c>
      <c r="AP194" s="10">
        <v>22766643</v>
      </c>
      <c r="AQ194" s="31">
        <v>22246573</v>
      </c>
    </row>
    <row r="195" spans="1:43">
      <c r="A195" s="102">
        <v>186</v>
      </c>
      <c r="B195" s="7" t="s">
        <v>1891</v>
      </c>
      <c r="C195" s="103">
        <v>40.47</v>
      </c>
      <c r="D195" s="62">
        <v>14287540</v>
      </c>
      <c r="E195" s="37">
        <v>8778478</v>
      </c>
      <c r="F195" s="62">
        <v>5889114</v>
      </c>
      <c r="G195" s="62">
        <v>15323374.32</v>
      </c>
      <c r="H195" s="62">
        <v>9000628</v>
      </c>
      <c r="I195" s="62">
        <v>6392219</v>
      </c>
      <c r="J195" s="62">
        <v>15891803.931504436</v>
      </c>
      <c r="K195" s="62">
        <v>9533703</v>
      </c>
      <c r="L195" s="62">
        <v>6643067</v>
      </c>
      <c r="M195" s="62">
        <v>16607443.680000002</v>
      </c>
      <c r="N195" s="62">
        <v>9835784</v>
      </c>
      <c r="O195" s="62">
        <v>6225068</v>
      </c>
      <c r="P195" s="62">
        <v>731592</v>
      </c>
      <c r="Q195" s="62">
        <v>17069156.465240195</v>
      </c>
      <c r="R195" s="62">
        <v>10132004</v>
      </c>
      <c r="S195" s="62">
        <v>6817527</v>
      </c>
      <c r="T195" s="62">
        <v>119625</v>
      </c>
      <c r="U195" s="62">
        <v>16354315.981439997</v>
      </c>
      <c r="V195" s="62">
        <v>10084315</v>
      </c>
      <c r="W195" s="62">
        <v>6531884</v>
      </c>
      <c r="X195" s="62">
        <v>35066</v>
      </c>
      <c r="Y195" s="62">
        <v>416852</v>
      </c>
      <c r="Z195" s="62">
        <v>16266575.289999999</v>
      </c>
      <c r="AA195" s="62">
        <v>10291233</v>
      </c>
      <c r="AB195" s="62">
        <v>6566950</v>
      </c>
      <c r="AC195" s="10">
        <v>16716297.900000002</v>
      </c>
      <c r="AD195" s="10">
        <v>10391532</v>
      </c>
      <c r="AE195" s="10">
        <v>6638870</v>
      </c>
      <c r="AF195" s="10">
        <v>16935435.850000001</v>
      </c>
      <c r="AG195" s="10">
        <v>10537672</v>
      </c>
      <c r="AH195" s="10">
        <v>6745941.8450512495</v>
      </c>
      <c r="AI195" s="10">
        <v>17048501.060000002</v>
      </c>
      <c r="AJ195" s="10">
        <v>10443623</v>
      </c>
      <c r="AK195" s="31">
        <v>6879057.8450512495</v>
      </c>
      <c r="AL195" s="10">
        <v>17130949.16</v>
      </c>
      <c r="AM195" s="10">
        <v>10531645</v>
      </c>
      <c r="AN195" s="31">
        <v>6922982.8450512495</v>
      </c>
      <c r="AO195" s="10">
        <v>17429845.489999998</v>
      </c>
      <c r="AP195" s="10">
        <v>10473626</v>
      </c>
      <c r="AQ195" s="31">
        <v>7019397.8450512495</v>
      </c>
    </row>
    <row r="196" spans="1:43">
      <c r="A196" s="102">
        <v>187</v>
      </c>
      <c r="B196" s="7" t="s">
        <v>1892</v>
      </c>
      <c r="C196" s="103">
        <v>32.14</v>
      </c>
      <c r="D196" s="62">
        <v>9097512</v>
      </c>
      <c r="E196" s="37">
        <v>7264775</v>
      </c>
      <c r="F196" s="62">
        <v>1884585.6</v>
      </c>
      <c r="G196" s="62">
        <v>9483891.5441799983</v>
      </c>
      <c r="H196" s="62">
        <v>7426472</v>
      </c>
      <c r="I196" s="62">
        <v>2102687.6</v>
      </c>
      <c r="J196" s="62">
        <v>10117122.766417645</v>
      </c>
      <c r="K196" s="62">
        <v>7330284</v>
      </c>
      <c r="L196" s="62">
        <v>2786839</v>
      </c>
      <c r="M196" s="62">
        <v>11000973.682880001</v>
      </c>
      <c r="N196" s="62">
        <v>7435813</v>
      </c>
      <c r="O196" s="62">
        <v>3190233</v>
      </c>
      <c r="P196" s="62">
        <v>374928</v>
      </c>
      <c r="Q196" s="62">
        <v>11653273.708027104</v>
      </c>
      <c r="R196" s="62">
        <v>7440876</v>
      </c>
      <c r="S196" s="62">
        <v>3493858</v>
      </c>
      <c r="T196" s="62">
        <v>718540</v>
      </c>
      <c r="U196" s="62">
        <v>11328953.966638198</v>
      </c>
      <c r="V196" s="62">
        <v>7432660</v>
      </c>
      <c r="W196" s="62">
        <v>3966310</v>
      </c>
      <c r="X196" s="62">
        <v>21293</v>
      </c>
      <c r="Y196" s="62">
        <v>257445</v>
      </c>
      <c r="Z196" s="62">
        <v>11812388.784249999</v>
      </c>
      <c r="AA196" s="62">
        <v>7564328</v>
      </c>
      <c r="AB196" s="62">
        <v>4248061</v>
      </c>
      <c r="AC196" s="10">
        <v>12313171.274950001</v>
      </c>
      <c r="AD196" s="10">
        <v>7862256</v>
      </c>
      <c r="AE196" s="10">
        <v>4534410.8393613929</v>
      </c>
      <c r="AF196" s="10">
        <v>12451955.106319999</v>
      </c>
      <c r="AG196" s="10">
        <v>8164569</v>
      </c>
      <c r="AH196" s="10">
        <v>4592771.5320735266</v>
      </c>
      <c r="AI196" s="10">
        <v>12356473.845559999</v>
      </c>
      <c r="AJ196" s="10">
        <v>8219727</v>
      </c>
      <c r="AK196" s="31">
        <v>4625471.5320735266</v>
      </c>
      <c r="AL196" s="10">
        <v>12205625.68949</v>
      </c>
      <c r="AM196" s="10">
        <v>8273796</v>
      </c>
      <c r="AN196" s="31">
        <v>4657396.5320735266</v>
      </c>
      <c r="AO196" s="10">
        <v>11856222.087119998</v>
      </c>
      <c r="AP196" s="10">
        <v>8128057</v>
      </c>
      <c r="AQ196" s="31">
        <v>4725651.5320735266</v>
      </c>
    </row>
    <row r="197" spans="1:43">
      <c r="A197" s="102">
        <v>188</v>
      </c>
      <c r="B197" s="7" t="s">
        <v>1893</v>
      </c>
      <c r="C197" s="103">
        <v>58.6</v>
      </c>
      <c r="D197" s="62">
        <v>0</v>
      </c>
      <c r="E197" s="37">
        <v>3591</v>
      </c>
      <c r="F197" s="62">
        <v>0</v>
      </c>
      <c r="G197" s="62">
        <v>10849.66</v>
      </c>
      <c r="H197" s="62">
        <v>3214</v>
      </c>
      <c r="I197" s="62">
        <v>7636</v>
      </c>
      <c r="J197" s="62">
        <v>22710.54</v>
      </c>
      <c r="K197" s="62">
        <v>6563</v>
      </c>
      <c r="L197" s="62">
        <v>16148</v>
      </c>
      <c r="M197" s="62">
        <v>59717.45</v>
      </c>
      <c r="N197" s="62">
        <v>16523</v>
      </c>
      <c r="O197" s="62">
        <v>43194</v>
      </c>
      <c r="P197" s="62">
        <v>0</v>
      </c>
      <c r="Q197" s="62">
        <v>49226.300019138762</v>
      </c>
      <c r="R197" s="62">
        <v>15127</v>
      </c>
      <c r="S197" s="62">
        <v>42330</v>
      </c>
      <c r="T197" s="62">
        <v>0</v>
      </c>
      <c r="U197" s="62">
        <v>60179.078399999999</v>
      </c>
      <c r="V197" s="62">
        <v>19123</v>
      </c>
      <c r="W197" s="62">
        <v>41056</v>
      </c>
      <c r="X197" s="62">
        <v>0</v>
      </c>
      <c r="Y197" s="62">
        <v>0</v>
      </c>
      <c r="Z197" s="62">
        <v>85750.49</v>
      </c>
      <c r="AA197" s="62">
        <v>27251</v>
      </c>
      <c r="AB197" s="62">
        <v>58499</v>
      </c>
      <c r="AC197" s="10">
        <v>50788.840000000004</v>
      </c>
      <c r="AD197" s="10">
        <v>16406</v>
      </c>
      <c r="AE197" s="10">
        <v>50788.840000000004</v>
      </c>
      <c r="AF197" s="10">
        <v>77364.119999999981</v>
      </c>
      <c r="AG197" s="10">
        <v>26377</v>
      </c>
      <c r="AH197" s="10">
        <v>50987</v>
      </c>
      <c r="AI197" s="10">
        <v>26009.8</v>
      </c>
      <c r="AJ197" s="10">
        <v>9583</v>
      </c>
      <c r="AK197" s="31">
        <v>26009.8</v>
      </c>
      <c r="AL197" s="10">
        <v>79199.760000000009</v>
      </c>
      <c r="AM197" s="10">
        <v>30473</v>
      </c>
      <c r="AN197" s="31">
        <v>48727</v>
      </c>
      <c r="AO197" s="10">
        <v>118538.28</v>
      </c>
      <c r="AP197" s="10">
        <v>48101</v>
      </c>
      <c r="AQ197" s="31">
        <v>70899</v>
      </c>
    </row>
    <row r="198" spans="1:43">
      <c r="A198" s="102">
        <v>189</v>
      </c>
      <c r="B198" s="7" t="s">
        <v>1894</v>
      </c>
      <c r="C198" s="103">
        <v>17.5</v>
      </c>
      <c r="D198" s="62">
        <v>25151267</v>
      </c>
      <c r="E198" s="37">
        <v>24801774</v>
      </c>
      <c r="F198" s="62">
        <v>3395206.4</v>
      </c>
      <c r="G198" s="62">
        <v>27293508.643200006</v>
      </c>
      <c r="H198" s="62">
        <v>25682096</v>
      </c>
      <c r="I198" s="62">
        <v>3770098.4</v>
      </c>
      <c r="J198" s="62">
        <v>29370007.727681536</v>
      </c>
      <c r="K198" s="62">
        <v>26209746</v>
      </c>
      <c r="L198" s="62">
        <v>4180994.4</v>
      </c>
      <c r="M198" s="62">
        <v>31229186.953800008</v>
      </c>
      <c r="N198" s="62">
        <v>26442315</v>
      </c>
      <c r="O198" s="62">
        <v>4283464</v>
      </c>
      <c r="P198" s="62">
        <v>503408</v>
      </c>
      <c r="Q198" s="62">
        <v>33226179.825447932</v>
      </c>
      <c r="R198" s="62">
        <v>27411598</v>
      </c>
      <c r="S198" s="62">
        <v>4691135</v>
      </c>
      <c r="T198" s="62">
        <v>1123447</v>
      </c>
      <c r="U198" s="62">
        <v>33177677.717974804</v>
      </c>
      <c r="V198" s="62">
        <v>27962065</v>
      </c>
      <c r="W198" s="62">
        <v>5474895</v>
      </c>
      <c r="X198" s="62">
        <v>29392</v>
      </c>
      <c r="Y198" s="62">
        <v>405395</v>
      </c>
      <c r="Z198" s="62">
        <v>33445350.979459997</v>
      </c>
      <c r="AA198" s="62">
        <v>28316699</v>
      </c>
      <c r="AB198" s="62">
        <v>5504287</v>
      </c>
      <c r="AC198" s="10">
        <v>34576600.406800002</v>
      </c>
      <c r="AD198" s="10">
        <v>28905665</v>
      </c>
      <c r="AE198" s="10">
        <v>5765927.5177974999</v>
      </c>
      <c r="AF198" s="10">
        <v>35318011.521599993</v>
      </c>
      <c r="AG198" s="10">
        <v>29777694</v>
      </c>
      <c r="AH198" s="10">
        <v>5869608.6424181247</v>
      </c>
      <c r="AI198" s="10">
        <v>35082060.980719998</v>
      </c>
      <c r="AJ198" s="10">
        <v>29715046</v>
      </c>
      <c r="AK198" s="31">
        <v>5964021.6424181247</v>
      </c>
      <c r="AL198" s="10">
        <v>36501504.885839999</v>
      </c>
      <c r="AM198" s="10">
        <v>30504862</v>
      </c>
      <c r="AN198" s="31">
        <v>6060521.6424181247</v>
      </c>
      <c r="AO198" s="10">
        <v>37238061.294160001</v>
      </c>
      <c r="AP198" s="10">
        <v>30828228</v>
      </c>
      <c r="AQ198" s="31">
        <v>6409833</v>
      </c>
    </row>
    <row r="199" spans="1:43">
      <c r="A199" s="102">
        <v>190</v>
      </c>
      <c r="B199" s="7" t="s">
        <v>1895</v>
      </c>
      <c r="C199" s="103">
        <v>23.39</v>
      </c>
      <c r="D199" s="62">
        <v>156484</v>
      </c>
      <c r="E199" s="37">
        <v>91583</v>
      </c>
      <c r="F199" s="62">
        <v>84030</v>
      </c>
      <c r="G199" s="62">
        <v>67149.83</v>
      </c>
      <c r="H199" s="62">
        <v>77281</v>
      </c>
      <c r="I199" s="62">
        <v>67149.83</v>
      </c>
      <c r="J199" s="62">
        <v>56859.984915476627</v>
      </c>
      <c r="K199" s="62">
        <v>50042</v>
      </c>
      <c r="L199" s="62">
        <v>56859.984915476627</v>
      </c>
      <c r="M199" s="62">
        <v>117805.94</v>
      </c>
      <c r="N199" s="62">
        <v>70637</v>
      </c>
      <c r="O199" s="62">
        <v>89563.984915476627</v>
      </c>
      <c r="P199" s="62">
        <v>0</v>
      </c>
      <c r="Q199" s="62">
        <v>128295.88296267943</v>
      </c>
      <c r="R199" s="62">
        <v>75685</v>
      </c>
      <c r="S199" s="62">
        <v>87773</v>
      </c>
      <c r="T199" s="62">
        <v>0</v>
      </c>
      <c r="U199" s="62">
        <v>87282.108779999995</v>
      </c>
      <c r="V199" s="62">
        <v>71027</v>
      </c>
      <c r="W199" s="62">
        <v>84262</v>
      </c>
      <c r="X199" s="62">
        <v>0</v>
      </c>
      <c r="Y199" s="62">
        <v>0</v>
      </c>
      <c r="Z199" s="62">
        <v>79783.97</v>
      </c>
      <c r="AA199" s="62">
        <v>68985</v>
      </c>
      <c r="AB199" s="62">
        <v>79783.97</v>
      </c>
      <c r="AC199" s="10">
        <v>75976.200000000012</v>
      </c>
      <c r="AD199" s="10">
        <v>45544</v>
      </c>
      <c r="AE199" s="10">
        <v>75976.200000000012</v>
      </c>
      <c r="AF199" s="10">
        <v>84306.74</v>
      </c>
      <c r="AG199" s="10">
        <v>69217</v>
      </c>
      <c r="AH199" s="10">
        <v>75976.200000000012</v>
      </c>
      <c r="AI199" s="10">
        <v>49377.140000000007</v>
      </c>
      <c r="AJ199" s="10">
        <v>41572</v>
      </c>
      <c r="AK199" s="31">
        <v>49377.140000000007</v>
      </c>
      <c r="AL199" s="10">
        <v>57396.78</v>
      </c>
      <c r="AM199" s="10">
        <v>39279</v>
      </c>
      <c r="AN199" s="31">
        <v>49377.140000000007</v>
      </c>
      <c r="AO199" s="10">
        <v>64197.68</v>
      </c>
      <c r="AP199" s="10">
        <v>43424</v>
      </c>
      <c r="AQ199" s="31">
        <v>49377.140000000007</v>
      </c>
    </row>
    <row r="200" spans="1:43">
      <c r="A200" s="102">
        <v>191</v>
      </c>
      <c r="B200" s="7" t="s">
        <v>1896</v>
      </c>
      <c r="C200" s="103">
        <v>46.75</v>
      </c>
      <c r="D200" s="62">
        <v>11167185</v>
      </c>
      <c r="E200" s="37">
        <v>4551198</v>
      </c>
      <c r="F200" s="62">
        <v>6615987</v>
      </c>
      <c r="G200" s="62">
        <v>11949570.529999999</v>
      </c>
      <c r="H200" s="62">
        <v>4838959</v>
      </c>
      <c r="I200" s="62">
        <v>7111941</v>
      </c>
      <c r="J200" s="62">
        <v>12159308.518842915</v>
      </c>
      <c r="K200" s="62">
        <v>4984969</v>
      </c>
      <c r="L200" s="62">
        <v>7241370</v>
      </c>
      <c r="M200" s="62">
        <v>12797798</v>
      </c>
      <c r="N200" s="62">
        <v>5089158</v>
      </c>
      <c r="O200" s="62">
        <v>6897967</v>
      </c>
      <c r="P200" s="62">
        <v>810673</v>
      </c>
      <c r="Q200" s="62">
        <v>12822835.034947371</v>
      </c>
      <c r="R200" s="62">
        <v>5153721</v>
      </c>
      <c r="S200" s="62">
        <v>7554467</v>
      </c>
      <c r="T200" s="62">
        <v>114647</v>
      </c>
      <c r="U200" s="62">
        <v>12214501.473179998</v>
      </c>
      <c r="V200" s="62">
        <v>5102395</v>
      </c>
      <c r="W200" s="62">
        <v>7221084</v>
      </c>
      <c r="X200" s="62">
        <v>38766</v>
      </c>
      <c r="Y200" s="62">
        <v>444464</v>
      </c>
      <c r="Z200" s="62">
        <v>12125247.350000001</v>
      </c>
      <c r="AA200" s="62">
        <v>5200769</v>
      </c>
      <c r="AB200" s="62">
        <v>7259850</v>
      </c>
      <c r="AC200" s="10">
        <v>12141055.580000002</v>
      </c>
      <c r="AD200" s="10">
        <v>5290215</v>
      </c>
      <c r="AE200" s="10">
        <v>7312050</v>
      </c>
      <c r="AF200" s="10">
        <v>11640741.35</v>
      </c>
      <c r="AG200" s="10">
        <v>5397705</v>
      </c>
      <c r="AH200" s="10">
        <v>7342725</v>
      </c>
      <c r="AI200" s="10">
        <v>11227559.509999998</v>
      </c>
      <c r="AJ200" s="10">
        <v>5516259</v>
      </c>
      <c r="AK200" s="31">
        <v>7372025</v>
      </c>
      <c r="AL200" s="10">
        <v>10642912.68</v>
      </c>
      <c r="AM200" s="10">
        <v>5415578</v>
      </c>
      <c r="AN200" s="31">
        <v>7399425</v>
      </c>
      <c r="AO200" s="10">
        <v>10115062.609999999</v>
      </c>
      <c r="AP200" s="10">
        <v>5426446</v>
      </c>
      <c r="AQ200" s="31">
        <v>7455965</v>
      </c>
    </row>
    <row r="201" spans="1:43">
      <c r="A201" s="102">
        <v>192</v>
      </c>
      <c r="B201" s="7" t="s">
        <v>1897</v>
      </c>
      <c r="C201" s="103">
        <v>47.94</v>
      </c>
      <c r="D201" s="62">
        <v>0</v>
      </c>
      <c r="E201" s="37">
        <v>4422</v>
      </c>
      <c r="F201" s="62">
        <v>0</v>
      </c>
      <c r="G201" s="62">
        <v>0</v>
      </c>
      <c r="H201" s="62">
        <v>1165</v>
      </c>
      <c r="I201" s="62">
        <v>0</v>
      </c>
      <c r="J201" s="62">
        <v>0</v>
      </c>
      <c r="K201" s="62">
        <v>0</v>
      </c>
      <c r="L201" s="62">
        <v>0</v>
      </c>
      <c r="M201" s="62">
        <v>11943.49</v>
      </c>
      <c r="N201" s="62">
        <v>5779</v>
      </c>
      <c r="O201" s="62">
        <v>6507</v>
      </c>
      <c r="P201" s="62">
        <v>0</v>
      </c>
      <c r="Q201" s="62">
        <v>12306.57500478469</v>
      </c>
      <c r="R201" s="62">
        <v>5964</v>
      </c>
      <c r="S201" s="62">
        <v>6377</v>
      </c>
      <c r="T201" s="62">
        <v>0</v>
      </c>
      <c r="U201" s="62">
        <v>0</v>
      </c>
      <c r="V201" s="62">
        <v>0</v>
      </c>
      <c r="W201" s="62">
        <v>0</v>
      </c>
      <c r="X201" s="62">
        <v>0</v>
      </c>
      <c r="Y201" s="62">
        <v>0</v>
      </c>
      <c r="Z201" s="62">
        <v>0</v>
      </c>
      <c r="AA201" s="62">
        <v>0</v>
      </c>
      <c r="AB201" s="62">
        <v>0</v>
      </c>
      <c r="AC201" s="10">
        <v>0</v>
      </c>
      <c r="AD201" s="10">
        <v>0</v>
      </c>
      <c r="AE201" s="10">
        <v>0</v>
      </c>
      <c r="AF201" s="10">
        <v>0</v>
      </c>
      <c r="AG201" s="10">
        <v>0</v>
      </c>
      <c r="AH201" s="10">
        <v>0</v>
      </c>
      <c r="AI201" s="10">
        <v>0</v>
      </c>
      <c r="AJ201" s="10">
        <v>0</v>
      </c>
      <c r="AK201" s="31">
        <v>0</v>
      </c>
      <c r="AL201" s="10">
        <v>0</v>
      </c>
      <c r="AM201" s="10">
        <v>0</v>
      </c>
      <c r="AN201" s="31">
        <v>0</v>
      </c>
      <c r="AO201" s="10">
        <v>0</v>
      </c>
      <c r="AP201" s="10">
        <v>0</v>
      </c>
      <c r="AQ201" s="31">
        <v>0</v>
      </c>
    </row>
    <row r="202" spans="1:43">
      <c r="A202" s="102">
        <v>193</v>
      </c>
      <c r="B202" s="7" t="s">
        <v>1898</v>
      </c>
      <c r="C202" s="103">
        <v>17.5</v>
      </c>
      <c r="D202" s="62">
        <v>0</v>
      </c>
      <c r="E202" s="37">
        <v>0</v>
      </c>
      <c r="F202" s="62">
        <v>0</v>
      </c>
      <c r="G202" s="62">
        <v>0</v>
      </c>
      <c r="H202" s="62">
        <v>0</v>
      </c>
      <c r="I202" s="62">
        <v>0</v>
      </c>
      <c r="J202" s="62">
        <v>0</v>
      </c>
      <c r="K202" s="62">
        <v>0</v>
      </c>
      <c r="L202" s="62">
        <v>0</v>
      </c>
      <c r="M202" s="62">
        <v>0</v>
      </c>
      <c r="N202" s="62">
        <v>0</v>
      </c>
      <c r="O202" s="62">
        <v>0</v>
      </c>
      <c r="P202" s="62">
        <v>0</v>
      </c>
      <c r="Q202" s="62">
        <v>0</v>
      </c>
      <c r="R202" s="62">
        <v>0</v>
      </c>
      <c r="S202" s="62">
        <v>0</v>
      </c>
      <c r="T202" s="62">
        <v>0</v>
      </c>
      <c r="U202" s="62">
        <v>0</v>
      </c>
      <c r="V202" s="62">
        <v>0</v>
      </c>
      <c r="W202" s="62">
        <v>0</v>
      </c>
      <c r="X202" s="62">
        <v>0</v>
      </c>
      <c r="Y202" s="62">
        <v>0</v>
      </c>
      <c r="Z202" s="62">
        <v>0</v>
      </c>
      <c r="AA202" s="62">
        <v>0</v>
      </c>
      <c r="AB202" s="62">
        <v>0</v>
      </c>
      <c r="AC202" s="10">
        <v>0</v>
      </c>
      <c r="AD202" s="10">
        <v>0</v>
      </c>
      <c r="AE202" s="10">
        <v>0</v>
      </c>
      <c r="AF202" s="10">
        <v>0</v>
      </c>
      <c r="AG202" s="10">
        <v>0</v>
      </c>
      <c r="AH202" s="10">
        <v>0</v>
      </c>
      <c r="AI202" s="10">
        <v>0</v>
      </c>
      <c r="AJ202" s="10">
        <v>0</v>
      </c>
      <c r="AK202" s="31">
        <v>0</v>
      </c>
      <c r="AL202" s="10">
        <v>0</v>
      </c>
      <c r="AM202" s="10">
        <v>0</v>
      </c>
      <c r="AN202" s="31">
        <v>0</v>
      </c>
      <c r="AO202" s="10">
        <v>0</v>
      </c>
      <c r="AP202" s="10">
        <v>0</v>
      </c>
      <c r="AQ202" s="31">
        <v>0</v>
      </c>
    </row>
    <row r="203" spans="1:43">
      <c r="A203" s="102">
        <v>194</v>
      </c>
      <c r="B203" s="7" t="s">
        <v>1899</v>
      </c>
      <c r="C203" s="103">
        <v>17.5</v>
      </c>
      <c r="D203" s="62">
        <v>39186</v>
      </c>
      <c r="E203" s="37">
        <v>23670</v>
      </c>
      <c r="F203" s="62">
        <v>15516</v>
      </c>
      <c r="G203" s="62">
        <v>32548.98</v>
      </c>
      <c r="H203" s="62">
        <v>24028</v>
      </c>
      <c r="I203" s="62">
        <v>15666</v>
      </c>
      <c r="J203" s="62">
        <v>45421.08</v>
      </c>
      <c r="K203" s="62">
        <v>32646</v>
      </c>
      <c r="L203" s="62">
        <v>19296</v>
      </c>
      <c r="M203" s="62">
        <v>35830.47</v>
      </c>
      <c r="N203" s="62">
        <v>26083</v>
      </c>
      <c r="O203" s="62">
        <v>19446</v>
      </c>
      <c r="P203" s="62">
        <v>0</v>
      </c>
      <c r="Q203" s="62">
        <v>61532.87502392345</v>
      </c>
      <c r="R203" s="62">
        <v>39614</v>
      </c>
      <c r="S203" s="62">
        <v>19057</v>
      </c>
      <c r="T203" s="62">
        <v>2862</v>
      </c>
      <c r="U203" s="62">
        <v>36107.447039999999</v>
      </c>
      <c r="V203" s="62">
        <v>25001</v>
      </c>
      <c r="W203" s="62">
        <v>21042</v>
      </c>
      <c r="X203" s="62">
        <v>0</v>
      </c>
      <c r="Y203" s="62">
        <v>0</v>
      </c>
      <c r="Z203" s="62">
        <v>36750.21</v>
      </c>
      <c r="AA203" s="62">
        <v>25778</v>
      </c>
      <c r="AB203" s="62">
        <v>21042</v>
      </c>
      <c r="AC203" s="10">
        <v>25394.420000000002</v>
      </c>
      <c r="AD203" s="10">
        <v>18584</v>
      </c>
      <c r="AE203" s="10">
        <v>21042</v>
      </c>
      <c r="AF203" s="10">
        <v>25788.04</v>
      </c>
      <c r="AG203" s="10">
        <v>20780</v>
      </c>
      <c r="AH203" s="10">
        <v>21042</v>
      </c>
      <c r="AI203" s="10">
        <v>26009.8</v>
      </c>
      <c r="AJ203" s="10">
        <v>21585</v>
      </c>
      <c r="AK203" s="31">
        <v>21042</v>
      </c>
      <c r="AL203" s="10">
        <v>39599.880000000005</v>
      </c>
      <c r="AM203" s="10">
        <v>35467</v>
      </c>
      <c r="AN203" s="31">
        <v>21042</v>
      </c>
      <c r="AO203" s="10">
        <v>65854.600000000006</v>
      </c>
      <c r="AP203" s="10">
        <v>55442</v>
      </c>
      <c r="AQ203" s="31">
        <v>21042</v>
      </c>
    </row>
    <row r="204" spans="1:43">
      <c r="A204" s="102">
        <v>195</v>
      </c>
      <c r="B204" s="7" t="s">
        <v>1900</v>
      </c>
      <c r="C204" s="103">
        <v>17.5</v>
      </c>
      <c r="D204" s="62">
        <v>107132</v>
      </c>
      <c r="E204" s="37">
        <v>88820</v>
      </c>
      <c r="F204" s="62">
        <v>19858</v>
      </c>
      <c r="G204" s="62">
        <v>144190.37</v>
      </c>
      <c r="H204" s="62">
        <v>111238</v>
      </c>
      <c r="I204" s="62">
        <v>32952</v>
      </c>
      <c r="J204" s="62">
        <v>126517.21994365109</v>
      </c>
      <c r="K204" s="62">
        <v>115279</v>
      </c>
      <c r="L204" s="62">
        <v>33752</v>
      </c>
      <c r="M204" s="62">
        <v>132726.99</v>
      </c>
      <c r="N204" s="62">
        <v>118261</v>
      </c>
      <c r="O204" s="62">
        <v>34839</v>
      </c>
      <c r="P204" s="62">
        <v>0</v>
      </c>
      <c r="Q204" s="62">
        <v>129580.38256076556</v>
      </c>
      <c r="R204" s="62">
        <v>116497</v>
      </c>
      <c r="S204" s="62">
        <v>34142</v>
      </c>
      <c r="T204" s="62">
        <v>0</v>
      </c>
      <c r="U204" s="62">
        <v>126342.90066</v>
      </c>
      <c r="V204" s="62">
        <v>112337</v>
      </c>
      <c r="W204" s="62">
        <v>32776</v>
      </c>
      <c r="X204" s="62">
        <v>0</v>
      </c>
      <c r="Y204" s="62">
        <v>0</v>
      </c>
      <c r="Z204" s="62">
        <v>120558.2</v>
      </c>
      <c r="AA204" s="62">
        <v>108747</v>
      </c>
      <c r="AB204" s="62">
        <v>32776</v>
      </c>
      <c r="AC204" s="10">
        <v>128118.72</v>
      </c>
      <c r="AD204" s="10">
        <v>110906</v>
      </c>
      <c r="AE204" s="10">
        <v>32776</v>
      </c>
      <c r="AF204" s="10">
        <v>91796.300000000017</v>
      </c>
      <c r="AG204" s="10">
        <v>91796</v>
      </c>
      <c r="AH204" s="10">
        <v>32776</v>
      </c>
      <c r="AI204" s="10">
        <v>92960.28</v>
      </c>
      <c r="AJ204" s="10">
        <v>83664</v>
      </c>
      <c r="AK204" s="31">
        <v>32776</v>
      </c>
      <c r="AL204" s="10">
        <v>89843.44</v>
      </c>
      <c r="AM204" s="10">
        <v>79980</v>
      </c>
      <c r="AN204" s="31">
        <v>32776</v>
      </c>
      <c r="AO204" s="10">
        <v>57421.64</v>
      </c>
      <c r="AP204" s="10">
        <v>51679</v>
      </c>
      <c r="AQ204" s="31">
        <v>32776</v>
      </c>
    </row>
    <row r="205" spans="1:43">
      <c r="A205" s="102">
        <v>196</v>
      </c>
      <c r="B205" s="7" t="s">
        <v>1901</v>
      </c>
      <c r="C205" s="103">
        <v>17.5</v>
      </c>
      <c r="D205" s="62">
        <v>2818535</v>
      </c>
      <c r="E205" s="37">
        <v>2890705</v>
      </c>
      <c r="F205" s="62">
        <v>384990</v>
      </c>
      <c r="G205" s="62">
        <v>2885508.92</v>
      </c>
      <c r="H205" s="62">
        <v>2876891</v>
      </c>
      <c r="I205" s="62">
        <v>408985</v>
      </c>
      <c r="J205" s="62">
        <v>2958071.3727178685</v>
      </c>
      <c r="K205" s="62">
        <v>2848361</v>
      </c>
      <c r="L205" s="62">
        <v>441588</v>
      </c>
      <c r="M205" s="62">
        <v>3103459.42</v>
      </c>
      <c r="N205" s="62">
        <v>2795562</v>
      </c>
      <c r="O205" s="62">
        <v>425127</v>
      </c>
      <c r="P205" s="62">
        <v>49962</v>
      </c>
      <c r="Q205" s="62">
        <v>3140215.3490373208</v>
      </c>
      <c r="R205" s="62">
        <v>2769683</v>
      </c>
      <c r="S205" s="62">
        <v>465587</v>
      </c>
      <c r="T205" s="62">
        <v>0</v>
      </c>
      <c r="U205" s="62">
        <v>3009436.1228999998</v>
      </c>
      <c r="V205" s="62">
        <v>2673399</v>
      </c>
      <c r="W205" s="62">
        <v>438388</v>
      </c>
      <c r="X205" s="62">
        <v>2353</v>
      </c>
      <c r="Y205" s="62">
        <v>34021</v>
      </c>
      <c r="Z205" s="62">
        <v>2959458.31</v>
      </c>
      <c r="AA205" s="62">
        <v>2711123</v>
      </c>
      <c r="AB205" s="62">
        <v>440741</v>
      </c>
      <c r="AC205" s="10">
        <v>2836358.0599999996</v>
      </c>
      <c r="AD205" s="10">
        <v>2696296</v>
      </c>
      <c r="AE205" s="10">
        <v>454021</v>
      </c>
      <c r="AF205" s="10">
        <v>2809900.4000000004</v>
      </c>
      <c r="AG205" s="10">
        <v>2700890</v>
      </c>
      <c r="AH205" s="17">
        <f>462021+8422</f>
        <v>470443</v>
      </c>
      <c r="AI205" s="10">
        <v>2670798.36</v>
      </c>
      <c r="AJ205" s="10">
        <v>2403719</v>
      </c>
      <c r="AK205" s="31">
        <v>477893</v>
      </c>
      <c r="AL205" s="10">
        <v>2552657.5399999991</v>
      </c>
      <c r="AM205" s="10">
        <v>2291916</v>
      </c>
      <c r="AN205" s="31">
        <v>484943</v>
      </c>
      <c r="AO205" s="10">
        <v>2541982.4700000002</v>
      </c>
      <c r="AP205" s="10">
        <v>2138805</v>
      </c>
      <c r="AQ205" s="31">
        <v>499903</v>
      </c>
    </row>
    <row r="206" spans="1:43">
      <c r="A206" s="102">
        <v>197</v>
      </c>
      <c r="B206" s="7" t="s">
        <v>1902</v>
      </c>
      <c r="C206" s="103">
        <v>17.5</v>
      </c>
      <c r="D206" s="62">
        <v>8624608</v>
      </c>
      <c r="E206" s="37">
        <v>13225325</v>
      </c>
      <c r="F206" s="62">
        <v>835167.6</v>
      </c>
      <c r="G206" s="62">
        <v>9230081.2999999989</v>
      </c>
      <c r="H206" s="62">
        <v>12823739</v>
      </c>
      <c r="I206" s="62">
        <v>991186.6</v>
      </c>
      <c r="J206" s="62">
        <v>10186787.557364723</v>
      </c>
      <c r="K206" s="62">
        <v>12276662</v>
      </c>
      <c r="L206" s="62">
        <v>1228636.6000000001</v>
      </c>
      <c r="M206" s="62">
        <v>10648679.940000001</v>
      </c>
      <c r="N206" s="62">
        <v>11576039</v>
      </c>
      <c r="O206" s="62">
        <v>1286905.6000000001</v>
      </c>
      <c r="P206" s="62">
        <v>151242</v>
      </c>
      <c r="Q206" s="62">
        <v>10683423.649684211</v>
      </c>
      <c r="R206" s="62">
        <v>11534629</v>
      </c>
      <c r="S206" s="62">
        <v>1409385</v>
      </c>
      <c r="T206" s="62">
        <v>0</v>
      </c>
      <c r="U206" s="62">
        <v>10295374.04874</v>
      </c>
      <c r="V206" s="62">
        <v>10871032</v>
      </c>
      <c r="W206" s="62">
        <v>1327049</v>
      </c>
      <c r="X206" s="62">
        <v>7124</v>
      </c>
      <c r="Y206" s="62">
        <v>105962</v>
      </c>
      <c r="Z206" s="62">
        <v>11144212.01</v>
      </c>
      <c r="AA206" s="62">
        <v>10901757</v>
      </c>
      <c r="AB206" s="62">
        <v>1334173</v>
      </c>
      <c r="AC206" s="10">
        <v>11866373.959999999</v>
      </c>
      <c r="AD206" s="10">
        <v>11286314</v>
      </c>
      <c r="AE206" s="10">
        <v>1387053</v>
      </c>
      <c r="AF206" s="10">
        <v>12800411.420000002</v>
      </c>
      <c r="AG206" s="10">
        <v>11568827</v>
      </c>
      <c r="AH206" s="10">
        <v>1421503</v>
      </c>
      <c r="AI206" s="10">
        <v>13869821.479999997</v>
      </c>
      <c r="AJ206" s="10">
        <v>11742876</v>
      </c>
      <c r="AK206" s="31">
        <v>2126945</v>
      </c>
      <c r="AL206" s="10">
        <v>15206451.73</v>
      </c>
      <c r="AM206" s="10">
        <v>12225508</v>
      </c>
      <c r="AN206" s="31">
        <v>2980944</v>
      </c>
      <c r="AO206" s="10">
        <v>15743715.589999998</v>
      </c>
      <c r="AP206" s="10">
        <v>12702303</v>
      </c>
      <c r="AQ206" s="31">
        <v>3067074</v>
      </c>
    </row>
    <row r="207" spans="1:43">
      <c r="A207" s="102">
        <v>198</v>
      </c>
      <c r="B207" s="7" t="s">
        <v>1903</v>
      </c>
      <c r="C207" s="103">
        <v>17.5</v>
      </c>
      <c r="D207" s="62">
        <v>33697813</v>
      </c>
      <c r="E207" s="37">
        <v>33961720</v>
      </c>
      <c r="F207" s="62">
        <v>4176645.6</v>
      </c>
      <c r="G207" s="62">
        <v>36447202.92904</v>
      </c>
      <c r="H207" s="62">
        <v>34581099</v>
      </c>
      <c r="I207" s="62">
        <v>4657788.5999999996</v>
      </c>
      <c r="J207" s="62">
        <v>37564403.525144182</v>
      </c>
      <c r="K207" s="62">
        <v>34454333</v>
      </c>
      <c r="L207" s="62">
        <v>5232583.5999999996</v>
      </c>
      <c r="M207" s="62">
        <v>40487600.791560009</v>
      </c>
      <c r="N207" s="62">
        <v>35263961</v>
      </c>
      <c r="O207" s="62">
        <v>5229410.5999999996</v>
      </c>
      <c r="P207" s="62">
        <v>614579</v>
      </c>
      <c r="Q207" s="62">
        <v>42629277.234462015</v>
      </c>
      <c r="R207" s="62">
        <v>35169154</v>
      </c>
      <c r="S207" s="62">
        <v>5727110</v>
      </c>
      <c r="T207" s="62">
        <v>1733013</v>
      </c>
      <c r="U207" s="62">
        <v>41207446.519019037</v>
      </c>
      <c r="V207" s="62">
        <v>35490451</v>
      </c>
      <c r="W207" s="62">
        <v>7024303</v>
      </c>
      <c r="X207" s="62">
        <v>37710</v>
      </c>
      <c r="Y207" s="62">
        <v>518585</v>
      </c>
      <c r="Z207" s="62">
        <v>43072103.861760005</v>
      </c>
      <c r="AA207" s="62">
        <v>36948274</v>
      </c>
      <c r="AB207" s="62">
        <v>7062013</v>
      </c>
      <c r="AC207" s="10">
        <v>45906950.422800004</v>
      </c>
      <c r="AD207" s="10">
        <v>38397808</v>
      </c>
      <c r="AE207" s="10">
        <v>7640285.5809975006</v>
      </c>
      <c r="AF207" s="10">
        <v>47764102.86208</v>
      </c>
      <c r="AG207" s="10">
        <v>39466673</v>
      </c>
      <c r="AH207" s="10">
        <v>8312752.0002159998</v>
      </c>
      <c r="AI207" s="10">
        <v>49956678.079499997</v>
      </c>
      <c r="AJ207" s="10">
        <v>41275438</v>
      </c>
      <c r="AK207" s="31">
        <v>8681240</v>
      </c>
      <c r="AL207" s="10">
        <v>51546022.215100005</v>
      </c>
      <c r="AM207" s="10">
        <v>42809644</v>
      </c>
      <c r="AN207" s="31">
        <v>8816665</v>
      </c>
      <c r="AO207" s="10">
        <v>52558195.004939988</v>
      </c>
      <c r="AP207" s="10">
        <v>43516697</v>
      </c>
      <c r="AQ207" s="31">
        <v>9117845</v>
      </c>
    </row>
    <row r="208" spans="1:43">
      <c r="A208" s="102">
        <v>199</v>
      </c>
      <c r="B208" s="7" t="s">
        <v>1904</v>
      </c>
      <c r="C208" s="103">
        <v>17.5</v>
      </c>
      <c r="D208" s="62">
        <v>34180438</v>
      </c>
      <c r="E208" s="37">
        <v>33290098</v>
      </c>
      <c r="F208" s="62">
        <v>3838947.6</v>
      </c>
      <c r="G208" s="62">
        <v>37003280.957180008</v>
      </c>
      <c r="H208" s="62">
        <v>33919990</v>
      </c>
      <c r="I208" s="62">
        <v>4366272.5999999996</v>
      </c>
      <c r="J208" s="62">
        <v>39386972.010866001</v>
      </c>
      <c r="K208" s="62">
        <v>34874779</v>
      </c>
      <c r="L208" s="62">
        <v>5124206.5999999996</v>
      </c>
      <c r="M208" s="62">
        <v>42028556.259200007</v>
      </c>
      <c r="N208" s="62">
        <v>35909710</v>
      </c>
      <c r="O208" s="62">
        <v>5475362</v>
      </c>
      <c r="P208" s="62">
        <v>643484</v>
      </c>
      <c r="Q208" s="62">
        <v>43829318.414363444</v>
      </c>
      <c r="R208" s="62">
        <v>36829428</v>
      </c>
      <c r="S208" s="62">
        <v>5996469</v>
      </c>
      <c r="T208" s="62">
        <v>1003421</v>
      </c>
      <c r="U208" s="62">
        <v>44582496.208305366</v>
      </c>
      <c r="V208" s="62">
        <v>37987380</v>
      </c>
      <c r="W208" s="62">
        <v>6590957</v>
      </c>
      <c r="X208" s="62">
        <v>35383</v>
      </c>
      <c r="Y208" s="62">
        <v>500900</v>
      </c>
      <c r="Z208" s="62">
        <v>46025845.81216</v>
      </c>
      <c r="AA208" s="62">
        <v>39034126</v>
      </c>
      <c r="AB208" s="62">
        <v>6991720</v>
      </c>
      <c r="AC208" s="10">
        <v>48336042.998220004</v>
      </c>
      <c r="AD208" s="10">
        <v>40702053</v>
      </c>
      <c r="AE208" s="10">
        <v>7633990</v>
      </c>
      <c r="AF208" s="10">
        <v>49744211.758409992</v>
      </c>
      <c r="AG208" s="10">
        <v>42426414</v>
      </c>
      <c r="AH208" s="10">
        <v>7901801.7644304372</v>
      </c>
      <c r="AI208" s="10">
        <v>50670510.318260007</v>
      </c>
      <c r="AJ208" s="10">
        <v>43099948</v>
      </c>
      <c r="AK208" s="31">
        <v>8239739.7644304372</v>
      </c>
      <c r="AL208" s="10">
        <v>51969545.140780009</v>
      </c>
      <c r="AM208" s="10">
        <v>44250723</v>
      </c>
      <c r="AN208" s="31">
        <v>8373789.7644304372</v>
      </c>
      <c r="AO208" s="10">
        <v>52228570.584080003</v>
      </c>
      <c r="AP208" s="10">
        <v>43661684</v>
      </c>
      <c r="AQ208" s="31">
        <v>8671394.7644304372</v>
      </c>
    </row>
    <row r="209" spans="1:43">
      <c r="A209" s="102">
        <v>200</v>
      </c>
      <c r="B209" s="7" t="s">
        <v>1905</v>
      </c>
      <c r="C209" s="103">
        <v>17.5</v>
      </c>
      <c r="D209" s="62">
        <v>314618</v>
      </c>
      <c r="E209" s="37">
        <v>165062</v>
      </c>
      <c r="F209" s="62">
        <v>149556</v>
      </c>
      <c r="G209" s="62">
        <v>313210.37</v>
      </c>
      <c r="H209" s="62">
        <v>163541</v>
      </c>
      <c r="I209" s="62">
        <v>154825</v>
      </c>
      <c r="J209" s="62">
        <v>331313.9947464299</v>
      </c>
      <c r="K209" s="62">
        <v>168568</v>
      </c>
      <c r="L209" s="62">
        <v>163915</v>
      </c>
      <c r="M209" s="62">
        <v>321985.11</v>
      </c>
      <c r="N209" s="62">
        <v>171991</v>
      </c>
      <c r="O209" s="62">
        <v>166015</v>
      </c>
      <c r="P209" s="62">
        <v>0</v>
      </c>
      <c r="Q209" s="62">
        <v>311594.91233684216</v>
      </c>
      <c r="R209" s="62">
        <v>178509</v>
      </c>
      <c r="S209" s="62">
        <v>162695</v>
      </c>
      <c r="T209" s="62">
        <v>0</v>
      </c>
      <c r="U209" s="62">
        <v>360381.76277999999</v>
      </c>
      <c r="V209" s="62">
        <v>180785</v>
      </c>
      <c r="W209" s="62">
        <v>179597</v>
      </c>
      <c r="X209" s="62">
        <v>0</v>
      </c>
      <c r="Y209" s="62">
        <v>0</v>
      </c>
      <c r="Z209" s="62">
        <v>334159.74</v>
      </c>
      <c r="AA209" s="62">
        <v>188252</v>
      </c>
      <c r="AB209" s="62">
        <v>179597</v>
      </c>
      <c r="AC209" s="10">
        <v>346722.85000000003</v>
      </c>
      <c r="AD209" s="10">
        <v>196667</v>
      </c>
      <c r="AE209" s="10">
        <v>179597</v>
      </c>
      <c r="AF209" s="10">
        <v>273043.12</v>
      </c>
      <c r="AG209" s="10">
        <v>204082</v>
      </c>
      <c r="AH209" s="10">
        <v>179597</v>
      </c>
      <c r="AI209" s="10">
        <v>266775.95</v>
      </c>
      <c r="AJ209" s="10">
        <v>209694</v>
      </c>
      <c r="AK209" s="31">
        <v>179597</v>
      </c>
      <c r="AL209" s="10">
        <v>217953.86999999997</v>
      </c>
      <c r="AM209" s="10">
        <v>196158</v>
      </c>
      <c r="AN209" s="31">
        <v>179597</v>
      </c>
      <c r="AO209" s="10">
        <v>232405.55000000002</v>
      </c>
      <c r="AP209" s="10">
        <v>193546</v>
      </c>
      <c r="AQ209" s="31">
        <v>179597</v>
      </c>
    </row>
    <row r="210" spans="1:43">
      <c r="A210" s="102">
        <v>201</v>
      </c>
      <c r="B210" s="7" t="s">
        <v>1906</v>
      </c>
      <c r="C210" s="103">
        <v>77.39</v>
      </c>
      <c r="D210" s="62">
        <v>119985462</v>
      </c>
      <c r="E210" s="37">
        <v>15908482</v>
      </c>
      <c r="F210" s="62">
        <v>104076980</v>
      </c>
      <c r="G210" s="62">
        <v>120904310.03999999</v>
      </c>
      <c r="H210" s="62">
        <v>17009241</v>
      </c>
      <c r="I210" s="62">
        <v>104762165</v>
      </c>
      <c r="J210" s="62">
        <v>124529300.86950365</v>
      </c>
      <c r="K210" s="62">
        <v>17999927</v>
      </c>
      <c r="L210" s="62">
        <v>107414208</v>
      </c>
      <c r="M210" s="62">
        <v>129350707.3</v>
      </c>
      <c r="N210" s="62">
        <v>18772687</v>
      </c>
      <c r="O210" s="62">
        <v>99286975</v>
      </c>
      <c r="P210" s="62">
        <v>11668556</v>
      </c>
      <c r="Q210" s="62">
        <v>131101527.27395219</v>
      </c>
      <c r="R210" s="62">
        <v>18393495</v>
      </c>
      <c r="S210" s="62">
        <v>108736420</v>
      </c>
      <c r="T210" s="62">
        <v>3971612</v>
      </c>
      <c r="U210" s="62">
        <v>126977747.19852</v>
      </c>
      <c r="V210" s="62">
        <v>18868260</v>
      </c>
      <c r="W210" s="62">
        <v>106123637</v>
      </c>
      <c r="X210" s="62">
        <v>569719</v>
      </c>
      <c r="Y210" s="62">
        <v>6333076</v>
      </c>
      <c r="Z210" s="62">
        <v>131413254.92999999</v>
      </c>
      <c r="AA210" s="62">
        <v>19608717</v>
      </c>
      <c r="AB210" s="62">
        <v>111804538</v>
      </c>
      <c r="AC210" s="10">
        <v>134200121.78</v>
      </c>
      <c r="AD210" s="10">
        <v>20555694</v>
      </c>
      <c r="AE210" s="17">
        <f>113644428+2452653</f>
        <v>116097081</v>
      </c>
      <c r="AF210" s="10">
        <v>141486159.03000003</v>
      </c>
      <c r="AG210" s="10">
        <v>21429480</v>
      </c>
      <c r="AH210" s="10">
        <v>120056679</v>
      </c>
      <c r="AI210" s="10">
        <v>146174509.68000001</v>
      </c>
      <c r="AJ210" s="10">
        <v>22672562</v>
      </c>
      <c r="AK210" s="31">
        <v>123501948</v>
      </c>
      <c r="AL210" s="10">
        <v>149495329.88</v>
      </c>
      <c r="AM210" s="10">
        <v>24366967</v>
      </c>
      <c r="AN210" s="31">
        <v>125128363</v>
      </c>
      <c r="AO210" s="10">
        <v>157744521.90000004</v>
      </c>
      <c r="AP210" s="10">
        <v>25358897</v>
      </c>
      <c r="AQ210" s="31">
        <v>132385625</v>
      </c>
    </row>
    <row r="211" spans="1:43">
      <c r="A211" s="102">
        <v>202</v>
      </c>
      <c r="B211" s="7" t="s">
        <v>1907</v>
      </c>
      <c r="C211" s="103">
        <v>42.54</v>
      </c>
      <c r="D211" s="62">
        <v>0</v>
      </c>
      <c r="E211" s="37">
        <v>0</v>
      </c>
      <c r="F211" s="62">
        <v>0</v>
      </c>
      <c r="G211" s="62">
        <v>0</v>
      </c>
      <c r="H211" s="62">
        <v>0</v>
      </c>
      <c r="I211" s="62">
        <v>0</v>
      </c>
      <c r="J211" s="62">
        <v>0</v>
      </c>
      <c r="K211" s="62">
        <v>0</v>
      </c>
      <c r="L211" s="62">
        <v>0</v>
      </c>
      <c r="M211" s="62">
        <v>0</v>
      </c>
      <c r="N211" s="62">
        <v>0</v>
      </c>
      <c r="O211" s="62">
        <v>0</v>
      </c>
      <c r="P211" s="62">
        <v>0</v>
      </c>
      <c r="Q211" s="62">
        <v>0</v>
      </c>
      <c r="R211" s="62">
        <v>0</v>
      </c>
      <c r="S211" s="62">
        <v>0</v>
      </c>
      <c r="T211" s="62">
        <v>0</v>
      </c>
      <c r="U211" s="62">
        <v>0</v>
      </c>
      <c r="V211" s="62">
        <v>0</v>
      </c>
      <c r="W211" s="62">
        <v>0</v>
      </c>
      <c r="X211" s="62">
        <v>0</v>
      </c>
      <c r="Y211" s="62">
        <v>0</v>
      </c>
      <c r="Z211" s="62">
        <v>0</v>
      </c>
      <c r="AA211" s="62">
        <v>0</v>
      </c>
      <c r="AB211" s="62">
        <v>0</v>
      </c>
      <c r="AC211" s="10">
        <v>0</v>
      </c>
      <c r="AD211" s="10">
        <v>0</v>
      </c>
      <c r="AE211" s="10">
        <v>0</v>
      </c>
      <c r="AF211" s="10">
        <v>0</v>
      </c>
      <c r="AG211" s="10">
        <v>0</v>
      </c>
      <c r="AH211" s="10">
        <v>0</v>
      </c>
      <c r="AI211" s="10">
        <v>13004.9</v>
      </c>
      <c r="AJ211" s="10">
        <v>7410</v>
      </c>
      <c r="AK211" s="31">
        <v>5595</v>
      </c>
      <c r="AL211" s="10">
        <v>13199.960000000001</v>
      </c>
      <c r="AM211" s="10">
        <v>7496</v>
      </c>
      <c r="AN211" s="31">
        <v>5704</v>
      </c>
      <c r="AO211" s="10">
        <v>0</v>
      </c>
      <c r="AP211" s="10">
        <v>0</v>
      </c>
      <c r="AQ211" s="31">
        <v>0</v>
      </c>
    </row>
    <row r="212" spans="1:43">
      <c r="A212" s="102">
        <v>203</v>
      </c>
      <c r="B212" s="7" t="s">
        <v>1908</v>
      </c>
      <c r="C212" s="103">
        <v>17.5</v>
      </c>
      <c r="D212" s="62">
        <v>0</v>
      </c>
      <c r="E212" s="37">
        <v>0</v>
      </c>
      <c r="F212" s="62">
        <v>0</v>
      </c>
      <c r="G212" s="62">
        <v>0</v>
      </c>
      <c r="H212" s="62">
        <v>0</v>
      </c>
      <c r="I212" s="62">
        <v>0</v>
      </c>
      <c r="J212" s="62">
        <v>0</v>
      </c>
      <c r="K212" s="62">
        <v>0</v>
      </c>
      <c r="L212" s="62">
        <v>0</v>
      </c>
      <c r="M212" s="62">
        <v>0</v>
      </c>
      <c r="N212" s="62">
        <v>0</v>
      </c>
      <c r="O212" s="62">
        <v>0</v>
      </c>
      <c r="P212" s="62">
        <v>0</v>
      </c>
      <c r="Q212" s="62">
        <v>0</v>
      </c>
      <c r="R212" s="62">
        <v>0</v>
      </c>
      <c r="S212" s="62">
        <v>0</v>
      </c>
      <c r="T212" s="62">
        <v>0</v>
      </c>
      <c r="U212" s="62">
        <v>0</v>
      </c>
      <c r="V212" s="62">
        <v>0</v>
      </c>
      <c r="W212" s="62">
        <v>0</v>
      </c>
      <c r="X212" s="62">
        <v>0</v>
      </c>
      <c r="Y212" s="62">
        <v>0</v>
      </c>
      <c r="Z212" s="62">
        <v>0</v>
      </c>
      <c r="AA212" s="62">
        <v>0</v>
      </c>
      <c r="AB212" s="62">
        <v>0</v>
      </c>
      <c r="AC212" s="10">
        <v>0</v>
      </c>
      <c r="AD212" s="10">
        <v>0</v>
      </c>
      <c r="AE212" s="10">
        <v>0</v>
      </c>
      <c r="AF212" s="10">
        <v>0</v>
      </c>
      <c r="AG212" s="10">
        <v>0</v>
      </c>
      <c r="AH212" s="17">
        <f>0+16844</f>
        <v>16844</v>
      </c>
      <c r="AI212" s="10">
        <v>39848.778960000003</v>
      </c>
      <c r="AJ212" s="10">
        <v>35337</v>
      </c>
      <c r="AK212" s="31">
        <v>16844</v>
      </c>
      <c r="AL212" s="10">
        <v>26986.020340000003</v>
      </c>
      <c r="AM212" s="10">
        <v>23796</v>
      </c>
      <c r="AN212" s="31">
        <v>16844</v>
      </c>
      <c r="AO212" s="10">
        <v>53983.259600000005</v>
      </c>
      <c r="AP212" s="10">
        <v>45708</v>
      </c>
      <c r="AQ212" s="31">
        <v>16844</v>
      </c>
    </row>
    <row r="213" spans="1:43">
      <c r="A213" s="102">
        <v>204</v>
      </c>
      <c r="B213" s="7" t="s">
        <v>1909</v>
      </c>
      <c r="C213" s="103">
        <v>17.5</v>
      </c>
      <c r="D213" s="62">
        <v>16302852</v>
      </c>
      <c r="E213" s="37">
        <v>18514828</v>
      </c>
      <c r="F213" s="62">
        <v>2908020</v>
      </c>
      <c r="G213" s="62">
        <v>17369387.83083</v>
      </c>
      <c r="H213" s="62">
        <v>18382676</v>
      </c>
      <c r="I213" s="62">
        <v>3094664</v>
      </c>
      <c r="J213" s="62">
        <v>18138185.240466557</v>
      </c>
      <c r="K213" s="62">
        <v>18210192</v>
      </c>
      <c r="L213" s="62">
        <v>3229204</v>
      </c>
      <c r="M213" s="62">
        <v>19046240.388799995</v>
      </c>
      <c r="N213" s="62">
        <v>17810116</v>
      </c>
      <c r="O213" s="62">
        <v>3031805</v>
      </c>
      <c r="P213" s="62">
        <v>356309</v>
      </c>
      <c r="Q213" s="62">
        <v>19278084.056310378</v>
      </c>
      <c r="R213" s="62">
        <v>17751548</v>
      </c>
      <c r="S213" s="62">
        <v>3320352</v>
      </c>
      <c r="T213" s="62">
        <v>0</v>
      </c>
      <c r="U213" s="62">
        <v>18957046.974179041</v>
      </c>
      <c r="V213" s="62">
        <v>17434050</v>
      </c>
      <c r="W213" s="62">
        <v>3126377</v>
      </c>
      <c r="X213" s="62">
        <v>16784</v>
      </c>
      <c r="Y213" s="62">
        <v>232641</v>
      </c>
      <c r="Z213" s="62">
        <v>19604538.718400002</v>
      </c>
      <c r="AA213" s="62">
        <v>17669920</v>
      </c>
      <c r="AB213" s="62">
        <v>3143161</v>
      </c>
      <c r="AC213" s="10">
        <v>20981094.095319998</v>
      </c>
      <c r="AD213" s="10">
        <v>18161476</v>
      </c>
      <c r="AE213" s="10">
        <v>3236321</v>
      </c>
      <c r="AF213" s="10">
        <v>22075535.224889997</v>
      </c>
      <c r="AG213" s="10">
        <v>18717331</v>
      </c>
      <c r="AH213" s="17">
        <f>3484457.66608894+42110</f>
        <v>3526567.6660889401</v>
      </c>
      <c r="AI213" s="10">
        <v>22313844.746979997</v>
      </c>
      <c r="AJ213" s="10">
        <v>18921662</v>
      </c>
      <c r="AK213" s="31">
        <v>3658991.6660889401</v>
      </c>
      <c r="AL213" s="10">
        <v>22958152.764539998</v>
      </c>
      <c r="AM213" s="10">
        <v>19326232</v>
      </c>
      <c r="AN213" s="31">
        <v>3720116.6660889401</v>
      </c>
      <c r="AO213" s="10">
        <v>22075387.820000004</v>
      </c>
      <c r="AP213" s="10">
        <v>18475881</v>
      </c>
      <c r="AQ213" s="31">
        <v>3851291.6660889401</v>
      </c>
    </row>
    <row r="214" spans="1:43">
      <c r="A214" s="102">
        <v>205</v>
      </c>
      <c r="B214" s="7" t="s">
        <v>1910</v>
      </c>
      <c r="C214" s="103">
        <v>17.5</v>
      </c>
      <c r="D214" s="62">
        <v>0</v>
      </c>
      <c r="E214" s="37">
        <v>0</v>
      </c>
      <c r="F214" s="62">
        <v>0</v>
      </c>
      <c r="G214" s="62">
        <v>0</v>
      </c>
      <c r="H214" s="62">
        <v>0</v>
      </c>
      <c r="I214" s="62">
        <v>0</v>
      </c>
      <c r="J214" s="62">
        <v>0</v>
      </c>
      <c r="K214" s="62">
        <v>0</v>
      </c>
      <c r="L214" s="62">
        <v>0</v>
      </c>
      <c r="M214" s="62">
        <v>0</v>
      </c>
      <c r="N214" s="62">
        <v>0</v>
      </c>
      <c r="O214" s="62">
        <v>0</v>
      </c>
      <c r="P214" s="62">
        <v>0</v>
      </c>
      <c r="Q214" s="62">
        <v>0</v>
      </c>
      <c r="R214" s="62">
        <v>0</v>
      </c>
      <c r="S214" s="62">
        <v>0</v>
      </c>
      <c r="T214" s="62">
        <v>0</v>
      </c>
      <c r="U214" s="62">
        <v>0</v>
      </c>
      <c r="V214" s="62">
        <v>0</v>
      </c>
      <c r="W214" s="62">
        <v>0</v>
      </c>
      <c r="X214" s="62">
        <v>0</v>
      </c>
      <c r="Y214" s="62">
        <v>0</v>
      </c>
      <c r="Z214" s="62">
        <v>0</v>
      </c>
      <c r="AA214" s="62">
        <v>0</v>
      </c>
      <c r="AB214" s="62">
        <v>0</v>
      </c>
      <c r="AC214" s="10">
        <v>0</v>
      </c>
      <c r="AD214" s="10">
        <v>0</v>
      </c>
      <c r="AE214" s="10">
        <v>0</v>
      </c>
      <c r="AF214" s="10">
        <v>0</v>
      </c>
      <c r="AG214" s="10">
        <v>0</v>
      </c>
      <c r="AH214" s="10">
        <v>0</v>
      </c>
      <c r="AI214" s="10">
        <v>0</v>
      </c>
      <c r="AJ214" s="10">
        <v>0</v>
      </c>
      <c r="AK214" s="31">
        <v>0</v>
      </c>
      <c r="AL214" s="10">
        <v>0</v>
      </c>
      <c r="AM214" s="10">
        <v>0</v>
      </c>
      <c r="AN214" s="31">
        <v>0</v>
      </c>
      <c r="AO214" s="10">
        <v>13170.920000000002</v>
      </c>
      <c r="AP214" s="10">
        <v>10884</v>
      </c>
      <c r="AQ214" s="31">
        <v>2287</v>
      </c>
    </row>
    <row r="215" spans="1:43">
      <c r="A215" s="102">
        <v>206</v>
      </c>
      <c r="B215" s="7" t="s">
        <v>1911</v>
      </c>
      <c r="C215" s="103">
        <v>47.73</v>
      </c>
      <c r="D215" s="62">
        <v>0</v>
      </c>
      <c r="E215" s="37">
        <v>0</v>
      </c>
      <c r="F215" s="62">
        <v>0</v>
      </c>
      <c r="G215" s="62">
        <v>0</v>
      </c>
      <c r="H215" s="62">
        <v>0</v>
      </c>
      <c r="I215" s="62">
        <v>0</v>
      </c>
      <c r="J215" s="62">
        <v>0</v>
      </c>
      <c r="K215" s="62">
        <v>0</v>
      </c>
      <c r="L215" s="62">
        <v>0</v>
      </c>
      <c r="M215" s="62">
        <v>0</v>
      </c>
      <c r="N215" s="62">
        <v>0</v>
      </c>
      <c r="O215" s="62">
        <v>0</v>
      </c>
      <c r="P215" s="62">
        <v>0</v>
      </c>
      <c r="Q215" s="62">
        <v>0</v>
      </c>
      <c r="R215" s="62">
        <v>0</v>
      </c>
      <c r="S215" s="62">
        <v>0</v>
      </c>
      <c r="T215" s="62">
        <v>0</v>
      </c>
      <c r="U215" s="62">
        <v>0</v>
      </c>
      <c r="V215" s="62">
        <v>0</v>
      </c>
      <c r="W215" s="62">
        <v>0</v>
      </c>
      <c r="X215" s="62">
        <v>0</v>
      </c>
      <c r="Y215" s="62">
        <v>0</v>
      </c>
      <c r="Z215" s="62">
        <v>0</v>
      </c>
      <c r="AA215" s="62">
        <v>0</v>
      </c>
      <c r="AB215" s="62">
        <v>0</v>
      </c>
      <c r="AC215" s="10">
        <v>0</v>
      </c>
      <c r="AD215" s="10">
        <v>0</v>
      </c>
      <c r="AE215" s="10">
        <v>0</v>
      </c>
      <c r="AF215" s="10">
        <v>0</v>
      </c>
      <c r="AG215" s="10">
        <v>0</v>
      </c>
      <c r="AH215" s="10">
        <v>0</v>
      </c>
      <c r="AI215" s="10">
        <v>0</v>
      </c>
      <c r="AJ215" s="10">
        <v>0</v>
      </c>
      <c r="AK215" s="31">
        <v>0</v>
      </c>
      <c r="AL215" s="10">
        <v>0</v>
      </c>
      <c r="AM215" s="10">
        <v>0</v>
      </c>
      <c r="AN215" s="31">
        <v>0</v>
      </c>
      <c r="AO215" s="10">
        <v>0</v>
      </c>
      <c r="AP215" s="10">
        <v>0</v>
      </c>
      <c r="AQ215" s="31">
        <v>0</v>
      </c>
    </row>
    <row r="216" spans="1:43">
      <c r="A216" s="102">
        <v>207</v>
      </c>
      <c r="B216" s="7" t="s">
        <v>1912</v>
      </c>
      <c r="C216" s="103">
        <v>17.5</v>
      </c>
      <c r="D216" s="62">
        <v>84474234</v>
      </c>
      <c r="E216" s="37">
        <v>95571853</v>
      </c>
      <c r="F216" s="62">
        <v>9687799.5999999996</v>
      </c>
      <c r="G216" s="62">
        <v>91783004.913320005</v>
      </c>
      <c r="H216" s="62">
        <v>95493364</v>
      </c>
      <c r="I216" s="62">
        <v>10966834.6</v>
      </c>
      <c r="J216" s="62">
        <v>96710790.081070766</v>
      </c>
      <c r="K216" s="62">
        <v>94016028</v>
      </c>
      <c r="L216" s="62">
        <v>12754100.6</v>
      </c>
      <c r="M216" s="62">
        <v>102430485.62952003</v>
      </c>
      <c r="N216" s="62">
        <v>93680526</v>
      </c>
      <c r="O216" s="62">
        <v>12939868.6</v>
      </c>
      <c r="P216" s="62">
        <v>1520739</v>
      </c>
      <c r="Q216" s="62">
        <v>106034164.82356572</v>
      </c>
      <c r="R216" s="62">
        <v>94358670</v>
      </c>
      <c r="S216" s="62">
        <v>14171395</v>
      </c>
      <c r="T216" s="62">
        <v>0</v>
      </c>
      <c r="U216" s="62">
        <v>105360168.87611745</v>
      </c>
      <c r="V216" s="62">
        <v>93963930</v>
      </c>
      <c r="W216" s="62">
        <v>13343503</v>
      </c>
      <c r="X216" s="62">
        <v>71634</v>
      </c>
      <c r="Y216" s="62">
        <v>1051383</v>
      </c>
      <c r="Z216" s="62">
        <v>109411944.70578998</v>
      </c>
      <c r="AA216" s="62">
        <v>95907724</v>
      </c>
      <c r="AB216" s="62">
        <v>13504221</v>
      </c>
      <c r="AC216" s="10">
        <v>114655007.73854002</v>
      </c>
      <c r="AD216" s="10">
        <v>98481856</v>
      </c>
      <c r="AE216" s="10">
        <v>16173152</v>
      </c>
      <c r="AF216" s="10">
        <v>119052135.41824004</v>
      </c>
      <c r="AG216" s="10">
        <v>101648356</v>
      </c>
      <c r="AH216" s="10">
        <v>17403779</v>
      </c>
      <c r="AI216" s="10">
        <v>123275321.48661001</v>
      </c>
      <c r="AJ216" s="10">
        <v>103657391</v>
      </c>
      <c r="AK216" s="31">
        <v>19617930</v>
      </c>
      <c r="AL216" s="10">
        <v>126316298.67331998</v>
      </c>
      <c r="AM216" s="10">
        <v>106090242</v>
      </c>
      <c r="AN216" s="31">
        <v>20226057</v>
      </c>
      <c r="AO216" s="10">
        <v>126430397.79993999</v>
      </c>
      <c r="AP216" s="10">
        <v>105306467</v>
      </c>
      <c r="AQ216" s="31">
        <v>21180365</v>
      </c>
    </row>
    <row r="217" spans="1:43">
      <c r="A217" s="102">
        <v>208</v>
      </c>
      <c r="B217" s="7" t="s">
        <v>1913</v>
      </c>
      <c r="C217" s="103">
        <v>17.5</v>
      </c>
      <c r="D217" s="62">
        <v>7375598</v>
      </c>
      <c r="E217" s="37">
        <v>4537885</v>
      </c>
      <c r="F217" s="62">
        <v>3290521</v>
      </c>
      <c r="G217" s="62">
        <v>7514189.6858999999</v>
      </c>
      <c r="H217" s="62">
        <v>4696531</v>
      </c>
      <c r="I217" s="62">
        <v>3342421</v>
      </c>
      <c r="J217" s="62">
        <v>7568629.1283759158</v>
      </c>
      <c r="K217" s="62">
        <v>4835814</v>
      </c>
      <c r="L217" s="62">
        <v>3392371</v>
      </c>
      <c r="M217" s="62">
        <v>7931793.3029600009</v>
      </c>
      <c r="N217" s="62">
        <v>5010638</v>
      </c>
      <c r="O217" s="62">
        <v>3120270</v>
      </c>
      <c r="P217" s="62">
        <v>366705</v>
      </c>
      <c r="Q217" s="62">
        <v>8090406.3416947154</v>
      </c>
      <c r="R217" s="62">
        <v>5856554</v>
      </c>
      <c r="S217" s="62">
        <v>3417236</v>
      </c>
      <c r="T217" s="62">
        <v>0</v>
      </c>
      <c r="U217" s="62">
        <v>7969864.5064924797</v>
      </c>
      <c r="V217" s="62">
        <v>6096820</v>
      </c>
      <c r="W217" s="62">
        <v>3217602</v>
      </c>
      <c r="X217" s="62">
        <v>17273</v>
      </c>
      <c r="Y217" s="62">
        <v>206986</v>
      </c>
      <c r="Z217" s="62">
        <v>7607426.2368400004</v>
      </c>
      <c r="AA217" s="62">
        <v>5982259</v>
      </c>
      <c r="AB217" s="62">
        <v>3234875</v>
      </c>
      <c r="AC217" s="10">
        <v>7567557.911940001</v>
      </c>
      <c r="AD217" s="10">
        <v>6205265</v>
      </c>
      <c r="AE217" s="10">
        <v>3270355</v>
      </c>
      <c r="AF217" s="10">
        <v>7354058.3719600011</v>
      </c>
      <c r="AG217" s="10">
        <v>6196881</v>
      </c>
      <c r="AH217" s="10">
        <v>3291530</v>
      </c>
      <c r="AI217" s="10">
        <v>7315213.0608799998</v>
      </c>
      <c r="AJ217" s="10">
        <v>6240752</v>
      </c>
      <c r="AK217" s="31">
        <v>3312405</v>
      </c>
      <c r="AL217" s="10">
        <v>7167206.0455</v>
      </c>
      <c r="AM217" s="10">
        <v>6157870</v>
      </c>
      <c r="AN217" s="31">
        <v>3332480</v>
      </c>
      <c r="AO217" s="10">
        <v>7797859.3176300004</v>
      </c>
      <c r="AP217" s="10">
        <v>6475611</v>
      </c>
      <c r="AQ217" s="31">
        <v>3380055</v>
      </c>
    </row>
    <row r="218" spans="1:43">
      <c r="A218" s="102">
        <v>209</v>
      </c>
      <c r="B218" s="7" t="s">
        <v>1914</v>
      </c>
      <c r="C218" s="103">
        <v>69.53</v>
      </c>
      <c r="D218" s="62">
        <v>15707349</v>
      </c>
      <c r="E218" s="37">
        <v>2559119</v>
      </c>
      <c r="F218" s="62">
        <v>13830276</v>
      </c>
      <c r="G218" s="62">
        <v>15487886.440000003</v>
      </c>
      <c r="H218" s="62">
        <v>2982732</v>
      </c>
      <c r="I218" s="62">
        <v>13921926</v>
      </c>
      <c r="J218" s="62">
        <v>16104425.472575067</v>
      </c>
      <c r="K218" s="62">
        <v>3199929</v>
      </c>
      <c r="L218" s="62">
        <v>14379275</v>
      </c>
      <c r="M218" s="62">
        <v>16069533.560000001</v>
      </c>
      <c r="N218" s="62">
        <v>3273841</v>
      </c>
      <c r="O218" s="62">
        <v>12943553</v>
      </c>
      <c r="P218" s="62">
        <v>1521172</v>
      </c>
      <c r="Q218" s="62">
        <v>15683925.830859331</v>
      </c>
      <c r="R218" s="62">
        <v>4425733</v>
      </c>
      <c r="S218" s="62">
        <v>14175431</v>
      </c>
      <c r="T218" s="62">
        <v>0</v>
      </c>
      <c r="U218" s="62">
        <v>15476062.162319999</v>
      </c>
      <c r="V218" s="62">
        <v>4393858</v>
      </c>
      <c r="W218" s="62">
        <v>13347304</v>
      </c>
      <c r="X218" s="62">
        <v>71654</v>
      </c>
      <c r="Y218" s="62">
        <v>795823</v>
      </c>
      <c r="Z218" s="62">
        <v>15392110.870000001</v>
      </c>
      <c r="AA218" s="62">
        <v>4489714</v>
      </c>
      <c r="AB218" s="62">
        <v>13418958</v>
      </c>
      <c r="AC218" s="10">
        <v>15076472.880000003</v>
      </c>
      <c r="AD218" s="10">
        <v>4662123</v>
      </c>
      <c r="AE218" s="10">
        <v>13480318</v>
      </c>
      <c r="AF218" s="10">
        <v>15891428.520000001</v>
      </c>
      <c r="AG218" s="10">
        <v>4776899</v>
      </c>
      <c r="AH218" s="10">
        <v>13517943</v>
      </c>
      <c r="AI218" s="10">
        <v>16417451.109999998</v>
      </c>
      <c r="AJ218" s="10">
        <v>4941966</v>
      </c>
      <c r="AK218" s="31">
        <v>13556793</v>
      </c>
      <c r="AL218" s="10">
        <v>16664714.390000004</v>
      </c>
      <c r="AM218" s="10">
        <v>5074150</v>
      </c>
      <c r="AN218" s="31">
        <v>13595418</v>
      </c>
      <c r="AO218" s="10">
        <v>16484834.819999997</v>
      </c>
      <c r="AP218" s="10">
        <v>5063315</v>
      </c>
      <c r="AQ218" s="31">
        <v>13676653</v>
      </c>
    </row>
    <row r="219" spans="1:43">
      <c r="A219" s="102">
        <v>210</v>
      </c>
      <c r="B219" s="7" t="s">
        <v>1915</v>
      </c>
      <c r="C219" s="103">
        <v>17.5</v>
      </c>
      <c r="D219" s="62">
        <v>22339621</v>
      </c>
      <c r="E219" s="37">
        <v>16647759</v>
      </c>
      <c r="F219" s="62">
        <v>6574009.5999999996</v>
      </c>
      <c r="G219" s="62">
        <v>23515503.420000002</v>
      </c>
      <c r="H219" s="62">
        <v>17537821</v>
      </c>
      <c r="I219" s="62">
        <v>6925715.5999999996</v>
      </c>
      <c r="J219" s="62">
        <v>23897225.215249706</v>
      </c>
      <c r="K219" s="62">
        <v>17925565</v>
      </c>
      <c r="L219" s="62">
        <v>7068615.5999999996</v>
      </c>
      <c r="M219" s="62">
        <v>25081306.799999997</v>
      </c>
      <c r="N219" s="62">
        <v>18789705</v>
      </c>
      <c r="O219" s="62">
        <v>6600629.5999999996</v>
      </c>
      <c r="P219" s="62">
        <v>775729</v>
      </c>
      <c r="Q219" s="62">
        <v>25514471.712826792</v>
      </c>
      <c r="R219" s="62">
        <v>19225734</v>
      </c>
      <c r="S219" s="62">
        <v>7228831</v>
      </c>
      <c r="T219" s="62">
        <v>0</v>
      </c>
      <c r="U219" s="62">
        <v>24684605.485979997</v>
      </c>
      <c r="V219" s="62">
        <v>19535341</v>
      </c>
      <c r="W219" s="62">
        <v>6806523</v>
      </c>
      <c r="X219" s="62">
        <v>36541</v>
      </c>
      <c r="Y219" s="62">
        <v>454267</v>
      </c>
      <c r="Z219" s="62">
        <v>25014294.639999997</v>
      </c>
      <c r="AA219" s="62">
        <v>20035749</v>
      </c>
      <c r="AB219" s="62">
        <v>6843064</v>
      </c>
      <c r="AC219" s="10">
        <v>26386688.750000007</v>
      </c>
      <c r="AD219" s="10">
        <v>20803896</v>
      </c>
      <c r="AE219" s="10">
        <v>6954104</v>
      </c>
      <c r="AF219" s="10">
        <v>26834026.780000009</v>
      </c>
      <c r="AG219" s="10">
        <v>21624168</v>
      </c>
      <c r="AH219" s="10">
        <v>7023429</v>
      </c>
      <c r="AI219" s="10">
        <v>27395100.530000001</v>
      </c>
      <c r="AJ219" s="10">
        <v>22476877</v>
      </c>
      <c r="AK219" s="31">
        <v>7093554</v>
      </c>
      <c r="AL219" s="10">
        <v>27323757.340000004</v>
      </c>
      <c r="AM219" s="10">
        <v>22846792</v>
      </c>
      <c r="AN219" s="31">
        <v>7162729</v>
      </c>
      <c r="AO219" s="10">
        <v>27410585.139999997</v>
      </c>
      <c r="AP219" s="10">
        <v>22747409</v>
      </c>
      <c r="AQ219" s="31">
        <v>7313539</v>
      </c>
    </row>
    <row r="220" spans="1:43">
      <c r="A220" s="102">
        <v>211</v>
      </c>
      <c r="B220" s="7" t="s">
        <v>1916</v>
      </c>
      <c r="C220" s="103">
        <v>17.5</v>
      </c>
      <c r="D220" s="62">
        <v>30541004</v>
      </c>
      <c r="E220" s="37">
        <v>28946886</v>
      </c>
      <c r="F220" s="62">
        <v>4129740</v>
      </c>
      <c r="G220" s="62">
        <v>33510013.210000001</v>
      </c>
      <c r="H220" s="62">
        <v>29846221</v>
      </c>
      <c r="I220" s="62">
        <v>4649317</v>
      </c>
      <c r="J220" s="62">
        <v>34908316.443979926</v>
      </c>
      <c r="K220" s="62">
        <v>30883606</v>
      </c>
      <c r="L220" s="62">
        <v>5087208</v>
      </c>
      <c r="M220" s="62">
        <v>37117714.300000004</v>
      </c>
      <c r="N220" s="62">
        <v>31904083</v>
      </c>
      <c r="O220" s="62">
        <v>4968107</v>
      </c>
      <c r="P220" s="62">
        <v>583870</v>
      </c>
      <c r="Q220" s="62">
        <v>38689087.713684224</v>
      </c>
      <c r="R220" s="62">
        <v>32219076</v>
      </c>
      <c r="S220" s="62">
        <v>5440937</v>
      </c>
      <c r="T220" s="62">
        <v>1029075</v>
      </c>
      <c r="U220" s="62">
        <v>37806576.337559998</v>
      </c>
      <c r="V220" s="62">
        <v>32564460</v>
      </c>
      <c r="W220" s="62">
        <v>6092035</v>
      </c>
      <c r="X220" s="62">
        <v>32705</v>
      </c>
      <c r="Y220" s="62">
        <v>458122</v>
      </c>
      <c r="Z220" s="62">
        <v>38936234</v>
      </c>
      <c r="AA220" s="62">
        <v>33092191</v>
      </c>
      <c r="AB220" s="62">
        <v>6124740</v>
      </c>
      <c r="AC220" s="10">
        <v>40712824.369999997</v>
      </c>
      <c r="AD220" s="10">
        <v>34010095</v>
      </c>
      <c r="AE220" s="10">
        <v>6808232.8161875</v>
      </c>
      <c r="AF220" s="10">
        <v>42340329.710000001</v>
      </c>
      <c r="AG220" s="10">
        <v>35385415</v>
      </c>
      <c r="AH220" s="17">
        <f>7068575.6748125+25266</f>
        <v>7093841.6748125004</v>
      </c>
      <c r="AI220" s="10">
        <v>43286349.479999997</v>
      </c>
      <c r="AJ220" s="10">
        <v>36224040</v>
      </c>
      <c r="AK220" s="31">
        <v>7262285.6748125004</v>
      </c>
      <c r="AL220" s="10">
        <v>45462873.919999987</v>
      </c>
      <c r="AM220" s="10">
        <v>37541377</v>
      </c>
      <c r="AN220" s="31">
        <v>7921497</v>
      </c>
      <c r="AO220" s="10">
        <v>44605186.620000005</v>
      </c>
      <c r="AP220" s="10">
        <v>37087784</v>
      </c>
      <c r="AQ220" s="31">
        <v>8181977</v>
      </c>
    </row>
    <row r="221" spans="1:43">
      <c r="A221" s="102">
        <v>212</v>
      </c>
      <c r="B221" s="7" t="s">
        <v>1917</v>
      </c>
      <c r="C221" s="103">
        <v>39.36</v>
      </c>
      <c r="D221" s="62">
        <v>33128817</v>
      </c>
      <c r="E221" s="37">
        <v>14691852</v>
      </c>
      <c r="F221" s="62">
        <v>18436965</v>
      </c>
      <c r="G221" s="62">
        <v>34913727.249999993</v>
      </c>
      <c r="H221" s="62">
        <v>15594284</v>
      </c>
      <c r="I221" s="62">
        <v>19319443</v>
      </c>
      <c r="J221" s="62">
        <v>37024105.29144422</v>
      </c>
      <c r="K221" s="62">
        <v>16763755</v>
      </c>
      <c r="L221" s="62">
        <v>20260350</v>
      </c>
      <c r="M221" s="62">
        <v>38863802.869999997</v>
      </c>
      <c r="N221" s="62">
        <v>17813103</v>
      </c>
      <c r="O221" s="62">
        <v>18836919</v>
      </c>
      <c r="P221" s="62">
        <v>2213781</v>
      </c>
      <c r="Q221" s="62">
        <v>39803852.803245947</v>
      </c>
      <c r="R221" s="62">
        <v>20703716</v>
      </c>
      <c r="S221" s="62">
        <v>20629686</v>
      </c>
      <c r="T221" s="62">
        <v>0</v>
      </c>
      <c r="U221" s="62">
        <v>39026226.24995999</v>
      </c>
      <c r="V221" s="62">
        <v>21382362</v>
      </c>
      <c r="W221" s="62">
        <v>19424502</v>
      </c>
      <c r="X221" s="62">
        <v>104279</v>
      </c>
      <c r="Y221" s="62">
        <v>1217430</v>
      </c>
      <c r="Z221" s="62">
        <v>39843826.230000004</v>
      </c>
      <c r="AA221" s="62">
        <v>21810997</v>
      </c>
      <c r="AB221" s="62">
        <v>19528781</v>
      </c>
      <c r="AC221" s="10">
        <v>41161023.43</v>
      </c>
      <c r="AD221" s="10">
        <v>22566227</v>
      </c>
      <c r="AE221" s="10">
        <v>19712661</v>
      </c>
      <c r="AF221" s="10">
        <v>41797469</v>
      </c>
      <c r="AG221" s="10">
        <v>23207648</v>
      </c>
      <c r="AH221" s="10">
        <v>19827086</v>
      </c>
      <c r="AI221" s="10">
        <v>42114635.469999991</v>
      </c>
      <c r="AJ221" s="10">
        <v>24223806</v>
      </c>
      <c r="AK221" s="31">
        <v>19941736</v>
      </c>
      <c r="AL221" s="10">
        <v>42858323.110000007</v>
      </c>
      <c r="AM221" s="10">
        <v>25023400</v>
      </c>
      <c r="AN221" s="31">
        <v>20055686</v>
      </c>
      <c r="AO221" s="10">
        <v>41721975.079999998</v>
      </c>
      <c r="AP221" s="10">
        <v>25316072</v>
      </c>
      <c r="AQ221" s="31">
        <v>20297411</v>
      </c>
    </row>
    <row r="222" spans="1:43">
      <c r="A222" s="102">
        <v>213</v>
      </c>
      <c r="B222" s="7" t="s">
        <v>1918</v>
      </c>
      <c r="C222" s="103">
        <v>17.5</v>
      </c>
      <c r="D222" s="62">
        <v>12830969</v>
      </c>
      <c r="E222" s="37">
        <v>10921083</v>
      </c>
      <c r="F222" s="62">
        <v>2584464.4</v>
      </c>
      <c r="G222" s="62">
        <v>13031020.219999999</v>
      </c>
      <c r="H222" s="62">
        <v>10898179</v>
      </c>
      <c r="I222" s="62">
        <v>2763949.4</v>
      </c>
      <c r="J222" s="62">
        <v>13379613.142081046</v>
      </c>
      <c r="K222" s="62">
        <v>10658966</v>
      </c>
      <c r="L222" s="62">
        <v>3082735.4</v>
      </c>
      <c r="M222" s="62">
        <v>13939628.030000001</v>
      </c>
      <c r="N222" s="62">
        <v>10678879</v>
      </c>
      <c r="O222" s="62">
        <v>2995439.4</v>
      </c>
      <c r="P222" s="62">
        <v>352035</v>
      </c>
      <c r="Q222" s="62">
        <v>14512145.583586603</v>
      </c>
      <c r="R222" s="62">
        <v>11014309</v>
      </c>
      <c r="S222" s="62">
        <v>3280525</v>
      </c>
      <c r="T222" s="62">
        <v>217312</v>
      </c>
      <c r="U222" s="62">
        <v>14386023.880859999</v>
      </c>
      <c r="V222" s="62">
        <v>11224364</v>
      </c>
      <c r="W222" s="62">
        <v>3293494</v>
      </c>
      <c r="X222" s="62">
        <v>17681</v>
      </c>
      <c r="Y222" s="62">
        <v>232062</v>
      </c>
      <c r="Z222" s="62">
        <v>14878106.429999998</v>
      </c>
      <c r="AA222" s="62">
        <v>11738874</v>
      </c>
      <c r="AB222" s="62">
        <v>3311175</v>
      </c>
      <c r="AC222" s="10">
        <v>15714470.859999999</v>
      </c>
      <c r="AD222" s="10">
        <v>12259650</v>
      </c>
      <c r="AE222" s="10">
        <v>3621985.0384160001</v>
      </c>
      <c r="AF222" s="10">
        <v>15886379.650000002</v>
      </c>
      <c r="AG222" s="10">
        <v>12722162</v>
      </c>
      <c r="AH222" s="10">
        <v>3668085.0384160001</v>
      </c>
      <c r="AI222" s="10">
        <v>15486011.710000001</v>
      </c>
      <c r="AJ222" s="10">
        <v>13010542</v>
      </c>
      <c r="AK222" s="31">
        <v>3712560.0384160001</v>
      </c>
      <c r="AL222" s="10">
        <v>15526446.370000001</v>
      </c>
      <c r="AM222" s="10">
        <v>13153691</v>
      </c>
      <c r="AN222" s="31">
        <v>3756435.0384160001</v>
      </c>
      <c r="AO222" s="10">
        <v>15196910.26</v>
      </c>
      <c r="AP222" s="10">
        <v>12701763</v>
      </c>
      <c r="AQ222" s="31">
        <v>3849770.0384160001</v>
      </c>
    </row>
    <row r="223" spans="1:43">
      <c r="A223" s="102">
        <v>214</v>
      </c>
      <c r="B223" s="7" t="s">
        <v>1919</v>
      </c>
      <c r="C223" s="103">
        <v>50.44</v>
      </c>
      <c r="D223" s="62">
        <v>19224254</v>
      </c>
      <c r="E223" s="37">
        <v>6253429</v>
      </c>
      <c r="F223" s="62">
        <v>12970825</v>
      </c>
      <c r="G223" s="62">
        <v>19859815.41</v>
      </c>
      <c r="H223" s="62">
        <v>6987828</v>
      </c>
      <c r="I223" s="62">
        <v>13322608</v>
      </c>
      <c r="J223" s="62">
        <v>21326300.527729061</v>
      </c>
      <c r="K223" s="62">
        <v>7490514</v>
      </c>
      <c r="L223" s="62">
        <v>14114803</v>
      </c>
      <c r="M223" s="62">
        <v>21595688.16</v>
      </c>
      <c r="N223" s="62">
        <v>7937843</v>
      </c>
      <c r="O223" s="62">
        <v>12757564</v>
      </c>
      <c r="P223" s="62">
        <v>1499314</v>
      </c>
      <c r="Q223" s="62">
        <v>22343513.91142584</v>
      </c>
      <c r="R223" s="62">
        <v>8072415</v>
      </c>
      <c r="S223" s="62">
        <v>13971740</v>
      </c>
      <c r="T223" s="62">
        <v>299359</v>
      </c>
      <c r="U223" s="62">
        <v>22038684.843239997</v>
      </c>
      <c r="V223" s="62">
        <v>8329249</v>
      </c>
      <c r="W223" s="62">
        <v>13446387</v>
      </c>
      <c r="X223" s="62">
        <v>72186</v>
      </c>
      <c r="Y223" s="62">
        <v>815376</v>
      </c>
      <c r="Z223" s="62">
        <v>22423099.34</v>
      </c>
      <c r="AA223" s="62">
        <v>8388993</v>
      </c>
      <c r="AB223" s="62">
        <v>14034106</v>
      </c>
      <c r="AC223" s="10">
        <v>23980196.999999996</v>
      </c>
      <c r="AD223" s="10">
        <v>8893916</v>
      </c>
      <c r="AE223" s="10">
        <v>15086281</v>
      </c>
      <c r="AF223" s="10">
        <v>24363998.650000002</v>
      </c>
      <c r="AG223" s="10">
        <v>9349395</v>
      </c>
      <c r="AH223" s="10">
        <v>15150056</v>
      </c>
      <c r="AI223" s="10">
        <v>24874347.920000002</v>
      </c>
      <c r="AJ223" s="10">
        <v>9900452</v>
      </c>
      <c r="AK223" s="31">
        <v>15214206</v>
      </c>
      <c r="AL223" s="10">
        <v>24091597.779999997</v>
      </c>
      <c r="AM223" s="10">
        <v>10435707</v>
      </c>
      <c r="AN223" s="31">
        <v>15275081</v>
      </c>
      <c r="AO223" s="10">
        <v>23427188.930000003</v>
      </c>
      <c r="AP223" s="10">
        <v>10848805</v>
      </c>
      <c r="AQ223" s="31">
        <v>15403891</v>
      </c>
    </row>
    <row r="224" spans="1:43">
      <c r="A224" s="102">
        <v>215</v>
      </c>
      <c r="B224" s="7" t="s">
        <v>1920</v>
      </c>
      <c r="C224" s="103">
        <v>53.39</v>
      </c>
      <c r="D224" s="62">
        <v>6615681</v>
      </c>
      <c r="E224" s="37">
        <v>2219735</v>
      </c>
      <c r="F224" s="62">
        <v>4285292.8970251717</v>
      </c>
      <c r="G224" s="62">
        <v>6571910.5099999998</v>
      </c>
      <c r="H224" s="62">
        <v>2316586</v>
      </c>
      <c r="I224" s="62">
        <v>4326992.8970251717</v>
      </c>
      <c r="J224" s="62">
        <v>6609236.9636889221</v>
      </c>
      <c r="K224" s="62">
        <v>2348384</v>
      </c>
      <c r="L224" s="62">
        <v>4367042.8970251717</v>
      </c>
      <c r="M224" s="62">
        <v>6747317.700000002</v>
      </c>
      <c r="N224" s="62">
        <v>2443115</v>
      </c>
      <c r="O224" s="62">
        <v>3983453.8970251717</v>
      </c>
      <c r="P224" s="62">
        <v>468150</v>
      </c>
      <c r="Q224" s="62">
        <v>6520066.3495043078</v>
      </c>
      <c r="R224" s="62">
        <v>2624892</v>
      </c>
      <c r="S224" s="62">
        <v>4362572</v>
      </c>
      <c r="T224" s="62">
        <v>0</v>
      </c>
      <c r="U224" s="62">
        <v>6139849.1636400009</v>
      </c>
      <c r="V224" s="62">
        <v>2611475</v>
      </c>
      <c r="W224" s="62">
        <v>4107711</v>
      </c>
      <c r="X224" s="62">
        <v>22052</v>
      </c>
      <c r="Y224" s="62">
        <v>250034</v>
      </c>
      <c r="Z224" s="62">
        <v>6001484.8899999997</v>
      </c>
      <c r="AA224" s="62">
        <v>2543410</v>
      </c>
      <c r="AB224" s="62">
        <v>4129763</v>
      </c>
      <c r="AC224" s="10">
        <v>6089693.8600000003</v>
      </c>
      <c r="AD224" s="10">
        <v>2658631</v>
      </c>
      <c r="AE224" s="10">
        <v>4155363</v>
      </c>
      <c r="AF224" s="10">
        <v>6187292.3999999994</v>
      </c>
      <c r="AG224" s="10">
        <v>2707976</v>
      </c>
      <c r="AH224" s="10">
        <v>4171238</v>
      </c>
      <c r="AI224" s="10">
        <v>6138607.5700000012</v>
      </c>
      <c r="AJ224" s="10">
        <v>2853212</v>
      </c>
      <c r="AK224" s="31">
        <v>4187213</v>
      </c>
      <c r="AL224" s="10">
        <v>6330664.1299999999</v>
      </c>
      <c r="AM224" s="10">
        <v>2902390</v>
      </c>
      <c r="AN224" s="31">
        <v>4203088</v>
      </c>
      <c r="AO224" s="10">
        <v>6192391.8499999996</v>
      </c>
      <c r="AP224" s="10">
        <v>2909397</v>
      </c>
      <c r="AQ224" s="31">
        <v>4236418</v>
      </c>
    </row>
    <row r="225" spans="1:43">
      <c r="A225" s="102">
        <v>216</v>
      </c>
      <c r="B225" s="7" t="s">
        <v>1921</v>
      </c>
      <c r="C225" s="103">
        <v>31.04</v>
      </c>
      <c r="D225" s="62">
        <v>0</v>
      </c>
      <c r="E225" s="37">
        <v>0</v>
      </c>
      <c r="F225" s="62">
        <v>0</v>
      </c>
      <c r="G225" s="62">
        <v>0</v>
      </c>
      <c r="H225" s="62">
        <v>0</v>
      </c>
      <c r="I225" s="62">
        <v>0</v>
      </c>
      <c r="J225" s="62">
        <v>0</v>
      </c>
      <c r="K225" s="62">
        <v>0</v>
      </c>
      <c r="L225" s="62">
        <v>0</v>
      </c>
      <c r="M225" s="62">
        <v>0</v>
      </c>
      <c r="N225" s="62">
        <v>0</v>
      </c>
      <c r="O225" s="62">
        <v>0</v>
      </c>
      <c r="P225" s="62">
        <v>0</v>
      </c>
      <c r="Q225" s="62">
        <v>0</v>
      </c>
      <c r="R225" s="62">
        <v>0</v>
      </c>
      <c r="S225" s="62">
        <v>0</v>
      </c>
      <c r="T225" s="62">
        <v>0</v>
      </c>
      <c r="U225" s="62">
        <v>0</v>
      </c>
      <c r="V225" s="62">
        <v>0</v>
      </c>
      <c r="W225" s="62">
        <v>0</v>
      </c>
      <c r="X225" s="62">
        <v>0</v>
      </c>
      <c r="Y225" s="62">
        <v>0</v>
      </c>
      <c r="Z225" s="62">
        <v>0</v>
      </c>
      <c r="AA225" s="62">
        <v>0</v>
      </c>
      <c r="AB225" s="62">
        <v>0</v>
      </c>
      <c r="AC225" s="10">
        <v>0</v>
      </c>
      <c r="AD225" s="10">
        <v>0</v>
      </c>
      <c r="AE225" s="10">
        <v>0</v>
      </c>
      <c r="AF225" s="10">
        <v>0</v>
      </c>
      <c r="AG225" s="10">
        <v>0</v>
      </c>
      <c r="AH225" s="10">
        <v>0</v>
      </c>
      <c r="AI225" s="10">
        <v>0</v>
      </c>
      <c r="AJ225" s="10">
        <v>0</v>
      </c>
      <c r="AK225" s="31">
        <v>0</v>
      </c>
      <c r="AL225" s="10">
        <v>26399.920000000002</v>
      </c>
      <c r="AM225" s="10">
        <v>17135</v>
      </c>
      <c r="AN225" s="31">
        <v>9265</v>
      </c>
      <c r="AO225" s="10">
        <v>13170.920000000002</v>
      </c>
      <c r="AP225" s="10">
        <v>9108</v>
      </c>
      <c r="AQ225" s="31">
        <v>9265</v>
      </c>
    </row>
    <row r="226" spans="1:43">
      <c r="A226" s="102">
        <v>217</v>
      </c>
      <c r="B226" s="7" t="s">
        <v>1922</v>
      </c>
      <c r="C226" s="103">
        <v>17.5</v>
      </c>
      <c r="D226" s="62">
        <v>18601689</v>
      </c>
      <c r="E226" s="37">
        <v>14816885</v>
      </c>
      <c r="F226" s="62">
        <v>3784804</v>
      </c>
      <c r="G226" s="62">
        <v>20183617.97724</v>
      </c>
      <c r="H226" s="62">
        <v>15266492</v>
      </c>
      <c r="I226" s="62">
        <v>4917126</v>
      </c>
      <c r="J226" s="62">
        <v>21182764.789605197</v>
      </c>
      <c r="K226" s="62">
        <v>15869112</v>
      </c>
      <c r="L226" s="62">
        <v>5313653</v>
      </c>
      <c r="M226" s="62">
        <v>22674352.994799998</v>
      </c>
      <c r="N226" s="62">
        <v>16503487</v>
      </c>
      <c r="O226" s="62">
        <v>5521911</v>
      </c>
      <c r="P226" s="62">
        <v>648955</v>
      </c>
      <c r="Q226" s="62">
        <v>23612463.797106899</v>
      </c>
      <c r="R226" s="62">
        <v>16789073</v>
      </c>
      <c r="S226" s="62">
        <v>6047449</v>
      </c>
      <c r="T226" s="62">
        <v>775942</v>
      </c>
      <c r="U226" s="62">
        <v>22639942.1421276</v>
      </c>
      <c r="V226" s="62">
        <v>17274696</v>
      </c>
      <c r="W226" s="62">
        <v>6424769</v>
      </c>
      <c r="X226" s="62">
        <v>34491</v>
      </c>
      <c r="Y226" s="62">
        <v>430556</v>
      </c>
      <c r="Z226" s="62">
        <v>22670246.940660004</v>
      </c>
      <c r="AA226" s="62">
        <v>17894010</v>
      </c>
      <c r="AB226" s="62">
        <v>6459260</v>
      </c>
      <c r="AC226" s="10">
        <v>23098274.900569998</v>
      </c>
      <c r="AD226" s="10">
        <v>18576477</v>
      </c>
      <c r="AE226" s="10">
        <v>6562100</v>
      </c>
      <c r="AF226" s="10">
        <v>23398817.806239996</v>
      </c>
      <c r="AG226" s="10">
        <v>19321117</v>
      </c>
      <c r="AH226" s="17">
        <f>6625625+50532</f>
        <v>6676157</v>
      </c>
      <c r="AI226" s="10">
        <v>23706840.709970001</v>
      </c>
      <c r="AJ226" s="10">
        <v>19832830</v>
      </c>
      <c r="AK226" s="31">
        <v>6739782</v>
      </c>
      <c r="AL226" s="10">
        <v>23928340.855640002</v>
      </c>
      <c r="AM226" s="10">
        <v>20127141</v>
      </c>
      <c r="AN226" s="31">
        <v>6802307</v>
      </c>
      <c r="AO226" s="10">
        <v>23635143.14844</v>
      </c>
      <c r="AP226" s="10">
        <v>19692373</v>
      </c>
      <c r="AQ226" s="31">
        <v>6937937</v>
      </c>
    </row>
    <row r="227" spans="1:43">
      <c r="A227" s="102">
        <v>218</v>
      </c>
      <c r="B227" s="7" t="s">
        <v>1923</v>
      </c>
      <c r="C227" s="103">
        <v>36.200000000000003</v>
      </c>
      <c r="D227" s="62">
        <v>22990850</v>
      </c>
      <c r="E227" s="37">
        <v>11013370</v>
      </c>
      <c r="F227" s="62">
        <v>11977480</v>
      </c>
      <c r="G227" s="62">
        <v>23419989.289999999</v>
      </c>
      <c r="H227" s="62">
        <v>11653397</v>
      </c>
      <c r="I227" s="62">
        <v>12175056</v>
      </c>
      <c r="J227" s="62">
        <v>24274093.506333459</v>
      </c>
      <c r="K227" s="62">
        <v>12205403</v>
      </c>
      <c r="L227" s="62">
        <v>12560940</v>
      </c>
      <c r="M227" s="62">
        <v>25467467.109999999</v>
      </c>
      <c r="N227" s="62">
        <v>12826588</v>
      </c>
      <c r="O227" s="62">
        <v>11717531</v>
      </c>
      <c r="P227" s="62">
        <v>1377086</v>
      </c>
      <c r="Q227" s="62">
        <v>25652702.988677517</v>
      </c>
      <c r="R227" s="62">
        <v>13933589</v>
      </c>
      <c r="S227" s="62">
        <v>12832725</v>
      </c>
      <c r="T227" s="62">
        <v>0</v>
      </c>
      <c r="U227" s="62">
        <v>24934930.297499999</v>
      </c>
      <c r="V227" s="62">
        <v>14175872</v>
      </c>
      <c r="W227" s="62">
        <v>12083038</v>
      </c>
      <c r="X227" s="62">
        <v>64867</v>
      </c>
      <c r="Y227" s="62">
        <v>758645</v>
      </c>
      <c r="Z227" s="62">
        <v>25121296.479999997</v>
      </c>
      <c r="AA227" s="62">
        <v>14682739</v>
      </c>
      <c r="AB227" s="62">
        <v>12147905</v>
      </c>
      <c r="AC227" s="10">
        <v>25245341.509999998</v>
      </c>
      <c r="AD227" s="10">
        <v>15231907</v>
      </c>
      <c r="AE227" s="10">
        <v>12260025</v>
      </c>
      <c r="AF227" s="10">
        <v>25252431.439999998</v>
      </c>
      <c r="AG227" s="10">
        <v>15724845</v>
      </c>
      <c r="AH227" s="10">
        <v>12328675</v>
      </c>
      <c r="AI227" s="10">
        <v>24839826.120000001</v>
      </c>
      <c r="AJ227" s="10">
        <v>15755447</v>
      </c>
      <c r="AK227" s="31">
        <v>12395800</v>
      </c>
      <c r="AL227" s="10">
        <v>24716889.330000006</v>
      </c>
      <c r="AM227" s="10">
        <v>15884891</v>
      </c>
      <c r="AN227" s="31">
        <v>12461075</v>
      </c>
      <c r="AO227" s="10">
        <v>24673640</v>
      </c>
      <c r="AP227" s="10">
        <v>15870288</v>
      </c>
      <c r="AQ227" s="31">
        <v>12603140</v>
      </c>
    </row>
    <row r="228" spans="1:43">
      <c r="A228" s="102">
        <v>219</v>
      </c>
      <c r="B228" s="7" t="s">
        <v>1924</v>
      </c>
      <c r="C228" s="103">
        <v>17.5</v>
      </c>
      <c r="D228" s="62">
        <v>14440386</v>
      </c>
      <c r="E228" s="37">
        <v>14597702</v>
      </c>
      <c r="F228" s="62">
        <v>1917411.6</v>
      </c>
      <c r="G228" s="62">
        <v>16098434.99767</v>
      </c>
      <c r="H228" s="62">
        <v>14916801</v>
      </c>
      <c r="I228" s="62">
        <v>2207570.6</v>
      </c>
      <c r="J228" s="62">
        <v>17382511.444969099</v>
      </c>
      <c r="K228" s="62">
        <v>15372590</v>
      </c>
      <c r="L228" s="62">
        <v>2457881.6000000001</v>
      </c>
      <c r="M228" s="62">
        <v>18475933.129799999</v>
      </c>
      <c r="N228" s="62">
        <v>15697102</v>
      </c>
      <c r="O228" s="62">
        <v>2486597</v>
      </c>
      <c r="P228" s="62">
        <v>292234</v>
      </c>
      <c r="Q228" s="62">
        <v>19354658.580467265</v>
      </c>
      <c r="R228" s="62">
        <v>16176665</v>
      </c>
      <c r="S228" s="62">
        <v>2723254</v>
      </c>
      <c r="T228" s="62">
        <v>454740</v>
      </c>
      <c r="U228" s="62">
        <v>19154668.326163501</v>
      </c>
      <c r="V228" s="62">
        <v>16412838</v>
      </c>
      <c r="W228" s="62">
        <v>2992336</v>
      </c>
      <c r="X228" s="62">
        <v>16064</v>
      </c>
      <c r="Y228" s="62">
        <v>226269</v>
      </c>
      <c r="Z228" s="62">
        <v>19420562.385559998</v>
      </c>
      <c r="AA228" s="62">
        <v>16745375</v>
      </c>
      <c r="AB228" s="62">
        <v>3008400</v>
      </c>
      <c r="AC228" s="10">
        <v>20138619.813699998</v>
      </c>
      <c r="AD228" s="10">
        <v>17114763</v>
      </c>
      <c r="AE228" s="10">
        <v>3148957.366849375</v>
      </c>
      <c r="AF228" s="10">
        <v>20549300.995200001</v>
      </c>
      <c r="AG228" s="10">
        <v>17494372</v>
      </c>
      <c r="AH228" s="10">
        <v>3260749.9436770314</v>
      </c>
      <c r="AI228" s="10">
        <v>20295768.49016</v>
      </c>
      <c r="AJ228" s="10">
        <v>17370172</v>
      </c>
      <c r="AK228" s="31">
        <v>3362602.9436770314</v>
      </c>
      <c r="AL228" s="10">
        <v>20603272.396599997</v>
      </c>
      <c r="AM228" s="10">
        <v>17503826</v>
      </c>
      <c r="AN228" s="31">
        <v>3417652.9436770314</v>
      </c>
      <c r="AO228" s="10">
        <v>20258808.089429993</v>
      </c>
      <c r="AP228" s="10">
        <v>16921990</v>
      </c>
      <c r="AQ228" s="31">
        <v>3535957.9436770314</v>
      </c>
    </row>
    <row r="229" spans="1:43">
      <c r="A229" s="102">
        <v>220</v>
      </c>
      <c r="B229" s="7" t="s">
        <v>1925</v>
      </c>
      <c r="C229" s="103">
        <v>17.5</v>
      </c>
      <c r="D229" s="62">
        <v>28041822</v>
      </c>
      <c r="E229" s="37">
        <v>27289969</v>
      </c>
      <c r="F229" s="62">
        <v>3544044</v>
      </c>
      <c r="G229" s="62">
        <v>29886710.074549999</v>
      </c>
      <c r="H229" s="62">
        <v>27700512</v>
      </c>
      <c r="I229" s="62">
        <v>3933871</v>
      </c>
      <c r="J229" s="62">
        <v>30207570.065640491</v>
      </c>
      <c r="K229" s="62">
        <v>28071619</v>
      </c>
      <c r="L229" s="62">
        <v>4534446</v>
      </c>
      <c r="M229" s="62">
        <v>31869888.767040003</v>
      </c>
      <c r="N229" s="62">
        <v>28472241</v>
      </c>
      <c r="O229" s="62">
        <v>4638435</v>
      </c>
      <c r="P229" s="62">
        <v>545125</v>
      </c>
      <c r="Q229" s="62">
        <v>32601763.614237398</v>
      </c>
      <c r="R229" s="62">
        <v>28057436</v>
      </c>
      <c r="S229" s="62">
        <v>5079889</v>
      </c>
      <c r="T229" s="62">
        <v>0</v>
      </c>
      <c r="U229" s="62">
        <v>31939204.05633672</v>
      </c>
      <c r="V229" s="62">
        <v>28648256</v>
      </c>
      <c r="W229" s="62">
        <v>4783122</v>
      </c>
      <c r="X229" s="62">
        <v>25678</v>
      </c>
      <c r="Y229" s="62">
        <v>357914</v>
      </c>
      <c r="Z229" s="62">
        <v>32665738.414279997</v>
      </c>
      <c r="AA229" s="62">
        <v>29934115</v>
      </c>
      <c r="AB229" s="62">
        <v>4808800</v>
      </c>
      <c r="AC229" s="10">
        <v>34403459.751600005</v>
      </c>
      <c r="AD229" s="10">
        <v>30967635</v>
      </c>
      <c r="AE229" s="10">
        <v>5111751.3641325003</v>
      </c>
      <c r="AF229" s="10">
        <v>35162876.923280001</v>
      </c>
      <c r="AG229" s="10">
        <v>32031042</v>
      </c>
      <c r="AH229" s="10">
        <v>5372189.3884928748</v>
      </c>
      <c r="AI229" s="10">
        <v>35458013.178439997</v>
      </c>
      <c r="AJ229" s="10">
        <v>31475235</v>
      </c>
      <c r="AK229" s="31">
        <v>5663726.3884928748</v>
      </c>
      <c r="AL229" s="10">
        <v>36030240.360470004</v>
      </c>
      <c r="AM229" s="10">
        <v>31220839</v>
      </c>
      <c r="AN229" s="31">
        <v>5751026.3884928748</v>
      </c>
      <c r="AO229" s="10">
        <v>36087087.065760002</v>
      </c>
      <c r="AP229" s="10">
        <v>30230754</v>
      </c>
      <c r="AQ229" s="31">
        <v>5941876.3884928748</v>
      </c>
    </row>
    <row r="230" spans="1:43">
      <c r="A230" s="102">
        <v>221</v>
      </c>
      <c r="B230" s="7" t="s">
        <v>1926</v>
      </c>
      <c r="C230" s="103">
        <v>17.5</v>
      </c>
      <c r="D230" s="62">
        <v>3344833</v>
      </c>
      <c r="E230" s="37">
        <v>2798198</v>
      </c>
      <c r="F230" s="62">
        <v>546635</v>
      </c>
      <c r="G230" s="62">
        <v>3068927.37</v>
      </c>
      <c r="H230" s="62">
        <v>2724857</v>
      </c>
      <c r="I230" s="62">
        <v>567385</v>
      </c>
      <c r="J230" s="62">
        <v>3482507.5606329595</v>
      </c>
      <c r="K230" s="62">
        <v>2861389</v>
      </c>
      <c r="L230" s="62">
        <v>639762</v>
      </c>
      <c r="M230" s="62">
        <v>3500874.88</v>
      </c>
      <c r="N230" s="62">
        <v>2916146</v>
      </c>
      <c r="O230" s="62">
        <v>591900</v>
      </c>
      <c r="P230" s="62">
        <v>69562</v>
      </c>
      <c r="Q230" s="62">
        <v>3641145.0682794261</v>
      </c>
      <c r="R230" s="62">
        <v>3042048</v>
      </c>
      <c r="S230" s="62">
        <v>648233</v>
      </c>
      <c r="T230" s="62">
        <v>0</v>
      </c>
      <c r="U230" s="62">
        <v>3315880.6575599997</v>
      </c>
      <c r="V230" s="62">
        <v>2896108</v>
      </c>
      <c r="W230" s="62">
        <v>610364</v>
      </c>
      <c r="X230" s="62">
        <v>3277</v>
      </c>
      <c r="Y230" s="62">
        <v>44592</v>
      </c>
      <c r="Z230" s="62">
        <v>3397147.27</v>
      </c>
      <c r="AA230" s="62">
        <v>2962918</v>
      </c>
      <c r="AB230" s="62">
        <v>613641</v>
      </c>
      <c r="AC230" s="10">
        <v>3454522.33</v>
      </c>
      <c r="AD230" s="10">
        <v>3045879</v>
      </c>
      <c r="AE230" s="10">
        <v>629001</v>
      </c>
      <c r="AF230" s="10">
        <v>3719346.8900000006</v>
      </c>
      <c r="AG230" s="10">
        <v>3186194</v>
      </c>
      <c r="AH230" s="10">
        <v>639201</v>
      </c>
      <c r="AI230" s="10">
        <v>3839529.9800000004</v>
      </c>
      <c r="AJ230" s="10">
        <v>3213640</v>
      </c>
      <c r="AK230" s="31">
        <v>650652</v>
      </c>
      <c r="AL230" s="10">
        <v>4306524.25</v>
      </c>
      <c r="AM230" s="10">
        <v>3420717</v>
      </c>
      <c r="AN230" s="31">
        <v>885807</v>
      </c>
      <c r="AO230" s="10">
        <v>4345993.05</v>
      </c>
      <c r="AP230" s="10">
        <v>3494124</v>
      </c>
      <c r="AQ230" s="31">
        <v>910282</v>
      </c>
    </row>
    <row r="231" spans="1:43">
      <c r="A231" s="102">
        <v>222</v>
      </c>
      <c r="B231" s="7" t="s">
        <v>1927</v>
      </c>
      <c r="C231" s="103">
        <v>41.39</v>
      </c>
      <c r="D231" s="62">
        <v>88168</v>
      </c>
      <c r="E231" s="37">
        <v>23979</v>
      </c>
      <c r="F231" s="62">
        <v>64189</v>
      </c>
      <c r="G231" s="62">
        <v>97646.94</v>
      </c>
      <c r="H231" s="62">
        <v>23754</v>
      </c>
      <c r="I231" s="62">
        <v>73893</v>
      </c>
      <c r="J231" s="62">
        <v>102197.43</v>
      </c>
      <c r="K231" s="62">
        <v>24731</v>
      </c>
      <c r="L231" s="62">
        <v>77466</v>
      </c>
      <c r="M231" s="62">
        <v>107491.41</v>
      </c>
      <c r="N231" s="62">
        <v>27810</v>
      </c>
      <c r="O231" s="62">
        <v>80415</v>
      </c>
      <c r="P231" s="62">
        <v>0</v>
      </c>
      <c r="Q231" s="62">
        <v>183603.36713492827</v>
      </c>
      <c r="R231" s="62">
        <v>66144</v>
      </c>
      <c r="S231" s="62">
        <v>78807</v>
      </c>
      <c r="T231" s="62">
        <v>38652</v>
      </c>
      <c r="U231" s="62">
        <v>0</v>
      </c>
      <c r="V231" s="62">
        <v>0</v>
      </c>
      <c r="W231" s="62">
        <v>0</v>
      </c>
      <c r="X231" s="62">
        <v>0</v>
      </c>
      <c r="Y231" s="62">
        <v>0</v>
      </c>
      <c r="Z231" s="62">
        <v>0</v>
      </c>
      <c r="AA231" s="62">
        <v>0</v>
      </c>
      <c r="AB231" s="62">
        <v>0</v>
      </c>
      <c r="AC231" s="10">
        <v>0</v>
      </c>
      <c r="AD231" s="10">
        <v>0</v>
      </c>
      <c r="AE231" s="10">
        <v>0</v>
      </c>
      <c r="AF231" s="10">
        <v>0</v>
      </c>
      <c r="AG231" s="10">
        <v>0</v>
      </c>
      <c r="AH231" s="10">
        <v>0</v>
      </c>
      <c r="AI231" s="10">
        <v>0</v>
      </c>
      <c r="AJ231" s="10">
        <v>0</v>
      </c>
      <c r="AK231" s="31">
        <v>0</v>
      </c>
      <c r="AL231" s="10">
        <v>13199.960000000001</v>
      </c>
      <c r="AM231" s="10">
        <v>7320</v>
      </c>
      <c r="AN231" s="31">
        <v>5880</v>
      </c>
      <c r="AO231" s="10">
        <v>13170.920000000002</v>
      </c>
      <c r="AP231" s="10">
        <v>7638</v>
      </c>
      <c r="AQ231" s="31">
        <v>5880</v>
      </c>
    </row>
    <row r="232" spans="1:43">
      <c r="A232" s="102">
        <v>223</v>
      </c>
      <c r="B232" s="7" t="s">
        <v>1928</v>
      </c>
      <c r="C232" s="103">
        <v>71.37</v>
      </c>
      <c r="D232" s="62">
        <v>5726579</v>
      </c>
      <c r="E232" s="37">
        <v>1106334</v>
      </c>
      <c r="F232" s="62">
        <v>4911542</v>
      </c>
      <c r="G232" s="62">
        <v>5794416.4100000001</v>
      </c>
      <c r="H232" s="62">
        <v>1365123</v>
      </c>
      <c r="I232" s="62">
        <v>4961898</v>
      </c>
      <c r="J232" s="62">
        <v>5977476.5872389013</v>
      </c>
      <c r="K232" s="62">
        <v>1437195</v>
      </c>
      <c r="L232" s="62">
        <v>5097546</v>
      </c>
      <c r="M232" s="62">
        <v>6544119.3700000001</v>
      </c>
      <c r="N232" s="62">
        <v>1531082</v>
      </c>
      <c r="O232" s="62">
        <v>4936583</v>
      </c>
      <c r="P232" s="62">
        <v>580165</v>
      </c>
      <c r="Q232" s="62">
        <v>6699540.3565933015</v>
      </c>
      <c r="R232" s="62">
        <v>1785567</v>
      </c>
      <c r="S232" s="62">
        <v>5406413</v>
      </c>
      <c r="T232" s="62">
        <v>0</v>
      </c>
      <c r="U232" s="62">
        <v>6697536.4997399999</v>
      </c>
      <c r="V232" s="62">
        <v>1819535</v>
      </c>
      <c r="W232" s="62">
        <v>5090570</v>
      </c>
      <c r="X232" s="62">
        <v>27329</v>
      </c>
      <c r="Y232" s="62">
        <v>306189</v>
      </c>
      <c r="Z232" s="62">
        <v>6427741.0799999991</v>
      </c>
      <c r="AA232" s="62">
        <v>1820190</v>
      </c>
      <c r="AB232" s="62">
        <v>5117899</v>
      </c>
      <c r="AC232" s="10">
        <v>6143522.4500000002</v>
      </c>
      <c r="AD232" s="10">
        <v>1791132</v>
      </c>
      <c r="AE232" s="10">
        <v>5142779</v>
      </c>
      <c r="AF232" s="10">
        <v>6178576.1000000006</v>
      </c>
      <c r="AG232" s="10">
        <v>1796299</v>
      </c>
      <c r="AH232" s="10">
        <v>5158204</v>
      </c>
      <c r="AI232" s="10">
        <v>6225638.2200000016</v>
      </c>
      <c r="AJ232" s="10">
        <v>1814005</v>
      </c>
      <c r="AK232" s="31">
        <v>5173729</v>
      </c>
      <c r="AL232" s="10">
        <v>6497667.1399999978</v>
      </c>
      <c r="AM232" s="10">
        <v>1883340</v>
      </c>
      <c r="AN232" s="31">
        <v>5189379</v>
      </c>
      <c r="AO232" s="10">
        <v>6410831.3199999994</v>
      </c>
      <c r="AP232" s="10">
        <v>1858029</v>
      </c>
      <c r="AQ232" s="31">
        <v>5222159</v>
      </c>
    </row>
    <row r="233" spans="1:43">
      <c r="A233" s="102">
        <v>224</v>
      </c>
      <c r="B233" s="7" t="s">
        <v>1929</v>
      </c>
      <c r="C233" s="103">
        <v>17.5</v>
      </c>
      <c r="D233" s="62">
        <v>1619773</v>
      </c>
      <c r="E233" s="37">
        <v>2314304</v>
      </c>
      <c r="F233" s="62">
        <v>225962.4</v>
      </c>
      <c r="G233" s="62">
        <v>1599992.33</v>
      </c>
      <c r="H233" s="62">
        <v>1928689</v>
      </c>
      <c r="I233" s="62">
        <v>236862.4</v>
      </c>
      <c r="J233" s="62">
        <v>1527004.24</v>
      </c>
      <c r="K233" s="62">
        <v>1747368</v>
      </c>
      <c r="L233" s="62">
        <v>246812.4</v>
      </c>
      <c r="M233" s="62">
        <v>1489750.36</v>
      </c>
      <c r="N233" s="62">
        <v>1601503</v>
      </c>
      <c r="O233" s="62">
        <v>229223.4</v>
      </c>
      <c r="P233" s="62">
        <v>26939</v>
      </c>
      <c r="Q233" s="62">
        <v>1586853.2817454548</v>
      </c>
      <c r="R233" s="62">
        <v>1643573</v>
      </c>
      <c r="S233" s="62">
        <v>251039</v>
      </c>
      <c r="T233" s="62">
        <v>0</v>
      </c>
      <c r="U233" s="62">
        <v>1471893.3349799998</v>
      </c>
      <c r="V233" s="62">
        <v>1497065</v>
      </c>
      <c r="W233" s="62">
        <v>236373</v>
      </c>
      <c r="X233" s="62">
        <v>1269</v>
      </c>
      <c r="Y233" s="62">
        <v>17747</v>
      </c>
      <c r="Z233" s="62">
        <v>1548813.24</v>
      </c>
      <c r="AA233" s="62">
        <v>1556406</v>
      </c>
      <c r="AB233" s="62">
        <v>237642</v>
      </c>
      <c r="AC233" s="10">
        <v>1684181.3199999998</v>
      </c>
      <c r="AD233" s="10">
        <v>1657933</v>
      </c>
      <c r="AE233" s="10">
        <v>245322</v>
      </c>
      <c r="AF233" s="10">
        <v>1746797.08</v>
      </c>
      <c r="AG233" s="10">
        <v>1713633</v>
      </c>
      <c r="AH233" s="10">
        <v>250272</v>
      </c>
      <c r="AI233" s="10">
        <v>1909216.98</v>
      </c>
      <c r="AJ233" s="10">
        <v>1715171</v>
      </c>
      <c r="AK233" s="31">
        <v>279616</v>
      </c>
      <c r="AL233" s="10">
        <v>2072439.67</v>
      </c>
      <c r="AM233" s="10">
        <v>1813057</v>
      </c>
      <c r="AN233" s="31">
        <v>285191</v>
      </c>
      <c r="AO233" s="10">
        <v>2091738.9399999997</v>
      </c>
      <c r="AP233" s="10">
        <v>1737899</v>
      </c>
      <c r="AQ233" s="31">
        <v>353840</v>
      </c>
    </row>
    <row r="234" spans="1:43">
      <c r="A234" s="102">
        <v>225</v>
      </c>
      <c r="B234" s="7" t="s">
        <v>1930</v>
      </c>
      <c r="C234" s="103">
        <v>17.5</v>
      </c>
      <c r="D234" s="62">
        <v>0</v>
      </c>
      <c r="E234" s="37">
        <v>4865</v>
      </c>
      <c r="F234" s="62">
        <v>0</v>
      </c>
      <c r="G234" s="62">
        <v>0</v>
      </c>
      <c r="H234" s="62">
        <v>1222</v>
      </c>
      <c r="I234" s="62">
        <v>0</v>
      </c>
      <c r="J234" s="62">
        <v>0</v>
      </c>
      <c r="K234" s="62">
        <v>0</v>
      </c>
      <c r="L234" s="62">
        <v>0</v>
      </c>
      <c r="M234" s="62">
        <v>0</v>
      </c>
      <c r="N234" s="62">
        <v>0</v>
      </c>
      <c r="O234" s="62">
        <v>0</v>
      </c>
      <c r="P234" s="62">
        <v>0</v>
      </c>
      <c r="Q234" s="62">
        <v>0</v>
      </c>
      <c r="R234" s="62">
        <v>0</v>
      </c>
      <c r="S234" s="62">
        <v>0</v>
      </c>
      <c r="T234" s="62">
        <v>0</v>
      </c>
      <c r="U234" s="62">
        <v>0</v>
      </c>
      <c r="V234" s="62">
        <v>0</v>
      </c>
      <c r="W234" s="62">
        <v>0</v>
      </c>
      <c r="X234" s="62">
        <v>0</v>
      </c>
      <c r="Y234" s="62">
        <v>0</v>
      </c>
      <c r="Z234" s="62">
        <v>0</v>
      </c>
      <c r="AA234" s="62">
        <v>0</v>
      </c>
      <c r="AB234" s="62">
        <v>0</v>
      </c>
      <c r="AC234" s="10">
        <v>0</v>
      </c>
      <c r="AD234" s="10">
        <v>0</v>
      </c>
      <c r="AE234" s="10">
        <v>0</v>
      </c>
      <c r="AF234" s="10">
        <v>0</v>
      </c>
      <c r="AG234" s="10">
        <v>0</v>
      </c>
      <c r="AH234" s="10">
        <v>0</v>
      </c>
      <c r="AI234" s="10">
        <v>0</v>
      </c>
      <c r="AJ234" s="10">
        <v>0</v>
      </c>
      <c r="AK234" s="31">
        <v>0</v>
      </c>
      <c r="AL234" s="10">
        <v>0</v>
      </c>
      <c r="AM234" s="10">
        <v>0</v>
      </c>
      <c r="AN234" s="31">
        <v>0</v>
      </c>
      <c r="AO234" s="10">
        <v>0</v>
      </c>
      <c r="AP234" s="10">
        <v>0</v>
      </c>
      <c r="AQ234" s="31">
        <v>0</v>
      </c>
    </row>
    <row r="235" spans="1:43">
      <c r="A235" s="102">
        <v>226</v>
      </c>
      <c r="B235" s="7" t="s">
        <v>1931</v>
      </c>
      <c r="C235" s="103">
        <v>52.33</v>
      </c>
      <c r="D235" s="62">
        <v>15678123</v>
      </c>
      <c r="E235" s="37">
        <v>7200883</v>
      </c>
      <c r="F235" s="62">
        <v>8477240</v>
      </c>
      <c r="G235" s="62">
        <v>16425478.989999998</v>
      </c>
      <c r="H235" s="62">
        <v>7646890</v>
      </c>
      <c r="I235" s="62">
        <v>8877524</v>
      </c>
      <c r="J235" s="62">
        <v>17109033.364616748</v>
      </c>
      <c r="K235" s="62">
        <v>8150080</v>
      </c>
      <c r="L235" s="62">
        <v>9240150</v>
      </c>
      <c r="M235" s="62">
        <v>17439260.300000004</v>
      </c>
      <c r="N235" s="62">
        <v>8260539</v>
      </c>
      <c r="O235" s="62">
        <v>8426242</v>
      </c>
      <c r="P235" s="62">
        <v>990282</v>
      </c>
      <c r="Q235" s="62">
        <v>17832934.835016266</v>
      </c>
      <c r="R235" s="62">
        <v>8214327</v>
      </c>
      <c r="S235" s="62">
        <v>9228194</v>
      </c>
      <c r="T235" s="62">
        <v>390414</v>
      </c>
      <c r="U235" s="62">
        <v>17925538.693260003</v>
      </c>
      <c r="V235" s="62">
        <v>8351513</v>
      </c>
      <c r="W235" s="62">
        <v>9390325</v>
      </c>
      <c r="X235" s="62">
        <v>50411</v>
      </c>
      <c r="Y235" s="62">
        <v>228497</v>
      </c>
      <c r="Z235" s="62">
        <v>18299262.16</v>
      </c>
      <c r="AA235" s="62">
        <v>8535109</v>
      </c>
      <c r="AB235" s="62">
        <v>9764153</v>
      </c>
      <c r="AC235" s="10">
        <v>19039445.560000002</v>
      </c>
      <c r="AD235" s="10">
        <v>8878897</v>
      </c>
      <c r="AE235" s="10">
        <v>10160549</v>
      </c>
      <c r="AF235" s="10">
        <v>18857808.949999999</v>
      </c>
      <c r="AG235" s="10">
        <v>9147593</v>
      </c>
      <c r="AH235" s="10">
        <v>10209599</v>
      </c>
      <c r="AI235" s="10">
        <v>18717632.59</v>
      </c>
      <c r="AJ235" s="10">
        <v>9144757</v>
      </c>
      <c r="AK235" s="31">
        <v>10258149</v>
      </c>
      <c r="AL235" s="10">
        <v>19226330.559999999</v>
      </c>
      <c r="AM235" s="10">
        <v>9307209</v>
      </c>
      <c r="AN235" s="31">
        <v>10306499</v>
      </c>
      <c r="AO235" s="10">
        <v>18814492.639999997</v>
      </c>
      <c r="AP235" s="10">
        <v>9045951</v>
      </c>
      <c r="AQ235" s="31">
        <v>10408194</v>
      </c>
    </row>
    <row r="236" spans="1:43">
      <c r="A236" s="102">
        <v>227</v>
      </c>
      <c r="B236" s="7" t="s">
        <v>1932</v>
      </c>
      <c r="C236" s="103">
        <v>58.16</v>
      </c>
      <c r="D236" s="62">
        <v>15382941</v>
      </c>
      <c r="E236" s="37">
        <v>5150016</v>
      </c>
      <c r="F236" s="62">
        <v>10232925</v>
      </c>
      <c r="G236" s="62">
        <v>16293473.060000004</v>
      </c>
      <c r="H236" s="62">
        <v>5491599</v>
      </c>
      <c r="I236" s="62">
        <v>10828140</v>
      </c>
      <c r="J236" s="62">
        <v>16630337.504335003</v>
      </c>
      <c r="K236" s="62">
        <v>5686758</v>
      </c>
      <c r="L236" s="62">
        <v>11045384</v>
      </c>
      <c r="M236" s="62">
        <v>16912374.970000003</v>
      </c>
      <c r="N236" s="62">
        <v>5850602</v>
      </c>
      <c r="O236" s="62">
        <v>10045276</v>
      </c>
      <c r="P236" s="62">
        <v>1180556</v>
      </c>
      <c r="Q236" s="62">
        <v>17367767.6769378</v>
      </c>
      <c r="R236" s="62">
        <v>6255521</v>
      </c>
      <c r="S236" s="62">
        <v>11001315</v>
      </c>
      <c r="T236" s="62">
        <v>110932</v>
      </c>
      <c r="U236" s="62">
        <v>16420213.2009</v>
      </c>
      <c r="V236" s="62">
        <v>6331779</v>
      </c>
      <c r="W236" s="62">
        <v>10463070</v>
      </c>
      <c r="X236" s="62">
        <v>56170</v>
      </c>
      <c r="Y236" s="62">
        <v>638157</v>
      </c>
      <c r="Z236" s="62">
        <v>15673257.680000003</v>
      </c>
      <c r="AA236" s="62">
        <v>6390223</v>
      </c>
      <c r="AB236" s="62">
        <v>10519240</v>
      </c>
      <c r="AC236" s="10">
        <v>16134047.02</v>
      </c>
      <c r="AD236" s="10">
        <v>6470869</v>
      </c>
      <c r="AE236" s="10">
        <v>10585480</v>
      </c>
      <c r="AF236" s="10">
        <v>16198575.519999998</v>
      </c>
      <c r="AG236" s="10">
        <v>6747578</v>
      </c>
      <c r="AH236" s="10">
        <v>10626130</v>
      </c>
      <c r="AI236" s="10">
        <v>15478309.109999996</v>
      </c>
      <c r="AJ236" s="10">
        <v>6819446</v>
      </c>
      <c r="AK236" s="31">
        <v>10664455</v>
      </c>
      <c r="AL236" s="10">
        <v>15466730.400000002</v>
      </c>
      <c r="AM236" s="10">
        <v>6815260</v>
      </c>
      <c r="AN236" s="31">
        <v>10701980</v>
      </c>
      <c r="AO236" s="10">
        <v>15564758.360000001</v>
      </c>
      <c r="AP236" s="10">
        <v>6592394</v>
      </c>
      <c r="AQ236" s="31">
        <v>10784150</v>
      </c>
    </row>
    <row r="237" spans="1:43">
      <c r="A237" s="102">
        <v>228</v>
      </c>
      <c r="B237" s="7" t="s">
        <v>1933</v>
      </c>
      <c r="C237" s="103">
        <v>36.76</v>
      </c>
      <c r="D237" s="62">
        <v>196006</v>
      </c>
      <c r="E237" s="37">
        <v>125093</v>
      </c>
      <c r="F237" s="62">
        <v>0</v>
      </c>
      <c r="G237" s="62">
        <v>0</v>
      </c>
      <c r="H237" s="62">
        <v>0</v>
      </c>
      <c r="I237" s="62">
        <v>0</v>
      </c>
      <c r="J237" s="62">
        <v>0</v>
      </c>
      <c r="K237" s="62">
        <v>0</v>
      </c>
      <c r="L237" s="62">
        <v>0</v>
      </c>
      <c r="M237" s="62">
        <v>0</v>
      </c>
      <c r="N237" s="62">
        <v>0</v>
      </c>
      <c r="O237" s="62">
        <v>0</v>
      </c>
      <c r="P237" s="62">
        <v>0</v>
      </c>
      <c r="Q237" s="62">
        <v>0</v>
      </c>
      <c r="R237" s="62">
        <v>0</v>
      </c>
      <c r="S237" s="62">
        <v>0</v>
      </c>
      <c r="T237" s="62">
        <v>0</v>
      </c>
      <c r="U237" s="62">
        <v>0</v>
      </c>
      <c r="V237" s="62">
        <v>0</v>
      </c>
      <c r="W237" s="62">
        <v>0</v>
      </c>
      <c r="X237" s="62">
        <v>0</v>
      </c>
      <c r="Y237" s="62">
        <v>0</v>
      </c>
      <c r="Z237" s="62">
        <v>0</v>
      </c>
      <c r="AA237" s="62">
        <v>0</v>
      </c>
      <c r="AB237" s="62">
        <v>0</v>
      </c>
      <c r="AC237" s="10">
        <v>0</v>
      </c>
      <c r="AD237" s="10">
        <v>0</v>
      </c>
      <c r="AE237" s="10">
        <v>0</v>
      </c>
      <c r="AF237" s="10">
        <v>0</v>
      </c>
      <c r="AG237" s="10">
        <v>0</v>
      </c>
      <c r="AH237" s="10">
        <v>0</v>
      </c>
      <c r="AI237" s="10">
        <v>0</v>
      </c>
      <c r="AJ237" s="10">
        <v>0</v>
      </c>
      <c r="AK237" s="31">
        <v>0</v>
      </c>
      <c r="AL237" s="10">
        <v>0</v>
      </c>
      <c r="AM237" s="10">
        <v>0</v>
      </c>
      <c r="AN237" s="31">
        <v>0</v>
      </c>
      <c r="AO237" s="10">
        <v>0</v>
      </c>
      <c r="AP237" s="10">
        <v>0</v>
      </c>
      <c r="AQ237" s="31">
        <v>0</v>
      </c>
    </row>
    <row r="238" spans="1:43">
      <c r="A238" s="102">
        <v>229</v>
      </c>
      <c r="B238" s="7" t="s">
        <v>1934</v>
      </c>
      <c r="C238" s="103">
        <v>28.84</v>
      </c>
      <c r="D238" s="62">
        <v>52895313</v>
      </c>
      <c r="E238" s="37">
        <v>34167033</v>
      </c>
      <c r="F238" s="62">
        <v>18728280</v>
      </c>
      <c r="G238" s="62">
        <v>54951902.25</v>
      </c>
      <c r="H238" s="62">
        <v>36075831</v>
      </c>
      <c r="I238" s="62">
        <v>19286644</v>
      </c>
      <c r="J238" s="62">
        <v>56602396.857231177</v>
      </c>
      <c r="K238" s="62">
        <v>38043319</v>
      </c>
      <c r="L238" s="62">
        <v>19741190</v>
      </c>
      <c r="M238" s="62">
        <v>58044809.350000001</v>
      </c>
      <c r="N238" s="62">
        <v>39953502</v>
      </c>
      <c r="O238" s="62">
        <v>18002388</v>
      </c>
      <c r="P238" s="62">
        <v>2115704</v>
      </c>
      <c r="Q238" s="62">
        <v>59750176.473661244</v>
      </c>
      <c r="R238" s="62">
        <v>40112796</v>
      </c>
      <c r="S238" s="62">
        <v>19715730</v>
      </c>
      <c r="T238" s="62">
        <v>0</v>
      </c>
      <c r="U238" s="62">
        <v>57582047.419799998</v>
      </c>
      <c r="V238" s="62">
        <v>41285234</v>
      </c>
      <c r="W238" s="62">
        <v>18563939</v>
      </c>
      <c r="X238" s="62">
        <v>99659</v>
      </c>
      <c r="Y238" s="62">
        <v>1206582</v>
      </c>
      <c r="Z238" s="62">
        <v>59014857.119999997</v>
      </c>
      <c r="AA238" s="62">
        <v>42743764</v>
      </c>
      <c r="AB238" s="62">
        <v>18663598</v>
      </c>
      <c r="AC238" s="10">
        <v>60749406.699999996</v>
      </c>
      <c r="AD238" s="10">
        <v>44345547</v>
      </c>
      <c r="AE238" s="10">
        <v>18906718</v>
      </c>
      <c r="AF238" s="17">
        <f>62298319.99-2406437</f>
        <v>59891882.990000002</v>
      </c>
      <c r="AG238" s="17">
        <f>45533417-1758848</f>
        <v>43774569</v>
      </c>
      <c r="AH238" s="17">
        <f>19059168-736211</f>
        <v>18322957</v>
      </c>
      <c r="AI238" s="10">
        <v>61102630.279999994</v>
      </c>
      <c r="AJ238" s="10">
        <v>44118255</v>
      </c>
      <c r="AK238" s="149">
        <f>18472707+125260</f>
        <v>18597967</v>
      </c>
      <c r="AL238" s="10">
        <v>62367587.499999993</v>
      </c>
      <c r="AM238" s="10">
        <v>45733796</v>
      </c>
      <c r="AN238" s="31">
        <v>18747217</v>
      </c>
      <c r="AO238" s="10">
        <v>62459203.560000002</v>
      </c>
      <c r="AP238" s="10">
        <v>44792470</v>
      </c>
      <c r="AQ238" s="31">
        <v>19070452</v>
      </c>
    </row>
    <row r="239" spans="1:43">
      <c r="A239" s="102">
        <v>230</v>
      </c>
      <c r="B239" s="7" t="s">
        <v>1935</v>
      </c>
      <c r="C239" s="103">
        <v>17.5</v>
      </c>
      <c r="D239" s="62">
        <v>709807</v>
      </c>
      <c r="E239" s="37">
        <v>760482</v>
      </c>
      <c r="F239" s="62">
        <v>118052.8</v>
      </c>
      <c r="G239" s="62">
        <v>749939.66</v>
      </c>
      <c r="H239" s="62">
        <v>643809</v>
      </c>
      <c r="I239" s="62">
        <v>164606.79999999999</v>
      </c>
      <c r="J239" s="62">
        <v>733964.10943651071</v>
      </c>
      <c r="K239" s="62">
        <v>561236</v>
      </c>
      <c r="L239" s="62">
        <v>210786.8</v>
      </c>
      <c r="M239" s="62">
        <v>674439.18</v>
      </c>
      <c r="N239" s="62">
        <v>490547</v>
      </c>
      <c r="O239" s="62">
        <v>208647.8</v>
      </c>
      <c r="P239" s="62">
        <v>24521</v>
      </c>
      <c r="Q239" s="62">
        <v>670880.08917129191</v>
      </c>
      <c r="R239" s="62">
        <v>496664</v>
      </c>
      <c r="S239" s="62">
        <v>228505</v>
      </c>
      <c r="T239" s="62">
        <v>0</v>
      </c>
      <c r="U239" s="62">
        <v>663890.04804000002</v>
      </c>
      <c r="V239" s="62">
        <v>481763</v>
      </c>
      <c r="W239" s="62">
        <v>215156</v>
      </c>
      <c r="X239" s="62">
        <v>1155</v>
      </c>
      <c r="Y239" s="62">
        <v>14219</v>
      </c>
      <c r="Z239" s="62">
        <v>580669.32999999996</v>
      </c>
      <c r="AA239" s="62">
        <v>480192</v>
      </c>
      <c r="AB239" s="62">
        <v>216311</v>
      </c>
      <c r="AC239" s="10">
        <v>560019.19999999995</v>
      </c>
      <c r="AD239" s="10">
        <v>482745</v>
      </c>
      <c r="AE239" s="10">
        <v>218831</v>
      </c>
      <c r="AF239" s="10">
        <v>655277.24</v>
      </c>
      <c r="AG239" s="10">
        <v>566477</v>
      </c>
      <c r="AH239" s="10">
        <v>220506</v>
      </c>
      <c r="AI239" s="10">
        <v>689081.27</v>
      </c>
      <c r="AJ239" s="10">
        <v>620173</v>
      </c>
      <c r="AK239" s="31">
        <v>222256</v>
      </c>
      <c r="AL239" s="10">
        <v>696611.65</v>
      </c>
      <c r="AM239" s="10">
        <v>626950</v>
      </c>
      <c r="AN239" s="31">
        <v>224081</v>
      </c>
      <c r="AO239" s="10">
        <v>724220.01</v>
      </c>
      <c r="AP239" s="10">
        <v>609074</v>
      </c>
      <c r="AQ239" s="31">
        <v>228151</v>
      </c>
    </row>
    <row r="240" spans="1:43">
      <c r="A240" s="102">
        <v>231</v>
      </c>
      <c r="B240" s="7" t="s">
        <v>1936</v>
      </c>
      <c r="C240" s="103">
        <v>38.93</v>
      </c>
      <c r="D240" s="62">
        <v>22515538</v>
      </c>
      <c r="E240" s="37">
        <v>14046314</v>
      </c>
      <c r="F240" s="62">
        <v>8469224</v>
      </c>
      <c r="G240" s="62">
        <v>24815140.279400006</v>
      </c>
      <c r="H240" s="62">
        <v>14742688</v>
      </c>
      <c r="I240" s="62">
        <v>10072452</v>
      </c>
      <c r="J240" s="62">
        <v>26921544.8071214</v>
      </c>
      <c r="K240" s="62">
        <v>15414393</v>
      </c>
      <c r="L240" s="62">
        <v>11507152</v>
      </c>
      <c r="M240" s="62">
        <v>28631944.000619993</v>
      </c>
      <c r="N240" s="62">
        <v>16182768</v>
      </c>
      <c r="O240" s="62">
        <v>11139968</v>
      </c>
      <c r="P240" s="62">
        <v>1309208</v>
      </c>
      <c r="Q240" s="62">
        <v>29986707.348423712</v>
      </c>
      <c r="R240" s="62">
        <v>16470418</v>
      </c>
      <c r="S240" s="62">
        <v>12200192</v>
      </c>
      <c r="T240" s="62">
        <v>1316097</v>
      </c>
      <c r="U240" s="62">
        <v>29225596.232482802</v>
      </c>
      <c r="V240" s="62">
        <v>16691260</v>
      </c>
      <c r="W240" s="62">
        <v>12726668</v>
      </c>
      <c r="X240" s="62">
        <v>68322</v>
      </c>
      <c r="Y240" s="62">
        <v>805499</v>
      </c>
      <c r="Z240" s="62">
        <v>29344771.673250001</v>
      </c>
      <c r="AA240" s="62">
        <v>17053741</v>
      </c>
      <c r="AB240" s="62">
        <v>12794990</v>
      </c>
      <c r="AC240" s="10">
        <v>30140603.210499994</v>
      </c>
      <c r="AD240" s="10">
        <v>17494279</v>
      </c>
      <c r="AE240" s="10">
        <v>12925750</v>
      </c>
      <c r="AF240" s="10">
        <v>30742484.871859998</v>
      </c>
      <c r="AG240" s="10">
        <v>17997108</v>
      </c>
      <c r="AH240" s="10">
        <v>13013732.304039083</v>
      </c>
      <c r="AI240" s="10">
        <v>30579313.617779996</v>
      </c>
      <c r="AJ240" s="10">
        <v>18171451</v>
      </c>
      <c r="AK240" s="31">
        <v>13095032.304039083</v>
      </c>
      <c r="AL240" s="10">
        <v>30953452.00279</v>
      </c>
      <c r="AM240" s="10">
        <v>18734967</v>
      </c>
      <c r="AN240" s="31">
        <v>13174507.304039083</v>
      </c>
      <c r="AO240" s="10">
        <v>30278155.873739995</v>
      </c>
      <c r="AP240" s="10">
        <v>18592537</v>
      </c>
      <c r="AQ240" s="31">
        <v>13344512.304039083</v>
      </c>
    </row>
    <row r="241" spans="1:43">
      <c r="A241" s="102">
        <v>232</v>
      </c>
      <c r="B241" s="7" t="s">
        <v>1937</v>
      </c>
      <c r="C241" s="103">
        <v>43.12</v>
      </c>
      <c r="D241" s="62">
        <v>9796</v>
      </c>
      <c r="E241" s="37">
        <v>2034</v>
      </c>
      <c r="F241" s="62">
        <v>7762</v>
      </c>
      <c r="G241" s="62">
        <v>10849.66</v>
      </c>
      <c r="H241" s="62">
        <v>4054</v>
      </c>
      <c r="I241" s="62">
        <v>8308</v>
      </c>
      <c r="J241" s="62">
        <v>11355.27</v>
      </c>
      <c r="K241" s="62">
        <v>4893</v>
      </c>
      <c r="L241" s="62">
        <v>8571</v>
      </c>
      <c r="M241" s="62">
        <v>11943.49</v>
      </c>
      <c r="N241" s="62">
        <v>5146</v>
      </c>
      <c r="O241" s="62">
        <v>8877</v>
      </c>
      <c r="P241" s="62">
        <v>0</v>
      </c>
      <c r="Q241" s="62">
        <v>0</v>
      </c>
      <c r="R241" s="62">
        <v>0</v>
      </c>
      <c r="S241" s="62">
        <v>8699</v>
      </c>
      <c r="T241" s="62">
        <v>0</v>
      </c>
      <c r="U241" s="62">
        <v>0</v>
      </c>
      <c r="V241" s="62">
        <v>0</v>
      </c>
      <c r="W241" s="62">
        <v>0</v>
      </c>
      <c r="X241" s="62">
        <v>0</v>
      </c>
      <c r="Y241" s="62">
        <v>0</v>
      </c>
      <c r="Z241" s="62">
        <v>0</v>
      </c>
      <c r="AA241" s="62">
        <v>0</v>
      </c>
      <c r="AB241" s="62">
        <v>0</v>
      </c>
      <c r="AC241" s="10">
        <v>0</v>
      </c>
      <c r="AD241" s="10">
        <v>0</v>
      </c>
      <c r="AE241" s="10">
        <v>0</v>
      </c>
      <c r="AF241" s="10">
        <v>0</v>
      </c>
      <c r="AG241" s="10">
        <v>0</v>
      </c>
      <c r="AH241" s="10">
        <v>0</v>
      </c>
      <c r="AI241" s="10">
        <v>0</v>
      </c>
      <c r="AJ241" s="10">
        <v>0</v>
      </c>
      <c r="AK241" s="31">
        <v>0</v>
      </c>
      <c r="AL241" s="10">
        <v>0</v>
      </c>
      <c r="AM241" s="10">
        <v>0</v>
      </c>
      <c r="AN241" s="31">
        <v>0</v>
      </c>
      <c r="AO241" s="10">
        <v>0</v>
      </c>
      <c r="AP241" s="10">
        <v>0</v>
      </c>
      <c r="AQ241" s="31">
        <v>0</v>
      </c>
    </row>
    <row r="242" spans="1:43">
      <c r="A242" s="102">
        <v>233</v>
      </c>
      <c r="B242" s="7" t="s">
        <v>1938</v>
      </c>
      <c r="C242" s="103">
        <v>53.23</v>
      </c>
      <c r="D242" s="62">
        <v>48982</v>
      </c>
      <c r="E242" s="37">
        <v>11961</v>
      </c>
      <c r="F242" s="62">
        <v>37021</v>
      </c>
      <c r="G242" s="62">
        <v>97646.94</v>
      </c>
      <c r="H242" s="62">
        <v>29593</v>
      </c>
      <c r="I242" s="62">
        <v>71992</v>
      </c>
      <c r="J242" s="62">
        <v>79486.89</v>
      </c>
      <c r="K242" s="62">
        <v>29514</v>
      </c>
      <c r="L242" s="62">
        <v>72342</v>
      </c>
      <c r="M242" s="62">
        <v>107491.41</v>
      </c>
      <c r="N242" s="62">
        <v>39254</v>
      </c>
      <c r="O242" s="62">
        <v>91528</v>
      </c>
      <c r="P242" s="62">
        <v>0</v>
      </c>
      <c r="Q242" s="62">
        <v>98452.600038277524</v>
      </c>
      <c r="R242" s="62">
        <v>35805</v>
      </c>
      <c r="S242" s="62">
        <v>89697</v>
      </c>
      <c r="T242" s="62">
        <v>0</v>
      </c>
      <c r="U242" s="62">
        <v>84250.709759999998</v>
      </c>
      <c r="V242" s="62">
        <v>35751</v>
      </c>
      <c r="W242" s="62">
        <v>84250.709759999998</v>
      </c>
      <c r="X242" s="62">
        <v>0</v>
      </c>
      <c r="Y242" s="62">
        <v>0</v>
      </c>
      <c r="Z242" s="62">
        <v>73500.42</v>
      </c>
      <c r="AA242" s="62">
        <v>33517</v>
      </c>
      <c r="AB242" s="62">
        <v>73500.42</v>
      </c>
      <c r="AC242" s="10">
        <v>76183.260000000009</v>
      </c>
      <c r="AD242" s="10">
        <v>35598</v>
      </c>
      <c r="AE242" s="10">
        <v>73500.42</v>
      </c>
      <c r="AF242" s="10">
        <v>103152.16</v>
      </c>
      <c r="AG242" s="10">
        <v>50799</v>
      </c>
      <c r="AH242" s="10">
        <v>73500.42</v>
      </c>
      <c r="AI242" s="10">
        <v>117044.1</v>
      </c>
      <c r="AJ242" s="10">
        <v>56662</v>
      </c>
      <c r="AK242" s="31">
        <v>73500.42</v>
      </c>
      <c r="AL242" s="10">
        <v>105599.68000000001</v>
      </c>
      <c r="AM242" s="10">
        <v>54600</v>
      </c>
      <c r="AN242" s="31">
        <v>73500.42</v>
      </c>
      <c r="AO242" s="10">
        <v>170156.80000000002</v>
      </c>
      <c r="AP242" s="10">
        <v>80315</v>
      </c>
      <c r="AQ242" s="31">
        <v>89842</v>
      </c>
    </row>
    <row r="243" spans="1:43">
      <c r="A243" s="102">
        <v>234</v>
      </c>
      <c r="B243" s="7" t="s">
        <v>1939</v>
      </c>
      <c r="C243" s="103">
        <v>19.329999999999998</v>
      </c>
      <c r="D243" s="62">
        <v>794648</v>
      </c>
      <c r="E243" s="37">
        <v>460434</v>
      </c>
      <c r="F243" s="62">
        <v>334214</v>
      </c>
      <c r="G243" s="62">
        <v>887913.94</v>
      </c>
      <c r="H243" s="62">
        <v>484109</v>
      </c>
      <c r="I243" s="62">
        <v>403805</v>
      </c>
      <c r="J243" s="62">
        <v>910107.84943651082</v>
      </c>
      <c r="K243" s="62">
        <v>464081</v>
      </c>
      <c r="L243" s="62">
        <v>446027</v>
      </c>
      <c r="M243" s="62">
        <v>884202.43</v>
      </c>
      <c r="N243" s="62">
        <v>440655</v>
      </c>
      <c r="O243" s="62">
        <v>403908</v>
      </c>
      <c r="P243" s="62">
        <v>47469</v>
      </c>
      <c r="Q243" s="62">
        <v>727844.57486698567</v>
      </c>
      <c r="R243" s="62">
        <v>387334</v>
      </c>
      <c r="S243" s="62">
        <v>442349</v>
      </c>
      <c r="T243" s="62">
        <v>0</v>
      </c>
      <c r="U243" s="62">
        <v>686761.92768000008</v>
      </c>
      <c r="V243" s="62">
        <v>379916</v>
      </c>
      <c r="W243" s="62">
        <v>416507</v>
      </c>
      <c r="X243" s="62">
        <v>2236</v>
      </c>
      <c r="Y243" s="62">
        <v>25481</v>
      </c>
      <c r="Z243" s="62">
        <v>656167.6</v>
      </c>
      <c r="AA243" s="62">
        <v>383839</v>
      </c>
      <c r="AB243" s="62">
        <v>418743</v>
      </c>
      <c r="AC243" s="10">
        <v>637666.18999999983</v>
      </c>
      <c r="AD243" s="10">
        <v>396428</v>
      </c>
      <c r="AE243" s="10">
        <v>421383</v>
      </c>
      <c r="AF243" s="10">
        <v>594228.81999999995</v>
      </c>
      <c r="AG243" s="10">
        <v>438845</v>
      </c>
      <c r="AH243" s="10">
        <v>422883</v>
      </c>
      <c r="AI243" s="10">
        <v>566086.55000000005</v>
      </c>
      <c r="AJ243" s="10">
        <v>454106</v>
      </c>
      <c r="AK243" s="31">
        <v>424308</v>
      </c>
      <c r="AL243" s="10">
        <v>611232.30999999994</v>
      </c>
      <c r="AM243" s="10">
        <v>479273</v>
      </c>
      <c r="AN243" s="31">
        <v>425758</v>
      </c>
      <c r="AO243" s="10">
        <v>627194.55000000005</v>
      </c>
      <c r="AP243" s="10">
        <v>512362</v>
      </c>
      <c r="AQ243" s="31">
        <v>429223</v>
      </c>
    </row>
    <row r="244" spans="1:43">
      <c r="A244" s="102">
        <v>235</v>
      </c>
      <c r="B244" s="7" t="s">
        <v>1940</v>
      </c>
      <c r="C244" s="103">
        <v>47.36</v>
      </c>
      <c r="D244" s="62">
        <v>0</v>
      </c>
      <c r="E244" s="37">
        <v>0</v>
      </c>
      <c r="F244" s="62">
        <v>0</v>
      </c>
      <c r="G244" s="62">
        <v>0</v>
      </c>
      <c r="H244" s="62">
        <v>0</v>
      </c>
      <c r="I244" s="62">
        <v>0</v>
      </c>
      <c r="J244" s="62">
        <v>0</v>
      </c>
      <c r="K244" s="62">
        <v>0</v>
      </c>
      <c r="L244" s="62">
        <v>0</v>
      </c>
      <c r="M244" s="62">
        <v>0</v>
      </c>
      <c r="N244" s="62">
        <v>0</v>
      </c>
      <c r="O244" s="62">
        <v>0</v>
      </c>
      <c r="P244" s="62">
        <v>0</v>
      </c>
      <c r="Q244" s="62">
        <v>0</v>
      </c>
      <c r="R244" s="62">
        <v>0</v>
      </c>
      <c r="S244" s="62">
        <v>0</v>
      </c>
      <c r="T244" s="62">
        <v>0</v>
      </c>
      <c r="U244" s="62">
        <v>0</v>
      </c>
      <c r="V244" s="62">
        <v>0</v>
      </c>
      <c r="W244" s="62">
        <v>0</v>
      </c>
      <c r="X244" s="62">
        <v>0</v>
      </c>
      <c r="Y244" s="62">
        <v>0</v>
      </c>
      <c r="Z244" s="62">
        <v>0</v>
      </c>
      <c r="AA244" s="62">
        <v>0</v>
      </c>
      <c r="AB244" s="62">
        <v>0</v>
      </c>
      <c r="AC244" s="10">
        <v>0</v>
      </c>
      <c r="AD244" s="10">
        <v>0</v>
      </c>
      <c r="AE244" s="10">
        <v>0</v>
      </c>
      <c r="AF244" s="10">
        <v>0</v>
      </c>
      <c r="AG244" s="10">
        <v>0</v>
      </c>
      <c r="AH244" s="10">
        <v>0</v>
      </c>
      <c r="AI244" s="10">
        <v>0</v>
      </c>
      <c r="AJ244" s="10">
        <v>0</v>
      </c>
      <c r="AK244" s="31">
        <v>0</v>
      </c>
      <c r="AL244" s="10">
        <v>0</v>
      </c>
      <c r="AM244" s="10">
        <v>0</v>
      </c>
      <c r="AN244" s="31">
        <v>0</v>
      </c>
      <c r="AO244" s="10">
        <v>0</v>
      </c>
      <c r="AP244" s="10">
        <v>0</v>
      </c>
      <c r="AQ244" s="31">
        <v>0</v>
      </c>
    </row>
    <row r="245" spans="1:43">
      <c r="A245" s="102">
        <v>236</v>
      </c>
      <c r="B245" s="7" t="s">
        <v>1941</v>
      </c>
      <c r="C245" s="103">
        <v>58.67</v>
      </c>
      <c r="D245" s="62">
        <v>52725657</v>
      </c>
      <c r="E245" s="37">
        <v>24611444</v>
      </c>
      <c r="F245" s="62">
        <v>28114213</v>
      </c>
      <c r="G245" s="62">
        <v>57082753.469999999</v>
      </c>
      <c r="H245" s="62">
        <v>25485280</v>
      </c>
      <c r="I245" s="62">
        <v>31597473</v>
      </c>
      <c r="J245" s="62">
        <v>59041738.979034342</v>
      </c>
      <c r="K245" s="62">
        <v>25796426</v>
      </c>
      <c r="L245" s="62">
        <v>33245313</v>
      </c>
      <c r="M245" s="62">
        <v>61752172.609999992</v>
      </c>
      <c r="N245" s="62">
        <v>25995833</v>
      </c>
      <c r="O245" s="62">
        <v>31996051</v>
      </c>
      <c r="P245" s="62">
        <v>3760289</v>
      </c>
      <c r="Q245" s="62">
        <v>63207565.231892832</v>
      </c>
      <c r="R245" s="62">
        <v>25852192</v>
      </c>
      <c r="S245" s="62">
        <v>35041213</v>
      </c>
      <c r="T245" s="62">
        <v>2314160</v>
      </c>
      <c r="U245" s="62">
        <v>62148014.552700013</v>
      </c>
      <c r="V245" s="62">
        <v>25940936</v>
      </c>
      <c r="W245" s="62">
        <v>35512358</v>
      </c>
      <c r="X245" s="62">
        <v>190646</v>
      </c>
      <c r="Y245" s="62">
        <v>1809494</v>
      </c>
      <c r="Z245" s="62">
        <v>63704268.780000001</v>
      </c>
      <c r="AA245" s="62">
        <v>26794850</v>
      </c>
      <c r="AB245" s="62">
        <v>36909419</v>
      </c>
      <c r="AC245" s="10">
        <v>65754169.920000002</v>
      </c>
      <c r="AD245" s="10">
        <v>27822547</v>
      </c>
      <c r="AE245" s="10">
        <v>38017592.827607997</v>
      </c>
      <c r="AF245" s="10">
        <v>67796003.910000011</v>
      </c>
      <c r="AG245" s="10">
        <v>28757787</v>
      </c>
      <c r="AH245" s="10">
        <v>39290437.62740925</v>
      </c>
      <c r="AI245" s="10">
        <v>67481752.38000001</v>
      </c>
      <c r="AJ245" s="10">
        <v>29005679</v>
      </c>
      <c r="AK245" s="31">
        <v>39447162.62740925</v>
      </c>
      <c r="AL245" s="10">
        <v>68905111.570000008</v>
      </c>
      <c r="AM245" s="10">
        <v>29086218</v>
      </c>
      <c r="AN245" s="31">
        <v>39818894</v>
      </c>
      <c r="AO245" s="10">
        <v>68494174.319999993</v>
      </c>
      <c r="AP245" s="10">
        <v>28442404</v>
      </c>
      <c r="AQ245" s="31">
        <v>40155219</v>
      </c>
    </row>
    <row r="246" spans="1:43">
      <c r="A246" s="102">
        <v>237</v>
      </c>
      <c r="B246" s="7" t="s">
        <v>1942</v>
      </c>
      <c r="C246" s="103">
        <v>24.97</v>
      </c>
      <c r="D246" s="62">
        <v>19593</v>
      </c>
      <c r="E246" s="37">
        <v>16836</v>
      </c>
      <c r="F246" s="62">
        <v>18987</v>
      </c>
      <c r="G246" s="62">
        <v>43398.64</v>
      </c>
      <c r="H246" s="62">
        <v>22879</v>
      </c>
      <c r="I246" s="62">
        <v>30740</v>
      </c>
      <c r="J246" s="62">
        <v>68131.62</v>
      </c>
      <c r="K246" s="62">
        <v>37773</v>
      </c>
      <c r="L246" s="62">
        <v>41615</v>
      </c>
      <c r="M246" s="62">
        <v>95547.92</v>
      </c>
      <c r="N246" s="62">
        <v>47108</v>
      </c>
      <c r="O246" s="62">
        <v>54235</v>
      </c>
      <c r="P246" s="62">
        <v>0</v>
      </c>
      <c r="Q246" s="62">
        <v>98452.600038277524</v>
      </c>
      <c r="R246" s="62">
        <v>55480</v>
      </c>
      <c r="S246" s="62">
        <v>53150</v>
      </c>
      <c r="T246" s="62">
        <v>0</v>
      </c>
      <c r="U246" s="62">
        <v>96286.525439999998</v>
      </c>
      <c r="V246" s="62">
        <v>58428</v>
      </c>
      <c r="W246" s="62">
        <v>51024</v>
      </c>
      <c r="X246" s="62">
        <v>0</v>
      </c>
      <c r="Y246" s="62">
        <v>0</v>
      </c>
      <c r="Z246" s="62">
        <v>61250.35</v>
      </c>
      <c r="AA246" s="62">
        <v>41319</v>
      </c>
      <c r="AB246" s="62">
        <v>51024</v>
      </c>
      <c r="AC246" s="10">
        <v>63486.049999999996</v>
      </c>
      <c r="AD246" s="10">
        <v>42461</v>
      </c>
      <c r="AE246" s="10">
        <v>51024</v>
      </c>
      <c r="AF246" s="10">
        <v>51576.08</v>
      </c>
      <c r="AG246" s="10">
        <v>40855</v>
      </c>
      <c r="AH246" s="10">
        <v>51024</v>
      </c>
      <c r="AI246" s="10">
        <v>78029.39999999998</v>
      </c>
      <c r="AJ246" s="10">
        <v>64254</v>
      </c>
      <c r="AK246" s="31">
        <v>51024</v>
      </c>
      <c r="AL246" s="10">
        <v>39599.880000000005</v>
      </c>
      <c r="AM246" s="10">
        <v>32922</v>
      </c>
      <c r="AN246" s="31">
        <v>39599.880000000005</v>
      </c>
      <c r="AO246" s="10">
        <v>39512.76</v>
      </c>
      <c r="AP246" s="10">
        <v>29669</v>
      </c>
      <c r="AQ246" s="31">
        <v>39512.76</v>
      </c>
    </row>
    <row r="247" spans="1:43">
      <c r="A247" s="102">
        <v>238</v>
      </c>
      <c r="B247" s="7" t="s">
        <v>1943</v>
      </c>
      <c r="C247" s="103">
        <v>31.13</v>
      </c>
      <c r="D247" s="62">
        <v>5675056</v>
      </c>
      <c r="E247" s="37">
        <v>3322319</v>
      </c>
      <c r="F247" s="62">
        <v>2374850</v>
      </c>
      <c r="G247" s="62">
        <v>6041437.8299999991</v>
      </c>
      <c r="H247" s="62">
        <v>3487590</v>
      </c>
      <c r="I247" s="62">
        <v>2553848</v>
      </c>
      <c r="J247" s="62">
        <v>6193164.1266190642</v>
      </c>
      <c r="K247" s="62">
        <v>3616015</v>
      </c>
      <c r="L247" s="62">
        <v>2618681</v>
      </c>
      <c r="M247" s="62">
        <v>6360137.9900000002</v>
      </c>
      <c r="N247" s="62">
        <v>3728363</v>
      </c>
      <c r="O247" s="62">
        <v>2405042</v>
      </c>
      <c r="P247" s="62">
        <v>282649</v>
      </c>
      <c r="Q247" s="62">
        <v>6513212.2174468907</v>
      </c>
      <c r="R247" s="62">
        <v>3852023</v>
      </c>
      <c r="S247" s="62">
        <v>2633937</v>
      </c>
      <c r="T247" s="62">
        <v>27252</v>
      </c>
      <c r="U247" s="62">
        <v>6313858.9432200007</v>
      </c>
      <c r="V247" s="62">
        <v>3881974</v>
      </c>
      <c r="W247" s="62">
        <v>2505722</v>
      </c>
      <c r="X247" s="62">
        <v>13452</v>
      </c>
      <c r="Y247" s="62">
        <v>161615</v>
      </c>
      <c r="Z247" s="62">
        <v>6272346.2599999998</v>
      </c>
      <c r="AA247" s="62">
        <v>3923605</v>
      </c>
      <c r="AB247" s="62">
        <v>2519174</v>
      </c>
      <c r="AC247" s="10">
        <v>6913476.3999999994</v>
      </c>
      <c r="AD247" s="10">
        <v>4145967</v>
      </c>
      <c r="AE247" s="10">
        <v>2768880.59601</v>
      </c>
      <c r="AF247" s="10">
        <v>6826165.1400000006</v>
      </c>
      <c r="AG247" s="10">
        <v>4169061</v>
      </c>
      <c r="AH247" s="10">
        <v>2788255.59601</v>
      </c>
      <c r="AI247" s="10">
        <v>6579213.379999999</v>
      </c>
      <c r="AJ247" s="10">
        <v>4253996</v>
      </c>
      <c r="AK247" s="31">
        <v>2806755.59601</v>
      </c>
      <c r="AL247" s="10">
        <v>6450343.1600000001</v>
      </c>
      <c r="AM247" s="10">
        <v>4374579</v>
      </c>
      <c r="AN247" s="31">
        <v>2824580.59601</v>
      </c>
      <c r="AO247" s="10">
        <v>6794336.419999999</v>
      </c>
      <c r="AP247" s="10">
        <v>4700337</v>
      </c>
      <c r="AQ247" s="31">
        <v>2864950.59601</v>
      </c>
    </row>
    <row r="248" spans="1:43">
      <c r="A248" s="102">
        <v>239</v>
      </c>
      <c r="B248" s="7" t="s">
        <v>1944</v>
      </c>
      <c r="C248" s="103">
        <v>28.68</v>
      </c>
      <c r="D248" s="62">
        <v>65808603</v>
      </c>
      <c r="E248" s="37">
        <v>50709654</v>
      </c>
      <c r="F248" s="62">
        <v>16749442.999999998</v>
      </c>
      <c r="G248" s="62">
        <v>70785947.548399985</v>
      </c>
      <c r="H248" s="62">
        <v>52596289</v>
      </c>
      <c r="I248" s="62">
        <v>18464636</v>
      </c>
      <c r="J248" s="62">
        <v>72586825.799855381</v>
      </c>
      <c r="K248" s="62">
        <v>54446578</v>
      </c>
      <c r="L248" s="62">
        <v>19542986</v>
      </c>
      <c r="M248" s="62">
        <v>77105661.264829993</v>
      </c>
      <c r="N248" s="62">
        <v>55729593</v>
      </c>
      <c r="O248" s="62">
        <v>19128070</v>
      </c>
      <c r="P248" s="62">
        <v>2247998</v>
      </c>
      <c r="Q248" s="62">
        <v>79497521.622687668</v>
      </c>
      <c r="R248" s="62">
        <v>56638333</v>
      </c>
      <c r="S248" s="62">
        <v>20948547</v>
      </c>
      <c r="T248" s="62">
        <v>1910642</v>
      </c>
      <c r="U248" s="62">
        <v>78742171.183430165</v>
      </c>
      <c r="V248" s="62">
        <v>56893637</v>
      </c>
      <c r="W248" s="62">
        <v>21523756</v>
      </c>
      <c r="X248" s="62">
        <v>115549</v>
      </c>
      <c r="Y248" s="62">
        <v>1428409</v>
      </c>
      <c r="Z248" s="62">
        <v>79081949.172639996</v>
      </c>
      <c r="AA248" s="62">
        <v>57303942</v>
      </c>
      <c r="AB248" s="62">
        <v>21778007</v>
      </c>
      <c r="AC248" s="10">
        <v>80478825.04377</v>
      </c>
      <c r="AD248" s="10">
        <v>59037999</v>
      </c>
      <c r="AE248" s="10">
        <v>22208459.478195209</v>
      </c>
      <c r="AF248" s="10">
        <v>83431824.025150001</v>
      </c>
      <c r="AG248" s="10">
        <v>60777692</v>
      </c>
      <c r="AH248" s="10">
        <v>23291787.509499453</v>
      </c>
      <c r="AI248" s="10">
        <v>83619257.170059979</v>
      </c>
      <c r="AJ248" s="10">
        <v>61240645</v>
      </c>
      <c r="AK248" s="31">
        <v>23670916.509499453</v>
      </c>
      <c r="AL248" s="10">
        <v>84831859.535599992</v>
      </c>
      <c r="AM248" s="10">
        <v>62123870</v>
      </c>
      <c r="AN248" s="31">
        <v>23872516.509499453</v>
      </c>
      <c r="AO248" s="10">
        <v>84727196.122590005</v>
      </c>
      <c r="AP248" s="10">
        <v>61058495</v>
      </c>
      <c r="AQ248" s="31">
        <v>24315046.509499453</v>
      </c>
    </row>
    <row r="249" spans="1:43">
      <c r="A249" s="102">
        <v>240</v>
      </c>
      <c r="B249" s="7" t="s">
        <v>1945</v>
      </c>
      <c r="C249" s="103">
        <v>27.19</v>
      </c>
      <c r="D249" s="62">
        <v>1607157</v>
      </c>
      <c r="E249" s="37">
        <v>1349172</v>
      </c>
      <c r="F249" s="62">
        <v>489958</v>
      </c>
      <c r="G249" s="62">
        <v>1606594.6</v>
      </c>
      <c r="H249" s="62">
        <v>1279333</v>
      </c>
      <c r="I249" s="62">
        <v>506035</v>
      </c>
      <c r="J249" s="62">
        <v>1709080.5840138937</v>
      </c>
      <c r="K249" s="62">
        <v>1275953</v>
      </c>
      <c r="L249" s="62">
        <v>543319</v>
      </c>
      <c r="M249" s="62">
        <v>1853769.61</v>
      </c>
      <c r="N249" s="62">
        <v>1327166</v>
      </c>
      <c r="O249" s="62">
        <v>531833</v>
      </c>
      <c r="P249" s="62">
        <v>62503</v>
      </c>
      <c r="Q249" s="62">
        <v>1908834.034465072</v>
      </c>
      <c r="R249" s="62">
        <v>1361877</v>
      </c>
      <c r="S249" s="62">
        <v>582449</v>
      </c>
      <c r="T249" s="62">
        <v>0</v>
      </c>
      <c r="U249" s="62">
        <v>2009833.57968</v>
      </c>
      <c r="V249" s="62">
        <v>1434960</v>
      </c>
      <c r="W249" s="62">
        <v>563844</v>
      </c>
      <c r="X249" s="62">
        <v>3027</v>
      </c>
      <c r="Y249" s="62">
        <v>21828</v>
      </c>
      <c r="Z249" s="62">
        <v>1974807.62</v>
      </c>
      <c r="AA249" s="62">
        <v>1416646</v>
      </c>
      <c r="AB249" s="62">
        <v>566871</v>
      </c>
      <c r="AC249" s="10">
        <v>2018759.52</v>
      </c>
      <c r="AD249" s="10">
        <v>1484742</v>
      </c>
      <c r="AE249" s="10">
        <v>591347.62748400006</v>
      </c>
      <c r="AF249" s="10">
        <v>2207684.7599999998</v>
      </c>
      <c r="AG249" s="10">
        <v>1597361</v>
      </c>
      <c r="AH249" s="10">
        <v>652019.25887999998</v>
      </c>
      <c r="AI249" s="10">
        <v>2194273.0299999998</v>
      </c>
      <c r="AJ249" s="10">
        <v>1544590</v>
      </c>
      <c r="AK249" s="31">
        <v>702595.25887999998</v>
      </c>
      <c r="AL249" s="10">
        <v>2074615.8599999996</v>
      </c>
      <c r="AM249" s="10">
        <v>1557980</v>
      </c>
      <c r="AN249" s="31">
        <v>708270.25887999998</v>
      </c>
      <c r="AO249" s="10">
        <v>2281485.7581900004</v>
      </c>
      <c r="AP249" s="10">
        <v>1667056</v>
      </c>
      <c r="AQ249" s="31">
        <v>721030.25887999998</v>
      </c>
    </row>
    <row r="250" spans="1:43">
      <c r="A250" s="102">
        <v>241</v>
      </c>
      <c r="B250" s="7" t="s">
        <v>1946</v>
      </c>
      <c r="C250" s="103">
        <v>17.5</v>
      </c>
      <c r="D250" s="62">
        <v>0</v>
      </c>
      <c r="E250" s="37">
        <v>0</v>
      </c>
      <c r="F250" s="62">
        <v>0</v>
      </c>
      <c r="G250" s="62">
        <v>0</v>
      </c>
      <c r="H250" s="62">
        <v>0</v>
      </c>
      <c r="I250" s="62">
        <v>0</v>
      </c>
      <c r="J250" s="62">
        <v>0</v>
      </c>
      <c r="K250" s="62">
        <v>0</v>
      </c>
      <c r="L250" s="62">
        <v>0</v>
      </c>
      <c r="M250" s="62">
        <v>0</v>
      </c>
      <c r="N250" s="62">
        <v>0</v>
      </c>
      <c r="O250" s="62">
        <v>0</v>
      </c>
      <c r="P250" s="62">
        <v>0</v>
      </c>
      <c r="Q250" s="62">
        <v>12306.57500478469</v>
      </c>
      <c r="R250" s="62">
        <v>10005</v>
      </c>
      <c r="S250" s="62">
        <v>0</v>
      </c>
      <c r="T250" s="62">
        <v>2302</v>
      </c>
      <c r="U250" s="62">
        <v>0</v>
      </c>
      <c r="V250" s="62">
        <v>0</v>
      </c>
      <c r="W250" s="62">
        <v>0</v>
      </c>
      <c r="X250" s="62">
        <v>0</v>
      </c>
      <c r="Y250" s="62">
        <v>0</v>
      </c>
      <c r="Z250" s="62">
        <v>0</v>
      </c>
      <c r="AA250" s="62">
        <v>0</v>
      </c>
      <c r="AB250" s="62">
        <v>0</v>
      </c>
      <c r="AC250" s="10">
        <v>0</v>
      </c>
      <c r="AD250" s="10">
        <v>0</v>
      </c>
      <c r="AE250" s="10">
        <v>0</v>
      </c>
      <c r="AF250" s="10">
        <v>0</v>
      </c>
      <c r="AG250" s="10">
        <v>0</v>
      </c>
      <c r="AH250" s="10">
        <v>0</v>
      </c>
      <c r="AI250" s="10">
        <v>0</v>
      </c>
      <c r="AJ250" s="10">
        <v>0</v>
      </c>
      <c r="AK250" s="31">
        <v>0</v>
      </c>
      <c r="AL250" s="10">
        <v>0</v>
      </c>
      <c r="AM250" s="10">
        <v>0</v>
      </c>
      <c r="AN250" s="31">
        <v>0</v>
      </c>
      <c r="AO250" s="10">
        <v>0</v>
      </c>
      <c r="AP250" s="10">
        <v>0</v>
      </c>
      <c r="AQ250" s="31">
        <v>0</v>
      </c>
    </row>
    <row r="251" spans="1:43">
      <c r="A251" s="102">
        <v>242</v>
      </c>
      <c r="B251" s="7" t="s">
        <v>1947</v>
      </c>
      <c r="C251" s="103">
        <v>17.5</v>
      </c>
      <c r="D251" s="62">
        <v>1291811</v>
      </c>
      <c r="E251" s="37">
        <v>4055956</v>
      </c>
      <c r="F251" s="62">
        <v>255800.8</v>
      </c>
      <c r="G251" s="62">
        <v>1285826.94</v>
      </c>
      <c r="H251" s="62">
        <v>1956162</v>
      </c>
      <c r="I251" s="62">
        <v>263550.8</v>
      </c>
      <c r="J251" s="62">
        <v>1321743.9439575451</v>
      </c>
      <c r="K251" s="62">
        <v>1727275</v>
      </c>
      <c r="L251" s="62">
        <v>271200.8</v>
      </c>
      <c r="M251" s="62">
        <v>1263192.58</v>
      </c>
      <c r="N251" s="62">
        <v>1561249</v>
      </c>
      <c r="O251" s="62">
        <v>248898.8</v>
      </c>
      <c r="P251" s="62">
        <v>29252</v>
      </c>
      <c r="Q251" s="62">
        <v>1338933.845374163</v>
      </c>
      <c r="R251" s="62">
        <v>1591643</v>
      </c>
      <c r="S251" s="62">
        <v>272588</v>
      </c>
      <c r="T251" s="62">
        <v>0</v>
      </c>
      <c r="U251" s="62">
        <v>1375097.9072400001</v>
      </c>
      <c r="V251" s="62">
        <v>1521466</v>
      </c>
      <c r="W251" s="62">
        <v>256663</v>
      </c>
      <c r="X251" s="62">
        <v>1378</v>
      </c>
      <c r="Y251" s="62">
        <v>18272</v>
      </c>
      <c r="Z251" s="62">
        <v>1289521.3</v>
      </c>
      <c r="AA251" s="62">
        <v>1431340</v>
      </c>
      <c r="AB251" s="62">
        <v>258041</v>
      </c>
      <c r="AC251" s="10">
        <v>1203806.04</v>
      </c>
      <c r="AD251" s="10">
        <v>1203806</v>
      </c>
      <c r="AE251" s="10">
        <v>262841</v>
      </c>
      <c r="AF251" s="10">
        <v>1231636.8800000001</v>
      </c>
      <c r="AG251" s="10">
        <v>1215446</v>
      </c>
      <c r="AH251" s="10">
        <v>265966</v>
      </c>
      <c r="AI251" s="10">
        <v>1414247.5399999998</v>
      </c>
      <c r="AJ251" s="10">
        <v>1209208</v>
      </c>
      <c r="AK251" s="31">
        <v>269641</v>
      </c>
      <c r="AL251" s="10">
        <v>1284862.27</v>
      </c>
      <c r="AM251" s="10">
        <v>1156376</v>
      </c>
      <c r="AN251" s="31">
        <v>272866</v>
      </c>
      <c r="AO251" s="10">
        <v>1411461.41</v>
      </c>
      <c r="AP251" s="10">
        <v>1172251</v>
      </c>
      <c r="AQ251" s="31">
        <v>280401</v>
      </c>
    </row>
    <row r="252" spans="1:43">
      <c r="A252" s="102">
        <v>243</v>
      </c>
      <c r="B252" s="7" t="s">
        <v>1948</v>
      </c>
      <c r="C252" s="103">
        <v>22.11</v>
      </c>
      <c r="D252" s="62">
        <v>73098901</v>
      </c>
      <c r="E252" s="37">
        <v>63941052</v>
      </c>
      <c r="F252" s="62">
        <v>12561073.199999999</v>
      </c>
      <c r="G252" s="62">
        <v>77782533.934249982</v>
      </c>
      <c r="H252" s="62">
        <v>67709257</v>
      </c>
      <c r="I252" s="62">
        <v>13380709.199999999</v>
      </c>
      <c r="J252" s="62">
        <v>83528509.845593929</v>
      </c>
      <c r="K252" s="62">
        <v>70748789</v>
      </c>
      <c r="L252" s="62">
        <v>14388553.199999999</v>
      </c>
      <c r="M252" s="62">
        <v>89488958.460700005</v>
      </c>
      <c r="N252" s="62">
        <v>73362291</v>
      </c>
      <c r="O252" s="62">
        <v>14430718</v>
      </c>
      <c r="P252" s="62">
        <v>1695949</v>
      </c>
      <c r="Q252" s="62">
        <v>92909519.333574429</v>
      </c>
      <c r="R252" s="62">
        <v>72784382</v>
      </c>
      <c r="S252" s="62">
        <v>15804134</v>
      </c>
      <c r="T252" s="62">
        <v>4321003</v>
      </c>
      <c r="U252" s="62">
        <v>92692070.835875496</v>
      </c>
      <c r="V252" s="62">
        <v>74238283</v>
      </c>
      <c r="W252" s="62">
        <v>18949428</v>
      </c>
      <c r="X252" s="62">
        <v>101729</v>
      </c>
      <c r="Y252" s="62">
        <v>1298455</v>
      </c>
      <c r="Z252" s="62">
        <v>96661211.859239995</v>
      </c>
      <c r="AA252" s="62">
        <v>75702194</v>
      </c>
      <c r="AB252" s="62">
        <v>20959018</v>
      </c>
      <c r="AC252" s="10">
        <v>102157664.34112</v>
      </c>
      <c r="AD252" s="10">
        <v>79182392</v>
      </c>
      <c r="AE252" s="10">
        <v>23565229.189149439</v>
      </c>
      <c r="AF252" s="10">
        <v>105786949.41116999</v>
      </c>
      <c r="AG252" s="10">
        <v>81483004</v>
      </c>
      <c r="AH252" s="10">
        <v>24789394.287227817</v>
      </c>
      <c r="AI252" s="10">
        <v>108294787.80678003</v>
      </c>
      <c r="AJ252" s="10">
        <v>82452996</v>
      </c>
      <c r="AK252" s="31">
        <v>26024786.287227817</v>
      </c>
      <c r="AL252" s="10">
        <v>109837246.19363996</v>
      </c>
      <c r="AM252" s="10">
        <v>84853939</v>
      </c>
      <c r="AN252" s="31">
        <v>26257161.287227817</v>
      </c>
      <c r="AO252" s="10">
        <v>109074296.63971998</v>
      </c>
      <c r="AP252" s="10">
        <v>85429167</v>
      </c>
      <c r="AQ252" s="31">
        <v>26763766.287227817</v>
      </c>
    </row>
    <row r="253" spans="1:43">
      <c r="A253" s="102">
        <v>244</v>
      </c>
      <c r="B253" s="7" t="s">
        <v>1949</v>
      </c>
      <c r="C253" s="103">
        <v>44.02</v>
      </c>
      <c r="D253" s="62">
        <v>28415668</v>
      </c>
      <c r="E253" s="37">
        <v>20365108</v>
      </c>
      <c r="F253" s="62">
        <v>10420471</v>
      </c>
      <c r="G253" s="62">
        <v>30652225.832729999</v>
      </c>
      <c r="H253" s="62">
        <v>20844001</v>
      </c>
      <c r="I253" s="62">
        <v>11313976</v>
      </c>
      <c r="J253" s="62">
        <v>31690386.102510918</v>
      </c>
      <c r="K253" s="62">
        <v>20566218</v>
      </c>
      <c r="L253" s="62">
        <v>11852877</v>
      </c>
      <c r="M253" s="62">
        <v>32016655.867279999</v>
      </c>
      <c r="N253" s="62">
        <v>20344448</v>
      </c>
      <c r="O253" s="62">
        <v>10904100</v>
      </c>
      <c r="P253" s="62">
        <v>1281488</v>
      </c>
      <c r="Q253" s="62">
        <v>31481792.989716146</v>
      </c>
      <c r="R253" s="62">
        <v>20147871</v>
      </c>
      <c r="S253" s="62">
        <v>11941876</v>
      </c>
      <c r="T253" s="62">
        <v>0</v>
      </c>
      <c r="U253" s="62">
        <v>30820251.731979597</v>
      </c>
      <c r="V253" s="62">
        <v>19924468</v>
      </c>
      <c r="W253" s="62">
        <v>11244232</v>
      </c>
      <c r="X253" s="62">
        <v>60364</v>
      </c>
      <c r="Y253" s="62">
        <v>716005</v>
      </c>
      <c r="Z253" s="62">
        <v>31980943.732399996</v>
      </c>
      <c r="AA253" s="62">
        <v>20085920</v>
      </c>
      <c r="AB253" s="62">
        <v>11895024</v>
      </c>
      <c r="AC253" s="10">
        <v>34252525.530859999</v>
      </c>
      <c r="AD253" s="10">
        <v>20607886</v>
      </c>
      <c r="AE253" s="10">
        <v>13913057.555152636</v>
      </c>
      <c r="AF253" s="10">
        <v>35279771.078940004</v>
      </c>
      <c r="AG253" s="10">
        <v>21206980</v>
      </c>
      <c r="AH253" s="10">
        <v>14424784.13735972</v>
      </c>
      <c r="AI253" s="10">
        <v>35955443.988719992</v>
      </c>
      <c r="AJ253" s="10">
        <v>20964754</v>
      </c>
      <c r="AK253" s="31">
        <v>14990690</v>
      </c>
      <c r="AL253" s="10">
        <v>36417465.611719996</v>
      </c>
      <c r="AM253" s="10">
        <v>21159883</v>
      </c>
      <c r="AN253" s="31">
        <v>15257583</v>
      </c>
      <c r="AO253" s="10">
        <v>35981002.85723</v>
      </c>
      <c r="AP253" s="10">
        <v>20358913</v>
      </c>
      <c r="AQ253" s="31">
        <v>15693730</v>
      </c>
    </row>
    <row r="254" spans="1:43">
      <c r="A254" s="102">
        <v>245</v>
      </c>
      <c r="B254" s="7" t="s">
        <v>1950</v>
      </c>
      <c r="C254" s="103">
        <v>37.5</v>
      </c>
      <c r="D254" s="62">
        <v>0</v>
      </c>
      <c r="E254" s="37">
        <v>0</v>
      </c>
      <c r="F254" s="62">
        <v>0</v>
      </c>
      <c r="G254" s="62">
        <v>0</v>
      </c>
      <c r="H254" s="62">
        <v>0</v>
      </c>
      <c r="I254" s="62">
        <v>0</v>
      </c>
      <c r="J254" s="62">
        <v>0</v>
      </c>
      <c r="K254" s="62">
        <v>0</v>
      </c>
      <c r="L254" s="62">
        <v>0</v>
      </c>
      <c r="M254" s="62">
        <v>0</v>
      </c>
      <c r="N254" s="62">
        <v>0</v>
      </c>
      <c r="O254" s="62">
        <v>0</v>
      </c>
      <c r="P254" s="62">
        <v>0</v>
      </c>
      <c r="Q254" s="62">
        <v>0</v>
      </c>
      <c r="R254" s="62">
        <v>0</v>
      </c>
      <c r="S254" s="62">
        <v>0</v>
      </c>
      <c r="T254" s="62">
        <v>0</v>
      </c>
      <c r="U254" s="62">
        <v>0</v>
      </c>
      <c r="V254" s="62">
        <v>0</v>
      </c>
      <c r="W254" s="62">
        <v>0</v>
      </c>
      <c r="X254" s="62">
        <v>0</v>
      </c>
      <c r="Y254" s="62">
        <v>0</v>
      </c>
      <c r="Z254" s="62">
        <v>0</v>
      </c>
      <c r="AA254" s="62">
        <v>0</v>
      </c>
      <c r="AB254" s="62">
        <v>0</v>
      </c>
      <c r="AC254" s="10">
        <v>12697.210000000001</v>
      </c>
      <c r="AD254" s="10">
        <v>7860</v>
      </c>
      <c r="AE254" s="10">
        <v>4837</v>
      </c>
      <c r="AF254" s="10">
        <v>0</v>
      </c>
      <c r="AG254" s="10">
        <v>0</v>
      </c>
      <c r="AH254" s="10">
        <v>0</v>
      </c>
      <c r="AI254" s="10">
        <v>26009.8</v>
      </c>
      <c r="AJ254" s="10">
        <v>16567</v>
      </c>
      <c r="AK254" s="31">
        <v>9443</v>
      </c>
      <c r="AL254" s="10">
        <v>0</v>
      </c>
      <c r="AM254" s="10">
        <v>0</v>
      </c>
      <c r="AN254" s="31">
        <v>0</v>
      </c>
      <c r="AO254" s="10">
        <v>0</v>
      </c>
      <c r="AP254" s="10">
        <v>0</v>
      </c>
      <c r="AQ254" s="31">
        <v>0</v>
      </c>
    </row>
    <row r="255" spans="1:43">
      <c r="A255" s="102">
        <v>246</v>
      </c>
      <c r="B255" s="7" t="s">
        <v>1951</v>
      </c>
      <c r="C255" s="103">
        <v>17.5</v>
      </c>
      <c r="D255" s="62">
        <v>29463124</v>
      </c>
      <c r="E255" s="37">
        <v>23184689</v>
      </c>
      <c r="F255" s="62">
        <v>6290156.9999999981</v>
      </c>
      <c r="G255" s="62">
        <v>31463026.360140003</v>
      </c>
      <c r="H255" s="62">
        <v>24343136</v>
      </c>
      <c r="I255" s="62">
        <v>7119890</v>
      </c>
      <c r="J255" s="62">
        <v>33194639.301516734</v>
      </c>
      <c r="K255" s="62">
        <v>25152672</v>
      </c>
      <c r="L255" s="62">
        <v>8041967</v>
      </c>
      <c r="M255" s="62">
        <v>35385849.034999996</v>
      </c>
      <c r="N255" s="62">
        <v>26121634</v>
      </c>
      <c r="O255" s="62">
        <v>8289951</v>
      </c>
      <c r="P255" s="62">
        <v>974264</v>
      </c>
      <c r="Q255" s="62">
        <v>36474849.126737088</v>
      </c>
      <c r="R255" s="62">
        <v>26451786</v>
      </c>
      <c r="S255" s="62">
        <v>9078931</v>
      </c>
      <c r="T255" s="62">
        <v>944132</v>
      </c>
      <c r="U255" s="62">
        <v>35612661.075852714</v>
      </c>
      <c r="V255" s="62">
        <v>26779324</v>
      </c>
      <c r="W255" s="62">
        <v>9437516</v>
      </c>
      <c r="X255" s="62">
        <v>50665</v>
      </c>
      <c r="Y255" s="62">
        <v>641507</v>
      </c>
      <c r="Z255" s="62">
        <v>36437713.051029995</v>
      </c>
      <c r="AA255" s="62">
        <v>27264731</v>
      </c>
      <c r="AB255" s="62">
        <v>9488181</v>
      </c>
      <c r="AC255" s="10">
        <v>38136802.087369993</v>
      </c>
      <c r="AD255" s="10">
        <v>28233100</v>
      </c>
      <c r="AE255" s="10">
        <v>9903702</v>
      </c>
      <c r="AF255" s="10">
        <v>38817531.163199998</v>
      </c>
      <c r="AG255" s="10">
        <v>29008253</v>
      </c>
      <c r="AH255" s="17">
        <f>10011427+8422</f>
        <v>10019849</v>
      </c>
      <c r="AI255" s="10">
        <v>38963364.685199998</v>
      </c>
      <c r="AJ255" s="10">
        <v>30125539</v>
      </c>
      <c r="AK255" s="31">
        <v>10126574</v>
      </c>
      <c r="AL255" s="10">
        <v>39638139.190400004</v>
      </c>
      <c r="AM255" s="10">
        <v>31807445</v>
      </c>
      <c r="AN255" s="31">
        <v>10232699</v>
      </c>
      <c r="AO255" s="10">
        <v>39861932.613879994</v>
      </c>
      <c r="AP255" s="10">
        <v>32924851</v>
      </c>
      <c r="AQ255" s="31">
        <v>10465569</v>
      </c>
    </row>
    <row r="256" spans="1:43">
      <c r="A256" s="102">
        <v>247</v>
      </c>
      <c r="B256" s="7" t="s">
        <v>1952</v>
      </c>
      <c r="C256" s="103">
        <v>31.31</v>
      </c>
      <c r="D256" s="62">
        <v>0</v>
      </c>
      <c r="E256" s="37">
        <v>0</v>
      </c>
      <c r="F256" s="62">
        <v>0</v>
      </c>
      <c r="G256" s="62">
        <v>0</v>
      </c>
      <c r="H256" s="62">
        <v>0</v>
      </c>
      <c r="I256" s="62">
        <v>0</v>
      </c>
      <c r="J256" s="62">
        <v>0</v>
      </c>
      <c r="K256" s="62">
        <v>0</v>
      </c>
      <c r="L256" s="62">
        <v>0</v>
      </c>
      <c r="M256" s="62">
        <v>0</v>
      </c>
      <c r="N256" s="62">
        <v>0</v>
      </c>
      <c r="O256" s="62">
        <v>0</v>
      </c>
      <c r="P256" s="62">
        <v>0</v>
      </c>
      <c r="Q256" s="62">
        <v>0</v>
      </c>
      <c r="R256" s="62">
        <v>0</v>
      </c>
      <c r="S256" s="62">
        <v>0</v>
      </c>
      <c r="T256" s="62">
        <v>0</v>
      </c>
      <c r="U256" s="62">
        <v>0</v>
      </c>
      <c r="V256" s="62">
        <v>0</v>
      </c>
      <c r="W256" s="62">
        <v>0</v>
      </c>
      <c r="X256" s="62">
        <v>0</v>
      </c>
      <c r="Y256" s="62">
        <v>0</v>
      </c>
      <c r="Z256" s="62">
        <v>0</v>
      </c>
      <c r="AA256" s="62">
        <v>0</v>
      </c>
      <c r="AB256" s="62">
        <v>0</v>
      </c>
      <c r="AC256" s="10">
        <v>0</v>
      </c>
      <c r="AD256" s="10">
        <v>0</v>
      </c>
      <c r="AE256" s="10">
        <v>0</v>
      </c>
      <c r="AF256" s="10">
        <v>116046.18</v>
      </c>
      <c r="AG256" s="10">
        <v>81889</v>
      </c>
      <c r="AH256" s="10">
        <v>34157</v>
      </c>
      <c r="AI256" s="10">
        <v>91034.3</v>
      </c>
      <c r="AJ256" s="10">
        <v>64373</v>
      </c>
      <c r="AK256" s="31">
        <v>34157</v>
      </c>
      <c r="AL256" s="10">
        <v>26399.920000000002</v>
      </c>
      <c r="AM256" s="10">
        <v>18518</v>
      </c>
      <c r="AN256" s="31">
        <v>26399.920000000002</v>
      </c>
      <c r="AO256" s="10">
        <v>0</v>
      </c>
      <c r="AP256" s="10">
        <v>0</v>
      </c>
      <c r="AQ256" s="31">
        <v>0</v>
      </c>
    </row>
    <row r="257" spans="1:43">
      <c r="A257" s="102">
        <v>248</v>
      </c>
      <c r="B257" s="7" t="s">
        <v>1953</v>
      </c>
      <c r="C257" s="103">
        <v>63.3</v>
      </c>
      <c r="D257" s="62">
        <v>46478555</v>
      </c>
      <c r="E257" s="37">
        <v>22374964</v>
      </c>
      <c r="F257" s="62">
        <v>24103591</v>
      </c>
      <c r="G257" s="62">
        <v>51922904.798499994</v>
      </c>
      <c r="H257" s="62">
        <v>24134938</v>
      </c>
      <c r="I257" s="62">
        <v>27787967</v>
      </c>
      <c r="J257" s="62">
        <v>56922955.069418222</v>
      </c>
      <c r="K257" s="62">
        <v>25539984</v>
      </c>
      <c r="L257" s="62">
        <v>31382971</v>
      </c>
      <c r="M257" s="62">
        <v>60166072.687420011</v>
      </c>
      <c r="N257" s="62">
        <v>26575341</v>
      </c>
      <c r="O257" s="62">
        <v>30058188</v>
      </c>
      <c r="P257" s="62">
        <v>3532544</v>
      </c>
      <c r="Q257" s="62">
        <v>64653955.409767158</v>
      </c>
      <c r="R257" s="62">
        <v>26216203</v>
      </c>
      <c r="S257" s="62">
        <v>32918917</v>
      </c>
      <c r="T257" s="62">
        <v>5518835</v>
      </c>
      <c r="U257" s="62">
        <v>65723577.218013175</v>
      </c>
      <c r="V257" s="62">
        <v>27005010</v>
      </c>
      <c r="W257" s="62">
        <v>37975657</v>
      </c>
      <c r="X257" s="62">
        <v>203870</v>
      </c>
      <c r="Y257" s="62">
        <v>539040</v>
      </c>
      <c r="Z257" s="62">
        <v>68075146.155200005</v>
      </c>
      <c r="AA257" s="62">
        <v>27339812</v>
      </c>
      <c r="AB257" s="62">
        <v>40735334</v>
      </c>
      <c r="AC257" s="10">
        <v>74073065.5757</v>
      </c>
      <c r="AD257" s="10">
        <v>28043890</v>
      </c>
      <c r="AE257" s="10">
        <v>46214315.401124246</v>
      </c>
      <c r="AF257" s="10">
        <v>76694917.361529991</v>
      </c>
      <c r="AG257" s="10">
        <v>28826715</v>
      </c>
      <c r="AH257" s="17">
        <f>48007444.2055175+33688</f>
        <v>48041132.205517501</v>
      </c>
      <c r="AI257" s="10">
        <v>79960501.103390008</v>
      </c>
      <c r="AJ257" s="10">
        <v>29010426</v>
      </c>
      <c r="AK257" s="31">
        <v>50950075</v>
      </c>
      <c r="AL257" s="10">
        <v>84281832.122129992</v>
      </c>
      <c r="AM257" s="10">
        <v>30065688</v>
      </c>
      <c r="AN257" s="31">
        <v>54216144</v>
      </c>
      <c r="AO257" s="10">
        <v>82249270.676439986</v>
      </c>
      <c r="AP257" s="10">
        <v>30306709</v>
      </c>
      <c r="AQ257" s="31">
        <v>56509506</v>
      </c>
    </row>
    <row r="258" spans="1:43">
      <c r="A258" s="102">
        <v>249</v>
      </c>
      <c r="B258" s="7" t="s">
        <v>1954</v>
      </c>
      <c r="C258" s="103">
        <v>17.5</v>
      </c>
      <c r="D258" s="62">
        <v>1762868</v>
      </c>
      <c r="E258" s="37">
        <v>2078922</v>
      </c>
      <c r="F258" s="62">
        <v>321695.2</v>
      </c>
      <c r="G258" s="62">
        <v>1791554.66</v>
      </c>
      <c r="H258" s="62">
        <v>2029927</v>
      </c>
      <c r="I258" s="62">
        <v>333845.2</v>
      </c>
      <c r="J258" s="62">
        <v>1666525.1984222305</v>
      </c>
      <c r="K258" s="62">
        <v>1918538</v>
      </c>
      <c r="L258" s="62">
        <v>344495.2</v>
      </c>
      <c r="M258" s="62">
        <v>1733844.42</v>
      </c>
      <c r="N258" s="62">
        <v>1800907</v>
      </c>
      <c r="O258" s="62">
        <v>356276.2</v>
      </c>
      <c r="P258" s="62">
        <v>0</v>
      </c>
      <c r="Q258" s="62">
        <v>1714724.0778717706</v>
      </c>
      <c r="R258" s="62">
        <v>1779707</v>
      </c>
      <c r="S258" s="62">
        <v>349151</v>
      </c>
      <c r="T258" s="62">
        <v>0</v>
      </c>
      <c r="U258" s="62">
        <v>1627120.605</v>
      </c>
      <c r="V258" s="62">
        <v>1690989</v>
      </c>
      <c r="W258" s="62">
        <v>328754</v>
      </c>
      <c r="X258" s="62">
        <v>1765</v>
      </c>
      <c r="Y258" s="62">
        <v>23307</v>
      </c>
      <c r="Z258" s="62">
        <v>1432341.44</v>
      </c>
      <c r="AA258" s="62">
        <v>1629712</v>
      </c>
      <c r="AB258" s="62">
        <v>330519</v>
      </c>
      <c r="AC258" s="10">
        <v>1455405.7799999998</v>
      </c>
      <c r="AD258" s="10">
        <v>1455406</v>
      </c>
      <c r="AE258" s="10">
        <v>336919</v>
      </c>
      <c r="AF258" s="10">
        <v>1341137.6900000002</v>
      </c>
      <c r="AG258" s="10">
        <v>1341138</v>
      </c>
      <c r="AH258" s="10">
        <v>340519</v>
      </c>
      <c r="AI258" s="10">
        <v>1381559.82</v>
      </c>
      <c r="AJ258" s="10">
        <v>1243404</v>
      </c>
      <c r="AK258" s="31">
        <v>344169</v>
      </c>
      <c r="AL258" s="10">
        <v>1238912.1900000002</v>
      </c>
      <c r="AM258" s="10">
        <v>1115021</v>
      </c>
      <c r="AN258" s="31">
        <v>347244</v>
      </c>
      <c r="AO258" s="10">
        <v>1203251.3800000001</v>
      </c>
      <c r="AP258" s="10">
        <v>1015683</v>
      </c>
      <c r="AQ258" s="31">
        <v>353789</v>
      </c>
    </row>
    <row r="259" spans="1:43">
      <c r="A259" s="102">
        <v>250</v>
      </c>
      <c r="B259" s="7" t="s">
        <v>1955</v>
      </c>
      <c r="C259" s="103">
        <v>38.06</v>
      </c>
      <c r="D259" s="62">
        <v>3680270</v>
      </c>
      <c r="E259" s="37">
        <v>2350290</v>
      </c>
      <c r="F259" s="62">
        <v>1329980</v>
      </c>
      <c r="G259" s="62">
        <v>3824253.2</v>
      </c>
      <c r="H259" s="62">
        <v>2478288</v>
      </c>
      <c r="I259" s="62">
        <v>1395317</v>
      </c>
      <c r="J259" s="62">
        <v>4020213.9527178695</v>
      </c>
      <c r="K259" s="62">
        <v>2498485</v>
      </c>
      <c r="L259" s="62">
        <v>1521729</v>
      </c>
      <c r="M259" s="62">
        <v>4281470.25</v>
      </c>
      <c r="N259" s="62">
        <v>2647282</v>
      </c>
      <c r="O259" s="62">
        <v>1462330</v>
      </c>
      <c r="P259" s="62">
        <v>171858</v>
      </c>
      <c r="Q259" s="62">
        <v>4601636.8752688998</v>
      </c>
      <c r="R259" s="62">
        <v>2799668</v>
      </c>
      <c r="S259" s="62">
        <v>1601504</v>
      </c>
      <c r="T259" s="62">
        <v>200465</v>
      </c>
      <c r="U259" s="62">
        <v>4449279.2438400006</v>
      </c>
      <c r="V259" s="62">
        <v>2835130</v>
      </c>
      <c r="W259" s="62">
        <v>1696698</v>
      </c>
      <c r="X259" s="62">
        <v>9109</v>
      </c>
      <c r="Y259" s="62">
        <v>109987</v>
      </c>
      <c r="Z259" s="62">
        <v>4206398.72</v>
      </c>
      <c r="AA259" s="62">
        <v>2715486</v>
      </c>
      <c r="AB259" s="62">
        <v>1705807</v>
      </c>
      <c r="AC259" s="10">
        <v>4265135.9700000007</v>
      </c>
      <c r="AD259" s="10">
        <v>2781320</v>
      </c>
      <c r="AE259" s="10">
        <v>1725847</v>
      </c>
      <c r="AF259" s="10">
        <v>4306372.08</v>
      </c>
      <c r="AG259" s="10">
        <v>2817361</v>
      </c>
      <c r="AH259" s="10">
        <v>1738272</v>
      </c>
      <c r="AI259" s="10">
        <v>4252932.9000000004</v>
      </c>
      <c r="AJ259" s="10">
        <v>2742703</v>
      </c>
      <c r="AK259" s="31">
        <v>1750422</v>
      </c>
      <c r="AL259" s="10">
        <v>4382165.5599999996</v>
      </c>
      <c r="AM259" s="10">
        <v>2807707</v>
      </c>
      <c r="AN259" s="31">
        <v>1762322</v>
      </c>
      <c r="AO259" s="10">
        <v>4400657.959999999</v>
      </c>
      <c r="AP259" s="10">
        <v>2745493</v>
      </c>
      <c r="AQ259" s="31">
        <v>1788722</v>
      </c>
    </row>
    <row r="260" spans="1:43">
      <c r="A260" s="102">
        <v>251</v>
      </c>
      <c r="B260" s="7" t="s">
        <v>1956</v>
      </c>
      <c r="C260" s="103">
        <v>52.39</v>
      </c>
      <c r="D260" s="62">
        <v>19513418</v>
      </c>
      <c r="E260" s="37">
        <v>11054067</v>
      </c>
      <c r="F260" s="62">
        <v>8952545</v>
      </c>
      <c r="G260" s="62">
        <v>20522022.761699997</v>
      </c>
      <c r="H260" s="62">
        <v>11421237</v>
      </c>
      <c r="I260" s="62">
        <v>9430825</v>
      </c>
      <c r="J260" s="62">
        <v>21120295.814178336</v>
      </c>
      <c r="K260" s="62">
        <v>11629129</v>
      </c>
      <c r="L260" s="62">
        <v>9714945</v>
      </c>
      <c r="M260" s="62">
        <v>21933698.112469997</v>
      </c>
      <c r="N260" s="62">
        <v>11574215</v>
      </c>
      <c r="O260" s="62">
        <v>9270036</v>
      </c>
      <c r="P260" s="62">
        <v>1089447</v>
      </c>
      <c r="Q260" s="62">
        <v>22004828.13255582</v>
      </c>
      <c r="R260" s="62">
        <v>11463450</v>
      </c>
      <c r="S260" s="62">
        <v>10152293</v>
      </c>
      <c r="T260" s="62">
        <v>389085</v>
      </c>
      <c r="U260" s="62">
        <v>21074812.564186316</v>
      </c>
      <c r="V260" s="62">
        <v>11539567</v>
      </c>
      <c r="W260" s="62">
        <v>9925552</v>
      </c>
      <c r="X260" s="62">
        <v>53285</v>
      </c>
      <c r="Y260" s="62">
        <v>619191</v>
      </c>
      <c r="Z260" s="62">
        <v>21774162.33845</v>
      </c>
      <c r="AA260" s="62">
        <v>11752002</v>
      </c>
      <c r="AB260" s="62">
        <v>10022160</v>
      </c>
      <c r="AC260" s="10">
        <v>22355995.259560004</v>
      </c>
      <c r="AD260" s="10">
        <v>12117742</v>
      </c>
      <c r="AE260" s="10">
        <v>10325639.588731904</v>
      </c>
      <c r="AF260" s="10">
        <v>22663493.787000004</v>
      </c>
      <c r="AG260" s="10">
        <v>12382935</v>
      </c>
      <c r="AH260" s="10">
        <v>10386793.067113128</v>
      </c>
      <c r="AI260" s="10">
        <v>23580543.138319999</v>
      </c>
      <c r="AJ260" s="10">
        <v>12524805</v>
      </c>
      <c r="AK260" s="31">
        <v>11055738</v>
      </c>
      <c r="AL260" s="10">
        <v>25189073.019840002</v>
      </c>
      <c r="AM260" s="10">
        <v>12589951</v>
      </c>
      <c r="AN260" s="31">
        <v>12599122</v>
      </c>
      <c r="AO260" s="10">
        <v>25814155.980160002</v>
      </c>
      <c r="AP260" s="10">
        <v>12429362</v>
      </c>
      <c r="AQ260" s="31">
        <v>13635665</v>
      </c>
    </row>
    <row r="261" spans="1:43">
      <c r="A261" s="102">
        <v>252</v>
      </c>
      <c r="B261" s="7" t="s">
        <v>1957</v>
      </c>
      <c r="C261" s="103">
        <v>17.5</v>
      </c>
      <c r="D261" s="62">
        <v>7402784</v>
      </c>
      <c r="E261" s="37">
        <v>7362604</v>
      </c>
      <c r="F261" s="62">
        <v>1194220.8</v>
      </c>
      <c r="G261" s="62">
        <v>7628241.0882799998</v>
      </c>
      <c r="H261" s="62">
        <v>7471074</v>
      </c>
      <c r="I261" s="62">
        <v>1244120.8</v>
      </c>
      <c r="J261" s="62">
        <v>8076762.8806776693</v>
      </c>
      <c r="K261" s="62">
        <v>7497665</v>
      </c>
      <c r="L261" s="62">
        <v>1322611.8</v>
      </c>
      <c r="M261" s="62">
        <v>8284122.9709999999</v>
      </c>
      <c r="N261" s="62">
        <v>7446648</v>
      </c>
      <c r="O261" s="62">
        <v>1226740.8</v>
      </c>
      <c r="P261" s="62">
        <v>144171</v>
      </c>
      <c r="Q261" s="62">
        <v>8104260.50920715</v>
      </c>
      <c r="R261" s="62">
        <v>7413825</v>
      </c>
      <c r="S261" s="62">
        <v>1343494</v>
      </c>
      <c r="T261" s="62">
        <v>0</v>
      </c>
      <c r="U261" s="62">
        <v>7620062.4644836802</v>
      </c>
      <c r="V261" s="62">
        <v>7138013</v>
      </c>
      <c r="W261" s="62">
        <v>1265007</v>
      </c>
      <c r="X261" s="62">
        <v>6791</v>
      </c>
      <c r="Y261" s="62">
        <v>93921</v>
      </c>
      <c r="Z261" s="62">
        <v>7319480.6514099985</v>
      </c>
      <c r="AA261" s="62">
        <v>7150187</v>
      </c>
      <c r="AB261" s="62">
        <v>1271798</v>
      </c>
      <c r="AC261" s="10">
        <v>7190513.3909999989</v>
      </c>
      <c r="AD261" s="10">
        <v>7094748</v>
      </c>
      <c r="AE261" s="10">
        <v>1304118</v>
      </c>
      <c r="AF261" s="10">
        <v>7275247.9357000012</v>
      </c>
      <c r="AG261" s="10">
        <v>7139271</v>
      </c>
      <c r="AH261" s="17">
        <f>1324168+33688</f>
        <v>1357856</v>
      </c>
      <c r="AI261" s="10">
        <v>7619731.0979199996</v>
      </c>
      <c r="AJ261" s="10">
        <v>6857758</v>
      </c>
      <c r="AK261" s="31">
        <v>1377981</v>
      </c>
      <c r="AL261" s="10">
        <v>7726823.8438600004</v>
      </c>
      <c r="AM261" s="10">
        <v>6690331</v>
      </c>
      <c r="AN261" s="31">
        <v>1397406</v>
      </c>
      <c r="AO261" s="10">
        <v>7673923.8114000009</v>
      </c>
      <c r="AP261" s="10">
        <v>6409651</v>
      </c>
      <c r="AQ261" s="31">
        <v>1439096</v>
      </c>
    </row>
    <row r="262" spans="1:43">
      <c r="A262" s="102">
        <v>253</v>
      </c>
      <c r="B262" s="7" t="s">
        <v>1958</v>
      </c>
      <c r="C262" s="103">
        <v>17.5</v>
      </c>
      <c r="D262" s="62">
        <v>475150</v>
      </c>
      <c r="E262" s="37">
        <v>699660</v>
      </c>
      <c r="F262" s="62">
        <v>45294.8</v>
      </c>
      <c r="G262" s="62">
        <v>409882.39</v>
      </c>
      <c r="H262" s="62">
        <v>614824</v>
      </c>
      <c r="I262" s="62">
        <v>50581.8</v>
      </c>
      <c r="J262" s="62">
        <v>523549.62469008093</v>
      </c>
      <c r="K262" s="62">
        <v>580213</v>
      </c>
      <c r="L262" s="62">
        <v>70473.8</v>
      </c>
      <c r="M262" s="62">
        <v>419120.95</v>
      </c>
      <c r="N262" s="62">
        <v>513500</v>
      </c>
      <c r="O262" s="62">
        <v>65254.8</v>
      </c>
      <c r="P262" s="62">
        <v>7669</v>
      </c>
      <c r="Q262" s="62">
        <v>441524.18143540673</v>
      </c>
      <c r="R262" s="62">
        <v>501807</v>
      </c>
      <c r="S262" s="62">
        <v>71465</v>
      </c>
      <c r="T262" s="62">
        <v>0</v>
      </c>
      <c r="U262" s="62">
        <v>552009.03876000002</v>
      </c>
      <c r="V262" s="62">
        <v>498355</v>
      </c>
      <c r="W262" s="62">
        <v>67290</v>
      </c>
      <c r="X262" s="62">
        <v>361</v>
      </c>
      <c r="Y262" s="62">
        <v>5289</v>
      </c>
      <c r="Z262" s="62">
        <v>560185.52</v>
      </c>
      <c r="AA262" s="62">
        <v>501042</v>
      </c>
      <c r="AB262" s="62">
        <v>67651</v>
      </c>
      <c r="AC262" s="10">
        <v>613859.06999999995</v>
      </c>
      <c r="AD262" s="10">
        <v>514712</v>
      </c>
      <c r="AE262" s="10">
        <v>99147</v>
      </c>
      <c r="AF262" s="10">
        <v>620119.16</v>
      </c>
      <c r="AG262" s="10">
        <v>527677</v>
      </c>
      <c r="AH262" s="10">
        <v>100747</v>
      </c>
      <c r="AI262" s="10">
        <v>618393.5</v>
      </c>
      <c r="AJ262" s="10">
        <v>525865</v>
      </c>
      <c r="AK262" s="31">
        <v>103362</v>
      </c>
      <c r="AL262" s="10">
        <v>676330.15</v>
      </c>
      <c r="AM262" s="10">
        <v>545165</v>
      </c>
      <c r="AN262" s="31">
        <v>131165</v>
      </c>
      <c r="AO262" s="10">
        <v>642285.43000000005</v>
      </c>
      <c r="AP262" s="10">
        <v>535088</v>
      </c>
      <c r="AQ262" s="31">
        <v>134795</v>
      </c>
    </row>
    <row r="263" spans="1:43">
      <c r="A263" s="102">
        <v>254</v>
      </c>
      <c r="B263" s="7" t="s">
        <v>1959</v>
      </c>
      <c r="C263" s="103">
        <v>17.5</v>
      </c>
      <c r="D263" s="62">
        <v>0</v>
      </c>
      <c r="E263" s="37">
        <v>0</v>
      </c>
      <c r="F263" s="62">
        <v>0</v>
      </c>
      <c r="G263" s="62">
        <v>0</v>
      </c>
      <c r="H263" s="62">
        <v>0</v>
      </c>
      <c r="I263" s="62">
        <v>0</v>
      </c>
      <c r="J263" s="62">
        <v>0</v>
      </c>
      <c r="K263" s="62">
        <v>0</v>
      </c>
      <c r="L263" s="62">
        <v>0</v>
      </c>
      <c r="M263" s="62">
        <v>0</v>
      </c>
      <c r="N263" s="62">
        <v>0</v>
      </c>
      <c r="O263" s="62">
        <v>0</v>
      </c>
      <c r="P263" s="62">
        <v>0</v>
      </c>
      <c r="Q263" s="62">
        <v>0</v>
      </c>
      <c r="R263" s="62">
        <v>0</v>
      </c>
      <c r="S263" s="62">
        <v>0</v>
      </c>
      <c r="T263" s="62">
        <v>0</v>
      </c>
      <c r="U263" s="62">
        <v>0</v>
      </c>
      <c r="V263" s="62">
        <v>0</v>
      </c>
      <c r="W263" s="62">
        <v>0</v>
      </c>
      <c r="X263" s="62">
        <v>0</v>
      </c>
      <c r="Y263" s="62">
        <v>0</v>
      </c>
      <c r="Z263" s="62">
        <v>0</v>
      </c>
      <c r="AA263" s="62">
        <v>0</v>
      </c>
      <c r="AB263" s="62">
        <v>0</v>
      </c>
      <c r="AC263" s="10">
        <v>0</v>
      </c>
      <c r="AD263" s="10">
        <v>0</v>
      </c>
      <c r="AE263" s="10">
        <v>0</v>
      </c>
      <c r="AF263" s="10">
        <v>0</v>
      </c>
      <c r="AG263" s="10">
        <v>0</v>
      </c>
      <c r="AH263" s="17">
        <f>0+25266</f>
        <v>25266</v>
      </c>
      <c r="AI263" s="10">
        <v>66468.098199999993</v>
      </c>
      <c r="AJ263" s="10">
        <v>52584</v>
      </c>
      <c r="AK263" s="31">
        <v>25266</v>
      </c>
      <c r="AL263" s="10">
        <v>27029.435180000004</v>
      </c>
      <c r="AM263" s="10">
        <v>21899</v>
      </c>
      <c r="AN263" s="31">
        <v>25266</v>
      </c>
      <c r="AO263" s="10">
        <v>27164.907080000004</v>
      </c>
      <c r="AP263" s="10">
        <v>22563</v>
      </c>
      <c r="AQ263" s="31">
        <v>25266</v>
      </c>
    </row>
    <row r="264" spans="1:43">
      <c r="A264" s="102">
        <v>255</v>
      </c>
      <c r="B264" s="7" t="s">
        <v>1960</v>
      </c>
      <c r="C264" s="103">
        <v>46.98</v>
      </c>
      <c r="D264" s="62">
        <v>0</v>
      </c>
      <c r="E264" s="37">
        <v>0</v>
      </c>
      <c r="F264" s="62">
        <v>0</v>
      </c>
      <c r="G264" s="62">
        <v>0</v>
      </c>
      <c r="H264" s="62">
        <v>0</v>
      </c>
      <c r="I264" s="62">
        <v>0</v>
      </c>
      <c r="J264" s="62">
        <v>0</v>
      </c>
      <c r="K264" s="62">
        <v>0</v>
      </c>
      <c r="L264" s="62">
        <v>0</v>
      </c>
      <c r="M264" s="62">
        <v>0</v>
      </c>
      <c r="N264" s="62">
        <v>0</v>
      </c>
      <c r="O264" s="62">
        <v>0</v>
      </c>
      <c r="P264" s="62">
        <v>0</v>
      </c>
      <c r="Q264" s="62">
        <v>0</v>
      </c>
      <c r="R264" s="62">
        <v>0</v>
      </c>
      <c r="S264" s="62">
        <v>0</v>
      </c>
      <c r="T264" s="62">
        <v>0</v>
      </c>
      <c r="U264" s="62">
        <v>0</v>
      </c>
      <c r="V264" s="62">
        <v>0</v>
      </c>
      <c r="W264" s="62">
        <v>0</v>
      </c>
      <c r="X264" s="62">
        <v>0</v>
      </c>
      <c r="Y264" s="62">
        <v>0</v>
      </c>
      <c r="Z264" s="62">
        <v>0</v>
      </c>
      <c r="AA264" s="62">
        <v>0</v>
      </c>
      <c r="AB264" s="62">
        <v>0</v>
      </c>
      <c r="AC264" s="10">
        <v>0</v>
      </c>
      <c r="AD264" s="10">
        <v>0</v>
      </c>
      <c r="AE264" s="10">
        <v>0</v>
      </c>
      <c r="AF264" s="10">
        <v>0</v>
      </c>
      <c r="AG264" s="10">
        <v>0</v>
      </c>
      <c r="AH264" s="10">
        <v>0</v>
      </c>
      <c r="AI264" s="10">
        <v>0</v>
      </c>
      <c r="AJ264" s="10">
        <v>0</v>
      </c>
      <c r="AK264" s="31">
        <v>0</v>
      </c>
      <c r="AL264" s="10">
        <v>0</v>
      </c>
      <c r="AM264" s="10">
        <v>0</v>
      </c>
      <c r="AN264" s="31">
        <v>0</v>
      </c>
      <c r="AO264" s="10">
        <v>0</v>
      </c>
      <c r="AP264" s="10">
        <v>0</v>
      </c>
      <c r="AQ264" s="31">
        <v>0</v>
      </c>
    </row>
    <row r="265" spans="1:43">
      <c r="A265" s="102">
        <v>256</v>
      </c>
      <c r="B265" s="7" t="s">
        <v>1961</v>
      </c>
      <c r="C265" s="103">
        <v>57.57</v>
      </c>
      <c r="D265" s="62">
        <v>244989</v>
      </c>
      <c r="E265" s="37">
        <v>94511</v>
      </c>
      <c r="F265" s="62">
        <v>150478</v>
      </c>
      <c r="G265" s="62">
        <v>183566.83</v>
      </c>
      <c r="H265" s="62">
        <v>77676</v>
      </c>
      <c r="I265" s="62">
        <v>151228</v>
      </c>
      <c r="J265" s="62">
        <v>226187.09</v>
      </c>
      <c r="K265" s="62">
        <v>88946</v>
      </c>
      <c r="L265" s="62">
        <v>178215</v>
      </c>
      <c r="M265" s="62">
        <v>225960.41</v>
      </c>
      <c r="N265" s="62">
        <v>85118</v>
      </c>
      <c r="O265" s="62">
        <v>179065</v>
      </c>
      <c r="P265" s="62">
        <v>0</v>
      </c>
      <c r="Q265" s="62">
        <v>232829.66715406702</v>
      </c>
      <c r="R265" s="62">
        <v>86171</v>
      </c>
      <c r="S265" s="62">
        <v>175484</v>
      </c>
      <c r="T265" s="62">
        <v>0</v>
      </c>
      <c r="U265" s="62">
        <v>191599.70616</v>
      </c>
      <c r="V265" s="62">
        <v>75063</v>
      </c>
      <c r="W265" s="62">
        <v>168465</v>
      </c>
      <c r="X265" s="62">
        <v>0</v>
      </c>
      <c r="Y265" s="62">
        <v>0</v>
      </c>
      <c r="Z265" s="62">
        <v>207260.47</v>
      </c>
      <c r="AA265" s="62">
        <v>79133</v>
      </c>
      <c r="AB265" s="62">
        <v>168465</v>
      </c>
      <c r="AC265" s="10">
        <v>189431.25</v>
      </c>
      <c r="AD265" s="10">
        <v>72090</v>
      </c>
      <c r="AE265" s="10">
        <v>168465</v>
      </c>
      <c r="AF265" s="10">
        <v>205261.50999999998</v>
      </c>
      <c r="AG265" s="10">
        <v>81982</v>
      </c>
      <c r="AH265" s="10">
        <v>168465</v>
      </c>
      <c r="AI265" s="10">
        <v>220031.55</v>
      </c>
      <c r="AJ265" s="10">
        <v>83474</v>
      </c>
      <c r="AK265" s="31">
        <v>168465</v>
      </c>
      <c r="AL265" s="10">
        <v>210131.86</v>
      </c>
      <c r="AM265" s="10">
        <v>84199</v>
      </c>
      <c r="AN265" s="31">
        <v>168465</v>
      </c>
      <c r="AO265" s="10">
        <v>236011.40000000002</v>
      </c>
      <c r="AP265" s="10">
        <v>100692</v>
      </c>
      <c r="AQ265" s="31">
        <v>168465</v>
      </c>
    </row>
    <row r="266" spans="1:43">
      <c r="A266" s="102">
        <v>257</v>
      </c>
      <c r="B266" s="7" t="s">
        <v>1962</v>
      </c>
      <c r="C266" s="103">
        <v>56.38</v>
      </c>
      <c r="D266" s="62">
        <v>9796</v>
      </c>
      <c r="E266" s="37">
        <v>4598</v>
      </c>
      <c r="F266" s="62">
        <v>8945.2000000000007</v>
      </c>
      <c r="G266" s="62">
        <v>10849.66</v>
      </c>
      <c r="H266" s="62">
        <v>4565</v>
      </c>
      <c r="I266" s="62">
        <v>9555.2000000000007</v>
      </c>
      <c r="J266" s="62">
        <v>11355.27</v>
      </c>
      <c r="K266" s="62">
        <v>4214</v>
      </c>
      <c r="L266" s="62">
        <v>9848.2000000000007</v>
      </c>
      <c r="M266" s="62">
        <v>11943.49</v>
      </c>
      <c r="N266" s="62">
        <v>4379</v>
      </c>
      <c r="O266" s="62">
        <v>10197.200000000001</v>
      </c>
      <c r="P266" s="62">
        <v>0</v>
      </c>
      <c r="Q266" s="62">
        <v>0</v>
      </c>
      <c r="R266" s="62">
        <v>0</v>
      </c>
      <c r="S266" s="62">
        <v>9993</v>
      </c>
      <c r="T266" s="62">
        <v>0</v>
      </c>
      <c r="U266" s="62">
        <v>0</v>
      </c>
      <c r="V266" s="62">
        <v>0</v>
      </c>
      <c r="W266" s="62">
        <v>0</v>
      </c>
      <c r="X266" s="62">
        <v>0</v>
      </c>
      <c r="Y266" s="62">
        <v>0</v>
      </c>
      <c r="Z266" s="62">
        <v>0</v>
      </c>
      <c r="AA266" s="62">
        <v>0</v>
      </c>
      <c r="AB266" s="62">
        <v>0</v>
      </c>
      <c r="AC266" s="10">
        <v>0</v>
      </c>
      <c r="AD266" s="10">
        <v>0</v>
      </c>
      <c r="AE266" s="10">
        <v>0</v>
      </c>
      <c r="AF266" s="10">
        <v>0</v>
      </c>
      <c r="AG266" s="10">
        <v>0</v>
      </c>
      <c r="AH266" s="10">
        <v>0</v>
      </c>
      <c r="AI266" s="10">
        <v>0</v>
      </c>
      <c r="AJ266" s="10">
        <v>0</v>
      </c>
      <c r="AK266" s="31">
        <v>0</v>
      </c>
      <c r="AL266" s="10">
        <v>13199.960000000001</v>
      </c>
      <c r="AM266" s="10">
        <v>5917</v>
      </c>
      <c r="AN266" s="31">
        <v>7283</v>
      </c>
      <c r="AO266" s="10">
        <v>0</v>
      </c>
      <c r="AP266" s="10">
        <v>0</v>
      </c>
      <c r="AQ266" s="31">
        <v>0</v>
      </c>
    </row>
    <row r="267" spans="1:43">
      <c r="A267" s="102">
        <v>258</v>
      </c>
      <c r="B267" s="7" t="s">
        <v>1963</v>
      </c>
      <c r="C267" s="103">
        <v>40.79</v>
      </c>
      <c r="D267" s="62">
        <v>39985833</v>
      </c>
      <c r="E267" s="37">
        <v>29992288</v>
      </c>
      <c r="F267" s="62">
        <v>10536329.999999998</v>
      </c>
      <c r="G267" s="62">
        <v>42136154.640000001</v>
      </c>
      <c r="H267" s="62">
        <v>30487993</v>
      </c>
      <c r="I267" s="62">
        <v>11648162</v>
      </c>
      <c r="J267" s="62">
        <v>42852484.075050555</v>
      </c>
      <c r="K267" s="62">
        <v>30556126</v>
      </c>
      <c r="L267" s="62">
        <v>12876914</v>
      </c>
      <c r="M267" s="62">
        <v>44915008.079999983</v>
      </c>
      <c r="N267" s="62">
        <v>30543822</v>
      </c>
      <c r="O267" s="62">
        <v>12859851</v>
      </c>
      <c r="P267" s="62">
        <v>1511335</v>
      </c>
      <c r="Q267" s="62">
        <v>47512497.335793309</v>
      </c>
      <c r="R267" s="62">
        <v>30403931</v>
      </c>
      <c r="S267" s="62">
        <v>14083762</v>
      </c>
      <c r="T267" s="62">
        <v>3024804</v>
      </c>
      <c r="U267" s="62">
        <v>47422424.260079995</v>
      </c>
      <c r="V267" s="62">
        <v>30121364</v>
      </c>
      <c r="W267" s="62">
        <v>16969097</v>
      </c>
      <c r="X267" s="62">
        <v>91098</v>
      </c>
      <c r="Y267" s="62">
        <v>240865</v>
      </c>
      <c r="Z267" s="62">
        <v>49075889.510000005</v>
      </c>
      <c r="AA267" s="62">
        <v>30553623</v>
      </c>
      <c r="AB267" s="62">
        <v>18522267</v>
      </c>
      <c r="AC267" s="10">
        <v>51691291.730000004</v>
      </c>
      <c r="AD267" s="10">
        <v>31398532</v>
      </c>
      <c r="AE267" s="10">
        <v>20759584.19116275</v>
      </c>
      <c r="AF267" s="10">
        <v>51136476.850000001</v>
      </c>
      <c r="AG267" s="10">
        <v>31823721</v>
      </c>
      <c r="AH267" s="17">
        <f>20879459.1911628+134752</f>
        <v>21014211.191162799</v>
      </c>
      <c r="AI267" s="10">
        <v>52070759.630000003</v>
      </c>
      <c r="AJ267" s="10">
        <v>31881386</v>
      </c>
      <c r="AK267" s="31">
        <v>21231627.191162799</v>
      </c>
      <c r="AL267" s="10">
        <v>52542429.829999998</v>
      </c>
      <c r="AM267" s="10">
        <v>31669846</v>
      </c>
      <c r="AN267" s="31">
        <v>21348402.191162799</v>
      </c>
      <c r="AO267" s="10">
        <v>52561026.710000008</v>
      </c>
      <c r="AP267" s="10">
        <v>31386760</v>
      </c>
      <c r="AQ267" s="31">
        <v>21600632.191162799</v>
      </c>
    </row>
    <row r="268" spans="1:43">
      <c r="A268" s="102">
        <v>259</v>
      </c>
      <c r="B268" s="7" t="s">
        <v>1964</v>
      </c>
      <c r="C268" s="103">
        <v>17.5</v>
      </c>
      <c r="D268" s="62">
        <v>0</v>
      </c>
      <c r="E268" s="37">
        <v>0</v>
      </c>
      <c r="F268" s="62">
        <v>0</v>
      </c>
      <c r="G268" s="62">
        <v>0</v>
      </c>
      <c r="H268" s="62">
        <v>0</v>
      </c>
      <c r="I268" s="62">
        <v>0</v>
      </c>
      <c r="J268" s="62">
        <v>0</v>
      </c>
      <c r="K268" s="62">
        <v>0</v>
      </c>
      <c r="L268" s="62">
        <v>0</v>
      </c>
      <c r="M268" s="62">
        <v>0</v>
      </c>
      <c r="N268" s="62">
        <v>0</v>
      </c>
      <c r="O268" s="62">
        <v>0</v>
      </c>
      <c r="P268" s="62">
        <v>0</v>
      </c>
      <c r="Q268" s="62">
        <v>0</v>
      </c>
      <c r="R268" s="62">
        <v>0</v>
      </c>
      <c r="S268" s="62">
        <v>0</v>
      </c>
      <c r="T268" s="62">
        <v>0</v>
      </c>
      <c r="U268" s="62">
        <v>0</v>
      </c>
      <c r="V268" s="62">
        <v>0</v>
      </c>
      <c r="W268" s="62">
        <v>0</v>
      </c>
      <c r="X268" s="62">
        <v>0</v>
      </c>
      <c r="Y268" s="62">
        <v>0</v>
      </c>
      <c r="Z268" s="62">
        <v>0</v>
      </c>
      <c r="AA268" s="62">
        <v>0</v>
      </c>
      <c r="AB268" s="62">
        <v>0</v>
      </c>
      <c r="AC268" s="10">
        <v>0</v>
      </c>
      <c r="AD268" s="10">
        <v>0</v>
      </c>
      <c r="AE268" s="10">
        <v>0</v>
      </c>
      <c r="AF268" s="10">
        <v>0</v>
      </c>
      <c r="AG268" s="10">
        <v>0</v>
      </c>
      <c r="AH268" s="17">
        <f>0+33688</f>
        <v>33688</v>
      </c>
      <c r="AI268" s="10">
        <v>52019.6</v>
      </c>
      <c r="AJ268" s="10">
        <v>44990</v>
      </c>
      <c r="AK268" s="31">
        <v>33688</v>
      </c>
      <c r="AL268" s="10">
        <v>79199.760000000009</v>
      </c>
      <c r="AM268" s="10">
        <v>67740</v>
      </c>
      <c r="AN268" s="31">
        <v>33688</v>
      </c>
      <c r="AO268" s="10">
        <v>79025.52</v>
      </c>
      <c r="AP268" s="10">
        <v>66069</v>
      </c>
      <c r="AQ268" s="31">
        <v>33688</v>
      </c>
    </row>
    <row r="269" spans="1:43">
      <c r="A269" s="102">
        <v>260</v>
      </c>
      <c r="B269" s="7" t="s">
        <v>1965</v>
      </c>
      <c r="C269" s="103">
        <v>17.5</v>
      </c>
      <c r="D269" s="62">
        <v>0</v>
      </c>
      <c r="E269" s="37">
        <v>0</v>
      </c>
      <c r="F269" s="62">
        <v>0</v>
      </c>
      <c r="G269" s="62">
        <v>0</v>
      </c>
      <c r="H269" s="62">
        <v>0</v>
      </c>
      <c r="I269" s="62">
        <v>0</v>
      </c>
      <c r="J269" s="62">
        <v>0</v>
      </c>
      <c r="K269" s="62">
        <v>0</v>
      </c>
      <c r="L269" s="62">
        <v>0</v>
      </c>
      <c r="M269" s="62">
        <v>0</v>
      </c>
      <c r="N269" s="62">
        <v>0</v>
      </c>
      <c r="O269" s="62">
        <v>0</v>
      </c>
      <c r="P269" s="62">
        <v>0</v>
      </c>
      <c r="Q269" s="62">
        <v>0</v>
      </c>
      <c r="R269" s="62">
        <v>0</v>
      </c>
      <c r="S269" s="62">
        <v>0</v>
      </c>
      <c r="T269" s="62">
        <v>0</v>
      </c>
      <c r="U269" s="62">
        <v>0</v>
      </c>
      <c r="V269" s="62">
        <v>0</v>
      </c>
      <c r="W269" s="62">
        <v>0</v>
      </c>
      <c r="X269" s="62">
        <v>0</v>
      </c>
      <c r="Y269" s="62">
        <v>0</v>
      </c>
      <c r="Z269" s="62">
        <v>0</v>
      </c>
      <c r="AA269" s="62">
        <v>0</v>
      </c>
      <c r="AB269" s="62">
        <v>0</v>
      </c>
      <c r="AC269" s="10">
        <v>0</v>
      </c>
      <c r="AD269" s="10">
        <v>0</v>
      </c>
      <c r="AE269" s="10">
        <v>0</v>
      </c>
      <c r="AF269" s="10">
        <v>0</v>
      </c>
      <c r="AG269" s="10">
        <v>0</v>
      </c>
      <c r="AH269" s="10">
        <v>0</v>
      </c>
      <c r="AI269" s="10">
        <v>0</v>
      </c>
      <c r="AJ269" s="10">
        <v>0</v>
      </c>
      <c r="AK269" s="31">
        <v>0</v>
      </c>
      <c r="AL269" s="10">
        <v>0</v>
      </c>
      <c r="AM269" s="10">
        <v>0</v>
      </c>
      <c r="AN269" s="31">
        <v>0</v>
      </c>
      <c r="AO269" s="10">
        <v>0</v>
      </c>
      <c r="AP269" s="10">
        <v>0</v>
      </c>
      <c r="AQ269" s="31">
        <v>0</v>
      </c>
    </row>
    <row r="270" spans="1:43">
      <c r="A270" s="102">
        <v>261</v>
      </c>
      <c r="B270" s="7" t="s">
        <v>1966</v>
      </c>
      <c r="C270" s="103">
        <v>17.5</v>
      </c>
      <c r="D270" s="62">
        <v>27631550</v>
      </c>
      <c r="E270" s="37">
        <v>23236639</v>
      </c>
      <c r="F270" s="62">
        <v>5651356.0000000019</v>
      </c>
      <c r="G270" s="62">
        <v>28541824.359999999</v>
      </c>
      <c r="H270" s="62">
        <v>23538127</v>
      </c>
      <c r="I270" s="62">
        <v>6229598.0000000019</v>
      </c>
      <c r="J270" s="62">
        <v>29371842.072332684</v>
      </c>
      <c r="K270" s="62">
        <v>23681935</v>
      </c>
      <c r="L270" s="62">
        <v>6694018.0000000019</v>
      </c>
      <c r="M270" s="62">
        <v>29341477.619999997</v>
      </c>
      <c r="N270" s="62">
        <v>23800113</v>
      </c>
      <c r="O270" s="62">
        <v>6150491.0000000019</v>
      </c>
      <c r="P270" s="62">
        <v>722827</v>
      </c>
      <c r="Q270" s="62">
        <v>30244193.036922485</v>
      </c>
      <c r="R270" s="62">
        <v>24197825</v>
      </c>
      <c r="S270" s="62">
        <v>6735852</v>
      </c>
      <c r="T270" s="62">
        <v>0</v>
      </c>
      <c r="U270" s="62">
        <v>29670856.676279996</v>
      </c>
      <c r="V270" s="62">
        <v>24024554</v>
      </c>
      <c r="W270" s="62">
        <v>6342344</v>
      </c>
      <c r="X270" s="62">
        <v>34049</v>
      </c>
      <c r="Y270" s="62">
        <v>449184</v>
      </c>
      <c r="Z270" s="62">
        <v>28621462.630000006</v>
      </c>
      <c r="AA270" s="62">
        <v>24051894</v>
      </c>
      <c r="AB270" s="62">
        <v>6376393</v>
      </c>
      <c r="AC270" s="10">
        <v>29161934.479999997</v>
      </c>
      <c r="AD270" s="10">
        <v>24620229</v>
      </c>
      <c r="AE270" s="10">
        <v>6508793</v>
      </c>
      <c r="AF270" s="10">
        <v>28830810.450000003</v>
      </c>
      <c r="AG270" s="10">
        <v>24951122</v>
      </c>
      <c r="AH270" s="10">
        <v>6588268</v>
      </c>
      <c r="AI270" s="10">
        <v>28304004.249999989</v>
      </c>
      <c r="AJ270" s="10">
        <v>24542435</v>
      </c>
      <c r="AK270" s="31">
        <v>6665593</v>
      </c>
      <c r="AL270" s="10">
        <v>27987804.329999994</v>
      </c>
      <c r="AM270" s="10">
        <v>24211459</v>
      </c>
      <c r="AN270" s="31">
        <v>6740018</v>
      </c>
      <c r="AO270" s="10">
        <v>27982398.590000007</v>
      </c>
      <c r="AP270" s="10">
        <v>23359532</v>
      </c>
      <c r="AQ270" s="31">
        <v>6902818</v>
      </c>
    </row>
    <row r="271" spans="1:43">
      <c r="A271" s="102">
        <v>262</v>
      </c>
      <c r="B271" s="7" t="s">
        <v>1967</v>
      </c>
      <c r="C271" s="103">
        <v>17.5</v>
      </c>
      <c r="D271" s="62">
        <v>22412040</v>
      </c>
      <c r="E271" s="37">
        <v>22359654</v>
      </c>
      <c r="F271" s="62">
        <v>3538314.4</v>
      </c>
      <c r="G271" s="62">
        <v>24160470.339740004</v>
      </c>
      <c r="H271" s="62">
        <v>22578923</v>
      </c>
      <c r="I271" s="62">
        <v>3844289.4</v>
      </c>
      <c r="J271" s="62">
        <v>24646309.885408901</v>
      </c>
      <c r="K271" s="62">
        <v>22714754</v>
      </c>
      <c r="L271" s="62">
        <v>3997139.4</v>
      </c>
      <c r="M271" s="62">
        <v>25756505.726459999</v>
      </c>
      <c r="N271" s="62">
        <v>22756006</v>
      </c>
      <c r="O271" s="62">
        <v>3750635.4</v>
      </c>
      <c r="P271" s="62">
        <v>440788</v>
      </c>
      <c r="Q271" s="62">
        <v>26465118.450756904</v>
      </c>
      <c r="R271" s="62">
        <v>22613204</v>
      </c>
      <c r="S271" s="62">
        <v>4107595</v>
      </c>
      <c r="T271" s="62">
        <v>0</v>
      </c>
      <c r="U271" s="62">
        <v>25120399.373848077</v>
      </c>
      <c r="V271" s="62">
        <v>22610471</v>
      </c>
      <c r="W271" s="62">
        <v>3867629</v>
      </c>
      <c r="X271" s="62">
        <v>20763</v>
      </c>
      <c r="Y271" s="62">
        <v>290803</v>
      </c>
      <c r="Z271" s="62">
        <v>25149470.265000004</v>
      </c>
      <c r="AA271" s="62">
        <v>22560247</v>
      </c>
      <c r="AB271" s="62">
        <v>3888392</v>
      </c>
      <c r="AC271" s="10">
        <v>26683232.319300003</v>
      </c>
      <c r="AD271" s="10">
        <v>22948688</v>
      </c>
      <c r="AE271" s="10">
        <v>4144389.7674957826</v>
      </c>
      <c r="AF271" s="10">
        <v>28162538.90636</v>
      </c>
      <c r="AG271" s="10">
        <v>23659244</v>
      </c>
      <c r="AH271" s="17">
        <f>4883463.0180176+202129</f>
        <v>5085592.0180176003</v>
      </c>
      <c r="AI271" s="10">
        <v>28469688.994549997</v>
      </c>
      <c r="AJ271" s="10">
        <v>23886601</v>
      </c>
      <c r="AK271" s="31">
        <v>5266627.0180176003</v>
      </c>
      <c r="AL271" s="10">
        <v>28704386.50144</v>
      </c>
      <c r="AM271" s="10">
        <v>24111062</v>
      </c>
      <c r="AN271" s="31">
        <v>5338002.0180176003</v>
      </c>
      <c r="AO271" s="10">
        <v>27795391.629999999</v>
      </c>
      <c r="AP271" s="10">
        <v>23261068</v>
      </c>
      <c r="AQ271" s="31">
        <v>5488812.0180176003</v>
      </c>
    </row>
    <row r="272" spans="1:43">
      <c r="A272" s="102">
        <v>263</v>
      </c>
      <c r="B272" s="7" t="s">
        <v>1968</v>
      </c>
      <c r="C272" s="103">
        <v>51.64</v>
      </c>
      <c r="D272" s="62">
        <v>759317</v>
      </c>
      <c r="E272" s="37">
        <v>298094</v>
      </c>
      <c r="F272" s="62">
        <v>461223</v>
      </c>
      <c r="G272" s="62">
        <v>819788.07</v>
      </c>
      <c r="H272" s="62">
        <v>322710</v>
      </c>
      <c r="I272" s="62">
        <v>499459</v>
      </c>
      <c r="J272" s="62">
        <v>805305.56435198744</v>
      </c>
      <c r="K272" s="62">
        <v>325832</v>
      </c>
      <c r="L272" s="62">
        <v>504459</v>
      </c>
      <c r="M272" s="62">
        <v>842480.55</v>
      </c>
      <c r="N272" s="62">
        <v>336900</v>
      </c>
      <c r="O272" s="62">
        <v>471826</v>
      </c>
      <c r="P272" s="62">
        <v>55451</v>
      </c>
      <c r="Q272" s="62">
        <v>868256.36446315795</v>
      </c>
      <c r="R272" s="62">
        <v>341085</v>
      </c>
      <c r="S272" s="62">
        <v>516731</v>
      </c>
      <c r="T272" s="62">
        <v>10440</v>
      </c>
      <c r="U272" s="62">
        <v>771221.57736</v>
      </c>
      <c r="V272" s="62">
        <v>360142</v>
      </c>
      <c r="W272" s="62">
        <v>496374</v>
      </c>
      <c r="X272" s="62">
        <v>2665</v>
      </c>
      <c r="Y272" s="62">
        <v>30432</v>
      </c>
      <c r="Z272" s="62">
        <v>690277.05</v>
      </c>
      <c r="AA272" s="62">
        <v>333540</v>
      </c>
      <c r="AB272" s="62">
        <v>499039</v>
      </c>
      <c r="AC272" s="10">
        <v>695640.89999999991</v>
      </c>
      <c r="AD272" s="10">
        <v>312586</v>
      </c>
      <c r="AE272" s="10">
        <v>502079</v>
      </c>
      <c r="AF272" s="10">
        <v>593525.96</v>
      </c>
      <c r="AG272" s="10">
        <v>291675</v>
      </c>
      <c r="AH272" s="10">
        <v>503704</v>
      </c>
      <c r="AI272" s="10">
        <v>600300.83000000007</v>
      </c>
      <c r="AJ272" s="10">
        <v>298627</v>
      </c>
      <c r="AK272" s="31">
        <v>505329</v>
      </c>
      <c r="AL272" s="10">
        <v>592852.67000000004</v>
      </c>
      <c r="AM272" s="10">
        <v>321122</v>
      </c>
      <c r="AN272" s="31">
        <v>506879</v>
      </c>
      <c r="AO272" s="10">
        <v>644284.77</v>
      </c>
      <c r="AP272" s="10">
        <v>314279</v>
      </c>
      <c r="AQ272" s="31">
        <v>510509</v>
      </c>
    </row>
    <row r="273" spans="1:43">
      <c r="A273" s="102">
        <v>264</v>
      </c>
      <c r="B273" s="7" t="s">
        <v>1969</v>
      </c>
      <c r="C273" s="103">
        <v>17.5</v>
      </c>
      <c r="D273" s="62">
        <v>21888018</v>
      </c>
      <c r="E273" s="37">
        <v>18307200</v>
      </c>
      <c r="F273" s="62">
        <v>3580818</v>
      </c>
      <c r="G273" s="62">
        <v>23195983.650910005</v>
      </c>
      <c r="H273" s="62">
        <v>19230638</v>
      </c>
      <c r="I273" s="62">
        <v>3965346</v>
      </c>
      <c r="J273" s="62">
        <v>24538930.345499434</v>
      </c>
      <c r="K273" s="62">
        <v>20008979</v>
      </c>
      <c r="L273" s="62">
        <v>4529951</v>
      </c>
      <c r="M273" s="62">
        <v>26018135.560409993</v>
      </c>
      <c r="N273" s="62">
        <v>20809421</v>
      </c>
      <c r="O273" s="62">
        <v>4660944</v>
      </c>
      <c r="P273" s="62">
        <v>547771</v>
      </c>
      <c r="Q273" s="62">
        <v>26573232.383127034</v>
      </c>
      <c r="R273" s="62">
        <v>21922917</v>
      </c>
      <c r="S273" s="62">
        <v>5104541</v>
      </c>
      <c r="T273" s="62">
        <v>0</v>
      </c>
      <c r="U273" s="62">
        <v>26489575.520701922</v>
      </c>
      <c r="V273" s="62">
        <v>22264352</v>
      </c>
      <c r="W273" s="62">
        <v>4806334</v>
      </c>
      <c r="X273" s="62">
        <v>25802</v>
      </c>
      <c r="Y273" s="62">
        <v>351455</v>
      </c>
      <c r="Z273" s="62">
        <v>26874930.164800003</v>
      </c>
      <c r="AA273" s="62">
        <v>22799362</v>
      </c>
      <c r="AB273" s="62">
        <v>4832136</v>
      </c>
      <c r="AC273" s="10">
        <v>27918935.093200006</v>
      </c>
      <c r="AD273" s="10">
        <v>23462809</v>
      </c>
      <c r="AE273" s="10">
        <v>4957576</v>
      </c>
      <c r="AF273" s="10">
        <v>28025063.522399995</v>
      </c>
      <c r="AG273" s="10">
        <v>24028869</v>
      </c>
      <c r="AH273" s="10">
        <v>5034826</v>
      </c>
      <c r="AI273" s="10">
        <v>27783603.550999999</v>
      </c>
      <c r="AJ273" s="10">
        <v>23886438</v>
      </c>
      <c r="AK273" s="31">
        <v>5110701</v>
      </c>
      <c r="AL273" s="10">
        <v>28197733.99712</v>
      </c>
      <c r="AM273" s="10">
        <v>24057987</v>
      </c>
      <c r="AN273" s="31">
        <v>5185901</v>
      </c>
      <c r="AO273" s="10">
        <v>27740691.55742</v>
      </c>
      <c r="AP273" s="10">
        <v>23172735</v>
      </c>
      <c r="AQ273" s="31">
        <v>5346391</v>
      </c>
    </row>
    <row r="274" spans="1:43">
      <c r="A274" s="102">
        <v>265</v>
      </c>
      <c r="B274" s="7" t="s">
        <v>1970</v>
      </c>
      <c r="C274" s="103">
        <v>24.51</v>
      </c>
      <c r="D274" s="62">
        <v>16068884</v>
      </c>
      <c r="E274" s="37">
        <v>14714809</v>
      </c>
      <c r="F274" s="62">
        <v>3044575.2</v>
      </c>
      <c r="G274" s="62">
        <v>16695154.580000002</v>
      </c>
      <c r="H274" s="62">
        <v>14553529</v>
      </c>
      <c r="I274" s="62">
        <v>3620014.2</v>
      </c>
      <c r="J274" s="62">
        <v>17298382.43925048</v>
      </c>
      <c r="K274" s="62">
        <v>14521219</v>
      </c>
      <c r="L274" s="62">
        <v>4210223.2</v>
      </c>
      <c r="M274" s="62">
        <v>17542753.499999996</v>
      </c>
      <c r="N274" s="62">
        <v>14157726</v>
      </c>
      <c r="O274" s="62">
        <v>4120766.2</v>
      </c>
      <c r="P274" s="62">
        <v>484287</v>
      </c>
      <c r="Q274" s="62">
        <v>18026023.068662196</v>
      </c>
      <c r="R274" s="62">
        <v>14305874</v>
      </c>
      <c r="S274" s="62">
        <v>4512952</v>
      </c>
      <c r="T274" s="62">
        <v>0</v>
      </c>
      <c r="U274" s="62">
        <v>17708321.343119998</v>
      </c>
      <c r="V274" s="62">
        <v>14225007</v>
      </c>
      <c r="W274" s="62">
        <v>4249306</v>
      </c>
      <c r="X274" s="62">
        <v>22812</v>
      </c>
      <c r="Y274" s="62">
        <v>293384</v>
      </c>
      <c r="Z274" s="62">
        <v>18141473.569999997</v>
      </c>
      <c r="AA274" s="62">
        <v>14541315</v>
      </c>
      <c r="AB274" s="62">
        <v>4272118</v>
      </c>
      <c r="AC274" s="10">
        <v>18781878.59</v>
      </c>
      <c r="AD274" s="10">
        <v>14551240</v>
      </c>
      <c r="AE274" s="10">
        <v>4595356.15655425</v>
      </c>
      <c r="AF274" s="10">
        <v>18801442.079999998</v>
      </c>
      <c r="AG274" s="10">
        <v>14822067</v>
      </c>
      <c r="AH274" s="10">
        <v>4787529.9737716876</v>
      </c>
      <c r="AI274" s="10">
        <v>18854298.620000001</v>
      </c>
      <c r="AJ274" s="10">
        <v>14466350</v>
      </c>
      <c r="AK274" s="31">
        <v>4931239.9737716876</v>
      </c>
      <c r="AL274" s="10">
        <v>18460114.679999996</v>
      </c>
      <c r="AM274" s="10">
        <v>14348947</v>
      </c>
      <c r="AN274" s="31">
        <v>4979514.9737716876</v>
      </c>
      <c r="AO274" s="10">
        <v>18466575.149999999</v>
      </c>
      <c r="AP274" s="10">
        <v>14127909</v>
      </c>
      <c r="AQ274" s="31">
        <v>5086214.9737716876</v>
      </c>
    </row>
    <row r="275" spans="1:43">
      <c r="A275" s="102">
        <v>266</v>
      </c>
      <c r="B275" s="7" t="s">
        <v>1971</v>
      </c>
      <c r="C275" s="103">
        <v>19.53</v>
      </c>
      <c r="D275" s="62">
        <v>24896987</v>
      </c>
      <c r="E275" s="37">
        <v>18670749</v>
      </c>
      <c r="F275" s="62">
        <v>6270630.0000000009</v>
      </c>
      <c r="G275" s="62">
        <v>26202037.429339994</v>
      </c>
      <c r="H275" s="62">
        <v>19586419</v>
      </c>
      <c r="I275" s="62">
        <v>6615618</v>
      </c>
      <c r="J275" s="62">
        <v>27015017.202182684</v>
      </c>
      <c r="K275" s="62">
        <v>20567259</v>
      </c>
      <c r="L275" s="62">
        <v>6785118</v>
      </c>
      <c r="M275" s="62">
        <v>28024961.712149993</v>
      </c>
      <c r="N275" s="62">
        <v>21309075</v>
      </c>
      <c r="O275" s="62">
        <v>6231888</v>
      </c>
      <c r="P275" s="62">
        <v>732394</v>
      </c>
      <c r="Q275" s="62">
        <v>28860669.078239046</v>
      </c>
      <c r="R275" s="62">
        <v>22028864</v>
      </c>
      <c r="S275" s="62">
        <v>6824996</v>
      </c>
      <c r="T275" s="62">
        <v>6809</v>
      </c>
      <c r="U275" s="62">
        <v>28790563.702690437</v>
      </c>
      <c r="V275" s="62">
        <v>22591942</v>
      </c>
      <c r="W275" s="62">
        <v>6432692</v>
      </c>
      <c r="X275" s="62">
        <v>34533</v>
      </c>
      <c r="Y275" s="62">
        <v>448580</v>
      </c>
      <c r="Z275" s="62">
        <v>29804844.627760001</v>
      </c>
      <c r="AA275" s="62">
        <v>23242013</v>
      </c>
      <c r="AB275" s="62">
        <v>6562832</v>
      </c>
      <c r="AC275" s="10">
        <v>30203331.846320003</v>
      </c>
      <c r="AD275" s="10">
        <v>24076220</v>
      </c>
      <c r="AE275" s="10">
        <v>6695952</v>
      </c>
      <c r="AF275" s="10">
        <v>31456583.212149996</v>
      </c>
      <c r="AG275" s="10">
        <v>24940038</v>
      </c>
      <c r="AH275" s="10">
        <v>6780652</v>
      </c>
      <c r="AI275" s="10">
        <v>31433647.07305</v>
      </c>
      <c r="AJ275" s="10">
        <v>25641123</v>
      </c>
      <c r="AK275" s="31">
        <v>6865177</v>
      </c>
      <c r="AL275" s="10">
        <v>32275546.17168</v>
      </c>
      <c r="AM275" s="10">
        <v>26573303</v>
      </c>
      <c r="AN275" s="31">
        <v>6950527</v>
      </c>
      <c r="AO275" s="10">
        <v>32581200.061299995</v>
      </c>
      <c r="AP275" s="10">
        <v>26421487</v>
      </c>
      <c r="AQ275" s="31">
        <v>7138517</v>
      </c>
    </row>
    <row r="276" spans="1:43">
      <c r="A276" s="102">
        <v>267</v>
      </c>
      <c r="B276" s="7" t="s">
        <v>1972</v>
      </c>
      <c r="C276" s="103">
        <v>17.5</v>
      </c>
      <c r="D276" s="62">
        <v>19593</v>
      </c>
      <c r="E276" s="37">
        <v>10223</v>
      </c>
      <c r="F276" s="62">
        <v>9370</v>
      </c>
      <c r="G276" s="62">
        <v>43398.64</v>
      </c>
      <c r="H276" s="62">
        <v>32920</v>
      </c>
      <c r="I276" s="62">
        <v>14036</v>
      </c>
      <c r="J276" s="62">
        <v>45421.08</v>
      </c>
      <c r="K276" s="62">
        <v>40042</v>
      </c>
      <c r="L276" s="62">
        <v>14610</v>
      </c>
      <c r="M276" s="62">
        <v>35830.47</v>
      </c>
      <c r="N276" s="62">
        <v>28711</v>
      </c>
      <c r="O276" s="62">
        <v>14760</v>
      </c>
      <c r="P276" s="62">
        <v>0</v>
      </c>
      <c r="Q276" s="62">
        <v>36919.725014354073</v>
      </c>
      <c r="R276" s="62">
        <v>30951</v>
      </c>
      <c r="S276" s="62">
        <v>14465</v>
      </c>
      <c r="T276" s="62">
        <v>0</v>
      </c>
      <c r="U276" s="62">
        <v>24071.631359999999</v>
      </c>
      <c r="V276" s="62">
        <v>20857</v>
      </c>
      <c r="W276" s="62">
        <v>13886</v>
      </c>
      <c r="X276" s="62">
        <v>0</v>
      </c>
      <c r="Y276" s="62">
        <v>0</v>
      </c>
      <c r="Z276" s="62">
        <v>24500.14</v>
      </c>
      <c r="AA276" s="62">
        <v>21717</v>
      </c>
      <c r="AB276" s="62">
        <v>13886</v>
      </c>
      <c r="AC276" s="10">
        <v>50788.840000000004</v>
      </c>
      <c r="AD276" s="10">
        <v>46205</v>
      </c>
      <c r="AE276" s="10">
        <v>13886</v>
      </c>
      <c r="AF276" s="10">
        <v>64470.1</v>
      </c>
      <c r="AG276" s="10">
        <v>62545</v>
      </c>
      <c r="AH276" s="10">
        <v>13886</v>
      </c>
      <c r="AI276" s="10">
        <v>78029.39999999998</v>
      </c>
      <c r="AJ276" s="10">
        <v>70226</v>
      </c>
      <c r="AK276" s="31">
        <v>13886</v>
      </c>
      <c r="AL276" s="10">
        <v>92399.719999999987</v>
      </c>
      <c r="AM276" s="10">
        <v>80706</v>
      </c>
      <c r="AN276" s="31">
        <v>13886</v>
      </c>
      <c r="AO276" s="10">
        <v>105367.36000000002</v>
      </c>
      <c r="AP276" s="10">
        <v>88541</v>
      </c>
      <c r="AQ276" s="31">
        <v>16826</v>
      </c>
    </row>
    <row r="277" spans="1:43">
      <c r="A277" s="102">
        <v>268</v>
      </c>
      <c r="B277" s="7" t="s">
        <v>1973</v>
      </c>
      <c r="C277" s="103">
        <v>29.43</v>
      </c>
      <c r="D277" s="62">
        <v>0</v>
      </c>
      <c r="E277" s="37">
        <v>0</v>
      </c>
      <c r="F277" s="62">
        <v>0</v>
      </c>
      <c r="G277" s="62">
        <v>0</v>
      </c>
      <c r="H277" s="62">
        <v>0</v>
      </c>
      <c r="I277" s="62">
        <v>0</v>
      </c>
      <c r="J277" s="62">
        <v>0</v>
      </c>
      <c r="K277" s="62">
        <v>0</v>
      </c>
      <c r="L277" s="62">
        <v>0</v>
      </c>
      <c r="M277" s="62">
        <v>0</v>
      </c>
      <c r="N277" s="62">
        <v>0</v>
      </c>
      <c r="O277" s="62">
        <v>0</v>
      </c>
      <c r="P277" s="62">
        <v>0</v>
      </c>
      <c r="Q277" s="62">
        <v>0</v>
      </c>
      <c r="R277" s="62">
        <v>0</v>
      </c>
      <c r="S277" s="62">
        <v>0</v>
      </c>
      <c r="T277" s="62">
        <v>0</v>
      </c>
      <c r="U277" s="62">
        <v>12035.81568</v>
      </c>
      <c r="V277" s="62">
        <v>7620</v>
      </c>
      <c r="W277" s="62">
        <v>4416</v>
      </c>
      <c r="X277" s="62">
        <v>0</v>
      </c>
      <c r="Y277" s="62">
        <v>0</v>
      </c>
      <c r="Z277" s="62">
        <v>12250.07</v>
      </c>
      <c r="AA277" s="62">
        <v>7587</v>
      </c>
      <c r="AB277" s="62">
        <v>4663</v>
      </c>
      <c r="AC277" s="10">
        <v>12697.210000000001</v>
      </c>
      <c r="AD277" s="10">
        <v>8809</v>
      </c>
      <c r="AE277" s="10">
        <v>4663</v>
      </c>
      <c r="AF277" s="10">
        <v>12894.02</v>
      </c>
      <c r="AG277" s="10">
        <v>9180</v>
      </c>
      <c r="AH277" s="10">
        <v>4663</v>
      </c>
      <c r="AI277" s="10">
        <v>13004.9</v>
      </c>
      <c r="AJ277" s="10">
        <v>10008</v>
      </c>
      <c r="AK277" s="31">
        <v>4663</v>
      </c>
      <c r="AL277" s="10">
        <v>0</v>
      </c>
      <c r="AM277" s="10">
        <v>0</v>
      </c>
      <c r="AN277" s="31">
        <v>0</v>
      </c>
      <c r="AO277" s="10">
        <v>0</v>
      </c>
      <c r="AP277" s="10">
        <v>0</v>
      </c>
      <c r="AQ277" s="31">
        <v>0</v>
      </c>
    </row>
    <row r="278" spans="1:43">
      <c r="A278" s="102">
        <v>269</v>
      </c>
      <c r="B278" s="7" t="s">
        <v>1974</v>
      </c>
      <c r="C278" s="103">
        <v>17.5</v>
      </c>
      <c r="D278" s="62">
        <v>3380552</v>
      </c>
      <c r="E278" s="37">
        <v>3318579</v>
      </c>
      <c r="F278" s="62">
        <v>340731.2</v>
      </c>
      <c r="G278" s="62">
        <v>3421487.44172</v>
      </c>
      <c r="H278" s="62">
        <v>3345012</v>
      </c>
      <c r="I278" s="62">
        <v>392337.2</v>
      </c>
      <c r="J278" s="62">
        <v>3609943.9431416788</v>
      </c>
      <c r="K278" s="62">
        <v>3395988</v>
      </c>
      <c r="L278" s="62">
        <v>464158.2</v>
      </c>
      <c r="M278" s="62">
        <v>3944872.97248</v>
      </c>
      <c r="N278" s="62">
        <v>3531728</v>
      </c>
      <c r="O278" s="62">
        <v>482139.2</v>
      </c>
      <c r="P278" s="62">
        <v>56663</v>
      </c>
      <c r="Q278" s="62">
        <v>4018165.4634094238</v>
      </c>
      <c r="R278" s="62">
        <v>3568870</v>
      </c>
      <c r="S278" s="62">
        <v>528026</v>
      </c>
      <c r="T278" s="62">
        <v>0</v>
      </c>
      <c r="U278" s="62">
        <v>3616285.1801423398</v>
      </c>
      <c r="V278" s="62">
        <v>3274399</v>
      </c>
      <c r="W278" s="62">
        <v>497179</v>
      </c>
      <c r="X278" s="62">
        <v>2669</v>
      </c>
      <c r="Y278" s="62">
        <v>39428</v>
      </c>
      <c r="Z278" s="62">
        <v>3544554.8176799999</v>
      </c>
      <c r="AA278" s="62">
        <v>3168291</v>
      </c>
      <c r="AB278" s="62">
        <v>499848</v>
      </c>
      <c r="AC278" s="10">
        <v>3322207.8539100001</v>
      </c>
      <c r="AD278" s="10">
        <v>3024786</v>
      </c>
      <c r="AE278" s="10">
        <v>515408</v>
      </c>
      <c r="AF278" s="10">
        <v>3446195.4454399999</v>
      </c>
      <c r="AG278" s="10">
        <v>3128611</v>
      </c>
      <c r="AH278" s="10">
        <v>525258</v>
      </c>
      <c r="AI278" s="10">
        <v>3327431.3505500001</v>
      </c>
      <c r="AJ278" s="10">
        <v>2944257</v>
      </c>
      <c r="AK278" s="31">
        <v>545223</v>
      </c>
      <c r="AL278" s="10">
        <v>3380505.0839999993</v>
      </c>
      <c r="AM278" s="10">
        <v>2917753</v>
      </c>
      <c r="AN278" s="31">
        <v>554673</v>
      </c>
      <c r="AO278" s="10">
        <v>3478451.7794499998</v>
      </c>
      <c r="AP278" s="10">
        <v>2909277</v>
      </c>
      <c r="AQ278" s="31">
        <v>575738</v>
      </c>
    </row>
    <row r="279" spans="1:43">
      <c r="A279" s="102">
        <v>270</v>
      </c>
      <c r="B279" s="7" t="s">
        <v>1975</v>
      </c>
      <c r="C279" s="103">
        <v>44.91</v>
      </c>
      <c r="D279" s="62">
        <v>6819383</v>
      </c>
      <c r="E279" s="37">
        <v>2858481</v>
      </c>
      <c r="F279" s="62">
        <v>3995219</v>
      </c>
      <c r="G279" s="62">
        <v>7141364.7989100004</v>
      </c>
      <c r="H279" s="62">
        <v>3138806</v>
      </c>
      <c r="I279" s="62">
        <v>4154632</v>
      </c>
      <c r="J279" s="62">
        <v>7495917.7602271345</v>
      </c>
      <c r="K279" s="62">
        <v>3284354</v>
      </c>
      <c r="L279" s="62">
        <v>4330455</v>
      </c>
      <c r="M279" s="62">
        <v>7800802.5329999998</v>
      </c>
      <c r="N279" s="62">
        <v>3435489</v>
      </c>
      <c r="O279" s="62">
        <v>4012957</v>
      </c>
      <c r="P279" s="62">
        <v>471617</v>
      </c>
      <c r="Q279" s="62">
        <v>7655204.9791285908</v>
      </c>
      <c r="R279" s="62">
        <v>3754395</v>
      </c>
      <c r="S279" s="62">
        <v>4394883</v>
      </c>
      <c r="T279" s="62">
        <v>0</v>
      </c>
      <c r="U279" s="62">
        <v>12461</v>
      </c>
      <c r="V279" s="62">
        <v>6250.1276655997626</v>
      </c>
      <c r="W279" s="62">
        <v>6812</v>
      </c>
      <c r="X279" s="62">
        <v>37</v>
      </c>
      <c r="Y279" s="62">
        <v>420</v>
      </c>
      <c r="Z279" s="62">
        <v>0</v>
      </c>
      <c r="AA279" s="62">
        <v>0</v>
      </c>
      <c r="AB279" s="62">
        <v>0</v>
      </c>
      <c r="AC279" s="10">
        <v>0</v>
      </c>
      <c r="AD279" s="10">
        <v>0</v>
      </c>
      <c r="AE279" s="10">
        <v>0</v>
      </c>
      <c r="AF279" s="10">
        <v>0</v>
      </c>
      <c r="AG279" s="10">
        <v>0</v>
      </c>
      <c r="AH279" s="10">
        <v>0</v>
      </c>
      <c r="AI279" s="10">
        <v>0</v>
      </c>
      <c r="AJ279" s="10">
        <v>0</v>
      </c>
      <c r="AK279" s="31">
        <v>0</v>
      </c>
      <c r="AL279" s="10">
        <v>0</v>
      </c>
      <c r="AM279" s="10">
        <v>0</v>
      </c>
      <c r="AN279" s="31">
        <v>0</v>
      </c>
      <c r="AO279" s="10">
        <v>0</v>
      </c>
      <c r="AP279" s="10">
        <v>0</v>
      </c>
      <c r="AQ279" s="31">
        <v>0</v>
      </c>
    </row>
    <row r="280" spans="1:43">
      <c r="A280" s="102">
        <v>271</v>
      </c>
      <c r="B280" s="7" t="s">
        <v>1976</v>
      </c>
      <c r="C280" s="103">
        <v>20.76</v>
      </c>
      <c r="D280" s="62">
        <v>39662058</v>
      </c>
      <c r="E280" s="37">
        <v>25861451</v>
      </c>
      <c r="F280" s="62">
        <v>13800607</v>
      </c>
      <c r="G280" s="62">
        <v>43006922.329999998</v>
      </c>
      <c r="H280" s="62">
        <v>27107973</v>
      </c>
      <c r="I280" s="62">
        <v>15898949</v>
      </c>
      <c r="J280" s="62">
        <v>46216469.143160932</v>
      </c>
      <c r="K280" s="62">
        <v>28796799</v>
      </c>
      <c r="L280" s="62">
        <v>17419670</v>
      </c>
      <c r="M280" s="62">
        <v>49163922.700000003</v>
      </c>
      <c r="N280" s="62">
        <v>30297112</v>
      </c>
      <c r="O280" s="62">
        <v>16882697</v>
      </c>
      <c r="P280" s="62">
        <v>1984114</v>
      </c>
      <c r="Q280" s="62">
        <v>50640024.753362693</v>
      </c>
      <c r="R280" s="62">
        <v>31084837</v>
      </c>
      <c r="S280" s="62">
        <v>18489475</v>
      </c>
      <c r="T280" s="62">
        <v>1065713</v>
      </c>
      <c r="U280" s="62">
        <v>49767093.421020001</v>
      </c>
      <c r="V280" s="62">
        <v>32455678</v>
      </c>
      <c r="W280" s="62">
        <v>18412775</v>
      </c>
      <c r="X280" s="62">
        <v>98848</v>
      </c>
      <c r="Y280" s="62">
        <v>1189765</v>
      </c>
      <c r="Z280" s="62">
        <v>51780005.259999998</v>
      </c>
      <c r="AA280" s="62">
        <v>33692240</v>
      </c>
      <c r="AB280" s="62">
        <v>18511623</v>
      </c>
      <c r="AC280" s="10">
        <v>53574891.730000004</v>
      </c>
      <c r="AD280" s="10">
        <v>35083729</v>
      </c>
      <c r="AE280" s="10">
        <v>18748463</v>
      </c>
      <c r="AF280" s="10">
        <v>55072809.080000006</v>
      </c>
      <c r="AG280" s="10">
        <v>36553737</v>
      </c>
      <c r="AH280" s="10">
        <v>18897238</v>
      </c>
      <c r="AI280" s="10">
        <v>55423621.549999997</v>
      </c>
      <c r="AJ280" s="10">
        <v>38578814</v>
      </c>
      <c r="AK280" s="31">
        <v>19045813</v>
      </c>
      <c r="AL280" s="10">
        <v>57096131.690000013</v>
      </c>
      <c r="AM280" s="10">
        <v>40658212</v>
      </c>
      <c r="AN280" s="31">
        <v>19195638</v>
      </c>
      <c r="AO280" s="10">
        <v>56301993.68999999</v>
      </c>
      <c r="AP280" s="10">
        <v>42573214</v>
      </c>
      <c r="AQ280" s="31">
        <v>19524868</v>
      </c>
    </row>
    <row r="281" spans="1:43">
      <c r="A281" s="102">
        <v>272</v>
      </c>
      <c r="B281" s="7" t="s">
        <v>1977</v>
      </c>
      <c r="C281" s="103">
        <v>44.55</v>
      </c>
      <c r="D281" s="62">
        <v>980949</v>
      </c>
      <c r="E281" s="37">
        <v>744787</v>
      </c>
      <c r="F281" s="62">
        <v>465653.2</v>
      </c>
      <c r="G281" s="62">
        <v>1097675.33</v>
      </c>
      <c r="H281" s="62">
        <v>693858</v>
      </c>
      <c r="I281" s="62">
        <v>532129.19999999995</v>
      </c>
      <c r="J281" s="62">
        <v>1087472.3443519874</v>
      </c>
      <c r="K281" s="62">
        <v>671283</v>
      </c>
      <c r="L281" s="62">
        <v>540635.19999999995</v>
      </c>
      <c r="M281" s="62">
        <v>1238144.68</v>
      </c>
      <c r="N281" s="62">
        <v>732474</v>
      </c>
      <c r="O281" s="62">
        <v>551624.19999999995</v>
      </c>
      <c r="P281" s="62">
        <v>64829</v>
      </c>
      <c r="Q281" s="62">
        <v>1224192.060937799</v>
      </c>
      <c r="R281" s="62">
        <v>728091</v>
      </c>
      <c r="S281" s="62">
        <v>604124</v>
      </c>
      <c r="T281" s="62">
        <v>0</v>
      </c>
      <c r="U281" s="62">
        <v>1121281.2738600001</v>
      </c>
      <c r="V281" s="62">
        <v>660237</v>
      </c>
      <c r="W281" s="62">
        <v>568831</v>
      </c>
      <c r="X281" s="62">
        <v>3054</v>
      </c>
      <c r="Y281" s="62">
        <v>35764</v>
      </c>
      <c r="Z281" s="62">
        <v>1133132.5</v>
      </c>
      <c r="AA281" s="62">
        <v>652599</v>
      </c>
      <c r="AB281" s="62">
        <v>571885</v>
      </c>
      <c r="AC281" s="10">
        <v>1250486.46</v>
      </c>
      <c r="AD281" s="10">
        <v>696787</v>
      </c>
      <c r="AE281" s="10">
        <v>584974.46020800003</v>
      </c>
      <c r="AF281" s="10">
        <v>1178320.1300000001</v>
      </c>
      <c r="AG281" s="10">
        <v>657620</v>
      </c>
      <c r="AH281" s="10">
        <v>588274.46020800003</v>
      </c>
      <c r="AI281" s="10">
        <v>1268845.75</v>
      </c>
      <c r="AJ281" s="10">
        <v>689268</v>
      </c>
      <c r="AK281" s="31">
        <v>593590.46020800003</v>
      </c>
      <c r="AL281" s="10">
        <v>1336733.0899999999</v>
      </c>
      <c r="AM281" s="10">
        <v>723367</v>
      </c>
      <c r="AN281" s="31">
        <v>613366</v>
      </c>
      <c r="AO281" s="10">
        <v>1115064.6000000001</v>
      </c>
      <c r="AP281" s="10">
        <v>624029</v>
      </c>
      <c r="AQ281" s="31">
        <v>619856</v>
      </c>
    </row>
    <row r="282" spans="1:43">
      <c r="A282" s="102">
        <v>273</v>
      </c>
      <c r="B282" s="7" t="s">
        <v>1978</v>
      </c>
      <c r="C282" s="103">
        <v>39.46</v>
      </c>
      <c r="D282" s="62">
        <v>18801260</v>
      </c>
      <c r="E282" s="37">
        <v>18110659</v>
      </c>
      <c r="F282" s="62">
        <v>2685723.2</v>
      </c>
      <c r="G282" s="62">
        <v>19720957.539999995</v>
      </c>
      <c r="H282" s="62">
        <v>17515386</v>
      </c>
      <c r="I282" s="62">
        <v>3559416.2</v>
      </c>
      <c r="J282" s="62">
        <v>20657264.747334611</v>
      </c>
      <c r="K282" s="62">
        <v>16992794</v>
      </c>
      <c r="L282" s="62">
        <v>4521167.2</v>
      </c>
      <c r="M282" s="62">
        <v>21503415.919999998</v>
      </c>
      <c r="N282" s="62">
        <v>16475983</v>
      </c>
      <c r="O282" s="62">
        <v>4807347.2</v>
      </c>
      <c r="P282" s="62">
        <v>564976</v>
      </c>
      <c r="Q282" s="62">
        <v>21570952.204983734</v>
      </c>
      <c r="R282" s="62">
        <v>16298338</v>
      </c>
      <c r="S282" s="62">
        <v>5264877</v>
      </c>
      <c r="T282" s="62">
        <v>7737</v>
      </c>
      <c r="U282" s="62">
        <v>14275069</v>
      </c>
      <c r="V282" s="62">
        <v>10715794.64921918</v>
      </c>
      <c r="W282" s="62">
        <v>3499899</v>
      </c>
      <c r="X282" s="62">
        <v>19110</v>
      </c>
      <c r="Y282" s="62">
        <v>75402</v>
      </c>
      <c r="Z282" s="62">
        <v>14571529.510000002</v>
      </c>
      <c r="AA282" s="62">
        <v>10467269</v>
      </c>
      <c r="AB282" s="62">
        <v>4104261</v>
      </c>
      <c r="AC282" s="10">
        <v>15524516.379999997</v>
      </c>
      <c r="AD282" s="10">
        <v>10738045</v>
      </c>
      <c r="AE282" s="10">
        <v>5022377.9989644997</v>
      </c>
      <c r="AF282" s="10">
        <v>15769354.82</v>
      </c>
      <c r="AG282" s="10">
        <v>11107578</v>
      </c>
      <c r="AH282" s="10">
        <v>5109544.062146375</v>
      </c>
      <c r="AI282" s="10">
        <v>16069095.370000001</v>
      </c>
      <c r="AJ282" s="10">
        <v>11192906</v>
      </c>
      <c r="AK282" s="31">
        <v>5217678.062146375</v>
      </c>
      <c r="AL282" s="10">
        <v>16337259.259999998</v>
      </c>
      <c r="AM282" s="10">
        <v>11103046</v>
      </c>
      <c r="AN282" s="31">
        <v>5262728.062146375</v>
      </c>
      <c r="AO282" s="10">
        <v>16558627.16</v>
      </c>
      <c r="AP282" s="10">
        <v>10170448</v>
      </c>
      <c r="AQ282" s="31">
        <v>6388179</v>
      </c>
    </row>
    <row r="283" spans="1:43">
      <c r="A283" s="102">
        <v>274</v>
      </c>
      <c r="B283" s="7" t="s">
        <v>1979</v>
      </c>
      <c r="C283" s="103">
        <v>17.5</v>
      </c>
      <c r="D283" s="62">
        <v>51199725</v>
      </c>
      <c r="E283" s="37">
        <v>35731948</v>
      </c>
      <c r="F283" s="62">
        <v>19725438.800000001</v>
      </c>
      <c r="G283" s="62">
        <v>52325941.29772</v>
      </c>
      <c r="H283" s="62">
        <v>38065244</v>
      </c>
      <c r="I283" s="62">
        <v>19994838.800000001</v>
      </c>
      <c r="J283" s="62">
        <v>53650930.251636975</v>
      </c>
      <c r="K283" s="62">
        <v>40215930</v>
      </c>
      <c r="L283" s="62">
        <v>20255638.800000001</v>
      </c>
      <c r="M283" s="62">
        <v>55603076.77403</v>
      </c>
      <c r="N283" s="62">
        <v>42134230</v>
      </c>
      <c r="O283" s="62">
        <v>18431168.800000001</v>
      </c>
      <c r="P283" s="62">
        <v>2166096</v>
      </c>
      <c r="Q283" s="62">
        <v>57459406.133968234</v>
      </c>
      <c r="R283" s="62">
        <v>47404010</v>
      </c>
      <c r="S283" s="62">
        <v>20185320</v>
      </c>
      <c r="T283" s="62">
        <v>0</v>
      </c>
      <c r="U283" s="62">
        <v>56711003.467927195</v>
      </c>
      <c r="V283" s="62">
        <v>48121353</v>
      </c>
      <c r="W283" s="62">
        <v>19006095</v>
      </c>
      <c r="X283" s="62">
        <v>102033</v>
      </c>
      <c r="Y283" s="62">
        <v>1205842</v>
      </c>
      <c r="Z283" s="62">
        <v>58313543.709569983</v>
      </c>
      <c r="AA283" s="62">
        <v>48819464</v>
      </c>
      <c r="AB283" s="62">
        <v>19108128</v>
      </c>
      <c r="AC283" s="10">
        <v>60645451.388249993</v>
      </c>
      <c r="AD283" s="10">
        <v>50545090</v>
      </c>
      <c r="AE283" s="10">
        <v>19316888</v>
      </c>
      <c r="AF283" s="10">
        <v>61833356.366640002</v>
      </c>
      <c r="AG283" s="10">
        <v>51800992</v>
      </c>
      <c r="AH283" s="10">
        <v>19448713</v>
      </c>
      <c r="AI283" s="10">
        <v>62767269.546019986</v>
      </c>
      <c r="AJ283" s="10">
        <v>52703692</v>
      </c>
      <c r="AK283" s="31">
        <v>19582488</v>
      </c>
      <c r="AL283" s="10">
        <v>64208758.285060003</v>
      </c>
      <c r="AM283" s="10">
        <v>54026428</v>
      </c>
      <c r="AN283" s="31">
        <v>19717388</v>
      </c>
      <c r="AO283" s="10">
        <v>62011654.562320009</v>
      </c>
      <c r="AP283" s="10">
        <v>51954315</v>
      </c>
      <c r="AQ283" s="31">
        <v>20010098</v>
      </c>
    </row>
    <row r="284" spans="1:43">
      <c r="A284" s="102">
        <v>275</v>
      </c>
      <c r="B284" s="7" t="s">
        <v>1980</v>
      </c>
      <c r="C284" s="103">
        <v>34.9</v>
      </c>
      <c r="D284" s="62">
        <v>3817595</v>
      </c>
      <c r="E284" s="37">
        <v>1937134</v>
      </c>
      <c r="F284" s="62">
        <v>2294612</v>
      </c>
      <c r="G284" s="62">
        <v>4033879.67</v>
      </c>
      <c r="H284" s="62">
        <v>2117278</v>
      </c>
      <c r="I284" s="62">
        <v>2404074</v>
      </c>
      <c r="J284" s="62">
        <v>4219769.7429432645</v>
      </c>
      <c r="K284" s="62">
        <v>2252330</v>
      </c>
      <c r="L284" s="62">
        <v>2496629</v>
      </c>
      <c r="M284" s="62">
        <v>4454454.5199999996</v>
      </c>
      <c r="N284" s="62">
        <v>2332152</v>
      </c>
      <c r="O284" s="62">
        <v>2339180</v>
      </c>
      <c r="P284" s="62">
        <v>274909</v>
      </c>
      <c r="Q284" s="62">
        <v>4552925.5780440187</v>
      </c>
      <c r="R284" s="62">
        <v>2372375</v>
      </c>
      <c r="S284" s="62">
        <v>2561807</v>
      </c>
      <c r="T284" s="62">
        <v>0</v>
      </c>
      <c r="U284" s="62">
        <v>4426092.5655599991</v>
      </c>
      <c r="V284" s="62">
        <v>2463679</v>
      </c>
      <c r="W284" s="62">
        <v>2412147</v>
      </c>
      <c r="X284" s="62">
        <v>12949</v>
      </c>
      <c r="Y284" s="62">
        <v>149736</v>
      </c>
      <c r="Z284" s="62">
        <v>4394778.41</v>
      </c>
      <c r="AA284" s="62">
        <v>2552882</v>
      </c>
      <c r="AB284" s="62">
        <v>2425096</v>
      </c>
      <c r="AC284" s="10">
        <v>4300263.7899999991</v>
      </c>
      <c r="AD284" s="10">
        <v>2555321</v>
      </c>
      <c r="AE284" s="10">
        <v>2444176</v>
      </c>
      <c r="AF284" s="10">
        <v>4418126.47</v>
      </c>
      <c r="AG284" s="10">
        <v>2686385</v>
      </c>
      <c r="AH284" s="10">
        <v>2456276</v>
      </c>
      <c r="AI284" s="10">
        <v>4598039.57</v>
      </c>
      <c r="AJ284" s="10">
        <v>2840365</v>
      </c>
      <c r="AK284" s="31">
        <v>2468676</v>
      </c>
      <c r="AL284" s="10">
        <v>4683286.6400000006</v>
      </c>
      <c r="AM284" s="10">
        <v>2974492</v>
      </c>
      <c r="AN284" s="31">
        <v>2480926</v>
      </c>
      <c r="AO284" s="10">
        <v>4702769.24</v>
      </c>
      <c r="AP284" s="10">
        <v>3078158</v>
      </c>
      <c r="AQ284" s="31">
        <v>2507986</v>
      </c>
    </row>
    <row r="285" spans="1:43">
      <c r="A285" s="102">
        <v>276</v>
      </c>
      <c r="B285" s="7" t="s">
        <v>1981</v>
      </c>
      <c r="C285" s="103">
        <v>17.5</v>
      </c>
      <c r="D285" s="62">
        <v>10775916</v>
      </c>
      <c r="E285" s="37">
        <v>8618521</v>
      </c>
      <c r="F285" s="62">
        <v>2581627</v>
      </c>
      <c r="G285" s="62">
        <v>11112363.866560001</v>
      </c>
      <c r="H285" s="62">
        <v>8827786</v>
      </c>
      <c r="I285" s="62">
        <v>2657427</v>
      </c>
      <c r="J285" s="62">
        <v>11560282.354900939</v>
      </c>
      <c r="K285" s="62">
        <v>9325599</v>
      </c>
      <c r="L285" s="62">
        <v>2735813</v>
      </c>
      <c r="M285" s="62">
        <v>12278597.972959999</v>
      </c>
      <c r="N285" s="62">
        <v>9676623</v>
      </c>
      <c r="O285" s="62">
        <v>2560589</v>
      </c>
      <c r="P285" s="62">
        <v>300929</v>
      </c>
      <c r="Q285" s="62">
        <v>12791303.833687706</v>
      </c>
      <c r="R285" s="62">
        <v>10552826</v>
      </c>
      <c r="S285" s="62">
        <v>2804288</v>
      </c>
      <c r="T285" s="62">
        <v>0</v>
      </c>
      <c r="U285" s="62">
        <v>12125426.22289644</v>
      </c>
      <c r="V285" s="62">
        <v>10423982</v>
      </c>
      <c r="W285" s="62">
        <v>2640461</v>
      </c>
      <c r="X285" s="62">
        <v>14175</v>
      </c>
      <c r="Y285" s="62">
        <v>186952</v>
      </c>
      <c r="Z285" s="62">
        <v>12100378.3814</v>
      </c>
      <c r="AA285" s="62">
        <v>10488914</v>
      </c>
      <c r="AB285" s="62">
        <v>2654636</v>
      </c>
      <c r="AC285" s="10">
        <v>12191121.0648</v>
      </c>
      <c r="AD285" s="10">
        <v>10539005</v>
      </c>
      <c r="AE285" s="10">
        <v>2710636</v>
      </c>
      <c r="AF285" s="10">
        <v>12056861.715160001</v>
      </c>
      <c r="AG285" s="10">
        <v>10683506</v>
      </c>
      <c r="AH285" s="10">
        <v>2744686</v>
      </c>
      <c r="AI285" s="10">
        <v>11801364.191059999</v>
      </c>
      <c r="AJ285" s="10">
        <v>10384154</v>
      </c>
      <c r="AK285" s="31">
        <v>2777761</v>
      </c>
      <c r="AL285" s="10">
        <v>11574099.806239998</v>
      </c>
      <c r="AM285" s="10">
        <v>10152043</v>
      </c>
      <c r="AN285" s="31">
        <v>2809611</v>
      </c>
      <c r="AO285" s="10">
        <v>11260409.134279998</v>
      </c>
      <c r="AP285" s="10">
        <v>9485040</v>
      </c>
      <c r="AQ285" s="31">
        <v>2877481</v>
      </c>
    </row>
    <row r="286" spans="1:43">
      <c r="A286" s="102">
        <v>277</v>
      </c>
      <c r="B286" s="7" t="s">
        <v>1982</v>
      </c>
      <c r="C286" s="103">
        <v>73.48</v>
      </c>
      <c r="D286" s="62">
        <v>20428362</v>
      </c>
      <c r="E286" s="37">
        <v>5691750</v>
      </c>
      <c r="F286" s="62">
        <v>14736612</v>
      </c>
      <c r="G286" s="62">
        <v>20103131.259999998</v>
      </c>
      <c r="H286" s="62">
        <v>5866161</v>
      </c>
      <c r="I286" s="62">
        <v>14851612</v>
      </c>
      <c r="J286" s="62">
        <v>21509239.16868699</v>
      </c>
      <c r="K286" s="62">
        <v>5955255</v>
      </c>
      <c r="L286" s="62">
        <v>15829982</v>
      </c>
      <c r="M286" s="62">
        <v>22155409.049999997</v>
      </c>
      <c r="N286" s="62">
        <v>6064486</v>
      </c>
      <c r="O286" s="62">
        <v>14570274</v>
      </c>
      <c r="P286" s="62">
        <v>1712350</v>
      </c>
      <c r="Q286" s="62">
        <v>22728459.686706219</v>
      </c>
      <c r="R286" s="62">
        <v>6844242</v>
      </c>
      <c r="S286" s="62">
        <v>15956972</v>
      </c>
      <c r="T286" s="62">
        <v>0</v>
      </c>
      <c r="U286" s="62">
        <v>22931317.140119996</v>
      </c>
      <c r="V286" s="62">
        <v>6910142</v>
      </c>
      <c r="W286" s="62">
        <v>15713770</v>
      </c>
      <c r="X286" s="62">
        <v>84358</v>
      </c>
      <c r="Y286" s="62">
        <v>223047</v>
      </c>
      <c r="Z286" s="62">
        <v>24396090.530000005</v>
      </c>
      <c r="AA286" s="62">
        <v>7165928</v>
      </c>
      <c r="AB286" s="62">
        <v>17230163</v>
      </c>
      <c r="AC286" s="10">
        <v>25154189.23</v>
      </c>
      <c r="AD286" s="10">
        <v>7503317</v>
      </c>
      <c r="AE286" s="10">
        <v>17682899.236941002</v>
      </c>
      <c r="AF286" s="10">
        <v>26268571.68</v>
      </c>
      <c r="AG286" s="10">
        <v>7736324</v>
      </c>
      <c r="AH286" s="10">
        <v>18620961.75948</v>
      </c>
      <c r="AI286" s="10">
        <v>26907889.430000003</v>
      </c>
      <c r="AJ286" s="10">
        <v>7788520</v>
      </c>
      <c r="AK286" s="31">
        <v>19119369</v>
      </c>
      <c r="AL286" s="10">
        <v>27590853.959999993</v>
      </c>
      <c r="AM286" s="10">
        <v>7902804</v>
      </c>
      <c r="AN286" s="31">
        <v>19688050</v>
      </c>
      <c r="AO286" s="10">
        <v>27951569.609999992</v>
      </c>
      <c r="AP286" s="10">
        <v>7518500</v>
      </c>
      <c r="AQ286" s="31">
        <v>20433070</v>
      </c>
    </row>
    <row r="287" spans="1:43">
      <c r="A287" s="102">
        <v>278</v>
      </c>
      <c r="B287" s="7" t="s">
        <v>1983</v>
      </c>
      <c r="C287" s="103">
        <v>32.25</v>
      </c>
      <c r="D287" s="62">
        <v>16765667</v>
      </c>
      <c r="E287" s="37">
        <v>11233847</v>
      </c>
      <c r="F287" s="62">
        <v>5531820</v>
      </c>
      <c r="G287" s="62">
        <v>17331909.950000003</v>
      </c>
      <c r="H287" s="62">
        <v>11613713</v>
      </c>
      <c r="I287" s="62">
        <v>5867471</v>
      </c>
      <c r="J287" s="62">
        <v>18060956.990095712</v>
      </c>
      <c r="K287" s="62">
        <v>11637991</v>
      </c>
      <c r="L287" s="62">
        <v>6422966</v>
      </c>
      <c r="M287" s="62">
        <v>19336375.739999998</v>
      </c>
      <c r="N287" s="62">
        <v>11671079</v>
      </c>
      <c r="O287" s="62">
        <v>6859182</v>
      </c>
      <c r="P287" s="62">
        <v>806115</v>
      </c>
      <c r="Q287" s="62">
        <v>19536753.464956939</v>
      </c>
      <c r="R287" s="62">
        <v>11564704</v>
      </c>
      <c r="S287" s="62">
        <v>7511991</v>
      </c>
      <c r="T287" s="62">
        <v>460058</v>
      </c>
      <c r="U287" s="62">
        <v>18934829.861939996</v>
      </c>
      <c r="V287" s="62">
        <v>11597234</v>
      </c>
      <c r="W287" s="62">
        <v>7506322</v>
      </c>
      <c r="X287" s="62">
        <v>40297</v>
      </c>
      <c r="Y287" s="62">
        <v>478280</v>
      </c>
      <c r="Z287" s="62">
        <v>18784553.009999998</v>
      </c>
      <c r="AA287" s="62">
        <v>11810114</v>
      </c>
      <c r="AB287" s="62">
        <v>7546619</v>
      </c>
      <c r="AC287" s="10">
        <v>19235881.489999998</v>
      </c>
      <c r="AD287" s="10">
        <v>12212647</v>
      </c>
      <c r="AE287" s="10">
        <v>7627179</v>
      </c>
      <c r="AF287" s="10">
        <v>19156845.539999999</v>
      </c>
      <c r="AG287" s="10">
        <v>12497985</v>
      </c>
      <c r="AH287" s="10">
        <v>7676404</v>
      </c>
      <c r="AI287" s="10">
        <v>19070528.080000002</v>
      </c>
      <c r="AJ287" s="10">
        <v>12680992</v>
      </c>
      <c r="AK287" s="31">
        <v>7724754</v>
      </c>
      <c r="AL287" s="10">
        <v>19296183.16</v>
      </c>
      <c r="AM287" s="10">
        <v>12948752</v>
      </c>
      <c r="AN287" s="31">
        <v>7772779</v>
      </c>
      <c r="AO287" s="10">
        <v>19049378.099999998</v>
      </c>
      <c r="AP287" s="10">
        <v>12973564</v>
      </c>
      <c r="AQ287" s="31">
        <v>7876784</v>
      </c>
    </row>
    <row r="288" spans="1:43">
      <c r="A288" s="102">
        <v>279</v>
      </c>
      <c r="B288" s="7" t="s">
        <v>1984</v>
      </c>
      <c r="C288" s="103">
        <v>37.14</v>
      </c>
      <c r="D288" s="62">
        <v>0</v>
      </c>
      <c r="E288" s="37">
        <v>0</v>
      </c>
      <c r="F288" s="62">
        <v>0</v>
      </c>
      <c r="G288" s="62">
        <v>0</v>
      </c>
      <c r="H288" s="62">
        <v>0</v>
      </c>
      <c r="I288" s="62">
        <v>0</v>
      </c>
      <c r="J288" s="62">
        <v>0</v>
      </c>
      <c r="K288" s="62">
        <v>0</v>
      </c>
      <c r="L288" s="62">
        <v>0</v>
      </c>
      <c r="M288" s="62">
        <v>0</v>
      </c>
      <c r="N288" s="62">
        <v>0</v>
      </c>
      <c r="O288" s="62">
        <v>0</v>
      </c>
      <c r="P288" s="62">
        <v>0</v>
      </c>
      <c r="Q288" s="62">
        <v>0</v>
      </c>
      <c r="R288" s="62">
        <v>0</v>
      </c>
      <c r="S288" s="62">
        <v>0</v>
      </c>
      <c r="T288" s="62">
        <v>0</v>
      </c>
      <c r="U288" s="62">
        <v>0</v>
      </c>
      <c r="V288" s="62">
        <v>0</v>
      </c>
      <c r="W288" s="62">
        <v>0</v>
      </c>
      <c r="X288" s="62">
        <v>0</v>
      </c>
      <c r="Y288" s="62">
        <v>0</v>
      </c>
      <c r="Z288" s="62">
        <v>0</v>
      </c>
      <c r="AA288" s="62">
        <v>0</v>
      </c>
      <c r="AB288" s="62">
        <v>0</v>
      </c>
      <c r="AC288" s="10">
        <v>0</v>
      </c>
      <c r="AD288" s="10">
        <v>0</v>
      </c>
      <c r="AE288" s="10">
        <v>0</v>
      </c>
      <c r="AF288" s="10">
        <v>0</v>
      </c>
      <c r="AG288" s="10">
        <v>0</v>
      </c>
      <c r="AH288" s="10">
        <v>0</v>
      </c>
      <c r="AI288" s="10">
        <v>0</v>
      </c>
      <c r="AJ288" s="10">
        <v>0</v>
      </c>
      <c r="AK288" s="31">
        <v>0</v>
      </c>
      <c r="AL288" s="10">
        <v>0</v>
      </c>
      <c r="AM288" s="10">
        <v>0</v>
      </c>
      <c r="AN288" s="31">
        <v>0</v>
      </c>
      <c r="AO288" s="10">
        <v>0</v>
      </c>
      <c r="AP288" s="10">
        <v>0</v>
      </c>
      <c r="AQ288" s="31">
        <v>0</v>
      </c>
    </row>
    <row r="289" spans="1:43">
      <c r="A289" s="102">
        <v>280</v>
      </c>
      <c r="B289" s="7" t="s">
        <v>1985</v>
      </c>
      <c r="C289" s="103">
        <v>54.6</v>
      </c>
      <c r="D289" s="62">
        <v>637001</v>
      </c>
      <c r="E289" s="37">
        <v>478936</v>
      </c>
      <c r="F289" s="62">
        <v>10778.186440677964</v>
      </c>
      <c r="G289" s="62">
        <v>54248.3</v>
      </c>
      <c r="H289" s="62">
        <v>12811</v>
      </c>
      <c r="I289" s="62">
        <v>41437</v>
      </c>
      <c r="J289" s="62">
        <v>45421.08</v>
      </c>
      <c r="K289" s="62">
        <v>12291</v>
      </c>
      <c r="L289" s="62">
        <v>41637</v>
      </c>
      <c r="M289" s="62">
        <v>0</v>
      </c>
      <c r="N289" s="62">
        <v>0</v>
      </c>
      <c r="O289" s="62">
        <v>0</v>
      </c>
      <c r="P289" s="62">
        <v>0</v>
      </c>
      <c r="Q289" s="62">
        <v>0</v>
      </c>
      <c r="R289" s="62">
        <v>0</v>
      </c>
      <c r="S289" s="62">
        <v>0</v>
      </c>
      <c r="T289" s="62">
        <v>0</v>
      </c>
      <c r="U289" s="62">
        <v>12035.81568</v>
      </c>
      <c r="V289" s="62">
        <v>3941</v>
      </c>
      <c r="W289" s="62">
        <v>8095</v>
      </c>
      <c r="X289" s="62">
        <v>0</v>
      </c>
      <c r="Y289" s="62">
        <v>0</v>
      </c>
      <c r="Z289" s="62">
        <v>12250.07</v>
      </c>
      <c r="AA289" s="62">
        <v>4119</v>
      </c>
      <c r="AB289" s="62">
        <v>8131</v>
      </c>
      <c r="AC289" s="10">
        <v>12697.210000000001</v>
      </c>
      <c r="AD289" s="10">
        <v>4307</v>
      </c>
      <c r="AE289" s="10">
        <v>8390</v>
      </c>
      <c r="AF289" s="10">
        <v>25788.04</v>
      </c>
      <c r="AG289" s="10">
        <v>8782</v>
      </c>
      <c r="AH289" s="10">
        <v>17006</v>
      </c>
      <c r="AI289" s="10">
        <v>52019.6</v>
      </c>
      <c r="AJ289" s="10">
        <v>18303</v>
      </c>
      <c r="AK289" s="31">
        <v>33717</v>
      </c>
      <c r="AL289" s="10">
        <v>79199.760000000009</v>
      </c>
      <c r="AM289" s="10">
        <v>29599</v>
      </c>
      <c r="AN289" s="31">
        <v>49601</v>
      </c>
      <c r="AO289" s="10">
        <v>65854.600000000006</v>
      </c>
      <c r="AP289" s="10">
        <v>27190</v>
      </c>
      <c r="AQ289" s="31">
        <v>49601</v>
      </c>
    </row>
    <row r="290" spans="1:43">
      <c r="A290" s="102">
        <v>281</v>
      </c>
      <c r="B290" s="7" t="s">
        <v>1986</v>
      </c>
      <c r="C290" s="103">
        <v>83.77</v>
      </c>
      <c r="D290" s="62">
        <v>253464385</v>
      </c>
      <c r="E290" s="37">
        <v>28100362</v>
      </c>
      <c r="F290" s="62">
        <v>225364023</v>
      </c>
      <c r="G290" s="62">
        <v>262628553.05000001</v>
      </c>
      <c r="H290" s="62">
        <v>30283760</v>
      </c>
      <c r="I290" s="62">
        <v>232799829</v>
      </c>
      <c r="J290" s="62">
        <v>286041159.20882511</v>
      </c>
      <c r="K290" s="62">
        <v>31670757</v>
      </c>
      <c r="L290" s="62">
        <v>254370402</v>
      </c>
      <c r="M290" s="62">
        <v>296198428.4600001</v>
      </c>
      <c r="N290" s="62">
        <v>33567836</v>
      </c>
      <c r="O290" s="62">
        <v>235104590</v>
      </c>
      <c r="P290" s="62">
        <v>27630323</v>
      </c>
      <c r="Q290" s="62">
        <v>305615195.21157515</v>
      </c>
      <c r="R290" s="62">
        <v>33218730</v>
      </c>
      <c r="S290" s="62">
        <v>257480215</v>
      </c>
      <c r="T290" s="62">
        <v>14916250</v>
      </c>
      <c r="U290" s="62">
        <v>302574194.31083989</v>
      </c>
      <c r="V290" s="62">
        <v>34730182</v>
      </c>
      <c r="W290" s="62">
        <v>262704775</v>
      </c>
      <c r="X290" s="62">
        <v>1410316</v>
      </c>
      <c r="Y290" s="62">
        <v>8988999</v>
      </c>
      <c r="Z290" s="62">
        <v>309609750.70000011</v>
      </c>
      <c r="AA290" s="62">
        <v>34205756</v>
      </c>
      <c r="AB290" s="62">
        <v>275403995</v>
      </c>
      <c r="AC290" s="10">
        <v>320618386.81000006</v>
      </c>
      <c r="AD290" s="10">
        <v>34766731</v>
      </c>
      <c r="AE290" s="10">
        <v>285851656</v>
      </c>
      <c r="AF290" s="10">
        <v>330986295.45999998</v>
      </c>
      <c r="AG290" s="10">
        <v>35173501</v>
      </c>
      <c r="AH290" s="10">
        <v>295812794</v>
      </c>
      <c r="AI290" s="10">
        <v>337653427.27999997</v>
      </c>
      <c r="AJ290" s="10">
        <v>36066908</v>
      </c>
      <c r="AK290" s="31">
        <v>301586519</v>
      </c>
      <c r="AL290" s="10">
        <v>345592031.43000001</v>
      </c>
      <c r="AM290" s="10">
        <v>36405937</v>
      </c>
      <c r="AN290" s="31">
        <v>309186094</v>
      </c>
      <c r="AO290" s="10">
        <v>356553651.79000002</v>
      </c>
      <c r="AP290" s="10">
        <v>36682622</v>
      </c>
      <c r="AQ290" s="31">
        <v>319871030</v>
      </c>
    </row>
    <row r="291" spans="1:43">
      <c r="A291" s="102">
        <v>282</v>
      </c>
      <c r="B291" s="7" t="s">
        <v>1987</v>
      </c>
      <c r="C291" s="103">
        <v>26.56</v>
      </c>
      <c r="D291" s="62">
        <v>0</v>
      </c>
      <c r="E291" s="37">
        <v>0</v>
      </c>
      <c r="F291" s="62">
        <v>0</v>
      </c>
      <c r="G291" s="62">
        <v>0</v>
      </c>
      <c r="H291" s="62">
        <v>0</v>
      </c>
      <c r="I291" s="62">
        <v>0</v>
      </c>
      <c r="J291" s="62">
        <v>0</v>
      </c>
      <c r="K291" s="62">
        <v>0</v>
      </c>
      <c r="L291" s="62">
        <v>0</v>
      </c>
      <c r="M291" s="62">
        <v>0</v>
      </c>
      <c r="N291" s="62">
        <v>0</v>
      </c>
      <c r="O291" s="62">
        <v>0</v>
      </c>
      <c r="P291" s="62">
        <v>0</v>
      </c>
      <c r="Q291" s="62">
        <v>0</v>
      </c>
      <c r="R291" s="62">
        <v>0</v>
      </c>
      <c r="S291" s="62">
        <v>0</v>
      </c>
      <c r="T291" s="62">
        <v>0</v>
      </c>
      <c r="U291" s="62">
        <v>0</v>
      </c>
      <c r="V291" s="62">
        <v>0</v>
      </c>
      <c r="W291" s="62">
        <v>0</v>
      </c>
      <c r="X291" s="62">
        <v>0</v>
      </c>
      <c r="Y291" s="62">
        <v>0</v>
      </c>
      <c r="Z291" s="62">
        <v>0</v>
      </c>
      <c r="AA291" s="62">
        <v>0</v>
      </c>
      <c r="AB291" s="62">
        <v>0</v>
      </c>
      <c r="AC291" s="10">
        <v>0</v>
      </c>
      <c r="AD291" s="10">
        <v>0</v>
      </c>
      <c r="AE291" s="10">
        <v>0</v>
      </c>
      <c r="AF291" s="10">
        <v>0</v>
      </c>
      <c r="AG291" s="10">
        <v>0</v>
      </c>
      <c r="AH291" s="10">
        <v>0</v>
      </c>
      <c r="AI291" s="10">
        <v>0</v>
      </c>
      <c r="AJ291" s="10">
        <v>0</v>
      </c>
      <c r="AK291" s="31">
        <v>0</v>
      </c>
      <c r="AL291" s="10">
        <v>0</v>
      </c>
      <c r="AM291" s="10">
        <v>0</v>
      </c>
      <c r="AN291" s="31">
        <v>0</v>
      </c>
      <c r="AO291" s="10">
        <v>0</v>
      </c>
      <c r="AP291" s="10">
        <v>0</v>
      </c>
      <c r="AQ291" s="31">
        <v>0</v>
      </c>
    </row>
    <row r="292" spans="1:43">
      <c r="A292" s="102">
        <v>283</v>
      </c>
      <c r="B292" s="7" t="s">
        <v>1988</v>
      </c>
      <c r="C292" s="103">
        <v>17.5</v>
      </c>
      <c r="D292" s="62">
        <v>0</v>
      </c>
      <c r="E292" s="37">
        <v>0</v>
      </c>
      <c r="F292" s="62">
        <v>0</v>
      </c>
      <c r="G292" s="62">
        <v>0</v>
      </c>
      <c r="H292" s="62">
        <v>0</v>
      </c>
      <c r="I292" s="62">
        <v>0</v>
      </c>
      <c r="J292" s="62">
        <v>0</v>
      </c>
      <c r="K292" s="62">
        <v>0</v>
      </c>
      <c r="L292" s="62">
        <v>0</v>
      </c>
      <c r="M292" s="62">
        <v>0</v>
      </c>
      <c r="N292" s="62">
        <v>0</v>
      </c>
      <c r="O292" s="62">
        <v>0</v>
      </c>
      <c r="P292" s="62">
        <v>0</v>
      </c>
      <c r="Q292" s="62">
        <v>0</v>
      </c>
      <c r="R292" s="62">
        <v>0</v>
      </c>
      <c r="S292" s="62">
        <v>0</v>
      </c>
      <c r="T292" s="62">
        <v>0</v>
      </c>
      <c r="U292" s="62">
        <v>0</v>
      </c>
      <c r="V292" s="62">
        <v>0</v>
      </c>
      <c r="W292" s="62">
        <v>0</v>
      </c>
      <c r="X292" s="62">
        <v>0</v>
      </c>
      <c r="Y292" s="62">
        <v>0</v>
      </c>
      <c r="Z292" s="62">
        <v>0</v>
      </c>
      <c r="AA292" s="62">
        <v>0</v>
      </c>
      <c r="AB292" s="62">
        <v>0</v>
      </c>
      <c r="AC292" s="10">
        <v>0</v>
      </c>
      <c r="AD292" s="10">
        <v>0</v>
      </c>
      <c r="AE292" s="10">
        <v>0</v>
      </c>
      <c r="AF292" s="10">
        <v>0</v>
      </c>
      <c r="AG292" s="10">
        <v>0</v>
      </c>
      <c r="AH292" s="10">
        <v>0</v>
      </c>
      <c r="AI292" s="10">
        <v>0</v>
      </c>
      <c r="AJ292" s="10">
        <v>0</v>
      </c>
      <c r="AK292" s="31">
        <v>0</v>
      </c>
      <c r="AL292" s="10">
        <v>0</v>
      </c>
      <c r="AM292" s="10">
        <v>0</v>
      </c>
      <c r="AN292" s="31">
        <v>0</v>
      </c>
      <c r="AO292" s="10">
        <v>0</v>
      </c>
      <c r="AP292" s="10">
        <v>0</v>
      </c>
      <c r="AQ292" s="31">
        <v>0</v>
      </c>
    </row>
    <row r="293" spans="1:43">
      <c r="A293" s="102">
        <v>284</v>
      </c>
      <c r="B293" s="7" t="s">
        <v>1989</v>
      </c>
      <c r="C293" s="103">
        <v>17.5</v>
      </c>
      <c r="D293" s="62">
        <v>20419437</v>
      </c>
      <c r="E293" s="37">
        <v>19045680</v>
      </c>
      <c r="F293" s="62">
        <v>2769263.2</v>
      </c>
      <c r="G293" s="62">
        <v>21921969.618560001</v>
      </c>
      <c r="H293" s="62">
        <v>19522076</v>
      </c>
      <c r="I293" s="62">
        <v>3032206.2</v>
      </c>
      <c r="J293" s="62">
        <v>22673086.945864055</v>
      </c>
      <c r="K293" s="62">
        <v>19670018</v>
      </c>
      <c r="L293" s="62">
        <v>3312881.2</v>
      </c>
      <c r="M293" s="62">
        <v>22727888.293199997</v>
      </c>
      <c r="N293" s="62">
        <v>19736135</v>
      </c>
      <c r="O293" s="62">
        <v>3160708.2</v>
      </c>
      <c r="P293" s="62">
        <v>371458</v>
      </c>
      <c r="Q293" s="62">
        <v>23370068.911074977</v>
      </c>
      <c r="R293" s="62">
        <v>19854576</v>
      </c>
      <c r="S293" s="62">
        <v>3461523</v>
      </c>
      <c r="T293" s="62">
        <v>53970</v>
      </c>
      <c r="U293" s="62">
        <v>22707298.597098894</v>
      </c>
      <c r="V293" s="62">
        <v>19664269</v>
      </c>
      <c r="W293" s="62">
        <v>3310118</v>
      </c>
      <c r="X293" s="62">
        <v>17770</v>
      </c>
      <c r="Y293" s="62">
        <v>252255</v>
      </c>
      <c r="Z293" s="62">
        <v>22408566.778700002</v>
      </c>
      <c r="AA293" s="62">
        <v>19761522</v>
      </c>
      <c r="AB293" s="62">
        <v>3327888</v>
      </c>
      <c r="AC293" s="10">
        <v>22578725.166379999</v>
      </c>
      <c r="AD293" s="10">
        <v>20034480</v>
      </c>
      <c r="AE293" s="10">
        <v>3483735.226029125</v>
      </c>
      <c r="AF293" s="10">
        <v>22242673.456560001</v>
      </c>
      <c r="AG293" s="10">
        <v>20042778</v>
      </c>
      <c r="AH293" s="17">
        <f>3585918.38324634+84220</f>
        <v>3670138.3832463399</v>
      </c>
      <c r="AI293" s="10">
        <v>22756236.458160002</v>
      </c>
      <c r="AJ293" s="10">
        <v>19732979</v>
      </c>
      <c r="AK293" s="31">
        <v>3779409.3832463399</v>
      </c>
      <c r="AL293" s="10">
        <v>23623782.041999996</v>
      </c>
      <c r="AM293" s="10">
        <v>19986407</v>
      </c>
      <c r="AN293" s="31">
        <v>3838859.3832463399</v>
      </c>
      <c r="AO293" s="10">
        <v>23858093.313949995</v>
      </c>
      <c r="AP293" s="10">
        <v>19851817</v>
      </c>
      <c r="AQ293" s="31">
        <v>4059406</v>
      </c>
    </row>
    <row r="294" spans="1:43">
      <c r="A294" s="102">
        <v>285</v>
      </c>
      <c r="B294" s="7" t="s">
        <v>1990</v>
      </c>
      <c r="C294" s="103">
        <v>40.56</v>
      </c>
      <c r="D294" s="62">
        <v>30205157</v>
      </c>
      <c r="E294" s="37">
        <v>21534491</v>
      </c>
      <c r="F294" s="62">
        <v>8780857</v>
      </c>
      <c r="G294" s="62">
        <v>31850504.109099995</v>
      </c>
      <c r="H294" s="62">
        <v>21895939</v>
      </c>
      <c r="I294" s="62">
        <v>9954565</v>
      </c>
      <c r="J294" s="62">
        <v>33770063.061032131</v>
      </c>
      <c r="K294" s="62">
        <v>22305523</v>
      </c>
      <c r="L294" s="62">
        <v>11464540</v>
      </c>
      <c r="M294" s="62">
        <v>35164976.446949996</v>
      </c>
      <c r="N294" s="62">
        <v>22405193</v>
      </c>
      <c r="O294" s="62">
        <v>11417910</v>
      </c>
      <c r="P294" s="62">
        <v>1341873</v>
      </c>
      <c r="Q294" s="62">
        <v>35727786.25349389</v>
      </c>
      <c r="R294" s="62">
        <v>22804647</v>
      </c>
      <c r="S294" s="62">
        <v>12504587</v>
      </c>
      <c r="T294" s="62">
        <v>418552</v>
      </c>
      <c r="U294" s="62">
        <v>34710176.447902016</v>
      </c>
      <c r="V294" s="62">
        <v>22865525</v>
      </c>
      <c r="W294" s="62">
        <v>12168170</v>
      </c>
      <c r="X294" s="62">
        <v>65324</v>
      </c>
      <c r="Y294" s="62">
        <v>784845</v>
      </c>
      <c r="Z294" s="62">
        <v>35682635.053249992</v>
      </c>
      <c r="AA294" s="62">
        <v>22821888</v>
      </c>
      <c r="AB294" s="62">
        <v>12860747</v>
      </c>
      <c r="AC294" s="10">
        <v>37103273.115960002</v>
      </c>
      <c r="AD294" s="10">
        <v>23411556</v>
      </c>
      <c r="AE294" s="10">
        <v>14019928.662023555</v>
      </c>
      <c r="AF294" s="10">
        <v>37422637.886239998</v>
      </c>
      <c r="AG294" s="10">
        <v>23911700</v>
      </c>
      <c r="AH294" s="10">
        <v>14304924.148446621</v>
      </c>
      <c r="AI294" s="10">
        <v>37491590.603239998</v>
      </c>
      <c r="AJ294" s="10">
        <v>23503750</v>
      </c>
      <c r="AK294" s="31">
        <v>14600824.148446621</v>
      </c>
      <c r="AL294" s="10">
        <v>38474628.719349995</v>
      </c>
      <c r="AM294" s="10">
        <v>23660828</v>
      </c>
      <c r="AN294" s="31">
        <v>14813801</v>
      </c>
      <c r="AO294" s="10">
        <v>38325837.797450006</v>
      </c>
      <c r="AP294" s="10">
        <v>22995806</v>
      </c>
      <c r="AQ294" s="31">
        <v>15330032</v>
      </c>
    </row>
    <row r="295" spans="1:43">
      <c r="A295" s="102">
        <v>286</v>
      </c>
      <c r="B295" s="7" t="s">
        <v>1991</v>
      </c>
      <c r="C295" s="103">
        <v>17.5</v>
      </c>
      <c r="D295" s="62">
        <v>0</v>
      </c>
      <c r="E295" s="37">
        <v>0</v>
      </c>
      <c r="F295" s="62">
        <v>0</v>
      </c>
      <c r="G295" s="62">
        <v>0</v>
      </c>
      <c r="H295" s="62">
        <v>0</v>
      </c>
      <c r="I295" s="62">
        <v>0</v>
      </c>
      <c r="J295" s="62">
        <v>0</v>
      </c>
      <c r="K295" s="62">
        <v>0</v>
      </c>
      <c r="L295" s="62">
        <v>0</v>
      </c>
      <c r="M295" s="62">
        <v>0</v>
      </c>
      <c r="N295" s="62">
        <v>0</v>
      </c>
      <c r="O295" s="62">
        <v>0</v>
      </c>
      <c r="P295" s="62">
        <v>0</v>
      </c>
      <c r="Q295" s="62">
        <v>0</v>
      </c>
      <c r="R295" s="62">
        <v>0</v>
      </c>
      <c r="S295" s="62">
        <v>0</v>
      </c>
      <c r="T295" s="62">
        <v>0</v>
      </c>
      <c r="U295" s="62">
        <v>0</v>
      </c>
      <c r="V295" s="62">
        <v>0</v>
      </c>
      <c r="W295" s="62">
        <v>0</v>
      </c>
      <c r="X295" s="62">
        <v>0</v>
      </c>
      <c r="Y295" s="62">
        <v>0</v>
      </c>
      <c r="Z295" s="62">
        <v>0</v>
      </c>
      <c r="AA295" s="62">
        <v>0</v>
      </c>
      <c r="AB295" s="62">
        <v>0</v>
      </c>
      <c r="AC295" s="10">
        <v>0</v>
      </c>
      <c r="AD295" s="10">
        <v>0</v>
      </c>
      <c r="AE295" s="10">
        <v>0</v>
      </c>
      <c r="AF295" s="10">
        <v>0</v>
      </c>
      <c r="AG295" s="10">
        <v>0</v>
      </c>
      <c r="AH295" s="10">
        <v>0</v>
      </c>
      <c r="AI295" s="10">
        <v>0</v>
      </c>
      <c r="AJ295" s="10">
        <v>0</v>
      </c>
      <c r="AK295" s="31">
        <v>0</v>
      </c>
      <c r="AL295" s="10">
        <v>13655.815820000002</v>
      </c>
      <c r="AM295" s="10">
        <v>11465</v>
      </c>
      <c r="AN295" s="31">
        <v>2191</v>
      </c>
      <c r="AO295" s="10">
        <v>13669.092180000001</v>
      </c>
      <c r="AP295" s="10">
        <v>11412</v>
      </c>
      <c r="AQ295" s="31">
        <v>2257</v>
      </c>
    </row>
    <row r="296" spans="1:43">
      <c r="A296" s="102">
        <v>287</v>
      </c>
      <c r="B296" s="7" t="s">
        <v>1992</v>
      </c>
      <c r="C296" s="103">
        <v>44.71</v>
      </c>
      <c r="D296" s="62">
        <v>5388381</v>
      </c>
      <c r="E296" s="37">
        <v>4493704</v>
      </c>
      <c r="F296" s="62">
        <v>1078308.3999999999</v>
      </c>
      <c r="G296" s="62">
        <v>5516983.2500000009</v>
      </c>
      <c r="H296" s="62">
        <v>4220516</v>
      </c>
      <c r="I296" s="62">
        <v>1296467</v>
      </c>
      <c r="J296" s="62">
        <v>5996978.0763373207</v>
      </c>
      <c r="K296" s="62">
        <v>4176875</v>
      </c>
      <c r="L296" s="62">
        <v>1820103</v>
      </c>
      <c r="M296" s="62">
        <v>6345206.4400000004</v>
      </c>
      <c r="N296" s="62">
        <v>4283593</v>
      </c>
      <c r="O296" s="62">
        <v>1844805</v>
      </c>
      <c r="P296" s="62">
        <v>216808</v>
      </c>
      <c r="Q296" s="62">
        <v>6820126.4317856468</v>
      </c>
      <c r="R296" s="62">
        <v>4456964</v>
      </c>
      <c r="S296" s="62">
        <v>2020381</v>
      </c>
      <c r="T296" s="62">
        <v>342781</v>
      </c>
      <c r="U296" s="62">
        <v>6646558.3768799985</v>
      </c>
      <c r="V296" s="62">
        <v>4437863</v>
      </c>
      <c r="W296" s="62">
        <v>2225107</v>
      </c>
      <c r="X296" s="62">
        <v>11945</v>
      </c>
      <c r="Y296" s="62">
        <v>146635</v>
      </c>
      <c r="Z296" s="62">
        <v>6992372.2599999998</v>
      </c>
      <c r="AA296" s="62">
        <v>4640856</v>
      </c>
      <c r="AB296" s="62">
        <v>2351516</v>
      </c>
      <c r="AC296" s="10">
        <v>7793154.3099999987</v>
      </c>
      <c r="AD296" s="10">
        <v>5063140</v>
      </c>
      <c r="AE296" s="10">
        <v>2770520.3911102498</v>
      </c>
      <c r="AF296" s="10">
        <v>7764309.5599999996</v>
      </c>
      <c r="AG296" s="10">
        <v>4966483</v>
      </c>
      <c r="AH296" s="10">
        <v>2865678.1422669999</v>
      </c>
      <c r="AI296" s="10">
        <v>8029576.1899999995</v>
      </c>
      <c r="AJ296" s="10">
        <v>4960281</v>
      </c>
      <c r="AK296" s="31">
        <v>3069295</v>
      </c>
      <c r="AL296" s="10">
        <v>8483866.0799999982</v>
      </c>
      <c r="AM296" s="10">
        <v>4983525</v>
      </c>
      <c r="AN296" s="31">
        <v>3500341</v>
      </c>
      <c r="AO296" s="10">
        <v>8568351.209999999</v>
      </c>
      <c r="AP296" s="10">
        <v>4799267</v>
      </c>
      <c r="AQ296" s="31">
        <v>3769084</v>
      </c>
    </row>
    <row r="297" spans="1:43">
      <c r="A297" s="102">
        <v>288</v>
      </c>
      <c r="B297" s="7" t="s">
        <v>1993</v>
      </c>
      <c r="C297" s="103">
        <v>17.5</v>
      </c>
      <c r="D297" s="62">
        <v>21263672</v>
      </c>
      <c r="E297" s="37">
        <v>18207063</v>
      </c>
      <c r="F297" s="62">
        <v>3502825</v>
      </c>
      <c r="G297" s="62">
        <v>22258494.250949997</v>
      </c>
      <c r="H297" s="62">
        <v>18693151</v>
      </c>
      <c r="I297" s="62">
        <v>3676919</v>
      </c>
      <c r="J297" s="62">
        <v>23679206.276443515</v>
      </c>
      <c r="K297" s="62">
        <v>19595273</v>
      </c>
      <c r="L297" s="62">
        <v>4083933</v>
      </c>
      <c r="M297" s="62">
        <v>24596035.436999999</v>
      </c>
      <c r="N297" s="62">
        <v>20228054</v>
      </c>
      <c r="O297" s="62">
        <v>3908626</v>
      </c>
      <c r="P297" s="62">
        <v>459355</v>
      </c>
      <c r="Q297" s="62">
        <v>25394888.37452016</v>
      </c>
      <c r="R297" s="62">
        <v>20950783</v>
      </c>
      <c r="S297" s="62">
        <v>4280621</v>
      </c>
      <c r="T297" s="62">
        <v>163484</v>
      </c>
      <c r="U297" s="62">
        <v>24480270.235956777</v>
      </c>
      <c r="V297" s="62">
        <v>21160359</v>
      </c>
      <c r="W297" s="62">
        <v>4184481</v>
      </c>
      <c r="X297" s="62">
        <v>22464</v>
      </c>
      <c r="Y297" s="62">
        <v>312735</v>
      </c>
      <c r="Z297" s="62">
        <v>24225298.832720004</v>
      </c>
      <c r="AA297" s="62">
        <v>21111921</v>
      </c>
      <c r="AB297" s="62">
        <v>4206945</v>
      </c>
      <c r="AC297" s="10">
        <v>25075914.117840003</v>
      </c>
      <c r="AD297" s="10">
        <v>21703788</v>
      </c>
      <c r="AE297" s="10">
        <v>4325145</v>
      </c>
      <c r="AF297" s="10">
        <v>24959360.853349999</v>
      </c>
      <c r="AG297" s="10">
        <v>21986344</v>
      </c>
      <c r="AH297" s="10">
        <v>4397070</v>
      </c>
      <c r="AI297" s="10">
        <v>24443508.479559995</v>
      </c>
      <c r="AJ297" s="10">
        <v>21216573</v>
      </c>
      <c r="AK297" s="31">
        <v>4466220</v>
      </c>
      <c r="AL297" s="10">
        <v>24450575.494369991</v>
      </c>
      <c r="AM297" s="10">
        <v>21153252</v>
      </c>
      <c r="AN297" s="31">
        <v>4534395</v>
      </c>
      <c r="AO297" s="10">
        <v>25153175.96328</v>
      </c>
      <c r="AP297" s="10">
        <v>20930012</v>
      </c>
      <c r="AQ297" s="149">
        <f>4688560+56978</f>
        <v>4745538</v>
      </c>
    </row>
    <row r="298" spans="1:43">
      <c r="A298" s="102">
        <v>289</v>
      </c>
      <c r="B298" s="7" t="s">
        <v>1994</v>
      </c>
      <c r="C298" s="103">
        <v>20.58</v>
      </c>
      <c r="D298" s="62">
        <v>1491367</v>
      </c>
      <c r="E298" s="37">
        <v>811746</v>
      </c>
      <c r="F298" s="62">
        <v>843699</v>
      </c>
      <c r="G298" s="62">
        <v>1434832.39</v>
      </c>
      <c r="H298" s="62">
        <v>731500</v>
      </c>
      <c r="I298" s="62">
        <v>853199</v>
      </c>
      <c r="J298" s="62">
        <v>1506338.8093238133</v>
      </c>
      <c r="K298" s="62">
        <v>728448</v>
      </c>
      <c r="L298" s="62">
        <v>877325</v>
      </c>
      <c r="M298" s="62">
        <v>1550511.91</v>
      </c>
      <c r="N298" s="62">
        <v>767335</v>
      </c>
      <c r="O298" s="62">
        <v>797608</v>
      </c>
      <c r="P298" s="62">
        <v>93738</v>
      </c>
      <c r="Q298" s="62">
        <v>1651251.6745186604</v>
      </c>
      <c r="R298" s="62">
        <v>1124871</v>
      </c>
      <c r="S298" s="62">
        <v>873519</v>
      </c>
      <c r="T298" s="62">
        <v>0</v>
      </c>
      <c r="U298" s="62">
        <v>1426674.3802799999</v>
      </c>
      <c r="V298" s="62">
        <v>1068529</v>
      </c>
      <c r="W298" s="62">
        <v>822488</v>
      </c>
      <c r="X298" s="62">
        <v>4415</v>
      </c>
      <c r="Y298" s="62">
        <v>50791</v>
      </c>
      <c r="Z298" s="62">
        <v>1427166.29</v>
      </c>
      <c r="AA298" s="62">
        <v>1106475</v>
      </c>
      <c r="AB298" s="62">
        <v>826903</v>
      </c>
      <c r="AC298" s="10">
        <v>1450167.1600000001</v>
      </c>
      <c r="AD298" s="10">
        <v>1171657</v>
      </c>
      <c r="AE298" s="10">
        <v>833063</v>
      </c>
      <c r="AF298" s="10">
        <v>1488182.91</v>
      </c>
      <c r="AG298" s="10">
        <v>1281235</v>
      </c>
      <c r="AH298" s="10">
        <v>836963</v>
      </c>
      <c r="AI298" s="10">
        <v>1659835.8300000003</v>
      </c>
      <c r="AJ298" s="10">
        <v>1346071</v>
      </c>
      <c r="AK298" s="31">
        <v>841288</v>
      </c>
      <c r="AL298" s="10">
        <v>1744222.4</v>
      </c>
      <c r="AM298" s="10">
        <v>1440699</v>
      </c>
      <c r="AN298" s="31">
        <v>845663</v>
      </c>
      <c r="AO298" s="10">
        <v>1863761.3099999998</v>
      </c>
      <c r="AP298" s="10">
        <v>1490797</v>
      </c>
      <c r="AQ298" s="31">
        <v>855618</v>
      </c>
    </row>
    <row r="299" spans="1:43">
      <c r="A299" s="102">
        <v>290</v>
      </c>
      <c r="B299" s="7" t="s">
        <v>1995</v>
      </c>
      <c r="C299" s="103">
        <v>26.95</v>
      </c>
      <c r="D299" s="62">
        <v>11351923</v>
      </c>
      <c r="E299" s="37">
        <v>6730648</v>
      </c>
      <c r="F299" s="62">
        <v>4751948</v>
      </c>
      <c r="G299" s="62">
        <v>12029949.919999998</v>
      </c>
      <c r="H299" s="62">
        <v>7218489</v>
      </c>
      <c r="I299" s="62">
        <v>5011361</v>
      </c>
      <c r="J299" s="62">
        <v>12654100.683758389</v>
      </c>
      <c r="K299" s="62">
        <v>7579591</v>
      </c>
      <c r="L299" s="62">
        <v>5245542</v>
      </c>
      <c r="M299" s="62">
        <v>13334009.530000001</v>
      </c>
      <c r="N299" s="62">
        <v>8022384</v>
      </c>
      <c r="O299" s="62">
        <v>4918279</v>
      </c>
      <c r="P299" s="62">
        <v>578013</v>
      </c>
      <c r="Q299" s="62">
        <v>13738054.398713876</v>
      </c>
      <c r="R299" s="62">
        <v>8347934</v>
      </c>
      <c r="S299" s="62">
        <v>5386366</v>
      </c>
      <c r="T299" s="62">
        <v>3754</v>
      </c>
      <c r="U299" s="62">
        <v>13180445.080379996</v>
      </c>
      <c r="V299" s="62">
        <v>8462731</v>
      </c>
      <c r="W299" s="62">
        <v>5075229</v>
      </c>
      <c r="X299" s="62">
        <v>27246</v>
      </c>
      <c r="Y299" s="62">
        <v>327595</v>
      </c>
      <c r="Z299" s="62">
        <v>13280919.139999997</v>
      </c>
      <c r="AA299" s="62">
        <v>8832665</v>
      </c>
      <c r="AB299" s="62">
        <v>5102475</v>
      </c>
      <c r="AC299" s="10">
        <v>13287888.290000001</v>
      </c>
      <c r="AD299" s="10">
        <v>9081755</v>
      </c>
      <c r="AE299" s="10">
        <v>5163355</v>
      </c>
      <c r="AF299" s="10">
        <v>13559813.799999999</v>
      </c>
      <c r="AG299" s="10">
        <v>9456038</v>
      </c>
      <c r="AH299" s="10">
        <v>5201455</v>
      </c>
      <c r="AI299" s="10">
        <v>13581958.960000001</v>
      </c>
      <c r="AJ299" s="10">
        <v>9692460</v>
      </c>
      <c r="AK299" s="31">
        <v>5239230</v>
      </c>
      <c r="AL299" s="10">
        <v>13719822.630000001</v>
      </c>
      <c r="AM299" s="10">
        <v>9853703</v>
      </c>
      <c r="AN299" s="31">
        <v>5276480</v>
      </c>
      <c r="AO299" s="10">
        <v>13322264.810000002</v>
      </c>
      <c r="AP299" s="10">
        <v>9795149</v>
      </c>
      <c r="AQ299" s="31">
        <v>5355735</v>
      </c>
    </row>
    <row r="300" spans="1:43">
      <c r="A300" s="102">
        <v>291</v>
      </c>
      <c r="B300" s="7" t="s">
        <v>1996</v>
      </c>
      <c r="C300" s="103">
        <v>17.5</v>
      </c>
      <c r="D300" s="62">
        <v>15093910</v>
      </c>
      <c r="E300" s="37">
        <v>15315544</v>
      </c>
      <c r="F300" s="62">
        <v>2051980.4</v>
      </c>
      <c r="G300" s="62">
        <v>16210766.109999999</v>
      </c>
      <c r="H300" s="62">
        <v>15382522</v>
      </c>
      <c r="I300" s="62">
        <v>2247430.4</v>
      </c>
      <c r="J300" s="62">
        <v>17414723.955687378</v>
      </c>
      <c r="K300" s="62">
        <v>15557542</v>
      </c>
      <c r="L300" s="62">
        <v>2487474.4</v>
      </c>
      <c r="M300" s="62">
        <v>17927585.210000001</v>
      </c>
      <c r="N300" s="62">
        <v>15655737</v>
      </c>
      <c r="O300" s="62">
        <v>2417779.4</v>
      </c>
      <c r="P300" s="62">
        <v>284146</v>
      </c>
      <c r="Q300" s="62">
        <v>18487892.611490913</v>
      </c>
      <c r="R300" s="62">
        <v>15778863</v>
      </c>
      <c r="S300" s="62">
        <v>2647887</v>
      </c>
      <c r="T300" s="62">
        <v>61143</v>
      </c>
      <c r="U300" s="62">
        <v>18190629.378119998</v>
      </c>
      <c r="V300" s="62">
        <v>16021305</v>
      </c>
      <c r="W300" s="62">
        <v>2550769</v>
      </c>
      <c r="X300" s="62">
        <v>13694</v>
      </c>
      <c r="Y300" s="62">
        <v>198667</v>
      </c>
      <c r="Z300" s="62">
        <v>18506840.309999999</v>
      </c>
      <c r="AA300" s="62">
        <v>16211795</v>
      </c>
      <c r="AB300" s="62">
        <v>2564463</v>
      </c>
      <c r="AC300" s="10">
        <v>19282648.440000001</v>
      </c>
      <c r="AD300" s="10">
        <v>16709525</v>
      </c>
      <c r="AE300" s="10">
        <v>2773458.11925</v>
      </c>
      <c r="AF300" s="10">
        <v>19665111.27</v>
      </c>
      <c r="AG300" s="10">
        <v>17029285</v>
      </c>
      <c r="AH300" s="17">
        <f>2940442.2075+16844</f>
        <v>2957286.2075</v>
      </c>
      <c r="AI300" s="10">
        <v>19890269.34</v>
      </c>
      <c r="AJ300" s="10">
        <v>16959906</v>
      </c>
      <c r="AK300" s="31">
        <v>3140515.2075</v>
      </c>
      <c r="AL300" s="10">
        <v>20062283.009999998</v>
      </c>
      <c r="AM300" s="10">
        <v>17079677</v>
      </c>
      <c r="AN300" s="31">
        <v>3193515.2075</v>
      </c>
      <c r="AO300" s="10">
        <v>20368467.029999997</v>
      </c>
      <c r="AP300" s="10">
        <v>16975480</v>
      </c>
      <c r="AQ300" s="31">
        <v>3392987</v>
      </c>
    </row>
    <row r="301" spans="1:43">
      <c r="A301" s="102">
        <v>292</v>
      </c>
      <c r="B301" s="7" t="s">
        <v>1997</v>
      </c>
      <c r="C301" s="103">
        <v>36.43</v>
      </c>
      <c r="D301" s="62">
        <v>14565457</v>
      </c>
      <c r="E301" s="37">
        <v>11774730</v>
      </c>
      <c r="F301" s="62">
        <v>4075230.8</v>
      </c>
      <c r="G301" s="62">
        <v>15460786.719999999</v>
      </c>
      <c r="H301" s="62">
        <v>11848674</v>
      </c>
      <c r="I301" s="62">
        <v>4383582.8</v>
      </c>
      <c r="J301" s="62">
        <v>16127292.304335002</v>
      </c>
      <c r="K301" s="62">
        <v>12243842</v>
      </c>
      <c r="L301" s="62">
        <v>4579268.8</v>
      </c>
      <c r="M301" s="62">
        <v>16666358.550000001</v>
      </c>
      <c r="N301" s="62">
        <v>12395050</v>
      </c>
      <c r="O301" s="62">
        <v>4237389.8</v>
      </c>
      <c r="P301" s="62">
        <v>497993</v>
      </c>
      <c r="Q301" s="62">
        <v>17381654.481270812</v>
      </c>
      <c r="R301" s="62">
        <v>12399806</v>
      </c>
      <c r="S301" s="62">
        <v>4640675</v>
      </c>
      <c r="T301" s="62">
        <v>341173</v>
      </c>
      <c r="U301" s="62">
        <v>17156168.303639997</v>
      </c>
      <c r="V301" s="62">
        <v>12593443</v>
      </c>
      <c r="W301" s="62">
        <v>4690809</v>
      </c>
      <c r="X301" s="62">
        <v>25182</v>
      </c>
      <c r="Y301" s="62">
        <v>316157</v>
      </c>
      <c r="Z301" s="62">
        <v>17312134.07</v>
      </c>
      <c r="AA301" s="62">
        <v>12740418</v>
      </c>
      <c r="AB301" s="62">
        <v>4715991</v>
      </c>
      <c r="AC301" s="10">
        <v>18589115.77</v>
      </c>
      <c r="AD301" s="10">
        <v>13137149</v>
      </c>
      <c r="AE301" s="10">
        <v>5657431.8930937499</v>
      </c>
      <c r="AF301" s="10">
        <v>19231862.370000001</v>
      </c>
      <c r="AG301" s="10">
        <v>13411309</v>
      </c>
      <c r="AH301" s="10">
        <v>6098205.5495370002</v>
      </c>
      <c r="AI301" s="10">
        <v>19734625.710000001</v>
      </c>
      <c r="AJ301" s="10">
        <v>13253165</v>
      </c>
      <c r="AK301" s="31">
        <v>6481461</v>
      </c>
      <c r="AL301" s="10">
        <v>20558168.07</v>
      </c>
      <c r="AM301" s="10">
        <v>13514200</v>
      </c>
      <c r="AN301" s="31">
        <v>7043968</v>
      </c>
      <c r="AO301" s="10">
        <v>19920849.289999999</v>
      </c>
      <c r="AP301" s="10">
        <v>12860612</v>
      </c>
      <c r="AQ301" s="31">
        <v>7327857</v>
      </c>
    </row>
    <row r="302" spans="1:43">
      <c r="A302" s="102">
        <v>293</v>
      </c>
      <c r="B302" s="7" t="s">
        <v>1998</v>
      </c>
      <c r="C302" s="103">
        <v>63.01</v>
      </c>
      <c r="D302" s="62">
        <v>64458276</v>
      </c>
      <c r="E302" s="37">
        <v>23828389</v>
      </c>
      <c r="F302" s="62">
        <v>40629887</v>
      </c>
      <c r="G302" s="62">
        <v>66658595.349999994</v>
      </c>
      <c r="H302" s="62">
        <v>25423363</v>
      </c>
      <c r="I302" s="62">
        <v>41894411</v>
      </c>
      <c r="J302" s="62">
        <v>69472944.332918555</v>
      </c>
      <c r="K302" s="62">
        <v>26621725</v>
      </c>
      <c r="L302" s="62">
        <v>43477482</v>
      </c>
      <c r="M302" s="62">
        <v>72404300.269999996</v>
      </c>
      <c r="N302" s="62">
        <v>27417594</v>
      </c>
      <c r="O302" s="62">
        <v>40398788</v>
      </c>
      <c r="P302" s="62">
        <v>4747808</v>
      </c>
      <c r="Q302" s="62">
        <v>74169525.406621993</v>
      </c>
      <c r="R302" s="62">
        <v>27604965</v>
      </c>
      <c r="S302" s="62">
        <v>44243664</v>
      </c>
      <c r="T302" s="62">
        <v>2320896</v>
      </c>
      <c r="U302" s="62">
        <v>72854522.334359989</v>
      </c>
      <c r="V302" s="62">
        <v>28606446</v>
      </c>
      <c r="W302" s="62">
        <v>43844262</v>
      </c>
      <c r="X302" s="62">
        <v>235375</v>
      </c>
      <c r="Y302" s="62">
        <v>2681198</v>
      </c>
      <c r="Z302" s="62">
        <v>75257775.25999999</v>
      </c>
      <c r="AA302" s="62">
        <v>29692749</v>
      </c>
      <c r="AB302" s="62">
        <v>45565026</v>
      </c>
      <c r="AC302" s="10">
        <v>78583025.370000005</v>
      </c>
      <c r="AD302" s="10">
        <v>30952805</v>
      </c>
      <c r="AE302" s="10">
        <v>47630220</v>
      </c>
      <c r="AF302" s="10">
        <v>79522976.520000011</v>
      </c>
      <c r="AG302" s="10">
        <v>32366269</v>
      </c>
      <c r="AH302" s="10">
        <v>47822170</v>
      </c>
      <c r="AI302" s="10">
        <v>83736224.63000001</v>
      </c>
      <c r="AJ302" s="10">
        <v>33362611</v>
      </c>
      <c r="AK302" s="31">
        <v>50373614</v>
      </c>
      <c r="AL302" s="10">
        <v>86795145.73999998</v>
      </c>
      <c r="AM302" s="10">
        <v>33623458</v>
      </c>
      <c r="AN302" s="31">
        <v>53171688</v>
      </c>
      <c r="AO302" s="10">
        <v>89152710</v>
      </c>
      <c r="AP302" s="10">
        <v>33343214</v>
      </c>
      <c r="AQ302" s="31">
        <v>55809496</v>
      </c>
    </row>
    <row r="303" spans="1:43">
      <c r="A303" s="102">
        <v>294</v>
      </c>
      <c r="B303" s="7" t="s">
        <v>1999</v>
      </c>
      <c r="C303" s="103">
        <v>61.94</v>
      </c>
      <c r="D303" s="62">
        <v>0</v>
      </c>
      <c r="E303" s="37">
        <v>0</v>
      </c>
      <c r="F303" s="62">
        <v>0</v>
      </c>
      <c r="G303" s="62">
        <v>0</v>
      </c>
      <c r="H303" s="62">
        <v>0</v>
      </c>
      <c r="I303" s="62">
        <v>0</v>
      </c>
      <c r="J303" s="62">
        <v>0</v>
      </c>
      <c r="K303" s="62">
        <v>0</v>
      </c>
      <c r="L303" s="62">
        <v>0</v>
      </c>
      <c r="M303" s="62">
        <v>0</v>
      </c>
      <c r="N303" s="62">
        <v>0</v>
      </c>
      <c r="O303" s="62">
        <v>0</v>
      </c>
      <c r="P303" s="62">
        <v>0</v>
      </c>
      <c r="Q303" s="62">
        <v>0</v>
      </c>
      <c r="R303" s="62">
        <v>0</v>
      </c>
      <c r="S303" s="62">
        <v>0</v>
      </c>
      <c r="T303" s="62">
        <v>0</v>
      </c>
      <c r="U303" s="62">
        <v>0</v>
      </c>
      <c r="V303" s="62">
        <v>0</v>
      </c>
      <c r="W303" s="62">
        <v>0</v>
      </c>
      <c r="X303" s="62">
        <v>0</v>
      </c>
      <c r="Y303" s="62">
        <v>0</v>
      </c>
      <c r="Z303" s="62">
        <v>0</v>
      </c>
      <c r="AA303" s="62">
        <v>0</v>
      </c>
      <c r="AB303" s="62">
        <v>0</v>
      </c>
      <c r="AC303" s="10">
        <v>0</v>
      </c>
      <c r="AD303" s="10">
        <v>0</v>
      </c>
      <c r="AE303" s="10">
        <v>0</v>
      </c>
      <c r="AF303" s="10">
        <v>0</v>
      </c>
      <c r="AG303" s="10">
        <v>0</v>
      </c>
      <c r="AH303" s="10">
        <v>0</v>
      </c>
      <c r="AI303" s="10">
        <v>0</v>
      </c>
      <c r="AJ303" s="10">
        <v>0</v>
      </c>
      <c r="AK303" s="31">
        <v>0</v>
      </c>
      <c r="AL303" s="10">
        <v>0</v>
      </c>
      <c r="AM303" s="10">
        <v>0</v>
      </c>
      <c r="AN303" s="31">
        <v>0</v>
      </c>
      <c r="AO303" s="10">
        <v>13170.920000000002</v>
      </c>
      <c r="AP303" s="10">
        <v>4915</v>
      </c>
      <c r="AQ303" s="31">
        <v>8256</v>
      </c>
    </row>
    <row r="304" spans="1:43">
      <c r="A304" s="102">
        <v>295</v>
      </c>
      <c r="B304" s="7" t="s">
        <v>2000</v>
      </c>
      <c r="C304" s="103">
        <v>20.9</v>
      </c>
      <c r="D304" s="62">
        <v>33347082</v>
      </c>
      <c r="E304" s="37">
        <v>21518968</v>
      </c>
      <c r="F304" s="62">
        <v>11930760</v>
      </c>
      <c r="G304" s="62">
        <v>35015994.193659998</v>
      </c>
      <c r="H304" s="62">
        <v>22768638</v>
      </c>
      <c r="I304" s="62">
        <v>12514712</v>
      </c>
      <c r="J304" s="62">
        <v>36101824.202872381</v>
      </c>
      <c r="K304" s="62">
        <v>23213156</v>
      </c>
      <c r="L304" s="62">
        <v>12918858</v>
      </c>
      <c r="M304" s="62">
        <v>36695412.811939992</v>
      </c>
      <c r="N304" s="62">
        <v>23595558</v>
      </c>
      <c r="O304" s="62">
        <v>11758059</v>
      </c>
      <c r="P304" s="62">
        <v>1381849</v>
      </c>
      <c r="Q304" s="62">
        <v>36766196.446410596</v>
      </c>
      <c r="R304" s="62">
        <v>23754317</v>
      </c>
      <c r="S304" s="62">
        <v>12877110</v>
      </c>
      <c r="T304" s="62">
        <v>134769</v>
      </c>
      <c r="U304" s="62">
        <v>34573601.27935721</v>
      </c>
      <c r="V304" s="62">
        <v>23683428</v>
      </c>
      <c r="W304" s="62">
        <v>12251726</v>
      </c>
      <c r="X304" s="62">
        <v>65773</v>
      </c>
      <c r="Y304" s="62">
        <v>796855</v>
      </c>
      <c r="Z304" s="62">
        <v>34519814.968239993</v>
      </c>
      <c r="AA304" s="62">
        <v>23924435</v>
      </c>
      <c r="AB304" s="62">
        <v>12317499</v>
      </c>
      <c r="AC304" s="10">
        <v>35261727.251350001</v>
      </c>
      <c r="AD304" s="10">
        <v>24776381</v>
      </c>
      <c r="AE304" s="10">
        <v>12472939</v>
      </c>
      <c r="AF304" s="10">
        <v>34626787.82553</v>
      </c>
      <c r="AG304" s="10">
        <v>25513488</v>
      </c>
      <c r="AH304" s="17">
        <f>12566614+67376</f>
        <v>12633990</v>
      </c>
      <c r="AI304" s="10">
        <v>35271376.15231999</v>
      </c>
      <c r="AJ304" s="10">
        <v>26187077</v>
      </c>
      <c r="AK304" s="31">
        <v>12727415</v>
      </c>
      <c r="AL304" s="10">
        <v>34761232.521389998</v>
      </c>
      <c r="AM304" s="10">
        <v>26940200</v>
      </c>
      <c r="AN304" s="31">
        <v>12818290</v>
      </c>
      <c r="AO304" s="10">
        <v>33549032.422599997</v>
      </c>
      <c r="AP304" s="10">
        <v>26824591</v>
      </c>
      <c r="AQ304" s="31">
        <v>13012055</v>
      </c>
    </row>
    <row r="305" spans="1:43">
      <c r="A305" s="102">
        <v>296</v>
      </c>
      <c r="B305" s="7" t="s">
        <v>2001</v>
      </c>
      <c r="C305" s="103">
        <v>17.5</v>
      </c>
      <c r="D305" s="62">
        <v>2394089</v>
      </c>
      <c r="E305" s="37">
        <v>3644342</v>
      </c>
      <c r="F305" s="62">
        <v>300736.40000000002</v>
      </c>
      <c r="G305" s="62">
        <v>2565498.85</v>
      </c>
      <c r="H305" s="62">
        <v>3203874</v>
      </c>
      <c r="I305" s="62">
        <v>330733.40000000002</v>
      </c>
      <c r="J305" s="62">
        <v>2664557.161478193</v>
      </c>
      <c r="K305" s="62">
        <v>3032752</v>
      </c>
      <c r="L305" s="62">
        <v>371402.4</v>
      </c>
      <c r="M305" s="62">
        <v>2795073.49</v>
      </c>
      <c r="N305" s="62">
        <v>2902213</v>
      </c>
      <c r="O305" s="62">
        <v>367111.4</v>
      </c>
      <c r="P305" s="62">
        <v>43144</v>
      </c>
      <c r="Q305" s="62">
        <v>2952272.706204785</v>
      </c>
      <c r="R305" s="62">
        <v>2990763</v>
      </c>
      <c r="S305" s="62">
        <v>402050</v>
      </c>
      <c r="T305" s="62">
        <v>0</v>
      </c>
      <c r="U305" s="62">
        <v>2875847.00508</v>
      </c>
      <c r="V305" s="62">
        <v>2872767</v>
      </c>
      <c r="W305" s="62">
        <v>378562</v>
      </c>
      <c r="X305" s="62">
        <v>2032</v>
      </c>
      <c r="Y305" s="62">
        <v>29731</v>
      </c>
      <c r="Z305" s="62">
        <v>3137805.37</v>
      </c>
      <c r="AA305" s="62">
        <v>3040803</v>
      </c>
      <c r="AB305" s="62">
        <v>380594</v>
      </c>
      <c r="AC305" s="10">
        <v>3467659.8899999997</v>
      </c>
      <c r="AD305" s="10">
        <v>3144657</v>
      </c>
      <c r="AE305" s="10">
        <v>395514</v>
      </c>
      <c r="AF305" s="10">
        <v>3400472.2900000005</v>
      </c>
      <c r="AG305" s="10">
        <v>3151771</v>
      </c>
      <c r="AH305" s="10">
        <v>404664</v>
      </c>
      <c r="AI305" s="10">
        <v>3448541.2399999993</v>
      </c>
      <c r="AJ305" s="10">
        <v>3079391</v>
      </c>
      <c r="AK305" s="31">
        <v>474255</v>
      </c>
      <c r="AL305" s="10">
        <v>3757350.99</v>
      </c>
      <c r="AM305" s="10">
        <v>3164190</v>
      </c>
      <c r="AN305" s="31">
        <v>593161</v>
      </c>
      <c r="AO305" s="10">
        <v>3769019.7499999991</v>
      </c>
      <c r="AP305" s="10">
        <v>3133723</v>
      </c>
      <c r="AQ305" s="31">
        <v>635297</v>
      </c>
    </row>
    <row r="306" spans="1:43">
      <c r="A306" s="102">
        <v>297</v>
      </c>
      <c r="B306" s="7" t="s">
        <v>2002</v>
      </c>
      <c r="C306" s="103">
        <v>17.5</v>
      </c>
      <c r="D306" s="62">
        <v>0</v>
      </c>
      <c r="E306" s="37">
        <v>0</v>
      </c>
      <c r="F306" s="62">
        <v>0</v>
      </c>
      <c r="G306" s="62">
        <v>0</v>
      </c>
      <c r="H306" s="62">
        <v>0</v>
      </c>
      <c r="I306" s="62">
        <v>0</v>
      </c>
      <c r="J306" s="62">
        <v>0</v>
      </c>
      <c r="K306" s="62">
        <v>0</v>
      </c>
      <c r="L306" s="62">
        <v>0</v>
      </c>
      <c r="M306" s="62">
        <v>0</v>
      </c>
      <c r="N306" s="62">
        <v>0</v>
      </c>
      <c r="O306" s="62">
        <v>0</v>
      </c>
      <c r="P306" s="62">
        <v>0</v>
      </c>
      <c r="Q306" s="62">
        <v>0</v>
      </c>
      <c r="R306" s="62">
        <v>0</v>
      </c>
      <c r="S306" s="62">
        <v>0</v>
      </c>
      <c r="T306" s="62">
        <v>0</v>
      </c>
      <c r="U306" s="62">
        <v>0</v>
      </c>
      <c r="V306" s="62">
        <v>0</v>
      </c>
      <c r="W306" s="62">
        <v>0</v>
      </c>
      <c r="X306" s="62">
        <v>0</v>
      </c>
      <c r="Y306" s="62">
        <v>0</v>
      </c>
      <c r="Z306" s="62">
        <v>0</v>
      </c>
      <c r="AA306" s="62">
        <v>0</v>
      </c>
      <c r="AB306" s="62">
        <v>0</v>
      </c>
      <c r="AC306" s="10">
        <v>0</v>
      </c>
      <c r="AD306" s="10">
        <v>0</v>
      </c>
      <c r="AE306" s="10">
        <v>0</v>
      </c>
      <c r="AF306" s="10">
        <v>0</v>
      </c>
      <c r="AG306" s="10">
        <v>0</v>
      </c>
      <c r="AH306" s="10">
        <v>0</v>
      </c>
      <c r="AI306" s="10">
        <v>0</v>
      </c>
      <c r="AJ306" s="10">
        <v>0</v>
      </c>
      <c r="AK306" s="31">
        <v>0</v>
      </c>
      <c r="AL306" s="10">
        <v>0</v>
      </c>
      <c r="AM306" s="10">
        <v>0</v>
      </c>
      <c r="AN306" s="31">
        <v>0</v>
      </c>
      <c r="AO306" s="10">
        <v>0</v>
      </c>
      <c r="AP306" s="10">
        <v>0</v>
      </c>
      <c r="AQ306" s="31">
        <v>0</v>
      </c>
    </row>
    <row r="307" spans="1:43">
      <c r="A307" s="102">
        <v>298</v>
      </c>
      <c r="B307" s="7" t="s">
        <v>2003</v>
      </c>
      <c r="C307" s="103">
        <v>17.5</v>
      </c>
      <c r="D307" s="62">
        <v>4607578</v>
      </c>
      <c r="E307" s="37">
        <v>3944399</v>
      </c>
      <c r="F307" s="62">
        <v>663179</v>
      </c>
      <c r="G307" s="62">
        <v>4657195.6704799999</v>
      </c>
      <c r="H307" s="62">
        <v>3710245</v>
      </c>
      <c r="I307" s="62">
        <v>946951</v>
      </c>
      <c r="J307" s="62">
        <v>4725499.3510903148</v>
      </c>
      <c r="K307" s="62">
        <v>3656031</v>
      </c>
      <c r="L307" s="62">
        <v>1069468</v>
      </c>
      <c r="M307" s="62">
        <v>4933644.223199999</v>
      </c>
      <c r="N307" s="62">
        <v>3831911</v>
      </c>
      <c r="O307" s="62">
        <v>989593</v>
      </c>
      <c r="P307" s="62">
        <v>116300</v>
      </c>
      <c r="Q307" s="62">
        <v>5003494.1629533703</v>
      </c>
      <c r="R307" s="62">
        <v>4127543</v>
      </c>
      <c r="S307" s="62">
        <v>1083775</v>
      </c>
      <c r="T307" s="62">
        <v>0</v>
      </c>
      <c r="U307" s="62">
        <v>4814774.8945071595</v>
      </c>
      <c r="V307" s="62">
        <v>4174269</v>
      </c>
      <c r="W307" s="62">
        <v>1020461</v>
      </c>
      <c r="X307" s="62">
        <v>5478</v>
      </c>
      <c r="Y307" s="62">
        <v>72911</v>
      </c>
      <c r="Z307" s="62">
        <v>4836646.4862000002</v>
      </c>
      <c r="AA307" s="62">
        <v>4219482</v>
      </c>
      <c r="AB307" s="62">
        <v>1025939</v>
      </c>
      <c r="AC307" s="10">
        <v>4821533.5831799991</v>
      </c>
      <c r="AD307" s="10">
        <v>4339766</v>
      </c>
      <c r="AE307" s="10">
        <v>1048739</v>
      </c>
      <c r="AF307" s="10">
        <v>4793485.8869399996</v>
      </c>
      <c r="AG307" s="10">
        <v>4387064</v>
      </c>
      <c r="AH307" s="17">
        <f>1062714+16844</f>
        <v>1079558</v>
      </c>
      <c r="AI307" s="10">
        <v>4950981.2964300001</v>
      </c>
      <c r="AJ307" s="10">
        <v>4373961</v>
      </c>
      <c r="AK307" s="31">
        <v>1093858</v>
      </c>
      <c r="AL307" s="10">
        <v>4876256.0624799998</v>
      </c>
      <c r="AM307" s="10">
        <v>4295264</v>
      </c>
      <c r="AN307" s="31">
        <v>1107808</v>
      </c>
      <c r="AO307" s="10">
        <v>5219302.4780799998</v>
      </c>
      <c r="AP307" s="10">
        <v>4362303</v>
      </c>
      <c r="AQ307" s="31">
        <v>1140038</v>
      </c>
    </row>
    <row r="308" spans="1:43">
      <c r="A308" s="102">
        <v>299</v>
      </c>
      <c r="B308" s="7" t="s">
        <v>2004</v>
      </c>
      <c r="C308" s="103">
        <v>50.12</v>
      </c>
      <c r="D308" s="62">
        <v>9892</v>
      </c>
      <c r="E308" s="37">
        <v>2331</v>
      </c>
      <c r="F308" s="62">
        <v>7561</v>
      </c>
      <c r="G308" s="62">
        <v>10849.66</v>
      </c>
      <c r="H308" s="62">
        <v>4644</v>
      </c>
      <c r="I308" s="62">
        <v>8090</v>
      </c>
      <c r="J308" s="62">
        <v>11355.27</v>
      </c>
      <c r="K308" s="62">
        <v>5441</v>
      </c>
      <c r="L308" s="62">
        <v>8370</v>
      </c>
      <c r="M308" s="62">
        <v>11943.49</v>
      </c>
      <c r="N308" s="62">
        <v>5490</v>
      </c>
      <c r="O308" s="62">
        <v>8704</v>
      </c>
      <c r="P308" s="62">
        <v>0</v>
      </c>
      <c r="Q308" s="62">
        <v>0</v>
      </c>
      <c r="R308" s="62">
        <v>0</v>
      </c>
      <c r="S308" s="62">
        <v>8530</v>
      </c>
      <c r="T308" s="62">
        <v>0</v>
      </c>
      <c r="U308" s="62">
        <v>0</v>
      </c>
      <c r="V308" s="62">
        <v>0</v>
      </c>
      <c r="W308" s="62">
        <v>0</v>
      </c>
      <c r="X308" s="62">
        <v>0</v>
      </c>
      <c r="Y308" s="62">
        <v>0</v>
      </c>
      <c r="Z308" s="62">
        <v>0</v>
      </c>
      <c r="AA308" s="62">
        <v>0</v>
      </c>
      <c r="AB308" s="62">
        <v>0</v>
      </c>
      <c r="AC308" s="10">
        <v>0</v>
      </c>
      <c r="AD308" s="10">
        <v>0</v>
      </c>
      <c r="AE308" s="10">
        <v>0</v>
      </c>
      <c r="AF308" s="10">
        <v>0</v>
      </c>
      <c r="AG308" s="10">
        <v>0</v>
      </c>
      <c r="AH308" s="10">
        <v>0</v>
      </c>
      <c r="AI308" s="10">
        <v>0</v>
      </c>
      <c r="AJ308" s="10">
        <v>0</v>
      </c>
      <c r="AK308" s="31">
        <v>0</v>
      </c>
      <c r="AL308" s="10">
        <v>0</v>
      </c>
      <c r="AM308" s="10">
        <v>0</v>
      </c>
      <c r="AN308" s="31">
        <v>0</v>
      </c>
      <c r="AO308" s="10">
        <v>0</v>
      </c>
      <c r="AP308" s="10">
        <v>0</v>
      </c>
      <c r="AQ308" s="31">
        <v>0</v>
      </c>
    </row>
    <row r="309" spans="1:43">
      <c r="A309" s="102">
        <v>300</v>
      </c>
      <c r="B309" s="7" t="s">
        <v>2005</v>
      </c>
      <c r="C309" s="103">
        <v>17.5</v>
      </c>
      <c r="D309" s="62">
        <v>1704648</v>
      </c>
      <c r="E309" s="37">
        <v>2280388</v>
      </c>
      <c r="F309" s="62">
        <v>221476.8</v>
      </c>
      <c r="G309" s="62">
        <v>1722060.76</v>
      </c>
      <c r="H309" s="62">
        <v>2234440</v>
      </c>
      <c r="I309" s="62">
        <v>237453.8</v>
      </c>
      <c r="J309" s="62">
        <v>1600608.8736194517</v>
      </c>
      <c r="K309" s="62">
        <v>2062541</v>
      </c>
      <c r="L309" s="62">
        <v>250249.8</v>
      </c>
      <c r="M309" s="62">
        <v>1678407.63</v>
      </c>
      <c r="N309" s="62">
        <v>1925541</v>
      </c>
      <c r="O309" s="62">
        <v>236768.8</v>
      </c>
      <c r="P309" s="62">
        <v>27826</v>
      </c>
      <c r="Q309" s="62">
        <v>1755899.2957244022</v>
      </c>
      <c r="R309" s="62">
        <v>1970181</v>
      </c>
      <c r="S309" s="62">
        <v>259303</v>
      </c>
      <c r="T309" s="62">
        <v>0</v>
      </c>
      <c r="U309" s="62">
        <v>1611078.6274799998</v>
      </c>
      <c r="V309" s="62">
        <v>1832624</v>
      </c>
      <c r="W309" s="62">
        <v>244155</v>
      </c>
      <c r="X309" s="62">
        <v>1311</v>
      </c>
      <c r="Y309" s="62">
        <v>18512</v>
      </c>
      <c r="Z309" s="62">
        <v>1679937.99</v>
      </c>
      <c r="AA309" s="62">
        <v>1758607</v>
      </c>
      <c r="AB309" s="62">
        <v>245466</v>
      </c>
      <c r="AC309" s="10">
        <v>1835519.57</v>
      </c>
      <c r="AD309" s="10">
        <v>1798100</v>
      </c>
      <c r="AE309" s="10">
        <v>253586</v>
      </c>
      <c r="AF309" s="10">
        <v>1792085.3099999998</v>
      </c>
      <c r="AG309" s="10">
        <v>1792085</v>
      </c>
      <c r="AH309" s="10">
        <v>258486</v>
      </c>
      <c r="AI309" s="10">
        <v>1788414.01</v>
      </c>
      <c r="AJ309" s="10">
        <v>1609573</v>
      </c>
      <c r="AK309" s="31">
        <v>277556</v>
      </c>
      <c r="AL309" s="10">
        <v>1879850.1199999996</v>
      </c>
      <c r="AM309" s="10">
        <v>1621100</v>
      </c>
      <c r="AN309" s="31">
        <v>282481</v>
      </c>
      <c r="AO309" s="10">
        <v>1912666.2499999995</v>
      </c>
      <c r="AP309" s="10">
        <v>1596786</v>
      </c>
      <c r="AQ309" s="31">
        <v>315880</v>
      </c>
    </row>
    <row r="310" spans="1:43">
      <c r="A310" s="102">
        <v>301</v>
      </c>
      <c r="B310" s="7" t="s">
        <v>2006</v>
      </c>
      <c r="C310" s="103">
        <v>31.57</v>
      </c>
      <c r="D310" s="62">
        <v>14979885</v>
      </c>
      <c r="E310" s="37">
        <v>8412477</v>
      </c>
      <c r="F310" s="62">
        <v>6567408</v>
      </c>
      <c r="G310" s="62">
        <v>15541436.869999997</v>
      </c>
      <c r="H310" s="62">
        <v>8616640</v>
      </c>
      <c r="I310" s="62">
        <v>6924797</v>
      </c>
      <c r="J310" s="62">
        <v>16038143.446318682</v>
      </c>
      <c r="K310" s="62">
        <v>8917341</v>
      </c>
      <c r="L310" s="62">
        <v>7143646</v>
      </c>
      <c r="M310" s="62">
        <v>16743697.889999999</v>
      </c>
      <c r="N310" s="62">
        <v>9241021</v>
      </c>
      <c r="O310" s="62">
        <v>6713664</v>
      </c>
      <c r="P310" s="62">
        <v>789013</v>
      </c>
      <c r="Q310" s="62">
        <v>16627737.4536268</v>
      </c>
      <c r="R310" s="62">
        <v>9341709</v>
      </c>
      <c r="S310" s="62">
        <v>7352623</v>
      </c>
      <c r="T310" s="62">
        <v>0</v>
      </c>
      <c r="U310" s="62">
        <v>16055926.01182</v>
      </c>
      <c r="V310" s="62">
        <v>9486124</v>
      </c>
      <c r="W310" s="62">
        <v>6923083</v>
      </c>
      <c r="X310" s="62">
        <v>37166</v>
      </c>
      <c r="Y310" s="62">
        <v>441174</v>
      </c>
      <c r="Z310" s="62">
        <v>15581685.049999999</v>
      </c>
      <c r="AA310" s="62">
        <v>9652634</v>
      </c>
      <c r="AB310" s="62">
        <v>6960249</v>
      </c>
      <c r="AC310" s="10">
        <v>16365479.893119998</v>
      </c>
      <c r="AD310" s="10">
        <v>10162808</v>
      </c>
      <c r="AE310" s="10">
        <v>7034649</v>
      </c>
      <c r="AF310" s="10">
        <v>16473614.73</v>
      </c>
      <c r="AG310" s="10">
        <v>10531483</v>
      </c>
      <c r="AH310" s="10">
        <v>7080574</v>
      </c>
      <c r="AI310" s="10">
        <v>16424708.550000001</v>
      </c>
      <c r="AJ310" s="10">
        <v>10954033</v>
      </c>
      <c r="AK310" s="31">
        <v>7125624</v>
      </c>
      <c r="AL310" s="10">
        <v>16310112.57</v>
      </c>
      <c r="AM310" s="10">
        <v>11087277</v>
      </c>
      <c r="AN310" s="31">
        <v>7169374</v>
      </c>
      <c r="AO310" s="10">
        <v>15994837.789999999</v>
      </c>
      <c r="AP310" s="10">
        <v>11008609</v>
      </c>
      <c r="AQ310" s="31">
        <v>7262434</v>
      </c>
    </row>
    <row r="311" spans="1:43">
      <c r="A311" s="102">
        <v>302</v>
      </c>
      <c r="B311" s="7" t="s">
        <v>2007</v>
      </c>
      <c r="C311" s="103">
        <v>17.5</v>
      </c>
      <c r="D311" s="62">
        <v>221575</v>
      </c>
      <c r="E311" s="37">
        <v>466915</v>
      </c>
      <c r="F311" s="62">
        <v>30873.599999999999</v>
      </c>
      <c r="G311" s="62">
        <v>217685.02</v>
      </c>
      <c r="H311" s="62">
        <v>326528</v>
      </c>
      <c r="I311" s="62">
        <v>32323.599999999999</v>
      </c>
      <c r="J311" s="62">
        <v>242227.8797746044</v>
      </c>
      <c r="K311" s="62">
        <v>303598</v>
      </c>
      <c r="L311" s="62">
        <v>36618.6</v>
      </c>
      <c r="M311" s="62">
        <v>211474.7</v>
      </c>
      <c r="N311" s="62">
        <v>266822</v>
      </c>
      <c r="O311" s="62">
        <v>37968.6</v>
      </c>
      <c r="P311" s="62">
        <v>0</v>
      </c>
      <c r="Q311" s="62">
        <v>221493.48244210528</v>
      </c>
      <c r="R311" s="62">
        <v>260037</v>
      </c>
      <c r="S311" s="62">
        <v>37209</v>
      </c>
      <c r="T311" s="62">
        <v>0</v>
      </c>
      <c r="U311" s="62">
        <v>250239.19739999998</v>
      </c>
      <c r="V311" s="62">
        <v>250313</v>
      </c>
      <c r="W311" s="62">
        <v>35721</v>
      </c>
      <c r="X311" s="62">
        <v>0</v>
      </c>
      <c r="Y311" s="62">
        <v>0</v>
      </c>
      <c r="Z311" s="62">
        <v>241848.72</v>
      </c>
      <c r="AA311" s="62">
        <v>244240</v>
      </c>
      <c r="AB311" s="62">
        <v>35721</v>
      </c>
      <c r="AC311" s="10">
        <v>258128.17</v>
      </c>
      <c r="AD311" s="10">
        <v>247395</v>
      </c>
      <c r="AE311" s="10">
        <v>35721</v>
      </c>
      <c r="AF311" s="10">
        <v>251901.56999999998</v>
      </c>
      <c r="AG311" s="10">
        <v>248608</v>
      </c>
      <c r="AH311" s="10">
        <v>35721</v>
      </c>
      <c r="AI311" s="10">
        <v>249461.65000000002</v>
      </c>
      <c r="AJ311" s="10">
        <v>224515</v>
      </c>
      <c r="AK311" s="31">
        <v>38498</v>
      </c>
      <c r="AL311" s="10">
        <v>249733.64</v>
      </c>
      <c r="AM311" s="10">
        <v>219336</v>
      </c>
      <c r="AN311" s="31">
        <v>38498</v>
      </c>
      <c r="AO311" s="10">
        <v>225957.46000000002</v>
      </c>
      <c r="AP311" s="10">
        <v>192376</v>
      </c>
      <c r="AQ311" s="31">
        <v>38498</v>
      </c>
    </row>
    <row r="312" spans="1:43">
      <c r="A312" s="102">
        <v>303</v>
      </c>
      <c r="B312" s="7" t="s">
        <v>2008</v>
      </c>
      <c r="C312" s="103">
        <v>32.31</v>
      </c>
      <c r="D312" s="62">
        <v>9988</v>
      </c>
      <c r="E312" s="37">
        <v>4028</v>
      </c>
      <c r="F312" s="62">
        <v>6880</v>
      </c>
      <c r="G312" s="62">
        <v>11197.585239999999</v>
      </c>
      <c r="H312" s="62">
        <v>4809</v>
      </c>
      <c r="I312" s="62">
        <v>7349</v>
      </c>
      <c r="J312" s="62">
        <v>46690.898399999998</v>
      </c>
      <c r="K312" s="62">
        <v>20600</v>
      </c>
      <c r="L312" s="62">
        <v>26091</v>
      </c>
      <c r="M312" s="62">
        <v>24535.137620000001</v>
      </c>
      <c r="N312" s="62">
        <v>10563</v>
      </c>
      <c r="O312" s="62">
        <v>24535.137620000001</v>
      </c>
      <c r="P312" s="62">
        <v>0</v>
      </c>
      <c r="Q312" s="62">
        <v>25382.203100478469</v>
      </c>
      <c r="R312" s="62">
        <v>11203</v>
      </c>
      <c r="S312" s="62">
        <v>24044</v>
      </c>
      <c r="T312" s="62">
        <v>0</v>
      </c>
      <c r="U312" s="62">
        <v>49251.668457600004</v>
      </c>
      <c r="V312" s="62">
        <v>23544</v>
      </c>
      <c r="W312" s="62">
        <v>25708</v>
      </c>
      <c r="X312" s="62">
        <v>0</v>
      </c>
      <c r="Y312" s="62">
        <v>0</v>
      </c>
      <c r="Z312" s="62">
        <v>12582.467449999998</v>
      </c>
      <c r="AA312" s="62">
        <v>6272</v>
      </c>
      <c r="AB312" s="62">
        <v>12582.467449999998</v>
      </c>
      <c r="AC312" s="10">
        <v>26250.526239999996</v>
      </c>
      <c r="AD312" s="10">
        <v>13295</v>
      </c>
      <c r="AE312" s="10">
        <v>12956</v>
      </c>
      <c r="AF312" s="10">
        <v>39954.317999999999</v>
      </c>
      <c r="AG312" s="10">
        <v>20706</v>
      </c>
      <c r="AH312" s="10">
        <v>19248</v>
      </c>
      <c r="AI312" s="10">
        <v>40041.258719999991</v>
      </c>
      <c r="AJ312" s="10">
        <v>21792</v>
      </c>
      <c r="AK312" s="31">
        <v>19248</v>
      </c>
      <c r="AL312" s="10">
        <v>27007.727760000002</v>
      </c>
      <c r="AM312" s="10">
        <v>15988</v>
      </c>
      <c r="AN312" s="31">
        <v>19248</v>
      </c>
      <c r="AO312" s="10">
        <v>52683.680000000008</v>
      </c>
      <c r="AP312" s="10">
        <v>34232</v>
      </c>
      <c r="AQ312" s="31">
        <v>19248</v>
      </c>
    </row>
    <row r="313" spans="1:43">
      <c r="A313" s="102">
        <v>304</v>
      </c>
      <c r="B313" s="7" t="s">
        <v>2009</v>
      </c>
      <c r="C313" s="103">
        <v>42.09</v>
      </c>
      <c r="D313" s="62">
        <v>15694459</v>
      </c>
      <c r="E313" s="37">
        <v>7254008</v>
      </c>
      <c r="F313" s="62">
        <v>8978422</v>
      </c>
      <c r="G313" s="62">
        <v>16305919.27</v>
      </c>
      <c r="H313" s="62">
        <v>7699224</v>
      </c>
      <c r="I313" s="62">
        <v>9271984</v>
      </c>
      <c r="J313" s="62">
        <v>16540051.93015206</v>
      </c>
      <c r="K313" s="62">
        <v>8083909</v>
      </c>
      <c r="L313" s="62">
        <v>9377789</v>
      </c>
      <c r="M313" s="62">
        <v>17120711.660000004</v>
      </c>
      <c r="N313" s="62">
        <v>8646597</v>
      </c>
      <c r="O313" s="62">
        <v>8631945</v>
      </c>
      <c r="P313" s="62">
        <v>1014457</v>
      </c>
      <c r="Q313" s="62">
        <v>17477190.309787564</v>
      </c>
      <c r="R313" s="62">
        <v>9596633</v>
      </c>
      <c r="S313" s="62">
        <v>9453474</v>
      </c>
      <c r="T313" s="62">
        <v>0</v>
      </c>
      <c r="U313" s="62">
        <v>17147339.203259997</v>
      </c>
      <c r="V313" s="62">
        <v>9663507</v>
      </c>
      <c r="W313" s="62">
        <v>8901203</v>
      </c>
      <c r="X313" s="62">
        <v>47786</v>
      </c>
      <c r="Y313" s="62">
        <v>554635</v>
      </c>
      <c r="Z313" s="62">
        <v>16877042.539999999</v>
      </c>
      <c r="AA313" s="62">
        <v>9962236</v>
      </c>
      <c r="AB313" s="62">
        <v>8948989</v>
      </c>
      <c r="AC313" s="10">
        <v>17330083.23</v>
      </c>
      <c r="AD313" s="10">
        <v>10285734</v>
      </c>
      <c r="AE313" s="10">
        <v>9025989</v>
      </c>
      <c r="AF313" s="10">
        <v>17729556.77</v>
      </c>
      <c r="AG313" s="10">
        <v>10515859</v>
      </c>
      <c r="AH313" s="10">
        <v>9074414</v>
      </c>
      <c r="AI313" s="10">
        <v>18066543.430000003</v>
      </c>
      <c r="AJ313" s="10">
        <v>10926419</v>
      </c>
      <c r="AK313" s="31">
        <v>9122764</v>
      </c>
      <c r="AL313" s="10">
        <v>18526071.940000001</v>
      </c>
      <c r="AM313" s="10">
        <v>11067180</v>
      </c>
      <c r="AN313" s="31">
        <v>9171114</v>
      </c>
      <c r="AO313" s="10">
        <v>18410939.780000005</v>
      </c>
      <c r="AP313" s="10">
        <v>10786060</v>
      </c>
      <c r="AQ313" s="31">
        <v>9275834</v>
      </c>
    </row>
    <row r="314" spans="1:43">
      <c r="A314" s="102">
        <v>305</v>
      </c>
      <c r="B314" s="7" t="s">
        <v>2010</v>
      </c>
      <c r="C314" s="103">
        <v>17.5</v>
      </c>
      <c r="D314" s="62">
        <v>24912170</v>
      </c>
      <c r="E314" s="37">
        <v>24531402</v>
      </c>
      <c r="F314" s="62">
        <v>4066920</v>
      </c>
      <c r="G314" s="62">
        <v>26617789.348280001</v>
      </c>
      <c r="H314" s="62">
        <v>24791745</v>
      </c>
      <c r="I314" s="62">
        <v>4365403</v>
      </c>
      <c r="J314" s="62">
        <v>28230853.006573763</v>
      </c>
      <c r="K314" s="62">
        <v>24914208</v>
      </c>
      <c r="L314" s="62">
        <v>4647689</v>
      </c>
      <c r="M314" s="62">
        <v>29490621.523280002</v>
      </c>
      <c r="N314" s="62">
        <v>25175571</v>
      </c>
      <c r="O314" s="62">
        <v>4356193</v>
      </c>
      <c r="P314" s="62">
        <v>511955</v>
      </c>
      <c r="Q314" s="62">
        <v>30299105.328824647</v>
      </c>
      <c r="R314" s="62">
        <v>25233915</v>
      </c>
      <c r="S314" s="62">
        <v>4770785</v>
      </c>
      <c r="T314" s="62">
        <v>294405</v>
      </c>
      <c r="U314" s="62">
        <v>29492136.843027599</v>
      </c>
      <c r="V314" s="62">
        <v>25278570</v>
      </c>
      <c r="W314" s="62">
        <v>4769282</v>
      </c>
      <c r="X314" s="62">
        <v>25604</v>
      </c>
      <c r="Y314" s="62">
        <v>354054</v>
      </c>
      <c r="Z314" s="62">
        <v>30243376.094500005</v>
      </c>
      <c r="AA314" s="62">
        <v>25690110</v>
      </c>
      <c r="AB314" s="62">
        <v>4794886</v>
      </c>
      <c r="AC314" s="10">
        <v>31226177.075480007</v>
      </c>
      <c r="AD314" s="10">
        <v>26692542</v>
      </c>
      <c r="AE314" s="10">
        <v>4962309.7470522504</v>
      </c>
      <c r="AF314" s="10">
        <v>31777096.588499997</v>
      </c>
      <c r="AG314" s="10">
        <v>27531423</v>
      </c>
      <c r="AH314" s="17">
        <f>5111980.28603606+58954</f>
        <v>5170934.2860360602</v>
      </c>
      <c r="AI314" s="10">
        <v>31933215.629270006</v>
      </c>
      <c r="AJ314" s="10">
        <v>27532408</v>
      </c>
      <c r="AK314" s="31">
        <v>5317017.2860360602</v>
      </c>
      <c r="AL314" s="10">
        <v>32600249.418120001</v>
      </c>
      <c r="AM314" s="10">
        <v>27898292</v>
      </c>
      <c r="AN314" s="31">
        <v>5401367.2860360602</v>
      </c>
      <c r="AO314" s="10">
        <v>34230683.749200001</v>
      </c>
      <c r="AP314" s="10">
        <v>28386107</v>
      </c>
      <c r="AQ314" s="31">
        <v>5844577</v>
      </c>
    </row>
    <row r="315" spans="1:43">
      <c r="A315" s="102">
        <v>306</v>
      </c>
      <c r="B315" s="7" t="s">
        <v>2011</v>
      </c>
      <c r="C315" s="103">
        <v>59.57</v>
      </c>
      <c r="D315" s="62">
        <v>1057649</v>
      </c>
      <c r="E315" s="37">
        <v>551254</v>
      </c>
      <c r="F315" s="62">
        <v>600096.4</v>
      </c>
      <c r="G315" s="62">
        <v>1097738.68</v>
      </c>
      <c r="H315" s="62">
        <v>542623</v>
      </c>
      <c r="I315" s="62">
        <v>623689.4</v>
      </c>
      <c r="J315" s="62">
        <v>1214081.5491547664</v>
      </c>
      <c r="K315" s="62">
        <v>568369</v>
      </c>
      <c r="L315" s="62">
        <v>692029.4</v>
      </c>
      <c r="M315" s="62">
        <v>1083615.01</v>
      </c>
      <c r="N315" s="62">
        <v>511611</v>
      </c>
      <c r="O315" s="62">
        <v>625113.4</v>
      </c>
      <c r="P315" s="62">
        <v>73466</v>
      </c>
      <c r="Q315" s="62">
        <v>1237788.8446468899</v>
      </c>
      <c r="R315" s="62">
        <v>562473</v>
      </c>
      <c r="S315" s="62">
        <v>684608</v>
      </c>
      <c r="T315" s="62">
        <v>0</v>
      </c>
      <c r="U315" s="62">
        <v>1290629.74896</v>
      </c>
      <c r="V315" s="62">
        <v>586443</v>
      </c>
      <c r="W315" s="62">
        <v>690675</v>
      </c>
      <c r="X315" s="62">
        <v>3708</v>
      </c>
      <c r="Y315" s="62">
        <v>9804</v>
      </c>
      <c r="Z315" s="62">
        <v>1324350.96</v>
      </c>
      <c r="AA315" s="62">
        <v>599347</v>
      </c>
      <c r="AB315" s="62">
        <v>725004</v>
      </c>
      <c r="AC315" s="10">
        <v>1325356.92</v>
      </c>
      <c r="AD315" s="10">
        <v>604836</v>
      </c>
      <c r="AE315" s="10">
        <v>730684</v>
      </c>
      <c r="AF315" s="10">
        <v>1277849.4100000001</v>
      </c>
      <c r="AG315" s="10">
        <v>602399</v>
      </c>
      <c r="AH315" s="10">
        <v>734009</v>
      </c>
      <c r="AI315" s="10">
        <v>1356194.98</v>
      </c>
      <c r="AJ315" s="10">
        <v>645271</v>
      </c>
      <c r="AK315" s="31">
        <v>737534</v>
      </c>
      <c r="AL315" s="10">
        <v>1467392.6599999997</v>
      </c>
      <c r="AM315" s="10">
        <v>661118</v>
      </c>
      <c r="AN315" s="31">
        <v>806275</v>
      </c>
      <c r="AO315" s="10">
        <v>1585577.72</v>
      </c>
      <c r="AP315" s="10">
        <v>646690</v>
      </c>
      <c r="AQ315" s="31">
        <v>938888</v>
      </c>
    </row>
    <row r="316" spans="1:43">
      <c r="A316" s="102">
        <v>307</v>
      </c>
      <c r="B316" s="7" t="s">
        <v>2012</v>
      </c>
      <c r="C316" s="103">
        <v>17.5</v>
      </c>
      <c r="D316" s="62">
        <v>26410304</v>
      </c>
      <c r="E316" s="37">
        <v>22394550</v>
      </c>
      <c r="F316" s="62">
        <v>4500224.4000000004</v>
      </c>
      <c r="G316" s="62">
        <v>28924699.423300002</v>
      </c>
      <c r="H316" s="62">
        <v>23409707</v>
      </c>
      <c r="I316" s="62">
        <v>5514992</v>
      </c>
      <c r="J316" s="62">
        <v>31050181.709740832</v>
      </c>
      <c r="K316" s="62">
        <v>24570828</v>
      </c>
      <c r="L316" s="62">
        <v>6479354</v>
      </c>
      <c r="M316" s="62">
        <v>32983538.436549999</v>
      </c>
      <c r="N316" s="62">
        <v>25479114</v>
      </c>
      <c r="O316" s="62">
        <v>6715227</v>
      </c>
      <c r="P316" s="62">
        <v>789197</v>
      </c>
      <c r="Q316" s="62">
        <v>33992625.661692321</v>
      </c>
      <c r="R316" s="62">
        <v>26485132</v>
      </c>
      <c r="S316" s="62">
        <v>7354336</v>
      </c>
      <c r="T316" s="62">
        <v>153158</v>
      </c>
      <c r="U316" s="62">
        <v>32863427.944973391</v>
      </c>
      <c r="V316" s="62">
        <v>26734779</v>
      </c>
      <c r="W316" s="62">
        <v>7068906</v>
      </c>
      <c r="X316" s="62">
        <v>37949</v>
      </c>
      <c r="Y316" s="62">
        <v>496139</v>
      </c>
      <c r="Z316" s="62">
        <v>33583986.553500004</v>
      </c>
      <c r="AA316" s="62">
        <v>27739862</v>
      </c>
      <c r="AB316" s="62">
        <v>7106855</v>
      </c>
      <c r="AC316" s="10">
        <v>35385662.980499998</v>
      </c>
      <c r="AD316" s="10">
        <v>28681277</v>
      </c>
      <c r="AE316" s="10">
        <v>7325008.0005256878</v>
      </c>
      <c r="AF316" s="10">
        <v>36597932.707249992</v>
      </c>
      <c r="AG316" s="10">
        <v>29680601</v>
      </c>
      <c r="AH316" s="10">
        <v>7446255.7103260532</v>
      </c>
      <c r="AI316" s="10">
        <v>36833859.746200003</v>
      </c>
      <c r="AJ316" s="10">
        <v>30016055</v>
      </c>
      <c r="AK316" s="31">
        <v>7542980.7103260532</v>
      </c>
      <c r="AL316" s="10">
        <v>37317617.441239998</v>
      </c>
      <c r="AM316" s="10">
        <v>30729479</v>
      </c>
      <c r="AN316" s="31">
        <v>7638830.7103260532</v>
      </c>
      <c r="AO316" s="10">
        <v>36843723.371769994</v>
      </c>
      <c r="AP316" s="10">
        <v>30659945</v>
      </c>
      <c r="AQ316" s="31">
        <v>7848820.7103260532</v>
      </c>
    </row>
    <row r="317" spans="1:43">
      <c r="A317" s="102">
        <v>308</v>
      </c>
      <c r="B317" s="7" t="s">
        <v>2013</v>
      </c>
      <c r="C317" s="103">
        <v>17.5</v>
      </c>
      <c r="D317" s="62">
        <v>38879439</v>
      </c>
      <c r="E317" s="37">
        <v>61572349</v>
      </c>
      <c r="F317" s="62">
        <v>5965643.2000000002</v>
      </c>
      <c r="G317" s="62">
        <v>42761499.772249997</v>
      </c>
      <c r="H317" s="62">
        <v>59697543</v>
      </c>
      <c r="I317" s="62">
        <v>6645004.2000000002</v>
      </c>
      <c r="J317" s="62">
        <v>46074539.537751034</v>
      </c>
      <c r="K317" s="62">
        <v>56268437</v>
      </c>
      <c r="L317" s="62">
        <v>7224786.2000000002</v>
      </c>
      <c r="M317" s="62">
        <v>48110738.181689993</v>
      </c>
      <c r="N317" s="62">
        <v>52317305</v>
      </c>
      <c r="O317" s="62">
        <v>6817755.2000000002</v>
      </c>
      <c r="P317" s="62">
        <v>801247</v>
      </c>
      <c r="Q317" s="62">
        <v>49403220.555879377</v>
      </c>
      <c r="R317" s="62">
        <v>50761236</v>
      </c>
      <c r="S317" s="62">
        <v>7466622</v>
      </c>
      <c r="T317" s="62">
        <v>0</v>
      </c>
      <c r="U317" s="62">
        <v>47912898.078373261</v>
      </c>
      <c r="V317" s="62">
        <v>48460847</v>
      </c>
      <c r="W317" s="62">
        <v>7030422</v>
      </c>
      <c r="X317" s="62">
        <v>37743</v>
      </c>
      <c r="Y317" s="62">
        <v>519232</v>
      </c>
      <c r="Z317" s="62">
        <v>50081563.292000003</v>
      </c>
      <c r="AA317" s="62">
        <v>48664297</v>
      </c>
      <c r="AB317" s="62">
        <v>7068165</v>
      </c>
      <c r="AC317" s="10">
        <v>54877131.504830003</v>
      </c>
      <c r="AD317" s="10">
        <v>50008834</v>
      </c>
      <c r="AE317" s="10">
        <v>7701998.2533363122</v>
      </c>
      <c r="AF317" s="10">
        <v>57878574.668200001</v>
      </c>
      <c r="AG317" s="10">
        <v>51531811</v>
      </c>
      <c r="AH317" s="10">
        <v>8308686.3317359835</v>
      </c>
      <c r="AI317" s="10">
        <v>58974377.85684</v>
      </c>
      <c r="AJ317" s="10">
        <v>51151815</v>
      </c>
      <c r="AK317" s="31">
        <v>9012826.3317359835</v>
      </c>
      <c r="AL317" s="10">
        <v>62218743.565559998</v>
      </c>
      <c r="AM317" s="10">
        <v>52507147</v>
      </c>
      <c r="AN317" s="31">
        <v>9711597</v>
      </c>
      <c r="AO317" s="10">
        <v>62274785.537900016</v>
      </c>
      <c r="AP317" s="10">
        <v>51887299</v>
      </c>
      <c r="AQ317" s="31">
        <v>10863166</v>
      </c>
    </row>
    <row r="318" spans="1:43">
      <c r="A318" s="102">
        <v>309</v>
      </c>
      <c r="B318" s="7" t="s">
        <v>2014</v>
      </c>
      <c r="C318" s="103">
        <v>63.53</v>
      </c>
      <c r="D318" s="62">
        <v>10543852</v>
      </c>
      <c r="E318" s="37">
        <v>4213722</v>
      </c>
      <c r="F318" s="62">
        <v>7097968</v>
      </c>
      <c r="G318" s="62">
        <v>11341610.789999999</v>
      </c>
      <c r="H318" s="62">
        <v>4490738</v>
      </c>
      <c r="I318" s="62">
        <v>7590105</v>
      </c>
      <c r="J318" s="62">
        <v>11984338.616012348</v>
      </c>
      <c r="K318" s="62">
        <v>4670870</v>
      </c>
      <c r="L318" s="62">
        <v>7988468</v>
      </c>
      <c r="M318" s="62">
        <v>12279413.380000001</v>
      </c>
      <c r="N318" s="62">
        <v>4853748</v>
      </c>
      <c r="O318" s="62">
        <v>7307532</v>
      </c>
      <c r="P318" s="62">
        <v>858807</v>
      </c>
      <c r="Q318" s="62">
        <v>12947330.615364594</v>
      </c>
      <c r="R318" s="62">
        <v>4961196</v>
      </c>
      <c r="S318" s="62">
        <v>8003012</v>
      </c>
      <c r="T318" s="62">
        <v>0</v>
      </c>
      <c r="U318" s="62">
        <v>13334594.007599998</v>
      </c>
      <c r="V318" s="62">
        <v>5116642</v>
      </c>
      <c r="W318" s="62">
        <v>8060271</v>
      </c>
      <c r="X318" s="62">
        <v>43271</v>
      </c>
      <c r="Y318" s="62">
        <v>114410</v>
      </c>
      <c r="Z318" s="62">
        <v>13217323.799999999</v>
      </c>
      <c r="AA318" s="62">
        <v>5226096</v>
      </c>
      <c r="AB318" s="62">
        <v>8103542</v>
      </c>
      <c r="AC318" s="10">
        <v>13610889.48</v>
      </c>
      <c r="AD318" s="10">
        <v>5398699</v>
      </c>
      <c r="AE318" s="10">
        <v>8212190</v>
      </c>
      <c r="AF318" s="10">
        <v>14182968.479999997</v>
      </c>
      <c r="AG318" s="10">
        <v>5508648</v>
      </c>
      <c r="AH318" s="10">
        <v>8674320</v>
      </c>
      <c r="AI318" s="10">
        <v>14311776.950000001</v>
      </c>
      <c r="AJ318" s="10">
        <v>5575059</v>
      </c>
      <c r="AK318" s="31">
        <v>8736718</v>
      </c>
      <c r="AL318" s="10">
        <v>14379106.989999996</v>
      </c>
      <c r="AM318" s="10">
        <v>5507809</v>
      </c>
      <c r="AN318" s="31">
        <v>8871298</v>
      </c>
      <c r="AO318" s="10">
        <v>14839037.079999998</v>
      </c>
      <c r="AP318" s="10">
        <v>5469680</v>
      </c>
      <c r="AQ318" s="31">
        <v>9369357</v>
      </c>
    </row>
    <row r="319" spans="1:43">
      <c r="A319" s="102">
        <v>310</v>
      </c>
      <c r="B319" s="7" t="s">
        <v>2015</v>
      </c>
      <c r="C319" s="103">
        <v>42.59</v>
      </c>
      <c r="D319" s="62">
        <v>26787120</v>
      </c>
      <c r="E319" s="37">
        <v>16030344</v>
      </c>
      <c r="F319" s="62">
        <v>11226580.000000002</v>
      </c>
      <c r="G319" s="62">
        <v>27620251.569999997</v>
      </c>
      <c r="H319" s="62">
        <v>16502182</v>
      </c>
      <c r="I319" s="62">
        <v>11620568.000000002</v>
      </c>
      <c r="J319" s="62">
        <v>28330642.11136163</v>
      </c>
      <c r="K319" s="62">
        <v>17161382</v>
      </c>
      <c r="L319" s="62">
        <v>11916801.000000002</v>
      </c>
      <c r="M319" s="62">
        <v>29713674.899999999</v>
      </c>
      <c r="N319" s="62">
        <v>17701346</v>
      </c>
      <c r="O319" s="62">
        <v>11178168.000000002</v>
      </c>
      <c r="P319" s="62">
        <v>1313698</v>
      </c>
      <c r="Q319" s="62">
        <v>30323433.981795222</v>
      </c>
      <c r="R319" s="62">
        <v>17409106</v>
      </c>
      <c r="S319" s="62">
        <v>12242029</v>
      </c>
      <c r="T319" s="62">
        <v>672299</v>
      </c>
      <c r="U319" s="62">
        <v>29157976.018979996</v>
      </c>
      <c r="V319" s="62">
        <v>17518457</v>
      </c>
      <c r="W319" s="62">
        <v>12159874</v>
      </c>
      <c r="X319" s="62">
        <v>65280</v>
      </c>
      <c r="Y319" s="62">
        <v>765499</v>
      </c>
      <c r="Z319" s="62">
        <v>28986212.199999999</v>
      </c>
      <c r="AA319" s="62">
        <v>17900064</v>
      </c>
      <c r="AB319" s="62">
        <v>12225154</v>
      </c>
      <c r="AC319" s="10">
        <v>30086115.449999996</v>
      </c>
      <c r="AD319" s="10">
        <v>18383155</v>
      </c>
      <c r="AE319" s="10">
        <v>12345207.138633749</v>
      </c>
      <c r="AF319" s="10">
        <v>29686081.27</v>
      </c>
      <c r="AG319" s="10">
        <v>18523807</v>
      </c>
      <c r="AH319" s="10">
        <v>12416757.138633749</v>
      </c>
      <c r="AI319" s="10">
        <v>29801464.629999995</v>
      </c>
      <c r="AJ319" s="10">
        <v>18563068</v>
      </c>
      <c r="AK319" s="31">
        <v>12488232.138633749</v>
      </c>
      <c r="AL319" s="10">
        <v>30579432.949999999</v>
      </c>
      <c r="AM319" s="10">
        <v>18285648</v>
      </c>
      <c r="AN319" s="31">
        <v>12558607.138633749</v>
      </c>
      <c r="AO319" s="10">
        <v>29850414.400000002</v>
      </c>
      <c r="AP319" s="10">
        <v>17354464</v>
      </c>
      <c r="AQ319" s="31">
        <v>12708042.138633749</v>
      </c>
    </row>
    <row r="320" spans="1:43">
      <c r="A320" s="102">
        <v>311</v>
      </c>
      <c r="B320" s="7" t="s">
        <v>2016</v>
      </c>
      <c r="C320" s="103">
        <v>72.17</v>
      </c>
      <c r="D320" s="62">
        <v>538960</v>
      </c>
      <c r="E320" s="37">
        <v>185240</v>
      </c>
      <c r="F320" s="62">
        <v>353720</v>
      </c>
      <c r="G320" s="62">
        <v>702595.73</v>
      </c>
      <c r="H320" s="62">
        <v>196083</v>
      </c>
      <c r="I320" s="62">
        <v>506513</v>
      </c>
      <c r="J320" s="62">
        <v>158055.47</v>
      </c>
      <c r="K320" s="62">
        <v>44646</v>
      </c>
      <c r="L320" s="62">
        <v>137959</v>
      </c>
      <c r="M320" s="62">
        <v>71660.94</v>
      </c>
      <c r="N320" s="62">
        <v>20366</v>
      </c>
      <c r="O320" s="62">
        <v>71660.94</v>
      </c>
      <c r="P320" s="62">
        <v>0</v>
      </c>
      <c r="Q320" s="62">
        <v>24613.150009569381</v>
      </c>
      <c r="R320" s="62">
        <v>7172</v>
      </c>
      <c r="S320" s="62">
        <v>70228</v>
      </c>
      <c r="T320" s="62">
        <v>0</v>
      </c>
      <c r="U320" s="62">
        <v>0</v>
      </c>
      <c r="V320" s="62">
        <v>0</v>
      </c>
      <c r="W320" s="62">
        <v>0</v>
      </c>
      <c r="X320" s="62">
        <v>0</v>
      </c>
      <c r="Y320" s="62">
        <v>0</v>
      </c>
      <c r="Z320" s="62">
        <v>0</v>
      </c>
      <c r="AA320" s="62">
        <v>0</v>
      </c>
      <c r="AB320" s="62">
        <v>0</v>
      </c>
      <c r="AC320" s="10">
        <v>0</v>
      </c>
      <c r="AD320" s="10">
        <v>0</v>
      </c>
      <c r="AE320" s="10">
        <v>0</v>
      </c>
      <c r="AF320" s="10">
        <v>0</v>
      </c>
      <c r="AG320" s="10">
        <v>0</v>
      </c>
      <c r="AH320" s="10">
        <v>0</v>
      </c>
      <c r="AI320" s="10">
        <v>0</v>
      </c>
      <c r="AJ320" s="10">
        <v>0</v>
      </c>
      <c r="AK320" s="31">
        <v>0</v>
      </c>
      <c r="AL320" s="10">
        <v>0</v>
      </c>
      <c r="AM320" s="10">
        <v>0</v>
      </c>
      <c r="AN320" s="31">
        <v>0</v>
      </c>
      <c r="AO320" s="10">
        <v>0</v>
      </c>
      <c r="AP320" s="10">
        <v>0</v>
      </c>
      <c r="AQ320" s="31">
        <v>0</v>
      </c>
    </row>
    <row r="321" spans="1:43">
      <c r="A321" s="102">
        <v>312</v>
      </c>
      <c r="B321" s="7" t="s">
        <v>2017</v>
      </c>
      <c r="C321" s="103">
        <v>27.85</v>
      </c>
      <c r="D321" s="62">
        <v>0</v>
      </c>
      <c r="E321" s="37">
        <v>0</v>
      </c>
      <c r="F321" s="62">
        <v>0</v>
      </c>
      <c r="G321" s="62">
        <v>0</v>
      </c>
      <c r="H321" s="62">
        <v>0</v>
      </c>
      <c r="I321" s="62">
        <v>0</v>
      </c>
      <c r="J321" s="62">
        <v>0</v>
      </c>
      <c r="K321" s="62">
        <v>0</v>
      </c>
      <c r="L321" s="62">
        <v>0</v>
      </c>
      <c r="M321" s="62">
        <v>0</v>
      </c>
      <c r="N321" s="62">
        <v>0</v>
      </c>
      <c r="O321" s="62">
        <v>0</v>
      </c>
      <c r="P321" s="62">
        <v>0</v>
      </c>
      <c r="Q321" s="62">
        <v>0</v>
      </c>
      <c r="R321" s="62">
        <v>0</v>
      </c>
      <c r="S321" s="62">
        <v>0</v>
      </c>
      <c r="T321" s="62">
        <v>0</v>
      </c>
      <c r="U321" s="62">
        <v>0</v>
      </c>
      <c r="V321" s="62">
        <v>0</v>
      </c>
      <c r="W321" s="62">
        <v>0</v>
      </c>
      <c r="X321" s="62">
        <v>0</v>
      </c>
      <c r="Y321" s="62">
        <v>0</v>
      </c>
      <c r="Z321" s="62">
        <v>0</v>
      </c>
      <c r="AA321" s="62">
        <v>0</v>
      </c>
      <c r="AB321" s="62">
        <v>0</v>
      </c>
      <c r="AC321" s="10">
        <v>0</v>
      </c>
      <c r="AD321" s="10">
        <v>0</v>
      </c>
      <c r="AE321" s="10">
        <v>0</v>
      </c>
      <c r="AF321" s="10">
        <v>0</v>
      </c>
      <c r="AG321" s="10">
        <v>0</v>
      </c>
      <c r="AH321" s="10">
        <v>0</v>
      </c>
      <c r="AI321" s="10">
        <v>0</v>
      </c>
      <c r="AJ321" s="10">
        <v>0</v>
      </c>
      <c r="AK321" s="31">
        <v>0</v>
      </c>
      <c r="AL321" s="10">
        <v>0</v>
      </c>
      <c r="AM321" s="10">
        <v>0</v>
      </c>
      <c r="AN321" s="31">
        <v>0</v>
      </c>
      <c r="AO321" s="10">
        <v>0</v>
      </c>
      <c r="AP321" s="10">
        <v>0</v>
      </c>
      <c r="AQ321" s="31">
        <v>0</v>
      </c>
    </row>
    <row r="322" spans="1:43">
      <c r="A322" s="102">
        <v>313</v>
      </c>
      <c r="B322" s="7" t="s">
        <v>2018</v>
      </c>
      <c r="C322" s="103">
        <v>17.5</v>
      </c>
      <c r="D322" s="62">
        <v>29389</v>
      </c>
      <c r="E322" s="37">
        <v>10836</v>
      </c>
      <c r="F322" s="62">
        <v>18553</v>
      </c>
      <c r="G322" s="62">
        <v>32548.98</v>
      </c>
      <c r="H322" s="62">
        <v>18105</v>
      </c>
      <c r="I322" s="62">
        <v>20004</v>
      </c>
      <c r="J322" s="62">
        <v>34065.81</v>
      </c>
      <c r="K322" s="62">
        <v>20948</v>
      </c>
      <c r="L322" s="62">
        <v>20700</v>
      </c>
      <c r="M322" s="62">
        <v>11943.49</v>
      </c>
      <c r="N322" s="62">
        <v>6978</v>
      </c>
      <c r="O322" s="62">
        <v>11943.49</v>
      </c>
      <c r="P322" s="62">
        <v>0</v>
      </c>
      <c r="Q322" s="62">
        <v>24613.150009569381</v>
      </c>
      <c r="R322" s="62">
        <v>16085</v>
      </c>
      <c r="S322" s="62">
        <v>11705</v>
      </c>
      <c r="T322" s="62">
        <v>0</v>
      </c>
      <c r="U322" s="62">
        <v>24071.631359999999</v>
      </c>
      <c r="V322" s="62">
        <v>16378</v>
      </c>
      <c r="W322" s="62">
        <v>11237</v>
      </c>
      <c r="X322" s="62">
        <v>0</v>
      </c>
      <c r="Y322" s="62">
        <v>0</v>
      </c>
      <c r="Z322" s="62">
        <v>12250.07</v>
      </c>
      <c r="AA322" s="62">
        <v>9358</v>
      </c>
      <c r="AB322" s="62">
        <v>11237</v>
      </c>
      <c r="AC322" s="10">
        <v>25394.420000000002</v>
      </c>
      <c r="AD322" s="10">
        <v>19302</v>
      </c>
      <c r="AE322" s="10">
        <v>11237</v>
      </c>
      <c r="AF322" s="10">
        <v>0</v>
      </c>
      <c r="AG322" s="10">
        <v>0</v>
      </c>
      <c r="AH322" s="10">
        <v>0</v>
      </c>
      <c r="AI322" s="10">
        <v>13004.9</v>
      </c>
      <c r="AJ322" s="10">
        <v>10244</v>
      </c>
      <c r="AK322" s="31">
        <v>2761</v>
      </c>
      <c r="AL322" s="10">
        <v>13199.960000000001</v>
      </c>
      <c r="AM322" s="10">
        <v>10149</v>
      </c>
      <c r="AN322" s="31">
        <v>3051</v>
      </c>
      <c r="AO322" s="10">
        <v>13170.920000000002</v>
      </c>
      <c r="AP322" s="10">
        <v>10882</v>
      </c>
      <c r="AQ322" s="31">
        <v>3051</v>
      </c>
    </row>
    <row r="323" spans="1:43">
      <c r="A323" s="102">
        <v>314</v>
      </c>
      <c r="B323" s="7" t="s">
        <v>2019</v>
      </c>
      <c r="C323" s="103">
        <v>17.5</v>
      </c>
      <c r="D323" s="62">
        <v>19464616</v>
      </c>
      <c r="E323" s="37">
        <v>27494743</v>
      </c>
      <c r="F323" s="62">
        <v>2500103.6</v>
      </c>
      <c r="G323" s="62">
        <v>21408022.994499996</v>
      </c>
      <c r="H323" s="62">
        <v>26660901</v>
      </c>
      <c r="I323" s="62">
        <v>2840199.6</v>
      </c>
      <c r="J323" s="62">
        <v>22755172.082941681</v>
      </c>
      <c r="K323" s="62">
        <v>25584736</v>
      </c>
      <c r="L323" s="62">
        <v>3182786.6</v>
      </c>
      <c r="M323" s="62">
        <v>23442917.806000002</v>
      </c>
      <c r="N323" s="62">
        <v>24228635</v>
      </c>
      <c r="O323" s="62">
        <v>3119661.6</v>
      </c>
      <c r="P323" s="62">
        <v>366634</v>
      </c>
      <c r="Q323" s="62">
        <v>24506187.214984823</v>
      </c>
      <c r="R323" s="62">
        <v>24010035</v>
      </c>
      <c r="S323" s="62">
        <v>3416570</v>
      </c>
      <c r="T323" s="62">
        <v>0</v>
      </c>
      <c r="U323" s="62">
        <v>24666914.422698718</v>
      </c>
      <c r="V323" s="62">
        <v>23332261</v>
      </c>
      <c r="W323" s="62">
        <v>3216974</v>
      </c>
      <c r="X323" s="62">
        <v>17270</v>
      </c>
      <c r="Y323" s="62">
        <v>246976</v>
      </c>
      <c r="Z323" s="62">
        <v>25827066.428560004</v>
      </c>
      <c r="AA323" s="62">
        <v>23433118</v>
      </c>
      <c r="AB323" s="62">
        <v>3234244</v>
      </c>
      <c r="AC323" s="10">
        <v>26990163.684909999</v>
      </c>
      <c r="AD323" s="10">
        <v>23875646</v>
      </c>
      <c r="AE323" s="10">
        <v>3341524</v>
      </c>
      <c r="AF323" s="10">
        <v>28042729.455369998</v>
      </c>
      <c r="AG323" s="10">
        <v>24440387</v>
      </c>
      <c r="AH323" s="10">
        <v>3928625.9136724374</v>
      </c>
      <c r="AI323" s="10">
        <v>28744449.526519999</v>
      </c>
      <c r="AJ323" s="10">
        <v>24409669</v>
      </c>
      <c r="AK323" s="31">
        <v>4334781</v>
      </c>
      <c r="AL323" s="10">
        <v>26987815.659180008</v>
      </c>
      <c r="AM323" s="10">
        <v>23909715</v>
      </c>
      <c r="AN323" s="31">
        <v>4399531</v>
      </c>
      <c r="AO323" s="10">
        <v>27574866.376769997</v>
      </c>
      <c r="AP323" s="10">
        <v>23092613</v>
      </c>
      <c r="AQ323" s="31">
        <v>4540881</v>
      </c>
    </row>
    <row r="324" spans="1:43">
      <c r="A324" s="102">
        <v>315</v>
      </c>
      <c r="B324" s="7" t="s">
        <v>2020</v>
      </c>
      <c r="C324" s="103">
        <v>17.5</v>
      </c>
      <c r="D324" s="62">
        <v>20528254</v>
      </c>
      <c r="E324" s="37">
        <v>22426179</v>
      </c>
      <c r="F324" s="62">
        <v>2433825.2000000002</v>
      </c>
      <c r="G324" s="62">
        <v>21706401.2687</v>
      </c>
      <c r="H324" s="62">
        <v>22177863</v>
      </c>
      <c r="I324" s="62">
        <v>2706784.2</v>
      </c>
      <c r="J324" s="62">
        <v>22348945.189632639</v>
      </c>
      <c r="K324" s="62">
        <v>21508290</v>
      </c>
      <c r="L324" s="62">
        <v>3068068.2</v>
      </c>
      <c r="M324" s="62">
        <v>23105602.879149996</v>
      </c>
      <c r="N324" s="62">
        <v>21557416</v>
      </c>
      <c r="O324" s="62">
        <v>3033452.2</v>
      </c>
      <c r="P324" s="62">
        <v>356502</v>
      </c>
      <c r="Q324" s="62">
        <v>23487595.690153036</v>
      </c>
      <c r="R324" s="62">
        <v>21787470</v>
      </c>
      <c r="S324" s="62">
        <v>3322155</v>
      </c>
      <c r="T324" s="62">
        <v>0</v>
      </c>
      <c r="U324" s="62">
        <v>22901223.710748963</v>
      </c>
      <c r="V324" s="62">
        <v>21497031</v>
      </c>
      <c r="W324" s="62">
        <v>3128075</v>
      </c>
      <c r="X324" s="62">
        <v>16793</v>
      </c>
      <c r="Y324" s="62">
        <v>244512</v>
      </c>
      <c r="Z324" s="62">
        <v>22873243.606079999</v>
      </c>
      <c r="AA324" s="62">
        <v>21683970</v>
      </c>
      <c r="AB324" s="62">
        <v>3144868</v>
      </c>
      <c r="AC324" s="10">
        <v>23638559.356320001</v>
      </c>
      <c r="AD324" s="10">
        <v>22212916</v>
      </c>
      <c r="AE324" s="10">
        <v>3250268</v>
      </c>
      <c r="AF324" s="10">
        <v>24223145.583800003</v>
      </c>
      <c r="AG324" s="10">
        <v>22634976</v>
      </c>
      <c r="AH324" s="10">
        <v>3316668</v>
      </c>
      <c r="AI324" s="10">
        <v>24309849.451349992</v>
      </c>
      <c r="AJ324" s="10">
        <v>21783923</v>
      </c>
      <c r="AK324" s="31">
        <v>3644813</v>
      </c>
      <c r="AL324" s="10">
        <v>24601190.323630001</v>
      </c>
      <c r="AM324" s="10">
        <v>21539908</v>
      </c>
      <c r="AN324" s="31">
        <v>3710313</v>
      </c>
      <c r="AO324" s="10">
        <v>24640382.589680005</v>
      </c>
      <c r="AP324" s="10">
        <v>20643819</v>
      </c>
      <c r="AQ324" s="149">
        <f>4042462+17341</f>
        <v>4059803</v>
      </c>
    </row>
    <row r="325" spans="1:43">
      <c r="A325" s="102">
        <v>316</v>
      </c>
      <c r="B325" s="7" t="s">
        <v>2021</v>
      </c>
      <c r="C325" s="103">
        <v>54.56</v>
      </c>
      <c r="D325" s="62">
        <v>15041385</v>
      </c>
      <c r="E325" s="37">
        <v>7642041</v>
      </c>
      <c r="F325" s="62">
        <v>7399344</v>
      </c>
      <c r="G325" s="62">
        <v>16432266.58</v>
      </c>
      <c r="H325" s="62">
        <v>8269809</v>
      </c>
      <c r="I325" s="62">
        <v>8162458</v>
      </c>
      <c r="J325" s="62">
        <v>17755144.59782863</v>
      </c>
      <c r="K325" s="62">
        <v>8781928</v>
      </c>
      <c r="L325" s="62">
        <v>8973217</v>
      </c>
      <c r="M325" s="62">
        <v>18280915.910000004</v>
      </c>
      <c r="N325" s="62">
        <v>9216413</v>
      </c>
      <c r="O325" s="62">
        <v>8231908</v>
      </c>
      <c r="P325" s="62">
        <v>967443</v>
      </c>
      <c r="Q325" s="62">
        <v>19369599.058311965</v>
      </c>
      <c r="R325" s="62">
        <v>9323234</v>
      </c>
      <c r="S325" s="62">
        <v>9015364</v>
      </c>
      <c r="T325" s="62">
        <v>1031001</v>
      </c>
      <c r="U325" s="62">
        <v>19122110.4267</v>
      </c>
      <c r="V325" s="62">
        <v>9432847</v>
      </c>
      <c r="W325" s="62">
        <v>9503351</v>
      </c>
      <c r="X325" s="62">
        <v>51018</v>
      </c>
      <c r="Y325" s="62">
        <v>541696</v>
      </c>
      <c r="Z325" s="62">
        <v>19221499.239999998</v>
      </c>
      <c r="AA325" s="62">
        <v>9741513</v>
      </c>
      <c r="AB325" s="62">
        <v>9554369</v>
      </c>
      <c r="AC325" s="10">
        <v>19780303.73</v>
      </c>
      <c r="AD325" s="10">
        <v>9875242</v>
      </c>
      <c r="AE325" s="10">
        <v>9905062</v>
      </c>
      <c r="AF325" s="10">
        <v>20497532.719999999</v>
      </c>
      <c r="AG325" s="10">
        <v>10176657</v>
      </c>
      <c r="AH325" s="10">
        <v>10320876</v>
      </c>
      <c r="AI325" s="10">
        <v>20776506.130000003</v>
      </c>
      <c r="AJ325" s="10">
        <v>10261282</v>
      </c>
      <c r="AK325" s="31">
        <v>10515224</v>
      </c>
      <c r="AL325" s="10">
        <v>21401884.859999996</v>
      </c>
      <c r="AM325" s="10">
        <v>10346397</v>
      </c>
      <c r="AN325" s="31">
        <v>11055488</v>
      </c>
      <c r="AO325" s="10">
        <v>22136766.249999996</v>
      </c>
      <c r="AP325" s="10">
        <v>10147763</v>
      </c>
      <c r="AQ325" s="31">
        <v>11989003</v>
      </c>
    </row>
    <row r="326" spans="1:43">
      <c r="A326" s="102">
        <v>317</v>
      </c>
      <c r="B326" s="7" t="s">
        <v>2022</v>
      </c>
      <c r="C326" s="103">
        <v>17.5</v>
      </c>
      <c r="D326" s="62">
        <v>31887905</v>
      </c>
      <c r="E326" s="37">
        <v>31509960</v>
      </c>
      <c r="F326" s="62">
        <v>3170547.2</v>
      </c>
      <c r="G326" s="62">
        <v>35128683.6228</v>
      </c>
      <c r="H326" s="62">
        <v>32249496</v>
      </c>
      <c r="I326" s="62">
        <v>3765942.2</v>
      </c>
      <c r="J326" s="62">
        <v>37728351.069279179</v>
      </c>
      <c r="K326" s="62">
        <v>33113521</v>
      </c>
      <c r="L326" s="62">
        <v>4616898.2</v>
      </c>
      <c r="M326" s="62">
        <v>41021667.78360001</v>
      </c>
      <c r="N326" s="62">
        <v>34503446</v>
      </c>
      <c r="O326" s="62">
        <v>5832738</v>
      </c>
      <c r="P326" s="62">
        <v>685484</v>
      </c>
      <c r="Q326" s="62">
        <v>43474466.332122765</v>
      </c>
      <c r="R326" s="62">
        <v>35866435</v>
      </c>
      <c r="S326" s="62">
        <v>6387858</v>
      </c>
      <c r="T326" s="62">
        <v>1220173</v>
      </c>
      <c r="U326" s="62">
        <v>42176324.226688981</v>
      </c>
      <c r="V326" s="62">
        <v>36405114</v>
      </c>
      <c r="W326" s="62">
        <v>7163571</v>
      </c>
      <c r="X326" s="62">
        <v>38457</v>
      </c>
      <c r="Y326" s="62">
        <v>528228</v>
      </c>
      <c r="Z326" s="62">
        <v>42989228.138499998</v>
      </c>
      <c r="AA326" s="62">
        <v>37498680</v>
      </c>
      <c r="AB326" s="62">
        <v>7202028</v>
      </c>
      <c r="AC326" s="10">
        <v>45335499.620400004</v>
      </c>
      <c r="AD326" s="10">
        <v>38747883</v>
      </c>
      <c r="AE326" s="10">
        <v>7402108</v>
      </c>
      <c r="AF326" s="10">
        <v>46194904.987919994</v>
      </c>
      <c r="AG326" s="10">
        <v>39997992</v>
      </c>
      <c r="AH326" s="10">
        <v>7526408</v>
      </c>
      <c r="AI326" s="10">
        <v>47297420.926149994</v>
      </c>
      <c r="AJ326" s="10">
        <v>40402136</v>
      </c>
      <c r="AK326" s="31">
        <v>7789132</v>
      </c>
      <c r="AL326" s="10">
        <v>48641677.772080004</v>
      </c>
      <c r="AM326" s="10">
        <v>41171516</v>
      </c>
      <c r="AN326" s="31">
        <v>7916157</v>
      </c>
      <c r="AO326" s="10">
        <v>49005990.891000003</v>
      </c>
      <c r="AP326" s="10">
        <v>40807164</v>
      </c>
      <c r="AQ326" s="31">
        <v>8198827</v>
      </c>
    </row>
    <row r="327" spans="1:43">
      <c r="A327" s="102">
        <v>318</v>
      </c>
      <c r="B327" s="7" t="s">
        <v>2023</v>
      </c>
      <c r="C327" s="103">
        <v>17.5</v>
      </c>
      <c r="D327" s="62">
        <v>1043179</v>
      </c>
      <c r="E327" s="37">
        <v>1587533</v>
      </c>
      <c r="F327" s="62">
        <v>123912.4</v>
      </c>
      <c r="G327" s="62">
        <v>1024829.69</v>
      </c>
      <c r="H327" s="62">
        <v>1362731</v>
      </c>
      <c r="I327" s="62">
        <v>134999.4</v>
      </c>
      <c r="J327" s="62">
        <v>1014001.08</v>
      </c>
      <c r="K327" s="62">
        <v>1199684</v>
      </c>
      <c r="L327" s="62">
        <v>147734.39999999999</v>
      </c>
      <c r="M327" s="62">
        <v>1017218.98</v>
      </c>
      <c r="N327" s="62">
        <v>1111542</v>
      </c>
      <c r="O327" s="62">
        <v>141139.4</v>
      </c>
      <c r="P327" s="62">
        <v>16587</v>
      </c>
      <c r="Q327" s="62">
        <v>1114134.5932248805</v>
      </c>
      <c r="R327" s="62">
        <v>1172923</v>
      </c>
      <c r="S327" s="62">
        <v>154572</v>
      </c>
      <c r="T327" s="62">
        <v>0</v>
      </c>
      <c r="U327" s="62">
        <v>1206261.3075600001</v>
      </c>
      <c r="V327" s="62">
        <v>1220593</v>
      </c>
      <c r="W327" s="62">
        <v>145542</v>
      </c>
      <c r="X327" s="62">
        <v>781</v>
      </c>
      <c r="Y327" s="62">
        <v>11899</v>
      </c>
      <c r="Z327" s="62">
        <v>1181905.93</v>
      </c>
      <c r="AA327" s="62">
        <v>1149462</v>
      </c>
      <c r="AB327" s="62">
        <v>146323</v>
      </c>
      <c r="AC327" s="10">
        <v>1149133.73</v>
      </c>
      <c r="AD327" s="10">
        <v>1123089</v>
      </c>
      <c r="AE327" s="10">
        <v>151483</v>
      </c>
      <c r="AF327" s="10">
        <v>1232950.69</v>
      </c>
      <c r="AG327" s="10">
        <v>1194924</v>
      </c>
      <c r="AH327" s="10">
        <v>154808</v>
      </c>
      <c r="AI327" s="10">
        <v>1240792.6900000002</v>
      </c>
      <c r="AJ327" s="10">
        <v>1116713</v>
      </c>
      <c r="AK327" s="31">
        <v>176624</v>
      </c>
      <c r="AL327" s="10">
        <v>1150249.74</v>
      </c>
      <c r="AM327" s="10">
        <v>993135</v>
      </c>
      <c r="AN327" s="31">
        <v>179724</v>
      </c>
      <c r="AO327" s="10">
        <v>1067714.3400000001</v>
      </c>
      <c r="AP327" s="10">
        <v>892056</v>
      </c>
      <c r="AQ327" s="31">
        <v>185664</v>
      </c>
    </row>
    <row r="328" spans="1:43">
      <c r="A328" s="102">
        <v>319</v>
      </c>
      <c r="B328" s="7" t="s">
        <v>2024</v>
      </c>
      <c r="C328" s="103">
        <v>48.65</v>
      </c>
      <c r="D328" s="62">
        <v>0</v>
      </c>
      <c r="E328" s="37">
        <v>0</v>
      </c>
      <c r="F328" s="62">
        <v>0</v>
      </c>
      <c r="G328" s="62">
        <v>0</v>
      </c>
      <c r="H328" s="62">
        <v>0</v>
      </c>
      <c r="I328" s="62">
        <v>0</v>
      </c>
      <c r="J328" s="62">
        <v>0</v>
      </c>
      <c r="K328" s="62">
        <v>0</v>
      </c>
      <c r="L328" s="62">
        <v>0</v>
      </c>
      <c r="M328" s="62">
        <v>0</v>
      </c>
      <c r="N328" s="62">
        <v>0</v>
      </c>
      <c r="O328" s="62">
        <v>0</v>
      </c>
      <c r="P328" s="62">
        <v>0</v>
      </c>
      <c r="Q328" s="62">
        <v>0</v>
      </c>
      <c r="R328" s="62">
        <v>0</v>
      </c>
      <c r="S328" s="62">
        <v>0</v>
      </c>
      <c r="T328" s="62">
        <v>0</v>
      </c>
      <c r="U328" s="62">
        <v>0</v>
      </c>
      <c r="V328" s="62">
        <v>0</v>
      </c>
      <c r="W328" s="62">
        <v>0</v>
      </c>
      <c r="X328" s="62">
        <v>0</v>
      </c>
      <c r="Y328" s="62">
        <v>0</v>
      </c>
      <c r="Z328" s="62">
        <v>0</v>
      </c>
      <c r="AA328" s="62">
        <v>0</v>
      </c>
      <c r="AB328" s="62">
        <v>0</v>
      </c>
      <c r="AC328" s="10">
        <v>0</v>
      </c>
      <c r="AD328" s="10">
        <v>0</v>
      </c>
      <c r="AE328" s="10">
        <v>0</v>
      </c>
      <c r="AF328" s="10">
        <v>0</v>
      </c>
      <c r="AG328" s="10">
        <v>0</v>
      </c>
      <c r="AH328" s="10">
        <v>0</v>
      </c>
      <c r="AI328" s="10">
        <v>0</v>
      </c>
      <c r="AJ328" s="10">
        <v>0</v>
      </c>
      <c r="AK328" s="31">
        <v>0</v>
      </c>
      <c r="AL328" s="10">
        <v>0</v>
      </c>
      <c r="AM328" s="10">
        <v>0</v>
      </c>
      <c r="AN328" s="31">
        <v>0</v>
      </c>
      <c r="AO328" s="10">
        <v>0</v>
      </c>
      <c r="AP328" s="10">
        <v>0</v>
      </c>
      <c r="AQ328" s="31">
        <v>0</v>
      </c>
    </row>
    <row r="329" spans="1:43">
      <c r="A329" s="102">
        <v>320</v>
      </c>
      <c r="B329" s="7" t="s">
        <v>2025</v>
      </c>
      <c r="C329" s="103">
        <v>17.5</v>
      </c>
      <c r="D329" s="62">
        <v>0</v>
      </c>
      <c r="E329" s="37">
        <v>0</v>
      </c>
      <c r="F329" s="62">
        <v>0</v>
      </c>
      <c r="G329" s="62">
        <v>0</v>
      </c>
      <c r="H329" s="62">
        <v>0</v>
      </c>
      <c r="I329" s="62">
        <v>0</v>
      </c>
      <c r="J329" s="62">
        <v>0</v>
      </c>
      <c r="K329" s="62">
        <v>0</v>
      </c>
      <c r="L329" s="62">
        <v>0</v>
      </c>
      <c r="M329" s="62">
        <v>0</v>
      </c>
      <c r="N329" s="62">
        <v>0</v>
      </c>
      <c r="O329" s="62">
        <v>0</v>
      </c>
      <c r="P329" s="62">
        <v>0</v>
      </c>
      <c r="Q329" s="62">
        <v>0</v>
      </c>
      <c r="R329" s="62">
        <v>0</v>
      </c>
      <c r="S329" s="62">
        <v>0</v>
      </c>
      <c r="T329" s="62">
        <v>0</v>
      </c>
      <c r="U329" s="62">
        <v>0</v>
      </c>
      <c r="V329" s="62">
        <v>0</v>
      </c>
      <c r="W329" s="62">
        <v>0</v>
      </c>
      <c r="X329" s="62">
        <v>0</v>
      </c>
      <c r="Y329" s="62">
        <v>0</v>
      </c>
      <c r="Z329" s="62">
        <v>0</v>
      </c>
      <c r="AA329" s="62">
        <v>0</v>
      </c>
      <c r="AB329" s="62">
        <v>0</v>
      </c>
      <c r="AC329" s="10">
        <v>0</v>
      </c>
      <c r="AD329" s="10">
        <v>0</v>
      </c>
      <c r="AE329" s="10">
        <v>0</v>
      </c>
      <c r="AF329" s="10">
        <v>0</v>
      </c>
      <c r="AG329" s="10">
        <v>0</v>
      </c>
      <c r="AH329" s="17">
        <f>0+8422</f>
        <v>8422</v>
      </c>
      <c r="AI329" s="10">
        <v>13282.92632</v>
      </c>
      <c r="AJ329" s="10">
        <v>11679</v>
      </c>
      <c r="AK329" s="31">
        <v>8422</v>
      </c>
      <c r="AL329" s="10">
        <v>0</v>
      </c>
      <c r="AM329" s="10">
        <v>0</v>
      </c>
      <c r="AN329" s="31">
        <v>0</v>
      </c>
      <c r="AO329" s="10">
        <v>0</v>
      </c>
      <c r="AP329" s="10">
        <v>0</v>
      </c>
      <c r="AQ329" s="31">
        <v>0</v>
      </c>
    </row>
    <row r="330" spans="1:43">
      <c r="A330" s="102">
        <v>321</v>
      </c>
      <c r="B330" s="7" t="s">
        <v>2026</v>
      </c>
      <c r="C330" s="103">
        <v>18.55</v>
      </c>
      <c r="D330" s="62">
        <v>24595216</v>
      </c>
      <c r="E330" s="37">
        <v>23154460</v>
      </c>
      <c r="F330" s="62">
        <v>2766040.8</v>
      </c>
      <c r="G330" s="62">
        <v>26156767.179999996</v>
      </c>
      <c r="H330" s="62">
        <v>24071950</v>
      </c>
      <c r="I330" s="62">
        <v>3129365.8</v>
      </c>
      <c r="J330" s="62">
        <v>27284907.908756465</v>
      </c>
      <c r="K330" s="62">
        <v>24682401</v>
      </c>
      <c r="L330" s="62">
        <v>3731061.8</v>
      </c>
      <c r="M330" s="62">
        <v>28924388.270000003</v>
      </c>
      <c r="N330" s="62">
        <v>24976329</v>
      </c>
      <c r="O330" s="62">
        <v>3966523.8</v>
      </c>
      <c r="P330" s="62">
        <v>466160</v>
      </c>
      <c r="Q330" s="62">
        <v>29970816.824099522</v>
      </c>
      <c r="R330" s="62">
        <v>25527660</v>
      </c>
      <c r="S330" s="62">
        <v>4344030</v>
      </c>
      <c r="T330" s="62">
        <v>99127</v>
      </c>
      <c r="U330" s="62">
        <v>29700461.313299999</v>
      </c>
      <c r="V330" s="62">
        <v>25642790</v>
      </c>
      <c r="W330" s="62">
        <v>4183588</v>
      </c>
      <c r="X330" s="62">
        <v>22459</v>
      </c>
      <c r="Y330" s="62">
        <v>325510</v>
      </c>
      <c r="Z330" s="62">
        <v>29045979.329999998</v>
      </c>
      <c r="AA330" s="62">
        <v>26179724</v>
      </c>
      <c r="AB330" s="62">
        <v>4206047</v>
      </c>
      <c r="AC330" s="10">
        <v>30072174.120000001</v>
      </c>
      <c r="AD330" s="10">
        <v>26844072</v>
      </c>
      <c r="AE330" s="10">
        <v>4475455.4982209997</v>
      </c>
      <c r="AF330" s="10">
        <v>31092026.789999999</v>
      </c>
      <c r="AG330" s="10">
        <v>27788304</v>
      </c>
      <c r="AH330" s="10">
        <v>4736300.3124719998</v>
      </c>
      <c r="AI330" s="10">
        <v>31788292.559999999</v>
      </c>
      <c r="AJ330" s="10">
        <v>27852628</v>
      </c>
      <c r="AK330" s="31">
        <v>5025628.3124719998</v>
      </c>
      <c r="AL330" s="10">
        <v>32643542.910000004</v>
      </c>
      <c r="AM330" s="10">
        <v>27945222</v>
      </c>
      <c r="AN330" s="31">
        <v>5113078.3124719998</v>
      </c>
      <c r="AO330" s="10">
        <v>33283538.019999992</v>
      </c>
      <c r="AP330" s="10">
        <v>27451731</v>
      </c>
      <c r="AQ330" s="31">
        <v>5881737</v>
      </c>
    </row>
    <row r="331" spans="1:43">
      <c r="A331" s="102">
        <v>322</v>
      </c>
      <c r="B331" s="7" t="s">
        <v>2027</v>
      </c>
      <c r="C331" s="103">
        <v>22.04</v>
      </c>
      <c r="D331" s="62">
        <v>7463040</v>
      </c>
      <c r="E331" s="37">
        <v>5272275</v>
      </c>
      <c r="F331" s="62">
        <v>2604355</v>
      </c>
      <c r="G331" s="62">
        <v>7862835.5099999998</v>
      </c>
      <c r="H331" s="62">
        <v>5529064</v>
      </c>
      <c r="I331" s="62">
        <v>2737047</v>
      </c>
      <c r="J331" s="62">
        <v>8303886.0469139311</v>
      </c>
      <c r="K331" s="62">
        <v>5698232</v>
      </c>
      <c r="L331" s="62">
        <v>2880036</v>
      </c>
      <c r="M331" s="62">
        <v>8764535.4300000016</v>
      </c>
      <c r="N331" s="62">
        <v>6056904</v>
      </c>
      <c r="O331" s="62">
        <v>2705190</v>
      </c>
      <c r="P331" s="62">
        <v>317924</v>
      </c>
      <c r="Q331" s="62">
        <v>8721965.5391540695</v>
      </c>
      <c r="R331" s="62">
        <v>6143068</v>
      </c>
      <c r="S331" s="62">
        <v>2962652</v>
      </c>
      <c r="T331" s="62">
        <v>0</v>
      </c>
      <c r="U331" s="62">
        <v>8556984.7309199981</v>
      </c>
      <c r="V331" s="62">
        <v>6224632</v>
      </c>
      <c r="W331" s="62">
        <v>2789574</v>
      </c>
      <c r="X331" s="62">
        <v>14976</v>
      </c>
      <c r="Y331" s="62">
        <v>182302</v>
      </c>
      <c r="Z331" s="62">
        <v>8200894.7400000002</v>
      </c>
      <c r="AA331" s="62">
        <v>6360524</v>
      </c>
      <c r="AB331" s="62">
        <v>2804550</v>
      </c>
      <c r="AC331" s="10">
        <v>8653273.7799999993</v>
      </c>
      <c r="AD331" s="10">
        <v>6565606</v>
      </c>
      <c r="AE331" s="10">
        <v>2841510</v>
      </c>
      <c r="AF331" s="10">
        <v>8616496.2100000009</v>
      </c>
      <c r="AG331" s="10">
        <v>6706677</v>
      </c>
      <c r="AH331" s="10">
        <v>2864560</v>
      </c>
      <c r="AI331" s="10">
        <v>8413020.9400000013</v>
      </c>
      <c r="AJ331" s="10">
        <v>6777592</v>
      </c>
      <c r="AK331" s="31">
        <v>2886885</v>
      </c>
      <c r="AL331" s="10">
        <v>8930152.6600000001</v>
      </c>
      <c r="AM331" s="10">
        <v>6857750</v>
      </c>
      <c r="AN331" s="31">
        <v>2909285</v>
      </c>
      <c r="AO331" s="10">
        <v>8692760.0099999998</v>
      </c>
      <c r="AP331" s="10">
        <v>6831386</v>
      </c>
      <c r="AQ331" s="31">
        <v>2957025</v>
      </c>
    </row>
    <row r="332" spans="1:43">
      <c r="A332" s="102">
        <v>323</v>
      </c>
      <c r="B332" s="7" t="s">
        <v>2028</v>
      </c>
      <c r="C332" s="103">
        <v>36.11</v>
      </c>
      <c r="D332" s="62">
        <v>7087351</v>
      </c>
      <c r="E332" s="37">
        <v>6483027</v>
      </c>
      <c r="F332" s="62">
        <v>1620335.6</v>
      </c>
      <c r="G332" s="62">
        <v>7481921.1700000018</v>
      </c>
      <c r="H332" s="62">
        <v>6519525</v>
      </c>
      <c r="I332" s="62">
        <v>1739646.6</v>
      </c>
      <c r="J332" s="62">
        <v>8080095.9730690857</v>
      </c>
      <c r="K332" s="62">
        <v>6637938</v>
      </c>
      <c r="L332" s="62">
        <v>1930659.6</v>
      </c>
      <c r="M332" s="62">
        <v>8849560.0699999984</v>
      </c>
      <c r="N332" s="62">
        <v>6740361</v>
      </c>
      <c r="O332" s="62">
        <v>1992175.6</v>
      </c>
      <c r="P332" s="62">
        <v>234128</v>
      </c>
      <c r="Q332" s="62">
        <v>9332740.0692976061</v>
      </c>
      <c r="R332" s="62">
        <v>6973221</v>
      </c>
      <c r="S332" s="62">
        <v>2181778</v>
      </c>
      <c r="T332" s="62">
        <v>177741</v>
      </c>
      <c r="U332" s="62">
        <v>9121055.2676399983</v>
      </c>
      <c r="V332" s="62">
        <v>6925166</v>
      </c>
      <c r="W332" s="62">
        <v>2221676</v>
      </c>
      <c r="X332" s="62">
        <v>11927</v>
      </c>
      <c r="Y332" s="62">
        <v>152991</v>
      </c>
      <c r="Z332" s="62">
        <v>9407934.3300000001</v>
      </c>
      <c r="AA332" s="62">
        <v>6966042</v>
      </c>
      <c r="AB332" s="62">
        <v>2441892</v>
      </c>
      <c r="AC332" s="10">
        <v>9384522.75</v>
      </c>
      <c r="AD332" s="10">
        <v>7101110</v>
      </c>
      <c r="AE332" s="10">
        <v>2550273.4426500001</v>
      </c>
      <c r="AF332" s="10">
        <v>9746407.75</v>
      </c>
      <c r="AG332" s="10">
        <v>7107926</v>
      </c>
      <c r="AH332" s="10">
        <v>2817296.2266937499</v>
      </c>
      <c r="AI332" s="10">
        <v>9789063.1500000022</v>
      </c>
      <c r="AJ332" s="10">
        <v>6918340</v>
      </c>
      <c r="AK332" s="31">
        <v>3006077.2266937499</v>
      </c>
      <c r="AL332" s="10">
        <v>9864782.7299999986</v>
      </c>
      <c r="AM332" s="10">
        <v>6849766</v>
      </c>
      <c r="AN332" s="31">
        <v>3031677.2266937499</v>
      </c>
      <c r="AO332" s="10">
        <v>10285489.059999999</v>
      </c>
      <c r="AP332" s="10">
        <v>6653790</v>
      </c>
      <c r="AQ332" s="31">
        <v>3631699</v>
      </c>
    </row>
    <row r="333" spans="1:43">
      <c r="A333" s="102">
        <v>324</v>
      </c>
      <c r="B333" s="7" t="s">
        <v>2029</v>
      </c>
      <c r="C333" s="103">
        <v>45.93</v>
      </c>
      <c r="D333" s="62">
        <v>254785</v>
      </c>
      <c r="E333" s="37">
        <v>111031</v>
      </c>
      <c r="F333" s="62">
        <v>143754</v>
      </c>
      <c r="G333" s="62">
        <v>388832.98</v>
      </c>
      <c r="H333" s="62">
        <v>151067</v>
      </c>
      <c r="I333" s="62">
        <v>237766</v>
      </c>
      <c r="J333" s="62">
        <v>328384.52</v>
      </c>
      <c r="K333" s="62">
        <v>139713</v>
      </c>
      <c r="L333" s="62">
        <v>239116</v>
      </c>
      <c r="M333" s="62">
        <v>214016.92</v>
      </c>
      <c r="N333" s="62">
        <v>95359</v>
      </c>
      <c r="O333" s="62">
        <v>214016.92</v>
      </c>
      <c r="P333" s="62">
        <v>0</v>
      </c>
      <c r="Q333" s="62">
        <v>245136.2421588517</v>
      </c>
      <c r="R333" s="62">
        <v>105919</v>
      </c>
      <c r="S333" s="62">
        <v>209737</v>
      </c>
      <c r="T333" s="62">
        <v>0</v>
      </c>
      <c r="U333" s="62">
        <v>251778.78455999997</v>
      </c>
      <c r="V333" s="62">
        <v>114004</v>
      </c>
      <c r="W333" s="62">
        <v>201348</v>
      </c>
      <c r="X333" s="62">
        <v>0</v>
      </c>
      <c r="Y333" s="62">
        <v>0</v>
      </c>
      <c r="Z333" s="62">
        <v>231760.61</v>
      </c>
      <c r="AA333" s="62">
        <v>101090</v>
      </c>
      <c r="AB333" s="62">
        <v>201348</v>
      </c>
      <c r="AC333" s="10">
        <v>303706.14</v>
      </c>
      <c r="AD333" s="10">
        <v>139106</v>
      </c>
      <c r="AE333" s="10">
        <v>201348</v>
      </c>
      <c r="AF333" s="10">
        <v>321307.69</v>
      </c>
      <c r="AG333" s="10">
        <v>147913</v>
      </c>
      <c r="AH333" s="10">
        <v>201348</v>
      </c>
      <c r="AI333" s="10">
        <v>233036.45</v>
      </c>
      <c r="AJ333" s="10">
        <v>115505</v>
      </c>
      <c r="AK333" s="31">
        <v>201348</v>
      </c>
      <c r="AL333" s="10">
        <v>355331.41999999993</v>
      </c>
      <c r="AM333" s="10">
        <v>184172</v>
      </c>
      <c r="AN333" s="31">
        <v>201348</v>
      </c>
      <c r="AO333" s="10">
        <v>354549.68000000005</v>
      </c>
      <c r="AP333" s="10">
        <v>186072</v>
      </c>
      <c r="AQ333" s="31">
        <v>201348</v>
      </c>
    </row>
    <row r="334" spans="1:43">
      <c r="A334" s="102">
        <v>325</v>
      </c>
      <c r="B334" s="7" t="s">
        <v>2030</v>
      </c>
      <c r="C334" s="103">
        <v>55.73</v>
      </c>
      <c r="D334" s="62">
        <v>49973231</v>
      </c>
      <c r="E334" s="37">
        <v>20368440</v>
      </c>
      <c r="F334" s="62">
        <v>29644636</v>
      </c>
      <c r="G334" s="62">
        <v>53649787.230000004</v>
      </c>
      <c r="H334" s="62">
        <v>21748478</v>
      </c>
      <c r="I334" s="62">
        <v>31901309</v>
      </c>
      <c r="J334" s="62">
        <v>55203857.608358152</v>
      </c>
      <c r="K334" s="62">
        <v>22572618</v>
      </c>
      <c r="L334" s="62">
        <v>32840745</v>
      </c>
      <c r="M334" s="62">
        <v>57201000.020000011</v>
      </c>
      <c r="N334" s="62">
        <v>23301263</v>
      </c>
      <c r="O334" s="62">
        <v>30462915</v>
      </c>
      <c r="P334" s="62">
        <v>3580110</v>
      </c>
      <c r="Q334" s="62">
        <v>58064880.787414365</v>
      </c>
      <c r="R334" s="62">
        <v>23683434</v>
      </c>
      <c r="S334" s="62">
        <v>33362165</v>
      </c>
      <c r="T334" s="62">
        <v>1019282</v>
      </c>
      <c r="U334" s="62">
        <v>56542890.625020012</v>
      </c>
      <c r="V334" s="62">
        <v>24024402</v>
      </c>
      <c r="W334" s="62">
        <v>32372885</v>
      </c>
      <c r="X334" s="62">
        <v>173792</v>
      </c>
      <c r="Y334" s="62">
        <v>1986845</v>
      </c>
      <c r="Z334" s="62">
        <v>56348311.590000004</v>
      </c>
      <c r="AA334" s="62">
        <v>24659576</v>
      </c>
      <c r="AB334" s="62">
        <v>32546677</v>
      </c>
      <c r="AC334" s="10">
        <v>58680126.160000004</v>
      </c>
      <c r="AD334" s="10">
        <v>25776861</v>
      </c>
      <c r="AE334" s="10">
        <v>32927874.488096002</v>
      </c>
      <c r="AF334" s="10">
        <v>59626032.379999988</v>
      </c>
      <c r="AG334" s="10">
        <v>26817278</v>
      </c>
      <c r="AH334" s="10">
        <v>33072499.488096002</v>
      </c>
      <c r="AI334" s="10">
        <v>59091820.839999996</v>
      </c>
      <c r="AJ334" s="10">
        <v>27452394</v>
      </c>
      <c r="AK334" s="31">
        <v>33214624.488096002</v>
      </c>
      <c r="AL334" s="10">
        <v>59194723.68</v>
      </c>
      <c r="AM334" s="10">
        <v>27572737</v>
      </c>
      <c r="AN334" s="31">
        <v>33353974.488096002</v>
      </c>
      <c r="AO334" s="10">
        <v>59795241.399999999</v>
      </c>
      <c r="AP334" s="10">
        <v>26781337</v>
      </c>
      <c r="AQ334" s="31">
        <v>33656694.488095999</v>
      </c>
    </row>
    <row r="335" spans="1:43">
      <c r="A335" s="102">
        <v>326</v>
      </c>
      <c r="B335" s="7" t="s">
        <v>2031</v>
      </c>
      <c r="C335" s="103">
        <v>26.15</v>
      </c>
      <c r="D335" s="62">
        <v>35723685</v>
      </c>
      <c r="E335" s="37">
        <v>24675698</v>
      </c>
      <c r="F335" s="62">
        <v>11305202</v>
      </c>
      <c r="G335" s="62">
        <v>38818431.875120007</v>
      </c>
      <c r="H335" s="62">
        <v>25842739</v>
      </c>
      <c r="I335" s="62">
        <v>12975693</v>
      </c>
      <c r="J335" s="62">
        <v>40555313.116589576</v>
      </c>
      <c r="K335" s="62">
        <v>26531707</v>
      </c>
      <c r="L335" s="62">
        <v>14023606</v>
      </c>
      <c r="M335" s="62">
        <v>42911329.967289984</v>
      </c>
      <c r="N335" s="62">
        <v>27280805</v>
      </c>
      <c r="O335" s="62">
        <v>13986752</v>
      </c>
      <c r="P335" s="62">
        <v>1643773</v>
      </c>
      <c r="Q335" s="62">
        <v>44563082.297898509</v>
      </c>
      <c r="R335" s="62">
        <v>27807520</v>
      </c>
      <c r="S335" s="62">
        <v>15317915</v>
      </c>
      <c r="T335" s="62">
        <v>1437647</v>
      </c>
      <c r="U335" s="62">
        <v>42723467.157275043</v>
      </c>
      <c r="V335" s="62">
        <v>28681127</v>
      </c>
      <c r="W335" s="62">
        <v>15776704</v>
      </c>
      <c r="X335" s="62">
        <v>84696</v>
      </c>
      <c r="Y335" s="62">
        <v>1021312</v>
      </c>
      <c r="Z335" s="62">
        <v>43881686.305879995</v>
      </c>
      <c r="AA335" s="62">
        <v>29241053</v>
      </c>
      <c r="AB335" s="62">
        <v>15861400</v>
      </c>
      <c r="AC335" s="10">
        <v>45585175.226279989</v>
      </c>
      <c r="AD335" s="10">
        <v>30308996</v>
      </c>
      <c r="AE335" s="10">
        <v>16064000</v>
      </c>
      <c r="AF335" s="10">
        <v>45685221.157399982</v>
      </c>
      <c r="AG335" s="10">
        <v>31603683</v>
      </c>
      <c r="AH335" s="10">
        <v>16189875</v>
      </c>
      <c r="AI335" s="10">
        <v>45600413.679659985</v>
      </c>
      <c r="AJ335" s="10">
        <v>32229875</v>
      </c>
      <c r="AK335" s="31">
        <v>16313850</v>
      </c>
      <c r="AL335" s="10">
        <v>45124999.36552</v>
      </c>
      <c r="AM335" s="10">
        <v>33597365</v>
      </c>
      <c r="AN335" s="31">
        <v>16436625</v>
      </c>
      <c r="AO335" s="10">
        <v>45233495.410999998</v>
      </c>
      <c r="AP335" s="10">
        <v>33677123</v>
      </c>
      <c r="AQ335" s="31">
        <v>16706565</v>
      </c>
    </row>
    <row r="336" spans="1:43">
      <c r="A336" s="102">
        <v>327</v>
      </c>
      <c r="B336" s="7" t="s">
        <v>2032</v>
      </c>
      <c r="C336" s="103">
        <v>29.72</v>
      </c>
      <c r="D336" s="62">
        <v>1143015</v>
      </c>
      <c r="E336" s="37">
        <v>871506</v>
      </c>
      <c r="F336" s="62">
        <v>286065.2</v>
      </c>
      <c r="G336" s="62">
        <v>1161647.67</v>
      </c>
      <c r="H336" s="62">
        <v>830817</v>
      </c>
      <c r="I336" s="62">
        <v>341741.2</v>
      </c>
      <c r="J336" s="62">
        <v>1170704.509380162</v>
      </c>
      <c r="K336" s="62">
        <v>836402</v>
      </c>
      <c r="L336" s="62">
        <v>392663.2</v>
      </c>
      <c r="M336" s="62">
        <v>1157514.8700000001</v>
      </c>
      <c r="N336" s="62">
        <v>778624</v>
      </c>
      <c r="O336" s="62">
        <v>376209.2</v>
      </c>
      <c r="P336" s="62">
        <v>44213</v>
      </c>
      <c r="Q336" s="62">
        <v>1296948.5063349283</v>
      </c>
      <c r="R336" s="62">
        <v>829588</v>
      </c>
      <c r="S336" s="62">
        <v>412014</v>
      </c>
      <c r="T336" s="62">
        <v>55347</v>
      </c>
      <c r="U336" s="62">
        <v>1232065.9646999999</v>
      </c>
      <c r="V336" s="62">
        <v>806088</v>
      </c>
      <c r="W336" s="62">
        <v>440058</v>
      </c>
      <c r="X336" s="62">
        <v>2362</v>
      </c>
      <c r="Y336" s="62">
        <v>28516</v>
      </c>
      <c r="Z336" s="62">
        <v>1193876.6000000001</v>
      </c>
      <c r="AA336" s="62">
        <v>823754</v>
      </c>
      <c r="AB336" s="62">
        <v>442420</v>
      </c>
      <c r="AC336" s="10">
        <v>1195530.31</v>
      </c>
      <c r="AD336" s="10">
        <v>868868</v>
      </c>
      <c r="AE336" s="10">
        <v>447620</v>
      </c>
      <c r="AF336" s="10">
        <v>1215188.8099999998</v>
      </c>
      <c r="AG336" s="10">
        <v>921372</v>
      </c>
      <c r="AH336" s="10">
        <v>450895</v>
      </c>
      <c r="AI336" s="10">
        <v>1314694.2799999998</v>
      </c>
      <c r="AJ336" s="10">
        <v>956723</v>
      </c>
      <c r="AK336" s="31">
        <v>454345</v>
      </c>
      <c r="AL336" s="10">
        <v>1294416.6200000001</v>
      </c>
      <c r="AM336" s="10">
        <v>964619</v>
      </c>
      <c r="AN336" s="31">
        <v>457770</v>
      </c>
      <c r="AO336" s="10">
        <v>1360673</v>
      </c>
      <c r="AP336" s="10">
        <v>968330</v>
      </c>
      <c r="AQ336" s="31">
        <v>465470</v>
      </c>
    </row>
    <row r="337" spans="1:43">
      <c r="A337" s="102">
        <v>328</v>
      </c>
      <c r="B337" s="7" t="s">
        <v>2033</v>
      </c>
      <c r="C337" s="103">
        <v>41.71</v>
      </c>
      <c r="D337" s="62">
        <v>0</v>
      </c>
      <c r="E337" s="37">
        <v>0</v>
      </c>
      <c r="F337" s="62">
        <v>0</v>
      </c>
      <c r="G337" s="62">
        <v>0</v>
      </c>
      <c r="H337" s="62">
        <v>0</v>
      </c>
      <c r="I337" s="62">
        <v>0</v>
      </c>
      <c r="J337" s="62">
        <v>0</v>
      </c>
      <c r="K337" s="62">
        <v>0</v>
      </c>
      <c r="L337" s="62">
        <v>0</v>
      </c>
      <c r="M337" s="62">
        <v>0</v>
      </c>
      <c r="N337" s="62">
        <v>0</v>
      </c>
      <c r="O337" s="62">
        <v>0</v>
      </c>
      <c r="P337" s="62">
        <v>0</v>
      </c>
      <c r="Q337" s="62">
        <v>0</v>
      </c>
      <c r="R337" s="62">
        <v>0</v>
      </c>
      <c r="S337" s="62">
        <v>0</v>
      </c>
      <c r="T337" s="62">
        <v>0</v>
      </c>
      <c r="U337" s="62">
        <v>0</v>
      </c>
      <c r="V337" s="62">
        <v>0</v>
      </c>
      <c r="W337" s="62">
        <v>0</v>
      </c>
      <c r="X337" s="62">
        <v>0</v>
      </c>
      <c r="Y337" s="62">
        <v>0</v>
      </c>
      <c r="Z337" s="62">
        <v>0</v>
      </c>
      <c r="AA337" s="62">
        <v>0</v>
      </c>
      <c r="AB337" s="62">
        <v>0</v>
      </c>
      <c r="AC337" s="10">
        <v>0</v>
      </c>
      <c r="AD337" s="10">
        <v>0</v>
      </c>
      <c r="AE337" s="10">
        <v>0</v>
      </c>
      <c r="AF337" s="10">
        <v>0</v>
      </c>
      <c r="AG337" s="10">
        <v>0</v>
      </c>
      <c r="AH337" s="10">
        <v>0</v>
      </c>
      <c r="AI337" s="10">
        <v>0</v>
      </c>
      <c r="AJ337" s="10">
        <v>0</v>
      </c>
      <c r="AK337" s="31">
        <v>0</v>
      </c>
      <c r="AL337" s="10">
        <v>0</v>
      </c>
      <c r="AM337" s="10">
        <v>0</v>
      </c>
      <c r="AN337" s="31">
        <v>0</v>
      </c>
      <c r="AO337" s="10">
        <v>0</v>
      </c>
      <c r="AP337" s="10">
        <v>0</v>
      </c>
      <c r="AQ337" s="31">
        <v>0</v>
      </c>
    </row>
    <row r="338" spans="1:43">
      <c r="A338" s="102">
        <v>329</v>
      </c>
      <c r="B338" s="7" t="s">
        <v>2034</v>
      </c>
      <c r="C338" s="103">
        <v>17.5</v>
      </c>
      <c r="D338" s="62">
        <v>0</v>
      </c>
      <c r="E338" s="37">
        <v>0</v>
      </c>
      <c r="F338" s="62">
        <v>0</v>
      </c>
      <c r="G338" s="62">
        <v>0</v>
      </c>
      <c r="H338" s="62">
        <v>0</v>
      </c>
      <c r="I338" s="62">
        <v>0</v>
      </c>
      <c r="J338" s="62">
        <v>0</v>
      </c>
      <c r="K338" s="62">
        <v>0</v>
      </c>
      <c r="L338" s="62">
        <v>0</v>
      </c>
      <c r="M338" s="62">
        <v>0</v>
      </c>
      <c r="N338" s="62">
        <v>0</v>
      </c>
      <c r="O338" s="62">
        <v>0</v>
      </c>
      <c r="P338" s="62">
        <v>0</v>
      </c>
      <c r="Q338" s="62">
        <v>0</v>
      </c>
      <c r="R338" s="62">
        <v>0</v>
      </c>
      <c r="S338" s="62">
        <v>0</v>
      </c>
      <c r="T338" s="62">
        <v>0</v>
      </c>
      <c r="U338" s="62">
        <v>0</v>
      </c>
      <c r="V338" s="62">
        <v>0</v>
      </c>
      <c r="W338" s="62">
        <v>0</v>
      </c>
      <c r="X338" s="62">
        <v>0</v>
      </c>
      <c r="Y338" s="62">
        <v>0</v>
      </c>
      <c r="Z338" s="62">
        <v>0</v>
      </c>
      <c r="AA338" s="62">
        <v>0</v>
      </c>
      <c r="AB338" s="62">
        <v>0</v>
      </c>
      <c r="AC338" s="10">
        <v>0</v>
      </c>
      <c r="AD338" s="10">
        <v>0</v>
      </c>
      <c r="AE338" s="10">
        <v>0</v>
      </c>
      <c r="AF338" s="10">
        <v>0</v>
      </c>
      <c r="AG338" s="10">
        <v>0</v>
      </c>
      <c r="AH338" s="17">
        <f>0+33688</f>
        <v>33688</v>
      </c>
      <c r="AI338" s="10">
        <v>13004.9</v>
      </c>
      <c r="AJ338" s="10">
        <v>10405</v>
      </c>
      <c r="AK338" s="31">
        <v>13004.900000000001</v>
      </c>
      <c r="AL338" s="10">
        <v>13199.960000000001</v>
      </c>
      <c r="AM338" s="10">
        <v>11094</v>
      </c>
      <c r="AN338" s="31">
        <v>13004.900000000001</v>
      </c>
      <c r="AO338" s="10">
        <v>0</v>
      </c>
      <c r="AP338" s="10">
        <v>0</v>
      </c>
      <c r="AQ338" s="31">
        <v>0</v>
      </c>
    </row>
    <row r="339" spans="1:43">
      <c r="A339" s="102">
        <v>330</v>
      </c>
      <c r="B339" s="7" t="s">
        <v>2035</v>
      </c>
      <c r="C339" s="103">
        <v>17.5</v>
      </c>
      <c r="D339" s="62">
        <v>16162814</v>
      </c>
      <c r="E339" s="37">
        <v>20181705</v>
      </c>
      <c r="F339" s="62">
        <v>1480949.6</v>
      </c>
      <c r="G339" s="62">
        <v>17307605.129800003</v>
      </c>
      <c r="H339" s="62">
        <v>19912849</v>
      </c>
      <c r="I339" s="62">
        <v>1790525.6</v>
      </c>
      <c r="J339" s="62">
        <v>18370485.452483337</v>
      </c>
      <c r="K339" s="62">
        <v>19288255</v>
      </c>
      <c r="L339" s="62">
        <v>2217818.6</v>
      </c>
      <c r="M339" s="62">
        <v>19437327.17588</v>
      </c>
      <c r="N339" s="62">
        <v>18964744</v>
      </c>
      <c r="O339" s="62">
        <v>2334128.6</v>
      </c>
      <c r="P339" s="62">
        <v>274315</v>
      </c>
      <c r="Q339" s="62">
        <v>20595641.906424958</v>
      </c>
      <c r="R339" s="62">
        <v>19452416</v>
      </c>
      <c r="S339" s="62">
        <v>2556275</v>
      </c>
      <c r="T339" s="62">
        <v>0</v>
      </c>
      <c r="U339" s="62">
        <v>20090660.412545517</v>
      </c>
      <c r="V339" s="62">
        <v>19197587</v>
      </c>
      <c r="W339" s="62">
        <v>2406938</v>
      </c>
      <c r="X339" s="62">
        <v>12921</v>
      </c>
      <c r="Y339" s="62">
        <v>195391</v>
      </c>
      <c r="Z339" s="62">
        <v>20217500.017579999</v>
      </c>
      <c r="AA339" s="62">
        <v>19394331</v>
      </c>
      <c r="AB339" s="62">
        <v>2419859</v>
      </c>
      <c r="AC339" s="10">
        <v>21125018.31106</v>
      </c>
      <c r="AD339" s="10">
        <v>19897050</v>
      </c>
      <c r="AE339" s="10">
        <v>2512979</v>
      </c>
      <c r="AF339" s="10">
        <v>21575268.311200004</v>
      </c>
      <c r="AG339" s="10">
        <v>20375359</v>
      </c>
      <c r="AH339" s="10">
        <v>2571779</v>
      </c>
      <c r="AI339" s="10">
        <v>21506483.175400004</v>
      </c>
      <c r="AJ339" s="10">
        <v>19355835</v>
      </c>
      <c r="AK339" s="31">
        <v>2988929</v>
      </c>
      <c r="AL339" s="10">
        <v>21219806.953260001</v>
      </c>
      <c r="AM339" s="10">
        <v>18857119</v>
      </c>
      <c r="AN339" s="31">
        <v>3045154</v>
      </c>
      <c r="AO339" s="10">
        <v>20900052.866529997</v>
      </c>
      <c r="AP339" s="10">
        <v>17600265</v>
      </c>
      <c r="AQ339" s="149">
        <f>3299788+17341</f>
        <v>3317129</v>
      </c>
    </row>
    <row r="340" spans="1:43">
      <c r="A340" s="102">
        <v>331</v>
      </c>
      <c r="B340" s="7" t="s">
        <v>2036</v>
      </c>
      <c r="C340" s="103">
        <v>17.5</v>
      </c>
      <c r="D340" s="62">
        <v>12968630</v>
      </c>
      <c r="E340" s="37">
        <v>9738097</v>
      </c>
      <c r="F340" s="62">
        <v>4035010</v>
      </c>
      <c r="G340" s="62">
        <v>13865149.07</v>
      </c>
      <c r="H340" s="62">
        <v>10429878</v>
      </c>
      <c r="I340" s="62">
        <v>4191901</v>
      </c>
      <c r="J340" s="62">
        <v>14462425.445800073</v>
      </c>
      <c r="K340" s="62">
        <v>11075177</v>
      </c>
      <c r="L340" s="62">
        <v>4296424</v>
      </c>
      <c r="M340" s="62">
        <v>15502132.710000001</v>
      </c>
      <c r="N340" s="62">
        <v>11580866</v>
      </c>
      <c r="O340" s="62">
        <v>4007408</v>
      </c>
      <c r="P340" s="62">
        <v>470965</v>
      </c>
      <c r="Q340" s="62">
        <v>15990008.832857417</v>
      </c>
      <c r="R340" s="62">
        <v>11793167</v>
      </c>
      <c r="S340" s="62">
        <v>4388806</v>
      </c>
      <c r="T340" s="62">
        <v>0</v>
      </c>
      <c r="U340" s="62">
        <v>15747912.792959997</v>
      </c>
      <c r="V340" s="62">
        <v>12196747</v>
      </c>
      <c r="W340" s="62">
        <v>4132413</v>
      </c>
      <c r="X340" s="62">
        <v>22184</v>
      </c>
      <c r="Y340" s="62">
        <v>279609</v>
      </c>
      <c r="Z340" s="62">
        <v>15633780.250000004</v>
      </c>
      <c r="AA340" s="62">
        <v>12313381</v>
      </c>
      <c r="AB340" s="62">
        <v>4154597</v>
      </c>
      <c r="AC340" s="10">
        <v>15649507.84</v>
      </c>
      <c r="AD340" s="10">
        <v>12625582</v>
      </c>
      <c r="AE340" s="10">
        <v>4221997</v>
      </c>
      <c r="AF340" s="10">
        <v>15457275.029999999</v>
      </c>
      <c r="AG340" s="10">
        <v>12949560</v>
      </c>
      <c r="AH340" s="10">
        <v>4262947</v>
      </c>
      <c r="AI340" s="10">
        <v>15286780.110000001</v>
      </c>
      <c r="AJ340" s="10">
        <v>12928118</v>
      </c>
      <c r="AK340" s="31">
        <v>4303047</v>
      </c>
      <c r="AL340" s="10">
        <v>14995933.330000002</v>
      </c>
      <c r="AM340" s="10">
        <v>12876991</v>
      </c>
      <c r="AN340" s="31">
        <v>4341772</v>
      </c>
      <c r="AO340" s="10">
        <v>14911266.000000002</v>
      </c>
      <c r="AP340" s="10">
        <v>12467729</v>
      </c>
      <c r="AQ340" s="31">
        <v>4425482</v>
      </c>
    </row>
    <row r="341" spans="1:43">
      <c r="A341" s="102">
        <v>332</v>
      </c>
      <c r="B341" s="7" t="s">
        <v>2037</v>
      </c>
      <c r="C341" s="103">
        <v>52.82</v>
      </c>
      <c r="D341" s="62">
        <v>31130339</v>
      </c>
      <c r="E341" s="37">
        <v>18106441</v>
      </c>
      <c r="F341" s="62">
        <v>13445170</v>
      </c>
      <c r="G341" s="62">
        <v>33870575.43</v>
      </c>
      <c r="H341" s="62">
        <v>18598514</v>
      </c>
      <c r="I341" s="62">
        <v>15272061</v>
      </c>
      <c r="J341" s="62">
        <v>35265587.219952904</v>
      </c>
      <c r="K341" s="62">
        <v>18707901</v>
      </c>
      <c r="L341" s="62">
        <v>16557686</v>
      </c>
      <c r="M341" s="62">
        <v>36643826.119999997</v>
      </c>
      <c r="N341" s="62">
        <v>18919840</v>
      </c>
      <c r="O341" s="62">
        <v>15860056</v>
      </c>
      <c r="P341" s="62">
        <v>1863930</v>
      </c>
      <c r="Q341" s="62">
        <v>38205385.345714822</v>
      </c>
      <c r="R341" s="62">
        <v>19265177</v>
      </c>
      <c r="S341" s="62">
        <v>17369506</v>
      </c>
      <c r="T341" s="62">
        <v>1570702</v>
      </c>
      <c r="U341" s="62">
        <v>37738816.076999992</v>
      </c>
      <c r="V341" s="62">
        <v>19240559</v>
      </c>
      <c r="W341" s="62">
        <v>18143323</v>
      </c>
      <c r="X341" s="62">
        <v>97401</v>
      </c>
      <c r="Y341" s="62">
        <v>797859</v>
      </c>
      <c r="Z341" s="62">
        <v>38457480.989999995</v>
      </c>
      <c r="AA341" s="62">
        <v>19599705</v>
      </c>
      <c r="AB341" s="62">
        <v>18857776</v>
      </c>
      <c r="AC341" s="10">
        <v>39534882.329999998</v>
      </c>
      <c r="AD341" s="10">
        <v>20240555</v>
      </c>
      <c r="AE341" s="10">
        <v>19563826.466162249</v>
      </c>
      <c r="AF341" s="10">
        <v>40948666.769999996</v>
      </c>
      <c r="AG341" s="10">
        <v>20335136</v>
      </c>
      <c r="AH341" s="10">
        <v>20717957.063267998</v>
      </c>
      <c r="AI341" s="10">
        <v>41551686.519999996</v>
      </c>
      <c r="AJ341" s="10">
        <v>20188627</v>
      </c>
      <c r="AK341" s="31">
        <v>21363060</v>
      </c>
      <c r="AL341" s="10">
        <v>42891023.810000002</v>
      </c>
      <c r="AM341" s="10">
        <v>20277457</v>
      </c>
      <c r="AN341" s="31">
        <v>22613567</v>
      </c>
      <c r="AO341" s="10">
        <v>44295065.429999992</v>
      </c>
      <c r="AP341" s="10">
        <v>20212569</v>
      </c>
      <c r="AQ341" s="31">
        <v>24082496</v>
      </c>
    </row>
    <row r="342" spans="1:43">
      <c r="A342" s="102">
        <v>333</v>
      </c>
      <c r="B342" s="7" t="s">
        <v>2038</v>
      </c>
      <c r="C342" s="103">
        <v>17.5</v>
      </c>
      <c r="D342" s="62">
        <v>0</v>
      </c>
      <c r="E342" s="37">
        <v>0</v>
      </c>
      <c r="F342" s="62">
        <v>0</v>
      </c>
      <c r="G342" s="62">
        <v>0</v>
      </c>
      <c r="H342" s="62">
        <v>0</v>
      </c>
      <c r="I342" s="62">
        <v>0</v>
      </c>
      <c r="J342" s="62">
        <v>0</v>
      </c>
      <c r="K342" s="62">
        <v>0</v>
      </c>
      <c r="L342" s="62">
        <v>0</v>
      </c>
      <c r="M342" s="62">
        <v>0</v>
      </c>
      <c r="N342" s="62">
        <v>0</v>
      </c>
      <c r="O342" s="62">
        <v>0</v>
      </c>
      <c r="P342" s="62">
        <v>0</v>
      </c>
      <c r="Q342" s="62">
        <v>0</v>
      </c>
      <c r="R342" s="62">
        <v>0</v>
      </c>
      <c r="S342" s="62">
        <v>0</v>
      </c>
      <c r="T342" s="62">
        <v>0</v>
      </c>
      <c r="U342" s="62">
        <v>0</v>
      </c>
      <c r="V342" s="62">
        <v>0</v>
      </c>
      <c r="W342" s="62">
        <v>0</v>
      </c>
      <c r="X342" s="62">
        <v>0</v>
      </c>
      <c r="Y342" s="62">
        <v>0</v>
      </c>
      <c r="Z342" s="62">
        <v>0</v>
      </c>
      <c r="AA342" s="62">
        <v>0</v>
      </c>
      <c r="AB342" s="62">
        <v>0</v>
      </c>
      <c r="AC342" s="10">
        <v>0</v>
      </c>
      <c r="AD342" s="10">
        <v>0</v>
      </c>
      <c r="AE342" s="10">
        <v>0</v>
      </c>
      <c r="AF342" s="10">
        <v>0</v>
      </c>
      <c r="AG342" s="10">
        <v>0</v>
      </c>
      <c r="AH342" s="10">
        <v>0</v>
      </c>
      <c r="AI342" s="10">
        <v>0</v>
      </c>
      <c r="AJ342" s="10">
        <v>0</v>
      </c>
      <c r="AK342" s="31">
        <v>0</v>
      </c>
      <c r="AL342" s="10">
        <v>0</v>
      </c>
      <c r="AM342" s="10">
        <v>0</v>
      </c>
      <c r="AN342" s="31">
        <v>0</v>
      </c>
      <c r="AO342" s="10">
        <v>0</v>
      </c>
      <c r="AP342" s="10">
        <v>0</v>
      </c>
      <c r="AQ342" s="31">
        <v>0</v>
      </c>
    </row>
    <row r="343" spans="1:43">
      <c r="A343" s="102">
        <v>334</v>
      </c>
      <c r="B343" s="7" t="s">
        <v>2039</v>
      </c>
      <c r="C343" s="103">
        <v>17.5</v>
      </c>
      <c r="D343" s="62">
        <v>0</v>
      </c>
      <c r="E343" s="37">
        <v>0</v>
      </c>
      <c r="F343" s="62">
        <v>0</v>
      </c>
      <c r="G343" s="62">
        <v>0</v>
      </c>
      <c r="H343" s="62">
        <v>0</v>
      </c>
      <c r="I343" s="62">
        <v>0</v>
      </c>
      <c r="J343" s="62">
        <v>0</v>
      </c>
      <c r="K343" s="62">
        <v>0</v>
      </c>
      <c r="L343" s="62">
        <v>0</v>
      </c>
      <c r="M343" s="62">
        <v>0</v>
      </c>
      <c r="N343" s="62">
        <v>0</v>
      </c>
      <c r="O343" s="62">
        <v>0</v>
      </c>
      <c r="P343" s="62">
        <v>0</v>
      </c>
      <c r="Q343" s="62">
        <v>0</v>
      </c>
      <c r="R343" s="62">
        <v>0</v>
      </c>
      <c r="S343" s="62">
        <v>0</v>
      </c>
      <c r="T343" s="62">
        <v>0</v>
      </c>
      <c r="U343" s="62">
        <v>0</v>
      </c>
      <c r="V343" s="62">
        <v>0</v>
      </c>
      <c r="W343" s="62">
        <v>0</v>
      </c>
      <c r="X343" s="62">
        <v>0</v>
      </c>
      <c r="Y343" s="62">
        <v>0</v>
      </c>
      <c r="Z343" s="62">
        <v>0</v>
      </c>
      <c r="AA343" s="62">
        <v>0</v>
      </c>
      <c r="AB343" s="62">
        <v>0</v>
      </c>
      <c r="AC343" s="10">
        <v>0</v>
      </c>
      <c r="AD343" s="10">
        <v>0</v>
      </c>
      <c r="AE343" s="10">
        <v>0</v>
      </c>
      <c r="AF343" s="10">
        <v>0</v>
      </c>
      <c r="AG343" s="10">
        <v>0</v>
      </c>
      <c r="AH343" s="10">
        <v>0</v>
      </c>
      <c r="AI343" s="10">
        <v>0</v>
      </c>
      <c r="AJ343" s="10">
        <v>0</v>
      </c>
      <c r="AK343" s="31">
        <v>0</v>
      </c>
      <c r="AL343" s="10">
        <v>0</v>
      </c>
      <c r="AM343" s="10">
        <v>0</v>
      </c>
      <c r="AN343" s="31">
        <v>0</v>
      </c>
      <c r="AO343" s="10">
        <v>0</v>
      </c>
      <c r="AP343" s="10">
        <v>0</v>
      </c>
      <c r="AQ343" s="31">
        <v>0</v>
      </c>
    </row>
    <row r="344" spans="1:43">
      <c r="A344" s="102">
        <v>335</v>
      </c>
      <c r="B344" s="7" t="s">
        <v>2040</v>
      </c>
      <c r="C344" s="103">
        <v>17.5</v>
      </c>
      <c r="D344" s="62">
        <v>20567480</v>
      </c>
      <c r="E344" s="37">
        <v>21740599</v>
      </c>
      <c r="F344" s="62">
        <v>2250702.4</v>
      </c>
      <c r="G344" s="62">
        <v>22498088.821120001</v>
      </c>
      <c r="H344" s="62">
        <v>21936416</v>
      </c>
      <c r="I344" s="62">
        <v>2588559.4</v>
      </c>
      <c r="J344" s="62">
        <v>24472148.293146249</v>
      </c>
      <c r="K344" s="62">
        <v>22175336</v>
      </c>
      <c r="L344" s="62">
        <v>3096779.4</v>
      </c>
      <c r="M344" s="62">
        <v>25508214.087440003</v>
      </c>
      <c r="N344" s="62">
        <v>22412158</v>
      </c>
      <c r="O344" s="62">
        <v>3174824.4</v>
      </c>
      <c r="P344" s="62">
        <v>373117</v>
      </c>
      <c r="Q344" s="62">
        <v>26986270.471055556</v>
      </c>
      <c r="R344" s="62">
        <v>22996257</v>
      </c>
      <c r="S344" s="62">
        <v>3476983</v>
      </c>
      <c r="T344" s="62">
        <v>513030</v>
      </c>
      <c r="U344" s="62">
        <v>25931255.131285079</v>
      </c>
      <c r="V344" s="62">
        <v>23233856</v>
      </c>
      <c r="W344" s="62">
        <v>3756916</v>
      </c>
      <c r="X344" s="62">
        <v>20169</v>
      </c>
      <c r="Y344" s="62">
        <v>287878</v>
      </c>
      <c r="Z344" s="62">
        <v>26758357.153839998</v>
      </c>
      <c r="AA344" s="62">
        <v>23390650</v>
      </c>
      <c r="AB344" s="62">
        <v>3777085</v>
      </c>
      <c r="AC344" s="10">
        <v>28328703.767000001</v>
      </c>
      <c r="AD344" s="10">
        <v>24138538</v>
      </c>
      <c r="AE344" s="10">
        <v>4382005.2898062505</v>
      </c>
      <c r="AF344" s="10">
        <v>28396775.81552</v>
      </c>
      <c r="AG344" s="10">
        <v>24768521</v>
      </c>
      <c r="AH344" s="10">
        <v>4528862.9092836883</v>
      </c>
      <c r="AI344" s="10">
        <v>29096356.715499997</v>
      </c>
      <c r="AJ344" s="10">
        <v>24830260</v>
      </c>
      <c r="AK344" s="31">
        <v>4725912.9092836883</v>
      </c>
      <c r="AL344" s="10">
        <v>29539997.822689999</v>
      </c>
      <c r="AM344" s="10">
        <v>25123982</v>
      </c>
      <c r="AN344" s="31">
        <v>4803412.9092836883</v>
      </c>
      <c r="AO344" s="10">
        <v>29301469.672719996</v>
      </c>
      <c r="AP344" s="10">
        <v>24485112</v>
      </c>
      <c r="AQ344" s="31">
        <v>4971877.9092836883</v>
      </c>
    </row>
    <row r="345" spans="1:43">
      <c r="A345" s="102">
        <v>336</v>
      </c>
      <c r="B345" s="7" t="s">
        <v>2041</v>
      </c>
      <c r="C345" s="103">
        <v>30.85</v>
      </c>
      <c r="D345" s="62">
        <v>51107904</v>
      </c>
      <c r="E345" s="37">
        <v>31463668</v>
      </c>
      <c r="F345" s="62">
        <v>19644236</v>
      </c>
      <c r="G345" s="62">
        <v>54069183.504560001</v>
      </c>
      <c r="H345" s="62">
        <v>33009395</v>
      </c>
      <c r="I345" s="62">
        <v>21059789</v>
      </c>
      <c r="J345" s="62">
        <v>57436766.066748992</v>
      </c>
      <c r="K345" s="62">
        <v>35313488</v>
      </c>
      <c r="L345" s="62">
        <v>22123278</v>
      </c>
      <c r="M345" s="62">
        <v>61362559.405040011</v>
      </c>
      <c r="N345" s="62">
        <v>37036094</v>
      </c>
      <c r="O345" s="62">
        <v>21768190</v>
      </c>
      <c r="P345" s="62">
        <v>2558275</v>
      </c>
      <c r="Q345" s="62">
        <v>62237990.731232964</v>
      </c>
      <c r="R345" s="62">
        <v>37337725</v>
      </c>
      <c r="S345" s="62">
        <v>23839936</v>
      </c>
      <c r="T345" s="62">
        <v>1060330</v>
      </c>
      <c r="U345" s="62">
        <v>62823242.56985008</v>
      </c>
      <c r="V345" s="62">
        <v>38124103</v>
      </c>
      <c r="W345" s="62">
        <v>22447209</v>
      </c>
      <c r="X345" s="62">
        <v>130052</v>
      </c>
      <c r="Y345" s="62">
        <v>2523813</v>
      </c>
      <c r="Z345" s="62">
        <v>64565174.840659991</v>
      </c>
      <c r="AA345" s="62">
        <v>39054922</v>
      </c>
      <c r="AB345" s="62">
        <v>25510253</v>
      </c>
      <c r="AC345" s="10">
        <v>67376255.928720012</v>
      </c>
      <c r="AD345" s="10">
        <v>40341671</v>
      </c>
      <c r="AE345" s="10">
        <v>27034585</v>
      </c>
      <c r="AF345" s="10">
        <v>68036042.431139991</v>
      </c>
      <c r="AG345" s="10">
        <v>41955039</v>
      </c>
      <c r="AH345" s="10">
        <v>27200610</v>
      </c>
      <c r="AI345" s="10">
        <v>68999976.990219995</v>
      </c>
      <c r="AJ345" s="10">
        <v>43802418</v>
      </c>
      <c r="AK345" s="31">
        <v>27366185</v>
      </c>
      <c r="AL345" s="10">
        <v>69769188.724899977</v>
      </c>
      <c r="AM345" s="10">
        <v>45695271</v>
      </c>
      <c r="AN345" s="31">
        <v>27530085</v>
      </c>
      <c r="AO345" s="10">
        <v>69159899.607649997</v>
      </c>
      <c r="AP345" s="10">
        <v>47454854</v>
      </c>
      <c r="AQ345" s="31">
        <v>27883625</v>
      </c>
    </row>
    <row r="346" spans="1:43">
      <c r="A346" s="102">
        <v>337</v>
      </c>
      <c r="B346" s="7" t="s">
        <v>2042</v>
      </c>
      <c r="C346" s="103">
        <v>17.5</v>
      </c>
      <c r="D346" s="62">
        <v>905765</v>
      </c>
      <c r="E346" s="37">
        <v>834822</v>
      </c>
      <c r="F346" s="62">
        <v>131052.8</v>
      </c>
      <c r="G346" s="62">
        <v>847599.61</v>
      </c>
      <c r="H346" s="62">
        <v>747909</v>
      </c>
      <c r="I346" s="62">
        <v>172887.8</v>
      </c>
      <c r="J346" s="62">
        <v>801658.09440833644</v>
      </c>
      <c r="K346" s="62">
        <v>665132</v>
      </c>
      <c r="L346" s="62">
        <v>207744.8</v>
      </c>
      <c r="M346" s="62">
        <v>828878.44</v>
      </c>
      <c r="N346" s="62">
        <v>601232</v>
      </c>
      <c r="O346" s="62">
        <v>220473.8</v>
      </c>
      <c r="P346" s="62">
        <v>25911</v>
      </c>
      <c r="Q346" s="62">
        <v>831398.74939712929</v>
      </c>
      <c r="R346" s="62">
        <v>581336</v>
      </c>
      <c r="S346" s="62">
        <v>241457</v>
      </c>
      <c r="T346" s="62">
        <v>8606</v>
      </c>
      <c r="U346" s="62">
        <v>770958.84743999992</v>
      </c>
      <c r="V346" s="62">
        <v>548156</v>
      </c>
      <c r="W346" s="62">
        <v>235454</v>
      </c>
      <c r="X346" s="62">
        <v>1264</v>
      </c>
      <c r="Y346" s="62">
        <v>15670</v>
      </c>
      <c r="Z346" s="62">
        <v>778131.94</v>
      </c>
      <c r="AA346" s="62">
        <v>571400</v>
      </c>
      <c r="AB346" s="62">
        <v>236718</v>
      </c>
      <c r="AC346" s="10">
        <v>871685.15</v>
      </c>
      <c r="AD346" s="10">
        <v>643358</v>
      </c>
      <c r="AE346" s="10">
        <v>240518</v>
      </c>
      <c r="AF346" s="10">
        <v>1002641.6199999999</v>
      </c>
      <c r="AG346" s="10">
        <v>761189</v>
      </c>
      <c r="AH346" s="10">
        <v>247640.0875275</v>
      </c>
      <c r="AI346" s="10">
        <v>973888.2100000002</v>
      </c>
      <c r="AJ346" s="10">
        <v>773751</v>
      </c>
      <c r="AK346" s="31">
        <v>250115.0875275</v>
      </c>
      <c r="AL346" s="10">
        <v>877253.83999999985</v>
      </c>
      <c r="AM346" s="10">
        <v>745655</v>
      </c>
      <c r="AN346" s="31">
        <v>252340.0875275</v>
      </c>
      <c r="AO346" s="10">
        <v>852415.71000000008</v>
      </c>
      <c r="AP346" s="10">
        <v>714075</v>
      </c>
      <c r="AQ346" s="31">
        <v>256850.0875275</v>
      </c>
    </row>
    <row r="347" spans="1:43">
      <c r="A347" s="102">
        <v>338</v>
      </c>
      <c r="B347" s="7" t="s">
        <v>2043</v>
      </c>
      <c r="C347" s="103">
        <v>55.77</v>
      </c>
      <c r="D347" s="62">
        <v>97965</v>
      </c>
      <c r="E347" s="37">
        <v>35557</v>
      </c>
      <c r="F347" s="62">
        <v>87102</v>
      </c>
      <c r="G347" s="62">
        <v>172717.17</v>
      </c>
      <c r="H347" s="62">
        <v>52188</v>
      </c>
      <c r="I347" s="62">
        <v>126825</v>
      </c>
      <c r="J347" s="62">
        <v>180766.01</v>
      </c>
      <c r="K347" s="62">
        <v>61318</v>
      </c>
      <c r="L347" s="62">
        <v>131107</v>
      </c>
      <c r="M347" s="62">
        <v>119434.9</v>
      </c>
      <c r="N347" s="62">
        <v>40958</v>
      </c>
      <c r="O347" s="62">
        <v>119434.9</v>
      </c>
      <c r="P347" s="62">
        <v>0</v>
      </c>
      <c r="Q347" s="62">
        <v>110759.17504306222</v>
      </c>
      <c r="R347" s="62">
        <v>40065</v>
      </c>
      <c r="S347" s="62">
        <v>117046</v>
      </c>
      <c r="T347" s="62">
        <v>0</v>
      </c>
      <c r="U347" s="62">
        <v>167528.0748</v>
      </c>
      <c r="V347" s="62">
        <v>60734</v>
      </c>
      <c r="W347" s="62">
        <v>112364</v>
      </c>
      <c r="X347" s="62">
        <v>0</v>
      </c>
      <c r="Y347" s="62">
        <v>0</v>
      </c>
      <c r="Z347" s="62">
        <v>158260.19</v>
      </c>
      <c r="AA347" s="62">
        <v>58829</v>
      </c>
      <c r="AB347" s="62">
        <v>112364</v>
      </c>
      <c r="AC347" s="10">
        <v>189431.25</v>
      </c>
      <c r="AD347" s="10">
        <v>70715</v>
      </c>
      <c r="AE347" s="10">
        <v>118716</v>
      </c>
      <c r="AF347" s="10">
        <v>192367.49000000002</v>
      </c>
      <c r="AG347" s="10">
        <v>71155</v>
      </c>
      <c r="AH347" s="10">
        <v>121212</v>
      </c>
      <c r="AI347" s="10">
        <v>78029.39999999998</v>
      </c>
      <c r="AJ347" s="10">
        <v>29915</v>
      </c>
      <c r="AK347" s="31">
        <v>78029.39999999998</v>
      </c>
      <c r="AL347" s="10">
        <v>118799.64000000001</v>
      </c>
      <c r="AM347" s="10">
        <v>47836</v>
      </c>
      <c r="AN347" s="31">
        <v>78029.39999999998</v>
      </c>
      <c r="AO347" s="10">
        <v>118538.28</v>
      </c>
      <c r="AP347" s="10">
        <v>48874</v>
      </c>
      <c r="AQ347" s="31">
        <v>78029.39999999998</v>
      </c>
    </row>
    <row r="348" spans="1:43">
      <c r="A348" s="102">
        <v>339</v>
      </c>
      <c r="B348" s="7" t="s">
        <v>2044</v>
      </c>
      <c r="C348" s="103">
        <v>32.24</v>
      </c>
      <c r="D348" s="62">
        <v>0</v>
      </c>
      <c r="E348" s="37">
        <v>0</v>
      </c>
      <c r="F348" s="62">
        <v>0</v>
      </c>
      <c r="G348" s="62">
        <v>0</v>
      </c>
      <c r="H348" s="62">
        <v>0</v>
      </c>
      <c r="I348" s="62">
        <v>0</v>
      </c>
      <c r="J348" s="62">
        <v>0</v>
      </c>
      <c r="K348" s="62">
        <v>0</v>
      </c>
      <c r="L348" s="62">
        <v>0</v>
      </c>
      <c r="M348" s="62">
        <v>0</v>
      </c>
      <c r="N348" s="62">
        <v>0</v>
      </c>
      <c r="O348" s="62">
        <v>0</v>
      </c>
      <c r="P348" s="62">
        <v>0</v>
      </c>
      <c r="Q348" s="62">
        <v>0</v>
      </c>
      <c r="R348" s="62">
        <v>0</v>
      </c>
      <c r="S348" s="62">
        <v>0</v>
      </c>
      <c r="T348" s="62">
        <v>0</v>
      </c>
      <c r="U348" s="62">
        <v>0</v>
      </c>
      <c r="V348" s="62">
        <v>0</v>
      </c>
      <c r="W348" s="62">
        <v>0</v>
      </c>
      <c r="X348" s="62">
        <v>0</v>
      </c>
      <c r="Y348" s="62">
        <v>0</v>
      </c>
      <c r="Z348" s="62">
        <v>0</v>
      </c>
      <c r="AA348" s="62">
        <v>0</v>
      </c>
      <c r="AB348" s="62">
        <v>0</v>
      </c>
      <c r="AC348" s="10">
        <v>0</v>
      </c>
      <c r="AD348" s="10">
        <v>0</v>
      </c>
      <c r="AE348" s="10">
        <v>0</v>
      </c>
      <c r="AF348" s="10">
        <v>0</v>
      </c>
      <c r="AG348" s="10">
        <v>0</v>
      </c>
      <c r="AH348" s="10">
        <v>0</v>
      </c>
      <c r="AI348" s="10">
        <v>0</v>
      </c>
      <c r="AJ348" s="10">
        <v>0</v>
      </c>
      <c r="AK348" s="31">
        <v>0</v>
      </c>
      <c r="AL348" s="10">
        <v>0</v>
      </c>
      <c r="AM348" s="10">
        <v>0</v>
      </c>
      <c r="AN348" s="31">
        <v>0</v>
      </c>
      <c r="AO348" s="10">
        <v>0</v>
      </c>
      <c r="AP348" s="10">
        <v>0</v>
      </c>
      <c r="AQ348" s="31">
        <v>0</v>
      </c>
    </row>
    <row r="349" spans="1:43">
      <c r="A349" s="102">
        <v>340</v>
      </c>
      <c r="B349" s="7" t="s">
        <v>2045</v>
      </c>
      <c r="C349" s="103">
        <v>22.86</v>
      </c>
      <c r="D349" s="62">
        <v>1353554</v>
      </c>
      <c r="E349" s="37">
        <v>1305103</v>
      </c>
      <c r="F349" s="62">
        <v>359184.4</v>
      </c>
      <c r="G349" s="62">
        <v>1431625.05</v>
      </c>
      <c r="H349" s="62">
        <v>1223519</v>
      </c>
      <c r="I349" s="62">
        <v>401047.4</v>
      </c>
      <c r="J349" s="62">
        <v>1303227.8492111149</v>
      </c>
      <c r="K349" s="62">
        <v>1103460</v>
      </c>
      <c r="L349" s="62">
        <v>410847.4</v>
      </c>
      <c r="M349" s="62">
        <v>1358267.99</v>
      </c>
      <c r="N349" s="62">
        <v>1050677</v>
      </c>
      <c r="O349" s="62">
        <v>386941.4</v>
      </c>
      <c r="P349" s="62">
        <v>45475</v>
      </c>
      <c r="Q349" s="62">
        <v>1529284.0745033494</v>
      </c>
      <c r="R349" s="62">
        <v>1098680</v>
      </c>
      <c r="S349" s="62">
        <v>423768</v>
      </c>
      <c r="T349" s="62">
        <v>6836</v>
      </c>
      <c r="U349" s="62">
        <v>1588795.8168000001</v>
      </c>
      <c r="V349" s="62">
        <v>1185579</v>
      </c>
      <c r="W349" s="62">
        <v>405448</v>
      </c>
      <c r="X349" s="62">
        <v>2177</v>
      </c>
      <c r="Y349" s="62">
        <v>27379</v>
      </c>
      <c r="Z349" s="62">
        <v>1626834.23</v>
      </c>
      <c r="AA349" s="62">
        <v>1211055</v>
      </c>
      <c r="AB349" s="62">
        <v>415779</v>
      </c>
      <c r="AC349" s="10">
        <v>1690611.6400000001</v>
      </c>
      <c r="AD349" s="10">
        <v>1270564</v>
      </c>
      <c r="AE349" s="10">
        <v>434689.03882100002</v>
      </c>
      <c r="AF349" s="10">
        <v>1847447.82</v>
      </c>
      <c r="AG349" s="10">
        <v>1352484</v>
      </c>
      <c r="AH349" s="10">
        <v>509920.14508649998</v>
      </c>
      <c r="AI349" s="10">
        <v>1740594.9700000002</v>
      </c>
      <c r="AJ349" s="10">
        <v>1393645</v>
      </c>
      <c r="AK349" s="31">
        <v>514620.14508649998</v>
      </c>
      <c r="AL349" s="10">
        <v>1731396.01</v>
      </c>
      <c r="AM349" s="10">
        <v>1404042</v>
      </c>
      <c r="AN349" s="31">
        <v>519245.14508649998</v>
      </c>
      <c r="AO349" s="10">
        <v>1665309.4700000002</v>
      </c>
      <c r="AP349" s="10">
        <v>1295778</v>
      </c>
      <c r="AQ349" s="31">
        <v>528925.14508649998</v>
      </c>
    </row>
    <row r="350" spans="1:43">
      <c r="A350" s="102">
        <v>341</v>
      </c>
      <c r="B350" s="7" t="s">
        <v>2046</v>
      </c>
      <c r="C350" s="103">
        <v>17.5</v>
      </c>
      <c r="D350" s="62">
        <v>2838804</v>
      </c>
      <c r="E350" s="37">
        <v>2951735</v>
      </c>
      <c r="F350" s="62">
        <v>900860.4</v>
      </c>
      <c r="G350" s="62">
        <v>2993564.97</v>
      </c>
      <c r="H350" s="62">
        <v>3003582</v>
      </c>
      <c r="I350" s="62">
        <v>927943.4</v>
      </c>
      <c r="J350" s="62">
        <v>2947485.2032250096</v>
      </c>
      <c r="K350" s="62">
        <v>2967122</v>
      </c>
      <c r="L350" s="62">
        <v>946993.4</v>
      </c>
      <c r="M350" s="62">
        <v>2926746.36</v>
      </c>
      <c r="N350" s="62">
        <v>2854443</v>
      </c>
      <c r="O350" s="62">
        <v>863644.4</v>
      </c>
      <c r="P350" s="62">
        <v>101499</v>
      </c>
      <c r="Q350" s="62">
        <v>3169486.7944727275</v>
      </c>
      <c r="R350" s="62">
        <v>2914408</v>
      </c>
      <c r="S350" s="62">
        <v>945841</v>
      </c>
      <c r="T350" s="62">
        <v>0</v>
      </c>
      <c r="U350" s="62">
        <v>2954221.7637</v>
      </c>
      <c r="V350" s="62">
        <v>2820665</v>
      </c>
      <c r="W350" s="62">
        <v>890585</v>
      </c>
      <c r="X350" s="62">
        <v>4781</v>
      </c>
      <c r="Y350" s="62">
        <v>59525</v>
      </c>
      <c r="Z350" s="62">
        <v>2930427.46</v>
      </c>
      <c r="AA350" s="62">
        <v>2765115</v>
      </c>
      <c r="AB350" s="62">
        <v>895366</v>
      </c>
      <c r="AC350" s="10">
        <v>3160940.25</v>
      </c>
      <c r="AD350" s="10">
        <v>2913200</v>
      </c>
      <c r="AE350" s="10">
        <v>909926</v>
      </c>
      <c r="AF350" s="10">
        <v>3339446.0000000005</v>
      </c>
      <c r="AG350" s="10">
        <v>3057274</v>
      </c>
      <c r="AH350" s="10">
        <v>919376</v>
      </c>
      <c r="AI350" s="10">
        <v>3344865.7700000005</v>
      </c>
      <c r="AJ350" s="10">
        <v>2917285</v>
      </c>
      <c r="AK350" s="31">
        <v>928776</v>
      </c>
      <c r="AL350" s="10">
        <v>3691422.7599999993</v>
      </c>
      <c r="AM350" s="10">
        <v>3123894</v>
      </c>
      <c r="AN350" s="31">
        <v>938701</v>
      </c>
      <c r="AO350" s="10">
        <v>3780882.2300000004</v>
      </c>
      <c r="AP350" s="10">
        <v>3127725</v>
      </c>
      <c r="AQ350" s="31">
        <v>960921</v>
      </c>
    </row>
    <row r="351" spans="1:43">
      <c r="A351" s="102">
        <v>342</v>
      </c>
      <c r="B351" s="7" t="s">
        <v>2047</v>
      </c>
      <c r="C351" s="103">
        <v>26.65</v>
      </c>
      <c r="D351" s="62">
        <v>26946504</v>
      </c>
      <c r="E351" s="37">
        <v>24426636</v>
      </c>
      <c r="F351" s="62">
        <v>3493482.8</v>
      </c>
      <c r="G351" s="62">
        <v>28589474.265000004</v>
      </c>
      <c r="H351" s="62">
        <v>24012970</v>
      </c>
      <c r="I351" s="62">
        <v>4787472.8</v>
      </c>
      <c r="J351" s="62">
        <v>30225618.082184222</v>
      </c>
      <c r="K351" s="62">
        <v>23520068</v>
      </c>
      <c r="L351" s="62">
        <v>6758866.7999999998</v>
      </c>
      <c r="M351" s="62">
        <v>32940341.795039997</v>
      </c>
      <c r="N351" s="62">
        <v>22982850</v>
      </c>
      <c r="O351" s="62">
        <v>8910320</v>
      </c>
      <c r="P351" s="62">
        <v>1047172</v>
      </c>
      <c r="Q351" s="62">
        <v>33354631.307536971</v>
      </c>
      <c r="R351" s="62">
        <v>23083400</v>
      </c>
      <c r="S351" s="62">
        <v>9758342</v>
      </c>
      <c r="T351" s="62">
        <v>512889</v>
      </c>
      <c r="U351" s="62">
        <v>33071492.365163159</v>
      </c>
      <c r="V351" s="62">
        <v>22741572</v>
      </c>
      <c r="W351" s="62">
        <v>10131715</v>
      </c>
      <c r="X351" s="62">
        <v>54392</v>
      </c>
      <c r="Y351" s="62">
        <v>180399</v>
      </c>
      <c r="Z351" s="62">
        <v>33089929.46198</v>
      </c>
      <c r="AA351" s="62">
        <v>23047600</v>
      </c>
      <c r="AB351" s="62">
        <v>10186107</v>
      </c>
      <c r="AC351" s="10">
        <v>33475095.871219996</v>
      </c>
      <c r="AD351" s="10">
        <v>23350005</v>
      </c>
      <c r="AE351" s="10">
        <v>10653175.75580658</v>
      </c>
      <c r="AF351" s="10">
        <v>33711449.013840005</v>
      </c>
      <c r="AG351" s="10">
        <v>24229668</v>
      </c>
      <c r="AH351" s="17">
        <f>10743100.7558066+58954</f>
        <v>10802054.755806601</v>
      </c>
      <c r="AI351" s="10">
        <v>33711949.045720004</v>
      </c>
      <c r="AJ351" s="10">
        <v>24256928</v>
      </c>
      <c r="AK351" s="31">
        <v>10891329.755806601</v>
      </c>
      <c r="AL351" s="10">
        <v>33895541.813259996</v>
      </c>
      <c r="AM351" s="10">
        <v>24840882</v>
      </c>
      <c r="AN351" s="31">
        <v>10978729.755806601</v>
      </c>
      <c r="AO351" s="10">
        <v>33396838.325240005</v>
      </c>
      <c r="AP351" s="10">
        <v>24739359</v>
      </c>
      <c r="AQ351" s="31">
        <v>11167159.755806601</v>
      </c>
    </row>
    <row r="352" spans="1:43">
      <c r="A352" s="102">
        <v>343</v>
      </c>
      <c r="B352" s="7" t="s">
        <v>2048</v>
      </c>
      <c r="C352" s="103">
        <v>67.63</v>
      </c>
      <c r="D352" s="62">
        <v>13575447</v>
      </c>
      <c r="E352" s="37">
        <v>4042511</v>
      </c>
      <c r="F352" s="62">
        <v>9746972</v>
      </c>
      <c r="G352" s="62">
        <v>14428042.68</v>
      </c>
      <c r="H352" s="62">
        <v>4236403</v>
      </c>
      <c r="I352" s="62">
        <v>10353509</v>
      </c>
      <c r="J352" s="62">
        <v>14745121.603420299</v>
      </c>
      <c r="K352" s="62">
        <v>4352216</v>
      </c>
      <c r="L352" s="62">
        <v>10575115</v>
      </c>
      <c r="M352" s="62">
        <v>15156933.289999999</v>
      </c>
      <c r="N352" s="62">
        <v>4512742</v>
      </c>
      <c r="O352" s="62">
        <v>9718917</v>
      </c>
      <c r="P352" s="62">
        <v>1142201</v>
      </c>
      <c r="Q352" s="62">
        <v>16219065.234373206</v>
      </c>
      <c r="R352" s="62">
        <v>4477183</v>
      </c>
      <c r="S352" s="62">
        <v>10643896</v>
      </c>
      <c r="T352" s="62">
        <v>1097986</v>
      </c>
      <c r="U352" s="62">
        <v>15672163.269959999</v>
      </c>
      <c r="V352" s="62">
        <v>4664700</v>
      </c>
      <c r="W352" s="62">
        <v>11055922</v>
      </c>
      <c r="X352" s="62">
        <v>59353</v>
      </c>
      <c r="Y352" s="62">
        <v>669132</v>
      </c>
      <c r="Z352" s="62">
        <v>15461197.040000001</v>
      </c>
      <c r="AA352" s="62">
        <v>4686612</v>
      </c>
      <c r="AB352" s="62">
        <v>11115275</v>
      </c>
      <c r="AC352" s="10">
        <v>15336037.73</v>
      </c>
      <c r="AD352" s="10">
        <v>4744751</v>
      </c>
      <c r="AE352" s="10">
        <v>11177635</v>
      </c>
      <c r="AF352" s="10">
        <v>14932867.66</v>
      </c>
      <c r="AG352" s="10">
        <v>4859333</v>
      </c>
      <c r="AH352" s="10">
        <v>11215085</v>
      </c>
      <c r="AI352" s="10">
        <v>14667673.109999999</v>
      </c>
      <c r="AJ352" s="10">
        <v>4914309</v>
      </c>
      <c r="AK352" s="31">
        <v>11251885</v>
      </c>
      <c r="AL352" s="10">
        <v>14868534.459999999</v>
      </c>
      <c r="AM352" s="10">
        <v>4931923</v>
      </c>
      <c r="AN352" s="31">
        <v>11288335</v>
      </c>
      <c r="AO352" s="10">
        <v>14883842.210000001</v>
      </c>
      <c r="AP352" s="10">
        <v>4860783</v>
      </c>
      <c r="AQ352" s="31">
        <v>11366930</v>
      </c>
    </row>
    <row r="353" spans="1:43">
      <c r="A353" s="102">
        <v>344</v>
      </c>
      <c r="B353" s="7" t="s">
        <v>2049</v>
      </c>
      <c r="C353" s="103">
        <v>17.5</v>
      </c>
      <c r="D353" s="62">
        <v>25105213</v>
      </c>
      <c r="E353" s="37">
        <v>24915091</v>
      </c>
      <c r="F353" s="62">
        <v>3131320.8</v>
      </c>
      <c r="G353" s="62">
        <v>27686227.761740003</v>
      </c>
      <c r="H353" s="62">
        <v>25368782</v>
      </c>
      <c r="I353" s="62">
        <v>3582998.8</v>
      </c>
      <c r="J353" s="62">
        <v>30248338.701930307</v>
      </c>
      <c r="K353" s="62">
        <v>26104922</v>
      </c>
      <c r="L353" s="62">
        <v>4143417</v>
      </c>
      <c r="M353" s="62">
        <v>32130973.606599998</v>
      </c>
      <c r="N353" s="62">
        <v>26921385</v>
      </c>
      <c r="O353" s="62">
        <v>4661726</v>
      </c>
      <c r="P353" s="62">
        <v>547863</v>
      </c>
      <c r="Q353" s="62">
        <v>33869183.152500734</v>
      </c>
      <c r="R353" s="62">
        <v>27942076</v>
      </c>
      <c r="S353" s="62">
        <v>5105397</v>
      </c>
      <c r="T353" s="62">
        <v>821710</v>
      </c>
      <c r="U353" s="62">
        <v>34209062.642022774</v>
      </c>
      <c r="V353" s="62">
        <v>28412977</v>
      </c>
      <c r="W353" s="62">
        <v>5684874</v>
      </c>
      <c r="X353" s="62">
        <v>30519</v>
      </c>
      <c r="Y353" s="62">
        <v>312514</v>
      </c>
      <c r="Z353" s="62">
        <v>35352719.397000007</v>
      </c>
      <c r="AA353" s="62">
        <v>29111601</v>
      </c>
      <c r="AB353" s="62">
        <v>6241118</v>
      </c>
      <c r="AC353" s="10">
        <v>37274561.601149991</v>
      </c>
      <c r="AD353" s="10">
        <v>30107863</v>
      </c>
      <c r="AE353" s="10">
        <v>7166699</v>
      </c>
      <c r="AF353" s="10">
        <v>38667213.748349994</v>
      </c>
      <c r="AG353" s="10">
        <v>31202716</v>
      </c>
      <c r="AH353" s="10">
        <v>7464498</v>
      </c>
      <c r="AI353" s="10">
        <v>39564443.627320006</v>
      </c>
      <c r="AJ353" s="10">
        <v>32332932</v>
      </c>
      <c r="AK353" s="31">
        <v>7572048</v>
      </c>
      <c r="AL353" s="10">
        <v>40749515.511779994</v>
      </c>
      <c r="AM353" s="10">
        <v>33648454</v>
      </c>
      <c r="AN353" s="31">
        <v>7680548</v>
      </c>
      <c r="AO353" s="10">
        <v>41694755.431160003</v>
      </c>
      <c r="AP353" s="10">
        <v>34474073</v>
      </c>
      <c r="AQ353" s="31">
        <v>7924363</v>
      </c>
    </row>
    <row r="354" spans="1:43">
      <c r="A354" s="102">
        <v>345</v>
      </c>
      <c r="B354" s="7" t="s">
        <v>2050</v>
      </c>
      <c r="C354" s="103">
        <v>17.5</v>
      </c>
      <c r="D354" s="62">
        <v>19593</v>
      </c>
      <c r="E354" s="37">
        <v>9317</v>
      </c>
      <c r="F354" s="62">
        <v>18987</v>
      </c>
      <c r="G354" s="62">
        <v>43398.64</v>
      </c>
      <c r="H354" s="62">
        <v>22696</v>
      </c>
      <c r="I354" s="62">
        <v>30997</v>
      </c>
      <c r="J354" s="62">
        <v>79486.89</v>
      </c>
      <c r="K354" s="62">
        <v>46037</v>
      </c>
      <c r="L354" s="62">
        <v>50091</v>
      </c>
      <c r="M354" s="62">
        <v>59717.45</v>
      </c>
      <c r="N354" s="62">
        <v>33889</v>
      </c>
      <c r="O354" s="62">
        <v>50341</v>
      </c>
      <c r="P354" s="62">
        <v>0</v>
      </c>
      <c r="Q354" s="62">
        <v>49226.300019138762</v>
      </c>
      <c r="R354" s="62">
        <v>30072</v>
      </c>
      <c r="S354" s="62">
        <v>49334</v>
      </c>
      <c r="T354" s="62">
        <v>0</v>
      </c>
      <c r="U354" s="62">
        <v>48143.262719999999</v>
      </c>
      <c r="V354" s="62">
        <v>30554</v>
      </c>
      <c r="W354" s="62">
        <v>47361</v>
      </c>
      <c r="X354" s="62">
        <v>0</v>
      </c>
      <c r="Y354" s="62">
        <v>0</v>
      </c>
      <c r="Z354" s="62">
        <v>98000.56</v>
      </c>
      <c r="AA354" s="62">
        <v>57428</v>
      </c>
      <c r="AB354" s="62">
        <v>47361</v>
      </c>
      <c r="AC354" s="10">
        <v>88880.470000000016</v>
      </c>
      <c r="AD354" s="10">
        <v>53746</v>
      </c>
      <c r="AE354" s="10">
        <v>47361</v>
      </c>
      <c r="AF354" s="10">
        <v>90258.14</v>
      </c>
      <c r="AG354" s="10">
        <v>59063</v>
      </c>
      <c r="AH354" s="10">
        <v>47361</v>
      </c>
      <c r="AI354" s="10">
        <v>91034.3</v>
      </c>
      <c r="AJ354" s="10">
        <v>66927</v>
      </c>
      <c r="AK354" s="31">
        <v>47361</v>
      </c>
      <c r="AL354" s="10">
        <v>39599.880000000005</v>
      </c>
      <c r="AM354" s="10">
        <v>33367</v>
      </c>
      <c r="AN354" s="31">
        <v>39599.880000000005</v>
      </c>
      <c r="AO354" s="10">
        <v>26341.840000000004</v>
      </c>
      <c r="AP354" s="10">
        <v>22244</v>
      </c>
      <c r="AQ354" s="31">
        <v>26341.840000000004</v>
      </c>
    </row>
    <row r="355" spans="1:43">
      <c r="A355" s="102">
        <v>346</v>
      </c>
      <c r="B355" s="7" t="s">
        <v>2051</v>
      </c>
      <c r="C355" s="103">
        <v>29.66</v>
      </c>
      <c r="D355" s="62">
        <v>14203032</v>
      </c>
      <c r="E355" s="37">
        <v>10524171</v>
      </c>
      <c r="F355" s="62">
        <v>4649575</v>
      </c>
      <c r="G355" s="62">
        <v>15189263.146560002</v>
      </c>
      <c r="H355" s="62">
        <v>10737357</v>
      </c>
      <c r="I355" s="62">
        <v>4843961</v>
      </c>
      <c r="J355" s="62">
        <v>16040450.497654758</v>
      </c>
      <c r="K355" s="62">
        <v>11241167</v>
      </c>
      <c r="L355" s="62">
        <v>5042458</v>
      </c>
      <c r="M355" s="62">
        <v>16653713.865099998</v>
      </c>
      <c r="N355" s="62">
        <v>11482366</v>
      </c>
      <c r="O355" s="62">
        <v>4639322</v>
      </c>
      <c r="P355" s="62">
        <v>545229</v>
      </c>
      <c r="Q355" s="62">
        <v>17547573.530765843</v>
      </c>
      <c r="R355" s="62">
        <v>12509487</v>
      </c>
      <c r="S355" s="62">
        <v>5080860</v>
      </c>
      <c r="T355" s="62">
        <v>0</v>
      </c>
      <c r="U355" s="62">
        <v>16947233.724507775</v>
      </c>
      <c r="V355" s="62">
        <v>12482874</v>
      </c>
      <c r="W355" s="62">
        <v>4784037</v>
      </c>
      <c r="X355" s="62">
        <v>25683</v>
      </c>
      <c r="Y355" s="62">
        <v>318165</v>
      </c>
      <c r="Z355" s="62">
        <v>17937168.698699996</v>
      </c>
      <c r="AA355" s="62">
        <v>12779319</v>
      </c>
      <c r="AB355" s="62">
        <v>5157850</v>
      </c>
      <c r="AC355" s="10">
        <v>18416072.0348</v>
      </c>
      <c r="AD355" s="10">
        <v>13141365</v>
      </c>
      <c r="AE355" s="10">
        <v>5274707</v>
      </c>
      <c r="AF355" s="10">
        <v>19449615.869399998</v>
      </c>
      <c r="AG355" s="10">
        <v>13466250</v>
      </c>
      <c r="AH355" s="17">
        <f>6026961.59606301+25266</f>
        <v>6052227.5960630104</v>
      </c>
      <c r="AI355" s="10">
        <v>19874501.94588</v>
      </c>
      <c r="AJ355" s="10">
        <v>13576177</v>
      </c>
      <c r="AK355" s="31">
        <v>6298325</v>
      </c>
      <c r="AL355" s="10">
        <v>19501001.633919992</v>
      </c>
      <c r="AM355" s="10">
        <v>13757564</v>
      </c>
      <c r="AN355" s="31">
        <v>6346975</v>
      </c>
      <c r="AO355" s="10">
        <v>19355380.740320001</v>
      </c>
      <c r="AP355" s="10">
        <v>13740113</v>
      </c>
      <c r="AQ355" s="31">
        <v>6450815</v>
      </c>
    </row>
    <row r="356" spans="1:43">
      <c r="A356" s="102">
        <v>347</v>
      </c>
      <c r="B356" s="7" t="s">
        <v>1613</v>
      </c>
      <c r="C356" s="103">
        <v>17.5</v>
      </c>
      <c r="D356" s="62">
        <v>34930602</v>
      </c>
      <c r="E356" s="37">
        <v>37657788</v>
      </c>
      <c r="F356" s="62">
        <v>4733852.8</v>
      </c>
      <c r="G356" s="62">
        <v>37332334.363359995</v>
      </c>
      <c r="H356" s="62">
        <v>38094517</v>
      </c>
      <c r="I356" s="62">
        <v>5154155.8</v>
      </c>
      <c r="J356" s="62">
        <v>40314036.275784098</v>
      </c>
      <c r="K356" s="62">
        <v>38276911</v>
      </c>
      <c r="L356" s="62">
        <v>5788495.7999999998</v>
      </c>
      <c r="M356" s="62">
        <v>42494196.208999999</v>
      </c>
      <c r="N356" s="62">
        <v>37749504</v>
      </c>
      <c r="O356" s="62">
        <v>6002692.7999999998</v>
      </c>
      <c r="P356" s="62">
        <v>705458</v>
      </c>
      <c r="Q356" s="62">
        <v>43397769.300633483</v>
      </c>
      <c r="R356" s="62">
        <v>37761424</v>
      </c>
      <c r="S356" s="62">
        <v>6573988</v>
      </c>
      <c r="T356" s="62">
        <v>0</v>
      </c>
      <c r="U356" s="62">
        <v>43013306.744314127</v>
      </c>
      <c r="V356" s="62">
        <v>37654434</v>
      </c>
      <c r="W356" s="62">
        <v>6189936</v>
      </c>
      <c r="X356" s="62">
        <v>33230</v>
      </c>
      <c r="Y356" s="62">
        <v>468697</v>
      </c>
      <c r="Z356" s="62">
        <v>44725938.827559993</v>
      </c>
      <c r="AA356" s="62">
        <v>38469627</v>
      </c>
      <c r="AB356" s="62">
        <v>6256312</v>
      </c>
      <c r="AC356" s="10">
        <v>46091897.869999997</v>
      </c>
      <c r="AD356" s="10">
        <v>39862499</v>
      </c>
      <c r="AE356" s="10">
        <v>6819375.0867005</v>
      </c>
      <c r="AF356" s="10">
        <v>47182460.705740005</v>
      </c>
      <c r="AG356" s="10">
        <v>40697687</v>
      </c>
      <c r="AH356" s="17">
        <f>7323850.03757165+16844</f>
        <v>7340694.03757165</v>
      </c>
      <c r="AI356" s="10">
        <v>48695159.223999999</v>
      </c>
      <c r="AJ356" s="10">
        <v>40727571</v>
      </c>
      <c r="AK356" s="31">
        <v>8202269.03757165</v>
      </c>
      <c r="AL356" s="10">
        <v>49230530.561499998</v>
      </c>
      <c r="AM356" s="10">
        <v>41631275</v>
      </c>
      <c r="AN356" s="31">
        <v>8321994.03757165</v>
      </c>
      <c r="AO356" s="10">
        <v>49930543.991250016</v>
      </c>
      <c r="AP356" s="10">
        <v>41567504</v>
      </c>
      <c r="AQ356" s="31">
        <v>8583684.03757165</v>
      </c>
    </row>
    <row r="357" spans="1:43">
      <c r="A357" s="102">
        <v>348</v>
      </c>
      <c r="B357" s="7" t="s">
        <v>2052</v>
      </c>
      <c r="C357" s="103">
        <v>70.8</v>
      </c>
      <c r="D357" s="62">
        <v>233243474</v>
      </c>
      <c r="E357" s="37">
        <v>72184115</v>
      </c>
      <c r="F357" s="62">
        <v>161059359</v>
      </c>
      <c r="G357" s="62">
        <v>242782324.40000004</v>
      </c>
      <c r="H357" s="62">
        <v>77309187</v>
      </c>
      <c r="I357" s="62">
        <v>167480913</v>
      </c>
      <c r="J357" s="62">
        <v>252522466.45670471</v>
      </c>
      <c r="K357" s="62">
        <v>80540711</v>
      </c>
      <c r="L357" s="62">
        <v>174025314</v>
      </c>
      <c r="M357" s="62">
        <v>262175701.59</v>
      </c>
      <c r="N357" s="62">
        <v>83762339</v>
      </c>
      <c r="O357" s="62">
        <v>161512435</v>
      </c>
      <c r="P357" s="62">
        <v>18981512</v>
      </c>
      <c r="Q357" s="62">
        <v>274595072.36176842</v>
      </c>
      <c r="R357" s="62">
        <v>81810677</v>
      </c>
      <c r="S357" s="62">
        <v>176884068</v>
      </c>
      <c r="T357" s="62">
        <v>15900327</v>
      </c>
      <c r="U357" s="62">
        <v>275818706.70521998</v>
      </c>
      <c r="V357" s="62">
        <v>84305903</v>
      </c>
      <c r="W357" s="62">
        <v>187838166</v>
      </c>
      <c r="X357" s="62">
        <v>1008399</v>
      </c>
      <c r="Y357" s="62">
        <v>4578055</v>
      </c>
      <c r="Z357" s="62">
        <v>286908104.64000005</v>
      </c>
      <c r="AA357" s="62">
        <v>85772826</v>
      </c>
      <c r="AB357" s="62">
        <v>201135279</v>
      </c>
      <c r="AC357" s="10">
        <v>298950312.13000005</v>
      </c>
      <c r="AD357" s="10">
        <v>88586175</v>
      </c>
      <c r="AE357" s="10">
        <v>210364137</v>
      </c>
      <c r="AF357" s="10">
        <v>311832464.69999999</v>
      </c>
      <c r="AG357" s="10">
        <v>91934732</v>
      </c>
      <c r="AH357" s="10">
        <v>219897733</v>
      </c>
      <c r="AI357" s="10">
        <v>314854112.86000001</v>
      </c>
      <c r="AJ357" s="10">
        <v>96374700</v>
      </c>
      <c r="AK357" s="31">
        <v>220569583</v>
      </c>
      <c r="AL357" s="10">
        <v>329468506.71999997</v>
      </c>
      <c r="AM357" s="10">
        <v>97927769</v>
      </c>
      <c r="AN357" s="31">
        <v>231540738</v>
      </c>
      <c r="AO357" s="10">
        <v>332590291.94999999</v>
      </c>
      <c r="AP357" s="10">
        <v>97188059</v>
      </c>
      <c r="AQ357" s="31">
        <v>235402233</v>
      </c>
    </row>
    <row r="358" spans="1:43">
      <c r="A358" s="102">
        <v>349</v>
      </c>
      <c r="B358" s="7" t="s">
        <v>2053</v>
      </c>
      <c r="C358" s="103">
        <v>17.5</v>
      </c>
      <c r="D358" s="62">
        <v>156820</v>
      </c>
      <c r="E358" s="37">
        <v>105031</v>
      </c>
      <c r="F358" s="62">
        <v>69958</v>
      </c>
      <c r="G358" s="62">
        <v>108496.6</v>
      </c>
      <c r="H358" s="62">
        <v>89804</v>
      </c>
      <c r="I358" s="62">
        <v>70458</v>
      </c>
      <c r="J358" s="62">
        <v>113552.7</v>
      </c>
      <c r="K358" s="62">
        <v>89058</v>
      </c>
      <c r="L358" s="62">
        <v>72331</v>
      </c>
      <c r="M358" s="62">
        <v>95547.92</v>
      </c>
      <c r="N358" s="62">
        <v>69044</v>
      </c>
      <c r="O358" s="62">
        <v>72731</v>
      </c>
      <c r="P358" s="62">
        <v>0</v>
      </c>
      <c r="Q358" s="62">
        <v>73839.450028708146</v>
      </c>
      <c r="R358" s="62">
        <v>58793</v>
      </c>
      <c r="S358" s="62">
        <v>71276</v>
      </c>
      <c r="T358" s="62">
        <v>0</v>
      </c>
      <c r="U358" s="62">
        <v>60179.078399999999</v>
      </c>
      <c r="V358" s="62">
        <v>50743</v>
      </c>
      <c r="W358" s="62">
        <v>60179.078399999999</v>
      </c>
      <c r="X358" s="62">
        <v>0</v>
      </c>
      <c r="Y358" s="62">
        <v>0</v>
      </c>
      <c r="Z358" s="62">
        <v>49000.28</v>
      </c>
      <c r="AA358" s="62">
        <v>61740</v>
      </c>
      <c r="AB358" s="62">
        <v>49000.28</v>
      </c>
      <c r="AC358" s="10">
        <v>101577.68000000001</v>
      </c>
      <c r="AD358" s="10">
        <v>101578</v>
      </c>
      <c r="AE358" s="10">
        <v>49000.28</v>
      </c>
      <c r="AF358" s="10">
        <v>103152.16</v>
      </c>
      <c r="AG358" s="10">
        <v>103152</v>
      </c>
      <c r="AH358" s="10">
        <v>49000.28</v>
      </c>
      <c r="AI358" s="10">
        <v>181016.85000000003</v>
      </c>
      <c r="AJ358" s="10">
        <v>161882</v>
      </c>
      <c r="AK358" s="31">
        <f>49000.28+144899</f>
        <v>193899.28</v>
      </c>
      <c r="AL358" s="10">
        <v>1164871.5999999999</v>
      </c>
      <c r="AM358" s="10">
        <v>939802</v>
      </c>
      <c r="AN358" s="31">
        <v>225070</v>
      </c>
      <c r="AO358" s="10">
        <v>1206120.8500000003</v>
      </c>
      <c r="AP358" s="10">
        <v>969030</v>
      </c>
      <c r="AQ358" s="31">
        <v>237091</v>
      </c>
    </row>
    <row r="359" spans="1:43">
      <c r="A359" s="102">
        <v>350</v>
      </c>
      <c r="B359" s="7" t="s">
        <v>2054</v>
      </c>
      <c r="C359" s="103">
        <v>21.07</v>
      </c>
      <c r="D359" s="62">
        <v>8108218</v>
      </c>
      <c r="E359" s="37">
        <v>4773537</v>
      </c>
      <c r="F359" s="62">
        <v>3446005</v>
      </c>
      <c r="G359" s="62">
        <v>8536881.8352199998</v>
      </c>
      <c r="H359" s="62">
        <v>4905786</v>
      </c>
      <c r="I359" s="62">
        <v>3631096</v>
      </c>
      <c r="J359" s="62">
        <v>8611109.7637538575</v>
      </c>
      <c r="K359" s="62">
        <v>5032071</v>
      </c>
      <c r="L359" s="62">
        <v>3688296</v>
      </c>
      <c r="M359" s="62">
        <v>9026427.3732400015</v>
      </c>
      <c r="N359" s="62">
        <v>5280507</v>
      </c>
      <c r="O359" s="62">
        <v>3413547</v>
      </c>
      <c r="P359" s="62">
        <v>401172</v>
      </c>
      <c r="Q359" s="62">
        <v>9476432.1319100633</v>
      </c>
      <c r="R359" s="62">
        <v>5747185</v>
      </c>
      <c r="S359" s="62">
        <v>3738425</v>
      </c>
      <c r="T359" s="62">
        <v>0</v>
      </c>
      <c r="U359" s="62">
        <v>9107308.40131188</v>
      </c>
      <c r="V359" s="62">
        <v>5781211</v>
      </c>
      <c r="W359" s="62">
        <v>3520026</v>
      </c>
      <c r="X359" s="62">
        <v>18897</v>
      </c>
      <c r="Y359" s="62">
        <v>227952</v>
      </c>
      <c r="Z359" s="62">
        <v>8997163.6104499996</v>
      </c>
      <c r="AA359" s="62">
        <v>5880789</v>
      </c>
      <c r="AB359" s="62">
        <v>3538923</v>
      </c>
      <c r="AC359" s="10">
        <v>8996680.8980999999</v>
      </c>
      <c r="AD359" s="10">
        <v>5899004</v>
      </c>
      <c r="AE359" s="10">
        <v>3581123</v>
      </c>
      <c r="AF359" s="10">
        <v>8892422.6601499971</v>
      </c>
      <c r="AG359" s="10">
        <v>6253155</v>
      </c>
      <c r="AH359" s="10">
        <v>3606873</v>
      </c>
      <c r="AI359" s="10">
        <v>9069999.5540800001</v>
      </c>
      <c r="AJ359" s="10">
        <v>6555043</v>
      </c>
      <c r="AK359" s="31">
        <v>3632823</v>
      </c>
      <c r="AL359" s="10">
        <v>8534196.4301100001</v>
      </c>
      <c r="AM359" s="10">
        <v>6762850</v>
      </c>
      <c r="AN359" s="31">
        <v>3656773</v>
      </c>
      <c r="AO359" s="10">
        <v>8711771.7903999984</v>
      </c>
      <c r="AP359" s="10">
        <v>6915585</v>
      </c>
      <c r="AQ359" s="31">
        <v>3709903</v>
      </c>
    </row>
    <row r="360" spans="1:43">
      <c r="A360" s="102">
        <v>351</v>
      </c>
      <c r="B360" s="7" t="s">
        <v>2055</v>
      </c>
      <c r="C360" s="103">
        <v>17.5</v>
      </c>
      <c r="D360" s="62">
        <v>0</v>
      </c>
      <c r="E360" s="37">
        <v>0</v>
      </c>
      <c r="F360" s="62">
        <v>0</v>
      </c>
      <c r="G360" s="62">
        <v>0</v>
      </c>
      <c r="H360" s="62">
        <v>0</v>
      </c>
      <c r="I360" s="62">
        <v>0</v>
      </c>
      <c r="J360" s="62">
        <v>0</v>
      </c>
      <c r="K360" s="62">
        <v>0</v>
      </c>
      <c r="L360" s="62">
        <v>0</v>
      </c>
      <c r="M360" s="62">
        <v>11943.49</v>
      </c>
      <c r="N360" s="62">
        <v>9336</v>
      </c>
      <c r="O360" s="62">
        <v>2607</v>
      </c>
      <c r="P360" s="62">
        <v>0</v>
      </c>
      <c r="Q360" s="62">
        <v>24613.150009569381</v>
      </c>
      <c r="R360" s="62">
        <v>19848</v>
      </c>
      <c r="S360" s="62">
        <v>2555</v>
      </c>
      <c r="T360" s="62">
        <v>2210</v>
      </c>
      <c r="U360" s="62">
        <v>12035.81568</v>
      </c>
      <c r="V360" s="62">
        <v>10055</v>
      </c>
      <c r="W360" s="62">
        <v>4574</v>
      </c>
      <c r="X360" s="62">
        <v>0</v>
      </c>
      <c r="Y360" s="62">
        <v>0</v>
      </c>
      <c r="Z360" s="62">
        <v>12250.07</v>
      </c>
      <c r="AA360" s="62">
        <v>10608</v>
      </c>
      <c r="AB360" s="62">
        <v>4574</v>
      </c>
      <c r="AC360" s="10">
        <v>12697.210000000001</v>
      </c>
      <c r="AD360" s="10">
        <v>10850</v>
      </c>
      <c r="AE360" s="10">
        <v>4574</v>
      </c>
      <c r="AF360" s="10">
        <v>0</v>
      </c>
      <c r="AG360" s="10">
        <v>0</v>
      </c>
      <c r="AH360" s="10">
        <v>0</v>
      </c>
      <c r="AI360" s="10">
        <v>0</v>
      </c>
      <c r="AJ360" s="10">
        <v>0</v>
      </c>
      <c r="AK360" s="31">
        <v>0</v>
      </c>
      <c r="AL360" s="10">
        <v>0</v>
      </c>
      <c r="AM360" s="10">
        <v>0</v>
      </c>
      <c r="AN360" s="31">
        <v>0</v>
      </c>
      <c r="AO360" s="10">
        <v>0</v>
      </c>
      <c r="AP360" s="10">
        <v>0</v>
      </c>
      <c r="AQ360" s="31">
        <v>0</v>
      </c>
    </row>
    <row r="361" spans="1:43">
      <c r="A361" s="102">
        <v>406</v>
      </c>
      <c r="B361" s="7" t="s">
        <v>2056</v>
      </c>
      <c r="C361" s="103">
        <v>17.5</v>
      </c>
      <c r="D361" s="62">
        <v>1567616</v>
      </c>
      <c r="E361" s="37">
        <v>1276116</v>
      </c>
      <c r="F361" s="62">
        <v>738533.6</v>
      </c>
      <c r="G361" s="62">
        <v>2025133</v>
      </c>
      <c r="H361" s="62">
        <v>1468568</v>
      </c>
      <c r="I361" s="62">
        <v>875376.6</v>
      </c>
      <c r="J361" s="62">
        <v>2278216</v>
      </c>
      <c r="K361" s="62">
        <v>1708914</v>
      </c>
      <c r="L361" s="62">
        <v>947960.6</v>
      </c>
      <c r="M361" s="62">
        <v>2111565</v>
      </c>
      <c r="N361" s="62">
        <v>1581883</v>
      </c>
      <c r="O361" s="62">
        <v>854264.6</v>
      </c>
      <c r="P361" s="62">
        <v>100396</v>
      </c>
      <c r="Q361" s="62">
        <v>2146693.9467942584</v>
      </c>
      <c r="R361" s="62">
        <v>1617583</v>
      </c>
      <c r="S361" s="62">
        <v>935567</v>
      </c>
      <c r="T361" s="62">
        <v>0</v>
      </c>
      <c r="U361" s="62">
        <v>2230337.8020000001</v>
      </c>
      <c r="V361" s="62">
        <v>1765084</v>
      </c>
      <c r="W361" s="62">
        <v>880911</v>
      </c>
      <c r="X361" s="62">
        <v>4729</v>
      </c>
      <c r="Y361" s="62">
        <v>53277</v>
      </c>
      <c r="Z361" s="62">
        <v>2070902</v>
      </c>
      <c r="AA361" s="62">
        <v>1658734</v>
      </c>
      <c r="AB361" s="62">
        <v>885640</v>
      </c>
      <c r="AC361" s="10">
        <v>2229442</v>
      </c>
      <c r="AD361" s="10">
        <v>1757745</v>
      </c>
      <c r="AE361" s="10">
        <v>890560</v>
      </c>
      <c r="AF361" s="10">
        <v>2020055</v>
      </c>
      <c r="AG361" s="10">
        <v>1627859</v>
      </c>
      <c r="AH361" s="10">
        <v>893210</v>
      </c>
      <c r="AI361" s="10">
        <v>1764814</v>
      </c>
      <c r="AJ361" s="10">
        <v>1447978</v>
      </c>
      <c r="AK361" s="31">
        <v>895485</v>
      </c>
      <c r="AL361" s="10">
        <v>1980086</v>
      </c>
      <c r="AM361" s="10">
        <v>1655651</v>
      </c>
      <c r="AN361" s="31">
        <v>897910</v>
      </c>
      <c r="AO361" s="10">
        <v>2177668</v>
      </c>
      <c r="AP361" s="10">
        <v>1807196</v>
      </c>
      <c r="AQ361" s="31">
        <v>903575</v>
      </c>
    </row>
    <row r="362" spans="1:43">
      <c r="A362" s="102">
        <v>600</v>
      </c>
      <c r="B362" s="7" t="s">
        <v>2057</v>
      </c>
      <c r="C362" s="103">
        <v>23.39</v>
      </c>
      <c r="D362" s="62">
        <v>20024105</v>
      </c>
      <c r="E362" s="37">
        <v>16885593</v>
      </c>
      <c r="F362" s="62">
        <v>3138512</v>
      </c>
      <c r="G362" s="62">
        <v>22506705</v>
      </c>
      <c r="H362" s="62">
        <v>17791669</v>
      </c>
      <c r="I362" s="62">
        <v>4715036</v>
      </c>
      <c r="J362" s="62">
        <v>23994743</v>
      </c>
      <c r="K362" s="62">
        <v>18369316</v>
      </c>
      <c r="L362" s="62">
        <v>5625427</v>
      </c>
      <c r="M362" s="62">
        <v>25793437</v>
      </c>
      <c r="N362" s="62">
        <v>18940607</v>
      </c>
      <c r="O362" s="62">
        <v>6132157</v>
      </c>
      <c r="P362" s="62">
        <v>720673</v>
      </c>
      <c r="Q362" s="62">
        <v>26931634.808038283</v>
      </c>
      <c r="R362" s="62">
        <v>19569628</v>
      </c>
      <c r="S362" s="62">
        <v>6715773</v>
      </c>
      <c r="T362" s="62">
        <v>646234</v>
      </c>
      <c r="U362" s="62">
        <v>26278547.039999999</v>
      </c>
      <c r="V362" s="62">
        <v>19800807</v>
      </c>
      <c r="W362" s="62">
        <v>6931919</v>
      </c>
      <c r="X362" s="62">
        <v>37214</v>
      </c>
      <c r="Y362" s="62">
        <v>467099</v>
      </c>
      <c r="Z362" s="62">
        <v>26873147</v>
      </c>
      <c r="AA362" s="62">
        <v>20359612</v>
      </c>
      <c r="AB362" s="62">
        <v>6969133</v>
      </c>
      <c r="AC362" s="10">
        <v>27636880</v>
      </c>
      <c r="AD362" s="10">
        <v>20909979</v>
      </c>
      <c r="AE362" s="10">
        <v>7124121.5619999999</v>
      </c>
      <c r="AF362" s="17">
        <f>28337812+3710701+20514396</f>
        <v>52562909</v>
      </c>
      <c r="AG362" s="17">
        <f>21701014+3337251+15117599</f>
        <v>40155864</v>
      </c>
      <c r="AH362" s="17">
        <f>7198421.562+1320503+5594326</f>
        <v>14113250.561999999</v>
      </c>
      <c r="AI362" s="10">
        <v>52422543</v>
      </c>
      <c r="AJ362" s="10">
        <v>40290368</v>
      </c>
      <c r="AK362" s="31">
        <v>14254475.561999999</v>
      </c>
      <c r="AL362" s="10">
        <v>52599957</v>
      </c>
      <c r="AM362" s="10">
        <v>41315952</v>
      </c>
      <c r="AN362" s="31">
        <v>14393075.561999999</v>
      </c>
      <c r="AO362" s="10">
        <v>52547574</v>
      </c>
      <c r="AP362" s="10">
        <v>40653492</v>
      </c>
      <c r="AQ362" s="31">
        <v>14696070.561999999</v>
      </c>
    </row>
    <row r="363" spans="1:43">
      <c r="A363" s="102">
        <v>603</v>
      </c>
      <c r="B363" s="7" t="s">
        <v>2058</v>
      </c>
      <c r="C363" s="103">
        <v>62.74</v>
      </c>
      <c r="D363" s="62">
        <v>13106574</v>
      </c>
      <c r="E363" s="37">
        <v>3602054</v>
      </c>
      <c r="F363" s="62">
        <v>9630920</v>
      </c>
      <c r="G363" s="62">
        <v>13377962</v>
      </c>
      <c r="H363" s="62">
        <v>3796726</v>
      </c>
      <c r="I363" s="62">
        <v>9810525</v>
      </c>
      <c r="J363" s="62">
        <v>14106031</v>
      </c>
      <c r="K363" s="62">
        <v>3891220</v>
      </c>
      <c r="L363" s="62">
        <v>10299351</v>
      </c>
      <c r="M363" s="62">
        <v>14355783</v>
      </c>
      <c r="N363" s="62">
        <v>4039739</v>
      </c>
      <c r="O363" s="62">
        <v>9363751</v>
      </c>
      <c r="P363" s="62">
        <v>1100461</v>
      </c>
      <c r="Q363" s="62">
        <v>14762561.506602872</v>
      </c>
      <c r="R363" s="62">
        <v>4503688</v>
      </c>
      <c r="S363" s="62">
        <v>10254928</v>
      </c>
      <c r="T363" s="62">
        <v>3946</v>
      </c>
      <c r="U363" s="62">
        <v>14205800.124</v>
      </c>
      <c r="V363" s="62">
        <v>4515273</v>
      </c>
      <c r="W363" s="62">
        <v>9659551</v>
      </c>
      <c r="X363" s="62">
        <v>51857</v>
      </c>
      <c r="Y363" s="62">
        <v>585716</v>
      </c>
      <c r="Z363" s="62">
        <v>14489416</v>
      </c>
      <c r="AA363" s="62">
        <v>4653780</v>
      </c>
      <c r="AB363" s="62">
        <v>9835636</v>
      </c>
      <c r="AC363" s="10">
        <v>14848664</v>
      </c>
      <c r="AD363" s="10">
        <v>4798921</v>
      </c>
      <c r="AE363" s="10">
        <v>10049743</v>
      </c>
      <c r="AF363" s="10">
        <v>14525980</v>
      </c>
      <c r="AG363" s="10">
        <v>4882095</v>
      </c>
      <c r="AH363" s="10">
        <v>10085868</v>
      </c>
      <c r="AI363" s="10">
        <v>14419594</v>
      </c>
      <c r="AJ363" s="10">
        <v>4988650</v>
      </c>
      <c r="AK363" s="31">
        <v>10121468</v>
      </c>
      <c r="AL363" s="10">
        <v>14523439</v>
      </c>
      <c r="AM363" s="10">
        <v>5160616</v>
      </c>
      <c r="AN363" s="31">
        <v>10156418</v>
      </c>
      <c r="AO363" s="10">
        <v>15296780</v>
      </c>
      <c r="AP363" s="10">
        <v>5502583</v>
      </c>
      <c r="AQ363" s="31">
        <v>10234243</v>
      </c>
    </row>
    <row r="364" spans="1:43">
      <c r="A364" s="102">
        <v>605</v>
      </c>
      <c r="B364" s="7" t="s">
        <v>2059</v>
      </c>
      <c r="C364" s="103">
        <v>26.88</v>
      </c>
      <c r="D364" s="62">
        <v>15073351</v>
      </c>
      <c r="E364" s="37">
        <v>7265229</v>
      </c>
      <c r="F364" s="62">
        <v>9343785</v>
      </c>
      <c r="G364" s="62">
        <v>15860056</v>
      </c>
      <c r="H364" s="62">
        <v>8312731</v>
      </c>
      <c r="I364" s="62">
        <v>9689857</v>
      </c>
      <c r="J364" s="62">
        <v>16118464</v>
      </c>
      <c r="K364" s="62">
        <v>8736670</v>
      </c>
      <c r="L364" s="62">
        <v>9793582</v>
      </c>
      <c r="M364" s="62">
        <v>16270720</v>
      </c>
      <c r="N364" s="62">
        <v>8932603</v>
      </c>
      <c r="O364" s="62">
        <v>8844227</v>
      </c>
      <c r="P364" s="62">
        <v>1039405</v>
      </c>
      <c r="Q364" s="62">
        <v>16430082.97033493</v>
      </c>
      <c r="R364" s="62">
        <v>10908954</v>
      </c>
      <c r="S364" s="62">
        <v>9685959</v>
      </c>
      <c r="T364" s="62">
        <v>0</v>
      </c>
      <c r="U364" s="62">
        <v>15978763.512</v>
      </c>
      <c r="V364" s="62">
        <v>10987020</v>
      </c>
      <c r="W364" s="62">
        <v>9120106</v>
      </c>
      <c r="X364" s="62">
        <v>48961</v>
      </c>
      <c r="Y364" s="62">
        <v>560042</v>
      </c>
      <c r="Z364" s="62">
        <v>15588078</v>
      </c>
      <c r="AA364" s="62">
        <v>11132046</v>
      </c>
      <c r="AB364" s="62">
        <v>9169067</v>
      </c>
      <c r="AC364" s="10">
        <v>15882762</v>
      </c>
      <c r="AD364" s="10">
        <v>11359856</v>
      </c>
      <c r="AE364" s="10">
        <v>9233467</v>
      </c>
      <c r="AF364" s="10">
        <v>15889254</v>
      </c>
      <c r="AG364" s="10">
        <v>11667688</v>
      </c>
      <c r="AH364" s="10">
        <v>9272992</v>
      </c>
      <c r="AI364" s="10">
        <v>15504219</v>
      </c>
      <c r="AJ364" s="10">
        <v>11484398</v>
      </c>
      <c r="AK364" s="31">
        <v>9311217</v>
      </c>
      <c r="AL364" s="10">
        <v>15834018</v>
      </c>
      <c r="AM364" s="10">
        <v>11664726</v>
      </c>
      <c r="AN364" s="31">
        <v>9349517</v>
      </c>
      <c r="AO364" s="10">
        <v>15535447</v>
      </c>
      <c r="AP364" s="10">
        <v>11457106</v>
      </c>
      <c r="AQ364" s="31">
        <v>9431797</v>
      </c>
    </row>
    <row r="365" spans="1:43">
      <c r="A365" s="102">
        <v>610</v>
      </c>
      <c r="B365" s="7" t="s">
        <v>2060</v>
      </c>
      <c r="C365" s="103">
        <v>48.32</v>
      </c>
      <c r="D365" s="62">
        <v>16693060</v>
      </c>
      <c r="E365" s="37">
        <v>7990286</v>
      </c>
      <c r="F365" s="62">
        <v>8905601</v>
      </c>
      <c r="G365" s="62">
        <v>17725876</v>
      </c>
      <c r="H365" s="62">
        <v>8610748</v>
      </c>
      <c r="I365" s="62">
        <v>9391438</v>
      </c>
      <c r="J365" s="62">
        <v>18827304</v>
      </c>
      <c r="K365" s="62">
        <v>8914333</v>
      </c>
      <c r="L365" s="62">
        <v>9934552</v>
      </c>
      <c r="M365" s="62">
        <v>19657064</v>
      </c>
      <c r="N365" s="62">
        <v>9471071</v>
      </c>
      <c r="O365" s="62">
        <v>9246935</v>
      </c>
      <c r="P365" s="62">
        <v>1086732</v>
      </c>
      <c r="Q365" s="62">
        <v>20747434.319617227</v>
      </c>
      <c r="R365" s="62">
        <v>10251619</v>
      </c>
      <c r="S365" s="62">
        <v>10126994</v>
      </c>
      <c r="T365" s="62">
        <v>368821</v>
      </c>
      <c r="U365" s="62">
        <v>20412503.039999999</v>
      </c>
      <c r="V365" s="62">
        <v>10455439</v>
      </c>
      <c r="W365" s="62">
        <v>9882650</v>
      </c>
      <c r="X365" s="62">
        <v>53054</v>
      </c>
      <c r="Y365" s="62">
        <v>619686</v>
      </c>
      <c r="Z365" s="62">
        <v>20584849</v>
      </c>
      <c r="AA365" s="62">
        <v>10676599</v>
      </c>
      <c r="AB365" s="62">
        <v>9935704</v>
      </c>
      <c r="AC365" s="10">
        <v>20759601</v>
      </c>
      <c r="AD365" s="10">
        <v>10923476</v>
      </c>
      <c r="AE365" s="10">
        <v>10026904</v>
      </c>
      <c r="AF365" s="10">
        <v>20785812</v>
      </c>
      <c r="AG365" s="10">
        <v>11067299</v>
      </c>
      <c r="AH365" s="10">
        <v>10083104</v>
      </c>
      <c r="AI365" s="10">
        <v>20944478</v>
      </c>
      <c r="AJ365" s="10">
        <v>11060794</v>
      </c>
      <c r="AK365" s="31">
        <v>10138704</v>
      </c>
      <c r="AL365" s="10">
        <v>21651624</v>
      </c>
      <c r="AM365" s="10">
        <v>11097471</v>
      </c>
      <c r="AN365" s="31">
        <v>10554153</v>
      </c>
      <c r="AO365" s="10">
        <v>21190453</v>
      </c>
      <c r="AP365" s="10">
        <v>11043254</v>
      </c>
      <c r="AQ365" s="31">
        <v>10675483</v>
      </c>
    </row>
    <row r="366" spans="1:43">
      <c r="A366" s="102">
        <v>615</v>
      </c>
      <c r="B366" s="7" t="s">
        <v>2061</v>
      </c>
      <c r="C366" s="103">
        <v>68.08</v>
      </c>
      <c r="D366" s="62">
        <v>17339154</v>
      </c>
      <c r="E366" s="37">
        <v>518662</v>
      </c>
      <c r="F366" s="62">
        <v>16820492</v>
      </c>
      <c r="G366" s="62">
        <v>17708359</v>
      </c>
      <c r="H366" s="62">
        <v>623845</v>
      </c>
      <c r="I366" s="62">
        <v>17084514</v>
      </c>
      <c r="J366" s="62">
        <v>18516080</v>
      </c>
      <c r="K366" s="62">
        <v>678872</v>
      </c>
      <c r="L366" s="62">
        <v>17837208</v>
      </c>
      <c r="M366" s="62">
        <v>19014821</v>
      </c>
      <c r="N366" s="62">
        <v>720901</v>
      </c>
      <c r="O366" s="62">
        <v>16370053</v>
      </c>
      <c r="P366" s="62">
        <v>1923867</v>
      </c>
      <c r="Q366" s="62">
        <v>18226670.661818184</v>
      </c>
      <c r="R366" s="62">
        <v>2067242</v>
      </c>
      <c r="S366" s="62">
        <v>17928042</v>
      </c>
      <c r="T366" s="62">
        <v>0</v>
      </c>
      <c r="U366" s="62">
        <v>17923395.240000002</v>
      </c>
      <c r="V366" s="62">
        <v>2103961</v>
      </c>
      <c r="W366" s="62">
        <v>16880687</v>
      </c>
      <c r="X366" s="62">
        <v>90623</v>
      </c>
      <c r="Y366" s="62">
        <v>1004932</v>
      </c>
      <c r="Z366" s="62">
        <v>17935653</v>
      </c>
      <c r="AA366" s="62">
        <v>2172893</v>
      </c>
      <c r="AB366" s="62">
        <v>16971310</v>
      </c>
      <c r="AC366" s="10">
        <v>17818204</v>
      </c>
      <c r="AD366" s="10">
        <v>2286653</v>
      </c>
      <c r="AE366" s="10">
        <v>17043590</v>
      </c>
      <c r="AF366" s="10">
        <v>17517520</v>
      </c>
      <c r="AG366" s="10">
        <v>2367862</v>
      </c>
      <c r="AH366" s="10">
        <v>17086740</v>
      </c>
      <c r="AI366" s="10">
        <v>17539155</v>
      </c>
      <c r="AJ366" s="10">
        <v>2500939</v>
      </c>
      <c r="AK366" s="31">
        <v>17129715</v>
      </c>
      <c r="AL366" s="10">
        <v>17879139</v>
      </c>
      <c r="AM366" s="10">
        <v>2687482</v>
      </c>
      <c r="AN366" s="31">
        <v>17172640</v>
      </c>
      <c r="AO366" s="10">
        <v>18244828</v>
      </c>
      <c r="AP366" s="10">
        <v>2897520</v>
      </c>
      <c r="AQ366" s="31">
        <v>17267570</v>
      </c>
    </row>
    <row r="367" spans="1:43">
      <c r="A367" s="102">
        <v>616</v>
      </c>
      <c r="B367" s="7" t="s">
        <v>1626</v>
      </c>
      <c r="C367" s="103">
        <v>38.4</v>
      </c>
      <c r="D367" s="62"/>
      <c r="E367" s="37"/>
      <c r="F367" s="62"/>
      <c r="G367" s="62"/>
      <c r="H367" s="62"/>
      <c r="I367" s="62"/>
      <c r="J367" s="62"/>
      <c r="K367" s="62"/>
      <c r="L367" s="62"/>
      <c r="M367" s="62"/>
      <c r="N367" s="62"/>
      <c r="O367" s="62"/>
      <c r="P367" s="62"/>
      <c r="Q367" s="62">
        <v>0</v>
      </c>
      <c r="R367" s="62"/>
      <c r="S367" s="62"/>
      <c r="T367" s="62"/>
      <c r="U367" s="62">
        <v>16872486</v>
      </c>
      <c r="V367" s="62">
        <v>9799433.7010924481</v>
      </c>
      <c r="W367" s="62">
        <v>7802151</v>
      </c>
      <c r="X367" s="62">
        <v>41885</v>
      </c>
      <c r="Y367" s="62">
        <v>487764</v>
      </c>
      <c r="Z367" s="62">
        <v>16879384</v>
      </c>
      <c r="AA367" s="62">
        <v>9899773</v>
      </c>
      <c r="AB367" s="62">
        <v>7844036</v>
      </c>
      <c r="AC367" s="10">
        <v>17419519</v>
      </c>
      <c r="AD367" s="10">
        <v>10045000</v>
      </c>
      <c r="AE367" s="10">
        <v>7915436</v>
      </c>
      <c r="AF367" s="10">
        <v>17689265</v>
      </c>
      <c r="AG367" s="10">
        <v>10457924</v>
      </c>
      <c r="AH367" s="10">
        <v>7959611</v>
      </c>
      <c r="AI367" s="10">
        <v>18020997</v>
      </c>
      <c r="AJ367" s="10">
        <v>10736761</v>
      </c>
      <c r="AK367" s="31">
        <v>8003886</v>
      </c>
      <c r="AL367" s="10">
        <v>17776166</v>
      </c>
      <c r="AM367" s="10">
        <v>10841421</v>
      </c>
      <c r="AN367" s="31">
        <v>8047361</v>
      </c>
      <c r="AO367" s="10">
        <v>17539418</v>
      </c>
      <c r="AP367" s="10">
        <v>10906245</v>
      </c>
      <c r="AQ367" s="31">
        <v>8144051</v>
      </c>
    </row>
    <row r="368" spans="1:43">
      <c r="A368" s="102">
        <v>618</v>
      </c>
      <c r="B368" s="7" t="s">
        <v>2062</v>
      </c>
      <c r="C368" s="103">
        <v>17.5</v>
      </c>
      <c r="D368" s="62">
        <v>8878410</v>
      </c>
      <c r="E368" s="37">
        <v>10098842</v>
      </c>
      <c r="F368" s="62">
        <v>2672816.7999999998</v>
      </c>
      <c r="G368" s="62">
        <v>9250332</v>
      </c>
      <c r="H368" s="62">
        <v>10102954</v>
      </c>
      <c r="I368" s="62">
        <v>2737902.8</v>
      </c>
      <c r="J368" s="62">
        <v>9395655</v>
      </c>
      <c r="K368" s="62">
        <v>9910102</v>
      </c>
      <c r="L368" s="62">
        <v>2793902.8</v>
      </c>
      <c r="M368" s="62">
        <v>9799535</v>
      </c>
      <c r="N368" s="62">
        <v>9631380</v>
      </c>
      <c r="O368" s="62">
        <v>2563329.7999999998</v>
      </c>
      <c r="P368" s="62">
        <v>301252</v>
      </c>
      <c r="Q368" s="62">
        <v>9958320.0275598094</v>
      </c>
      <c r="R368" s="62">
        <v>9695771</v>
      </c>
      <c r="S368" s="62">
        <v>2807290</v>
      </c>
      <c r="T368" s="62">
        <v>0</v>
      </c>
      <c r="U368" s="62">
        <v>9969549.1140000001</v>
      </c>
      <c r="V368" s="62">
        <v>9487659</v>
      </c>
      <c r="W368" s="62">
        <v>2643288</v>
      </c>
      <c r="X368" s="62">
        <v>14190</v>
      </c>
      <c r="Y368" s="62">
        <v>177387</v>
      </c>
      <c r="Z368" s="62">
        <v>9915801</v>
      </c>
      <c r="AA368" s="62">
        <v>9513236</v>
      </c>
      <c r="AB368" s="62">
        <v>2657478</v>
      </c>
      <c r="AC368" s="10">
        <v>10178607</v>
      </c>
      <c r="AD368" s="10">
        <v>9534109</v>
      </c>
      <c r="AE368" s="10">
        <v>2700038</v>
      </c>
      <c r="AF368" s="10">
        <v>10635683</v>
      </c>
      <c r="AG368" s="10">
        <v>9671358</v>
      </c>
      <c r="AH368" s="10">
        <v>2726838</v>
      </c>
      <c r="AI368" s="10">
        <v>10662018</v>
      </c>
      <c r="AJ368" s="10">
        <v>9324675</v>
      </c>
      <c r="AK368" s="31">
        <v>2753513</v>
      </c>
      <c r="AL368" s="10">
        <v>10878643</v>
      </c>
      <c r="AM368" s="10">
        <v>9349872</v>
      </c>
      <c r="AN368" s="31">
        <v>2780663</v>
      </c>
      <c r="AO368" s="10">
        <v>11414759</v>
      </c>
      <c r="AP368" s="10">
        <v>9456019</v>
      </c>
      <c r="AQ368" s="31">
        <v>2839128</v>
      </c>
    </row>
    <row r="369" spans="1:43">
      <c r="A369" s="102">
        <v>620</v>
      </c>
      <c r="B369" s="7" t="s">
        <v>2063</v>
      </c>
      <c r="C369" s="103">
        <v>17.5</v>
      </c>
      <c r="D369" s="62">
        <v>2881502</v>
      </c>
      <c r="E369" s="37">
        <v>2980030</v>
      </c>
      <c r="F369" s="62">
        <v>790482</v>
      </c>
      <c r="G369" s="62">
        <v>3230183</v>
      </c>
      <c r="H369" s="62">
        <v>3023460</v>
      </c>
      <c r="I369" s="62">
        <v>851501</v>
      </c>
      <c r="J369" s="62">
        <v>3463889</v>
      </c>
      <c r="K369" s="62">
        <v>3187414</v>
      </c>
      <c r="L369" s="62">
        <v>892400</v>
      </c>
      <c r="M369" s="62">
        <v>3734852</v>
      </c>
      <c r="N369" s="62">
        <v>3255818</v>
      </c>
      <c r="O369" s="62">
        <v>840984</v>
      </c>
      <c r="P369" s="62">
        <v>98835</v>
      </c>
      <c r="Q369" s="62">
        <v>3848242.2752153119</v>
      </c>
      <c r="R369" s="62">
        <v>3256016</v>
      </c>
      <c r="S369" s="62">
        <v>921023</v>
      </c>
      <c r="T369" s="62">
        <v>0</v>
      </c>
      <c r="U369" s="62">
        <v>3748889.16</v>
      </c>
      <c r="V369" s="62">
        <v>3345125</v>
      </c>
      <c r="W369" s="62">
        <v>867217</v>
      </c>
      <c r="X369" s="62">
        <v>4656</v>
      </c>
      <c r="Y369" s="62">
        <v>59925</v>
      </c>
      <c r="Z369" s="62">
        <v>3766444</v>
      </c>
      <c r="AA369" s="62">
        <v>3420481</v>
      </c>
      <c r="AB369" s="62">
        <v>871873</v>
      </c>
      <c r="AC369" s="17">
        <f>3871973+250741+384591</f>
        <v>4507305</v>
      </c>
      <c r="AD369" s="10">
        <v>3391112</v>
      </c>
      <c r="AE369" s="17">
        <f>888833+78723+56292</f>
        <v>1023848</v>
      </c>
      <c r="AF369" s="10">
        <v>4631328</v>
      </c>
      <c r="AG369" s="10">
        <v>4040189</v>
      </c>
      <c r="AH369" s="10">
        <v>1036398</v>
      </c>
      <c r="AI369" s="10">
        <v>4817370</v>
      </c>
      <c r="AJ369" s="10">
        <v>4122172</v>
      </c>
      <c r="AK369" s="31">
        <v>1049323</v>
      </c>
      <c r="AL369" s="10">
        <v>5052434</v>
      </c>
      <c r="AM369" s="10">
        <v>4334259</v>
      </c>
      <c r="AN369" s="31">
        <v>1062648</v>
      </c>
      <c r="AO369" s="10">
        <v>5023757</v>
      </c>
      <c r="AP369" s="10">
        <v>4202073</v>
      </c>
      <c r="AQ369" s="31">
        <v>1091688</v>
      </c>
    </row>
    <row r="370" spans="1:43">
      <c r="A370" s="102">
        <v>622</v>
      </c>
      <c r="B370" s="7" t="s">
        <v>2064</v>
      </c>
      <c r="C370" s="103">
        <v>52.37</v>
      </c>
      <c r="D370" s="62">
        <v>15426759</v>
      </c>
      <c r="E370" s="37">
        <v>5876193</v>
      </c>
      <c r="F370" s="62">
        <v>10378194</v>
      </c>
      <c r="G370" s="62">
        <v>15675653</v>
      </c>
      <c r="H370" s="62">
        <v>6231925</v>
      </c>
      <c r="I370" s="62">
        <v>10509983</v>
      </c>
      <c r="J370" s="62">
        <v>16290966</v>
      </c>
      <c r="K370" s="62">
        <v>6659559</v>
      </c>
      <c r="L370" s="62">
        <v>10845267</v>
      </c>
      <c r="M370" s="62">
        <v>17163606</v>
      </c>
      <c r="N370" s="62">
        <v>6723921</v>
      </c>
      <c r="O370" s="62">
        <v>10139052</v>
      </c>
      <c r="P370" s="62">
        <v>1191577</v>
      </c>
      <c r="Q370" s="62">
        <v>17821603.166315794</v>
      </c>
      <c r="R370" s="62">
        <v>7213787</v>
      </c>
      <c r="S370" s="62">
        <v>11104016</v>
      </c>
      <c r="T370" s="62">
        <v>0</v>
      </c>
      <c r="U370" s="62">
        <v>17631668.597999997</v>
      </c>
      <c r="V370" s="62">
        <v>7334869</v>
      </c>
      <c r="W370" s="62">
        <v>10455320</v>
      </c>
      <c r="X370" s="62">
        <v>56129</v>
      </c>
      <c r="Y370" s="62">
        <v>643892</v>
      </c>
      <c r="Z370" s="62">
        <v>17725268</v>
      </c>
      <c r="AA370" s="62">
        <v>7567852</v>
      </c>
      <c r="AB370" s="62">
        <v>10511449</v>
      </c>
      <c r="AC370" s="10">
        <v>18008630</v>
      </c>
      <c r="AD370" s="10">
        <v>7894508</v>
      </c>
      <c r="AE370" s="10">
        <v>10589769</v>
      </c>
      <c r="AF370" s="10">
        <v>17925439</v>
      </c>
      <c r="AG370" s="10">
        <v>8081231</v>
      </c>
      <c r="AH370" s="10">
        <v>10637619</v>
      </c>
      <c r="AI370" s="10">
        <v>17804636</v>
      </c>
      <c r="AJ370" s="10">
        <v>8183978</v>
      </c>
      <c r="AK370" s="31">
        <v>10684594</v>
      </c>
      <c r="AL370" s="10">
        <v>17580139</v>
      </c>
      <c r="AM370" s="10">
        <v>8234791</v>
      </c>
      <c r="AN370" s="31">
        <v>10729594</v>
      </c>
      <c r="AO370" s="10">
        <v>17055908</v>
      </c>
      <c r="AP370" s="10">
        <v>8133559</v>
      </c>
      <c r="AQ370" s="31">
        <v>10826779</v>
      </c>
    </row>
    <row r="371" spans="1:43">
      <c r="A371" s="102">
        <v>625</v>
      </c>
      <c r="B371" s="7" t="s">
        <v>2065</v>
      </c>
      <c r="C371" s="103">
        <v>38.229999999999997</v>
      </c>
      <c r="D371" s="62">
        <v>40912576</v>
      </c>
      <c r="E371" s="37">
        <v>21884965</v>
      </c>
      <c r="F371" s="62">
        <v>19283254</v>
      </c>
      <c r="G371" s="62">
        <v>41935929</v>
      </c>
      <c r="H371" s="62">
        <v>23349196</v>
      </c>
      <c r="I371" s="62">
        <v>19665067</v>
      </c>
      <c r="J371" s="62">
        <v>44782550</v>
      </c>
      <c r="K371" s="62">
        <v>24739437</v>
      </c>
      <c r="L371" s="62">
        <v>20734543</v>
      </c>
      <c r="M371" s="62">
        <v>47098996</v>
      </c>
      <c r="N371" s="62">
        <v>25851193</v>
      </c>
      <c r="O371" s="62">
        <v>19340030</v>
      </c>
      <c r="P371" s="62">
        <v>2272909</v>
      </c>
      <c r="Q371" s="62">
        <v>48428019.06526316</v>
      </c>
      <c r="R371" s="62">
        <v>27952831</v>
      </c>
      <c r="S371" s="62">
        <v>21180680</v>
      </c>
      <c r="T371" s="62">
        <v>0</v>
      </c>
      <c r="U371" s="62">
        <v>47983788.083999999</v>
      </c>
      <c r="V371" s="62">
        <v>28495798</v>
      </c>
      <c r="W371" s="62">
        <v>19943306</v>
      </c>
      <c r="X371" s="62">
        <v>107065</v>
      </c>
      <c r="Y371" s="62">
        <v>1272209</v>
      </c>
      <c r="Z371" s="62">
        <v>48390610</v>
      </c>
      <c r="AA371" s="62">
        <v>29073200</v>
      </c>
      <c r="AB371" s="62">
        <v>20050371</v>
      </c>
      <c r="AC371" s="10">
        <v>49427213</v>
      </c>
      <c r="AD371" s="10">
        <v>30075604</v>
      </c>
      <c r="AE371" s="10">
        <v>20269571</v>
      </c>
      <c r="AF371" s="10">
        <v>49488995</v>
      </c>
      <c r="AG371" s="10">
        <v>30660371</v>
      </c>
      <c r="AH371" s="10">
        <v>20403671</v>
      </c>
      <c r="AI371" s="10">
        <v>49690981</v>
      </c>
      <c r="AJ371" s="10">
        <v>31221396</v>
      </c>
      <c r="AK371" s="31">
        <v>20536596</v>
      </c>
      <c r="AL371" s="10">
        <v>51489038</v>
      </c>
      <c r="AM371" s="10">
        <v>31846579</v>
      </c>
      <c r="AN371" s="31">
        <v>20671771</v>
      </c>
      <c r="AO371" s="10">
        <v>51178987</v>
      </c>
      <c r="AP371" s="10">
        <v>31816877</v>
      </c>
      <c r="AQ371" s="31">
        <v>20968661</v>
      </c>
    </row>
    <row r="372" spans="1:43">
      <c r="A372" s="102">
        <v>632</v>
      </c>
      <c r="B372" s="7" t="s">
        <v>1631</v>
      </c>
      <c r="C372" s="103">
        <v>38.58</v>
      </c>
      <c r="D372" s="62">
        <v>1195209</v>
      </c>
      <c r="E372" s="37">
        <v>674787</v>
      </c>
      <c r="F372" s="62">
        <v>646741</v>
      </c>
      <c r="G372" s="62">
        <v>1312143</v>
      </c>
      <c r="H372" s="62">
        <v>731037</v>
      </c>
      <c r="I372" s="62">
        <v>711347</v>
      </c>
      <c r="J372" s="62">
        <v>1277283</v>
      </c>
      <c r="K372" s="62">
        <v>717531</v>
      </c>
      <c r="L372" s="62">
        <v>719547</v>
      </c>
      <c r="M372" s="62">
        <v>1377086</v>
      </c>
      <c r="N372" s="62">
        <v>699752</v>
      </c>
      <c r="O372" s="62">
        <v>691531</v>
      </c>
      <c r="P372" s="62">
        <v>81271</v>
      </c>
      <c r="Q372" s="62">
        <v>1450752.9125358853</v>
      </c>
      <c r="R372" s="62">
        <v>732969</v>
      </c>
      <c r="S372" s="62">
        <v>757346</v>
      </c>
      <c r="T372" s="62">
        <v>0</v>
      </c>
      <c r="U372" s="62">
        <v>1401680.358</v>
      </c>
      <c r="V372" s="62">
        <v>744562</v>
      </c>
      <c r="W372" s="62">
        <v>713102</v>
      </c>
      <c r="X372" s="62">
        <v>3828</v>
      </c>
      <c r="Y372" s="62">
        <v>44616</v>
      </c>
      <c r="Z372" s="62">
        <v>1350534</v>
      </c>
      <c r="AA372" s="62">
        <v>753143</v>
      </c>
      <c r="AB372" s="62">
        <v>716930</v>
      </c>
      <c r="AC372" s="10">
        <v>1413142</v>
      </c>
      <c r="AD372" s="10">
        <v>785219</v>
      </c>
      <c r="AE372" s="10">
        <v>723330</v>
      </c>
      <c r="AF372" s="10">
        <v>1413824</v>
      </c>
      <c r="AG372" s="10">
        <v>797176</v>
      </c>
      <c r="AH372" s="10">
        <v>727230</v>
      </c>
      <c r="AI372" s="10">
        <v>1269753</v>
      </c>
      <c r="AJ372" s="10">
        <v>783121</v>
      </c>
      <c r="AK372" s="31">
        <v>730880</v>
      </c>
      <c r="AL372" s="10">
        <v>1290268</v>
      </c>
      <c r="AM372" s="10">
        <v>795911</v>
      </c>
      <c r="AN372" s="31">
        <v>734280</v>
      </c>
      <c r="AO372" s="10">
        <v>1239669</v>
      </c>
      <c r="AP372" s="10">
        <v>767824</v>
      </c>
      <c r="AQ372" s="31">
        <v>741100</v>
      </c>
    </row>
    <row r="373" spans="1:43">
      <c r="A373" s="102">
        <v>635</v>
      </c>
      <c r="B373" s="7" t="s">
        <v>2066</v>
      </c>
      <c r="C373" s="103">
        <v>36.24</v>
      </c>
      <c r="D373" s="62">
        <v>16411075</v>
      </c>
      <c r="E373" s="37">
        <v>9277515</v>
      </c>
      <c r="F373" s="62">
        <v>7747832.0000000009</v>
      </c>
      <c r="G373" s="62">
        <v>17068928</v>
      </c>
      <c r="H373" s="62">
        <v>9492361</v>
      </c>
      <c r="I373" s="62">
        <v>8092876.0000000009</v>
      </c>
      <c r="J373" s="62">
        <v>17956787</v>
      </c>
      <c r="K373" s="62">
        <v>9547848</v>
      </c>
      <c r="L373" s="62">
        <v>8550035</v>
      </c>
      <c r="M373" s="62">
        <v>18638347</v>
      </c>
      <c r="N373" s="62">
        <v>9708028</v>
      </c>
      <c r="O373" s="62">
        <v>7991169</v>
      </c>
      <c r="P373" s="62">
        <v>939150</v>
      </c>
      <c r="Q373" s="62">
        <v>18841797.769186605</v>
      </c>
      <c r="R373" s="62">
        <v>10035980</v>
      </c>
      <c r="S373" s="62">
        <v>8751713</v>
      </c>
      <c r="T373" s="62">
        <v>54105</v>
      </c>
      <c r="U373" s="62">
        <v>17732901.377999999</v>
      </c>
      <c r="V373" s="62">
        <v>10045858</v>
      </c>
      <c r="W373" s="62">
        <v>8291382</v>
      </c>
      <c r="X373" s="62">
        <v>44512</v>
      </c>
      <c r="Y373" s="62">
        <v>520024</v>
      </c>
      <c r="Z373" s="62">
        <v>17880776</v>
      </c>
      <c r="AA373" s="62">
        <v>10085382</v>
      </c>
      <c r="AB373" s="62">
        <v>8335894</v>
      </c>
      <c r="AC373" s="10">
        <v>17613394</v>
      </c>
      <c r="AD373" s="10">
        <v>10334614</v>
      </c>
      <c r="AE373" s="10">
        <v>8410334</v>
      </c>
      <c r="AF373" s="10">
        <v>17159555</v>
      </c>
      <c r="AG373" s="10">
        <v>10602338</v>
      </c>
      <c r="AH373" s="10">
        <v>8454734</v>
      </c>
      <c r="AI373" s="10">
        <v>16974405</v>
      </c>
      <c r="AJ373" s="10">
        <v>10521566</v>
      </c>
      <c r="AK373" s="31">
        <v>8498034</v>
      </c>
      <c r="AL373" s="10">
        <v>16927679</v>
      </c>
      <c r="AM373" s="10">
        <v>10815311</v>
      </c>
      <c r="AN373" s="31">
        <v>8540559</v>
      </c>
      <c r="AO373" s="10">
        <v>16389265</v>
      </c>
      <c r="AP373" s="10">
        <v>10548832</v>
      </c>
      <c r="AQ373" s="31">
        <v>8629219</v>
      </c>
    </row>
    <row r="374" spans="1:43">
      <c r="A374" s="102">
        <v>640</v>
      </c>
      <c r="B374" s="7" t="s">
        <v>2067</v>
      </c>
      <c r="C374" s="103">
        <v>17.5</v>
      </c>
      <c r="D374" s="62">
        <v>9779664</v>
      </c>
      <c r="E374" s="37">
        <v>11276561</v>
      </c>
      <c r="F374" s="62">
        <v>1482929.2</v>
      </c>
      <c r="G374" s="62">
        <v>11043068</v>
      </c>
      <c r="H374" s="62">
        <v>11833214</v>
      </c>
      <c r="I374" s="62">
        <v>1704025.2</v>
      </c>
      <c r="J374" s="62">
        <v>11535486</v>
      </c>
      <c r="K374" s="62">
        <v>12039761</v>
      </c>
      <c r="L374" s="62">
        <v>1798430.2</v>
      </c>
      <c r="M374" s="62">
        <v>12261008</v>
      </c>
      <c r="N374" s="62">
        <v>11881005</v>
      </c>
      <c r="O374" s="62">
        <v>1722913.2</v>
      </c>
      <c r="P374" s="62">
        <v>202483</v>
      </c>
      <c r="Q374" s="62">
        <v>12736972.591770336</v>
      </c>
      <c r="R374" s="62">
        <v>12027622</v>
      </c>
      <c r="S374" s="62">
        <v>1886888</v>
      </c>
      <c r="T374" s="62">
        <v>0</v>
      </c>
      <c r="U374" s="62">
        <v>12226662.599999998</v>
      </c>
      <c r="V374" s="62">
        <v>11610510</v>
      </c>
      <c r="W374" s="62">
        <v>1776656</v>
      </c>
      <c r="X374" s="62">
        <v>9538</v>
      </c>
      <c r="Y374" s="62">
        <v>132844</v>
      </c>
      <c r="Z374" s="62">
        <v>12055418</v>
      </c>
      <c r="AA374" s="62">
        <v>11452179</v>
      </c>
      <c r="AB374" s="62">
        <v>1786194</v>
      </c>
      <c r="AC374" s="10">
        <v>12584072</v>
      </c>
      <c r="AD374" s="10">
        <v>11667076</v>
      </c>
      <c r="AE374" s="10">
        <v>1836274</v>
      </c>
      <c r="AF374" s="10">
        <v>12876490</v>
      </c>
      <c r="AG374" s="10">
        <v>11748056</v>
      </c>
      <c r="AH374" s="10">
        <v>1867899</v>
      </c>
      <c r="AI374" s="10">
        <v>13172186</v>
      </c>
      <c r="AJ374" s="10">
        <v>11470046</v>
      </c>
      <c r="AK374" s="31">
        <v>2020931</v>
      </c>
      <c r="AL374" s="10">
        <v>13659882</v>
      </c>
      <c r="AM374" s="10">
        <v>11719574</v>
      </c>
      <c r="AN374" s="31">
        <v>2053456</v>
      </c>
      <c r="AO374" s="10">
        <v>14101517</v>
      </c>
      <c r="AP374" s="10">
        <v>11779839</v>
      </c>
      <c r="AQ374" s="31">
        <v>2321678</v>
      </c>
    </row>
    <row r="375" spans="1:43">
      <c r="A375" s="102">
        <v>645</v>
      </c>
      <c r="B375" s="7" t="s">
        <v>2068</v>
      </c>
      <c r="C375" s="103">
        <v>17.5</v>
      </c>
      <c r="D375" s="62">
        <v>31552699</v>
      </c>
      <c r="E375" s="37">
        <v>26916269</v>
      </c>
      <c r="F375" s="62">
        <v>6323844</v>
      </c>
      <c r="G375" s="62">
        <v>31921636</v>
      </c>
      <c r="H375" s="62">
        <v>27640649</v>
      </c>
      <c r="I375" s="62">
        <v>6521044</v>
      </c>
      <c r="J375" s="62">
        <v>32866009</v>
      </c>
      <c r="K375" s="62">
        <v>28181902</v>
      </c>
      <c r="L375" s="62">
        <v>6712794</v>
      </c>
      <c r="M375" s="62">
        <v>33929083</v>
      </c>
      <c r="N375" s="62">
        <v>28230096</v>
      </c>
      <c r="O375" s="62">
        <v>6176777</v>
      </c>
      <c r="P375" s="62">
        <v>725917</v>
      </c>
      <c r="Q375" s="62">
        <v>34720683.78947369</v>
      </c>
      <c r="R375" s="62">
        <v>29362682</v>
      </c>
      <c r="S375" s="62">
        <v>6764640</v>
      </c>
      <c r="T375" s="62">
        <v>0</v>
      </c>
      <c r="U375" s="62">
        <v>33550155.035999998</v>
      </c>
      <c r="V375" s="62">
        <v>29272877</v>
      </c>
      <c r="W375" s="62">
        <v>6369450</v>
      </c>
      <c r="X375" s="62">
        <v>34194</v>
      </c>
      <c r="Y375" s="62">
        <v>452946</v>
      </c>
      <c r="Z375" s="62">
        <v>33188220</v>
      </c>
      <c r="AA375" s="62">
        <v>29829472</v>
      </c>
      <c r="AB375" s="62">
        <v>6403644</v>
      </c>
      <c r="AC375" s="10">
        <v>34159114</v>
      </c>
      <c r="AD375" s="10">
        <v>30421379</v>
      </c>
      <c r="AE375" s="10">
        <v>6543564</v>
      </c>
      <c r="AF375" s="10">
        <v>34997479</v>
      </c>
      <c r="AG375" s="10">
        <v>31287824</v>
      </c>
      <c r="AH375" s="10">
        <v>6631289</v>
      </c>
      <c r="AI375" s="10">
        <v>34668834</v>
      </c>
      <c r="AJ375" s="10">
        <v>30189585</v>
      </c>
      <c r="AK375" s="31">
        <v>6718014</v>
      </c>
      <c r="AL375" s="10">
        <v>35460503</v>
      </c>
      <c r="AM375" s="10">
        <v>30284637</v>
      </c>
      <c r="AN375" s="31">
        <v>6803239</v>
      </c>
      <c r="AO375" s="10">
        <v>36706251</v>
      </c>
      <c r="AP375" s="10">
        <v>30483143</v>
      </c>
      <c r="AQ375" s="31">
        <v>6993814</v>
      </c>
    </row>
    <row r="376" spans="1:43">
      <c r="A376" s="102">
        <v>650</v>
      </c>
      <c r="B376" s="7" t="s">
        <v>2069</v>
      </c>
      <c r="C376" s="103">
        <v>39.19</v>
      </c>
      <c r="D376" s="62">
        <v>23502323</v>
      </c>
      <c r="E376" s="37">
        <v>12171196</v>
      </c>
      <c r="F376" s="62">
        <v>11331127</v>
      </c>
      <c r="G376" s="62">
        <v>25227557</v>
      </c>
      <c r="H376" s="62">
        <v>13220377</v>
      </c>
      <c r="I376" s="62">
        <v>12078498</v>
      </c>
      <c r="J376" s="62">
        <v>26488176</v>
      </c>
      <c r="K376" s="62">
        <v>14032590</v>
      </c>
      <c r="L376" s="62">
        <v>12595982</v>
      </c>
      <c r="M376" s="62">
        <v>27834400</v>
      </c>
      <c r="N376" s="62">
        <v>14867498</v>
      </c>
      <c r="O376" s="62">
        <v>11760784</v>
      </c>
      <c r="P376" s="62">
        <v>1382169</v>
      </c>
      <c r="Q376" s="62">
        <v>28579093.545645937</v>
      </c>
      <c r="R376" s="62">
        <v>15934995</v>
      </c>
      <c r="S376" s="62">
        <v>12880094</v>
      </c>
      <c r="T376" s="62">
        <v>0</v>
      </c>
      <c r="U376" s="62">
        <v>27227094.57</v>
      </c>
      <c r="V376" s="62">
        <v>16519761</v>
      </c>
      <c r="W376" s="62">
        <v>12127640</v>
      </c>
      <c r="X376" s="62">
        <v>65106</v>
      </c>
      <c r="Y376" s="62">
        <v>766523</v>
      </c>
      <c r="Z376" s="62">
        <v>27435686</v>
      </c>
      <c r="AA376" s="62">
        <v>16943069</v>
      </c>
      <c r="AB376" s="62">
        <v>12192746</v>
      </c>
      <c r="AC376" s="10">
        <v>28588235</v>
      </c>
      <c r="AD376" s="10">
        <v>17614915</v>
      </c>
      <c r="AE376" s="10">
        <v>12315946</v>
      </c>
      <c r="AF376" s="10">
        <v>28145868</v>
      </c>
      <c r="AG376" s="10">
        <v>17936311</v>
      </c>
      <c r="AH376" s="10">
        <v>12390171</v>
      </c>
      <c r="AI376" s="10">
        <v>28150365</v>
      </c>
      <c r="AJ376" s="10">
        <v>18051150</v>
      </c>
      <c r="AK376" s="31">
        <v>12463021</v>
      </c>
      <c r="AL376" s="10">
        <v>28723483</v>
      </c>
      <c r="AM376" s="10">
        <v>18028977</v>
      </c>
      <c r="AN376" s="31">
        <v>12536246</v>
      </c>
      <c r="AO376" s="10">
        <v>29000399</v>
      </c>
      <c r="AP376" s="10">
        <v>17773340</v>
      </c>
      <c r="AQ376" s="31">
        <v>12696956</v>
      </c>
    </row>
    <row r="377" spans="1:43">
      <c r="A377" s="102">
        <v>655</v>
      </c>
      <c r="B377" s="7" t="s">
        <v>2070</v>
      </c>
      <c r="C377" s="103">
        <v>17.5</v>
      </c>
      <c r="D377" s="62">
        <v>7739997</v>
      </c>
      <c r="E377" s="37">
        <v>8275872</v>
      </c>
      <c r="F377" s="62">
        <v>1191754.3999999999</v>
      </c>
      <c r="G377" s="62">
        <v>8206331</v>
      </c>
      <c r="H377" s="62">
        <v>8468634</v>
      </c>
      <c r="I377" s="62">
        <v>1273362.3999999999</v>
      </c>
      <c r="J377" s="62">
        <v>8844812</v>
      </c>
      <c r="K377" s="62">
        <v>8708826</v>
      </c>
      <c r="L377" s="62">
        <v>1385096.4</v>
      </c>
      <c r="M377" s="62">
        <v>9304310</v>
      </c>
      <c r="N377" s="62">
        <v>8639071</v>
      </c>
      <c r="O377" s="62">
        <v>1311389.3999999999</v>
      </c>
      <c r="P377" s="62">
        <v>154119</v>
      </c>
      <c r="Q377" s="62">
        <v>9990853.0587559827</v>
      </c>
      <c r="R377" s="62">
        <v>9006852</v>
      </c>
      <c r="S377" s="62">
        <v>1436198</v>
      </c>
      <c r="T377" s="62">
        <v>0</v>
      </c>
      <c r="U377" s="62">
        <v>10131211.535999998</v>
      </c>
      <c r="V377" s="62">
        <v>9255639</v>
      </c>
      <c r="W377" s="62">
        <v>1352295</v>
      </c>
      <c r="X377" s="62">
        <v>7260</v>
      </c>
      <c r="Y377" s="62">
        <v>106168</v>
      </c>
      <c r="Z377" s="62">
        <v>10389452</v>
      </c>
      <c r="AA377" s="62">
        <v>9537204</v>
      </c>
      <c r="AB377" s="62">
        <v>1359555</v>
      </c>
      <c r="AC377" s="10">
        <v>11120543</v>
      </c>
      <c r="AD377" s="10">
        <v>10202046</v>
      </c>
      <c r="AE377" s="10">
        <v>1408555</v>
      </c>
      <c r="AF377" s="10">
        <v>11227795</v>
      </c>
      <c r="AG377" s="10">
        <v>10290387</v>
      </c>
      <c r="AH377" s="10">
        <v>1438730</v>
      </c>
      <c r="AI377" s="10">
        <v>11333898</v>
      </c>
      <c r="AJ377" s="10">
        <v>10098983</v>
      </c>
      <c r="AK377" s="31">
        <v>1629376</v>
      </c>
      <c r="AL377" s="10">
        <v>11580014</v>
      </c>
      <c r="AM377" s="10">
        <v>10114738</v>
      </c>
      <c r="AN377" s="31">
        <v>1659576</v>
      </c>
      <c r="AO377" s="10">
        <v>11702650</v>
      </c>
      <c r="AP377" s="10">
        <v>9794356</v>
      </c>
      <c r="AQ377" s="31">
        <v>1908294</v>
      </c>
    </row>
    <row r="378" spans="1:43">
      <c r="A378" s="102">
        <v>658</v>
      </c>
      <c r="B378" s="7" t="s">
        <v>2071</v>
      </c>
      <c r="C378" s="103">
        <v>54.44</v>
      </c>
      <c r="D378" s="62">
        <v>30449329</v>
      </c>
      <c r="E378" s="37">
        <v>9274397</v>
      </c>
      <c r="F378" s="62">
        <v>21174932</v>
      </c>
      <c r="G378" s="62">
        <v>32233347</v>
      </c>
      <c r="H378" s="62">
        <v>10252229</v>
      </c>
      <c r="I378" s="62">
        <v>22188433</v>
      </c>
      <c r="J378" s="62">
        <v>33797564</v>
      </c>
      <c r="K378" s="62">
        <v>11029311</v>
      </c>
      <c r="L378" s="62">
        <v>23069087</v>
      </c>
      <c r="M378" s="62">
        <v>36110116</v>
      </c>
      <c r="N378" s="62">
        <v>11697527</v>
      </c>
      <c r="O378" s="62">
        <v>21845257</v>
      </c>
      <c r="P378" s="62">
        <v>2567332</v>
      </c>
      <c r="Q378" s="62">
        <v>36777726.03406699</v>
      </c>
      <c r="R378" s="62">
        <v>11966621</v>
      </c>
      <c r="S378" s="62">
        <v>23924337</v>
      </c>
      <c r="T378" s="62">
        <v>886768</v>
      </c>
      <c r="U378" s="62">
        <v>35729459.82</v>
      </c>
      <c r="V378" s="62">
        <v>12287043</v>
      </c>
      <c r="W378" s="62">
        <v>23361642</v>
      </c>
      <c r="X378" s="62">
        <v>125416</v>
      </c>
      <c r="Y378" s="62">
        <v>1429447</v>
      </c>
      <c r="Z378" s="62">
        <v>35694097</v>
      </c>
      <c r="AA378" s="62">
        <v>12669036</v>
      </c>
      <c r="AB378" s="62">
        <v>23487058</v>
      </c>
      <c r="AC378" s="10">
        <v>36205278</v>
      </c>
      <c r="AD378" s="10">
        <v>13079319</v>
      </c>
      <c r="AE378" s="10">
        <v>23647098</v>
      </c>
      <c r="AF378" s="10">
        <v>36078034</v>
      </c>
      <c r="AG378" s="10">
        <v>13510547</v>
      </c>
      <c r="AH378" s="10">
        <v>23744648</v>
      </c>
      <c r="AI378" s="10">
        <v>36713400</v>
      </c>
      <c r="AJ378" s="10">
        <v>14006333</v>
      </c>
      <c r="AK378" s="31">
        <v>23842023</v>
      </c>
      <c r="AL378" s="10">
        <v>37460711</v>
      </c>
      <c r="AM378" s="10">
        <v>14629068</v>
      </c>
      <c r="AN378" s="31">
        <v>23938773</v>
      </c>
      <c r="AO378" s="10">
        <v>37500027</v>
      </c>
      <c r="AP378" s="10">
        <v>15535167</v>
      </c>
      <c r="AQ378" s="31">
        <v>24151183</v>
      </c>
    </row>
    <row r="379" spans="1:43">
      <c r="A379" s="102">
        <v>660</v>
      </c>
      <c r="B379" s="7" t="s">
        <v>2072</v>
      </c>
      <c r="C379" s="103">
        <v>17.5</v>
      </c>
      <c r="D379" s="62">
        <v>13094670</v>
      </c>
      <c r="E379" s="37">
        <v>13143058</v>
      </c>
      <c r="F379" s="62">
        <v>3212073.2</v>
      </c>
      <c r="G379" s="62">
        <v>13492342</v>
      </c>
      <c r="H379" s="62">
        <v>13864524</v>
      </c>
      <c r="I379" s="62">
        <v>3298923.2</v>
      </c>
      <c r="J379" s="62">
        <v>13240289</v>
      </c>
      <c r="K379" s="62">
        <v>13643131</v>
      </c>
      <c r="L379" s="62">
        <v>3379473.2</v>
      </c>
      <c r="M379" s="62">
        <v>12973291</v>
      </c>
      <c r="N379" s="62">
        <v>12791886</v>
      </c>
      <c r="O379" s="62">
        <v>3090604.2</v>
      </c>
      <c r="P379" s="62">
        <v>363219</v>
      </c>
      <c r="Q379" s="62">
        <v>12824763.657799043</v>
      </c>
      <c r="R379" s="62">
        <v>12606630</v>
      </c>
      <c r="S379" s="62">
        <v>3384747</v>
      </c>
      <c r="T379" s="62">
        <v>0</v>
      </c>
      <c r="U379" s="62">
        <v>12466861.355999999</v>
      </c>
      <c r="V379" s="62">
        <v>12161887</v>
      </c>
      <c r="W379" s="62">
        <v>3187010</v>
      </c>
      <c r="X379" s="62">
        <v>17109</v>
      </c>
      <c r="Y379" s="62">
        <v>216203</v>
      </c>
      <c r="Z379" s="62">
        <v>11987364</v>
      </c>
      <c r="AA379" s="62">
        <v>11783104</v>
      </c>
      <c r="AB379" s="62">
        <v>3204119</v>
      </c>
      <c r="AC379" s="10">
        <v>12271544</v>
      </c>
      <c r="AD379" s="10">
        <v>11841626</v>
      </c>
      <c r="AE379" s="10">
        <v>3256279</v>
      </c>
      <c r="AF379" s="10">
        <v>12583436</v>
      </c>
      <c r="AG379" s="10">
        <v>12006085</v>
      </c>
      <c r="AH379" s="10">
        <v>3289004</v>
      </c>
      <c r="AI379" s="10">
        <v>12650853</v>
      </c>
      <c r="AJ379" s="10">
        <v>11365672</v>
      </c>
      <c r="AK379" s="31">
        <v>3321529</v>
      </c>
      <c r="AL379" s="10">
        <v>12867301</v>
      </c>
      <c r="AM379" s="10">
        <v>11188533</v>
      </c>
      <c r="AN379" s="31">
        <v>3353354</v>
      </c>
      <c r="AO379" s="10">
        <v>12935106</v>
      </c>
      <c r="AP379" s="10">
        <v>10790864</v>
      </c>
      <c r="AQ379" s="31">
        <v>3421279</v>
      </c>
    </row>
    <row r="380" spans="1:43">
      <c r="A380" s="102">
        <v>662</v>
      </c>
      <c r="B380" s="7" t="s">
        <v>1639</v>
      </c>
      <c r="C380" s="103">
        <v>17.5</v>
      </c>
      <c r="D380" s="62">
        <v>2207961</v>
      </c>
      <c r="E380" s="37">
        <v>2145103</v>
      </c>
      <c r="F380" s="62">
        <v>375505.6</v>
      </c>
      <c r="G380" s="62">
        <v>2244629</v>
      </c>
      <c r="H380" s="62">
        <v>2179857</v>
      </c>
      <c r="I380" s="62">
        <v>389405.6</v>
      </c>
      <c r="J380" s="62">
        <v>2032717</v>
      </c>
      <c r="K380" s="62">
        <v>2125018</v>
      </c>
      <c r="L380" s="62">
        <v>401955.6</v>
      </c>
      <c r="M380" s="62">
        <v>2101262</v>
      </c>
      <c r="N380" s="62">
        <v>2056801</v>
      </c>
      <c r="O380" s="62">
        <v>370690.6</v>
      </c>
      <c r="P380" s="62">
        <v>43565</v>
      </c>
      <c r="Q380" s="62">
        <v>2272476.6989473687</v>
      </c>
      <c r="R380" s="62">
        <v>2094866</v>
      </c>
      <c r="S380" s="62">
        <v>405970</v>
      </c>
      <c r="T380" s="62">
        <v>0</v>
      </c>
      <c r="U380" s="62">
        <v>2284470.102</v>
      </c>
      <c r="V380" s="62">
        <v>2094019</v>
      </c>
      <c r="W380" s="62">
        <v>382253</v>
      </c>
      <c r="X380" s="62">
        <v>2052</v>
      </c>
      <c r="Y380" s="62">
        <v>28215</v>
      </c>
      <c r="Z380" s="62">
        <v>2507654</v>
      </c>
      <c r="AA380" s="62">
        <v>2157223</v>
      </c>
      <c r="AB380" s="62">
        <v>384305</v>
      </c>
      <c r="AC380" s="10">
        <v>2477293</v>
      </c>
      <c r="AD380" s="10">
        <v>2210649</v>
      </c>
      <c r="AE380" s="10">
        <v>394745</v>
      </c>
      <c r="AF380" s="10">
        <v>2381535</v>
      </c>
      <c r="AG380" s="10">
        <v>2239793</v>
      </c>
      <c r="AH380" s="10">
        <v>400995</v>
      </c>
      <c r="AI380" s="10">
        <v>2333265</v>
      </c>
      <c r="AJ380" s="10">
        <v>2082363</v>
      </c>
      <c r="AK380" s="31">
        <v>407070</v>
      </c>
      <c r="AL380" s="10">
        <v>2496034</v>
      </c>
      <c r="AM380" s="10">
        <v>2114411</v>
      </c>
      <c r="AN380" s="31">
        <v>413420</v>
      </c>
      <c r="AO380" s="10">
        <v>2464478</v>
      </c>
      <c r="AP380" s="10">
        <v>2057324</v>
      </c>
      <c r="AQ380" s="31">
        <v>427060</v>
      </c>
    </row>
    <row r="381" spans="1:43">
      <c r="A381" s="102">
        <v>665</v>
      </c>
      <c r="B381" s="7" t="s">
        <v>2073</v>
      </c>
      <c r="C381" s="103">
        <v>34.72</v>
      </c>
      <c r="D381" s="62">
        <v>13524454</v>
      </c>
      <c r="E381" s="37">
        <v>7948805</v>
      </c>
      <c r="F381" s="62">
        <v>6460005.0000000009</v>
      </c>
      <c r="G381" s="62">
        <v>14519330</v>
      </c>
      <c r="H381" s="62">
        <v>8906388</v>
      </c>
      <c r="I381" s="62">
        <v>6832785.0000000009</v>
      </c>
      <c r="J381" s="62">
        <v>15553549</v>
      </c>
      <c r="K381" s="62">
        <v>9668371</v>
      </c>
      <c r="L381" s="62">
        <v>7200036.0000000009</v>
      </c>
      <c r="M381" s="62">
        <v>16583275</v>
      </c>
      <c r="N381" s="62">
        <v>10105484</v>
      </c>
      <c r="O381" s="62">
        <v>6769499.0000000009</v>
      </c>
      <c r="P381" s="62">
        <v>795575</v>
      </c>
      <c r="Q381" s="62">
        <v>17047222.562296651</v>
      </c>
      <c r="R381" s="62">
        <v>10617731</v>
      </c>
      <c r="S381" s="62">
        <v>7413773</v>
      </c>
      <c r="T381" s="62">
        <v>0</v>
      </c>
      <c r="U381" s="62">
        <v>25704555.482000001</v>
      </c>
      <c r="V381" s="62">
        <v>16324122.86063578</v>
      </c>
      <c r="W381" s="62">
        <v>10304430</v>
      </c>
      <c r="X381" s="62">
        <v>55318</v>
      </c>
      <c r="Y381" s="62">
        <v>621851</v>
      </c>
      <c r="Z381" s="62">
        <v>25567244</v>
      </c>
      <c r="AA381" s="62">
        <v>16827381</v>
      </c>
      <c r="AB381" s="62">
        <v>10359748</v>
      </c>
      <c r="AC381" s="10">
        <v>26403268</v>
      </c>
      <c r="AD381" s="10">
        <v>17241340</v>
      </c>
      <c r="AE381" s="10">
        <v>10478788</v>
      </c>
      <c r="AF381" s="10">
        <v>26716909</v>
      </c>
      <c r="AG381" s="10">
        <v>17493884</v>
      </c>
      <c r="AH381" s="10">
        <v>10552138</v>
      </c>
      <c r="AI381" s="10">
        <v>26295108</v>
      </c>
      <c r="AJ381" s="10">
        <v>17518350</v>
      </c>
      <c r="AK381" s="31">
        <v>10623488</v>
      </c>
      <c r="AL381" s="10">
        <v>25836232</v>
      </c>
      <c r="AM381" s="10">
        <v>17647952</v>
      </c>
      <c r="AN381" s="31">
        <v>10692488</v>
      </c>
      <c r="AO381" s="10">
        <v>27153763</v>
      </c>
      <c r="AP381" s="10">
        <v>17863322</v>
      </c>
      <c r="AQ381" s="31">
        <v>10849513</v>
      </c>
    </row>
    <row r="382" spans="1:43">
      <c r="A382" s="102">
        <v>670</v>
      </c>
      <c r="B382" s="7" t="s">
        <v>2074</v>
      </c>
      <c r="C382" s="103">
        <v>18.579999999999998</v>
      </c>
      <c r="D382" s="62">
        <v>5418605</v>
      </c>
      <c r="E382" s="37">
        <v>3086349</v>
      </c>
      <c r="F382" s="62">
        <v>2650507</v>
      </c>
      <c r="G382" s="62">
        <v>5733999</v>
      </c>
      <c r="H382" s="62">
        <v>3534975</v>
      </c>
      <c r="I382" s="62">
        <v>2746608</v>
      </c>
      <c r="J382" s="62">
        <v>5983480</v>
      </c>
      <c r="K382" s="62">
        <v>3789925</v>
      </c>
      <c r="L382" s="62">
        <v>2814392</v>
      </c>
      <c r="M382" s="62">
        <v>6338406</v>
      </c>
      <c r="N382" s="62">
        <v>3919060</v>
      </c>
      <c r="O382" s="62">
        <v>2608966</v>
      </c>
      <c r="P382" s="62">
        <v>306615</v>
      </c>
      <c r="Q382" s="62">
        <v>6166668.8979904307</v>
      </c>
      <c r="R382" s="62">
        <v>4548404</v>
      </c>
      <c r="S382" s="62">
        <v>2857269</v>
      </c>
      <c r="T382" s="62">
        <v>0</v>
      </c>
      <c r="U382" s="62">
        <v>5993205.5159999998</v>
      </c>
      <c r="V382" s="62">
        <v>4594579</v>
      </c>
      <c r="W382" s="62">
        <v>2690347</v>
      </c>
      <c r="X382" s="62">
        <v>14443</v>
      </c>
      <c r="Y382" s="62">
        <v>168829</v>
      </c>
      <c r="Z382" s="62">
        <v>5922687</v>
      </c>
      <c r="AA382" s="62">
        <v>4614585</v>
      </c>
      <c r="AB382" s="62">
        <v>2704790</v>
      </c>
      <c r="AC382" s="10">
        <v>5890106</v>
      </c>
      <c r="AD382" s="10">
        <v>4643352</v>
      </c>
      <c r="AE382" s="10">
        <v>2729670</v>
      </c>
      <c r="AF382" s="10">
        <v>5648702</v>
      </c>
      <c r="AG382" s="10">
        <v>4748410</v>
      </c>
      <c r="AH382" s="10">
        <v>2744045</v>
      </c>
      <c r="AI382" s="10">
        <v>5716411</v>
      </c>
      <c r="AJ382" s="10">
        <v>4750289</v>
      </c>
      <c r="AK382" s="31">
        <v>2758445</v>
      </c>
      <c r="AL382" s="10">
        <v>5662972</v>
      </c>
      <c r="AM382" s="10">
        <v>4785017</v>
      </c>
      <c r="AN382" s="31">
        <v>2772595</v>
      </c>
      <c r="AO382" s="10">
        <v>5886720</v>
      </c>
      <c r="AP382" s="10">
        <v>4852262</v>
      </c>
      <c r="AQ382" s="31">
        <v>2804715</v>
      </c>
    </row>
    <row r="383" spans="1:43">
      <c r="A383" s="102">
        <v>672</v>
      </c>
      <c r="B383" s="7" t="s">
        <v>2075</v>
      </c>
      <c r="C383" s="103">
        <v>41.22</v>
      </c>
      <c r="D383" s="62">
        <v>10512746</v>
      </c>
      <c r="E383" s="37">
        <v>5273227</v>
      </c>
      <c r="F383" s="62">
        <v>5377752</v>
      </c>
      <c r="G383" s="62">
        <v>11307523</v>
      </c>
      <c r="H383" s="62">
        <v>5576855</v>
      </c>
      <c r="I383" s="62">
        <v>5817025</v>
      </c>
      <c r="J383" s="62">
        <v>11430685</v>
      </c>
      <c r="K383" s="62">
        <v>5636748</v>
      </c>
      <c r="L383" s="62">
        <v>5921631</v>
      </c>
      <c r="M383" s="62">
        <v>11453179</v>
      </c>
      <c r="N383" s="62">
        <v>5658310</v>
      </c>
      <c r="O383" s="62">
        <v>5356783</v>
      </c>
      <c r="P383" s="62">
        <v>629548</v>
      </c>
      <c r="Q383" s="62">
        <v>11448115.732822968</v>
      </c>
      <c r="R383" s="62">
        <v>5871665</v>
      </c>
      <c r="S383" s="62">
        <v>5866604</v>
      </c>
      <c r="T383" s="62">
        <v>0</v>
      </c>
      <c r="U383" s="62">
        <v>11136859.595999999</v>
      </c>
      <c r="V383" s="62">
        <v>5975739</v>
      </c>
      <c r="W383" s="62">
        <v>5523878</v>
      </c>
      <c r="X383" s="62">
        <v>29655</v>
      </c>
      <c r="Y383" s="62">
        <v>343896</v>
      </c>
      <c r="Z383" s="62">
        <v>10684938</v>
      </c>
      <c r="AA383" s="62">
        <v>5977311</v>
      </c>
      <c r="AB383" s="62">
        <v>5553533</v>
      </c>
      <c r="AC383" s="10">
        <v>10913250</v>
      </c>
      <c r="AD383" s="10">
        <v>6024049</v>
      </c>
      <c r="AE383" s="10">
        <v>5598773</v>
      </c>
      <c r="AF383" s="10">
        <v>10501988</v>
      </c>
      <c r="AG383" s="10">
        <v>6111205</v>
      </c>
      <c r="AH383" s="10">
        <v>5625873</v>
      </c>
      <c r="AI383" s="10">
        <v>10475106</v>
      </c>
      <c r="AJ383" s="10">
        <v>6121175</v>
      </c>
      <c r="AK383" s="148">
        <f>5652523-144899</f>
        <v>5507624</v>
      </c>
      <c r="AL383" s="10">
        <v>9565466</v>
      </c>
      <c r="AM383" s="10">
        <v>5566378</v>
      </c>
      <c r="AN383" s="31">
        <v>5531374</v>
      </c>
      <c r="AO383" s="10">
        <v>9151021</v>
      </c>
      <c r="AP383" s="10">
        <v>5435268</v>
      </c>
      <c r="AQ383" s="31">
        <v>5580489</v>
      </c>
    </row>
    <row r="384" spans="1:43">
      <c r="A384" s="102">
        <v>673</v>
      </c>
      <c r="B384" s="7" t="s">
        <v>2076</v>
      </c>
      <c r="C384" s="103">
        <v>17.5</v>
      </c>
      <c r="D384" s="62">
        <v>19963557</v>
      </c>
      <c r="E384" s="37">
        <v>10573496</v>
      </c>
      <c r="F384" s="62">
        <v>9690045</v>
      </c>
      <c r="G384" s="62">
        <v>22069166</v>
      </c>
      <c r="H384" s="62">
        <v>11478206</v>
      </c>
      <c r="I384" s="62">
        <v>10590960</v>
      </c>
      <c r="J384" s="62">
        <v>22567813</v>
      </c>
      <c r="K384" s="62">
        <v>12305992</v>
      </c>
      <c r="L384" s="62">
        <v>10757109</v>
      </c>
      <c r="M384" s="62">
        <v>23533501</v>
      </c>
      <c r="N384" s="62">
        <v>13095797</v>
      </c>
      <c r="O384" s="62">
        <v>9914811</v>
      </c>
      <c r="P384" s="62">
        <v>1165224</v>
      </c>
      <c r="Q384" s="62">
        <v>23587738.32880383</v>
      </c>
      <c r="R384" s="62">
        <v>16063245</v>
      </c>
      <c r="S384" s="62">
        <v>10858434</v>
      </c>
      <c r="T384" s="62">
        <v>0</v>
      </c>
      <c r="U384" s="62">
        <v>22939192.446000002</v>
      </c>
      <c r="V384" s="62">
        <v>16429914</v>
      </c>
      <c r="W384" s="62">
        <v>10224085</v>
      </c>
      <c r="X384" s="62">
        <v>54888</v>
      </c>
      <c r="Y384" s="62">
        <v>648086</v>
      </c>
      <c r="Z384" s="62">
        <v>23308786</v>
      </c>
      <c r="AA384" s="62">
        <v>17069512</v>
      </c>
      <c r="AB384" s="62">
        <v>10278973</v>
      </c>
      <c r="AC384" s="10">
        <v>23452027</v>
      </c>
      <c r="AD384" s="10">
        <v>17673118</v>
      </c>
      <c r="AE384" s="10">
        <v>10384573</v>
      </c>
      <c r="AF384" s="10">
        <v>23574679</v>
      </c>
      <c r="AG384" s="10">
        <v>18322278</v>
      </c>
      <c r="AH384" s="10">
        <v>10449473</v>
      </c>
      <c r="AI384" s="10">
        <v>23421974</v>
      </c>
      <c r="AJ384" s="10">
        <v>18828192</v>
      </c>
      <c r="AK384" s="31">
        <v>10513273</v>
      </c>
      <c r="AL384" s="10">
        <v>23366261</v>
      </c>
      <c r="AM384" s="10">
        <v>19288600</v>
      </c>
      <c r="AN384" s="31">
        <v>10575673</v>
      </c>
      <c r="AO384" s="10">
        <v>21908747</v>
      </c>
      <c r="AP384" s="10">
        <v>18375113</v>
      </c>
      <c r="AQ384" s="31">
        <v>10706573</v>
      </c>
    </row>
    <row r="385" spans="1:43">
      <c r="A385" s="102">
        <v>674</v>
      </c>
      <c r="B385" s="7" t="s">
        <v>2077</v>
      </c>
      <c r="C385" s="103">
        <v>47.2</v>
      </c>
      <c r="D385" s="62">
        <v>9776132</v>
      </c>
      <c r="E385" s="37">
        <v>4890426</v>
      </c>
      <c r="F385" s="62">
        <v>5898325.9999999991</v>
      </c>
      <c r="G385" s="62">
        <v>10362291</v>
      </c>
      <c r="H385" s="62">
        <v>5144962</v>
      </c>
      <c r="I385" s="62">
        <v>6225636.9999999991</v>
      </c>
      <c r="J385" s="62">
        <v>10629600</v>
      </c>
      <c r="K385" s="62">
        <v>5170843</v>
      </c>
      <c r="L385" s="62">
        <v>6375222.9999999991</v>
      </c>
      <c r="M385" s="62">
        <v>10694903</v>
      </c>
      <c r="N385" s="62">
        <v>5178227</v>
      </c>
      <c r="O385" s="62">
        <v>5756498.9999999991</v>
      </c>
      <c r="P385" s="62">
        <v>676524</v>
      </c>
      <c r="Q385" s="62">
        <v>10705697.249377992</v>
      </c>
      <c r="R385" s="62">
        <v>5206242</v>
      </c>
      <c r="S385" s="62">
        <v>6304363</v>
      </c>
      <c r="T385" s="62">
        <v>0</v>
      </c>
      <c r="U385" s="62">
        <v>10709037.408</v>
      </c>
      <c r="V385" s="62">
        <v>5230945</v>
      </c>
      <c r="W385" s="62">
        <v>5936062</v>
      </c>
      <c r="X385" s="62">
        <v>31867</v>
      </c>
      <c r="Y385" s="62">
        <v>364384</v>
      </c>
      <c r="Z385" s="62">
        <v>10890170</v>
      </c>
      <c r="AA385" s="62">
        <v>5322669</v>
      </c>
      <c r="AB385" s="62">
        <v>5967929</v>
      </c>
      <c r="AC385" s="10">
        <v>10709407</v>
      </c>
      <c r="AD385" s="10">
        <v>5432442</v>
      </c>
      <c r="AE385" s="10">
        <v>6010369</v>
      </c>
      <c r="AF385" s="10">
        <v>11221184</v>
      </c>
      <c r="AG385" s="10">
        <v>5642595</v>
      </c>
      <c r="AH385" s="10">
        <v>6037994</v>
      </c>
      <c r="AI385" s="10">
        <v>11383341</v>
      </c>
      <c r="AJ385" s="10">
        <v>5825645</v>
      </c>
      <c r="AK385" s="31">
        <v>6065444</v>
      </c>
      <c r="AL385" s="10">
        <v>11391876</v>
      </c>
      <c r="AM385" s="10">
        <v>6028359</v>
      </c>
      <c r="AN385" s="31">
        <v>6092669</v>
      </c>
      <c r="AO385" s="10">
        <v>11388880</v>
      </c>
      <c r="AP385" s="10">
        <v>6051487</v>
      </c>
      <c r="AQ385" s="31">
        <v>6152674</v>
      </c>
    </row>
    <row r="386" spans="1:43">
      <c r="A386" s="102">
        <v>675</v>
      </c>
      <c r="B386" s="7" t="s">
        <v>2078</v>
      </c>
      <c r="C386" s="103">
        <v>17.5</v>
      </c>
      <c r="D386" s="62">
        <v>14468765</v>
      </c>
      <c r="E386" s="37">
        <v>11376222</v>
      </c>
      <c r="F386" s="62">
        <v>3164291</v>
      </c>
      <c r="G386" s="62">
        <v>15069063</v>
      </c>
      <c r="H386" s="62">
        <v>11961487</v>
      </c>
      <c r="I386" s="62">
        <v>3269343</v>
      </c>
      <c r="J386" s="62">
        <v>15863562</v>
      </c>
      <c r="K386" s="62">
        <v>12603727</v>
      </c>
      <c r="L386" s="62">
        <v>3408380</v>
      </c>
      <c r="M386" s="62">
        <v>16231350</v>
      </c>
      <c r="N386" s="62">
        <v>12979612</v>
      </c>
      <c r="O386" s="62">
        <v>3137455</v>
      </c>
      <c r="P386" s="62">
        <v>368725</v>
      </c>
      <c r="Q386" s="62">
        <v>16539445.386411486</v>
      </c>
      <c r="R386" s="62">
        <v>13759009</v>
      </c>
      <c r="S386" s="62">
        <v>3436056</v>
      </c>
      <c r="T386" s="62">
        <v>0</v>
      </c>
      <c r="U386" s="62">
        <v>16099995.413999999</v>
      </c>
      <c r="V386" s="62">
        <v>13883368</v>
      </c>
      <c r="W386" s="62">
        <v>3235322</v>
      </c>
      <c r="X386" s="62">
        <v>17369</v>
      </c>
      <c r="Y386" s="62">
        <v>231115</v>
      </c>
      <c r="Z386" s="62">
        <v>15671050</v>
      </c>
      <c r="AA386" s="62">
        <v>13956082</v>
      </c>
      <c r="AB386" s="62">
        <v>3252691</v>
      </c>
      <c r="AC386" s="10">
        <v>16304849</v>
      </c>
      <c r="AD386" s="10">
        <v>14293365</v>
      </c>
      <c r="AE386" s="10">
        <v>3325691</v>
      </c>
      <c r="AF386" s="10">
        <v>16257548</v>
      </c>
      <c r="AG386" s="10">
        <v>14512213</v>
      </c>
      <c r="AH386" s="10">
        <v>3370416</v>
      </c>
      <c r="AI386" s="10">
        <v>15726746</v>
      </c>
      <c r="AJ386" s="10">
        <v>13965278</v>
      </c>
      <c r="AK386" s="31">
        <v>3413341</v>
      </c>
      <c r="AL386" s="10">
        <v>16707535</v>
      </c>
      <c r="AM386" s="10">
        <v>14120458</v>
      </c>
      <c r="AN386" s="31">
        <v>3457966</v>
      </c>
      <c r="AO386" s="10">
        <v>16651753</v>
      </c>
      <c r="AP386" s="10">
        <v>13827676</v>
      </c>
      <c r="AQ386" s="31">
        <v>3554656</v>
      </c>
    </row>
    <row r="387" spans="1:43">
      <c r="A387" s="102">
        <v>680</v>
      </c>
      <c r="B387" s="7" t="s">
        <v>2079</v>
      </c>
      <c r="C387" s="103">
        <v>31.06</v>
      </c>
      <c r="D387" s="62">
        <v>27186575</v>
      </c>
      <c r="E387" s="37">
        <v>17817946</v>
      </c>
      <c r="F387" s="62">
        <v>9591950</v>
      </c>
      <c r="G387" s="62">
        <v>28628962</v>
      </c>
      <c r="H387" s="62">
        <v>18371310</v>
      </c>
      <c r="I387" s="62">
        <v>10257652</v>
      </c>
      <c r="J387" s="62">
        <v>29666356</v>
      </c>
      <c r="K387" s="62">
        <v>18507813</v>
      </c>
      <c r="L387" s="62">
        <v>11187984</v>
      </c>
      <c r="M387" s="62">
        <v>30302280</v>
      </c>
      <c r="N387" s="62">
        <v>18629304</v>
      </c>
      <c r="O387" s="62">
        <v>10514180</v>
      </c>
      <c r="P387" s="62">
        <v>1235664</v>
      </c>
      <c r="Q387" s="62">
        <v>30835123.285741627</v>
      </c>
      <c r="R387" s="62">
        <v>19103251</v>
      </c>
      <c r="S387" s="62">
        <v>11514847</v>
      </c>
      <c r="T387" s="62">
        <v>217025</v>
      </c>
      <c r="U387" s="62">
        <v>29974196.813999999</v>
      </c>
      <c r="V387" s="62">
        <v>18956605</v>
      </c>
      <c r="W387" s="62">
        <v>11046497</v>
      </c>
      <c r="X387" s="62">
        <v>59302</v>
      </c>
      <c r="Y387" s="62">
        <v>714898</v>
      </c>
      <c r="Z387" s="62">
        <v>30318463</v>
      </c>
      <c r="AA387" s="62">
        <v>19431538</v>
      </c>
      <c r="AB387" s="62">
        <v>11105799</v>
      </c>
      <c r="AC387" s="10">
        <v>30471568</v>
      </c>
      <c r="AD387" s="10">
        <v>19904990</v>
      </c>
      <c r="AE387" s="10">
        <v>11241439</v>
      </c>
      <c r="AF387" s="10">
        <v>30267610</v>
      </c>
      <c r="AG387" s="10">
        <v>20416003</v>
      </c>
      <c r="AH387" s="10">
        <v>11323964</v>
      </c>
      <c r="AI387" s="10">
        <v>30372595</v>
      </c>
      <c r="AJ387" s="10">
        <v>20400941</v>
      </c>
      <c r="AK387" s="31">
        <v>11405264</v>
      </c>
      <c r="AL387" s="10">
        <v>29954423</v>
      </c>
      <c r="AM387" s="10">
        <v>20917022</v>
      </c>
      <c r="AN387" s="31">
        <v>11483814</v>
      </c>
      <c r="AO387" s="10">
        <v>29402188</v>
      </c>
      <c r="AP387" s="10">
        <v>20490243</v>
      </c>
      <c r="AQ387" s="31">
        <v>11651894</v>
      </c>
    </row>
    <row r="388" spans="1:43">
      <c r="A388" s="102">
        <v>683</v>
      </c>
      <c r="B388" s="7" t="s">
        <v>2080</v>
      </c>
      <c r="C388" s="103">
        <v>33.090000000000003</v>
      </c>
      <c r="D388" s="62">
        <v>6298064</v>
      </c>
      <c r="E388" s="37">
        <v>3937642</v>
      </c>
      <c r="F388" s="62">
        <v>2426572</v>
      </c>
      <c r="G388" s="62">
        <v>6805484</v>
      </c>
      <c r="H388" s="62">
        <v>4138583</v>
      </c>
      <c r="I388" s="62">
        <v>2676375</v>
      </c>
      <c r="J388" s="62">
        <v>6739463</v>
      </c>
      <c r="K388" s="62">
        <v>4154095</v>
      </c>
      <c r="L388" s="62">
        <v>2812809</v>
      </c>
      <c r="M388" s="62">
        <v>7281652</v>
      </c>
      <c r="N388" s="62">
        <v>4261680</v>
      </c>
      <c r="O388" s="62">
        <v>2743722</v>
      </c>
      <c r="P388" s="62">
        <v>322452</v>
      </c>
      <c r="Q388" s="62">
        <v>7552394.2032535886</v>
      </c>
      <c r="R388" s="62">
        <v>4295649</v>
      </c>
      <c r="S388" s="62">
        <v>3004851</v>
      </c>
      <c r="T388" s="62">
        <v>251894</v>
      </c>
      <c r="U388" s="62">
        <v>7104748.4820000008</v>
      </c>
      <c r="V388" s="62">
        <v>4238418</v>
      </c>
      <c r="W388" s="62">
        <v>3066486</v>
      </c>
      <c r="X388" s="62">
        <v>16462</v>
      </c>
      <c r="Y388" s="62">
        <v>194072</v>
      </c>
      <c r="Z388" s="62">
        <v>7166323</v>
      </c>
      <c r="AA388" s="62">
        <v>4430064</v>
      </c>
      <c r="AB388" s="62">
        <v>3082948</v>
      </c>
      <c r="AC388" s="10">
        <v>7159285</v>
      </c>
      <c r="AD388" s="10">
        <v>4518959</v>
      </c>
      <c r="AE388" s="10">
        <v>3114108</v>
      </c>
      <c r="AF388" s="10">
        <v>7221048</v>
      </c>
      <c r="AG388" s="10">
        <v>4622819</v>
      </c>
      <c r="AH388" s="10">
        <v>3133233</v>
      </c>
      <c r="AI388" s="10">
        <v>7159547</v>
      </c>
      <c r="AJ388" s="10">
        <v>4689344</v>
      </c>
      <c r="AK388" s="31">
        <v>3151983</v>
      </c>
      <c r="AL388" s="10">
        <v>7223607</v>
      </c>
      <c r="AM388" s="10">
        <v>4822063</v>
      </c>
      <c r="AN388" s="31">
        <v>3170333</v>
      </c>
      <c r="AO388" s="10">
        <v>7226816</v>
      </c>
      <c r="AP388" s="10">
        <v>4870971</v>
      </c>
      <c r="AQ388" s="31">
        <v>3210153</v>
      </c>
    </row>
    <row r="389" spans="1:43">
      <c r="A389" s="102">
        <v>685</v>
      </c>
      <c r="B389" s="7" t="s">
        <v>2081</v>
      </c>
      <c r="C389" s="103">
        <v>44.78</v>
      </c>
      <c r="D389" s="62">
        <v>1068768</v>
      </c>
      <c r="E389" s="37">
        <v>490624</v>
      </c>
      <c r="F389" s="62">
        <v>613734.80000000005</v>
      </c>
      <c r="G389" s="62">
        <v>1007233</v>
      </c>
      <c r="H389" s="62">
        <v>489631</v>
      </c>
      <c r="I389" s="62">
        <v>620084.80000000005</v>
      </c>
      <c r="J389" s="62">
        <v>935837</v>
      </c>
      <c r="K389" s="62">
        <v>424000</v>
      </c>
      <c r="L389" s="62">
        <v>625634.80000000005</v>
      </c>
      <c r="M389" s="62">
        <v>977501</v>
      </c>
      <c r="N389" s="62">
        <v>437137</v>
      </c>
      <c r="O389" s="62">
        <v>582347.80000000005</v>
      </c>
      <c r="P389" s="62">
        <v>68440</v>
      </c>
      <c r="Q389" s="62">
        <v>1015177.688803828</v>
      </c>
      <c r="R389" s="62">
        <v>455789</v>
      </c>
      <c r="S389" s="62">
        <v>637772</v>
      </c>
      <c r="T389" s="62">
        <v>0</v>
      </c>
      <c r="U389" s="62">
        <v>943708.38599999994</v>
      </c>
      <c r="V389" s="62">
        <v>475782</v>
      </c>
      <c r="W389" s="62">
        <v>600513</v>
      </c>
      <c r="X389" s="62">
        <v>3224</v>
      </c>
      <c r="Y389" s="62">
        <v>36635</v>
      </c>
      <c r="Z389" s="62">
        <v>852740</v>
      </c>
      <c r="AA389" s="62">
        <v>451986</v>
      </c>
      <c r="AB389" s="62">
        <v>603737</v>
      </c>
      <c r="AC389" s="10">
        <v>880128</v>
      </c>
      <c r="AD389" s="10">
        <v>468192</v>
      </c>
      <c r="AE389" s="10">
        <v>607377</v>
      </c>
      <c r="AF389" s="10">
        <v>950613</v>
      </c>
      <c r="AG389" s="10">
        <v>539883</v>
      </c>
      <c r="AH389" s="10">
        <v>609827</v>
      </c>
      <c r="AI389" s="10">
        <v>933646</v>
      </c>
      <c r="AJ389" s="10">
        <v>531341</v>
      </c>
      <c r="AK389" s="31">
        <v>612202</v>
      </c>
      <c r="AL389" s="10">
        <v>950854</v>
      </c>
      <c r="AM389" s="10">
        <v>532283</v>
      </c>
      <c r="AN389" s="31">
        <v>614527</v>
      </c>
      <c r="AO389" s="10">
        <v>966196</v>
      </c>
      <c r="AP389" s="10">
        <v>536672</v>
      </c>
      <c r="AQ389" s="31">
        <v>619422</v>
      </c>
    </row>
    <row r="390" spans="1:43">
      <c r="A390" s="102">
        <v>690</v>
      </c>
      <c r="B390" s="7" t="s">
        <v>2082</v>
      </c>
      <c r="C390" s="103">
        <v>22.42</v>
      </c>
      <c r="D390" s="62">
        <v>14979166</v>
      </c>
      <c r="E390" s="37">
        <v>8734642</v>
      </c>
      <c r="F390" s="62">
        <v>6244524</v>
      </c>
      <c r="G390" s="62">
        <v>16295851</v>
      </c>
      <c r="H390" s="62">
        <v>9507703</v>
      </c>
      <c r="I390" s="62">
        <v>6788148</v>
      </c>
      <c r="J390" s="62">
        <v>17396805</v>
      </c>
      <c r="K390" s="62">
        <v>10500808</v>
      </c>
      <c r="L390" s="62">
        <v>7139022</v>
      </c>
      <c r="M390" s="62">
        <v>18770909</v>
      </c>
      <c r="N390" s="62">
        <v>11301852</v>
      </c>
      <c r="O390" s="62">
        <v>6776559</v>
      </c>
      <c r="P390" s="62">
        <v>796405</v>
      </c>
      <c r="Q390" s="62">
        <v>19266152.972248808</v>
      </c>
      <c r="R390" s="62">
        <v>12421086</v>
      </c>
      <c r="S390" s="62">
        <v>7421505</v>
      </c>
      <c r="T390" s="62">
        <v>0</v>
      </c>
      <c r="U390" s="62">
        <v>18766472.316</v>
      </c>
      <c r="V390" s="62">
        <v>12655997</v>
      </c>
      <c r="W390" s="62">
        <v>6987941</v>
      </c>
      <c r="X390" s="62">
        <v>37514</v>
      </c>
      <c r="Y390" s="62">
        <v>450050</v>
      </c>
      <c r="Z390" s="62">
        <v>19491490</v>
      </c>
      <c r="AA390" s="62">
        <v>13489687</v>
      </c>
      <c r="AB390" s="62">
        <v>7025455</v>
      </c>
      <c r="AC390" s="10">
        <v>20106153</v>
      </c>
      <c r="AD390" s="10">
        <v>14008919</v>
      </c>
      <c r="AE390" s="10">
        <v>7113575</v>
      </c>
      <c r="AF390" s="10">
        <v>20756038</v>
      </c>
      <c r="AG390" s="10">
        <v>15085093</v>
      </c>
      <c r="AH390" s="10">
        <v>7169225</v>
      </c>
      <c r="AI390" s="10">
        <v>20668060</v>
      </c>
      <c r="AJ390" s="10">
        <v>15441355</v>
      </c>
      <c r="AK390" s="31">
        <v>7224100</v>
      </c>
      <c r="AL390" s="10">
        <v>20796265</v>
      </c>
      <c r="AM390" s="10">
        <v>16339640</v>
      </c>
      <c r="AN390" s="31">
        <v>7278450</v>
      </c>
      <c r="AO390" s="10">
        <v>21464344</v>
      </c>
      <c r="AP390" s="10">
        <v>16747910</v>
      </c>
      <c r="AQ390" s="31">
        <v>7399780</v>
      </c>
    </row>
    <row r="391" spans="1:43">
      <c r="A391" s="102">
        <v>695</v>
      </c>
      <c r="B391" s="7" t="s">
        <v>2083</v>
      </c>
      <c r="C391" s="103">
        <v>17.5</v>
      </c>
      <c r="D391" s="62">
        <v>11315184</v>
      </c>
      <c r="E391" s="37">
        <v>11075410</v>
      </c>
      <c r="F391" s="62">
        <v>1787678.4</v>
      </c>
      <c r="G391" s="62">
        <v>13657169</v>
      </c>
      <c r="H391" s="62">
        <v>11726968</v>
      </c>
      <c r="I391" s="62">
        <v>2197526</v>
      </c>
      <c r="J391" s="62">
        <v>14669142</v>
      </c>
      <c r="K391" s="62">
        <v>12512472</v>
      </c>
      <c r="L391" s="62">
        <v>2374621</v>
      </c>
      <c r="M391" s="62">
        <v>15512737</v>
      </c>
      <c r="N391" s="62">
        <v>13029848</v>
      </c>
      <c r="O391" s="62">
        <v>2256999</v>
      </c>
      <c r="P391" s="62">
        <v>265251</v>
      </c>
      <c r="Q391" s="62">
        <v>16180111.874449763</v>
      </c>
      <c r="R391" s="62">
        <v>13524542</v>
      </c>
      <c r="S391" s="62">
        <v>2471805</v>
      </c>
      <c r="T391" s="62">
        <v>183765</v>
      </c>
      <c r="U391" s="62">
        <v>15640388.226</v>
      </c>
      <c r="V391" s="62">
        <v>13606478</v>
      </c>
      <c r="W391" s="62">
        <v>2500432</v>
      </c>
      <c r="X391" s="62">
        <v>13423</v>
      </c>
      <c r="Y391" s="62">
        <v>182915</v>
      </c>
      <c r="Z391" s="62">
        <v>15881721</v>
      </c>
      <c r="AA391" s="62">
        <v>14058638</v>
      </c>
      <c r="AB391" s="62">
        <v>2513855</v>
      </c>
      <c r="AC391" s="10">
        <v>16550937</v>
      </c>
      <c r="AD391" s="10">
        <v>14522938</v>
      </c>
      <c r="AE391" s="10">
        <v>2609494.7437499999</v>
      </c>
      <c r="AF391" s="10">
        <v>16660368</v>
      </c>
      <c r="AG391" s="10">
        <v>14759478</v>
      </c>
      <c r="AH391" s="10">
        <v>2686012.1578124999</v>
      </c>
      <c r="AI391" s="10">
        <v>17538177</v>
      </c>
      <c r="AJ391" s="10">
        <v>15255513</v>
      </c>
      <c r="AK391" s="31">
        <v>2820121.1578124999</v>
      </c>
      <c r="AL391" s="10">
        <v>17586404</v>
      </c>
      <c r="AM391" s="10">
        <v>15195939</v>
      </c>
      <c r="AN391" s="31">
        <v>2862021.1578124999</v>
      </c>
      <c r="AO391" s="10">
        <v>17527242</v>
      </c>
      <c r="AP391" s="10">
        <v>14585219</v>
      </c>
      <c r="AQ391" s="31">
        <v>2953706.1578124999</v>
      </c>
    </row>
    <row r="392" spans="1:43">
      <c r="A392" s="102">
        <v>698</v>
      </c>
      <c r="B392" s="7" t="s">
        <v>1651</v>
      </c>
      <c r="C392" s="103">
        <v>17.5</v>
      </c>
      <c r="D392" s="62">
        <v>8366673</v>
      </c>
      <c r="E392" s="37">
        <v>9103515</v>
      </c>
      <c r="F392" s="62">
        <v>1375984</v>
      </c>
      <c r="G392" s="62">
        <v>9141258</v>
      </c>
      <c r="H392" s="62">
        <v>9202986</v>
      </c>
      <c r="I392" s="62">
        <v>1511536</v>
      </c>
      <c r="J392" s="62">
        <v>9630975</v>
      </c>
      <c r="K392" s="62">
        <v>9237772</v>
      </c>
      <c r="L392" s="62">
        <v>1597236</v>
      </c>
      <c r="M392" s="62">
        <v>10323403</v>
      </c>
      <c r="N392" s="62">
        <v>9323664</v>
      </c>
      <c r="O392" s="62">
        <v>1537696</v>
      </c>
      <c r="P392" s="62">
        <v>180715</v>
      </c>
      <c r="Q392" s="62">
        <v>10893473.5984689</v>
      </c>
      <c r="R392" s="62">
        <v>9499354</v>
      </c>
      <c r="S392" s="62">
        <v>1684043</v>
      </c>
      <c r="T392" s="62">
        <v>0</v>
      </c>
      <c r="U392" s="62">
        <v>11219611.109999999</v>
      </c>
      <c r="V392" s="62">
        <v>9669672</v>
      </c>
      <c r="W392" s="62">
        <v>1585661</v>
      </c>
      <c r="X392" s="62">
        <v>8513</v>
      </c>
      <c r="Y392" s="62">
        <v>123169</v>
      </c>
      <c r="Z392" s="62">
        <v>12153403</v>
      </c>
      <c r="AA392" s="62">
        <v>10046472</v>
      </c>
      <c r="AB392" s="62">
        <v>2106931</v>
      </c>
      <c r="AC392" s="10">
        <v>13132240</v>
      </c>
      <c r="AD392" s="10">
        <v>10490205</v>
      </c>
      <c r="AE392" s="10">
        <v>2642035</v>
      </c>
      <c r="AF392" s="10">
        <v>13658346</v>
      </c>
      <c r="AG392" s="10">
        <v>10881653</v>
      </c>
      <c r="AH392" s="10">
        <v>2776693</v>
      </c>
      <c r="AI392" s="10">
        <v>13572189</v>
      </c>
      <c r="AJ392" s="10">
        <v>11221647</v>
      </c>
      <c r="AK392" s="31">
        <v>2813718</v>
      </c>
      <c r="AL392" s="10">
        <v>13636380</v>
      </c>
      <c r="AM392" s="10">
        <v>11449215</v>
      </c>
      <c r="AN392" s="31">
        <v>2850168</v>
      </c>
      <c r="AO392" s="10">
        <v>13222782</v>
      </c>
      <c r="AP392" s="10">
        <v>11043112</v>
      </c>
      <c r="AQ392" s="31">
        <v>2926838</v>
      </c>
    </row>
    <row r="393" spans="1:43">
      <c r="A393" s="102">
        <v>700</v>
      </c>
      <c r="B393" s="7" t="s">
        <v>2084</v>
      </c>
      <c r="C393" s="103">
        <v>17.5</v>
      </c>
      <c r="D393" s="62">
        <v>7093516</v>
      </c>
      <c r="E393" s="37">
        <v>6601054</v>
      </c>
      <c r="F393" s="62">
        <v>2673935</v>
      </c>
      <c r="G393" s="62">
        <v>7932850</v>
      </c>
      <c r="H393" s="62">
        <v>7970360</v>
      </c>
      <c r="I393" s="62">
        <v>2820735</v>
      </c>
      <c r="J393" s="62">
        <v>8068434</v>
      </c>
      <c r="K393" s="62">
        <v>8233407</v>
      </c>
      <c r="L393" s="62">
        <v>2861785</v>
      </c>
      <c r="M393" s="62">
        <v>7978454</v>
      </c>
      <c r="N393" s="62">
        <v>7784419</v>
      </c>
      <c r="O393" s="62">
        <v>2596397</v>
      </c>
      <c r="P393" s="62">
        <v>305138</v>
      </c>
      <c r="Q393" s="62">
        <v>8027782.3081339709</v>
      </c>
      <c r="R393" s="62">
        <v>7579454</v>
      </c>
      <c r="S393" s="62">
        <v>2843504</v>
      </c>
      <c r="T393" s="62">
        <v>0</v>
      </c>
      <c r="U393" s="62">
        <v>7689159.2280000001</v>
      </c>
      <c r="V393" s="62">
        <v>7354264</v>
      </c>
      <c r="W393" s="62">
        <v>2677387</v>
      </c>
      <c r="X393" s="62">
        <v>14373</v>
      </c>
      <c r="Y393" s="62">
        <v>170469</v>
      </c>
      <c r="Z393" s="62">
        <v>7459791</v>
      </c>
      <c r="AA393" s="62">
        <v>6982300</v>
      </c>
      <c r="AB393" s="62">
        <v>2691760</v>
      </c>
      <c r="AC393" s="10">
        <v>7821993</v>
      </c>
      <c r="AD393" s="10">
        <v>7071878</v>
      </c>
      <c r="AE393" s="10">
        <v>2720400</v>
      </c>
      <c r="AF393" s="10">
        <v>8027352</v>
      </c>
      <c r="AG393" s="10">
        <v>7261038</v>
      </c>
      <c r="AH393" s="10">
        <v>2738625</v>
      </c>
      <c r="AI393" s="10">
        <v>8168795</v>
      </c>
      <c r="AJ393" s="10">
        <v>7068505</v>
      </c>
      <c r="AK393" s="31">
        <v>2756975</v>
      </c>
      <c r="AL393" s="10">
        <v>8315537</v>
      </c>
      <c r="AM393" s="10">
        <v>6895864</v>
      </c>
      <c r="AN393" s="31">
        <v>2775225</v>
      </c>
      <c r="AO393" s="10">
        <v>8366347</v>
      </c>
      <c r="AP393" s="10">
        <v>6863098</v>
      </c>
      <c r="AQ393" s="31">
        <v>2814000</v>
      </c>
    </row>
    <row r="394" spans="1:43">
      <c r="A394" s="102">
        <v>705</v>
      </c>
      <c r="B394" s="7" t="s">
        <v>2085</v>
      </c>
      <c r="C394" s="103">
        <v>17.5</v>
      </c>
      <c r="D394" s="62">
        <v>15318665</v>
      </c>
      <c r="E394" s="37">
        <v>11142823</v>
      </c>
      <c r="F394" s="62">
        <v>4419317</v>
      </c>
      <c r="G394" s="62">
        <v>17202789</v>
      </c>
      <c r="H394" s="62">
        <v>12854203</v>
      </c>
      <c r="I394" s="62">
        <v>4773155</v>
      </c>
      <c r="J394" s="62">
        <v>18048378</v>
      </c>
      <c r="K394" s="62">
        <v>13991386</v>
      </c>
      <c r="L394" s="62">
        <v>4933394</v>
      </c>
      <c r="M394" s="62">
        <v>18669125</v>
      </c>
      <c r="N394" s="62">
        <v>14530501</v>
      </c>
      <c r="O394" s="62">
        <v>4520949</v>
      </c>
      <c r="P394" s="62">
        <v>531318</v>
      </c>
      <c r="Q394" s="62">
        <v>19727906.272153113</v>
      </c>
      <c r="R394" s="62">
        <v>16061599</v>
      </c>
      <c r="S394" s="62">
        <v>4951222</v>
      </c>
      <c r="T394" s="62">
        <v>0</v>
      </c>
      <c r="U394" s="62">
        <v>18612164.453999996</v>
      </c>
      <c r="V394" s="62">
        <v>16036618</v>
      </c>
      <c r="W394" s="62">
        <v>4661972</v>
      </c>
      <c r="X394" s="62">
        <v>25027</v>
      </c>
      <c r="Y394" s="62">
        <v>317398</v>
      </c>
      <c r="Z394" s="62">
        <v>18928100</v>
      </c>
      <c r="AA394" s="62">
        <v>16514464</v>
      </c>
      <c r="AB394" s="62">
        <v>4686999</v>
      </c>
      <c r="AC394" s="10">
        <v>19357735</v>
      </c>
      <c r="AD394" s="10">
        <v>16963367</v>
      </c>
      <c r="AE394" s="10">
        <v>4770799</v>
      </c>
      <c r="AF394" s="10">
        <v>19715478</v>
      </c>
      <c r="AG394" s="10">
        <v>17420377</v>
      </c>
      <c r="AH394" s="10">
        <v>4823099</v>
      </c>
      <c r="AI394" s="10">
        <v>19907859</v>
      </c>
      <c r="AJ394" s="10">
        <v>17251458</v>
      </c>
      <c r="AK394" s="31">
        <v>4875399</v>
      </c>
      <c r="AL394" s="10">
        <v>19398726</v>
      </c>
      <c r="AM394" s="10">
        <v>16836310</v>
      </c>
      <c r="AN394" s="31">
        <v>4925724</v>
      </c>
      <c r="AO394" s="10">
        <v>19430987</v>
      </c>
      <c r="AP394" s="10">
        <v>16230896</v>
      </c>
      <c r="AQ394" s="31">
        <v>5034459</v>
      </c>
    </row>
    <row r="395" spans="1:43">
      <c r="A395" s="102">
        <v>710</v>
      </c>
      <c r="B395" s="7" t="s">
        <v>2086</v>
      </c>
      <c r="C395" s="103">
        <v>31.78</v>
      </c>
      <c r="D395" s="62">
        <v>17625772</v>
      </c>
      <c r="E395" s="37">
        <v>7917147</v>
      </c>
      <c r="F395" s="62">
        <v>9708625</v>
      </c>
      <c r="G395" s="62">
        <v>19301063</v>
      </c>
      <c r="H395" s="62">
        <v>8448890</v>
      </c>
      <c r="I395" s="62">
        <v>10852173</v>
      </c>
      <c r="J395" s="62">
        <v>20644958</v>
      </c>
      <c r="K395" s="62">
        <v>8956960</v>
      </c>
      <c r="L395" s="62">
        <v>11687998</v>
      </c>
      <c r="M395" s="62">
        <v>21996366</v>
      </c>
      <c r="N395" s="62">
        <v>9449432</v>
      </c>
      <c r="O395" s="62">
        <v>11227445</v>
      </c>
      <c r="P395" s="62">
        <v>1319489</v>
      </c>
      <c r="Q395" s="62">
        <v>22672457.180478469</v>
      </c>
      <c r="R395" s="62">
        <v>10147020</v>
      </c>
      <c r="S395" s="62">
        <v>12295995</v>
      </c>
      <c r="T395" s="62">
        <v>229442</v>
      </c>
      <c r="U395" s="62">
        <v>22132247.579999998</v>
      </c>
      <c r="V395" s="62">
        <v>10574513</v>
      </c>
      <c r="W395" s="62">
        <v>11793702</v>
      </c>
      <c r="X395" s="62">
        <v>63314</v>
      </c>
      <c r="Y395" s="62">
        <v>734621</v>
      </c>
      <c r="Z395" s="62">
        <v>22155000</v>
      </c>
      <c r="AA395" s="62">
        <v>11066163</v>
      </c>
      <c r="AB395" s="62">
        <v>11857016</v>
      </c>
      <c r="AC395" s="10">
        <v>22015006</v>
      </c>
      <c r="AD395" s="10">
        <v>11315699</v>
      </c>
      <c r="AE395" s="10">
        <v>11954456</v>
      </c>
      <c r="AF395" s="10">
        <v>22375411</v>
      </c>
      <c r="AG395" s="10">
        <v>11860177</v>
      </c>
      <c r="AH395" s="10">
        <v>12014831</v>
      </c>
      <c r="AI395" s="10">
        <v>21900366</v>
      </c>
      <c r="AJ395" s="10">
        <v>12299101</v>
      </c>
      <c r="AK395" s="31">
        <v>12074206</v>
      </c>
      <c r="AL395" s="10">
        <v>21475634</v>
      </c>
      <c r="AM395" s="10">
        <v>12907063</v>
      </c>
      <c r="AN395" s="31">
        <v>12131581</v>
      </c>
      <c r="AO395" s="10">
        <v>20452434</v>
      </c>
      <c r="AP395" s="10">
        <v>13459709</v>
      </c>
      <c r="AQ395" s="31">
        <v>12253186</v>
      </c>
    </row>
    <row r="396" spans="1:43">
      <c r="A396" s="102">
        <v>712</v>
      </c>
      <c r="B396" s="7" t="s">
        <v>1655</v>
      </c>
      <c r="C396" s="103">
        <v>17.5</v>
      </c>
      <c r="D396" s="62">
        <v>0</v>
      </c>
      <c r="E396" s="62">
        <v>0</v>
      </c>
      <c r="F396" s="62">
        <v>0</v>
      </c>
      <c r="G396" s="62">
        <v>0</v>
      </c>
      <c r="H396" s="62">
        <v>0</v>
      </c>
      <c r="I396" s="62">
        <v>0</v>
      </c>
      <c r="J396" s="62">
        <v>0</v>
      </c>
      <c r="K396" s="62">
        <v>0</v>
      </c>
      <c r="L396" s="62">
        <v>0</v>
      </c>
      <c r="M396" s="62">
        <v>0</v>
      </c>
      <c r="N396" s="62">
        <v>0</v>
      </c>
      <c r="O396" s="62">
        <v>0</v>
      </c>
      <c r="P396" s="62">
        <v>0</v>
      </c>
      <c r="Q396" s="62">
        <v>0</v>
      </c>
      <c r="R396" s="62">
        <v>0</v>
      </c>
      <c r="S396" s="62">
        <v>0</v>
      </c>
      <c r="T396" s="62">
        <v>0</v>
      </c>
      <c r="U396" s="62">
        <v>0</v>
      </c>
      <c r="V396" s="62">
        <v>0</v>
      </c>
      <c r="W396" s="62">
        <v>0</v>
      </c>
      <c r="X396" s="62">
        <v>0</v>
      </c>
      <c r="Y396" s="62">
        <v>0</v>
      </c>
      <c r="Z396" s="62">
        <v>17110771.399999999</v>
      </c>
      <c r="AA396" s="62">
        <v>16296303</v>
      </c>
      <c r="AB396" s="62">
        <v>2384540</v>
      </c>
      <c r="AC396" s="10">
        <v>17569657</v>
      </c>
      <c r="AD396" s="10">
        <v>16140983</v>
      </c>
      <c r="AE396" s="10">
        <v>2460460</v>
      </c>
      <c r="AF396" s="10">
        <v>17319106</v>
      </c>
      <c r="AG396" s="10">
        <v>16031006</v>
      </c>
      <c r="AH396" s="10">
        <v>2506360</v>
      </c>
      <c r="AI396" s="10">
        <v>17618966</v>
      </c>
      <c r="AJ396" s="10">
        <v>15518373</v>
      </c>
      <c r="AK396" s="31">
        <v>2708296</v>
      </c>
      <c r="AL396" s="10">
        <v>18464076</v>
      </c>
      <c r="AM396" s="10">
        <v>15720020</v>
      </c>
      <c r="AN396" s="31">
        <v>2755146</v>
      </c>
      <c r="AO396" s="10">
        <v>19086298</v>
      </c>
      <c r="AP396" s="10">
        <v>15841935</v>
      </c>
      <c r="AQ396" s="31">
        <v>3244363</v>
      </c>
    </row>
    <row r="397" spans="1:43">
      <c r="A397" s="102">
        <v>715</v>
      </c>
      <c r="B397" s="7" t="s">
        <v>2087</v>
      </c>
      <c r="C397" s="103">
        <v>23.55</v>
      </c>
      <c r="D397" s="62">
        <v>4676875</v>
      </c>
      <c r="E397" s="37">
        <v>4597031</v>
      </c>
      <c r="F397" s="62">
        <v>1666950</v>
      </c>
      <c r="G397" s="62">
        <v>4791177</v>
      </c>
      <c r="H397" s="62">
        <v>4533455</v>
      </c>
      <c r="I397" s="62">
        <v>1699377</v>
      </c>
      <c r="J397" s="62">
        <v>4697972</v>
      </c>
      <c r="K397" s="62">
        <v>4234702</v>
      </c>
      <c r="L397" s="62">
        <v>1727227</v>
      </c>
      <c r="M397" s="62">
        <v>4870291</v>
      </c>
      <c r="N397" s="62">
        <v>4171647</v>
      </c>
      <c r="O397" s="62">
        <v>1590024</v>
      </c>
      <c r="P397" s="62">
        <v>186865</v>
      </c>
      <c r="Q397" s="62">
        <v>5038820.6667942591</v>
      </c>
      <c r="R397" s="62">
        <v>4176618</v>
      </c>
      <c r="S397" s="62">
        <v>1741351</v>
      </c>
      <c r="T397" s="62">
        <v>0</v>
      </c>
      <c r="U397" s="62">
        <v>4954695.6780000003</v>
      </c>
      <c r="V397" s="62">
        <v>4130699</v>
      </c>
      <c r="W397" s="62">
        <v>1639621</v>
      </c>
      <c r="X397" s="62">
        <v>8802</v>
      </c>
      <c r="Y397" s="62">
        <v>106828</v>
      </c>
      <c r="Z397" s="62">
        <v>4795752</v>
      </c>
      <c r="AA397" s="62">
        <v>4018167</v>
      </c>
      <c r="AB397" s="62">
        <v>1648423</v>
      </c>
      <c r="AC397" s="10">
        <v>4847655</v>
      </c>
      <c r="AD397" s="10">
        <v>3957893</v>
      </c>
      <c r="AE397" s="10">
        <v>1668783</v>
      </c>
      <c r="AF397" s="10">
        <v>4713594</v>
      </c>
      <c r="AG397" s="10">
        <v>3902934</v>
      </c>
      <c r="AH397" s="10">
        <v>1680908</v>
      </c>
      <c r="AI397" s="10">
        <v>5049227</v>
      </c>
      <c r="AJ397" s="10">
        <v>3998439</v>
      </c>
      <c r="AK397" s="31">
        <v>1693808</v>
      </c>
      <c r="AL397" s="10">
        <v>4887694</v>
      </c>
      <c r="AM397" s="10">
        <v>3824463</v>
      </c>
      <c r="AN397" s="31">
        <v>1705983</v>
      </c>
      <c r="AO397" s="10">
        <v>4960436</v>
      </c>
      <c r="AP397" s="10">
        <v>3813364</v>
      </c>
      <c r="AQ397" s="31">
        <v>1733153</v>
      </c>
    </row>
    <row r="398" spans="1:43">
      <c r="A398" s="102">
        <v>717</v>
      </c>
      <c r="B398" s="7" t="s">
        <v>2088</v>
      </c>
      <c r="C398" s="103">
        <v>35.71</v>
      </c>
      <c r="D398" s="62">
        <v>10399815</v>
      </c>
      <c r="E398" s="37">
        <v>5552327</v>
      </c>
      <c r="F398" s="62">
        <v>5972084</v>
      </c>
      <c r="G398" s="62">
        <v>10269301</v>
      </c>
      <c r="H398" s="62">
        <v>5648614</v>
      </c>
      <c r="I398" s="62">
        <v>6034784</v>
      </c>
      <c r="J398" s="62">
        <v>10605776</v>
      </c>
      <c r="K398" s="62">
        <v>5769493</v>
      </c>
      <c r="L398" s="62">
        <v>6204233</v>
      </c>
      <c r="M398" s="62">
        <v>10359333</v>
      </c>
      <c r="N398" s="62">
        <v>5721445</v>
      </c>
      <c r="O398" s="62">
        <v>5603580</v>
      </c>
      <c r="P398" s="62">
        <v>658553</v>
      </c>
      <c r="Q398" s="62">
        <v>10590789.40784689</v>
      </c>
      <c r="R398" s="62">
        <v>5820331</v>
      </c>
      <c r="S398" s="62">
        <v>6136890</v>
      </c>
      <c r="T398" s="62">
        <v>0</v>
      </c>
      <c r="U398" s="62">
        <v>10304179.638</v>
      </c>
      <c r="V398" s="62">
        <v>5807577</v>
      </c>
      <c r="W398" s="62">
        <v>5778373</v>
      </c>
      <c r="X398" s="62">
        <v>31021</v>
      </c>
      <c r="Y398" s="62">
        <v>355446</v>
      </c>
      <c r="Z398" s="62">
        <v>10123559</v>
      </c>
      <c r="AA398" s="62">
        <v>5977059</v>
      </c>
      <c r="AB398" s="62">
        <v>5809394</v>
      </c>
      <c r="AC398" s="10">
        <v>9875049</v>
      </c>
      <c r="AD398" s="10">
        <v>6107017</v>
      </c>
      <c r="AE398" s="10">
        <v>5850194</v>
      </c>
      <c r="AF398" s="10">
        <v>9444879</v>
      </c>
      <c r="AG398" s="10">
        <v>6294792</v>
      </c>
      <c r="AH398" s="10">
        <v>5874244</v>
      </c>
      <c r="AI398" s="10">
        <v>9300413</v>
      </c>
      <c r="AJ398" s="10">
        <v>6365060</v>
      </c>
      <c r="AK398" s="31">
        <v>5897844</v>
      </c>
      <c r="AL398" s="10">
        <v>9310511</v>
      </c>
      <c r="AM398" s="10">
        <v>6523226</v>
      </c>
      <c r="AN398" s="31">
        <v>5921294</v>
      </c>
      <c r="AO398" s="10">
        <v>9915353</v>
      </c>
      <c r="AP398" s="10">
        <v>6433157</v>
      </c>
      <c r="AQ398" s="31">
        <v>5973434</v>
      </c>
    </row>
    <row r="399" spans="1:43">
      <c r="A399" s="102">
        <v>720</v>
      </c>
      <c r="B399" s="7" t="s">
        <v>2089</v>
      </c>
      <c r="C399" s="103">
        <v>59.49</v>
      </c>
      <c r="D399" s="62">
        <v>11727704</v>
      </c>
      <c r="E399" s="37">
        <v>2977580</v>
      </c>
      <c r="F399" s="62">
        <v>8750124</v>
      </c>
      <c r="G399" s="62">
        <v>12694975</v>
      </c>
      <c r="H399" s="62">
        <v>3200990</v>
      </c>
      <c r="I399" s="62">
        <v>9493985</v>
      </c>
      <c r="J399" s="62">
        <v>13440494</v>
      </c>
      <c r="K399" s="62">
        <v>3363034</v>
      </c>
      <c r="L399" s="62">
        <v>10077460</v>
      </c>
      <c r="M399" s="62">
        <v>13890162</v>
      </c>
      <c r="N399" s="62">
        <v>3558412</v>
      </c>
      <c r="O399" s="62">
        <v>9267025</v>
      </c>
      <c r="P399" s="62">
        <v>1089094</v>
      </c>
      <c r="Q399" s="62">
        <v>14047951.990813399</v>
      </c>
      <c r="R399" s="62">
        <v>4510425</v>
      </c>
      <c r="S399" s="62">
        <v>10148997</v>
      </c>
      <c r="T399" s="62">
        <v>0</v>
      </c>
      <c r="U399" s="62">
        <v>13273695.708000001</v>
      </c>
      <c r="V399" s="62">
        <v>4548674</v>
      </c>
      <c r="W399" s="62">
        <v>9556093</v>
      </c>
      <c r="X399" s="62">
        <v>51301</v>
      </c>
      <c r="Y399" s="62">
        <v>579303</v>
      </c>
      <c r="Z399" s="62">
        <v>13213993</v>
      </c>
      <c r="AA399" s="62">
        <v>4564055</v>
      </c>
      <c r="AB399" s="62">
        <v>9607394</v>
      </c>
      <c r="AC399" s="10">
        <v>13537728</v>
      </c>
      <c r="AD399" s="10">
        <v>4721311</v>
      </c>
      <c r="AE399" s="10">
        <v>9664194</v>
      </c>
      <c r="AF399" s="10">
        <v>13335812</v>
      </c>
      <c r="AG399" s="10">
        <v>4863858</v>
      </c>
      <c r="AH399" s="10">
        <v>9698544</v>
      </c>
      <c r="AI399" s="10">
        <v>12841231</v>
      </c>
      <c r="AJ399" s="10">
        <v>4967494</v>
      </c>
      <c r="AK399" s="31">
        <v>9731269</v>
      </c>
      <c r="AL399" s="10">
        <v>13170587</v>
      </c>
      <c r="AM399" s="10">
        <v>5169393</v>
      </c>
      <c r="AN399" s="31">
        <v>9764044</v>
      </c>
      <c r="AO399" s="10">
        <v>13256830</v>
      </c>
      <c r="AP399" s="10">
        <v>5303181</v>
      </c>
      <c r="AQ399" s="31">
        <v>9834774</v>
      </c>
    </row>
    <row r="400" spans="1:43">
      <c r="A400" s="102">
        <v>725</v>
      </c>
      <c r="B400" s="7" t="s">
        <v>2090</v>
      </c>
      <c r="C400" s="103">
        <v>22.12</v>
      </c>
      <c r="D400" s="62">
        <v>21474489</v>
      </c>
      <c r="E400" s="37">
        <v>17977668</v>
      </c>
      <c r="F400" s="62">
        <v>5332822.8</v>
      </c>
      <c r="G400" s="62">
        <v>23697784</v>
      </c>
      <c r="H400" s="62">
        <v>19133543</v>
      </c>
      <c r="I400" s="62">
        <v>5871971.7999999998</v>
      </c>
      <c r="J400" s="62">
        <v>25411849</v>
      </c>
      <c r="K400" s="62">
        <v>20274365</v>
      </c>
      <c r="L400" s="62">
        <v>6289003.7999999998</v>
      </c>
      <c r="M400" s="62">
        <v>26805348</v>
      </c>
      <c r="N400" s="62">
        <v>21157439</v>
      </c>
      <c r="O400" s="62">
        <v>5911057.7999999998</v>
      </c>
      <c r="P400" s="62">
        <v>694688</v>
      </c>
      <c r="Q400" s="62">
        <v>28088852.89033493</v>
      </c>
      <c r="R400" s="62">
        <v>22132725</v>
      </c>
      <c r="S400" s="62">
        <v>6473631</v>
      </c>
      <c r="T400" s="62">
        <v>0</v>
      </c>
      <c r="U400" s="62">
        <v>27791843.604000002</v>
      </c>
      <c r="V400" s="62">
        <v>22306466</v>
      </c>
      <c r="W400" s="62">
        <v>6095442</v>
      </c>
      <c r="X400" s="62">
        <v>32723</v>
      </c>
      <c r="Y400" s="62">
        <v>426391</v>
      </c>
      <c r="Z400" s="62">
        <v>28345672</v>
      </c>
      <c r="AA400" s="62">
        <v>22733730</v>
      </c>
      <c r="AB400" s="62">
        <v>6128165</v>
      </c>
      <c r="AC400" s="10">
        <v>29407907</v>
      </c>
      <c r="AD400" s="10">
        <v>23699381</v>
      </c>
      <c r="AE400" s="10">
        <v>6330455.0653249994</v>
      </c>
      <c r="AF400" s="10">
        <v>29650929</v>
      </c>
      <c r="AG400" s="10">
        <v>24483221</v>
      </c>
      <c r="AH400" s="10">
        <v>6411680.0653249994</v>
      </c>
      <c r="AI400" s="10">
        <v>29833754</v>
      </c>
      <c r="AJ400" s="10">
        <v>24514579</v>
      </c>
      <c r="AK400" s="31">
        <v>6492305.0653249994</v>
      </c>
      <c r="AL400" s="10">
        <v>30925691</v>
      </c>
      <c r="AM400" s="10">
        <v>25002991</v>
      </c>
      <c r="AN400" s="31">
        <v>6574230.0653249994</v>
      </c>
      <c r="AO400" s="10">
        <v>31260414</v>
      </c>
      <c r="AP400" s="10">
        <v>24600261</v>
      </c>
      <c r="AQ400" s="31">
        <v>6756060.0653249994</v>
      </c>
    </row>
    <row r="401" spans="1:43">
      <c r="A401" s="102">
        <v>728</v>
      </c>
      <c r="B401" s="7" t="s">
        <v>2091</v>
      </c>
      <c r="C401" s="103">
        <v>48.2</v>
      </c>
      <c r="D401" s="62">
        <v>1009815</v>
      </c>
      <c r="E401" s="37">
        <v>579782</v>
      </c>
      <c r="F401" s="62">
        <v>602215.19999999995</v>
      </c>
      <c r="G401" s="62">
        <v>1068078</v>
      </c>
      <c r="H401" s="62">
        <v>538560</v>
      </c>
      <c r="I401" s="62">
        <v>635233.19999999995</v>
      </c>
      <c r="J401" s="62">
        <v>1119947</v>
      </c>
      <c r="K401" s="62">
        <v>538342</v>
      </c>
      <c r="L401" s="62">
        <v>663419.19999999995</v>
      </c>
      <c r="M401" s="62">
        <v>1108280</v>
      </c>
      <c r="N401" s="62">
        <v>538661</v>
      </c>
      <c r="O401" s="62">
        <v>599333.19999999995</v>
      </c>
      <c r="P401" s="62">
        <v>70436</v>
      </c>
      <c r="Q401" s="62">
        <v>1124015.5376076559</v>
      </c>
      <c r="R401" s="62">
        <v>570244</v>
      </c>
      <c r="S401" s="62">
        <v>656374</v>
      </c>
      <c r="T401" s="62">
        <v>0</v>
      </c>
      <c r="U401" s="62">
        <v>1039961.19</v>
      </c>
      <c r="V401" s="62">
        <v>627734</v>
      </c>
      <c r="W401" s="62">
        <v>618029</v>
      </c>
      <c r="X401" s="62">
        <v>3318</v>
      </c>
      <c r="Y401" s="62">
        <v>37952</v>
      </c>
      <c r="Z401" s="62">
        <v>1102692</v>
      </c>
      <c r="AA401" s="62">
        <v>649363</v>
      </c>
      <c r="AB401" s="62">
        <v>621347</v>
      </c>
      <c r="AC401" s="10">
        <v>1136073</v>
      </c>
      <c r="AD401" s="10">
        <v>642537</v>
      </c>
      <c r="AE401" s="10">
        <v>626107</v>
      </c>
      <c r="AF401" s="10">
        <v>1171083</v>
      </c>
      <c r="AG401" s="10">
        <v>681574</v>
      </c>
      <c r="AH401" s="10">
        <v>629007</v>
      </c>
      <c r="AI401" s="10">
        <v>1217420</v>
      </c>
      <c r="AJ401" s="10">
        <v>707520</v>
      </c>
      <c r="AK401" s="31">
        <v>631982</v>
      </c>
      <c r="AL401" s="10">
        <v>1255062</v>
      </c>
      <c r="AM401" s="10">
        <v>711713</v>
      </c>
      <c r="AN401" s="31">
        <v>635007</v>
      </c>
      <c r="AO401" s="10">
        <v>1416772</v>
      </c>
      <c r="AP401" s="10">
        <v>739591</v>
      </c>
      <c r="AQ401" s="31">
        <v>677181</v>
      </c>
    </row>
    <row r="402" spans="1:43">
      <c r="A402" s="102">
        <v>730</v>
      </c>
      <c r="B402" s="7" t="s">
        <v>2092</v>
      </c>
      <c r="C402" s="103">
        <v>17.5</v>
      </c>
      <c r="D402" s="62">
        <v>9277131</v>
      </c>
      <c r="E402" s="37">
        <v>7604912</v>
      </c>
      <c r="F402" s="62">
        <v>1700728</v>
      </c>
      <c r="G402" s="62">
        <v>11057753</v>
      </c>
      <c r="H402" s="62">
        <v>8704773</v>
      </c>
      <c r="I402" s="62">
        <v>2352980</v>
      </c>
      <c r="J402" s="62">
        <v>12033372</v>
      </c>
      <c r="K402" s="62">
        <v>9631771</v>
      </c>
      <c r="L402" s="62">
        <v>2591421</v>
      </c>
      <c r="M402" s="62">
        <v>12946742</v>
      </c>
      <c r="N402" s="62">
        <v>10026161</v>
      </c>
      <c r="O402" s="62">
        <v>2613440</v>
      </c>
      <c r="P402" s="62">
        <v>307141</v>
      </c>
      <c r="Q402" s="62">
        <v>13338720.275598086</v>
      </c>
      <c r="R402" s="62">
        <v>10464106</v>
      </c>
      <c r="S402" s="62">
        <v>2862169</v>
      </c>
      <c r="T402" s="62">
        <v>12445</v>
      </c>
      <c r="U402" s="62">
        <v>13069614.491999999</v>
      </c>
      <c r="V402" s="62">
        <v>10623654</v>
      </c>
      <c r="W402" s="62">
        <v>2706679</v>
      </c>
      <c r="X402" s="62">
        <v>14531</v>
      </c>
      <c r="Y402" s="62">
        <v>189279</v>
      </c>
      <c r="Z402" s="62">
        <v>13569441</v>
      </c>
      <c r="AA402" s="62">
        <v>11147301</v>
      </c>
      <c r="AB402" s="62">
        <v>2721210</v>
      </c>
      <c r="AC402" s="10">
        <v>14179585</v>
      </c>
      <c r="AD402" s="10">
        <v>11573173</v>
      </c>
      <c r="AE402" s="10">
        <v>2838863.6458749999</v>
      </c>
      <c r="AF402" s="10">
        <v>14882231</v>
      </c>
      <c r="AG402" s="10">
        <v>12443854</v>
      </c>
      <c r="AH402" s="10">
        <v>2876913.6458749999</v>
      </c>
      <c r="AI402" s="10">
        <v>14903362</v>
      </c>
      <c r="AJ402" s="10">
        <v>12767292</v>
      </c>
      <c r="AK402" s="31">
        <v>2914613.6458749999</v>
      </c>
      <c r="AL402" s="10">
        <v>15041278</v>
      </c>
      <c r="AM402" s="10">
        <v>12932868</v>
      </c>
      <c r="AN402" s="31">
        <v>2951913.6458749999</v>
      </c>
      <c r="AO402" s="10">
        <v>15182003</v>
      </c>
      <c r="AP402" s="10">
        <v>12730046</v>
      </c>
      <c r="AQ402" s="31">
        <v>3034083.6458749999</v>
      </c>
    </row>
    <row r="403" spans="1:43">
      <c r="A403" s="102">
        <v>735</v>
      </c>
      <c r="B403" s="7" t="s">
        <v>2093</v>
      </c>
      <c r="C403" s="103">
        <v>46.21</v>
      </c>
      <c r="D403" s="62">
        <v>32397974</v>
      </c>
      <c r="E403" s="37">
        <v>13915496</v>
      </c>
      <c r="F403" s="62">
        <v>19063721</v>
      </c>
      <c r="G403" s="62">
        <v>33499786</v>
      </c>
      <c r="H403" s="62">
        <v>15279377</v>
      </c>
      <c r="I403" s="62">
        <v>19658038</v>
      </c>
      <c r="J403" s="62">
        <v>34412577</v>
      </c>
      <c r="K403" s="62">
        <v>15653174</v>
      </c>
      <c r="L403" s="62">
        <v>20148846</v>
      </c>
      <c r="M403" s="62">
        <v>36029257</v>
      </c>
      <c r="N403" s="62">
        <v>16080023</v>
      </c>
      <c r="O403" s="62">
        <v>18814143</v>
      </c>
      <c r="P403" s="62">
        <v>2211105</v>
      </c>
      <c r="Q403" s="62">
        <v>36456713.541818187</v>
      </c>
      <c r="R403" s="62">
        <v>16064311</v>
      </c>
      <c r="S403" s="62">
        <v>20604743</v>
      </c>
      <c r="T403" s="62">
        <v>0</v>
      </c>
      <c r="U403" s="62">
        <v>34774968.005999997</v>
      </c>
      <c r="V403" s="62">
        <v>16111990</v>
      </c>
      <c r="W403" s="62">
        <v>19401015</v>
      </c>
      <c r="X403" s="62">
        <v>104153</v>
      </c>
      <c r="Y403" s="62">
        <v>1203025</v>
      </c>
      <c r="Z403" s="62">
        <v>34052825</v>
      </c>
      <c r="AA403" s="62">
        <v>16450543</v>
      </c>
      <c r="AB403" s="62">
        <v>19505168</v>
      </c>
      <c r="AC403" s="10">
        <v>34577589</v>
      </c>
      <c r="AD403" s="10">
        <v>16881292</v>
      </c>
      <c r="AE403" s="10">
        <v>19659168</v>
      </c>
      <c r="AF403" s="10">
        <v>33991777</v>
      </c>
      <c r="AG403" s="10">
        <v>17328829</v>
      </c>
      <c r="AH403" s="10">
        <v>19751668</v>
      </c>
      <c r="AI403" s="10">
        <v>32881223</v>
      </c>
      <c r="AJ403" s="10">
        <v>17183613</v>
      </c>
      <c r="AK403" s="31">
        <v>19840443</v>
      </c>
      <c r="AL403" s="10">
        <v>32371795</v>
      </c>
      <c r="AM403" s="10">
        <v>17231131</v>
      </c>
      <c r="AN403" s="31">
        <v>19925993</v>
      </c>
      <c r="AO403" s="10">
        <v>31685058</v>
      </c>
      <c r="AP403" s="10">
        <v>17154907</v>
      </c>
      <c r="AQ403" s="31">
        <v>20107493</v>
      </c>
    </row>
    <row r="404" spans="1:43">
      <c r="A404" s="102">
        <v>740</v>
      </c>
      <c r="B404" s="7" t="s">
        <v>2094</v>
      </c>
      <c r="C404" s="103">
        <v>25.36</v>
      </c>
      <c r="D404" s="62">
        <v>8705281</v>
      </c>
      <c r="E404" s="37">
        <v>7603741</v>
      </c>
      <c r="F404" s="62">
        <v>1530510</v>
      </c>
      <c r="G404" s="62">
        <v>9257160</v>
      </c>
      <c r="H404" s="62">
        <v>7909870</v>
      </c>
      <c r="I404" s="62">
        <v>1701522</v>
      </c>
      <c r="J404" s="62">
        <v>9923961</v>
      </c>
      <c r="K404" s="62">
        <v>8215414</v>
      </c>
      <c r="L404" s="62">
        <v>1954417</v>
      </c>
      <c r="M404" s="62">
        <v>10120297</v>
      </c>
      <c r="N404" s="62">
        <v>8156604</v>
      </c>
      <c r="O404" s="62">
        <v>1890481</v>
      </c>
      <c r="P404" s="62">
        <v>222176</v>
      </c>
      <c r="Q404" s="62">
        <v>10028263.973971292</v>
      </c>
      <c r="R404" s="62">
        <v>8036971</v>
      </c>
      <c r="S404" s="62">
        <v>2070404</v>
      </c>
      <c r="T404" s="62">
        <v>0</v>
      </c>
      <c r="U404" s="62">
        <v>9726308.7780000009</v>
      </c>
      <c r="V404" s="62">
        <v>7998372</v>
      </c>
      <c r="W404" s="62">
        <v>1949451</v>
      </c>
      <c r="X404" s="62">
        <v>10466</v>
      </c>
      <c r="Y404" s="62">
        <v>138637</v>
      </c>
      <c r="Z404" s="62">
        <v>10036210</v>
      </c>
      <c r="AA404" s="62">
        <v>8109683</v>
      </c>
      <c r="AB404" s="62">
        <v>1959917</v>
      </c>
      <c r="AC404" s="10">
        <v>10099046</v>
      </c>
      <c r="AD404" s="10">
        <v>8089994</v>
      </c>
      <c r="AE404" s="10">
        <v>2124850.6151999999</v>
      </c>
      <c r="AF404" s="10">
        <v>10378205</v>
      </c>
      <c r="AG404" s="10">
        <v>8357878</v>
      </c>
      <c r="AH404" s="10">
        <v>2238124.4918999998</v>
      </c>
      <c r="AI404" s="10">
        <v>10659228</v>
      </c>
      <c r="AJ404" s="10">
        <v>8277118</v>
      </c>
      <c r="AK404" s="31">
        <v>2382613.4918999998</v>
      </c>
      <c r="AL404" s="10">
        <v>11419777</v>
      </c>
      <c r="AM404" s="10">
        <v>8704098</v>
      </c>
      <c r="AN404" s="31">
        <v>2715679</v>
      </c>
      <c r="AO404" s="10">
        <v>11377043</v>
      </c>
      <c r="AP404" s="10">
        <v>8557549</v>
      </c>
      <c r="AQ404" s="31">
        <v>2819494</v>
      </c>
    </row>
    <row r="405" spans="1:43">
      <c r="A405" s="102">
        <v>745</v>
      </c>
      <c r="B405" s="7" t="s">
        <v>2095</v>
      </c>
      <c r="C405" s="103">
        <v>31.39</v>
      </c>
      <c r="D405" s="62">
        <v>22757511</v>
      </c>
      <c r="E405" s="37">
        <v>10704624</v>
      </c>
      <c r="F405" s="62">
        <v>12362390</v>
      </c>
      <c r="G405" s="62">
        <v>24589511</v>
      </c>
      <c r="H405" s="62">
        <v>11578381</v>
      </c>
      <c r="I405" s="62">
        <v>13099037</v>
      </c>
      <c r="J405" s="62">
        <v>24625431</v>
      </c>
      <c r="K405" s="62">
        <v>12223789</v>
      </c>
      <c r="L405" s="62">
        <v>13258787</v>
      </c>
      <c r="M405" s="62">
        <v>25233854</v>
      </c>
      <c r="N405" s="62">
        <v>12938684</v>
      </c>
      <c r="O405" s="62">
        <v>12077530</v>
      </c>
      <c r="P405" s="62">
        <v>1419394</v>
      </c>
      <c r="Q405" s="62">
        <v>26043317.600765556</v>
      </c>
      <c r="R405" s="62">
        <v>14358256</v>
      </c>
      <c r="S405" s="62">
        <v>13226986</v>
      </c>
      <c r="T405" s="62">
        <v>0</v>
      </c>
      <c r="U405" s="62">
        <v>25398255.107999999</v>
      </c>
      <c r="V405" s="62">
        <v>14404858</v>
      </c>
      <c r="W405" s="62">
        <v>12454267</v>
      </c>
      <c r="X405" s="62">
        <v>66860</v>
      </c>
      <c r="Y405" s="62">
        <v>782234</v>
      </c>
      <c r="Z405" s="62">
        <v>24895122</v>
      </c>
      <c r="AA405" s="62">
        <v>14749468</v>
      </c>
      <c r="AB405" s="62">
        <v>12521127</v>
      </c>
      <c r="AC405" s="10">
        <v>25088106</v>
      </c>
      <c r="AD405" s="10">
        <v>15200680</v>
      </c>
      <c r="AE405" s="10">
        <v>12635127</v>
      </c>
      <c r="AF405" s="10">
        <v>24540719</v>
      </c>
      <c r="AG405" s="10">
        <v>15640639</v>
      </c>
      <c r="AH405" s="10">
        <v>12703677</v>
      </c>
      <c r="AI405" s="10">
        <v>24290785</v>
      </c>
      <c r="AJ405" s="10">
        <v>16086295</v>
      </c>
      <c r="AK405" s="31">
        <v>12770527</v>
      </c>
      <c r="AL405" s="10">
        <v>23602673</v>
      </c>
      <c r="AM405" s="10">
        <v>16203424</v>
      </c>
      <c r="AN405" s="31">
        <v>12834852</v>
      </c>
      <c r="AO405" s="10">
        <v>22548383</v>
      </c>
      <c r="AP405" s="10">
        <v>15627476</v>
      </c>
      <c r="AQ405" s="31">
        <v>12968282</v>
      </c>
    </row>
    <row r="406" spans="1:43">
      <c r="A406" s="102">
        <v>750</v>
      </c>
      <c r="B406" s="7" t="s">
        <v>2096</v>
      </c>
      <c r="C406" s="103">
        <v>34.24</v>
      </c>
      <c r="D406" s="62">
        <v>7285294</v>
      </c>
      <c r="E406" s="37">
        <v>3967896</v>
      </c>
      <c r="F406" s="62">
        <v>3857345</v>
      </c>
      <c r="G406" s="62">
        <v>7629462</v>
      </c>
      <c r="H406" s="62">
        <v>4135816</v>
      </c>
      <c r="I406" s="62">
        <v>4031666</v>
      </c>
      <c r="J406" s="62">
        <v>7722039</v>
      </c>
      <c r="K406" s="62">
        <v>4259679</v>
      </c>
      <c r="L406" s="62">
        <v>4078816</v>
      </c>
      <c r="M406" s="62">
        <v>8137059</v>
      </c>
      <c r="N406" s="62">
        <v>4327512</v>
      </c>
      <c r="O406" s="62">
        <v>3981402</v>
      </c>
      <c r="P406" s="62">
        <v>300027</v>
      </c>
      <c r="Q406" s="62">
        <v>8250102.2009569379</v>
      </c>
      <c r="R406" s="62">
        <v>4422230</v>
      </c>
      <c r="S406" s="62">
        <v>4195800</v>
      </c>
      <c r="T406" s="62">
        <v>0</v>
      </c>
      <c r="U406" s="62">
        <v>8263519.067999999</v>
      </c>
      <c r="V406" s="62">
        <v>4563544</v>
      </c>
      <c r="W406" s="62">
        <v>3950682</v>
      </c>
      <c r="X406" s="62">
        <v>21209</v>
      </c>
      <c r="Y406" s="62">
        <v>247084</v>
      </c>
      <c r="Z406" s="62">
        <v>8098758</v>
      </c>
      <c r="AA406" s="62">
        <v>4668314</v>
      </c>
      <c r="AB406" s="62">
        <v>3971891</v>
      </c>
      <c r="AC406" s="10">
        <v>8564268</v>
      </c>
      <c r="AD406" s="10">
        <v>4778263</v>
      </c>
      <c r="AE406" s="10">
        <v>4007811</v>
      </c>
      <c r="AF406" s="10">
        <v>7994487</v>
      </c>
      <c r="AG406" s="10">
        <v>4761551</v>
      </c>
      <c r="AH406" s="10">
        <v>4028736</v>
      </c>
      <c r="AI406" s="10">
        <v>7816227</v>
      </c>
      <c r="AJ406" s="10">
        <v>4803095</v>
      </c>
      <c r="AK406" s="31">
        <v>4048786</v>
      </c>
      <c r="AL406" s="10">
        <v>7481050</v>
      </c>
      <c r="AM406" s="10">
        <v>4776255</v>
      </c>
      <c r="AN406" s="31">
        <v>4067561</v>
      </c>
      <c r="AO406" s="10">
        <v>7219392</v>
      </c>
      <c r="AP406" s="10">
        <v>4777146</v>
      </c>
      <c r="AQ406" s="31">
        <v>4107161</v>
      </c>
    </row>
    <row r="407" spans="1:43">
      <c r="A407" s="102">
        <v>753</v>
      </c>
      <c r="B407" s="7" t="s">
        <v>2097</v>
      </c>
      <c r="C407" s="103">
        <v>54.01</v>
      </c>
      <c r="D407" s="62">
        <v>21479251</v>
      </c>
      <c r="E407" s="37">
        <v>5822139</v>
      </c>
      <c r="F407" s="62">
        <v>15657112</v>
      </c>
      <c r="G407" s="62">
        <v>22828423</v>
      </c>
      <c r="H407" s="62">
        <v>6355417</v>
      </c>
      <c r="I407" s="62">
        <v>16510059</v>
      </c>
      <c r="J407" s="62">
        <v>23457369</v>
      </c>
      <c r="K407" s="62">
        <v>6739031</v>
      </c>
      <c r="L407" s="62">
        <v>16898056</v>
      </c>
      <c r="M407" s="62">
        <v>24154885</v>
      </c>
      <c r="N407" s="62">
        <v>7104683</v>
      </c>
      <c r="O407" s="62">
        <v>15503658</v>
      </c>
      <c r="P407" s="62">
        <v>1822045</v>
      </c>
      <c r="Q407" s="62">
        <v>24370491.302583735</v>
      </c>
      <c r="R407" s="62">
        <v>9043482</v>
      </c>
      <c r="S407" s="62">
        <v>16979189</v>
      </c>
      <c r="T407" s="62">
        <v>0</v>
      </c>
      <c r="U407" s="62">
        <v>23447229.215999998</v>
      </c>
      <c r="V407" s="62">
        <v>9241790.7475171536</v>
      </c>
      <c r="W407" s="62">
        <v>15987266</v>
      </c>
      <c r="X407" s="62">
        <v>85827</v>
      </c>
      <c r="Y407" s="62">
        <v>973446</v>
      </c>
      <c r="Z407" s="62">
        <v>22899542</v>
      </c>
      <c r="AA407" s="62">
        <v>9371400</v>
      </c>
      <c r="AB407" s="62">
        <v>16073093</v>
      </c>
      <c r="AC407" s="10">
        <v>22525878</v>
      </c>
      <c r="AD407" s="10">
        <v>9626834</v>
      </c>
      <c r="AE407" s="10">
        <v>16170613</v>
      </c>
      <c r="AF407" s="10">
        <v>22333577</v>
      </c>
      <c r="AG407" s="10">
        <v>9850748</v>
      </c>
      <c r="AH407" s="10">
        <v>16229913</v>
      </c>
      <c r="AI407" s="10">
        <v>21722178</v>
      </c>
      <c r="AJ407" s="10">
        <v>9941651</v>
      </c>
      <c r="AK407" s="31">
        <v>16286563</v>
      </c>
      <c r="AL407" s="10">
        <v>22051647</v>
      </c>
      <c r="AM407" s="10">
        <v>10090036</v>
      </c>
      <c r="AN407" s="31">
        <v>16342038</v>
      </c>
      <c r="AO407" s="10">
        <v>22002910</v>
      </c>
      <c r="AP407" s="10">
        <v>10064723</v>
      </c>
      <c r="AQ407" s="31">
        <v>16463038</v>
      </c>
    </row>
    <row r="408" spans="1:43">
      <c r="A408" s="102">
        <v>755</v>
      </c>
      <c r="B408" s="7" t="s">
        <v>2098</v>
      </c>
      <c r="C408" s="103">
        <v>63.54</v>
      </c>
      <c r="D408" s="62">
        <v>6412185</v>
      </c>
      <c r="E408" s="37">
        <v>2094096</v>
      </c>
      <c r="F408" s="62">
        <v>4365173</v>
      </c>
      <c r="G408" s="62">
        <v>6917262</v>
      </c>
      <c r="H408" s="62">
        <v>2152974</v>
      </c>
      <c r="I408" s="62">
        <v>4764288</v>
      </c>
      <c r="J408" s="62">
        <v>7718288</v>
      </c>
      <c r="K408" s="62">
        <v>2334381</v>
      </c>
      <c r="L408" s="62">
        <v>5383907</v>
      </c>
      <c r="M408" s="62">
        <v>8079301</v>
      </c>
      <c r="N408" s="62">
        <v>2414941</v>
      </c>
      <c r="O408" s="62">
        <v>5068672</v>
      </c>
      <c r="P408" s="62">
        <v>595688</v>
      </c>
      <c r="Q408" s="62">
        <v>8102223.5314832535</v>
      </c>
      <c r="R408" s="62">
        <v>2701871</v>
      </c>
      <c r="S408" s="62">
        <v>5551073</v>
      </c>
      <c r="T408" s="62">
        <v>0</v>
      </c>
      <c r="U408" s="62">
        <v>7695444.8340000007</v>
      </c>
      <c r="V408" s="62">
        <v>2655320</v>
      </c>
      <c r="W408" s="62">
        <v>5226780</v>
      </c>
      <c r="X408" s="62">
        <v>28060</v>
      </c>
      <c r="Y408" s="62">
        <v>316133</v>
      </c>
      <c r="Z408" s="62">
        <v>7780312</v>
      </c>
      <c r="AA408" s="62">
        <v>2783833</v>
      </c>
      <c r="AB408" s="62">
        <v>5254840</v>
      </c>
      <c r="AC408" s="10">
        <v>8048219</v>
      </c>
      <c r="AD408" s="10">
        <v>2944041</v>
      </c>
      <c r="AE408" s="10">
        <v>5286040</v>
      </c>
      <c r="AF408" s="10">
        <v>7625909</v>
      </c>
      <c r="AG408" s="10">
        <v>2829128</v>
      </c>
      <c r="AH408" s="10">
        <v>5304190</v>
      </c>
      <c r="AI408" s="10">
        <v>7705540</v>
      </c>
      <c r="AJ408" s="10">
        <v>2887638</v>
      </c>
      <c r="AK408" s="31">
        <v>5322215</v>
      </c>
      <c r="AL408" s="10">
        <v>7640717</v>
      </c>
      <c r="AM408" s="10">
        <v>2842068</v>
      </c>
      <c r="AN408" s="31">
        <v>5339690</v>
      </c>
      <c r="AO408" s="10">
        <v>7427448</v>
      </c>
      <c r="AP408" s="10">
        <v>2738987</v>
      </c>
      <c r="AQ408" s="31">
        <v>5375880</v>
      </c>
    </row>
    <row r="409" spans="1:43">
      <c r="A409" s="102">
        <v>760</v>
      </c>
      <c r="B409" s="7" t="s">
        <v>2099</v>
      </c>
      <c r="C409" s="103">
        <v>40.42</v>
      </c>
      <c r="D409" s="62">
        <v>13321046</v>
      </c>
      <c r="E409" s="37">
        <v>7724834</v>
      </c>
      <c r="F409" s="62">
        <v>5693535.0000000009</v>
      </c>
      <c r="G409" s="62">
        <v>14290967</v>
      </c>
      <c r="H409" s="62">
        <v>8518476</v>
      </c>
      <c r="I409" s="62">
        <v>6060844</v>
      </c>
      <c r="J409" s="62">
        <v>15151746</v>
      </c>
      <c r="K409" s="62">
        <v>9152272</v>
      </c>
      <c r="L409" s="62">
        <v>6377611</v>
      </c>
      <c r="M409" s="62">
        <v>16633749</v>
      </c>
      <c r="N409" s="62">
        <v>9695605</v>
      </c>
      <c r="O409" s="62">
        <v>6223582</v>
      </c>
      <c r="P409" s="62">
        <v>731417</v>
      </c>
      <c r="Q409" s="62">
        <v>17042793.321339712</v>
      </c>
      <c r="R409" s="62">
        <v>10087324</v>
      </c>
      <c r="S409" s="62">
        <v>6815899</v>
      </c>
      <c r="T409" s="62">
        <v>139570</v>
      </c>
      <c r="U409" s="62">
        <v>17072736.708000001</v>
      </c>
      <c r="V409" s="62">
        <v>10313024</v>
      </c>
      <c r="W409" s="62">
        <v>6630012</v>
      </c>
      <c r="X409" s="62">
        <v>35593</v>
      </c>
      <c r="Y409" s="62">
        <v>335739</v>
      </c>
      <c r="Z409" s="62">
        <v>17435883</v>
      </c>
      <c r="AA409" s="62">
        <v>10508810</v>
      </c>
      <c r="AB409" s="62">
        <v>6927073</v>
      </c>
      <c r="AC409" s="10">
        <v>18150262</v>
      </c>
      <c r="AD409" s="10">
        <v>11017327</v>
      </c>
      <c r="AE409" s="10">
        <v>7202389.2436499996</v>
      </c>
      <c r="AF409" s="10">
        <v>19039526</v>
      </c>
      <c r="AG409" s="10">
        <v>11580385</v>
      </c>
      <c r="AH409" s="10">
        <v>7571134.5369499996</v>
      </c>
      <c r="AI409" s="10">
        <v>18899966</v>
      </c>
      <c r="AJ409" s="10">
        <v>11622559</v>
      </c>
      <c r="AK409" s="31">
        <v>7617506.5369499996</v>
      </c>
      <c r="AL409" s="10">
        <v>19669150</v>
      </c>
      <c r="AM409" s="10">
        <v>12263148</v>
      </c>
      <c r="AN409" s="31">
        <v>7663956.5369499996</v>
      </c>
      <c r="AO409" s="10">
        <v>20069649</v>
      </c>
      <c r="AP409" s="10">
        <v>12089575</v>
      </c>
      <c r="AQ409" s="31">
        <v>7980074</v>
      </c>
    </row>
    <row r="410" spans="1:43">
      <c r="A410" s="102">
        <v>763</v>
      </c>
      <c r="B410" s="7" t="s">
        <v>1669</v>
      </c>
      <c r="C410" s="103">
        <v>41.69</v>
      </c>
      <c r="D410" s="62"/>
      <c r="E410" s="37"/>
      <c r="F410" s="62"/>
      <c r="G410" s="62"/>
      <c r="H410" s="62"/>
      <c r="I410" s="62"/>
      <c r="J410" s="62"/>
      <c r="K410" s="62"/>
      <c r="L410" s="62"/>
      <c r="M410" s="62"/>
      <c r="N410" s="62"/>
      <c r="O410" s="62"/>
      <c r="P410" s="62"/>
      <c r="Q410" s="62">
        <v>0</v>
      </c>
      <c r="R410" s="62"/>
      <c r="S410" s="62"/>
      <c r="T410" s="62"/>
      <c r="U410" s="62">
        <v>8934024</v>
      </c>
      <c r="V410" s="62">
        <v>6024631.0156340012</v>
      </c>
      <c r="W410" s="62">
        <v>3020271</v>
      </c>
      <c r="X410" s="62">
        <v>16235</v>
      </c>
      <c r="Y410" s="62">
        <v>120381</v>
      </c>
      <c r="Z410" s="62">
        <v>9240084</v>
      </c>
      <c r="AA410" s="62">
        <v>6119915</v>
      </c>
      <c r="AB410" s="62">
        <v>3120169</v>
      </c>
      <c r="AC410" s="10">
        <v>9949356</v>
      </c>
      <c r="AD410" s="10">
        <v>6253551</v>
      </c>
      <c r="AE410" s="10">
        <v>3771017.8262999998</v>
      </c>
      <c r="AF410" s="10">
        <v>10006703</v>
      </c>
      <c r="AG410" s="10">
        <v>6377384</v>
      </c>
      <c r="AH410" s="10">
        <v>3795642.8262999998</v>
      </c>
      <c r="AI410" s="10">
        <v>10050573</v>
      </c>
      <c r="AJ410" s="10">
        <v>6394899</v>
      </c>
      <c r="AK410" s="31">
        <v>3820117.8262999998</v>
      </c>
      <c r="AL410" s="10">
        <v>9594365</v>
      </c>
      <c r="AM410" s="10">
        <v>6056531</v>
      </c>
      <c r="AN410" s="31">
        <v>3843167.8262999998</v>
      </c>
      <c r="AO410" s="10">
        <v>10019595</v>
      </c>
      <c r="AP410" s="10">
        <v>5882456</v>
      </c>
      <c r="AQ410" s="31">
        <v>4137139</v>
      </c>
    </row>
    <row r="411" spans="1:43">
      <c r="A411" s="102">
        <v>765</v>
      </c>
      <c r="B411" s="7" t="s">
        <v>2100</v>
      </c>
      <c r="C411" s="103">
        <v>17.5</v>
      </c>
      <c r="D411" s="62">
        <v>6853294</v>
      </c>
      <c r="E411" s="37">
        <v>6969793</v>
      </c>
      <c r="F411" s="62">
        <v>1733974</v>
      </c>
      <c r="G411" s="62">
        <v>7077639</v>
      </c>
      <c r="H411" s="62">
        <v>7054068</v>
      </c>
      <c r="I411" s="62">
        <v>1779274</v>
      </c>
      <c r="J411" s="62">
        <v>7434729</v>
      </c>
      <c r="K411" s="62">
        <v>7019446</v>
      </c>
      <c r="L411" s="62">
        <v>1862619</v>
      </c>
      <c r="M411" s="62">
        <v>7749803</v>
      </c>
      <c r="N411" s="62">
        <v>6862924</v>
      </c>
      <c r="O411" s="62">
        <v>1735164</v>
      </c>
      <c r="P411" s="62">
        <v>203923</v>
      </c>
      <c r="Q411" s="62">
        <v>7701585.2769377995</v>
      </c>
      <c r="R411" s="62">
        <v>6957008</v>
      </c>
      <c r="S411" s="62">
        <v>1900305</v>
      </c>
      <c r="T411" s="62">
        <v>0</v>
      </c>
      <c r="U411" s="62">
        <v>7684458.96</v>
      </c>
      <c r="V411" s="62">
        <v>6952302</v>
      </c>
      <c r="W411" s="62">
        <v>1789290</v>
      </c>
      <c r="X411" s="62">
        <v>9606</v>
      </c>
      <c r="Y411" s="62">
        <v>123334</v>
      </c>
      <c r="Z411" s="62">
        <v>7591122</v>
      </c>
      <c r="AA411" s="62">
        <v>6997774</v>
      </c>
      <c r="AB411" s="62">
        <v>1798896</v>
      </c>
      <c r="AC411" s="10">
        <v>7425917</v>
      </c>
      <c r="AD411" s="10">
        <v>6948964</v>
      </c>
      <c r="AE411" s="10">
        <v>1830896</v>
      </c>
      <c r="AF411" s="10">
        <v>7307651</v>
      </c>
      <c r="AG411" s="10">
        <v>7007679</v>
      </c>
      <c r="AH411" s="10">
        <v>1850096</v>
      </c>
      <c r="AI411" s="10">
        <v>7132076</v>
      </c>
      <c r="AJ411" s="10">
        <v>6413209</v>
      </c>
      <c r="AK411" s="31">
        <v>1869396</v>
      </c>
      <c r="AL411" s="10">
        <v>7553559</v>
      </c>
      <c r="AM411" s="10">
        <v>6368170</v>
      </c>
      <c r="AN411" s="31">
        <v>1888246</v>
      </c>
      <c r="AO411" s="10">
        <v>7411694</v>
      </c>
      <c r="AP411" s="10">
        <v>6160497</v>
      </c>
      <c r="AQ411" s="31">
        <v>1927571</v>
      </c>
    </row>
    <row r="412" spans="1:43">
      <c r="A412" s="102">
        <v>766</v>
      </c>
      <c r="B412" s="7" t="s">
        <v>1671</v>
      </c>
      <c r="C412" s="103">
        <v>35.67</v>
      </c>
      <c r="D412" s="62">
        <v>12815911</v>
      </c>
      <c r="E412" s="37">
        <v>5574268</v>
      </c>
      <c r="F412" s="62">
        <v>7241643</v>
      </c>
      <c r="G412" s="62">
        <v>13803858</v>
      </c>
      <c r="H412" s="62">
        <v>5990969</v>
      </c>
      <c r="I412" s="62">
        <v>7812889</v>
      </c>
      <c r="J412" s="62">
        <v>14257212</v>
      </c>
      <c r="K412" s="62">
        <v>6442013</v>
      </c>
      <c r="L412" s="62">
        <v>8037753</v>
      </c>
      <c r="M412" s="62">
        <v>14939371</v>
      </c>
      <c r="N412" s="62">
        <v>6703364</v>
      </c>
      <c r="O412" s="62">
        <v>7499327</v>
      </c>
      <c r="P412" s="62">
        <v>881347</v>
      </c>
      <c r="Q412" s="62">
        <v>15526560.214354068</v>
      </c>
      <c r="R412" s="62">
        <v>6881234</v>
      </c>
      <c r="S412" s="62">
        <v>8213061</v>
      </c>
      <c r="T412" s="62">
        <v>432265</v>
      </c>
      <c r="U412" s="62">
        <v>14765244.486</v>
      </c>
      <c r="V412" s="62">
        <v>7056511</v>
      </c>
      <c r="W412" s="62">
        <v>8140267</v>
      </c>
      <c r="X412" s="62">
        <v>43700</v>
      </c>
      <c r="Y412" s="62">
        <v>503859</v>
      </c>
      <c r="Z412" s="62">
        <v>16668383</v>
      </c>
      <c r="AA412" s="62">
        <v>8578921</v>
      </c>
      <c r="AB412" s="62">
        <v>9431433</v>
      </c>
      <c r="AC412" s="10">
        <v>16707052</v>
      </c>
      <c r="AD412" s="10">
        <v>8956864</v>
      </c>
      <c r="AE412" s="10">
        <v>9503073</v>
      </c>
      <c r="AF412" s="10">
        <v>16783207</v>
      </c>
      <c r="AG412" s="10">
        <v>9329641</v>
      </c>
      <c r="AH412" s="10">
        <v>9546823</v>
      </c>
      <c r="AI412" s="10">
        <v>16539210</v>
      </c>
      <c r="AJ412" s="10">
        <v>9831214</v>
      </c>
      <c r="AK412" s="31">
        <v>9588623</v>
      </c>
      <c r="AL412" s="10">
        <v>16275297</v>
      </c>
      <c r="AM412" s="10">
        <v>10235762</v>
      </c>
      <c r="AN412" s="31">
        <v>9628898</v>
      </c>
      <c r="AO412" s="10">
        <v>16154792</v>
      </c>
      <c r="AP412" s="10">
        <v>10380318</v>
      </c>
      <c r="AQ412" s="31">
        <v>9715578</v>
      </c>
    </row>
    <row r="413" spans="1:43">
      <c r="A413" s="102">
        <v>767</v>
      </c>
      <c r="B413" s="7" t="s">
        <v>2101</v>
      </c>
      <c r="C413" s="103">
        <v>54.49</v>
      </c>
      <c r="D413" s="62">
        <v>16645826</v>
      </c>
      <c r="E413" s="37">
        <v>4067456</v>
      </c>
      <c r="F413" s="62">
        <v>12578370</v>
      </c>
      <c r="G413" s="62">
        <v>17597929</v>
      </c>
      <c r="H413" s="62">
        <v>4757111</v>
      </c>
      <c r="I413" s="62">
        <v>13106216</v>
      </c>
      <c r="J413" s="62">
        <v>18350163</v>
      </c>
      <c r="K413" s="62">
        <v>5038864</v>
      </c>
      <c r="L413" s="62">
        <v>13522201</v>
      </c>
      <c r="M413" s="62">
        <v>19528044</v>
      </c>
      <c r="N413" s="62">
        <v>5259510</v>
      </c>
      <c r="O413" s="62">
        <v>12767994</v>
      </c>
      <c r="P413" s="62">
        <v>1500540</v>
      </c>
      <c r="Q413" s="62">
        <v>19758448.511387561</v>
      </c>
      <c r="R413" s="62">
        <v>5909466</v>
      </c>
      <c r="S413" s="62">
        <v>13983163</v>
      </c>
      <c r="T413" s="62">
        <v>0</v>
      </c>
      <c r="U413" s="62">
        <v>18373741.745999999</v>
      </c>
      <c r="V413" s="62">
        <v>6026675</v>
      </c>
      <c r="W413" s="62">
        <v>13166267</v>
      </c>
      <c r="X413" s="62">
        <v>70682</v>
      </c>
      <c r="Y413" s="62">
        <v>795214</v>
      </c>
      <c r="Z413" s="62">
        <v>18885409</v>
      </c>
      <c r="AA413" s="62">
        <v>6269918</v>
      </c>
      <c r="AB413" s="62">
        <v>13236949</v>
      </c>
      <c r="AC413" s="10">
        <v>19620951</v>
      </c>
      <c r="AD413" s="10">
        <v>6527063</v>
      </c>
      <c r="AE413" s="10">
        <v>13315389</v>
      </c>
      <c r="AF413" s="10">
        <v>19752991</v>
      </c>
      <c r="AG413" s="10">
        <v>6679987</v>
      </c>
      <c r="AH413" s="10">
        <v>13363889</v>
      </c>
      <c r="AI413" s="10">
        <v>19886690</v>
      </c>
      <c r="AJ413" s="10">
        <v>6981057</v>
      </c>
      <c r="AK413" s="31">
        <v>13412164</v>
      </c>
      <c r="AL413" s="10">
        <v>19202300</v>
      </c>
      <c r="AM413" s="10">
        <v>7237563</v>
      </c>
      <c r="AN413" s="31">
        <v>13457639</v>
      </c>
      <c r="AO413" s="10">
        <v>18292027</v>
      </c>
      <c r="AP413" s="10">
        <v>7540396</v>
      </c>
      <c r="AQ413" s="31">
        <v>13553834</v>
      </c>
    </row>
    <row r="414" spans="1:43">
      <c r="A414" s="102">
        <v>770</v>
      </c>
      <c r="B414" s="7" t="s">
        <v>2102</v>
      </c>
      <c r="C414" s="103">
        <v>46.76</v>
      </c>
      <c r="D414" s="62">
        <v>13580390</v>
      </c>
      <c r="E414" s="37">
        <v>7605305</v>
      </c>
      <c r="F414" s="62">
        <v>6707029</v>
      </c>
      <c r="G414" s="62">
        <v>15046973</v>
      </c>
      <c r="H414" s="62">
        <v>8686343</v>
      </c>
      <c r="I414" s="62">
        <v>7420522</v>
      </c>
      <c r="J414" s="62">
        <v>15970260</v>
      </c>
      <c r="K414" s="62">
        <v>9193635</v>
      </c>
      <c r="L414" s="62">
        <v>7855113</v>
      </c>
      <c r="M414" s="62">
        <v>16430281</v>
      </c>
      <c r="N414" s="62">
        <v>9386267</v>
      </c>
      <c r="O414" s="62">
        <v>7217816</v>
      </c>
      <c r="P414" s="62">
        <v>848263</v>
      </c>
      <c r="Q414" s="62">
        <v>16633736.353684211</v>
      </c>
      <c r="R414" s="62">
        <v>9400405</v>
      </c>
      <c r="S414" s="62">
        <v>7904757</v>
      </c>
      <c r="T414" s="62">
        <v>0</v>
      </c>
      <c r="U414" s="62">
        <v>15980906.310000001</v>
      </c>
      <c r="V414" s="62">
        <v>9314281</v>
      </c>
      <c r="W414" s="62">
        <v>7442962</v>
      </c>
      <c r="X414" s="62">
        <v>39957</v>
      </c>
      <c r="Y414" s="62">
        <v>462563</v>
      </c>
      <c r="Z414" s="62">
        <v>16224252</v>
      </c>
      <c r="AA414" s="62">
        <v>9446479</v>
      </c>
      <c r="AB414" s="62">
        <v>7482919</v>
      </c>
      <c r="AC414" s="10">
        <v>16427458</v>
      </c>
      <c r="AD414" s="10">
        <v>9458186</v>
      </c>
      <c r="AE414" s="10">
        <v>7547159</v>
      </c>
      <c r="AF414" s="10">
        <v>17338059</v>
      </c>
      <c r="AG414" s="10">
        <v>10016205</v>
      </c>
      <c r="AH414" s="10">
        <v>7602665.309475</v>
      </c>
      <c r="AI414" s="10">
        <v>17582598</v>
      </c>
      <c r="AJ414" s="10">
        <v>10044332</v>
      </c>
      <c r="AK414" s="31">
        <v>7701145.309475</v>
      </c>
      <c r="AL414" s="10">
        <v>18183142</v>
      </c>
      <c r="AM414" s="10">
        <v>10066601</v>
      </c>
      <c r="AN414" s="31">
        <v>8116541</v>
      </c>
      <c r="AO414" s="10">
        <v>18521079</v>
      </c>
      <c r="AP414" s="10">
        <v>9975508</v>
      </c>
      <c r="AQ414" s="31">
        <v>8545571</v>
      </c>
    </row>
    <row r="415" spans="1:43">
      <c r="A415" s="102">
        <v>773</v>
      </c>
      <c r="B415" s="7" t="s">
        <v>2103</v>
      </c>
      <c r="C415" s="103">
        <v>17.510000000000002</v>
      </c>
      <c r="D415" s="62">
        <v>24298847</v>
      </c>
      <c r="E415" s="37">
        <v>17072630</v>
      </c>
      <c r="F415" s="62">
        <v>7792907.9999999981</v>
      </c>
      <c r="G415" s="62">
        <v>25952449</v>
      </c>
      <c r="H415" s="62">
        <v>18085444</v>
      </c>
      <c r="I415" s="62">
        <v>8297753</v>
      </c>
      <c r="J415" s="62">
        <v>26566548</v>
      </c>
      <c r="K415" s="62">
        <v>19085868</v>
      </c>
      <c r="L415" s="62">
        <v>8463498</v>
      </c>
      <c r="M415" s="62">
        <v>27588090</v>
      </c>
      <c r="N415" s="62">
        <v>19936190</v>
      </c>
      <c r="O415" s="62">
        <v>7824273</v>
      </c>
      <c r="P415" s="62">
        <v>919536</v>
      </c>
      <c r="Q415" s="62">
        <v>27881099.599617224</v>
      </c>
      <c r="R415" s="62">
        <v>20765902</v>
      </c>
      <c r="S415" s="62">
        <v>8568933</v>
      </c>
      <c r="T415" s="62">
        <v>0</v>
      </c>
      <c r="U415" s="62">
        <v>27238757.220000003</v>
      </c>
      <c r="V415" s="62">
        <v>21107766</v>
      </c>
      <c r="W415" s="62">
        <v>8068337</v>
      </c>
      <c r="X415" s="62">
        <v>43314</v>
      </c>
      <c r="Y415" s="62">
        <v>535182</v>
      </c>
      <c r="Z415" s="62">
        <v>26824765</v>
      </c>
      <c r="AA415" s="62">
        <v>21271799</v>
      </c>
      <c r="AB415" s="62">
        <v>8111651</v>
      </c>
      <c r="AC415" s="10">
        <v>26774026</v>
      </c>
      <c r="AD415" s="10">
        <v>21942837</v>
      </c>
      <c r="AE415" s="10">
        <v>8226571</v>
      </c>
      <c r="AF415" s="10">
        <v>26448890</v>
      </c>
      <c r="AG415" s="10">
        <v>22380186</v>
      </c>
      <c r="AH415" s="10">
        <v>8295596</v>
      </c>
      <c r="AI415" s="10">
        <v>25789437</v>
      </c>
      <c r="AJ415" s="10">
        <v>21866153</v>
      </c>
      <c r="AK415" s="31">
        <v>8362546</v>
      </c>
      <c r="AL415" s="10">
        <v>25722812</v>
      </c>
      <c r="AM415" s="10">
        <v>21834988</v>
      </c>
      <c r="AN415" s="31">
        <v>8428221</v>
      </c>
      <c r="AO415" s="10">
        <v>24821868</v>
      </c>
      <c r="AP415" s="10">
        <v>20787254</v>
      </c>
      <c r="AQ415" s="31">
        <v>8564841</v>
      </c>
    </row>
    <row r="416" spans="1:43">
      <c r="A416" s="102">
        <v>774</v>
      </c>
      <c r="B416" s="7" t="s">
        <v>1675</v>
      </c>
      <c r="C416" s="103">
        <v>17.510000000000002</v>
      </c>
      <c r="D416" s="62">
        <v>2818004</v>
      </c>
      <c r="E416" s="37">
        <v>3631100</v>
      </c>
      <c r="F416" s="62">
        <v>787574.4</v>
      </c>
      <c r="G416" s="62">
        <v>2663328</v>
      </c>
      <c r="H416" s="62">
        <v>3211483</v>
      </c>
      <c r="I416" s="62">
        <v>806324.4</v>
      </c>
      <c r="J416" s="62">
        <v>2717737</v>
      </c>
      <c r="K416" s="62">
        <v>2976843</v>
      </c>
      <c r="L416" s="62">
        <v>824474.4</v>
      </c>
      <c r="M416" s="62">
        <v>2781909</v>
      </c>
      <c r="N416" s="62">
        <v>2936509</v>
      </c>
      <c r="O416" s="62">
        <v>753921.4</v>
      </c>
      <c r="P416" s="62">
        <v>88603</v>
      </c>
      <c r="Q416" s="62">
        <v>2963440.2602870818</v>
      </c>
      <c r="R416" s="62">
        <v>3058634</v>
      </c>
      <c r="S416" s="62">
        <v>825674</v>
      </c>
      <c r="T416" s="62">
        <v>0</v>
      </c>
      <c r="U416" s="62">
        <v>2883583.122</v>
      </c>
      <c r="V416" s="62">
        <v>2954241</v>
      </c>
      <c r="W416" s="62">
        <v>777438</v>
      </c>
      <c r="X416" s="62">
        <v>4174</v>
      </c>
      <c r="Y416" s="62">
        <v>53162</v>
      </c>
      <c r="Z416" s="62">
        <v>2947159</v>
      </c>
      <c r="AA416" s="62">
        <v>2938229</v>
      </c>
      <c r="AB416" s="62">
        <v>781612</v>
      </c>
      <c r="AC416" s="10">
        <v>2938330</v>
      </c>
      <c r="AD416" s="10">
        <v>2789900</v>
      </c>
      <c r="AE416" s="10">
        <v>795572</v>
      </c>
      <c r="AF416" s="10">
        <v>2924404</v>
      </c>
      <c r="AG416" s="10">
        <v>2799531</v>
      </c>
      <c r="AH416" s="10">
        <v>804072</v>
      </c>
      <c r="AI416" s="10">
        <v>3060576</v>
      </c>
      <c r="AJ416" s="10">
        <v>2703741</v>
      </c>
      <c r="AK416" s="31">
        <v>812797</v>
      </c>
      <c r="AL416" s="10">
        <v>3393222</v>
      </c>
      <c r="AM416" s="10">
        <v>2857444</v>
      </c>
      <c r="AN416" s="31">
        <v>821922</v>
      </c>
      <c r="AO416" s="10">
        <v>3590852</v>
      </c>
      <c r="AP416" s="10">
        <v>2932767</v>
      </c>
      <c r="AQ416" s="31">
        <v>842602</v>
      </c>
    </row>
    <row r="417" spans="1:43">
      <c r="A417" s="102">
        <v>775</v>
      </c>
      <c r="B417" s="7" t="s">
        <v>2104</v>
      </c>
      <c r="C417" s="103">
        <v>40.11</v>
      </c>
      <c r="D417" s="62">
        <v>48282346</v>
      </c>
      <c r="E417" s="37">
        <v>33777538</v>
      </c>
      <c r="F417" s="62">
        <v>14580116</v>
      </c>
      <c r="G417" s="62">
        <v>51403850</v>
      </c>
      <c r="H417" s="62">
        <v>35230245</v>
      </c>
      <c r="I417" s="62">
        <v>16173605</v>
      </c>
      <c r="J417" s="62">
        <v>54801725</v>
      </c>
      <c r="K417" s="62">
        <v>35455524</v>
      </c>
      <c r="L417" s="62">
        <v>19346201</v>
      </c>
      <c r="M417" s="62">
        <v>58236852</v>
      </c>
      <c r="N417" s="62">
        <v>36308065</v>
      </c>
      <c r="O417" s="62">
        <v>19622662</v>
      </c>
      <c r="P417" s="62">
        <v>2306125</v>
      </c>
      <c r="Q417" s="62">
        <v>59911476.039043061</v>
      </c>
      <c r="R417" s="62">
        <v>37367519</v>
      </c>
      <c r="S417" s="62">
        <v>21490211</v>
      </c>
      <c r="T417" s="62">
        <v>1053746</v>
      </c>
      <c r="U417" s="62">
        <v>59254110.450000003</v>
      </c>
      <c r="V417" s="62">
        <v>37595289</v>
      </c>
      <c r="W417" s="62">
        <v>21243244</v>
      </c>
      <c r="X417" s="62">
        <v>114043</v>
      </c>
      <c r="Y417" s="62">
        <v>1365920</v>
      </c>
      <c r="Z417" s="62">
        <v>60601665</v>
      </c>
      <c r="AA417" s="62">
        <v>38212334</v>
      </c>
      <c r="AB417" s="62">
        <v>22389331</v>
      </c>
      <c r="AC417" s="10">
        <v>63034725</v>
      </c>
      <c r="AD417" s="10">
        <v>39189250</v>
      </c>
      <c r="AE417" s="10">
        <v>24301041.254999999</v>
      </c>
      <c r="AF417" s="10">
        <v>63737669</v>
      </c>
      <c r="AG417" s="10">
        <v>39961275</v>
      </c>
      <c r="AH417" s="10">
        <v>24731803.504425</v>
      </c>
      <c r="AI417" s="10">
        <v>63713837</v>
      </c>
      <c r="AJ417" s="10">
        <v>39643665</v>
      </c>
      <c r="AK417" s="31">
        <v>24988919.504425</v>
      </c>
      <c r="AL417" s="10">
        <v>65656785</v>
      </c>
      <c r="AM417" s="10">
        <v>40218460</v>
      </c>
      <c r="AN417" s="31">
        <v>25438325</v>
      </c>
      <c r="AO417" s="10">
        <v>65958496</v>
      </c>
      <c r="AP417" s="10">
        <v>39859181</v>
      </c>
      <c r="AQ417" s="31">
        <v>26385616</v>
      </c>
    </row>
    <row r="418" spans="1:43">
      <c r="A418" s="102">
        <v>778</v>
      </c>
      <c r="B418" s="7" t="s">
        <v>1677</v>
      </c>
      <c r="C418" s="103">
        <v>62</v>
      </c>
      <c r="D418" s="62">
        <v>11141894</v>
      </c>
      <c r="E418" s="37">
        <v>3567006</v>
      </c>
      <c r="F418" s="62">
        <v>7574888</v>
      </c>
      <c r="G418" s="62">
        <v>11791190</v>
      </c>
      <c r="H418" s="62">
        <v>3881276</v>
      </c>
      <c r="I418" s="62">
        <v>7991217</v>
      </c>
      <c r="J418" s="62">
        <v>12254851</v>
      </c>
      <c r="K418" s="62">
        <v>4136812</v>
      </c>
      <c r="L418" s="62">
        <v>8281608</v>
      </c>
      <c r="M418" s="62">
        <v>12617536</v>
      </c>
      <c r="N418" s="62">
        <v>4373441</v>
      </c>
      <c r="O418" s="62">
        <v>8157632</v>
      </c>
      <c r="P418" s="62">
        <v>347753</v>
      </c>
      <c r="Q418" s="62">
        <v>12703713.843444977</v>
      </c>
      <c r="R418" s="62">
        <v>4409832</v>
      </c>
      <c r="S418" s="62">
        <v>8335277</v>
      </c>
      <c r="T418" s="62">
        <v>0</v>
      </c>
      <c r="U418" s="62">
        <v>12453350.286</v>
      </c>
      <c r="V418" s="62">
        <v>4490234</v>
      </c>
      <c r="W418" s="62">
        <v>7848331</v>
      </c>
      <c r="X418" s="62">
        <v>42133</v>
      </c>
      <c r="Y418" s="62">
        <v>479238</v>
      </c>
      <c r="Z418" s="62">
        <v>13025123</v>
      </c>
      <c r="AA418" s="62">
        <v>4631357</v>
      </c>
      <c r="AB418" s="62">
        <v>8393766</v>
      </c>
      <c r="AC418" s="10">
        <v>12911828</v>
      </c>
      <c r="AD418" s="10">
        <v>4742222</v>
      </c>
      <c r="AE418" s="10">
        <v>8447086</v>
      </c>
      <c r="AF418" s="10">
        <v>13046235</v>
      </c>
      <c r="AG418" s="10">
        <v>4894859</v>
      </c>
      <c r="AH418" s="10">
        <v>8479786</v>
      </c>
      <c r="AI418" s="10">
        <v>13203478</v>
      </c>
      <c r="AJ418" s="10">
        <v>5067470</v>
      </c>
      <c r="AK418" s="31">
        <v>8512186</v>
      </c>
      <c r="AL418" s="10">
        <v>13357209</v>
      </c>
      <c r="AM418" s="10">
        <v>5095756</v>
      </c>
      <c r="AN418" s="31">
        <v>8544111</v>
      </c>
      <c r="AO418" s="10">
        <v>13599319</v>
      </c>
      <c r="AP418" s="10">
        <v>5113624</v>
      </c>
      <c r="AQ418" s="31">
        <v>8615171</v>
      </c>
    </row>
    <row r="419" spans="1:43">
      <c r="A419" s="102">
        <v>780</v>
      </c>
      <c r="B419" s="7" t="s">
        <v>2105</v>
      </c>
      <c r="C419" s="103">
        <v>52.13</v>
      </c>
      <c r="D419" s="62">
        <v>30538240</v>
      </c>
      <c r="E419" s="37">
        <v>9106058</v>
      </c>
      <c r="F419" s="62">
        <v>21432182</v>
      </c>
      <c r="G419" s="62">
        <v>32259424</v>
      </c>
      <c r="H419" s="62">
        <v>9879380</v>
      </c>
      <c r="I419" s="62">
        <v>22380044</v>
      </c>
      <c r="J419" s="62">
        <v>33351647</v>
      </c>
      <c r="K419" s="62">
        <v>10636667</v>
      </c>
      <c r="L419" s="62">
        <v>22947017</v>
      </c>
      <c r="M419" s="62">
        <v>35222900</v>
      </c>
      <c r="N419" s="62">
        <v>11243141</v>
      </c>
      <c r="O419" s="62">
        <v>21457945</v>
      </c>
      <c r="P419" s="62">
        <v>2521814</v>
      </c>
      <c r="Q419" s="62">
        <v>36937606.644976079</v>
      </c>
      <c r="R419" s="62">
        <v>12830981</v>
      </c>
      <c r="S419" s="62">
        <v>23500164</v>
      </c>
      <c r="T419" s="62">
        <v>606462</v>
      </c>
      <c r="U419" s="62">
        <v>36853531.943999998</v>
      </c>
      <c r="V419" s="62">
        <v>13057622</v>
      </c>
      <c r="W419" s="62">
        <v>23339328</v>
      </c>
      <c r="X419" s="62">
        <v>125296</v>
      </c>
      <c r="Y419" s="62">
        <v>749752</v>
      </c>
      <c r="Z419" s="62">
        <v>36625906</v>
      </c>
      <c r="AA419" s="62">
        <v>13430108</v>
      </c>
      <c r="AB419" s="62">
        <v>23464624</v>
      </c>
      <c r="AC419" s="10">
        <v>37691613</v>
      </c>
      <c r="AD419" s="10">
        <v>14011112</v>
      </c>
      <c r="AE419" s="10">
        <v>23680501</v>
      </c>
      <c r="AF419" s="10">
        <v>38579785</v>
      </c>
      <c r="AG419" s="10">
        <v>14560975</v>
      </c>
      <c r="AH419" s="10">
        <v>24018810</v>
      </c>
      <c r="AI419" s="10">
        <v>38173063</v>
      </c>
      <c r="AJ419" s="10">
        <v>15278470</v>
      </c>
      <c r="AK419" s="31">
        <v>24120485</v>
      </c>
      <c r="AL419" s="10">
        <v>38322360</v>
      </c>
      <c r="AM419" s="10">
        <v>16147370</v>
      </c>
      <c r="AN419" s="31">
        <v>24219585</v>
      </c>
      <c r="AO419" s="10">
        <v>38333512</v>
      </c>
      <c r="AP419" s="10">
        <v>16774824</v>
      </c>
      <c r="AQ419" s="31">
        <v>24436230</v>
      </c>
    </row>
    <row r="420" spans="1:43">
      <c r="A420" s="102">
        <v>801</v>
      </c>
      <c r="B420" s="7" t="s">
        <v>2106</v>
      </c>
      <c r="C420" s="103">
        <v>37.03</v>
      </c>
      <c r="D420" s="62">
        <v>8391985</v>
      </c>
      <c r="E420" s="37">
        <v>7333682</v>
      </c>
      <c r="F420" s="62">
        <v>2477600.4</v>
      </c>
      <c r="G420" s="62">
        <v>9303432</v>
      </c>
      <c r="H420" s="62">
        <v>7595626</v>
      </c>
      <c r="I420" s="62">
        <v>2733990.4</v>
      </c>
      <c r="J420" s="62">
        <v>9764859</v>
      </c>
      <c r="K420" s="62">
        <v>7625516</v>
      </c>
      <c r="L420" s="62">
        <v>2878463.4</v>
      </c>
      <c r="M420" s="62">
        <v>9921868</v>
      </c>
      <c r="N420" s="62">
        <v>7323853</v>
      </c>
      <c r="O420" s="62">
        <v>2679432.4</v>
      </c>
      <c r="P420" s="62">
        <v>314896</v>
      </c>
      <c r="Q420" s="62">
        <v>10283013.364976078</v>
      </c>
      <c r="R420" s="62">
        <v>7403603</v>
      </c>
      <c r="S420" s="62">
        <v>2934442</v>
      </c>
      <c r="T420" s="62">
        <v>0</v>
      </c>
      <c r="U420" s="62">
        <v>9970968.1919999998</v>
      </c>
      <c r="V420" s="62">
        <v>7231682</v>
      </c>
      <c r="W420" s="62">
        <v>2763012</v>
      </c>
      <c r="X420" s="62">
        <v>14833</v>
      </c>
      <c r="Y420" s="62">
        <v>173097</v>
      </c>
      <c r="Z420" s="62">
        <v>10706516</v>
      </c>
      <c r="AA420" s="62">
        <v>7640401</v>
      </c>
      <c r="AB420" s="62">
        <v>3066115</v>
      </c>
      <c r="AC420" s="10">
        <v>11638299</v>
      </c>
      <c r="AD420" s="10">
        <v>8079707</v>
      </c>
      <c r="AE420" s="10">
        <v>3688749.9498749999</v>
      </c>
      <c r="AF420" s="10">
        <v>11645533</v>
      </c>
      <c r="AG420" s="10">
        <v>8015009</v>
      </c>
      <c r="AH420" s="10">
        <v>3773901.0669062501</v>
      </c>
      <c r="AI420" s="10">
        <v>11767240</v>
      </c>
      <c r="AJ420" s="10">
        <v>7930239</v>
      </c>
      <c r="AK420" s="31">
        <v>3884226.0669062501</v>
      </c>
      <c r="AL420" s="10">
        <v>12473207</v>
      </c>
      <c r="AM420" s="10">
        <v>8071058</v>
      </c>
      <c r="AN420" s="31">
        <v>4402149</v>
      </c>
      <c r="AO420" s="10">
        <v>12802558</v>
      </c>
      <c r="AP420" s="10">
        <v>8119414</v>
      </c>
      <c r="AQ420" s="31">
        <v>4744172</v>
      </c>
    </row>
    <row r="421" spans="1:43">
      <c r="A421" s="102">
        <v>805</v>
      </c>
      <c r="B421" s="7" t="s">
        <v>2107</v>
      </c>
      <c r="C421" s="103">
        <v>41.91</v>
      </c>
      <c r="D421" s="62">
        <v>9538740</v>
      </c>
      <c r="E421" s="37">
        <v>4657490</v>
      </c>
      <c r="F421" s="62">
        <v>4881250</v>
      </c>
      <c r="G421" s="62">
        <v>11634064</v>
      </c>
      <c r="H421" s="62">
        <v>5661661</v>
      </c>
      <c r="I421" s="62">
        <v>5972403</v>
      </c>
      <c r="J421" s="62">
        <v>13058784</v>
      </c>
      <c r="K421" s="62">
        <v>6650789</v>
      </c>
      <c r="L421" s="62">
        <v>6607116</v>
      </c>
      <c r="M421" s="62">
        <v>14423992</v>
      </c>
      <c r="N421" s="62">
        <v>7306124</v>
      </c>
      <c r="O421" s="62">
        <v>6462753</v>
      </c>
      <c r="P421" s="62">
        <v>759526</v>
      </c>
      <c r="Q421" s="62">
        <v>15755118.710813399</v>
      </c>
      <c r="R421" s="62">
        <v>8124101</v>
      </c>
      <c r="S421" s="62">
        <v>7077833</v>
      </c>
      <c r="T421" s="62">
        <v>553185</v>
      </c>
      <c r="U421" s="62">
        <v>16047786.84</v>
      </c>
      <c r="V421" s="62">
        <v>8574515</v>
      </c>
      <c r="W421" s="62">
        <v>7329879</v>
      </c>
      <c r="X421" s="62">
        <v>39350</v>
      </c>
      <c r="Y421" s="62">
        <v>290739</v>
      </c>
      <c r="Z421" s="62">
        <v>16495490</v>
      </c>
      <c r="AA421" s="62">
        <v>8881138</v>
      </c>
      <c r="AB421" s="62">
        <v>7614352</v>
      </c>
      <c r="AC421" s="10">
        <v>17182760</v>
      </c>
      <c r="AD421" s="10">
        <v>9269607</v>
      </c>
      <c r="AE421" s="10">
        <v>7913153</v>
      </c>
      <c r="AF421" s="10">
        <v>17574009</v>
      </c>
      <c r="AG421" s="10">
        <v>9547590</v>
      </c>
      <c r="AH421" s="10">
        <v>8026419</v>
      </c>
      <c r="AI421" s="10">
        <v>17695720</v>
      </c>
      <c r="AJ421" s="10">
        <v>9764199</v>
      </c>
      <c r="AK421" s="31">
        <v>8056069</v>
      </c>
      <c r="AL421" s="10">
        <v>18218330</v>
      </c>
      <c r="AM421" s="10">
        <v>10300542</v>
      </c>
      <c r="AN421" s="31">
        <v>8086169</v>
      </c>
      <c r="AO421" s="10">
        <v>18149119</v>
      </c>
      <c r="AP421" s="10">
        <v>10436837</v>
      </c>
      <c r="AQ421" s="31">
        <v>8153324</v>
      </c>
    </row>
    <row r="422" spans="1:43">
      <c r="A422" s="102">
        <v>806</v>
      </c>
      <c r="B422" s="7" t="s">
        <v>2108</v>
      </c>
      <c r="C422" s="103">
        <v>33.07</v>
      </c>
      <c r="D422" s="62">
        <v>8736268</v>
      </c>
      <c r="E422" s="37">
        <v>7619162</v>
      </c>
      <c r="F422" s="62">
        <v>3073959.2</v>
      </c>
      <c r="G422" s="62">
        <v>10491975</v>
      </c>
      <c r="H422" s="62">
        <v>8307024</v>
      </c>
      <c r="I422" s="62">
        <v>3600320.2</v>
      </c>
      <c r="J422" s="62">
        <v>11368895</v>
      </c>
      <c r="K422" s="62">
        <v>8741919</v>
      </c>
      <c r="L422" s="62">
        <v>3875673.2</v>
      </c>
      <c r="M422" s="62">
        <v>12148540</v>
      </c>
      <c r="N422" s="62">
        <v>8967009</v>
      </c>
      <c r="O422" s="62">
        <v>3684433.2</v>
      </c>
      <c r="P422" s="62">
        <v>433008</v>
      </c>
      <c r="Q422" s="62">
        <v>12332269.926889954</v>
      </c>
      <c r="R422" s="62">
        <v>8910498</v>
      </c>
      <c r="S422" s="62">
        <v>4035092</v>
      </c>
      <c r="T422" s="62">
        <v>0</v>
      </c>
      <c r="U422" s="62">
        <v>12217671.845999999</v>
      </c>
      <c r="V422" s="62">
        <v>9020653</v>
      </c>
      <c r="W422" s="62">
        <v>3799362</v>
      </c>
      <c r="X422" s="62">
        <v>20397</v>
      </c>
      <c r="Y422" s="62">
        <v>236383</v>
      </c>
      <c r="Z422" s="62">
        <v>12473226</v>
      </c>
      <c r="AA422" s="62">
        <v>9088881</v>
      </c>
      <c r="AB422" s="62">
        <v>3819759</v>
      </c>
      <c r="AC422" s="10">
        <v>12759498</v>
      </c>
      <c r="AD422" s="10">
        <v>9108222</v>
      </c>
      <c r="AE422" s="10">
        <v>3898019.6005500001</v>
      </c>
      <c r="AF422" s="10">
        <v>13021004</v>
      </c>
      <c r="AG422" s="10">
        <v>9407988</v>
      </c>
      <c r="AH422" s="10">
        <v>3973984.1981125004</v>
      </c>
      <c r="AI422" s="10">
        <v>13656513</v>
      </c>
      <c r="AJ422" s="10">
        <v>9688001</v>
      </c>
      <c r="AK422" s="31">
        <v>4130304.1981125004</v>
      </c>
      <c r="AL422" s="10">
        <v>14060446</v>
      </c>
      <c r="AM422" s="10">
        <v>9823319</v>
      </c>
      <c r="AN422" s="31">
        <v>4237127</v>
      </c>
      <c r="AO422" s="10">
        <v>14501647</v>
      </c>
      <c r="AP422" s="10">
        <v>9816982</v>
      </c>
      <c r="AQ422" s="31">
        <v>4689160</v>
      </c>
    </row>
    <row r="423" spans="1:43">
      <c r="A423" s="102">
        <v>810</v>
      </c>
      <c r="B423" s="7" t="s">
        <v>2109</v>
      </c>
      <c r="C423" s="103">
        <v>51.91</v>
      </c>
      <c r="D423" s="62">
        <v>11388476</v>
      </c>
      <c r="E423" s="37">
        <v>4427094</v>
      </c>
      <c r="F423" s="62">
        <v>6961382</v>
      </c>
      <c r="G423" s="62">
        <v>13514890</v>
      </c>
      <c r="H423" s="62">
        <v>5510850</v>
      </c>
      <c r="I423" s="62">
        <v>8086042</v>
      </c>
      <c r="J423" s="62">
        <v>14637445</v>
      </c>
      <c r="K423" s="62">
        <v>6248486</v>
      </c>
      <c r="L423" s="62">
        <v>8665617</v>
      </c>
      <c r="M423" s="62">
        <v>15904781</v>
      </c>
      <c r="N423" s="62">
        <v>6720290</v>
      </c>
      <c r="O423" s="62">
        <v>8345601</v>
      </c>
      <c r="P423" s="62">
        <v>980805</v>
      </c>
      <c r="Q423" s="62">
        <v>17087281.950622011</v>
      </c>
      <c r="R423" s="62">
        <v>7152445</v>
      </c>
      <c r="S423" s="62">
        <v>9139878</v>
      </c>
      <c r="T423" s="62">
        <v>794959</v>
      </c>
      <c r="U423" s="62">
        <v>17171584.145999998</v>
      </c>
      <c r="V423" s="62">
        <v>7555546.2191998027</v>
      </c>
      <c r="W423" s="62">
        <v>9422839</v>
      </c>
      <c r="X423" s="62">
        <v>50586</v>
      </c>
      <c r="Y423" s="62">
        <v>492612</v>
      </c>
      <c r="Z423" s="62">
        <v>17835184</v>
      </c>
      <c r="AA423" s="62">
        <v>7974320</v>
      </c>
      <c r="AB423" s="62">
        <v>9860864</v>
      </c>
      <c r="AC423" s="10">
        <v>18840987</v>
      </c>
      <c r="AD423" s="10">
        <v>8467645</v>
      </c>
      <c r="AE423" s="10">
        <v>10373342</v>
      </c>
      <c r="AF423" s="10">
        <v>19809952</v>
      </c>
      <c r="AG423" s="10">
        <v>9275499</v>
      </c>
      <c r="AH423" s="10">
        <v>10562802.050000001</v>
      </c>
      <c r="AI423" s="10">
        <v>19738678</v>
      </c>
      <c r="AJ423" s="10">
        <v>9454533</v>
      </c>
      <c r="AK423" s="31">
        <v>10595527.050000001</v>
      </c>
      <c r="AL423" s="10">
        <v>20776046</v>
      </c>
      <c r="AM423" s="10">
        <v>10001847</v>
      </c>
      <c r="AN423" s="31">
        <v>10774199</v>
      </c>
      <c r="AO423" s="10">
        <v>20622505</v>
      </c>
      <c r="AP423" s="10">
        <v>9983312</v>
      </c>
      <c r="AQ423" s="31">
        <v>10847624</v>
      </c>
    </row>
    <row r="424" spans="1:43">
      <c r="A424" s="102">
        <v>815</v>
      </c>
      <c r="B424" s="7" t="s">
        <v>2110</v>
      </c>
      <c r="C424" s="103">
        <v>17.5</v>
      </c>
      <c r="D424" s="62">
        <v>8147786</v>
      </c>
      <c r="E424" s="37">
        <v>7106299</v>
      </c>
      <c r="F424" s="62">
        <v>1812921.2</v>
      </c>
      <c r="G424" s="62">
        <v>8939780</v>
      </c>
      <c r="H424" s="62">
        <v>8238693</v>
      </c>
      <c r="I424" s="62">
        <v>1951441.2</v>
      </c>
      <c r="J424" s="62">
        <v>8959018</v>
      </c>
      <c r="K424" s="62">
        <v>8344063</v>
      </c>
      <c r="L424" s="62">
        <v>1986191.2</v>
      </c>
      <c r="M424" s="62">
        <v>10056493</v>
      </c>
      <c r="N424" s="62">
        <v>8988695</v>
      </c>
      <c r="O424" s="62">
        <v>1949175.2</v>
      </c>
      <c r="P424" s="62">
        <v>229074</v>
      </c>
      <c r="Q424" s="62">
        <v>10128081.632153112</v>
      </c>
      <c r="R424" s="62">
        <v>9004924</v>
      </c>
      <c r="S424" s="62">
        <v>2134684</v>
      </c>
      <c r="T424" s="62">
        <v>0</v>
      </c>
      <c r="U424" s="62">
        <v>9662450.2679999992</v>
      </c>
      <c r="V424" s="62">
        <v>8722672</v>
      </c>
      <c r="W424" s="62">
        <v>2009976</v>
      </c>
      <c r="X424" s="62">
        <v>10791</v>
      </c>
      <c r="Y424" s="62">
        <v>131042</v>
      </c>
      <c r="Z424" s="62">
        <v>9969203</v>
      </c>
      <c r="AA424" s="62">
        <v>9140927</v>
      </c>
      <c r="AB424" s="62">
        <v>2020767</v>
      </c>
      <c r="AC424" s="10">
        <v>10009944</v>
      </c>
      <c r="AD424" s="10">
        <v>9018171</v>
      </c>
      <c r="AE424" s="10">
        <v>2047487</v>
      </c>
      <c r="AF424" s="10">
        <v>9858315</v>
      </c>
      <c r="AG424" s="10">
        <v>8884266</v>
      </c>
      <c r="AH424" s="10">
        <v>2063837</v>
      </c>
      <c r="AI424" s="10">
        <v>10012278</v>
      </c>
      <c r="AJ424" s="10">
        <v>8734661</v>
      </c>
      <c r="AK424" s="31">
        <v>2080187</v>
      </c>
      <c r="AL424" s="10">
        <v>10180996</v>
      </c>
      <c r="AM424" s="10">
        <v>8693872</v>
      </c>
      <c r="AN424" s="31">
        <v>2096487</v>
      </c>
      <c r="AO424" s="10">
        <v>9867056</v>
      </c>
      <c r="AP424" s="10">
        <v>8195699</v>
      </c>
      <c r="AQ424" s="31">
        <v>2130477</v>
      </c>
    </row>
    <row r="425" spans="1:43">
      <c r="A425" s="102">
        <v>817</v>
      </c>
      <c r="B425" s="7" t="s">
        <v>1684</v>
      </c>
      <c r="C425" s="103">
        <v>24.7</v>
      </c>
      <c r="D425" s="62">
        <v>5267177</v>
      </c>
      <c r="E425" s="37">
        <v>4108620</v>
      </c>
      <c r="F425" s="62">
        <v>1440224</v>
      </c>
      <c r="G425" s="62">
        <v>5871980</v>
      </c>
      <c r="H425" s="62">
        <v>4830228</v>
      </c>
      <c r="I425" s="62">
        <v>1577696</v>
      </c>
      <c r="J425" s="62">
        <v>6088638</v>
      </c>
      <c r="K425" s="62">
        <v>5073417</v>
      </c>
      <c r="L425" s="62">
        <v>1627614</v>
      </c>
      <c r="M425" s="62">
        <v>6185029</v>
      </c>
      <c r="N425" s="62">
        <v>5030466</v>
      </c>
      <c r="O425" s="62">
        <v>1476268</v>
      </c>
      <c r="P425" s="62">
        <v>173496</v>
      </c>
      <c r="Q425" s="62">
        <v>6597337.6428708136</v>
      </c>
      <c r="R425" s="62">
        <v>5303791</v>
      </c>
      <c r="S425" s="62">
        <v>1616769</v>
      </c>
      <c r="T425" s="62">
        <v>0</v>
      </c>
      <c r="U425" s="62">
        <v>6438150.5279999999</v>
      </c>
      <c r="V425" s="62">
        <v>5257509</v>
      </c>
      <c r="W425" s="62">
        <v>1522317</v>
      </c>
      <c r="X425" s="62">
        <v>8173</v>
      </c>
      <c r="Y425" s="62">
        <v>97479</v>
      </c>
      <c r="Z425" s="62">
        <v>6657128</v>
      </c>
      <c r="AA425" s="62">
        <v>5422037</v>
      </c>
      <c r="AB425" s="62">
        <v>1530490</v>
      </c>
      <c r="AC425" s="10">
        <v>7032311</v>
      </c>
      <c r="AD425" s="10">
        <v>5606831</v>
      </c>
      <c r="AE425" s="10">
        <v>1578772.356525</v>
      </c>
      <c r="AF425" s="17">
        <f>7223671+2406437</f>
        <v>9630108</v>
      </c>
      <c r="AG425" s="17">
        <f>5744390+1758848</f>
        <v>7503238</v>
      </c>
      <c r="AH425" s="17">
        <f>1633572.19536875+736211+279092</f>
        <v>2648875.19536875</v>
      </c>
      <c r="AI425" s="10">
        <v>10537063</v>
      </c>
      <c r="AJ425" s="10">
        <v>8095297</v>
      </c>
      <c r="AK425" s="149">
        <f>2685804.19536875+374740</f>
        <v>3060544.19536875</v>
      </c>
      <c r="AL425" s="10">
        <v>12253746</v>
      </c>
      <c r="AM425" s="10">
        <v>9478745</v>
      </c>
      <c r="AN425" s="31">
        <v>3080269.19536875</v>
      </c>
      <c r="AO425" s="10">
        <v>14380155</v>
      </c>
      <c r="AP425" s="10">
        <v>10925830</v>
      </c>
      <c r="AQ425" s="31">
        <v>3454325</v>
      </c>
    </row>
    <row r="426" spans="1:43">
      <c r="A426" s="102">
        <v>818</v>
      </c>
      <c r="B426" s="7" t="s">
        <v>2111</v>
      </c>
      <c r="C426" s="103">
        <v>45.66</v>
      </c>
      <c r="D426" s="62">
        <v>5609534</v>
      </c>
      <c r="E426" s="37">
        <v>2938885</v>
      </c>
      <c r="F426" s="62">
        <v>2670649</v>
      </c>
      <c r="G426" s="62">
        <v>6238167</v>
      </c>
      <c r="H426" s="62">
        <v>3104015</v>
      </c>
      <c r="I426" s="62">
        <v>3134152</v>
      </c>
      <c r="J426" s="62">
        <v>6391771</v>
      </c>
      <c r="K426" s="62">
        <v>3127422</v>
      </c>
      <c r="L426" s="62">
        <v>3264349</v>
      </c>
      <c r="M426" s="62">
        <v>6770398</v>
      </c>
      <c r="N426" s="62">
        <v>3246800</v>
      </c>
      <c r="O426" s="62">
        <v>3153041</v>
      </c>
      <c r="P426" s="62">
        <v>370557</v>
      </c>
      <c r="Q426" s="62">
        <v>6937473.1758851679</v>
      </c>
      <c r="R426" s="62">
        <v>3512111</v>
      </c>
      <c r="S426" s="62">
        <v>3453126</v>
      </c>
      <c r="T426" s="62">
        <v>0</v>
      </c>
      <c r="U426" s="62">
        <v>6832233.6720000003</v>
      </c>
      <c r="V426" s="62">
        <v>3565201</v>
      </c>
      <c r="W426" s="62">
        <v>3251395</v>
      </c>
      <c r="X426" s="62">
        <v>17455</v>
      </c>
      <c r="Y426" s="62">
        <v>196151</v>
      </c>
      <c r="Z426" s="62">
        <v>6816703</v>
      </c>
      <c r="AA426" s="62">
        <v>3635743</v>
      </c>
      <c r="AB426" s="62">
        <v>3268850</v>
      </c>
      <c r="AC426" s="10">
        <v>7147655</v>
      </c>
      <c r="AD426" s="10">
        <v>3823257</v>
      </c>
      <c r="AE426" s="10">
        <v>3344405.5191250001</v>
      </c>
      <c r="AF426" s="10">
        <v>7343776</v>
      </c>
      <c r="AG426" s="10">
        <v>3944755</v>
      </c>
      <c r="AH426" s="10">
        <v>3416932.8843999999</v>
      </c>
      <c r="AI426" s="10">
        <v>7425790</v>
      </c>
      <c r="AJ426" s="10">
        <v>4056096</v>
      </c>
      <c r="AK426" s="31">
        <v>3437610.8843999999</v>
      </c>
      <c r="AL426" s="10">
        <v>7597275</v>
      </c>
      <c r="AM426" s="10">
        <v>4196134</v>
      </c>
      <c r="AN426" s="31">
        <v>3449560.8843999999</v>
      </c>
      <c r="AO426" s="10">
        <v>7510077</v>
      </c>
      <c r="AP426" s="10">
        <v>4120671</v>
      </c>
      <c r="AQ426" s="31">
        <v>3475025.8843999999</v>
      </c>
    </row>
    <row r="427" spans="1:43">
      <c r="A427" s="102">
        <v>821</v>
      </c>
      <c r="B427" s="7" t="s">
        <v>2112</v>
      </c>
      <c r="C427" s="103">
        <v>63.11</v>
      </c>
      <c r="D427" s="62">
        <v>14786630</v>
      </c>
      <c r="E427" s="37">
        <v>3199554</v>
      </c>
      <c r="F427" s="62">
        <v>11587076</v>
      </c>
      <c r="G427" s="62">
        <v>17060238</v>
      </c>
      <c r="H427" s="62">
        <v>4544760</v>
      </c>
      <c r="I427" s="62">
        <v>12983299</v>
      </c>
      <c r="J427" s="62">
        <v>18611314</v>
      </c>
      <c r="K427" s="62">
        <v>5287988</v>
      </c>
      <c r="L427" s="62">
        <v>13901536</v>
      </c>
      <c r="M427" s="62">
        <v>19717271</v>
      </c>
      <c r="N427" s="62">
        <v>5629515</v>
      </c>
      <c r="O427" s="62">
        <v>13024771</v>
      </c>
      <c r="P427" s="62">
        <v>1530717</v>
      </c>
      <c r="Q427" s="62">
        <v>20071537.276937805</v>
      </c>
      <c r="R427" s="62">
        <v>5932617</v>
      </c>
      <c r="S427" s="62">
        <v>14264378</v>
      </c>
      <c r="T427" s="62">
        <v>0</v>
      </c>
      <c r="U427" s="62">
        <v>19949613.684</v>
      </c>
      <c r="V427" s="62">
        <v>6306552.870136939</v>
      </c>
      <c r="W427" s="62">
        <v>13431054</v>
      </c>
      <c r="X427" s="62">
        <v>72104</v>
      </c>
      <c r="Y427" s="62">
        <v>796545</v>
      </c>
      <c r="Z427" s="62">
        <v>20383237</v>
      </c>
      <c r="AA427" s="62">
        <v>6467055</v>
      </c>
      <c r="AB427" s="62">
        <v>13916182</v>
      </c>
      <c r="AC427" s="10">
        <v>20957230</v>
      </c>
      <c r="AD427" s="10">
        <v>6715829</v>
      </c>
      <c r="AE427" s="10">
        <v>14241401</v>
      </c>
      <c r="AF427" s="10">
        <v>21919605</v>
      </c>
      <c r="AG427" s="10">
        <v>7123557</v>
      </c>
      <c r="AH427" s="10">
        <v>14796048</v>
      </c>
      <c r="AI427" s="10">
        <v>22550978</v>
      </c>
      <c r="AJ427" s="10">
        <v>7369160</v>
      </c>
      <c r="AK427" s="31">
        <v>15181818</v>
      </c>
      <c r="AL427" s="10">
        <v>23275199</v>
      </c>
      <c r="AM427" s="10">
        <v>7579429</v>
      </c>
      <c r="AN427" s="31">
        <v>15695770</v>
      </c>
      <c r="AO427" s="10">
        <v>23332972</v>
      </c>
      <c r="AP427" s="10">
        <v>7431313</v>
      </c>
      <c r="AQ427" s="31">
        <v>15901659</v>
      </c>
    </row>
    <row r="428" spans="1:43">
      <c r="A428" s="102">
        <v>823</v>
      </c>
      <c r="B428" s="7" t="s">
        <v>2113</v>
      </c>
      <c r="C428" s="103">
        <v>77.09</v>
      </c>
      <c r="D428" s="62">
        <v>20801927</v>
      </c>
      <c r="E428" s="37">
        <v>3447460</v>
      </c>
      <c r="F428" s="62">
        <v>17354467</v>
      </c>
      <c r="G428" s="62">
        <v>23397863</v>
      </c>
      <c r="H428" s="62">
        <v>2950685</v>
      </c>
      <c r="I428" s="62">
        <v>20447178</v>
      </c>
      <c r="J428" s="62">
        <v>24270329</v>
      </c>
      <c r="K428" s="62">
        <v>2925720</v>
      </c>
      <c r="L428" s="62">
        <v>21344609</v>
      </c>
      <c r="M428" s="62">
        <v>22243985</v>
      </c>
      <c r="N428" s="62">
        <v>2764043</v>
      </c>
      <c r="O428" s="62">
        <v>19164616</v>
      </c>
      <c r="P428" s="62">
        <v>2252293</v>
      </c>
      <c r="Q428" s="62">
        <v>21086064.186794262</v>
      </c>
      <c r="R428" s="62">
        <v>2952089</v>
      </c>
      <c r="S428" s="62">
        <v>20988571</v>
      </c>
      <c r="T428" s="62">
        <v>0</v>
      </c>
      <c r="U428" s="62">
        <v>21516841.079999998</v>
      </c>
      <c r="V428" s="62">
        <v>3448145</v>
      </c>
      <c r="W428" s="62">
        <v>19762420</v>
      </c>
      <c r="X428" s="62">
        <v>106093</v>
      </c>
      <c r="Y428" s="62">
        <v>1154758</v>
      </c>
      <c r="Z428" s="62">
        <v>22406284</v>
      </c>
      <c r="AA428" s="62">
        <v>3637418</v>
      </c>
      <c r="AB428" s="62">
        <v>19868513</v>
      </c>
      <c r="AC428" s="10">
        <v>23647271</v>
      </c>
      <c r="AD428" s="10">
        <v>3930189</v>
      </c>
      <c r="AE428" s="10">
        <v>19925633</v>
      </c>
      <c r="AF428" s="10">
        <v>24165774</v>
      </c>
      <c r="AG428" s="10">
        <v>3918941</v>
      </c>
      <c r="AH428" s="10">
        <v>20246833</v>
      </c>
      <c r="AI428" s="10">
        <v>25639135</v>
      </c>
      <c r="AJ428" s="10">
        <v>4446591</v>
      </c>
      <c r="AK428" s="31">
        <v>21192544</v>
      </c>
      <c r="AL428" s="10">
        <v>25953903</v>
      </c>
      <c r="AM428" s="10">
        <v>4514175</v>
      </c>
      <c r="AN428" s="31">
        <v>21439728</v>
      </c>
      <c r="AO428" s="10">
        <v>27130809</v>
      </c>
      <c r="AP428" s="10">
        <v>4613664</v>
      </c>
      <c r="AQ428" s="31">
        <v>22517145</v>
      </c>
    </row>
    <row r="429" spans="1:43">
      <c r="A429" s="102">
        <v>825</v>
      </c>
      <c r="B429" s="7" t="s">
        <v>2114</v>
      </c>
      <c r="C429" s="103">
        <v>66.069999999999993</v>
      </c>
      <c r="D429" s="62">
        <v>22363849</v>
      </c>
      <c r="E429" s="37">
        <v>4239109</v>
      </c>
      <c r="F429" s="62">
        <v>18124740</v>
      </c>
      <c r="G429" s="62">
        <v>25632190</v>
      </c>
      <c r="H429" s="62">
        <v>5757999</v>
      </c>
      <c r="I429" s="62">
        <v>20279884</v>
      </c>
      <c r="J429" s="62">
        <v>27124010</v>
      </c>
      <c r="K429" s="62">
        <v>6752296</v>
      </c>
      <c r="L429" s="62">
        <v>21235693</v>
      </c>
      <c r="M429" s="62">
        <v>28611071</v>
      </c>
      <c r="N429" s="62">
        <v>7172648</v>
      </c>
      <c r="O429" s="62">
        <v>19857283</v>
      </c>
      <c r="P429" s="62">
        <v>2333698</v>
      </c>
      <c r="Q429" s="62">
        <v>30517951.37531101</v>
      </c>
      <c r="R429" s="62">
        <v>7763883</v>
      </c>
      <c r="S429" s="62">
        <v>21747161</v>
      </c>
      <c r="T429" s="62">
        <v>1006907</v>
      </c>
      <c r="U429" s="62">
        <v>30298830.222000003</v>
      </c>
      <c r="V429" s="62">
        <v>8132720</v>
      </c>
      <c r="W429" s="62">
        <v>21740799</v>
      </c>
      <c r="X429" s="62">
        <v>116714</v>
      </c>
      <c r="Y429" s="62">
        <v>949205</v>
      </c>
      <c r="Z429" s="62">
        <v>31299153</v>
      </c>
      <c r="AA429" s="62">
        <v>8624602</v>
      </c>
      <c r="AB429" s="62">
        <v>22674551</v>
      </c>
      <c r="AC429" s="10">
        <v>32530714</v>
      </c>
      <c r="AD429" s="10">
        <v>8972206</v>
      </c>
      <c r="AE429" s="10">
        <v>23558508</v>
      </c>
      <c r="AF429" s="10">
        <v>33301712</v>
      </c>
      <c r="AG429" s="10">
        <v>9217036</v>
      </c>
      <c r="AH429" s="10">
        <v>24084676</v>
      </c>
      <c r="AI429" s="10">
        <v>33725633</v>
      </c>
      <c r="AJ429" s="10">
        <v>9588800</v>
      </c>
      <c r="AK429" s="31">
        <v>24138401</v>
      </c>
      <c r="AL429" s="10">
        <v>34323634</v>
      </c>
      <c r="AM429" s="10">
        <v>9854302</v>
      </c>
      <c r="AN429" s="31">
        <v>24469332</v>
      </c>
      <c r="AO429" s="10">
        <v>34911179</v>
      </c>
      <c r="AP429" s="10">
        <v>10102835</v>
      </c>
      <c r="AQ429" s="31">
        <v>24808344</v>
      </c>
    </row>
    <row r="430" spans="1:43">
      <c r="A430" s="102">
        <v>828</v>
      </c>
      <c r="B430" s="7" t="s">
        <v>2115</v>
      </c>
      <c r="C430" s="103">
        <v>65.150000000000006</v>
      </c>
      <c r="D430" s="62">
        <v>24208574</v>
      </c>
      <c r="E430" s="37">
        <v>6905055</v>
      </c>
      <c r="F430" s="62">
        <v>17303519</v>
      </c>
      <c r="G430" s="62">
        <v>27036778</v>
      </c>
      <c r="H430" s="62">
        <v>7606125</v>
      </c>
      <c r="I430" s="62">
        <v>19430653</v>
      </c>
      <c r="J430" s="62">
        <v>27800682</v>
      </c>
      <c r="K430" s="62">
        <v>7909037</v>
      </c>
      <c r="L430" s="62">
        <v>19937045</v>
      </c>
      <c r="M430" s="62">
        <v>29465237</v>
      </c>
      <c r="N430" s="62">
        <v>8510997</v>
      </c>
      <c r="O430" s="62">
        <v>18820473</v>
      </c>
      <c r="P430" s="62">
        <v>2211849</v>
      </c>
      <c r="Q430" s="62">
        <v>29630457.502009567</v>
      </c>
      <c r="R430" s="62">
        <v>8466385</v>
      </c>
      <c r="S430" s="62">
        <v>20611676</v>
      </c>
      <c r="T430" s="62">
        <v>552397</v>
      </c>
      <c r="U430" s="62">
        <v>30423897.84</v>
      </c>
      <c r="V430" s="62">
        <v>9232155</v>
      </c>
      <c r="W430" s="62">
        <v>20785128</v>
      </c>
      <c r="X430" s="62">
        <v>111584</v>
      </c>
      <c r="Y430" s="62">
        <v>319986</v>
      </c>
      <c r="Z430" s="62">
        <v>31597336</v>
      </c>
      <c r="AA430" s="62">
        <v>9860549</v>
      </c>
      <c r="AB430" s="62">
        <v>21736787</v>
      </c>
      <c r="AC430" s="10">
        <v>33772319</v>
      </c>
      <c r="AD430" s="10">
        <v>10353219</v>
      </c>
      <c r="AE430" s="10">
        <v>23419100</v>
      </c>
      <c r="AF430" s="10">
        <v>34324570</v>
      </c>
      <c r="AG430" s="10">
        <v>10693693</v>
      </c>
      <c r="AH430" s="10">
        <v>23630877</v>
      </c>
      <c r="AI430" s="10">
        <v>34545660</v>
      </c>
      <c r="AJ430" s="10">
        <v>10980189</v>
      </c>
      <c r="AK430" s="31">
        <v>23685627</v>
      </c>
      <c r="AL430" s="10">
        <v>34992565</v>
      </c>
      <c r="AM430" s="10">
        <v>11434404</v>
      </c>
      <c r="AN430" s="31">
        <v>23740502</v>
      </c>
      <c r="AO430" s="10">
        <v>35531900</v>
      </c>
      <c r="AP430" s="10">
        <v>11891870</v>
      </c>
      <c r="AQ430" s="31">
        <v>23860787</v>
      </c>
    </row>
    <row r="431" spans="1:43">
      <c r="A431" s="102">
        <v>829</v>
      </c>
      <c r="B431" s="7" t="s">
        <v>2116</v>
      </c>
      <c r="C431" s="103">
        <v>37</v>
      </c>
      <c r="D431" s="62">
        <v>8446819</v>
      </c>
      <c r="E431" s="37">
        <v>8588762</v>
      </c>
      <c r="F431" s="62">
        <v>2167094</v>
      </c>
      <c r="G431" s="62">
        <v>9208715</v>
      </c>
      <c r="H431" s="62">
        <v>8268805</v>
      </c>
      <c r="I431" s="62">
        <v>2366025</v>
      </c>
      <c r="J431" s="62">
        <v>9654723</v>
      </c>
      <c r="K431" s="62">
        <v>8165281</v>
      </c>
      <c r="L431" s="62">
        <v>2493762</v>
      </c>
      <c r="M431" s="62">
        <v>9715858</v>
      </c>
      <c r="N431" s="62">
        <v>7715501</v>
      </c>
      <c r="O431" s="62">
        <v>2327422</v>
      </c>
      <c r="P431" s="62">
        <v>273527</v>
      </c>
      <c r="Q431" s="62">
        <v>9614405.0465071779</v>
      </c>
      <c r="R431" s="62">
        <v>7341351</v>
      </c>
      <c r="S431" s="62">
        <v>2548930</v>
      </c>
      <c r="T431" s="62">
        <v>0</v>
      </c>
      <c r="U431" s="62">
        <v>9792459.7200000007</v>
      </c>
      <c r="V431" s="62">
        <v>7492557</v>
      </c>
      <c r="W431" s="62">
        <v>2400022</v>
      </c>
      <c r="X431" s="62">
        <v>12884</v>
      </c>
      <c r="Y431" s="62">
        <v>152274</v>
      </c>
      <c r="Z431" s="62">
        <v>10544997</v>
      </c>
      <c r="AA431" s="62">
        <v>7892246</v>
      </c>
      <c r="AB431" s="62">
        <v>2652751</v>
      </c>
      <c r="AC431" s="10">
        <v>10989581</v>
      </c>
      <c r="AD431" s="10">
        <v>7883290</v>
      </c>
      <c r="AE431" s="10">
        <v>3269602.165025</v>
      </c>
      <c r="AF431" s="10">
        <v>11813873</v>
      </c>
      <c r="AG431" s="10">
        <v>8259858</v>
      </c>
      <c r="AH431" s="10">
        <v>3686820.5708499998</v>
      </c>
      <c r="AI431" s="10">
        <v>11573926</v>
      </c>
      <c r="AJ431" s="10">
        <v>7868569</v>
      </c>
      <c r="AK431" s="31">
        <v>3818290.5708499998</v>
      </c>
      <c r="AL431" s="10">
        <v>11914131</v>
      </c>
      <c r="AM431" s="10">
        <v>7823272</v>
      </c>
      <c r="AN431" s="31">
        <v>4090859</v>
      </c>
      <c r="AO431" s="10">
        <v>11942604</v>
      </c>
      <c r="AP431" s="10">
        <v>7592237</v>
      </c>
      <c r="AQ431" s="31">
        <v>4386161</v>
      </c>
    </row>
    <row r="432" spans="1:43">
      <c r="A432" s="102">
        <v>830</v>
      </c>
      <c r="B432" s="7" t="s">
        <v>2117</v>
      </c>
      <c r="C432" s="103">
        <v>19.649999999999999</v>
      </c>
      <c r="D432" s="62">
        <v>6066584</v>
      </c>
      <c r="E432" s="37">
        <v>5495202</v>
      </c>
      <c r="F432" s="62">
        <v>2078300.4</v>
      </c>
      <c r="G432" s="62">
        <v>6914249</v>
      </c>
      <c r="H432" s="62">
        <v>6039013</v>
      </c>
      <c r="I432" s="62">
        <v>2248003.4</v>
      </c>
      <c r="J432" s="62">
        <v>6679422</v>
      </c>
      <c r="K432" s="62">
        <v>5830500</v>
      </c>
      <c r="L432" s="62">
        <v>2272053.4</v>
      </c>
      <c r="M432" s="62">
        <v>6716739</v>
      </c>
      <c r="N432" s="62">
        <v>5664903</v>
      </c>
      <c r="O432" s="62">
        <v>2053740.4</v>
      </c>
      <c r="P432" s="62">
        <v>241363</v>
      </c>
      <c r="Q432" s="62">
        <v>6448437.4476555018</v>
      </c>
      <c r="R432" s="62">
        <v>5389510</v>
      </c>
      <c r="S432" s="62">
        <v>2249201</v>
      </c>
      <c r="T432" s="62">
        <v>0</v>
      </c>
      <c r="U432" s="62">
        <v>6278768.8019999992</v>
      </c>
      <c r="V432" s="62">
        <v>5380998</v>
      </c>
      <c r="W432" s="62">
        <v>2117803</v>
      </c>
      <c r="X432" s="62">
        <v>11369</v>
      </c>
      <c r="Y432" s="62">
        <v>130554</v>
      </c>
      <c r="Z432" s="62">
        <v>6529848</v>
      </c>
      <c r="AA432" s="62">
        <v>5563357</v>
      </c>
      <c r="AB432" s="62">
        <v>2129172</v>
      </c>
      <c r="AC432" s="10">
        <v>6720937</v>
      </c>
      <c r="AD432" s="10">
        <v>5635287</v>
      </c>
      <c r="AE432" s="10">
        <v>2146052</v>
      </c>
      <c r="AF432" s="10">
        <v>6466600</v>
      </c>
      <c r="AG432" s="10">
        <v>5367418</v>
      </c>
      <c r="AH432" s="10">
        <v>2155902</v>
      </c>
      <c r="AI432" s="10">
        <v>7154168</v>
      </c>
      <c r="AJ432" s="10">
        <v>5853666</v>
      </c>
      <c r="AK432" s="31">
        <v>2166677</v>
      </c>
      <c r="AL432" s="10">
        <v>7012158</v>
      </c>
      <c r="AM432" s="10">
        <v>5684556</v>
      </c>
      <c r="AN432" s="31">
        <v>2177027</v>
      </c>
      <c r="AO432" s="10">
        <v>6744963</v>
      </c>
      <c r="AP432" s="10">
        <v>5436063</v>
      </c>
      <c r="AQ432" s="149">
        <f>2198257-133774</f>
        <v>2064483</v>
      </c>
    </row>
    <row r="433" spans="1:43">
      <c r="A433" s="102">
        <v>832</v>
      </c>
      <c r="B433" s="7" t="s">
        <v>2118</v>
      </c>
      <c r="C433" s="103">
        <v>59.09</v>
      </c>
      <c r="D433" s="62">
        <v>13742072</v>
      </c>
      <c r="E433" s="37">
        <v>4888977</v>
      </c>
      <c r="F433" s="62">
        <v>8853095</v>
      </c>
      <c r="G433" s="62">
        <v>15840334</v>
      </c>
      <c r="H433" s="62">
        <v>5296832</v>
      </c>
      <c r="I433" s="62">
        <v>10543502</v>
      </c>
      <c r="J433" s="62">
        <v>17251828</v>
      </c>
      <c r="K433" s="62">
        <v>5727859</v>
      </c>
      <c r="L433" s="62">
        <v>11523969</v>
      </c>
      <c r="M433" s="62">
        <v>18210278</v>
      </c>
      <c r="N433" s="62">
        <v>5909892</v>
      </c>
      <c r="O433" s="62">
        <v>11006825</v>
      </c>
      <c r="P433" s="62">
        <v>1293561</v>
      </c>
      <c r="Q433" s="62">
        <v>19239467.091291867</v>
      </c>
      <c r="R433" s="62">
        <v>6487260</v>
      </c>
      <c r="S433" s="62">
        <v>12054378</v>
      </c>
      <c r="T433" s="62">
        <v>697829</v>
      </c>
      <c r="U433" s="62">
        <v>19087950.695999995</v>
      </c>
      <c r="V433" s="62">
        <v>6671879</v>
      </c>
      <c r="W433" s="62">
        <v>12177840</v>
      </c>
      <c r="X433" s="62">
        <v>65376</v>
      </c>
      <c r="Y433" s="62">
        <v>543116</v>
      </c>
      <c r="Z433" s="62">
        <v>19926696</v>
      </c>
      <c r="AA433" s="62">
        <v>7025474</v>
      </c>
      <c r="AB433" s="62">
        <v>12901222</v>
      </c>
      <c r="AC433" s="10">
        <v>21362521</v>
      </c>
      <c r="AD433" s="10">
        <v>7634846</v>
      </c>
      <c r="AE433" s="10">
        <v>13727675</v>
      </c>
      <c r="AF433" s="10">
        <v>21644238</v>
      </c>
      <c r="AG433" s="10">
        <v>8117570</v>
      </c>
      <c r="AH433" s="10">
        <v>13764000</v>
      </c>
      <c r="AI433" s="10">
        <v>22098279</v>
      </c>
      <c r="AJ433" s="10">
        <v>8502935</v>
      </c>
      <c r="AK433" s="31">
        <v>13800675</v>
      </c>
      <c r="AL433" s="10">
        <v>22705864</v>
      </c>
      <c r="AM433" s="10">
        <v>8952868</v>
      </c>
      <c r="AN433" s="31">
        <v>13837825</v>
      </c>
      <c r="AO433" s="10">
        <v>22983366</v>
      </c>
      <c r="AP433" s="10">
        <v>9077316</v>
      </c>
      <c r="AQ433" s="31">
        <v>13920325</v>
      </c>
    </row>
    <row r="434" spans="1:43">
      <c r="A434" s="102">
        <v>851</v>
      </c>
      <c r="B434" s="7" t="s">
        <v>2119</v>
      </c>
      <c r="C434" s="103">
        <v>60.96</v>
      </c>
      <c r="D434" s="62">
        <v>4866072</v>
      </c>
      <c r="E434" s="37">
        <v>1480368</v>
      </c>
      <c r="F434" s="62">
        <v>3385704</v>
      </c>
      <c r="G434" s="62">
        <v>5410246</v>
      </c>
      <c r="H434" s="62">
        <v>1532260</v>
      </c>
      <c r="I434" s="62">
        <v>3877986</v>
      </c>
      <c r="J434" s="62">
        <v>5840580</v>
      </c>
      <c r="K434" s="62">
        <v>1651415</v>
      </c>
      <c r="L434" s="62">
        <v>4189165</v>
      </c>
      <c r="M434" s="62">
        <v>6022166</v>
      </c>
      <c r="N434" s="62">
        <v>1628309</v>
      </c>
      <c r="O434" s="62">
        <v>3931780</v>
      </c>
      <c r="P434" s="62">
        <v>462077</v>
      </c>
      <c r="Q434" s="62">
        <v>6405552.1010526326</v>
      </c>
      <c r="R434" s="62">
        <v>1973265</v>
      </c>
      <c r="S434" s="62">
        <v>4305980</v>
      </c>
      <c r="T434" s="62">
        <v>126307</v>
      </c>
      <c r="U434" s="62">
        <v>6194470.0919999992</v>
      </c>
      <c r="V434" s="62">
        <v>1959117</v>
      </c>
      <c r="W434" s="62">
        <v>4173354</v>
      </c>
      <c r="X434" s="62">
        <v>22404</v>
      </c>
      <c r="Y434" s="62">
        <v>247404</v>
      </c>
      <c r="Z434" s="62">
        <v>6032835</v>
      </c>
      <c r="AA434" s="62">
        <v>2076564</v>
      </c>
      <c r="AB434" s="62">
        <v>4195758</v>
      </c>
      <c r="AC434" s="17">
        <f>5901249+265615+518532</f>
        <v>6685396</v>
      </c>
      <c r="AD434" s="10">
        <v>2057940</v>
      </c>
      <c r="AE434" s="17">
        <f>4211358+97719+296789</f>
        <v>4605866</v>
      </c>
      <c r="AF434" s="10">
        <v>7074072</v>
      </c>
      <c r="AG434" s="10">
        <v>2680139</v>
      </c>
      <c r="AH434" s="10">
        <v>4617441</v>
      </c>
      <c r="AI434" s="10">
        <v>7193835</v>
      </c>
      <c r="AJ434" s="10">
        <v>2748884</v>
      </c>
      <c r="AK434" s="31">
        <v>4629241</v>
      </c>
      <c r="AL434" s="10">
        <v>7377904</v>
      </c>
      <c r="AM434" s="10">
        <v>2797399</v>
      </c>
      <c r="AN434" s="31">
        <v>4641116</v>
      </c>
      <c r="AO434" s="10">
        <v>7221555</v>
      </c>
      <c r="AP434" s="10">
        <v>2766472</v>
      </c>
      <c r="AQ434" s="31">
        <v>4666196</v>
      </c>
    </row>
    <row r="435" spans="1:43">
      <c r="A435" s="102">
        <v>852</v>
      </c>
      <c r="B435" s="7" t="s">
        <v>2120</v>
      </c>
      <c r="C435" s="103">
        <v>33.590000000000003</v>
      </c>
      <c r="D435" s="62">
        <v>5158946</v>
      </c>
      <c r="E435" s="37">
        <v>3321776</v>
      </c>
      <c r="F435" s="62">
        <v>1931065.2</v>
      </c>
      <c r="G435" s="62">
        <v>5389599</v>
      </c>
      <c r="H435" s="62">
        <v>3394928</v>
      </c>
      <c r="I435" s="62">
        <v>2023465</v>
      </c>
      <c r="J435" s="62">
        <v>6238440</v>
      </c>
      <c r="K435" s="62">
        <v>3743767</v>
      </c>
      <c r="L435" s="62">
        <v>2494673</v>
      </c>
      <c r="M435" s="62">
        <v>7033183</v>
      </c>
      <c r="N435" s="62">
        <v>4130123</v>
      </c>
      <c r="O435" s="62">
        <v>2597762</v>
      </c>
      <c r="P435" s="62">
        <v>305298</v>
      </c>
      <c r="Q435" s="62">
        <v>7866987.6486124406</v>
      </c>
      <c r="R435" s="62">
        <v>4598216</v>
      </c>
      <c r="S435" s="62">
        <v>2844999</v>
      </c>
      <c r="T435" s="62">
        <v>423773</v>
      </c>
      <c r="U435" s="62">
        <v>8233340.9220000003</v>
      </c>
      <c r="V435" s="62">
        <v>5083135.795428413</v>
      </c>
      <c r="W435" s="62">
        <v>3080894</v>
      </c>
      <c r="X435" s="62">
        <v>16540</v>
      </c>
      <c r="Y435" s="62">
        <v>185963</v>
      </c>
      <c r="Z435" s="62">
        <v>8193934</v>
      </c>
      <c r="AA435" s="62">
        <v>5151981</v>
      </c>
      <c r="AB435" s="62">
        <v>3097434</v>
      </c>
      <c r="AC435" s="17">
        <f>8811361+786722</f>
        <v>9598083</v>
      </c>
      <c r="AD435" s="10">
        <v>5561630</v>
      </c>
      <c r="AE435" s="17">
        <f>3273055.84085+294572</f>
        <v>3567627.8408499998</v>
      </c>
      <c r="AF435" s="10">
        <v>9643398</v>
      </c>
      <c r="AG435" s="10">
        <v>6347664</v>
      </c>
      <c r="AH435" s="10">
        <v>3583552.8408499998</v>
      </c>
      <c r="AI435" s="10">
        <v>10305011</v>
      </c>
      <c r="AJ435" s="10">
        <v>6808953</v>
      </c>
      <c r="AK435" s="31">
        <v>3602853.8408499998</v>
      </c>
      <c r="AL435" s="10">
        <v>10872297</v>
      </c>
      <c r="AM435" s="10">
        <v>7267551</v>
      </c>
      <c r="AN435" s="31">
        <v>3620453.8408499998</v>
      </c>
      <c r="AO435" s="10">
        <v>10716963</v>
      </c>
      <c r="AP435" s="10">
        <v>7187884</v>
      </c>
      <c r="AQ435" s="31">
        <v>3658183.8408499998</v>
      </c>
    </row>
    <row r="436" spans="1:43">
      <c r="A436" s="102">
        <v>853</v>
      </c>
      <c r="B436" s="7" t="s">
        <v>2121</v>
      </c>
      <c r="C436" s="103">
        <v>42.83</v>
      </c>
      <c r="D436" s="62">
        <v>13805435</v>
      </c>
      <c r="E436" s="37">
        <v>8368989</v>
      </c>
      <c r="F436" s="62">
        <v>5436446</v>
      </c>
      <c r="G436" s="62">
        <v>15298678</v>
      </c>
      <c r="H436" s="62">
        <v>8834989</v>
      </c>
      <c r="I436" s="62">
        <v>6463689</v>
      </c>
      <c r="J436" s="62">
        <v>16448129</v>
      </c>
      <c r="K436" s="62">
        <v>9382830</v>
      </c>
      <c r="L436" s="62">
        <v>7065299</v>
      </c>
      <c r="M436" s="62">
        <v>17520203</v>
      </c>
      <c r="N436" s="62">
        <v>9753752</v>
      </c>
      <c r="O436" s="62">
        <v>6949698</v>
      </c>
      <c r="P436" s="62">
        <v>816753</v>
      </c>
      <c r="Q436" s="62">
        <v>18195495.392153114</v>
      </c>
      <c r="R436" s="62">
        <v>9906992</v>
      </c>
      <c r="S436" s="62">
        <v>7611122</v>
      </c>
      <c r="T436" s="62">
        <v>677381</v>
      </c>
      <c r="U436" s="62">
        <v>18075511.403999995</v>
      </c>
      <c r="V436" s="62">
        <v>10403784</v>
      </c>
      <c r="W436" s="62">
        <v>7787386</v>
      </c>
      <c r="X436" s="62">
        <v>41897</v>
      </c>
      <c r="Y436" s="62">
        <v>489726</v>
      </c>
      <c r="Z436" s="62">
        <v>18846605</v>
      </c>
      <c r="AA436" s="62">
        <v>10860660</v>
      </c>
      <c r="AB436" s="62">
        <v>7985945</v>
      </c>
      <c r="AC436" s="10">
        <v>19273753</v>
      </c>
      <c r="AD436" s="10">
        <v>10987834</v>
      </c>
      <c r="AE436" s="10">
        <v>8285919</v>
      </c>
      <c r="AF436" s="10">
        <v>19964083</v>
      </c>
      <c r="AG436" s="10">
        <v>11419748</v>
      </c>
      <c r="AH436" s="10">
        <v>8564871.3160750009</v>
      </c>
      <c r="AI436" s="10">
        <v>20104161</v>
      </c>
      <c r="AJ436" s="10">
        <v>11494298</v>
      </c>
      <c r="AK436" s="31">
        <v>8609863</v>
      </c>
      <c r="AL436" s="10">
        <v>20386925</v>
      </c>
      <c r="AM436" s="10">
        <v>11746592</v>
      </c>
      <c r="AN436" s="31">
        <v>8640688</v>
      </c>
      <c r="AO436" s="10">
        <v>20458840</v>
      </c>
      <c r="AP436" s="10">
        <v>11667126</v>
      </c>
      <c r="AQ436" s="31">
        <v>8818904</v>
      </c>
    </row>
    <row r="437" spans="1:43">
      <c r="A437" s="102">
        <v>855</v>
      </c>
      <c r="B437" s="7" t="s">
        <v>2122</v>
      </c>
      <c r="C437" s="103">
        <v>39.340000000000003</v>
      </c>
      <c r="D437" s="62">
        <v>4989253</v>
      </c>
      <c r="E437" s="37">
        <v>2641742</v>
      </c>
      <c r="F437" s="62">
        <v>2546991</v>
      </c>
      <c r="G437" s="62">
        <v>5820992</v>
      </c>
      <c r="H437" s="62">
        <v>2972628</v>
      </c>
      <c r="I437" s="62">
        <v>2935912</v>
      </c>
      <c r="J437" s="62">
        <v>6621083</v>
      </c>
      <c r="K437" s="62">
        <v>3475932</v>
      </c>
      <c r="L437" s="62">
        <v>3292273</v>
      </c>
      <c r="M437" s="62">
        <v>6827603</v>
      </c>
      <c r="N437" s="62">
        <v>3546608</v>
      </c>
      <c r="O437" s="62">
        <v>3028077</v>
      </c>
      <c r="P437" s="62">
        <v>355870</v>
      </c>
      <c r="Q437" s="62">
        <v>7042233.7959808633</v>
      </c>
      <c r="R437" s="62">
        <v>3704307</v>
      </c>
      <c r="S437" s="62">
        <v>3316268</v>
      </c>
      <c r="T437" s="62">
        <v>21659</v>
      </c>
      <c r="U437" s="62">
        <v>6779947.8360000001</v>
      </c>
      <c r="V437" s="62">
        <v>3833931.4919956997</v>
      </c>
      <c r="W437" s="62">
        <v>3142926</v>
      </c>
      <c r="X437" s="62">
        <v>16873</v>
      </c>
      <c r="Y437" s="62">
        <v>190453</v>
      </c>
      <c r="Z437" s="62">
        <v>6636605</v>
      </c>
      <c r="AA437" s="62">
        <v>3861415</v>
      </c>
      <c r="AB437" s="62">
        <v>3159799</v>
      </c>
      <c r="AC437" s="10">
        <v>6993936</v>
      </c>
      <c r="AD437" s="10">
        <v>4108774</v>
      </c>
      <c r="AE437" s="10">
        <v>3179079</v>
      </c>
      <c r="AF437" s="10">
        <v>7318581</v>
      </c>
      <c r="AG437" s="10">
        <v>4348047</v>
      </c>
      <c r="AH437" s="10">
        <v>3191479</v>
      </c>
      <c r="AI437" s="10">
        <v>7268292</v>
      </c>
      <c r="AJ437" s="10">
        <v>4341070</v>
      </c>
      <c r="AK437" s="31">
        <v>3203704</v>
      </c>
      <c r="AL437" s="10">
        <v>7329579</v>
      </c>
      <c r="AM437" s="10">
        <v>4522220</v>
      </c>
      <c r="AN437" s="31">
        <v>3215679</v>
      </c>
      <c r="AO437" s="10">
        <v>7070588</v>
      </c>
      <c r="AP437" s="10">
        <v>4320680</v>
      </c>
      <c r="AQ437" s="31">
        <v>3240924</v>
      </c>
    </row>
    <row r="438" spans="1:43">
      <c r="A438" s="102">
        <v>860</v>
      </c>
      <c r="B438" s="7" t="s">
        <v>2123</v>
      </c>
      <c r="C438" s="103">
        <v>55.93</v>
      </c>
      <c r="D438" s="62">
        <v>6096738</v>
      </c>
      <c r="E438" s="37">
        <v>2786084</v>
      </c>
      <c r="F438" s="62">
        <v>3310654</v>
      </c>
      <c r="G438" s="62">
        <v>6802165</v>
      </c>
      <c r="H438" s="62">
        <v>2722408</v>
      </c>
      <c r="I438" s="62">
        <v>4079757</v>
      </c>
      <c r="J438" s="62">
        <v>7765674</v>
      </c>
      <c r="K438" s="62">
        <v>2973205</v>
      </c>
      <c r="L438" s="62">
        <v>4792469</v>
      </c>
      <c r="M438" s="62">
        <v>8192718</v>
      </c>
      <c r="N438" s="62">
        <v>3079140</v>
      </c>
      <c r="O438" s="62">
        <v>4575812</v>
      </c>
      <c r="P438" s="62">
        <v>537766</v>
      </c>
      <c r="Q438" s="62">
        <v>7922637.1368421055</v>
      </c>
      <c r="R438" s="62">
        <v>3002367</v>
      </c>
      <c r="S438" s="62">
        <v>5011306</v>
      </c>
      <c r="T438" s="62">
        <v>0</v>
      </c>
      <c r="U438" s="62">
        <v>8264011.2758400002</v>
      </c>
      <c r="V438" s="62">
        <v>3272693.2524828459</v>
      </c>
      <c r="W438" s="62">
        <f>4773477+124459</f>
        <v>4897936</v>
      </c>
      <c r="X438" s="62">
        <v>25626</v>
      </c>
      <c r="Y438" s="62">
        <v>226728</v>
      </c>
      <c r="Z438" s="62">
        <v>8310204</v>
      </c>
      <c r="AA438" s="62">
        <v>3406888</v>
      </c>
      <c r="AB438" s="62">
        <v>4923562</v>
      </c>
      <c r="AC438" s="10">
        <v>9047750</v>
      </c>
      <c r="AD438" s="10">
        <v>3742148</v>
      </c>
      <c r="AE438" s="10">
        <v>5305602</v>
      </c>
      <c r="AF438" s="10">
        <v>9290876</v>
      </c>
      <c r="AG438" s="10">
        <v>3937256</v>
      </c>
      <c r="AH438" s="10">
        <v>5362159.7480999995</v>
      </c>
      <c r="AI438" s="10">
        <v>8740342</v>
      </c>
      <c r="AJ438" s="10">
        <v>3869273</v>
      </c>
      <c r="AK438" s="31">
        <v>5376309.7480999995</v>
      </c>
      <c r="AL438" s="10">
        <v>9330426</v>
      </c>
      <c r="AM438" s="10">
        <v>4172839</v>
      </c>
      <c r="AN438" s="31">
        <v>5391009.7480999995</v>
      </c>
      <c r="AO438" s="10">
        <v>9305841</v>
      </c>
      <c r="AP438" s="10">
        <v>4136686</v>
      </c>
      <c r="AQ438" s="31">
        <v>5422744.7480999995</v>
      </c>
    </row>
    <row r="439" spans="1:43">
      <c r="A439" s="102">
        <v>871</v>
      </c>
      <c r="B439" s="7" t="s">
        <v>2124</v>
      </c>
      <c r="C439" s="103">
        <v>26.03</v>
      </c>
      <c r="D439" s="62">
        <v>13777348</v>
      </c>
      <c r="E439" s="37">
        <v>11493572</v>
      </c>
      <c r="F439" s="62">
        <v>3136056.8</v>
      </c>
      <c r="G439" s="62">
        <v>15354177</v>
      </c>
      <c r="H439" s="62">
        <v>11614893</v>
      </c>
      <c r="I439" s="62">
        <v>3739284</v>
      </c>
      <c r="J439" s="62">
        <v>16399600</v>
      </c>
      <c r="K439" s="62">
        <v>11925006</v>
      </c>
      <c r="L439" s="62">
        <v>4474594</v>
      </c>
      <c r="M439" s="62">
        <v>17333155</v>
      </c>
      <c r="N439" s="62">
        <v>11848099</v>
      </c>
      <c r="O439" s="62">
        <v>4908224</v>
      </c>
      <c r="P439" s="62">
        <v>576832</v>
      </c>
      <c r="Q439" s="62">
        <v>18045396.186028711</v>
      </c>
      <c r="R439" s="62">
        <v>12240655</v>
      </c>
      <c r="S439" s="62">
        <v>5375355</v>
      </c>
      <c r="T439" s="62">
        <v>429386</v>
      </c>
      <c r="U439" s="62">
        <v>17891209.259999998</v>
      </c>
      <c r="V439" s="62">
        <v>12538270</v>
      </c>
      <c r="W439" s="62">
        <v>5465628</v>
      </c>
      <c r="X439" s="62">
        <v>29342</v>
      </c>
      <c r="Y439" s="62">
        <v>342521</v>
      </c>
      <c r="Z439" s="62">
        <v>18725824</v>
      </c>
      <c r="AA439" s="62">
        <v>13125229</v>
      </c>
      <c r="AB439" s="62">
        <v>5600595</v>
      </c>
      <c r="AC439" s="10">
        <v>19899113</v>
      </c>
      <c r="AD439" s="10">
        <v>13950931</v>
      </c>
      <c r="AE439" s="10">
        <v>6159525.7945499998</v>
      </c>
      <c r="AF439" s="10">
        <v>20418808</v>
      </c>
      <c r="AG439" s="10">
        <v>14772092</v>
      </c>
      <c r="AH439" s="10">
        <v>6206185.7275124993</v>
      </c>
      <c r="AI439" s="10">
        <v>20894661</v>
      </c>
      <c r="AJ439" s="10">
        <v>15270792</v>
      </c>
      <c r="AK439" s="31">
        <v>6241110.7275124993</v>
      </c>
      <c r="AL439" s="10">
        <v>20905729</v>
      </c>
      <c r="AM439" s="10">
        <v>15410372</v>
      </c>
      <c r="AN439" s="31">
        <v>6275835.7275124993</v>
      </c>
      <c r="AO439" s="10">
        <v>20610764</v>
      </c>
      <c r="AP439" s="10">
        <v>15409506</v>
      </c>
      <c r="AQ439" s="31">
        <v>6350690.7275124993</v>
      </c>
    </row>
    <row r="440" spans="1:43">
      <c r="A440" s="102">
        <v>872</v>
      </c>
      <c r="B440" s="7" t="s">
        <v>2125</v>
      </c>
      <c r="C440" s="103">
        <v>62.49</v>
      </c>
      <c r="D440" s="62">
        <v>14936857</v>
      </c>
      <c r="E440" s="37">
        <v>5393902</v>
      </c>
      <c r="F440" s="62">
        <v>9542955</v>
      </c>
      <c r="G440" s="62">
        <v>16539295</v>
      </c>
      <c r="H440" s="62">
        <v>5950716</v>
      </c>
      <c r="I440" s="62">
        <v>10588579</v>
      </c>
      <c r="J440" s="62">
        <v>17132435</v>
      </c>
      <c r="K440" s="62">
        <v>6118865</v>
      </c>
      <c r="L440" s="62">
        <v>11013570</v>
      </c>
      <c r="M440" s="62">
        <v>18651251</v>
      </c>
      <c r="N440" s="62">
        <v>6606221</v>
      </c>
      <c r="O440" s="62">
        <v>10778323</v>
      </c>
      <c r="P440" s="62">
        <v>1266707</v>
      </c>
      <c r="Q440" s="62">
        <v>19547466.962679427</v>
      </c>
      <c r="R440" s="62">
        <v>6794855</v>
      </c>
      <c r="S440" s="62">
        <v>11804129</v>
      </c>
      <c r="T440" s="62">
        <v>948483</v>
      </c>
      <c r="U440" s="62">
        <v>18976858.698000003</v>
      </c>
      <c r="V440" s="62">
        <v>6830054</v>
      </c>
      <c r="W440" s="62">
        <v>12007606</v>
      </c>
      <c r="X440" s="62">
        <v>64462</v>
      </c>
      <c r="Y440" s="62">
        <v>713969</v>
      </c>
      <c r="Z440" s="62">
        <v>19791640</v>
      </c>
      <c r="AA440" s="62">
        <v>7163181</v>
      </c>
      <c r="AB440" s="62">
        <v>12628459</v>
      </c>
      <c r="AC440" s="10">
        <v>20139028</v>
      </c>
      <c r="AD440" s="10">
        <v>7253938</v>
      </c>
      <c r="AE440" s="10">
        <v>12885090</v>
      </c>
      <c r="AF440" s="10">
        <v>20816397</v>
      </c>
      <c r="AG440" s="10">
        <v>7493594</v>
      </c>
      <c r="AH440" s="10">
        <v>13322803</v>
      </c>
      <c r="AI440" s="10">
        <v>21227292</v>
      </c>
      <c r="AJ440" s="10">
        <v>7726584</v>
      </c>
      <c r="AK440" s="31">
        <v>13500708</v>
      </c>
      <c r="AL440" s="10">
        <v>22565360</v>
      </c>
      <c r="AM440" s="10">
        <v>8283596</v>
      </c>
      <c r="AN440" s="31">
        <v>14281764</v>
      </c>
      <c r="AO440" s="10">
        <v>23532615</v>
      </c>
      <c r="AP440" s="10">
        <v>8586706</v>
      </c>
      <c r="AQ440" s="31">
        <v>14945909</v>
      </c>
    </row>
    <row r="441" spans="1:43">
      <c r="A441" s="102">
        <v>873</v>
      </c>
      <c r="B441" s="7" t="s">
        <v>2126</v>
      </c>
      <c r="C441" s="103">
        <v>42.67</v>
      </c>
      <c r="D441" s="62">
        <v>5603587</v>
      </c>
      <c r="E441" s="37">
        <v>3304900</v>
      </c>
      <c r="F441" s="62">
        <v>2298687</v>
      </c>
      <c r="G441" s="62">
        <v>6624462</v>
      </c>
      <c r="H441" s="62">
        <v>3491969</v>
      </c>
      <c r="I441" s="62">
        <v>3132493</v>
      </c>
      <c r="J441" s="62">
        <v>7292760</v>
      </c>
      <c r="K441" s="62">
        <v>3896693</v>
      </c>
      <c r="L441" s="62">
        <v>3409503</v>
      </c>
      <c r="M441" s="62">
        <v>8002552</v>
      </c>
      <c r="N441" s="62">
        <v>4267730</v>
      </c>
      <c r="O441" s="62">
        <v>3342052</v>
      </c>
      <c r="P441" s="62">
        <v>392770</v>
      </c>
      <c r="Q441" s="62">
        <v>8068943.0905263163</v>
      </c>
      <c r="R441" s="62">
        <v>4326150</v>
      </c>
      <c r="S441" s="62">
        <v>3660126</v>
      </c>
      <c r="T441" s="62">
        <v>82667</v>
      </c>
      <c r="U441" s="62">
        <v>8159816.8379999995</v>
      </c>
      <c r="V441" s="62">
        <v>4585112</v>
      </c>
      <c r="W441" s="62">
        <v>3524139</v>
      </c>
      <c r="X441" s="62">
        <v>18919</v>
      </c>
      <c r="Y441" s="62">
        <v>214385</v>
      </c>
      <c r="Z441" s="62">
        <v>8361233</v>
      </c>
      <c r="AA441" s="62">
        <v>4747142</v>
      </c>
      <c r="AB441" s="62">
        <v>3614091</v>
      </c>
      <c r="AC441" s="10">
        <v>8898769</v>
      </c>
      <c r="AD441" s="10">
        <v>5090951</v>
      </c>
      <c r="AE441" s="10">
        <v>3814659</v>
      </c>
      <c r="AF441" s="10">
        <v>8843168</v>
      </c>
      <c r="AG441" s="10">
        <v>4991245</v>
      </c>
      <c r="AH441" s="10">
        <v>3851923</v>
      </c>
      <c r="AI441" s="10">
        <v>8975128</v>
      </c>
      <c r="AJ441" s="10">
        <v>5135646</v>
      </c>
      <c r="AK441" s="31">
        <v>3866773</v>
      </c>
      <c r="AL441" s="10">
        <v>9246000</v>
      </c>
      <c r="AM441" s="10">
        <v>5264595</v>
      </c>
      <c r="AN441" s="31">
        <v>3981405</v>
      </c>
      <c r="AO441" s="10">
        <v>9836290</v>
      </c>
      <c r="AP441" s="10">
        <v>5547660</v>
      </c>
      <c r="AQ441" s="31">
        <v>4288630</v>
      </c>
    </row>
    <row r="442" spans="1:43">
      <c r="A442" s="102">
        <v>876</v>
      </c>
      <c r="B442" s="7" t="s">
        <v>2127</v>
      </c>
      <c r="C442" s="103">
        <v>55.55</v>
      </c>
      <c r="D442" s="62">
        <v>9571032</v>
      </c>
      <c r="E442" s="37">
        <v>4238701</v>
      </c>
      <c r="F442" s="62">
        <v>5725706.91653415</v>
      </c>
      <c r="G442" s="62">
        <v>12372691</v>
      </c>
      <c r="H442" s="62">
        <v>5102480</v>
      </c>
      <c r="I442" s="62">
        <v>7282028</v>
      </c>
      <c r="J442" s="62">
        <v>13883285</v>
      </c>
      <c r="K442" s="62">
        <v>5546098</v>
      </c>
      <c r="L442" s="62">
        <v>8337187</v>
      </c>
      <c r="M442" s="62">
        <v>15012157</v>
      </c>
      <c r="N442" s="62">
        <v>5773697</v>
      </c>
      <c r="O442" s="62">
        <v>8266904</v>
      </c>
      <c r="P442" s="62">
        <v>971556</v>
      </c>
      <c r="Q442" s="62">
        <v>15581392.28478469</v>
      </c>
      <c r="R442" s="62">
        <v>6076724</v>
      </c>
      <c r="S442" s="62">
        <v>9053691</v>
      </c>
      <c r="T442" s="62">
        <v>450977</v>
      </c>
      <c r="U442" s="62">
        <v>15894028.614</v>
      </c>
      <c r="V442" s="62">
        <v>6360940</v>
      </c>
      <c r="W442" s="62">
        <v>9350174</v>
      </c>
      <c r="X442" s="62">
        <v>50196</v>
      </c>
      <c r="Y442" s="62">
        <v>132719</v>
      </c>
      <c r="Z442" s="62">
        <v>15689978</v>
      </c>
      <c r="AA442" s="62">
        <v>6367969</v>
      </c>
      <c r="AB442" s="62">
        <v>9400370</v>
      </c>
      <c r="AC442" s="10">
        <v>16052759</v>
      </c>
      <c r="AD442" s="10">
        <v>6598237</v>
      </c>
      <c r="AE442" s="10">
        <v>9454522</v>
      </c>
      <c r="AF442" s="10">
        <v>16721381</v>
      </c>
      <c r="AG442" s="10">
        <v>6992891</v>
      </c>
      <c r="AH442" s="10">
        <v>9728490</v>
      </c>
      <c r="AI442" s="10">
        <v>17132815</v>
      </c>
      <c r="AJ442" s="10">
        <v>7280728</v>
      </c>
      <c r="AK442" s="31">
        <v>9852087</v>
      </c>
      <c r="AL442" s="10">
        <v>17642332</v>
      </c>
      <c r="AM442" s="10">
        <v>7557770</v>
      </c>
      <c r="AN442" s="31">
        <v>10084562</v>
      </c>
      <c r="AO442" s="10">
        <v>17712277</v>
      </c>
      <c r="AP442" s="10">
        <v>7652484</v>
      </c>
      <c r="AQ442" s="31">
        <v>10147042</v>
      </c>
    </row>
    <row r="443" spans="1:43">
      <c r="A443" s="102">
        <v>878</v>
      </c>
      <c r="B443" s="7" t="s">
        <v>2128</v>
      </c>
      <c r="C443" s="103">
        <v>33.17</v>
      </c>
      <c r="D443" s="62">
        <v>9016173</v>
      </c>
      <c r="E443" s="37">
        <v>5636406</v>
      </c>
      <c r="F443" s="62">
        <v>3446914</v>
      </c>
      <c r="G443" s="62">
        <v>10212901</v>
      </c>
      <c r="H443" s="62">
        <v>5924588</v>
      </c>
      <c r="I443" s="62">
        <v>4288313</v>
      </c>
      <c r="J443" s="62">
        <v>11290959</v>
      </c>
      <c r="K443" s="62">
        <v>6500818</v>
      </c>
      <c r="L443" s="62">
        <v>4790141</v>
      </c>
      <c r="M443" s="62">
        <v>12442959</v>
      </c>
      <c r="N443" s="62">
        <v>7015291</v>
      </c>
      <c r="O443" s="62">
        <v>4856871</v>
      </c>
      <c r="P443" s="62">
        <v>570797</v>
      </c>
      <c r="Q443" s="62">
        <v>12923675.155598087</v>
      </c>
      <c r="R443" s="62">
        <v>7663565</v>
      </c>
      <c r="S443" s="62">
        <v>5319115</v>
      </c>
      <c r="T443" s="62">
        <v>0</v>
      </c>
      <c r="U443" s="62">
        <v>13370766.120000003</v>
      </c>
      <c r="V443" s="62">
        <v>8194447</v>
      </c>
      <c r="W443" s="62">
        <v>5076999</v>
      </c>
      <c r="X443" s="62">
        <v>27256</v>
      </c>
      <c r="Y443" s="62">
        <v>238385</v>
      </c>
      <c r="Z443" s="62">
        <v>13542704</v>
      </c>
      <c r="AA443" s="62">
        <v>8344586</v>
      </c>
      <c r="AB443" s="62">
        <v>5198118</v>
      </c>
      <c r="AC443" s="10">
        <v>14397568</v>
      </c>
      <c r="AD443" s="10">
        <v>8892150</v>
      </c>
      <c r="AE443" s="10">
        <v>5505418</v>
      </c>
      <c r="AF443" s="10">
        <v>14698799</v>
      </c>
      <c r="AG443" s="10">
        <v>9224159</v>
      </c>
      <c r="AH443" s="10">
        <v>5529518</v>
      </c>
      <c r="AI443" s="10">
        <v>15102844</v>
      </c>
      <c r="AJ443" s="10">
        <v>9768353</v>
      </c>
      <c r="AK443" s="31">
        <v>5553893</v>
      </c>
      <c r="AL443" s="10">
        <v>15108183</v>
      </c>
      <c r="AM443" s="10">
        <v>10085613</v>
      </c>
      <c r="AN443" s="31">
        <v>5577743</v>
      </c>
      <c r="AO443" s="10">
        <v>15221337</v>
      </c>
      <c r="AP443" s="10">
        <v>10205482</v>
      </c>
      <c r="AQ443" s="31">
        <v>5630378</v>
      </c>
    </row>
    <row r="444" spans="1:43">
      <c r="A444" s="102">
        <v>879</v>
      </c>
      <c r="B444" s="7" t="s">
        <v>2129</v>
      </c>
      <c r="C444" s="103">
        <v>26.07</v>
      </c>
      <c r="D444" s="62">
        <v>7297579</v>
      </c>
      <c r="E444" s="37">
        <v>5382948</v>
      </c>
      <c r="F444" s="62">
        <v>2593253</v>
      </c>
      <c r="G444" s="62">
        <v>7871760</v>
      </c>
      <c r="H444" s="62">
        <v>6175413</v>
      </c>
      <c r="I444" s="62">
        <v>2762062</v>
      </c>
      <c r="J444" s="62">
        <v>8334135</v>
      </c>
      <c r="K444" s="62">
        <v>6672582</v>
      </c>
      <c r="L444" s="62">
        <v>2884730</v>
      </c>
      <c r="M444" s="62">
        <v>9055851</v>
      </c>
      <c r="N444" s="62">
        <v>7109422</v>
      </c>
      <c r="O444" s="62">
        <v>2747270</v>
      </c>
      <c r="P444" s="62">
        <v>322869</v>
      </c>
      <c r="Q444" s="62">
        <v>9359958.3663157895</v>
      </c>
      <c r="R444" s="62">
        <v>7254471</v>
      </c>
      <c r="S444" s="62">
        <v>3008736</v>
      </c>
      <c r="T444" s="62">
        <v>0</v>
      </c>
      <c r="U444" s="62">
        <v>9469840.0140000004</v>
      </c>
      <c r="V444" s="62">
        <v>7444031</v>
      </c>
      <c r="W444" s="62">
        <v>2832966</v>
      </c>
      <c r="X444" s="62">
        <v>15209</v>
      </c>
      <c r="Y444" s="62">
        <v>177786</v>
      </c>
      <c r="Z444" s="62">
        <v>9659521</v>
      </c>
      <c r="AA444" s="62">
        <v>7711247</v>
      </c>
      <c r="AB444" s="62">
        <v>2848175</v>
      </c>
      <c r="AC444" s="10">
        <v>9618705</v>
      </c>
      <c r="AD444" s="10">
        <v>7624553</v>
      </c>
      <c r="AE444" s="10">
        <v>2874735</v>
      </c>
      <c r="AF444" s="10">
        <v>10084443</v>
      </c>
      <c r="AG444" s="10">
        <v>8024477</v>
      </c>
      <c r="AH444" s="10">
        <v>2891885</v>
      </c>
      <c r="AI444" s="10">
        <v>10314759</v>
      </c>
      <c r="AJ444" s="10">
        <v>8119608</v>
      </c>
      <c r="AK444" s="31">
        <v>2909460</v>
      </c>
      <c r="AL444" s="10">
        <v>11054587</v>
      </c>
      <c r="AM444" s="10">
        <v>8517332</v>
      </c>
      <c r="AN444" s="31">
        <v>2927510</v>
      </c>
      <c r="AO444" s="10">
        <v>11535664</v>
      </c>
      <c r="AP444" s="10">
        <v>8638647</v>
      </c>
      <c r="AQ444" s="31">
        <v>2968265</v>
      </c>
    </row>
    <row r="445" spans="1:43">
      <c r="A445" s="102">
        <v>885</v>
      </c>
      <c r="B445" s="7" t="s">
        <v>2130</v>
      </c>
      <c r="C445" s="103">
        <v>46.75</v>
      </c>
      <c r="D445" s="62">
        <v>11536179</v>
      </c>
      <c r="E445" s="37">
        <v>7149342</v>
      </c>
      <c r="F445" s="62">
        <v>4829933</v>
      </c>
      <c r="G445" s="62">
        <v>11990774</v>
      </c>
      <c r="H445" s="62">
        <v>6974949</v>
      </c>
      <c r="I445" s="62">
        <v>5032319</v>
      </c>
      <c r="J445" s="62">
        <v>12092901</v>
      </c>
      <c r="K445" s="62">
        <v>6752086</v>
      </c>
      <c r="L445" s="62">
        <v>5340815</v>
      </c>
      <c r="M445" s="62">
        <v>12653763</v>
      </c>
      <c r="N445" s="62">
        <v>7029551</v>
      </c>
      <c r="O445" s="62">
        <v>5032746</v>
      </c>
      <c r="P445" s="62">
        <v>591466</v>
      </c>
      <c r="Q445" s="62">
        <v>14137619.469473682</v>
      </c>
      <c r="R445" s="62">
        <v>7657177</v>
      </c>
      <c r="S445" s="62">
        <v>5511728</v>
      </c>
      <c r="T445" s="62">
        <v>968714</v>
      </c>
      <c r="U445" s="62">
        <v>14275034.699999999</v>
      </c>
      <c r="V445" s="62">
        <v>7892558</v>
      </c>
      <c r="W445" s="62">
        <v>6260014</v>
      </c>
      <c r="X445" s="62">
        <v>33606</v>
      </c>
      <c r="Y445" s="62">
        <v>212122</v>
      </c>
      <c r="Z445" s="62">
        <v>15261656</v>
      </c>
      <c r="AA445" s="62">
        <v>8442171</v>
      </c>
      <c r="AB445" s="62">
        <v>6819485</v>
      </c>
      <c r="AC445" s="10">
        <v>16269465</v>
      </c>
      <c r="AD445" s="10">
        <v>8729868</v>
      </c>
      <c r="AE445" s="10">
        <v>7563919.4677499998</v>
      </c>
      <c r="AF445" s="10">
        <v>16875591</v>
      </c>
      <c r="AG445" s="10">
        <v>9062382</v>
      </c>
      <c r="AH445" s="10">
        <v>7879914.9927000003</v>
      </c>
      <c r="AI445" s="10">
        <v>17494788</v>
      </c>
      <c r="AJ445" s="10">
        <v>9523686</v>
      </c>
      <c r="AK445" s="31">
        <v>8010858.9927000003</v>
      </c>
      <c r="AL445" s="10">
        <v>18310028</v>
      </c>
      <c r="AM445" s="10">
        <v>10028034</v>
      </c>
      <c r="AN445" s="31">
        <v>8281994</v>
      </c>
      <c r="AO445" s="10">
        <v>19322789</v>
      </c>
      <c r="AP445" s="10">
        <v>10384757</v>
      </c>
      <c r="AQ445" s="31">
        <v>8938032</v>
      </c>
    </row>
    <row r="446" spans="1:43">
      <c r="A446" s="102">
        <v>910</v>
      </c>
      <c r="B446" s="7" t="s">
        <v>2131</v>
      </c>
      <c r="C446" s="103">
        <v>46.17</v>
      </c>
      <c r="D446" s="62">
        <v>4169889</v>
      </c>
      <c r="E446" s="37">
        <v>2377115</v>
      </c>
      <c r="F446" s="62">
        <v>1792774</v>
      </c>
      <c r="G446" s="62">
        <v>4678752</v>
      </c>
      <c r="H446" s="62">
        <v>2165472</v>
      </c>
      <c r="I446" s="62">
        <v>2513280</v>
      </c>
      <c r="J446" s="62">
        <v>4979099</v>
      </c>
      <c r="K446" s="62">
        <v>2115459</v>
      </c>
      <c r="L446" s="62">
        <v>2863640</v>
      </c>
      <c r="M446" s="62">
        <v>5282006</v>
      </c>
      <c r="N446" s="62">
        <v>2203905</v>
      </c>
      <c r="O446" s="62">
        <v>2754395</v>
      </c>
      <c r="P446" s="62">
        <v>323706</v>
      </c>
      <c r="Q446" s="62">
        <v>5380792.1852631588</v>
      </c>
      <c r="R446" s="62">
        <v>2265291</v>
      </c>
      <c r="S446" s="62">
        <v>3016539</v>
      </c>
      <c r="T446" s="62">
        <v>98962</v>
      </c>
      <c r="U446" s="62">
        <v>5285460.1679999996</v>
      </c>
      <c r="V446" s="62">
        <v>2485563.5502734138</v>
      </c>
      <c r="W446" s="62">
        <v>2933494</v>
      </c>
      <c r="X446" s="62">
        <v>15748</v>
      </c>
      <c r="Y446" s="62">
        <v>175709</v>
      </c>
      <c r="Z446" s="62">
        <v>5518473</v>
      </c>
      <c r="AA446" s="62">
        <v>2608341</v>
      </c>
      <c r="AB446" s="62">
        <v>2949242</v>
      </c>
      <c r="AC446" s="10">
        <v>5541328</v>
      </c>
      <c r="AD446" s="10">
        <v>2713112</v>
      </c>
      <c r="AE446" s="10">
        <v>2964202</v>
      </c>
      <c r="AF446" s="10">
        <v>5650536</v>
      </c>
      <c r="AG446" s="10">
        <v>2907343</v>
      </c>
      <c r="AH446" s="10">
        <v>2973677</v>
      </c>
      <c r="AI446" s="10">
        <v>5797631</v>
      </c>
      <c r="AJ446" s="10">
        <v>3091923</v>
      </c>
      <c r="AK446" s="31">
        <v>2983352</v>
      </c>
      <c r="AL446" s="10">
        <v>5839373</v>
      </c>
      <c r="AM446" s="10">
        <v>3169711</v>
      </c>
      <c r="AN446" s="31">
        <v>2992952</v>
      </c>
      <c r="AO446" s="10">
        <v>6281807</v>
      </c>
      <c r="AP446" s="10">
        <v>3336386</v>
      </c>
      <c r="AQ446" s="31">
        <v>3015502</v>
      </c>
    </row>
    <row r="447" spans="1:43">
      <c r="A447" s="102">
        <v>915</v>
      </c>
      <c r="B447" s="7" t="s">
        <v>2132</v>
      </c>
      <c r="C447" s="103">
        <v>27</v>
      </c>
      <c r="D447" s="62">
        <v>2581809</v>
      </c>
      <c r="E447" s="37">
        <v>2385271</v>
      </c>
      <c r="F447" s="62">
        <v>605727.6</v>
      </c>
      <c r="G447" s="62">
        <v>3153664</v>
      </c>
      <c r="H447" s="62">
        <v>2376238</v>
      </c>
      <c r="I447" s="62">
        <v>777426</v>
      </c>
      <c r="J447" s="62">
        <v>3314326</v>
      </c>
      <c r="K447" s="62">
        <v>2403121</v>
      </c>
      <c r="L447" s="62">
        <v>911205</v>
      </c>
      <c r="M447" s="62">
        <v>3538156</v>
      </c>
      <c r="N447" s="62">
        <v>2513756</v>
      </c>
      <c r="O447" s="62">
        <v>916670</v>
      </c>
      <c r="P447" s="62">
        <v>107730</v>
      </c>
      <c r="Q447" s="62">
        <v>3601674.9504306214</v>
      </c>
      <c r="R447" s="62">
        <v>2554390</v>
      </c>
      <c r="S447" s="62">
        <v>1003912</v>
      </c>
      <c r="T447" s="62">
        <v>43373</v>
      </c>
      <c r="U447" s="62">
        <v>3636172.7040000004</v>
      </c>
      <c r="V447" s="62">
        <v>2694070</v>
      </c>
      <c r="W447" s="62">
        <v>968927</v>
      </c>
      <c r="X447" s="62">
        <v>5294</v>
      </c>
      <c r="Y447" s="62">
        <v>79925</v>
      </c>
      <c r="Z447" s="62">
        <v>3894722</v>
      </c>
      <c r="AA447" s="62">
        <v>2866575</v>
      </c>
      <c r="AB447" s="62">
        <v>1028147</v>
      </c>
      <c r="AC447" s="10">
        <v>4009287</v>
      </c>
      <c r="AD447" s="10">
        <v>2928531</v>
      </c>
      <c r="AE447" s="10">
        <v>1097231.0205000001</v>
      </c>
      <c r="AF447" s="10">
        <v>4057136</v>
      </c>
      <c r="AG447" s="10">
        <v>3005158</v>
      </c>
      <c r="AH447" s="10">
        <v>1109762.7805750002</v>
      </c>
      <c r="AI447" s="10">
        <v>3937649</v>
      </c>
      <c r="AJ447" s="10">
        <v>2863375</v>
      </c>
      <c r="AK447" s="31">
        <v>1119500.7805750002</v>
      </c>
      <c r="AL447" s="10">
        <v>4240624</v>
      </c>
      <c r="AM447" s="10">
        <v>3129643</v>
      </c>
      <c r="AN447" s="31">
        <v>1126275.7805750002</v>
      </c>
      <c r="AO447" s="10">
        <v>4615273</v>
      </c>
      <c r="AP447" s="10">
        <v>3398333</v>
      </c>
      <c r="AQ447" s="31">
        <v>1216940</v>
      </c>
    </row>
    <row r="448" spans="1:43" s="11" customFormat="1">
      <c r="A448" s="104">
        <v>999</v>
      </c>
      <c r="B448" s="11" t="s">
        <v>868</v>
      </c>
      <c r="C448" s="282">
        <v>41</v>
      </c>
      <c r="D448" s="105">
        <v>7551933454</v>
      </c>
      <c r="E448" s="105">
        <v>4743946672</v>
      </c>
      <c r="F448" s="105">
        <v>3288603061.8000002</v>
      </c>
      <c r="G448" s="105">
        <v>8014672861.3798904</v>
      </c>
      <c r="H448" s="105">
        <v>4876428772</v>
      </c>
      <c r="I448" s="105">
        <v>3505192038.9270248</v>
      </c>
      <c r="J448" s="105">
        <v>8406096436.3857374</v>
      </c>
      <c r="K448" s="105">
        <v>4997705374</v>
      </c>
      <c r="L448" s="105">
        <v>3725343326.8219399</v>
      </c>
      <c r="M448" s="105">
        <v>8811314229.2926865</v>
      </c>
      <c r="N448" s="105">
        <v>5110365426</v>
      </c>
      <c r="O448" s="105">
        <v>3536496064.2495604</v>
      </c>
      <c r="P448" s="105">
        <v>411999998</v>
      </c>
      <c r="Q448" s="105">
        <v>9088557473.2006893</v>
      </c>
      <c r="R448" s="105">
        <v>5250106061</v>
      </c>
      <c r="S448" s="105">
        <v>3869526145</v>
      </c>
      <c r="T448" s="105">
        <v>173630555</v>
      </c>
      <c r="U448" s="105">
        <v>8921047970</v>
      </c>
      <c r="V448" s="105">
        <v>5302200670.3241692</v>
      </c>
      <c r="W448" s="105">
        <v>3850884455.5488005</v>
      </c>
      <c r="X448" s="105">
        <v>20667814</v>
      </c>
      <c r="Y448" s="105">
        <v>200480583</v>
      </c>
      <c r="Z448" s="105">
        <v>9119340580.3732376</v>
      </c>
      <c r="AA448" s="105">
        <v>5413602268</v>
      </c>
      <c r="AB448" s="105">
        <v>3990504093.3881507</v>
      </c>
      <c r="AC448" s="105">
        <v>9467117140.6663704</v>
      </c>
      <c r="AD448" s="105">
        <v>5582113529</v>
      </c>
      <c r="AE448" s="105">
        <v>4173223954.2949104</v>
      </c>
      <c r="AF448" s="105">
        <v>9711217584.8007889</v>
      </c>
      <c r="AG448" s="105">
        <v>5748475145</v>
      </c>
      <c r="AH448" s="105">
        <v>4300854366.3566036</v>
      </c>
      <c r="AI448" s="105">
        <v>9866011313.0677662</v>
      </c>
      <c r="AJ448" s="105">
        <v>5817618237</v>
      </c>
      <c r="AK448" s="105">
        <v>4400335961.8829308</v>
      </c>
      <c r="AL448" s="105">
        <v>10090177272.100754</v>
      </c>
      <c r="AM448" s="105">
        <v>5943909029</v>
      </c>
      <c r="AN448" s="105">
        <v>4511521973.6381674</v>
      </c>
      <c r="AO448" s="105">
        <v>10128238382.975546</v>
      </c>
      <c r="AP448" s="105">
        <v>5926185567</v>
      </c>
      <c r="AQ448" s="105">
        <v>4627705061.1446953</v>
      </c>
    </row>
    <row r="449" spans="23:32" s="11" customFormat="1">
      <c r="W449" s="106"/>
      <c r="X449" s="106"/>
      <c r="AA449" s="107"/>
      <c r="AB449" s="107"/>
      <c r="AD449" s="108"/>
      <c r="AF449" s="108"/>
    </row>
    <row r="450" spans="23:32" s="11" customFormat="1">
      <c r="W450" s="106"/>
      <c r="X450" s="106"/>
      <c r="AA450" s="107"/>
      <c r="AB450" s="107"/>
    </row>
    <row r="451" spans="23:32" s="11" customFormat="1">
      <c r="W451" s="106"/>
      <c r="X451" s="106"/>
      <c r="AA451" s="107"/>
      <c r="AB451" s="107"/>
    </row>
    <row r="452" spans="23:32" s="11" customFormat="1">
      <c r="W452" s="106"/>
      <c r="X452" s="106"/>
      <c r="AA452" s="107"/>
      <c r="AB452" s="107"/>
    </row>
    <row r="453" spans="23:32" s="11" customFormat="1">
      <c r="W453" s="106"/>
      <c r="X453" s="106"/>
      <c r="AA453" s="107"/>
      <c r="AB453" s="107"/>
    </row>
    <row r="454" spans="23:32" s="11" customFormat="1">
      <c r="W454" s="106"/>
      <c r="X454" s="106"/>
    </row>
    <row r="455" spans="23:32" s="11" customFormat="1">
      <c r="W455" s="106"/>
      <c r="X455" s="106"/>
    </row>
    <row r="456" spans="23:32" s="11" customFormat="1">
      <c r="W456" s="106"/>
      <c r="X456" s="106"/>
    </row>
    <row r="457" spans="23:32" s="11" customFormat="1">
      <c r="W457" s="106"/>
      <c r="X457" s="106"/>
    </row>
    <row r="458" spans="23:32" s="11" customFormat="1">
      <c r="W458" s="106"/>
      <c r="X458" s="106"/>
    </row>
    <row r="459" spans="23:32" s="11" customFormat="1">
      <c r="W459" s="106"/>
      <c r="X459" s="106"/>
    </row>
    <row r="460" spans="23:32" s="11" customFormat="1">
      <c r="W460" s="106"/>
      <c r="X460" s="106"/>
    </row>
    <row r="461" spans="23:32" s="11" customFormat="1">
      <c r="W461" s="106"/>
      <c r="X461" s="106"/>
    </row>
    <row r="462" spans="23:32" s="11" customFormat="1">
      <c r="W462" s="106"/>
      <c r="X462" s="106"/>
    </row>
    <row r="463" spans="23:32" s="11" customFormat="1">
      <c r="W463" s="106"/>
      <c r="X463" s="106"/>
    </row>
    <row r="464" spans="23:32" s="11" customFormat="1">
      <c r="W464" s="106"/>
      <c r="X464" s="106"/>
    </row>
    <row r="465" spans="23:24" s="11" customFormat="1">
      <c r="W465" s="106"/>
      <c r="X465" s="106"/>
    </row>
    <row r="466" spans="23:24" s="11" customFormat="1">
      <c r="W466" s="106"/>
      <c r="X466" s="106"/>
    </row>
    <row r="467" spans="23:24" s="11" customFormat="1">
      <c r="W467" s="106"/>
      <c r="X467" s="106"/>
    </row>
    <row r="468" spans="23:24" s="11" customFormat="1">
      <c r="W468" s="106"/>
      <c r="X468" s="106"/>
    </row>
    <row r="469" spans="23:24" s="11" customFormat="1">
      <c r="W469" s="106"/>
      <c r="X469" s="106"/>
    </row>
    <row r="470" spans="23:24" s="11" customFormat="1">
      <c r="W470" s="106"/>
      <c r="X470" s="106"/>
    </row>
    <row r="471" spans="23:24" s="11" customFormat="1">
      <c r="W471" s="106"/>
      <c r="X471" s="106"/>
    </row>
    <row r="472" spans="23:24" s="11" customFormat="1">
      <c r="W472" s="106"/>
      <c r="X472" s="106"/>
    </row>
    <row r="473" spans="23:24" s="11" customFormat="1">
      <c r="W473" s="106"/>
      <c r="X473" s="106"/>
    </row>
    <row r="474" spans="23:24" s="11" customFormat="1">
      <c r="W474" s="106"/>
      <c r="X474" s="106"/>
    </row>
    <row r="475" spans="23:24" s="11" customFormat="1">
      <c r="W475" s="106"/>
      <c r="X475" s="106"/>
    </row>
    <row r="476" spans="23:24" s="11" customFormat="1">
      <c r="W476" s="106"/>
      <c r="X476" s="106"/>
    </row>
    <row r="477" spans="23:24" s="11" customFormat="1">
      <c r="W477" s="106"/>
      <c r="X477" s="106"/>
    </row>
    <row r="478" spans="23:24" s="11" customFormat="1">
      <c r="W478" s="106"/>
      <c r="X478" s="106"/>
    </row>
    <row r="479" spans="23:24" s="11" customFormat="1">
      <c r="W479" s="106"/>
      <c r="X479" s="106"/>
    </row>
    <row r="480" spans="23:24" s="11" customFormat="1">
      <c r="W480" s="106"/>
      <c r="X480" s="106"/>
    </row>
    <row r="481" spans="23:24" s="11" customFormat="1">
      <c r="W481" s="106"/>
      <c r="X481" s="106"/>
    </row>
    <row r="482" spans="23:24" s="11" customFormat="1">
      <c r="W482" s="106"/>
      <c r="X482" s="106"/>
    </row>
    <row r="483" spans="23:24" s="11" customFormat="1">
      <c r="W483" s="106"/>
      <c r="X483" s="106"/>
    </row>
    <row r="484" spans="23:24" s="11" customFormat="1">
      <c r="W484" s="106"/>
      <c r="X484" s="106"/>
    </row>
    <row r="485" spans="23:24" s="11" customFormat="1">
      <c r="W485" s="106"/>
      <c r="X485" s="106"/>
    </row>
    <row r="486" spans="23:24" s="11" customFormat="1">
      <c r="W486" s="106"/>
      <c r="X486" s="106"/>
    </row>
    <row r="487" spans="23:24" s="11" customFormat="1">
      <c r="W487" s="106"/>
      <c r="X487" s="106"/>
    </row>
    <row r="488" spans="23:24" s="11" customFormat="1">
      <c r="W488" s="106"/>
      <c r="X488" s="106"/>
    </row>
    <row r="489" spans="23:24" s="11" customFormat="1">
      <c r="W489" s="106"/>
      <c r="X489" s="106"/>
    </row>
    <row r="490" spans="23:24" s="11" customFormat="1">
      <c r="W490" s="106"/>
      <c r="X490" s="106"/>
    </row>
    <row r="491" spans="23:24" s="11" customFormat="1">
      <c r="W491" s="106"/>
      <c r="X491" s="106"/>
    </row>
    <row r="492" spans="23:24" s="11" customFormat="1">
      <c r="W492" s="106"/>
      <c r="X492" s="106"/>
    </row>
    <row r="493" spans="23:24" s="11" customFormat="1">
      <c r="W493" s="106"/>
      <c r="X493" s="106"/>
    </row>
    <row r="494" spans="23:24" s="11" customFormat="1">
      <c r="W494" s="106"/>
      <c r="X494" s="106"/>
    </row>
    <row r="495" spans="23:24" s="11" customFormat="1">
      <c r="W495" s="106"/>
      <c r="X495" s="106"/>
    </row>
    <row r="496" spans="23:24" s="11" customFormat="1">
      <c r="W496" s="106"/>
      <c r="X496" s="106"/>
    </row>
    <row r="497" spans="23:24" s="11" customFormat="1">
      <c r="W497" s="106"/>
      <c r="X497" s="106"/>
    </row>
    <row r="498" spans="23:24" s="11" customFormat="1">
      <c r="W498" s="106"/>
      <c r="X498" s="106"/>
    </row>
    <row r="499" spans="23:24" s="11" customFormat="1">
      <c r="W499" s="106"/>
      <c r="X499" s="106"/>
    </row>
    <row r="500" spans="23:24" s="11" customFormat="1">
      <c r="W500" s="106"/>
      <c r="X500" s="106"/>
    </row>
    <row r="501" spans="23:24" s="11" customFormat="1">
      <c r="W501" s="106"/>
      <c r="X501" s="106"/>
    </row>
    <row r="502" spans="23:24" s="11" customFormat="1">
      <c r="W502" s="106"/>
      <c r="X502" s="106"/>
    </row>
    <row r="503" spans="23:24" s="11" customFormat="1">
      <c r="W503" s="106"/>
      <c r="X503" s="106"/>
    </row>
    <row r="504" spans="23:24" s="11" customFormat="1">
      <c r="W504" s="106"/>
      <c r="X504" s="106"/>
    </row>
    <row r="505" spans="23:24" s="11" customFormat="1">
      <c r="W505" s="106"/>
      <c r="X505" s="106"/>
    </row>
    <row r="506" spans="23:24" s="11" customFormat="1">
      <c r="W506" s="106"/>
      <c r="X506" s="106"/>
    </row>
    <row r="507" spans="23:24" s="11" customFormat="1">
      <c r="W507" s="106"/>
      <c r="X507" s="106"/>
    </row>
    <row r="508" spans="23:24" s="11" customFormat="1">
      <c r="W508" s="106"/>
      <c r="X508" s="106"/>
    </row>
    <row r="509" spans="23:24" s="11" customFormat="1">
      <c r="W509" s="106"/>
      <c r="X509" s="106"/>
    </row>
    <row r="510" spans="23:24" s="11" customFormat="1">
      <c r="W510" s="106"/>
      <c r="X510" s="106"/>
    </row>
    <row r="511" spans="23:24" s="11" customFormat="1">
      <c r="W511" s="106"/>
      <c r="X511" s="106"/>
    </row>
    <row r="512" spans="23:24" s="11" customFormat="1">
      <c r="W512" s="106"/>
      <c r="X512" s="106"/>
    </row>
    <row r="513" spans="23:24" s="11" customFormat="1">
      <c r="W513" s="106"/>
      <c r="X513" s="106"/>
    </row>
    <row r="514" spans="23:24" s="11" customFormat="1">
      <c r="W514" s="106"/>
      <c r="X514" s="106"/>
    </row>
    <row r="515" spans="23:24" s="11" customFormat="1">
      <c r="W515" s="106"/>
      <c r="X515" s="106"/>
    </row>
    <row r="516" spans="23:24" s="11" customFormat="1">
      <c r="W516" s="106"/>
      <c r="X516" s="106"/>
    </row>
    <row r="517" spans="23:24" s="11" customFormat="1">
      <c r="W517" s="106"/>
      <c r="X517" s="106"/>
    </row>
    <row r="518" spans="23:24" s="11" customFormat="1">
      <c r="W518" s="106"/>
      <c r="X518" s="106"/>
    </row>
    <row r="519" spans="23:24" s="11" customFormat="1">
      <c r="W519" s="106"/>
      <c r="X519" s="106"/>
    </row>
    <row r="520" spans="23:24" s="11" customFormat="1">
      <c r="W520" s="106"/>
      <c r="X520" s="106"/>
    </row>
    <row r="521" spans="23:24" s="11" customFormat="1">
      <c r="W521" s="106"/>
      <c r="X521" s="106"/>
    </row>
    <row r="522" spans="23:24" s="11" customFormat="1">
      <c r="W522" s="106"/>
      <c r="X522" s="106"/>
    </row>
    <row r="523" spans="23:24" s="11" customFormat="1">
      <c r="W523" s="106"/>
      <c r="X523" s="106"/>
    </row>
    <row r="524" spans="23:24" s="11" customFormat="1">
      <c r="W524" s="106"/>
      <c r="X524" s="106"/>
    </row>
    <row r="525" spans="23:24" s="11" customFormat="1">
      <c r="W525" s="106"/>
      <c r="X525" s="106"/>
    </row>
    <row r="526" spans="23:24" s="11" customFormat="1">
      <c r="W526" s="106"/>
      <c r="X526" s="106"/>
    </row>
  </sheetData>
  <autoFilter ref="A9:AQ448"/>
  <sortState ref="A10:AK448">
    <sortCondition ref="A10:A448"/>
  </sortState>
  <phoneticPr fontId="0" type="noConversion"/>
  <pageMargins left="0.75" right="0.75" top="1" bottom="1" header="0.5" footer="0.5"/>
  <pageSetup orientation="portrait"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codeName="Sheet10"/>
  <dimension ref="A1:AW450"/>
  <sheetViews>
    <sheetView workbookViewId="0">
      <pane xSplit="2" ySplit="9" topLeftCell="Q433" activePane="bottomRight" state="frozen"/>
      <selection activeCell="F12" sqref="F12:H12"/>
      <selection pane="topRight" activeCell="F12" sqref="F12:H12"/>
      <selection pane="bottomLeft" activeCell="F12" sqref="F12:H12"/>
      <selection pane="bottomRight" activeCell="A449" sqref="A449:XFD449"/>
    </sheetView>
  </sheetViews>
  <sheetFormatPr defaultColWidth="10.875" defaultRowHeight="15.75"/>
  <cols>
    <col min="1" max="1" width="7" style="90" customWidth="1"/>
    <col min="2" max="2" width="16.625" style="90" customWidth="1"/>
    <col min="3" max="3" width="9.375" style="90" customWidth="1"/>
    <col min="4" max="5" width="7" style="90" bestFit="1" customWidth="1"/>
    <col min="6" max="8" width="8" style="90" bestFit="1" customWidth="1"/>
    <col min="9" max="10" width="8.75" style="90" bestFit="1" customWidth="1"/>
    <col min="11" max="11" width="6" style="90" bestFit="1" customWidth="1"/>
    <col min="12" max="12" width="5.5" style="90" bestFit="1" customWidth="1"/>
    <col min="13" max="13" width="8" style="90" bestFit="1" customWidth="1"/>
    <col min="14" max="14" width="7" style="90" bestFit="1" customWidth="1"/>
    <col min="15" max="15" width="12.5" style="90" bestFit="1" customWidth="1"/>
    <col min="16" max="16" width="2.5" style="90" bestFit="1" customWidth="1"/>
    <col min="17" max="17" width="9.375" style="90" customWidth="1"/>
    <col min="18" max="18" width="9.75" style="90" customWidth="1"/>
    <col min="19" max="19" width="12.5" style="90" bestFit="1" customWidth="1"/>
    <col min="20" max="20" width="9.875" style="89" customWidth="1"/>
    <col min="21" max="21" width="15.25" style="89" customWidth="1"/>
    <col min="22" max="22" width="13.875" style="89" customWidth="1"/>
    <col min="23" max="23" width="14.875" style="89" customWidth="1"/>
    <col min="24" max="24" width="14.75" style="89" customWidth="1"/>
    <col min="25" max="32" width="13.875" style="89" customWidth="1"/>
    <col min="33" max="16384" width="10.875" style="90"/>
  </cols>
  <sheetData>
    <row r="1" spans="1:49" s="72" customFormat="1">
      <c r="B1" s="73"/>
      <c r="T1" s="74"/>
      <c r="U1" s="74"/>
      <c r="V1" s="74"/>
      <c r="W1" s="74"/>
      <c r="X1" s="74"/>
      <c r="Y1" s="74"/>
      <c r="Z1" s="74"/>
      <c r="AA1" s="74"/>
      <c r="AB1" s="74"/>
      <c r="AC1" s="74"/>
      <c r="AD1" s="74"/>
      <c r="AE1" s="74"/>
      <c r="AF1" s="74"/>
    </row>
    <row r="2" spans="1:49" s="72" customFormat="1">
      <c r="A2" s="593" t="s">
        <v>2832</v>
      </c>
      <c r="C2" s="76"/>
      <c r="D2" s="76"/>
      <c r="E2" s="76"/>
      <c r="F2" s="76"/>
      <c r="G2" s="76"/>
      <c r="H2" s="76"/>
      <c r="I2" s="77"/>
      <c r="J2" s="77"/>
      <c r="K2" s="76"/>
      <c r="L2" s="76"/>
      <c r="M2" s="77"/>
      <c r="N2" s="77"/>
      <c r="O2" s="77"/>
      <c r="P2" s="77"/>
      <c r="T2" s="74"/>
      <c r="U2" s="74"/>
      <c r="V2" s="74"/>
      <c r="W2" s="74"/>
      <c r="X2" s="74"/>
      <c r="Y2" s="74"/>
      <c r="Z2" s="74"/>
      <c r="AA2" s="74"/>
      <c r="AB2" s="74"/>
      <c r="AC2" s="74"/>
      <c r="AD2" s="74"/>
      <c r="AE2" s="74"/>
      <c r="AF2" s="74"/>
    </row>
    <row r="3" spans="1:49" s="77" customFormat="1">
      <c r="B3" s="75"/>
      <c r="T3" s="78"/>
      <c r="U3" s="78"/>
      <c r="V3" s="78"/>
      <c r="W3" s="78"/>
      <c r="X3" s="78"/>
      <c r="Y3" s="74"/>
      <c r="Z3" s="74"/>
      <c r="AA3" s="74"/>
      <c r="AB3" s="74"/>
      <c r="AC3" s="74"/>
      <c r="AD3" s="74"/>
      <c r="AE3" s="78"/>
      <c r="AF3" s="78"/>
      <c r="AU3" s="392"/>
    </row>
    <row r="4" spans="1:49" s="77" customFormat="1">
      <c r="C4" s="79" t="s">
        <v>208</v>
      </c>
      <c r="T4" s="78"/>
      <c r="U4" s="79" t="s">
        <v>1050</v>
      </c>
      <c r="Y4" s="74"/>
      <c r="Z4" s="74"/>
      <c r="AA4" s="74"/>
      <c r="AB4" s="74"/>
      <c r="AC4" s="74"/>
      <c r="AD4" s="74"/>
      <c r="AU4" s="392"/>
    </row>
    <row r="5" spans="1:49" s="80" customFormat="1" ht="12.75">
      <c r="T5" s="81"/>
    </row>
    <row r="6" spans="1:49" s="80" customFormat="1" ht="12.75">
      <c r="C6" s="82"/>
      <c r="D6" s="82"/>
      <c r="E6" s="82"/>
      <c r="F6" s="82"/>
      <c r="G6" s="82"/>
      <c r="H6" s="82"/>
      <c r="I6" s="80" t="s">
        <v>649</v>
      </c>
      <c r="J6" s="80" t="s">
        <v>649</v>
      </c>
      <c r="M6" s="82"/>
      <c r="N6" s="82"/>
      <c r="O6" s="80" t="s">
        <v>2172</v>
      </c>
      <c r="Q6" s="80" t="s">
        <v>1132</v>
      </c>
      <c r="R6" s="80" t="s">
        <v>179</v>
      </c>
      <c r="S6" s="80" t="s">
        <v>2172</v>
      </c>
      <c r="T6" s="81"/>
      <c r="W6" s="80" t="s">
        <v>650</v>
      </c>
      <c r="X6" s="80" t="s">
        <v>651</v>
      </c>
      <c r="Y6" s="81"/>
      <c r="Z6" s="81" t="s">
        <v>2231</v>
      </c>
      <c r="AA6" s="81"/>
      <c r="AB6" s="81"/>
      <c r="AC6" s="81"/>
      <c r="AD6" s="81" t="s">
        <v>2232</v>
      </c>
      <c r="AF6" s="80" t="s">
        <v>2200</v>
      </c>
    </row>
    <row r="7" spans="1:49" s="83" customFormat="1" ht="12.75">
      <c r="C7" s="80"/>
      <c r="D7" s="80" t="s">
        <v>652</v>
      </c>
      <c r="E7" s="80" t="s">
        <v>652</v>
      </c>
      <c r="F7" s="80"/>
      <c r="G7" s="80" t="s">
        <v>653</v>
      </c>
      <c r="H7" s="80" t="s">
        <v>654</v>
      </c>
      <c r="I7" s="80" t="s">
        <v>560</v>
      </c>
      <c r="J7" s="80" t="s">
        <v>560</v>
      </c>
      <c r="K7" s="80" t="s">
        <v>178</v>
      </c>
      <c r="L7" s="80" t="s">
        <v>178</v>
      </c>
      <c r="M7" s="80" t="s">
        <v>2245</v>
      </c>
      <c r="N7" s="80"/>
      <c r="O7" s="80" t="s">
        <v>2173</v>
      </c>
      <c r="P7" s="80"/>
      <c r="Q7" s="80" t="s">
        <v>1157</v>
      </c>
      <c r="R7" s="80" t="s">
        <v>1143</v>
      </c>
      <c r="S7" s="80" t="s">
        <v>2173</v>
      </c>
      <c r="T7" s="84"/>
      <c r="U7" s="80"/>
      <c r="V7" s="80" t="s">
        <v>655</v>
      </c>
      <c r="W7" s="80" t="s">
        <v>656</v>
      </c>
      <c r="X7" s="80" t="s">
        <v>657</v>
      </c>
      <c r="Y7" s="81" t="s">
        <v>2233</v>
      </c>
      <c r="Z7" s="81" t="s">
        <v>2234</v>
      </c>
      <c r="AA7" s="81" t="s">
        <v>2235</v>
      </c>
      <c r="AB7" s="81" t="s">
        <v>2236</v>
      </c>
      <c r="AC7" s="81" t="s">
        <v>2237</v>
      </c>
      <c r="AD7" s="81" t="s">
        <v>2238</v>
      </c>
      <c r="AE7" s="80" t="s">
        <v>560</v>
      </c>
      <c r="AF7" s="80" t="s">
        <v>1157</v>
      </c>
    </row>
    <row r="8" spans="1:49" s="83" customFormat="1" ht="12.75">
      <c r="C8" s="80" t="s">
        <v>564</v>
      </c>
      <c r="D8" s="80" t="s">
        <v>658</v>
      </c>
      <c r="E8" s="80" t="s">
        <v>659</v>
      </c>
      <c r="F8" s="80" t="s">
        <v>566</v>
      </c>
      <c r="G8" s="80" t="s">
        <v>563</v>
      </c>
      <c r="H8" s="80" t="s">
        <v>561</v>
      </c>
      <c r="I8" s="80" t="s">
        <v>660</v>
      </c>
      <c r="J8" s="80" t="s">
        <v>661</v>
      </c>
      <c r="K8" s="80" t="s">
        <v>564</v>
      </c>
      <c r="L8" s="80" t="s">
        <v>565</v>
      </c>
      <c r="M8" s="80" t="s">
        <v>662</v>
      </c>
      <c r="N8" s="80" t="s">
        <v>2246</v>
      </c>
      <c r="O8" s="83" t="s">
        <v>2168</v>
      </c>
      <c r="P8" s="80"/>
      <c r="Q8" s="80" t="s">
        <v>1158</v>
      </c>
      <c r="R8" s="80" t="s">
        <v>180</v>
      </c>
      <c r="S8" s="80" t="s">
        <v>2139</v>
      </c>
      <c r="T8" s="84"/>
      <c r="U8" s="80" t="s">
        <v>648</v>
      </c>
      <c r="V8" s="80" t="s">
        <v>663</v>
      </c>
      <c r="W8" s="80" t="s">
        <v>664</v>
      </c>
      <c r="X8" s="80" t="s">
        <v>665</v>
      </c>
      <c r="Y8" s="81" t="s">
        <v>2239</v>
      </c>
      <c r="Z8" s="81" t="s">
        <v>2240</v>
      </c>
      <c r="AA8" s="81" t="s">
        <v>2241</v>
      </c>
      <c r="AB8" s="81" t="s">
        <v>665</v>
      </c>
      <c r="AC8" s="81" t="s">
        <v>2242</v>
      </c>
      <c r="AD8" s="81" t="s">
        <v>2243</v>
      </c>
      <c r="AE8" s="80" t="s">
        <v>2244</v>
      </c>
      <c r="AF8" s="80" t="s">
        <v>1159</v>
      </c>
    </row>
    <row r="9" spans="1:49" s="85" customFormat="1" ht="12.75">
      <c r="A9" s="86" t="s">
        <v>58</v>
      </c>
      <c r="B9" s="86" t="s">
        <v>1133</v>
      </c>
      <c r="C9" s="86"/>
      <c r="D9" s="86"/>
      <c r="E9" s="86"/>
      <c r="F9" s="86"/>
      <c r="G9" s="86"/>
      <c r="H9" s="86"/>
      <c r="I9" s="86"/>
      <c r="J9" s="86"/>
      <c r="K9" s="86"/>
      <c r="L9" s="86"/>
      <c r="M9" s="86"/>
      <c r="N9" s="86"/>
      <c r="O9" s="86"/>
      <c r="P9" s="86"/>
      <c r="Q9" s="86"/>
      <c r="R9" s="86"/>
      <c r="S9" s="86"/>
      <c r="T9" s="87"/>
      <c r="U9" s="86"/>
      <c r="V9" s="86"/>
      <c r="W9" s="86"/>
      <c r="X9" s="86"/>
      <c r="Y9" s="86"/>
      <c r="Z9" s="86"/>
    </row>
    <row r="10" spans="1:49">
      <c r="A10" s="88">
        <v>1</v>
      </c>
      <c r="B10" s="88" t="s">
        <v>1707</v>
      </c>
      <c r="C10" s="31">
        <v>68</v>
      </c>
      <c r="D10" s="31">
        <v>111</v>
      </c>
      <c r="E10" s="31">
        <v>23</v>
      </c>
      <c r="F10" s="31">
        <v>739</v>
      </c>
      <c r="G10" s="31">
        <v>504</v>
      </c>
      <c r="H10" s="31">
        <v>495</v>
      </c>
      <c r="I10" s="31">
        <v>71</v>
      </c>
      <c r="J10" s="31">
        <v>19</v>
      </c>
      <c r="K10" s="31">
        <v>1</v>
      </c>
      <c r="L10" s="31">
        <v>3</v>
      </c>
      <c r="M10" s="31">
        <v>70</v>
      </c>
      <c r="N10" s="31">
        <v>6</v>
      </c>
      <c r="O10" s="31">
        <v>460</v>
      </c>
      <c r="P10" s="31">
        <v>0</v>
      </c>
      <c r="Q10" s="31">
        <v>1930</v>
      </c>
      <c r="R10" s="150">
        <v>1.028</v>
      </c>
      <c r="S10" s="88">
        <v>5</v>
      </c>
      <c r="U10" s="31">
        <v>964655.16428000014</v>
      </c>
      <c r="V10" s="31">
        <v>1317807.9518000002</v>
      </c>
      <c r="W10" s="31">
        <v>8529918.2126799989</v>
      </c>
      <c r="X10" s="31">
        <v>1835355.0041200004</v>
      </c>
      <c r="Y10" s="31">
        <v>313128.02899999998</v>
      </c>
      <c r="Z10" s="31">
        <v>1011606.9299999998</v>
      </c>
      <c r="AA10" s="31">
        <v>559554.79200000002</v>
      </c>
      <c r="AB10" s="31">
        <v>489289.41915999999</v>
      </c>
      <c r="AC10" s="31">
        <v>2198575.7974799997</v>
      </c>
      <c r="AD10" s="31">
        <v>2021022.9124017621</v>
      </c>
      <c r="AE10" s="31">
        <v>458230.22000000003</v>
      </c>
      <c r="AF10" s="31">
        <v>19699144.432921756</v>
      </c>
      <c r="AH10" s="276"/>
      <c r="AI10" s="276"/>
      <c r="AJ10" s="276"/>
      <c r="AK10" s="276"/>
      <c r="AL10" s="276"/>
      <c r="AM10" s="276"/>
      <c r="AN10" s="276"/>
      <c r="AO10" s="276"/>
      <c r="AP10" s="276"/>
      <c r="AQ10" s="276"/>
      <c r="AR10" s="276"/>
      <c r="AS10" s="276"/>
      <c r="AT10" s="276"/>
      <c r="AU10" s="276"/>
      <c r="AV10" s="276"/>
      <c r="AW10" s="394"/>
    </row>
    <row r="11" spans="1:49">
      <c r="A11" s="88">
        <v>2</v>
      </c>
      <c r="B11" s="88" t="s">
        <v>1708</v>
      </c>
      <c r="C11" s="31">
        <v>0</v>
      </c>
      <c r="D11" s="31">
        <v>0</v>
      </c>
      <c r="E11" s="31">
        <v>0</v>
      </c>
      <c r="F11" s="31">
        <v>0</v>
      </c>
      <c r="G11" s="31">
        <v>0</v>
      </c>
      <c r="H11" s="31">
        <v>0</v>
      </c>
      <c r="I11" s="31">
        <v>0</v>
      </c>
      <c r="J11" s="31">
        <v>0</v>
      </c>
      <c r="K11" s="31">
        <v>0</v>
      </c>
      <c r="L11" s="31">
        <v>0</v>
      </c>
      <c r="M11" s="31">
        <v>0</v>
      </c>
      <c r="N11" s="31">
        <v>0</v>
      </c>
      <c r="O11" s="31">
        <v>0</v>
      </c>
      <c r="P11" s="31">
        <v>0</v>
      </c>
      <c r="Q11" s="31">
        <v>0</v>
      </c>
      <c r="R11" s="150">
        <v>1.048</v>
      </c>
      <c r="S11" s="88">
        <v>0</v>
      </c>
      <c r="U11" s="31">
        <v>0</v>
      </c>
      <c r="V11" s="31">
        <v>0</v>
      </c>
      <c r="W11" s="31">
        <v>0</v>
      </c>
      <c r="X11" s="31">
        <v>0</v>
      </c>
      <c r="Y11" s="31">
        <v>0</v>
      </c>
      <c r="Z11" s="31">
        <v>0</v>
      </c>
      <c r="AA11" s="31">
        <v>0</v>
      </c>
      <c r="AB11" s="31">
        <v>0</v>
      </c>
      <c r="AC11" s="31">
        <v>0</v>
      </c>
      <c r="AD11" s="31">
        <v>0</v>
      </c>
      <c r="AE11" s="31">
        <v>0</v>
      </c>
      <c r="AF11" s="31">
        <v>0</v>
      </c>
      <c r="AH11" s="276"/>
      <c r="AI11" s="276"/>
      <c r="AJ11" s="276"/>
      <c r="AK11" s="276"/>
      <c r="AL11" s="276"/>
      <c r="AM11" s="276"/>
      <c r="AN11" s="276"/>
      <c r="AO11" s="276"/>
      <c r="AP11" s="276"/>
      <c r="AQ11" s="276"/>
      <c r="AR11" s="276"/>
      <c r="AS11" s="276"/>
      <c r="AT11" s="276"/>
      <c r="AU11" s="276"/>
      <c r="AV11" s="276"/>
      <c r="AW11" s="394"/>
    </row>
    <row r="12" spans="1:49">
      <c r="A12" s="88">
        <v>3</v>
      </c>
      <c r="B12" s="88" t="s">
        <v>1709</v>
      </c>
      <c r="C12" s="31">
        <v>14</v>
      </c>
      <c r="D12" s="31">
        <v>0</v>
      </c>
      <c r="E12" s="31">
        <v>84</v>
      </c>
      <c r="F12" s="31">
        <v>512</v>
      </c>
      <c r="G12" s="31">
        <v>313</v>
      </c>
      <c r="H12" s="31">
        <v>288</v>
      </c>
      <c r="I12" s="31">
        <v>45</v>
      </c>
      <c r="J12" s="31">
        <v>12</v>
      </c>
      <c r="K12" s="31">
        <v>0</v>
      </c>
      <c r="L12" s="31">
        <v>0</v>
      </c>
      <c r="M12" s="31">
        <v>6</v>
      </c>
      <c r="N12" s="31">
        <v>0</v>
      </c>
      <c r="O12" s="31">
        <v>233</v>
      </c>
      <c r="P12" s="31">
        <v>0</v>
      </c>
      <c r="Q12" s="31">
        <v>1210</v>
      </c>
      <c r="R12" s="150">
        <v>1</v>
      </c>
      <c r="S12" s="88">
        <v>4</v>
      </c>
      <c r="U12" s="31">
        <v>590117.09000000008</v>
      </c>
      <c r="V12" s="31">
        <v>804311.34</v>
      </c>
      <c r="W12" s="31">
        <v>4936168.1000000006</v>
      </c>
      <c r="X12" s="31">
        <v>1138832.9099999999</v>
      </c>
      <c r="Y12" s="31">
        <v>185149.06</v>
      </c>
      <c r="Z12" s="31">
        <v>625906.57000000007</v>
      </c>
      <c r="AA12" s="31">
        <v>334500.57</v>
      </c>
      <c r="AB12" s="31">
        <v>287819.19999999995</v>
      </c>
      <c r="AC12" s="31">
        <v>1299261.58</v>
      </c>
      <c r="AD12" s="31">
        <v>1245071.3658575427</v>
      </c>
      <c r="AE12" s="31">
        <v>289408.56</v>
      </c>
      <c r="AF12" s="31">
        <v>11736546.345857544</v>
      </c>
      <c r="AH12" s="276"/>
      <c r="AI12" s="276"/>
      <c r="AJ12" s="276"/>
      <c r="AK12" s="276"/>
      <c r="AL12" s="276"/>
      <c r="AM12" s="276"/>
      <c r="AN12" s="276"/>
      <c r="AO12" s="276"/>
      <c r="AP12" s="276"/>
      <c r="AQ12" s="276"/>
      <c r="AR12" s="276"/>
      <c r="AS12" s="276"/>
      <c r="AT12" s="276"/>
      <c r="AU12" s="276"/>
      <c r="AV12" s="276"/>
      <c r="AW12" s="394"/>
    </row>
    <row r="13" spans="1:49">
      <c r="A13" s="88">
        <v>4</v>
      </c>
      <c r="B13" s="88" t="s">
        <v>1710</v>
      </c>
      <c r="C13" s="31">
        <v>0</v>
      </c>
      <c r="D13" s="31">
        <v>0</v>
      </c>
      <c r="E13" s="31">
        <v>0</v>
      </c>
      <c r="F13" s="31">
        <v>0</v>
      </c>
      <c r="G13" s="31">
        <v>0</v>
      </c>
      <c r="H13" s="31">
        <v>0</v>
      </c>
      <c r="I13" s="31">
        <v>0</v>
      </c>
      <c r="J13" s="31">
        <v>0</v>
      </c>
      <c r="K13" s="31">
        <v>0</v>
      </c>
      <c r="L13" s="31">
        <v>0</v>
      </c>
      <c r="M13" s="31">
        <v>0</v>
      </c>
      <c r="N13" s="31">
        <v>0</v>
      </c>
      <c r="O13" s="31">
        <v>0</v>
      </c>
      <c r="P13" s="31">
        <v>0</v>
      </c>
      <c r="Q13" s="31">
        <v>0</v>
      </c>
      <c r="R13" s="150">
        <v>1</v>
      </c>
      <c r="S13" s="88">
        <v>0</v>
      </c>
      <c r="U13" s="31">
        <v>0</v>
      </c>
      <c r="V13" s="31">
        <v>0</v>
      </c>
      <c r="W13" s="31">
        <v>0</v>
      </c>
      <c r="X13" s="31">
        <v>0</v>
      </c>
      <c r="Y13" s="31">
        <v>0</v>
      </c>
      <c r="Z13" s="31">
        <v>0</v>
      </c>
      <c r="AA13" s="31">
        <v>0</v>
      </c>
      <c r="AB13" s="31">
        <v>0</v>
      </c>
      <c r="AC13" s="31">
        <v>0</v>
      </c>
      <c r="AD13" s="31">
        <v>0</v>
      </c>
      <c r="AE13" s="31">
        <v>0</v>
      </c>
      <c r="AF13" s="31">
        <v>0</v>
      </c>
      <c r="AH13" s="276"/>
      <c r="AI13" s="276"/>
      <c r="AJ13" s="276"/>
      <c r="AK13" s="276"/>
      <c r="AL13" s="276"/>
      <c r="AM13" s="276"/>
      <c r="AN13" s="276"/>
      <c r="AO13" s="276"/>
      <c r="AP13" s="276"/>
      <c r="AQ13" s="276"/>
      <c r="AR13" s="276"/>
      <c r="AS13" s="276"/>
      <c r="AT13" s="276"/>
      <c r="AU13" s="276"/>
      <c r="AV13" s="276"/>
      <c r="AW13" s="394"/>
    </row>
    <row r="14" spans="1:49">
      <c r="A14" s="88">
        <v>5</v>
      </c>
      <c r="B14" s="88" t="s">
        <v>1711</v>
      </c>
      <c r="C14" s="31">
        <v>61</v>
      </c>
      <c r="D14" s="31">
        <v>0</v>
      </c>
      <c r="E14" s="31">
        <v>266</v>
      </c>
      <c r="F14" s="31">
        <v>1223</v>
      </c>
      <c r="G14" s="31">
        <v>857</v>
      </c>
      <c r="H14" s="31">
        <v>1123</v>
      </c>
      <c r="I14" s="31">
        <v>144</v>
      </c>
      <c r="J14" s="31">
        <v>37</v>
      </c>
      <c r="K14" s="31">
        <v>0</v>
      </c>
      <c r="L14" s="31">
        <v>0</v>
      </c>
      <c r="M14" s="31">
        <v>213</v>
      </c>
      <c r="N14" s="31">
        <v>118</v>
      </c>
      <c r="O14" s="31">
        <v>1201</v>
      </c>
      <c r="P14" s="31">
        <v>0</v>
      </c>
      <c r="Q14" s="31">
        <v>3831</v>
      </c>
      <c r="R14" s="150">
        <v>1</v>
      </c>
      <c r="S14" s="88">
        <v>7</v>
      </c>
      <c r="U14" s="31">
        <v>1869544.9800000002</v>
      </c>
      <c r="V14" s="31">
        <v>2546210.5699999998</v>
      </c>
      <c r="W14" s="31">
        <v>18150597.449999999</v>
      </c>
      <c r="X14" s="31">
        <v>3513021.5000000009</v>
      </c>
      <c r="Y14" s="31">
        <v>639404.82000000007</v>
      </c>
      <c r="Z14" s="31">
        <v>2131604.2200000002</v>
      </c>
      <c r="AA14" s="31">
        <v>1112174.3699999999</v>
      </c>
      <c r="AB14" s="31">
        <v>1020121.3</v>
      </c>
      <c r="AC14" s="31">
        <v>4509940.37</v>
      </c>
      <c r="AD14" s="31">
        <v>4164567.6965038506</v>
      </c>
      <c r="AE14" s="31">
        <v>892343.06</v>
      </c>
      <c r="AF14" s="31">
        <v>40549530.336503848</v>
      </c>
      <c r="AH14" s="276"/>
      <c r="AI14" s="276"/>
      <c r="AJ14" s="276"/>
      <c r="AK14" s="276"/>
      <c r="AL14" s="276"/>
      <c r="AM14" s="276"/>
      <c r="AN14" s="276"/>
      <c r="AO14" s="276"/>
      <c r="AP14" s="276"/>
      <c r="AQ14" s="276"/>
      <c r="AR14" s="276"/>
      <c r="AS14" s="276"/>
      <c r="AT14" s="276"/>
      <c r="AU14" s="276"/>
      <c r="AV14" s="276"/>
      <c r="AW14" s="394"/>
    </row>
    <row r="15" spans="1:49">
      <c r="A15" s="88">
        <v>6</v>
      </c>
      <c r="B15" s="88" t="s">
        <v>1712</v>
      </c>
      <c r="C15" s="31">
        <v>0</v>
      </c>
      <c r="D15" s="31">
        <v>0</v>
      </c>
      <c r="E15" s="31">
        <v>0</v>
      </c>
      <c r="F15" s="31">
        <v>0</v>
      </c>
      <c r="G15" s="31">
        <v>0</v>
      </c>
      <c r="H15" s="31">
        <v>0</v>
      </c>
      <c r="I15" s="31">
        <v>0</v>
      </c>
      <c r="J15" s="31">
        <v>0</v>
      </c>
      <c r="K15" s="31">
        <v>0</v>
      </c>
      <c r="L15" s="31">
        <v>0</v>
      </c>
      <c r="M15" s="31">
        <v>0</v>
      </c>
      <c r="N15" s="31">
        <v>0</v>
      </c>
      <c r="O15" s="31">
        <v>0</v>
      </c>
      <c r="P15" s="31">
        <v>0</v>
      </c>
      <c r="Q15" s="31">
        <v>0</v>
      </c>
      <c r="R15" s="150">
        <v>1</v>
      </c>
      <c r="S15" s="88">
        <v>0</v>
      </c>
      <c r="U15" s="31">
        <v>0</v>
      </c>
      <c r="V15" s="31">
        <v>0</v>
      </c>
      <c r="W15" s="31">
        <v>0</v>
      </c>
      <c r="X15" s="31">
        <v>0</v>
      </c>
      <c r="Y15" s="31">
        <v>0</v>
      </c>
      <c r="Z15" s="31">
        <v>0</v>
      </c>
      <c r="AA15" s="31">
        <v>0</v>
      </c>
      <c r="AB15" s="31">
        <v>0</v>
      </c>
      <c r="AC15" s="31">
        <v>0</v>
      </c>
      <c r="AD15" s="31">
        <v>0</v>
      </c>
      <c r="AE15" s="31">
        <v>0</v>
      </c>
      <c r="AF15" s="31">
        <v>0</v>
      </c>
      <c r="AH15" s="276"/>
      <c r="AI15" s="276"/>
      <c r="AJ15" s="276"/>
      <c r="AK15" s="276"/>
      <c r="AL15" s="276"/>
      <c r="AM15" s="276"/>
      <c r="AN15" s="276"/>
      <c r="AO15" s="276"/>
      <c r="AP15" s="276"/>
      <c r="AQ15" s="276"/>
      <c r="AR15" s="276"/>
      <c r="AS15" s="276"/>
      <c r="AT15" s="276"/>
      <c r="AU15" s="276"/>
      <c r="AV15" s="276"/>
      <c r="AW15" s="394"/>
    </row>
    <row r="16" spans="1:49">
      <c r="A16" s="88">
        <v>7</v>
      </c>
      <c r="B16" s="88" t="s">
        <v>1713</v>
      </c>
      <c r="C16" s="31">
        <v>29</v>
      </c>
      <c r="D16" s="31">
        <v>1</v>
      </c>
      <c r="E16" s="31">
        <v>135</v>
      </c>
      <c r="F16" s="31">
        <v>867</v>
      </c>
      <c r="G16" s="31">
        <v>536</v>
      </c>
      <c r="H16" s="31">
        <v>627</v>
      </c>
      <c r="I16" s="31">
        <v>82</v>
      </c>
      <c r="J16" s="31">
        <v>22</v>
      </c>
      <c r="K16" s="31">
        <v>0</v>
      </c>
      <c r="L16" s="31">
        <v>0</v>
      </c>
      <c r="M16" s="31">
        <v>33</v>
      </c>
      <c r="N16" s="31">
        <v>3</v>
      </c>
      <c r="O16" s="31">
        <v>534</v>
      </c>
      <c r="P16" s="31">
        <v>0</v>
      </c>
      <c r="Q16" s="31">
        <v>2217</v>
      </c>
      <c r="R16" s="150">
        <v>1</v>
      </c>
      <c r="S16" s="88">
        <v>5</v>
      </c>
      <c r="U16" s="31">
        <v>1079752.5400000003</v>
      </c>
      <c r="V16" s="31">
        <v>1473019.82</v>
      </c>
      <c r="W16" s="31">
        <v>9531953.9800000004</v>
      </c>
      <c r="X16" s="31">
        <v>2055010.06</v>
      </c>
      <c r="Y16" s="31">
        <v>348007.03</v>
      </c>
      <c r="Z16" s="31">
        <v>1174877.0999999999</v>
      </c>
      <c r="AA16" s="31">
        <v>626696.25</v>
      </c>
      <c r="AB16" s="31">
        <v>562277.88000000012</v>
      </c>
      <c r="AC16" s="31">
        <v>2442681.69</v>
      </c>
      <c r="AD16" s="31">
        <v>2312340.3402778991</v>
      </c>
      <c r="AE16" s="31">
        <v>530582.36</v>
      </c>
      <c r="AF16" s="31">
        <v>22137199.0502779</v>
      </c>
      <c r="AH16" s="276"/>
      <c r="AI16" s="276"/>
      <c r="AJ16" s="276"/>
      <c r="AK16" s="276"/>
      <c r="AL16" s="276"/>
      <c r="AM16" s="276"/>
      <c r="AN16" s="276"/>
      <c r="AO16" s="276"/>
      <c r="AP16" s="276"/>
      <c r="AQ16" s="276"/>
      <c r="AR16" s="276"/>
      <c r="AS16" s="276"/>
      <c r="AT16" s="276"/>
      <c r="AU16" s="276"/>
      <c r="AV16" s="276"/>
      <c r="AW16" s="394"/>
    </row>
    <row r="17" spans="1:49">
      <c r="A17" s="88">
        <v>8</v>
      </c>
      <c r="B17" s="88" t="s">
        <v>1714</v>
      </c>
      <c r="C17" s="31">
        <v>25</v>
      </c>
      <c r="D17" s="31">
        <v>0</v>
      </c>
      <c r="E17" s="31">
        <v>102</v>
      </c>
      <c r="F17" s="31">
        <v>691</v>
      </c>
      <c r="G17" s="31">
        <v>132</v>
      </c>
      <c r="H17" s="31">
        <v>0</v>
      </c>
      <c r="I17" s="31">
        <v>42</v>
      </c>
      <c r="J17" s="31">
        <v>11</v>
      </c>
      <c r="K17" s="31">
        <v>0</v>
      </c>
      <c r="L17" s="31">
        <v>0</v>
      </c>
      <c r="M17" s="31">
        <v>198</v>
      </c>
      <c r="N17" s="31">
        <v>0</v>
      </c>
      <c r="O17" s="31">
        <v>405</v>
      </c>
      <c r="P17" s="31">
        <v>0</v>
      </c>
      <c r="Q17" s="31">
        <v>1136</v>
      </c>
      <c r="R17" s="150">
        <v>1</v>
      </c>
      <c r="S17" s="88">
        <v>8</v>
      </c>
      <c r="U17" s="31">
        <v>552537.62000000011</v>
      </c>
      <c r="V17" s="31">
        <v>754789.81</v>
      </c>
      <c r="W17" s="31">
        <v>5369422.96</v>
      </c>
      <c r="X17" s="31">
        <v>1156857.27</v>
      </c>
      <c r="Y17" s="31">
        <v>192321.5</v>
      </c>
      <c r="Z17" s="31">
        <v>515748.58999999997</v>
      </c>
      <c r="AA17" s="31">
        <v>276077.36999999994</v>
      </c>
      <c r="AB17" s="31">
        <v>156297.88999999998</v>
      </c>
      <c r="AC17" s="31">
        <v>1349598.7899999998</v>
      </c>
      <c r="AD17" s="31">
        <v>1282305.3646191277</v>
      </c>
      <c r="AE17" s="31">
        <v>265291.18</v>
      </c>
      <c r="AF17" s="31">
        <v>11871248.344619127</v>
      </c>
      <c r="AH17" s="276"/>
      <c r="AI17" s="276"/>
      <c r="AJ17" s="276"/>
      <c r="AK17" s="276"/>
      <c r="AL17" s="276"/>
      <c r="AM17" s="276"/>
      <c r="AN17" s="276"/>
      <c r="AO17" s="276"/>
      <c r="AP17" s="276"/>
      <c r="AQ17" s="276"/>
      <c r="AR17" s="276"/>
      <c r="AS17" s="276"/>
      <c r="AT17" s="276"/>
      <c r="AU17" s="276"/>
      <c r="AV17" s="276"/>
      <c r="AW17" s="394"/>
    </row>
    <row r="18" spans="1:49">
      <c r="A18" s="88">
        <v>9</v>
      </c>
      <c r="B18" s="88" t="s">
        <v>1715</v>
      </c>
      <c r="C18" s="31">
        <v>74</v>
      </c>
      <c r="D18" s="31">
        <v>297</v>
      </c>
      <c r="E18" s="31">
        <v>23</v>
      </c>
      <c r="F18" s="31">
        <v>2107</v>
      </c>
      <c r="G18" s="31">
        <v>1519</v>
      </c>
      <c r="H18" s="31">
        <v>1855</v>
      </c>
      <c r="I18" s="31">
        <v>220</v>
      </c>
      <c r="J18" s="31">
        <v>59</v>
      </c>
      <c r="K18" s="31">
        <v>0</v>
      </c>
      <c r="L18" s="31">
        <v>33</v>
      </c>
      <c r="M18" s="31">
        <v>197</v>
      </c>
      <c r="N18" s="31">
        <v>7</v>
      </c>
      <c r="O18" s="31">
        <v>463</v>
      </c>
      <c r="P18" s="31">
        <v>0</v>
      </c>
      <c r="Q18" s="31">
        <v>5911</v>
      </c>
      <c r="R18" s="150">
        <v>1.079</v>
      </c>
      <c r="S18" s="88">
        <v>1</v>
      </c>
      <c r="U18" s="31">
        <v>3111644.6069799997</v>
      </c>
      <c r="V18" s="31">
        <v>4238850.6799600003</v>
      </c>
      <c r="W18" s="31">
        <v>24495917.157660004</v>
      </c>
      <c r="X18" s="31">
        <v>5820860.4321400002</v>
      </c>
      <c r="Y18" s="31">
        <v>937428.05701999983</v>
      </c>
      <c r="Z18" s="31">
        <v>3181417.9099999997</v>
      </c>
      <c r="AA18" s="31">
        <v>1849539.3859800003</v>
      </c>
      <c r="AB18" s="31">
        <v>1707078.4009499999</v>
      </c>
      <c r="AC18" s="31">
        <v>6579858.1867199996</v>
      </c>
      <c r="AD18" s="31">
        <v>5868243.4679855453</v>
      </c>
      <c r="AE18" s="31">
        <v>1422925.4200000002</v>
      </c>
      <c r="AF18" s="31">
        <v>59213763.705395557</v>
      </c>
      <c r="AH18" s="276"/>
      <c r="AI18" s="276"/>
      <c r="AJ18" s="276"/>
      <c r="AK18" s="276"/>
      <c r="AL18" s="276"/>
      <c r="AM18" s="276"/>
      <c r="AN18" s="276"/>
      <c r="AO18" s="276"/>
      <c r="AP18" s="276"/>
      <c r="AQ18" s="276"/>
      <c r="AR18" s="276"/>
      <c r="AS18" s="276"/>
      <c r="AT18" s="276"/>
      <c r="AU18" s="276"/>
      <c r="AV18" s="276"/>
      <c r="AW18" s="394"/>
    </row>
    <row r="19" spans="1:49">
      <c r="A19" s="88">
        <v>10</v>
      </c>
      <c r="B19" s="88" t="s">
        <v>1716</v>
      </c>
      <c r="C19" s="31">
        <v>42</v>
      </c>
      <c r="D19" s="31">
        <v>0</v>
      </c>
      <c r="E19" s="31">
        <v>512</v>
      </c>
      <c r="F19" s="31">
        <v>2250</v>
      </c>
      <c r="G19" s="31">
        <v>1221</v>
      </c>
      <c r="H19" s="31">
        <v>1345</v>
      </c>
      <c r="I19" s="31">
        <v>209</v>
      </c>
      <c r="J19" s="31">
        <v>56</v>
      </c>
      <c r="K19" s="31">
        <v>0</v>
      </c>
      <c r="L19" s="31">
        <v>0</v>
      </c>
      <c r="M19" s="31">
        <v>256</v>
      </c>
      <c r="N19" s="31">
        <v>2</v>
      </c>
      <c r="O19" s="31">
        <v>582</v>
      </c>
      <c r="P19" s="31">
        <v>0</v>
      </c>
      <c r="Q19" s="31">
        <v>5607</v>
      </c>
      <c r="R19" s="150">
        <v>1.036</v>
      </c>
      <c r="S19" s="88">
        <v>2</v>
      </c>
      <c r="U19" s="31">
        <v>2835263.1062000003</v>
      </c>
      <c r="V19" s="31">
        <v>3861260.5365599995</v>
      </c>
      <c r="W19" s="31">
        <v>22542955.048319999</v>
      </c>
      <c r="X19" s="31">
        <v>5482045.7067600014</v>
      </c>
      <c r="Y19" s="31">
        <v>861158.11320000002</v>
      </c>
      <c r="Z19" s="31">
        <v>2904898.1799999997</v>
      </c>
      <c r="AA19" s="31">
        <v>1607657.97276</v>
      </c>
      <c r="AB19" s="31">
        <v>1361444.3365600002</v>
      </c>
      <c r="AC19" s="31">
        <v>6043505.5648800014</v>
      </c>
      <c r="AD19" s="31">
        <v>5650731.7168335915</v>
      </c>
      <c r="AE19" s="31">
        <v>1350573.28</v>
      </c>
      <c r="AF19" s="31">
        <v>54501493.562073596</v>
      </c>
      <c r="AH19" s="276"/>
      <c r="AI19" s="276"/>
      <c r="AJ19" s="276"/>
      <c r="AK19" s="276"/>
      <c r="AL19" s="276"/>
      <c r="AM19" s="276"/>
      <c r="AN19" s="276"/>
      <c r="AO19" s="276"/>
      <c r="AP19" s="276"/>
      <c r="AQ19" s="276"/>
      <c r="AR19" s="276"/>
      <c r="AS19" s="276"/>
      <c r="AT19" s="276"/>
      <c r="AU19" s="276"/>
      <c r="AV19" s="276"/>
      <c r="AW19" s="394"/>
    </row>
    <row r="20" spans="1:49">
      <c r="A20" s="88">
        <v>11</v>
      </c>
      <c r="B20" s="88" t="s">
        <v>1717</v>
      </c>
      <c r="C20" s="31">
        <v>0</v>
      </c>
      <c r="D20" s="31">
        <v>0</v>
      </c>
      <c r="E20" s="31">
        <v>0</v>
      </c>
      <c r="F20" s="31">
        <v>0</v>
      </c>
      <c r="G20" s="31">
        <v>0</v>
      </c>
      <c r="H20" s="31">
        <v>0</v>
      </c>
      <c r="I20" s="31">
        <v>0</v>
      </c>
      <c r="J20" s="31">
        <v>0</v>
      </c>
      <c r="K20" s="31">
        <v>0</v>
      </c>
      <c r="L20" s="31">
        <v>0</v>
      </c>
      <c r="M20" s="31">
        <v>0</v>
      </c>
      <c r="N20" s="31">
        <v>0</v>
      </c>
      <c r="O20" s="31">
        <v>0</v>
      </c>
      <c r="P20" s="31">
        <v>0</v>
      </c>
      <c r="Q20" s="31">
        <v>0</v>
      </c>
      <c r="R20" s="150">
        <v>1</v>
      </c>
      <c r="S20" s="88">
        <v>0</v>
      </c>
      <c r="U20" s="31">
        <v>0</v>
      </c>
      <c r="V20" s="31">
        <v>0</v>
      </c>
      <c r="W20" s="31">
        <v>0</v>
      </c>
      <c r="X20" s="31">
        <v>0</v>
      </c>
      <c r="Y20" s="31">
        <v>0</v>
      </c>
      <c r="Z20" s="31">
        <v>0</v>
      </c>
      <c r="AA20" s="31">
        <v>0</v>
      </c>
      <c r="AB20" s="31">
        <v>0</v>
      </c>
      <c r="AC20" s="31">
        <v>0</v>
      </c>
      <c r="AD20" s="31">
        <v>0</v>
      </c>
      <c r="AE20" s="31">
        <v>0</v>
      </c>
      <c r="AF20" s="31">
        <v>0</v>
      </c>
      <c r="AH20" s="276"/>
      <c r="AI20" s="276"/>
      <c r="AJ20" s="276"/>
      <c r="AK20" s="276"/>
      <c r="AL20" s="276"/>
      <c r="AM20" s="276"/>
      <c r="AN20" s="276"/>
      <c r="AO20" s="276"/>
      <c r="AP20" s="276"/>
      <c r="AQ20" s="276"/>
      <c r="AR20" s="276"/>
      <c r="AS20" s="276"/>
      <c r="AT20" s="276"/>
      <c r="AU20" s="276"/>
      <c r="AV20" s="276"/>
      <c r="AW20" s="394"/>
    </row>
    <row r="21" spans="1:49">
      <c r="A21" s="88">
        <v>12</v>
      </c>
      <c r="B21" s="88" t="s">
        <v>1718</v>
      </c>
      <c r="C21" s="31">
        <v>0</v>
      </c>
      <c r="D21" s="31">
        <v>0</v>
      </c>
      <c r="E21" s="31">
        <v>0</v>
      </c>
      <c r="F21" s="31">
        <v>0</v>
      </c>
      <c r="G21" s="31">
        <v>0</v>
      </c>
      <c r="H21" s="31">
        <v>0</v>
      </c>
      <c r="I21" s="31">
        <v>0</v>
      </c>
      <c r="J21" s="31">
        <v>0</v>
      </c>
      <c r="K21" s="31">
        <v>0</v>
      </c>
      <c r="L21" s="31">
        <v>0</v>
      </c>
      <c r="M21" s="31">
        <v>0</v>
      </c>
      <c r="N21" s="31">
        <v>0</v>
      </c>
      <c r="O21" s="31">
        <v>0</v>
      </c>
      <c r="P21" s="31">
        <v>0</v>
      </c>
      <c r="Q21" s="31">
        <v>0</v>
      </c>
      <c r="R21" s="150">
        <v>1</v>
      </c>
      <c r="S21" s="88">
        <v>0</v>
      </c>
      <c r="U21" s="31">
        <v>0</v>
      </c>
      <c r="V21" s="31">
        <v>0</v>
      </c>
      <c r="W21" s="31">
        <v>0</v>
      </c>
      <c r="X21" s="31">
        <v>0</v>
      </c>
      <c r="Y21" s="31">
        <v>0</v>
      </c>
      <c r="Z21" s="31">
        <v>0</v>
      </c>
      <c r="AA21" s="31">
        <v>0</v>
      </c>
      <c r="AB21" s="31">
        <v>0</v>
      </c>
      <c r="AC21" s="31">
        <v>0</v>
      </c>
      <c r="AD21" s="31">
        <v>0</v>
      </c>
      <c r="AE21" s="31">
        <v>0</v>
      </c>
      <c r="AF21" s="31">
        <v>0</v>
      </c>
      <c r="AH21" s="276"/>
      <c r="AI21" s="276"/>
      <c r="AJ21" s="276"/>
      <c r="AK21" s="276"/>
      <c r="AL21" s="276"/>
      <c r="AM21" s="276"/>
      <c r="AN21" s="276"/>
      <c r="AO21" s="276"/>
      <c r="AP21" s="276"/>
      <c r="AQ21" s="276"/>
      <c r="AR21" s="276"/>
      <c r="AS21" s="276"/>
      <c r="AT21" s="276"/>
      <c r="AU21" s="276"/>
      <c r="AV21" s="276"/>
      <c r="AW21" s="394"/>
    </row>
    <row r="22" spans="1:49">
      <c r="A22" s="88">
        <v>13</v>
      </c>
      <c r="B22" s="88" t="s">
        <v>1719</v>
      </c>
      <c r="C22" s="31">
        <v>0</v>
      </c>
      <c r="D22" s="31">
        <v>0</v>
      </c>
      <c r="E22" s="31">
        <v>0</v>
      </c>
      <c r="F22" s="31">
        <v>0</v>
      </c>
      <c r="G22" s="31">
        <v>0</v>
      </c>
      <c r="H22" s="31">
        <v>0</v>
      </c>
      <c r="I22" s="31">
        <v>1</v>
      </c>
      <c r="J22" s="31">
        <v>0</v>
      </c>
      <c r="K22" s="31">
        <v>0</v>
      </c>
      <c r="L22" s="31">
        <v>0</v>
      </c>
      <c r="M22" s="31">
        <v>0</v>
      </c>
      <c r="N22" s="31">
        <v>15</v>
      </c>
      <c r="O22" s="31">
        <v>0</v>
      </c>
      <c r="P22" s="31">
        <v>0</v>
      </c>
      <c r="Q22" s="31">
        <v>15</v>
      </c>
      <c r="R22" s="150">
        <v>1</v>
      </c>
      <c r="S22" s="88">
        <v>0</v>
      </c>
      <c r="U22" s="31">
        <v>8060.75</v>
      </c>
      <c r="V22" s="31">
        <v>9970.8000000000011</v>
      </c>
      <c r="W22" s="31">
        <v>108964.35</v>
      </c>
      <c r="X22" s="31">
        <v>14853.220000000001</v>
      </c>
      <c r="Y22" s="31">
        <v>3548.4900000000002</v>
      </c>
      <c r="Z22" s="31">
        <v>18881.219999999998</v>
      </c>
      <c r="AA22" s="31">
        <v>5551.2</v>
      </c>
      <c r="AB22" s="31">
        <v>7477.5</v>
      </c>
      <c r="AC22" s="31">
        <v>27813.97</v>
      </c>
      <c r="AD22" s="31">
        <v>21762.682698242505</v>
      </c>
      <c r="AE22" s="31">
        <v>0</v>
      </c>
      <c r="AF22" s="31">
        <v>226884.18269824251</v>
      </c>
      <c r="AH22" s="276"/>
      <c r="AI22" s="276"/>
      <c r="AJ22" s="276"/>
      <c r="AK22" s="276"/>
      <c r="AL22" s="276"/>
      <c r="AM22" s="276"/>
      <c r="AN22" s="276"/>
      <c r="AO22" s="276"/>
      <c r="AP22" s="276"/>
      <c r="AQ22" s="276"/>
      <c r="AR22" s="276"/>
      <c r="AS22" s="276"/>
      <c r="AT22" s="276"/>
      <c r="AU22" s="276"/>
      <c r="AV22" s="276"/>
      <c r="AW22" s="394"/>
    </row>
    <row r="23" spans="1:49">
      <c r="A23" s="88">
        <v>14</v>
      </c>
      <c r="B23" s="88" t="s">
        <v>1720</v>
      </c>
      <c r="C23" s="31">
        <v>23</v>
      </c>
      <c r="D23" s="31">
        <v>182</v>
      </c>
      <c r="E23" s="31">
        <v>17</v>
      </c>
      <c r="F23" s="31">
        <v>960</v>
      </c>
      <c r="G23" s="31">
        <v>604</v>
      </c>
      <c r="H23" s="31">
        <v>757</v>
      </c>
      <c r="I23" s="31">
        <v>95</v>
      </c>
      <c r="J23" s="31">
        <v>25</v>
      </c>
      <c r="K23" s="31">
        <v>0</v>
      </c>
      <c r="L23" s="31">
        <v>6</v>
      </c>
      <c r="M23" s="31">
        <v>99</v>
      </c>
      <c r="N23" s="31">
        <v>4</v>
      </c>
      <c r="O23" s="31">
        <v>388</v>
      </c>
      <c r="P23" s="31">
        <v>0</v>
      </c>
      <c r="Q23" s="31">
        <v>2547</v>
      </c>
      <c r="R23" s="150">
        <v>1.012</v>
      </c>
      <c r="S23" s="88">
        <v>3</v>
      </c>
      <c r="U23" s="31">
        <v>1256938.4383599998</v>
      </c>
      <c r="V23" s="31">
        <v>1713024.1290799999</v>
      </c>
      <c r="W23" s="31">
        <v>10495360.687239999</v>
      </c>
      <c r="X23" s="31">
        <v>2376670.6554800002</v>
      </c>
      <c r="Y23" s="31">
        <v>391747.29483999999</v>
      </c>
      <c r="Z23" s="31">
        <v>1360471.1099999999</v>
      </c>
      <c r="AA23" s="31">
        <v>738236.18879999989</v>
      </c>
      <c r="AB23" s="31">
        <v>668959.7996400001</v>
      </c>
      <c r="AC23" s="31">
        <v>2749863.82088</v>
      </c>
      <c r="AD23" s="31">
        <v>2594138.9351336546</v>
      </c>
      <c r="AE23" s="31">
        <v>602934.5</v>
      </c>
      <c r="AF23" s="31">
        <v>24948345.559453651</v>
      </c>
      <c r="AH23" s="276"/>
      <c r="AI23" s="276"/>
      <c r="AJ23" s="276"/>
      <c r="AK23" s="276"/>
      <c r="AL23" s="276"/>
      <c r="AM23" s="276"/>
      <c r="AN23" s="276"/>
      <c r="AO23" s="276"/>
      <c r="AP23" s="276"/>
      <c r="AQ23" s="276"/>
      <c r="AR23" s="276"/>
      <c r="AS23" s="276"/>
      <c r="AT23" s="276"/>
      <c r="AU23" s="276"/>
      <c r="AV23" s="276"/>
      <c r="AW23" s="394"/>
    </row>
    <row r="24" spans="1:49">
      <c r="A24" s="88">
        <v>15</v>
      </c>
      <c r="B24" s="88" t="s">
        <v>1721</v>
      </c>
      <c r="C24" s="31">
        <v>0</v>
      </c>
      <c r="D24" s="31">
        <v>0</v>
      </c>
      <c r="E24" s="31">
        <v>0</v>
      </c>
      <c r="F24" s="31">
        <v>0</v>
      </c>
      <c r="G24" s="31">
        <v>0</v>
      </c>
      <c r="H24" s="31">
        <v>0</v>
      </c>
      <c r="I24" s="31">
        <v>0</v>
      </c>
      <c r="J24" s="31">
        <v>0</v>
      </c>
      <c r="K24" s="31">
        <v>0</v>
      </c>
      <c r="L24" s="31">
        <v>0</v>
      </c>
      <c r="M24" s="31">
        <v>0</v>
      </c>
      <c r="N24" s="31">
        <v>2</v>
      </c>
      <c r="O24" s="31">
        <v>0</v>
      </c>
      <c r="P24" s="31">
        <v>0</v>
      </c>
      <c r="Q24" s="31">
        <v>2</v>
      </c>
      <c r="R24" s="150">
        <v>1</v>
      </c>
      <c r="S24" s="88">
        <v>0</v>
      </c>
      <c r="U24" s="31">
        <v>736.08</v>
      </c>
      <c r="V24" s="31">
        <v>1329.44</v>
      </c>
      <c r="W24" s="31">
        <v>13411</v>
      </c>
      <c r="X24" s="31">
        <v>936.96</v>
      </c>
      <c r="Y24" s="31">
        <v>419.22</v>
      </c>
      <c r="Z24" s="31">
        <v>2470.44</v>
      </c>
      <c r="AA24" s="31">
        <v>740.16</v>
      </c>
      <c r="AB24" s="31">
        <v>997</v>
      </c>
      <c r="AC24" s="31">
        <v>3330.2</v>
      </c>
      <c r="AD24" s="31">
        <v>2463.1666871790949</v>
      </c>
      <c r="AE24" s="31">
        <v>0</v>
      </c>
      <c r="AF24" s="31">
        <v>26833.666687179095</v>
      </c>
      <c r="AH24" s="276"/>
      <c r="AI24" s="276"/>
      <c r="AJ24" s="276"/>
      <c r="AK24" s="276"/>
      <c r="AL24" s="276"/>
      <c r="AM24" s="276"/>
      <c r="AN24" s="276"/>
      <c r="AO24" s="276"/>
      <c r="AP24" s="276"/>
      <c r="AQ24" s="276"/>
      <c r="AR24" s="276"/>
      <c r="AS24" s="276"/>
      <c r="AT24" s="276"/>
      <c r="AU24" s="276"/>
      <c r="AV24" s="276"/>
      <c r="AW24" s="394"/>
    </row>
    <row r="25" spans="1:49">
      <c r="A25" s="88">
        <v>16</v>
      </c>
      <c r="B25" s="88" t="s">
        <v>1722</v>
      </c>
      <c r="C25" s="31">
        <v>186</v>
      </c>
      <c r="D25" s="31">
        <v>1</v>
      </c>
      <c r="E25" s="31">
        <v>406</v>
      </c>
      <c r="F25" s="31">
        <v>2176</v>
      </c>
      <c r="G25" s="31">
        <v>1397</v>
      </c>
      <c r="H25" s="31">
        <v>803</v>
      </c>
      <c r="I25" s="31">
        <v>241</v>
      </c>
      <c r="J25" s="31">
        <v>51</v>
      </c>
      <c r="K25" s="31">
        <v>1</v>
      </c>
      <c r="L25" s="31">
        <v>0</v>
      </c>
      <c r="M25" s="31">
        <v>323</v>
      </c>
      <c r="N25" s="31">
        <v>1051</v>
      </c>
      <c r="O25" s="31">
        <v>1903</v>
      </c>
      <c r="P25" s="31">
        <v>0</v>
      </c>
      <c r="Q25" s="31">
        <v>6251</v>
      </c>
      <c r="R25" s="150">
        <v>1</v>
      </c>
      <c r="S25" s="88">
        <v>7</v>
      </c>
      <c r="U25" s="31">
        <v>3041975.69</v>
      </c>
      <c r="V25" s="31">
        <v>4154501.8800000008</v>
      </c>
      <c r="W25" s="31">
        <v>31666665.09</v>
      </c>
      <c r="X25" s="31">
        <v>5836502.7400000002</v>
      </c>
      <c r="Y25" s="31">
        <v>1110778.6799999997</v>
      </c>
      <c r="Z25" s="31">
        <v>3889363.83</v>
      </c>
      <c r="AA25" s="31">
        <v>1787467.8599999999</v>
      </c>
      <c r="AB25" s="31">
        <v>1601103.42</v>
      </c>
      <c r="AC25" s="31">
        <v>7998944.6499999985</v>
      </c>
      <c r="AD25" s="31">
        <v>7178564.5145655805</v>
      </c>
      <c r="AE25" s="31">
        <v>1229986.3800000001</v>
      </c>
      <c r="AF25" s="31">
        <v>69495854.734565571</v>
      </c>
      <c r="AH25" s="276"/>
      <c r="AI25" s="276"/>
      <c r="AJ25" s="276"/>
      <c r="AK25" s="276"/>
      <c r="AL25" s="276"/>
      <c r="AM25" s="276"/>
      <c r="AN25" s="276"/>
      <c r="AO25" s="276"/>
      <c r="AP25" s="276"/>
      <c r="AQ25" s="276"/>
      <c r="AR25" s="276"/>
      <c r="AS25" s="276"/>
      <c r="AT25" s="276"/>
      <c r="AU25" s="276"/>
      <c r="AV25" s="276"/>
      <c r="AW25" s="394"/>
    </row>
    <row r="26" spans="1:49">
      <c r="A26" s="88">
        <v>17</v>
      </c>
      <c r="B26" s="88" t="s">
        <v>1723</v>
      </c>
      <c r="C26" s="31">
        <v>17</v>
      </c>
      <c r="D26" s="31">
        <v>0</v>
      </c>
      <c r="E26" s="31">
        <v>185</v>
      </c>
      <c r="F26" s="31">
        <v>872</v>
      </c>
      <c r="G26" s="31">
        <v>600</v>
      </c>
      <c r="H26" s="31">
        <v>684</v>
      </c>
      <c r="I26" s="31">
        <v>91</v>
      </c>
      <c r="J26" s="31">
        <v>24</v>
      </c>
      <c r="K26" s="31">
        <v>10</v>
      </c>
      <c r="L26" s="31">
        <v>0</v>
      </c>
      <c r="M26" s="31">
        <v>75</v>
      </c>
      <c r="N26" s="31">
        <v>1</v>
      </c>
      <c r="O26" s="31">
        <v>510</v>
      </c>
      <c r="P26" s="31">
        <v>0</v>
      </c>
      <c r="Q26" s="31">
        <v>2431</v>
      </c>
      <c r="R26" s="150">
        <v>1</v>
      </c>
      <c r="S26" s="88">
        <v>5</v>
      </c>
      <c r="U26" s="31">
        <v>1186638.8400000001</v>
      </c>
      <c r="V26" s="31">
        <v>1615602.23</v>
      </c>
      <c r="W26" s="31">
        <v>10279323.399999999</v>
      </c>
      <c r="X26" s="31">
        <v>2254596.2600000002</v>
      </c>
      <c r="Y26" s="31">
        <v>378700.5</v>
      </c>
      <c r="Z26" s="31">
        <v>1286179.8</v>
      </c>
      <c r="AA26" s="31">
        <v>690578.03999999992</v>
      </c>
      <c r="AB26" s="31">
        <v>614251.75</v>
      </c>
      <c r="AC26" s="31">
        <v>2657690.0799999996</v>
      </c>
      <c r="AD26" s="31">
        <v>2522170.3733777585</v>
      </c>
      <c r="AE26" s="31">
        <v>578817.12</v>
      </c>
      <c r="AF26" s="31">
        <v>24064548.393377755</v>
      </c>
      <c r="AH26" s="276"/>
      <c r="AI26" s="276"/>
      <c r="AJ26" s="276"/>
      <c r="AK26" s="276"/>
      <c r="AL26" s="276"/>
      <c r="AM26" s="276"/>
      <c r="AN26" s="276"/>
      <c r="AO26" s="276"/>
      <c r="AP26" s="276"/>
      <c r="AQ26" s="276"/>
      <c r="AR26" s="276"/>
      <c r="AS26" s="276"/>
      <c r="AT26" s="276"/>
      <c r="AU26" s="276"/>
      <c r="AV26" s="276"/>
      <c r="AW26" s="394"/>
    </row>
    <row r="27" spans="1:49">
      <c r="A27" s="88">
        <v>18</v>
      </c>
      <c r="B27" s="88" t="s">
        <v>1724</v>
      </c>
      <c r="C27" s="31">
        <v>17</v>
      </c>
      <c r="D27" s="31">
        <v>0</v>
      </c>
      <c r="E27" s="31">
        <v>43</v>
      </c>
      <c r="F27" s="31">
        <v>213</v>
      </c>
      <c r="G27" s="31">
        <v>136</v>
      </c>
      <c r="H27" s="31">
        <v>122</v>
      </c>
      <c r="I27" s="31">
        <v>20</v>
      </c>
      <c r="J27" s="31">
        <v>5</v>
      </c>
      <c r="K27" s="31">
        <v>0</v>
      </c>
      <c r="L27" s="31">
        <v>0</v>
      </c>
      <c r="M27" s="31">
        <v>15</v>
      </c>
      <c r="N27" s="31">
        <v>0</v>
      </c>
      <c r="O27" s="31">
        <v>200</v>
      </c>
      <c r="P27" s="31">
        <v>0</v>
      </c>
      <c r="Q27" s="31">
        <v>538</v>
      </c>
      <c r="R27" s="150">
        <v>1</v>
      </c>
      <c r="S27" s="88">
        <v>8</v>
      </c>
      <c r="U27" s="31">
        <v>261325.42</v>
      </c>
      <c r="V27" s="31">
        <v>357287.17</v>
      </c>
      <c r="W27" s="31">
        <v>2530314.3599999994</v>
      </c>
      <c r="X27" s="31">
        <v>506546.55</v>
      </c>
      <c r="Y27" s="31">
        <v>89810.67</v>
      </c>
      <c r="Z27" s="31">
        <v>276470.01</v>
      </c>
      <c r="AA27" s="31">
        <v>148392.69</v>
      </c>
      <c r="AB27" s="31">
        <v>124937.3</v>
      </c>
      <c r="AC27" s="31">
        <v>630237.87</v>
      </c>
      <c r="AD27" s="31">
        <v>588296.72338916617</v>
      </c>
      <c r="AE27" s="31">
        <v>120586.90000000001</v>
      </c>
      <c r="AF27" s="31">
        <v>5634205.6633891659</v>
      </c>
      <c r="AH27" s="276"/>
      <c r="AI27" s="276"/>
      <c r="AJ27" s="276"/>
      <c r="AK27" s="276"/>
      <c r="AL27" s="276"/>
      <c r="AM27" s="276"/>
      <c r="AN27" s="276"/>
      <c r="AO27" s="276"/>
      <c r="AP27" s="276"/>
      <c r="AQ27" s="276"/>
      <c r="AR27" s="276"/>
      <c r="AS27" s="276"/>
      <c r="AT27" s="276"/>
      <c r="AU27" s="276"/>
      <c r="AV27" s="276"/>
      <c r="AW27" s="394"/>
    </row>
    <row r="28" spans="1:49">
      <c r="A28" s="88">
        <v>19</v>
      </c>
      <c r="B28" s="88" t="s">
        <v>1725</v>
      </c>
      <c r="C28" s="31">
        <v>0</v>
      </c>
      <c r="D28" s="31">
        <v>0</v>
      </c>
      <c r="E28" s="31">
        <v>0</v>
      </c>
      <c r="F28" s="31">
        <v>0</v>
      </c>
      <c r="G28" s="31">
        <v>0</v>
      </c>
      <c r="H28" s="31">
        <v>0</v>
      </c>
      <c r="I28" s="31">
        <v>0</v>
      </c>
      <c r="J28" s="31">
        <v>0</v>
      </c>
      <c r="K28" s="31">
        <v>0</v>
      </c>
      <c r="L28" s="31">
        <v>0</v>
      </c>
      <c r="M28" s="31">
        <v>0</v>
      </c>
      <c r="N28" s="31">
        <v>0</v>
      </c>
      <c r="O28" s="31">
        <v>0</v>
      </c>
      <c r="P28" s="31">
        <v>0</v>
      </c>
      <c r="Q28" s="31">
        <v>0</v>
      </c>
      <c r="R28" s="150">
        <v>1</v>
      </c>
      <c r="S28" s="88">
        <v>0</v>
      </c>
      <c r="U28" s="31">
        <v>0</v>
      </c>
      <c r="V28" s="31">
        <v>0</v>
      </c>
      <c r="W28" s="31">
        <v>0</v>
      </c>
      <c r="X28" s="31">
        <v>0</v>
      </c>
      <c r="Y28" s="31">
        <v>0</v>
      </c>
      <c r="Z28" s="31">
        <v>0</v>
      </c>
      <c r="AA28" s="31">
        <v>0</v>
      </c>
      <c r="AB28" s="31">
        <v>0</v>
      </c>
      <c r="AC28" s="31">
        <v>0</v>
      </c>
      <c r="AD28" s="31">
        <v>0</v>
      </c>
      <c r="AE28" s="31">
        <v>0</v>
      </c>
      <c r="AF28" s="31">
        <v>0</v>
      </c>
      <c r="AH28" s="276"/>
      <c r="AI28" s="276"/>
      <c r="AJ28" s="276"/>
      <c r="AK28" s="276"/>
      <c r="AL28" s="276"/>
      <c r="AM28" s="276"/>
      <c r="AN28" s="276"/>
      <c r="AO28" s="276"/>
      <c r="AP28" s="276"/>
      <c r="AQ28" s="276"/>
      <c r="AR28" s="276"/>
      <c r="AS28" s="276"/>
      <c r="AT28" s="276"/>
      <c r="AU28" s="276"/>
      <c r="AV28" s="276"/>
      <c r="AW28" s="394"/>
    </row>
    <row r="29" spans="1:49">
      <c r="A29" s="88">
        <v>20</v>
      </c>
      <c r="B29" s="88" t="s">
        <v>1726</v>
      </c>
      <c r="C29" s="31">
        <v>106</v>
      </c>
      <c r="D29" s="31">
        <v>0</v>
      </c>
      <c r="E29" s="31">
        <v>335</v>
      </c>
      <c r="F29" s="31">
        <v>1853</v>
      </c>
      <c r="G29" s="31">
        <v>1148</v>
      </c>
      <c r="H29" s="31">
        <v>1587</v>
      </c>
      <c r="I29" s="31">
        <v>203</v>
      </c>
      <c r="J29" s="31">
        <v>54</v>
      </c>
      <c r="K29" s="31">
        <v>19</v>
      </c>
      <c r="L29" s="31">
        <v>0</v>
      </c>
      <c r="M29" s="31">
        <v>489</v>
      </c>
      <c r="N29" s="31">
        <v>0</v>
      </c>
      <c r="O29" s="31">
        <v>1871</v>
      </c>
      <c r="P29" s="31">
        <v>0</v>
      </c>
      <c r="Q29" s="31">
        <v>5475</v>
      </c>
      <c r="R29" s="150">
        <v>1</v>
      </c>
      <c r="S29" s="88">
        <v>8</v>
      </c>
      <c r="U29" s="31">
        <v>2667654.9700000002</v>
      </c>
      <c r="V29" s="31">
        <v>3639010.89</v>
      </c>
      <c r="W29" s="31">
        <v>26161752.09</v>
      </c>
      <c r="X29" s="31">
        <v>5043750.2600000007</v>
      </c>
      <c r="Y29" s="31">
        <v>917188.64000000013</v>
      </c>
      <c r="Z29" s="31">
        <v>2906797.96</v>
      </c>
      <c r="AA29" s="31">
        <v>1570442.67</v>
      </c>
      <c r="AB29" s="31">
        <v>1384750.0699999998</v>
      </c>
      <c r="AC29" s="31">
        <v>6436340.8200000003</v>
      </c>
      <c r="AD29" s="31">
        <v>5970107.7633134788</v>
      </c>
      <c r="AE29" s="31">
        <v>1302338.52</v>
      </c>
      <c r="AF29" s="31">
        <v>58000134.653313488</v>
      </c>
      <c r="AH29" s="276"/>
      <c r="AI29" s="276"/>
      <c r="AJ29" s="276"/>
      <c r="AK29" s="276"/>
      <c r="AL29" s="276"/>
      <c r="AM29" s="276"/>
      <c r="AN29" s="276"/>
      <c r="AO29" s="276"/>
      <c r="AP29" s="276"/>
      <c r="AQ29" s="276"/>
      <c r="AR29" s="276"/>
      <c r="AS29" s="276"/>
      <c r="AT29" s="276"/>
      <c r="AU29" s="276"/>
      <c r="AV29" s="276"/>
      <c r="AW29" s="394"/>
    </row>
    <row r="30" spans="1:49">
      <c r="A30" s="88">
        <v>21</v>
      </c>
      <c r="B30" s="88" t="s">
        <v>1727</v>
      </c>
      <c r="C30" s="31">
        <v>0</v>
      </c>
      <c r="D30" s="31">
        <v>0</v>
      </c>
      <c r="E30" s="31">
        <v>0</v>
      </c>
      <c r="F30" s="31">
        <v>0</v>
      </c>
      <c r="G30" s="31">
        <v>0</v>
      </c>
      <c r="H30" s="31">
        <v>0</v>
      </c>
      <c r="I30" s="31">
        <v>0</v>
      </c>
      <c r="J30" s="31">
        <v>0</v>
      </c>
      <c r="K30" s="31">
        <v>0</v>
      </c>
      <c r="L30" s="31">
        <v>0</v>
      </c>
      <c r="M30" s="31">
        <v>0</v>
      </c>
      <c r="N30" s="31">
        <v>0</v>
      </c>
      <c r="O30" s="31">
        <v>0</v>
      </c>
      <c r="P30" s="31">
        <v>0</v>
      </c>
      <c r="Q30" s="31">
        <v>0</v>
      </c>
      <c r="R30" s="150">
        <v>1</v>
      </c>
      <c r="S30" s="88">
        <v>0</v>
      </c>
      <c r="U30" s="31">
        <v>0</v>
      </c>
      <c r="V30" s="31">
        <v>0</v>
      </c>
      <c r="W30" s="31">
        <v>0</v>
      </c>
      <c r="X30" s="31">
        <v>0</v>
      </c>
      <c r="Y30" s="31">
        <v>0</v>
      </c>
      <c r="Z30" s="31">
        <v>0</v>
      </c>
      <c r="AA30" s="31">
        <v>0</v>
      </c>
      <c r="AB30" s="31">
        <v>0</v>
      </c>
      <c r="AC30" s="31">
        <v>0</v>
      </c>
      <c r="AD30" s="31">
        <v>0</v>
      </c>
      <c r="AE30" s="31">
        <v>0</v>
      </c>
      <c r="AF30" s="31">
        <v>0</v>
      </c>
      <c r="AH30" s="276"/>
      <c r="AI30" s="276"/>
      <c r="AJ30" s="276"/>
      <c r="AK30" s="276"/>
      <c r="AL30" s="276"/>
      <c r="AM30" s="276"/>
      <c r="AN30" s="276"/>
      <c r="AO30" s="276"/>
      <c r="AP30" s="276"/>
      <c r="AQ30" s="276"/>
      <c r="AR30" s="276"/>
      <c r="AS30" s="276"/>
      <c r="AT30" s="276"/>
      <c r="AU30" s="276"/>
      <c r="AV30" s="276"/>
      <c r="AW30" s="394"/>
    </row>
    <row r="31" spans="1:49">
      <c r="A31" s="88">
        <v>22</v>
      </c>
      <c r="B31" s="88" t="s">
        <v>1728</v>
      </c>
      <c r="C31" s="31">
        <v>0</v>
      </c>
      <c r="D31" s="31">
        <v>0</v>
      </c>
      <c r="E31" s="31">
        <v>0</v>
      </c>
      <c r="F31" s="31">
        <v>0</v>
      </c>
      <c r="G31" s="31">
        <v>0</v>
      </c>
      <c r="H31" s="31">
        <v>0</v>
      </c>
      <c r="I31" s="31">
        <v>1</v>
      </c>
      <c r="J31" s="31">
        <v>0</v>
      </c>
      <c r="K31" s="31">
        <v>0</v>
      </c>
      <c r="L31" s="31">
        <v>0</v>
      </c>
      <c r="M31" s="31">
        <v>0</v>
      </c>
      <c r="N31" s="31">
        <v>11</v>
      </c>
      <c r="O31" s="31">
        <v>0</v>
      </c>
      <c r="P31" s="31">
        <v>0</v>
      </c>
      <c r="Q31" s="31">
        <v>11</v>
      </c>
      <c r="R31" s="150">
        <v>1</v>
      </c>
      <c r="S31" s="88">
        <v>0</v>
      </c>
      <c r="U31" s="31">
        <v>6588.59</v>
      </c>
      <c r="V31" s="31">
        <v>7311.92</v>
      </c>
      <c r="W31" s="31">
        <v>82142.350000000006</v>
      </c>
      <c r="X31" s="31">
        <v>12979.300000000001</v>
      </c>
      <c r="Y31" s="31">
        <v>2710.05</v>
      </c>
      <c r="Z31" s="31">
        <v>13940.34</v>
      </c>
      <c r="AA31" s="31">
        <v>4070.8799999999997</v>
      </c>
      <c r="AB31" s="31">
        <v>5483.5</v>
      </c>
      <c r="AC31" s="31">
        <v>21153.57</v>
      </c>
      <c r="AD31" s="31">
        <v>16836.349323884315</v>
      </c>
      <c r="AE31" s="31">
        <v>0</v>
      </c>
      <c r="AF31" s="31">
        <v>173216.84932388432</v>
      </c>
      <c r="AH31" s="276"/>
      <c r="AI31" s="276"/>
      <c r="AJ31" s="276"/>
      <c r="AK31" s="276"/>
      <c r="AL31" s="276"/>
      <c r="AM31" s="276"/>
      <c r="AN31" s="276"/>
      <c r="AO31" s="276"/>
      <c r="AP31" s="276"/>
      <c r="AQ31" s="276"/>
      <c r="AR31" s="276"/>
      <c r="AS31" s="276"/>
      <c r="AT31" s="276"/>
      <c r="AU31" s="276"/>
      <c r="AV31" s="276"/>
      <c r="AW31" s="394"/>
    </row>
    <row r="32" spans="1:49">
      <c r="A32" s="88">
        <v>23</v>
      </c>
      <c r="B32" s="88" t="s">
        <v>1729</v>
      </c>
      <c r="C32" s="31">
        <v>17</v>
      </c>
      <c r="D32" s="31">
        <v>0</v>
      </c>
      <c r="E32" s="31">
        <v>180</v>
      </c>
      <c r="F32" s="31">
        <v>889</v>
      </c>
      <c r="G32" s="31">
        <v>541</v>
      </c>
      <c r="H32" s="31">
        <v>889</v>
      </c>
      <c r="I32" s="31">
        <v>99</v>
      </c>
      <c r="J32" s="31">
        <v>26</v>
      </c>
      <c r="K32" s="31">
        <v>0</v>
      </c>
      <c r="L32" s="31">
        <v>0</v>
      </c>
      <c r="M32" s="31">
        <v>139</v>
      </c>
      <c r="N32" s="31">
        <v>0</v>
      </c>
      <c r="O32" s="31">
        <v>247</v>
      </c>
      <c r="P32" s="31">
        <v>0</v>
      </c>
      <c r="Q32" s="31">
        <v>2647</v>
      </c>
      <c r="R32" s="150">
        <v>1.08</v>
      </c>
      <c r="S32" s="88">
        <v>2</v>
      </c>
      <c r="U32" s="31">
        <v>1394859.7224000001</v>
      </c>
      <c r="V32" s="31">
        <v>1899916.1820000005</v>
      </c>
      <c r="W32" s="31">
        <v>11291593.374</v>
      </c>
      <c r="X32" s="31">
        <v>2619984.4092000006</v>
      </c>
      <c r="Y32" s="31">
        <v>423946.82880000002</v>
      </c>
      <c r="Z32" s="31">
        <v>1437760.9400000002</v>
      </c>
      <c r="AA32" s="31">
        <v>830234.86920000007</v>
      </c>
      <c r="AB32" s="31">
        <v>769833.26639999996</v>
      </c>
      <c r="AC32" s="31">
        <v>2975027.6376</v>
      </c>
      <c r="AD32" s="31">
        <v>2645315.8841834427</v>
      </c>
      <c r="AE32" s="31">
        <v>627051.88</v>
      </c>
      <c r="AF32" s="31">
        <v>26915524.993783444</v>
      </c>
      <c r="AH32" s="276"/>
      <c r="AI32" s="276"/>
      <c r="AJ32" s="276"/>
      <c r="AK32" s="276"/>
      <c r="AL32" s="276"/>
      <c r="AM32" s="276"/>
      <c r="AN32" s="276"/>
      <c r="AO32" s="276"/>
      <c r="AP32" s="276"/>
      <c r="AQ32" s="276"/>
      <c r="AR32" s="276"/>
      <c r="AS32" s="276"/>
      <c r="AT32" s="276"/>
      <c r="AU32" s="276"/>
      <c r="AV32" s="276"/>
      <c r="AW32" s="394"/>
    </row>
    <row r="33" spans="1:49">
      <c r="A33" s="88">
        <v>24</v>
      </c>
      <c r="B33" s="88" t="s">
        <v>1730</v>
      </c>
      <c r="C33" s="31">
        <v>22</v>
      </c>
      <c r="D33" s="31">
        <v>0</v>
      </c>
      <c r="E33" s="31">
        <v>144</v>
      </c>
      <c r="F33" s="31">
        <v>874</v>
      </c>
      <c r="G33" s="31">
        <v>601</v>
      </c>
      <c r="H33" s="31">
        <v>725</v>
      </c>
      <c r="I33" s="31">
        <v>89</v>
      </c>
      <c r="J33" s="31">
        <v>24</v>
      </c>
      <c r="K33" s="31">
        <v>0</v>
      </c>
      <c r="L33" s="31">
        <v>0</v>
      </c>
      <c r="M33" s="31">
        <v>17</v>
      </c>
      <c r="N33" s="31">
        <v>2</v>
      </c>
      <c r="O33" s="31">
        <v>467</v>
      </c>
      <c r="P33" s="31">
        <v>0</v>
      </c>
      <c r="Q33" s="31">
        <v>2374</v>
      </c>
      <c r="R33" s="150">
        <v>1</v>
      </c>
      <c r="S33" s="88">
        <v>4</v>
      </c>
      <c r="U33" s="31">
        <v>1160764.1300000001</v>
      </c>
      <c r="V33" s="31">
        <v>1578045.5</v>
      </c>
      <c r="W33" s="31">
        <v>9884573.040000001</v>
      </c>
      <c r="X33" s="31">
        <v>2191269.5099999998</v>
      </c>
      <c r="Y33" s="31">
        <v>365469.31999999995</v>
      </c>
      <c r="Z33" s="31">
        <v>1272195.7299999997</v>
      </c>
      <c r="AA33" s="31">
        <v>679721.88000000012</v>
      </c>
      <c r="AB33" s="31">
        <v>623934.28999999992</v>
      </c>
      <c r="AC33" s="31">
        <v>2565037.1100000003</v>
      </c>
      <c r="AD33" s="31">
        <v>2438969.3766315212</v>
      </c>
      <c r="AE33" s="31">
        <v>578817.12</v>
      </c>
      <c r="AF33" s="31">
        <v>23338797.006631523</v>
      </c>
      <c r="AH33" s="276"/>
      <c r="AI33" s="276"/>
      <c r="AJ33" s="276"/>
      <c r="AK33" s="276"/>
      <c r="AL33" s="276"/>
      <c r="AM33" s="276"/>
      <c r="AN33" s="276"/>
      <c r="AO33" s="276"/>
      <c r="AP33" s="276"/>
      <c r="AQ33" s="276"/>
      <c r="AR33" s="276"/>
      <c r="AS33" s="276"/>
      <c r="AT33" s="276"/>
      <c r="AU33" s="276"/>
      <c r="AV33" s="276"/>
      <c r="AW33" s="394"/>
    </row>
    <row r="34" spans="1:49">
      <c r="A34" s="88">
        <v>25</v>
      </c>
      <c r="B34" s="88" t="s">
        <v>1731</v>
      </c>
      <c r="C34" s="31">
        <v>35</v>
      </c>
      <c r="D34" s="31">
        <v>1</v>
      </c>
      <c r="E34" s="31">
        <v>163</v>
      </c>
      <c r="F34" s="31">
        <v>908</v>
      </c>
      <c r="G34" s="31">
        <v>569</v>
      </c>
      <c r="H34" s="31">
        <v>618</v>
      </c>
      <c r="I34" s="31">
        <v>87</v>
      </c>
      <c r="J34" s="31">
        <v>23</v>
      </c>
      <c r="K34" s="31">
        <v>0</v>
      </c>
      <c r="L34" s="31">
        <v>0</v>
      </c>
      <c r="M34" s="31">
        <v>33</v>
      </c>
      <c r="N34" s="31">
        <v>22</v>
      </c>
      <c r="O34" s="31">
        <v>464</v>
      </c>
      <c r="P34" s="31">
        <v>0</v>
      </c>
      <c r="Q34" s="31">
        <v>2332</v>
      </c>
      <c r="R34" s="150">
        <v>1</v>
      </c>
      <c r="S34" s="88">
        <v>4</v>
      </c>
      <c r="U34" s="31">
        <v>1137318.0999999999</v>
      </c>
      <c r="V34" s="31">
        <v>1549462.6800000002</v>
      </c>
      <c r="W34" s="31">
        <v>9741116.4499999993</v>
      </c>
      <c r="X34" s="31">
        <v>2173719.08</v>
      </c>
      <c r="Y34" s="31">
        <v>360748.01999999996</v>
      </c>
      <c r="Z34" s="31">
        <v>1240079.01</v>
      </c>
      <c r="AA34" s="31">
        <v>656108.43000000005</v>
      </c>
      <c r="AB34" s="31">
        <v>582558.49</v>
      </c>
      <c r="AC34" s="31">
        <v>2535791.4700000007</v>
      </c>
      <c r="AD34" s="31">
        <v>2411852.7036707522</v>
      </c>
      <c r="AE34" s="31">
        <v>554699.74</v>
      </c>
      <c r="AF34" s="31">
        <v>22943454.173670746</v>
      </c>
      <c r="AH34" s="276"/>
      <c r="AI34" s="276"/>
      <c r="AJ34" s="276"/>
      <c r="AK34" s="276"/>
      <c r="AL34" s="276"/>
      <c r="AM34" s="276"/>
      <c r="AN34" s="276"/>
      <c r="AO34" s="276"/>
      <c r="AP34" s="276"/>
      <c r="AQ34" s="276"/>
      <c r="AR34" s="276"/>
      <c r="AS34" s="276"/>
      <c r="AT34" s="276"/>
      <c r="AU34" s="276"/>
      <c r="AV34" s="276"/>
      <c r="AW34" s="394"/>
    </row>
    <row r="35" spans="1:49">
      <c r="A35" s="88">
        <v>26</v>
      </c>
      <c r="B35" s="88" t="s">
        <v>1732</v>
      </c>
      <c r="C35" s="31">
        <v>27</v>
      </c>
      <c r="D35" s="31">
        <v>274</v>
      </c>
      <c r="E35" s="31">
        <v>18</v>
      </c>
      <c r="F35" s="31">
        <v>1654</v>
      </c>
      <c r="G35" s="31">
        <v>996</v>
      </c>
      <c r="H35" s="31">
        <v>1283</v>
      </c>
      <c r="I35" s="31">
        <v>163</v>
      </c>
      <c r="J35" s="31">
        <v>43</v>
      </c>
      <c r="K35" s="31">
        <v>0</v>
      </c>
      <c r="L35" s="31">
        <v>55</v>
      </c>
      <c r="M35" s="31">
        <v>225</v>
      </c>
      <c r="N35" s="31">
        <v>0</v>
      </c>
      <c r="O35" s="31">
        <v>408</v>
      </c>
      <c r="P35" s="31">
        <v>0</v>
      </c>
      <c r="Q35" s="31">
        <v>4355</v>
      </c>
      <c r="R35" s="150">
        <v>1.038</v>
      </c>
      <c r="S35" s="88">
        <v>2</v>
      </c>
      <c r="U35" s="31">
        <v>2206498.5744599998</v>
      </c>
      <c r="V35" s="31">
        <v>3004173.8287200001</v>
      </c>
      <c r="W35" s="31">
        <v>17691439.30116</v>
      </c>
      <c r="X35" s="31">
        <v>4174213.0443000006</v>
      </c>
      <c r="Y35" s="31">
        <v>671532.39768000017</v>
      </c>
      <c r="Z35" s="31">
        <v>2317904.94</v>
      </c>
      <c r="AA35" s="31">
        <v>1295023.5707400001</v>
      </c>
      <c r="AB35" s="31">
        <v>1164717.1716000002</v>
      </c>
      <c r="AC35" s="31">
        <v>4712477.0994600011</v>
      </c>
      <c r="AD35" s="31">
        <v>4368487.3318134677</v>
      </c>
      <c r="AE35" s="31">
        <v>1037047.3400000001</v>
      </c>
      <c r="AF35" s="31">
        <v>42643514.599933475</v>
      </c>
      <c r="AH35" s="276"/>
      <c r="AI35" s="276"/>
      <c r="AJ35" s="276"/>
      <c r="AK35" s="276"/>
      <c r="AL35" s="276"/>
      <c r="AM35" s="276"/>
      <c r="AN35" s="276"/>
      <c r="AO35" s="276"/>
      <c r="AP35" s="276"/>
      <c r="AQ35" s="276"/>
      <c r="AR35" s="276"/>
      <c r="AS35" s="276"/>
      <c r="AT35" s="276"/>
      <c r="AU35" s="276"/>
      <c r="AV35" s="276"/>
      <c r="AW35" s="394"/>
    </row>
    <row r="36" spans="1:49">
      <c r="A36" s="88">
        <v>27</v>
      </c>
      <c r="B36" s="88" t="s">
        <v>1733</v>
      </c>
      <c r="C36" s="31">
        <v>19</v>
      </c>
      <c r="D36" s="31">
        <v>0</v>
      </c>
      <c r="E36" s="31">
        <v>78</v>
      </c>
      <c r="F36" s="31">
        <v>415</v>
      </c>
      <c r="G36" s="31">
        <v>280</v>
      </c>
      <c r="H36" s="31">
        <v>0</v>
      </c>
      <c r="I36" s="31">
        <v>29</v>
      </c>
      <c r="J36" s="31">
        <v>8</v>
      </c>
      <c r="K36" s="31">
        <v>0</v>
      </c>
      <c r="L36" s="31">
        <v>0</v>
      </c>
      <c r="M36" s="31">
        <v>1</v>
      </c>
      <c r="N36" s="31">
        <v>0</v>
      </c>
      <c r="O36" s="31">
        <v>160</v>
      </c>
      <c r="P36" s="31">
        <v>0</v>
      </c>
      <c r="Q36" s="31">
        <v>784</v>
      </c>
      <c r="R36" s="150">
        <v>1</v>
      </c>
      <c r="S36" s="88">
        <v>5</v>
      </c>
      <c r="U36" s="31">
        <v>382345.07999999996</v>
      </c>
      <c r="V36" s="31">
        <v>520808.30999999994</v>
      </c>
      <c r="W36" s="31">
        <v>3028396.4</v>
      </c>
      <c r="X36" s="31">
        <v>778278.69999999984</v>
      </c>
      <c r="Y36" s="31">
        <v>120074.34999999999</v>
      </c>
      <c r="Z36" s="31">
        <v>355875.8</v>
      </c>
      <c r="AA36" s="31">
        <v>194408.82</v>
      </c>
      <c r="AB36" s="31">
        <v>123308.62</v>
      </c>
      <c r="AC36" s="31">
        <v>842596.58000000019</v>
      </c>
      <c r="AD36" s="31">
        <v>820687.3961112285</v>
      </c>
      <c r="AE36" s="31">
        <v>192939.04</v>
      </c>
      <c r="AF36" s="31">
        <v>7359719.0961112287</v>
      </c>
      <c r="AH36" s="276"/>
      <c r="AI36" s="276"/>
      <c r="AJ36" s="276"/>
      <c r="AK36" s="276"/>
      <c r="AL36" s="276"/>
      <c r="AM36" s="276"/>
      <c r="AN36" s="276"/>
      <c r="AO36" s="276"/>
      <c r="AP36" s="276"/>
      <c r="AQ36" s="276"/>
      <c r="AR36" s="276"/>
      <c r="AS36" s="276"/>
      <c r="AT36" s="276"/>
      <c r="AU36" s="276"/>
      <c r="AV36" s="276"/>
      <c r="AW36" s="394"/>
    </row>
    <row r="37" spans="1:49">
      <c r="A37" s="88">
        <v>28</v>
      </c>
      <c r="B37" s="88" t="s">
        <v>1734</v>
      </c>
      <c r="C37" s="31">
        <v>6</v>
      </c>
      <c r="D37" s="31">
        <v>1</v>
      </c>
      <c r="E37" s="31">
        <v>23</v>
      </c>
      <c r="F37" s="31">
        <v>124</v>
      </c>
      <c r="G37" s="31">
        <v>0</v>
      </c>
      <c r="H37" s="31">
        <v>0</v>
      </c>
      <c r="I37" s="31">
        <v>6</v>
      </c>
      <c r="J37" s="31">
        <v>2</v>
      </c>
      <c r="K37" s="31">
        <v>0</v>
      </c>
      <c r="L37" s="31">
        <v>0</v>
      </c>
      <c r="M37" s="31">
        <v>9</v>
      </c>
      <c r="N37" s="31">
        <v>0</v>
      </c>
      <c r="O37" s="31">
        <v>38</v>
      </c>
      <c r="P37" s="31">
        <v>0</v>
      </c>
      <c r="Q37" s="31">
        <v>160</v>
      </c>
      <c r="R37" s="150">
        <v>1.0269999999999999</v>
      </c>
      <c r="S37" s="88">
        <v>5</v>
      </c>
      <c r="U37" s="31">
        <v>81157.288549999983</v>
      </c>
      <c r="V37" s="31">
        <v>108885.52856999998</v>
      </c>
      <c r="W37" s="31">
        <v>686676.87881000002</v>
      </c>
      <c r="X37" s="31">
        <v>174909.66401999997</v>
      </c>
      <c r="Y37" s="31">
        <v>25317.306169999996</v>
      </c>
      <c r="Z37" s="31">
        <v>72480.98000000001</v>
      </c>
      <c r="AA37" s="31">
        <v>37009.341719999997</v>
      </c>
      <c r="AB37" s="31">
        <v>20479.17079</v>
      </c>
      <c r="AC37" s="31">
        <v>177659.61056999999</v>
      </c>
      <c r="AD37" s="31">
        <v>171080.60595686693</v>
      </c>
      <c r="AE37" s="31">
        <v>48234.76</v>
      </c>
      <c r="AF37" s="31">
        <v>1603891.1351568666</v>
      </c>
      <c r="AH37" s="276"/>
      <c r="AI37" s="276"/>
      <c r="AJ37" s="276"/>
      <c r="AK37" s="276"/>
      <c r="AL37" s="276"/>
      <c r="AM37" s="276"/>
      <c r="AN37" s="276"/>
      <c r="AO37" s="276"/>
      <c r="AP37" s="276"/>
      <c r="AQ37" s="276"/>
      <c r="AR37" s="276"/>
      <c r="AS37" s="276"/>
      <c r="AT37" s="276"/>
      <c r="AU37" s="276"/>
      <c r="AV37" s="276"/>
      <c r="AW37" s="394"/>
    </row>
    <row r="38" spans="1:49">
      <c r="A38" s="88">
        <v>29</v>
      </c>
      <c r="B38" s="88" t="s">
        <v>1735</v>
      </c>
      <c r="C38" s="31">
        <v>0</v>
      </c>
      <c r="D38" s="31">
        <v>0</v>
      </c>
      <c r="E38" s="31">
        <v>0</v>
      </c>
      <c r="F38" s="31">
        <v>0</v>
      </c>
      <c r="G38" s="31">
        <v>0</v>
      </c>
      <c r="H38" s="31">
        <v>0</v>
      </c>
      <c r="I38" s="31">
        <v>0</v>
      </c>
      <c r="J38" s="31">
        <v>0</v>
      </c>
      <c r="K38" s="31">
        <v>0</v>
      </c>
      <c r="L38" s="31">
        <v>0</v>
      </c>
      <c r="M38" s="31">
        <v>0</v>
      </c>
      <c r="N38" s="31">
        <v>0</v>
      </c>
      <c r="O38" s="31">
        <v>0</v>
      </c>
      <c r="P38" s="31">
        <v>0</v>
      </c>
      <c r="Q38" s="31">
        <v>0</v>
      </c>
      <c r="R38" s="150">
        <v>1</v>
      </c>
      <c r="S38" s="88">
        <v>0</v>
      </c>
      <c r="U38" s="31">
        <v>0</v>
      </c>
      <c r="V38" s="31">
        <v>0</v>
      </c>
      <c r="W38" s="31">
        <v>0</v>
      </c>
      <c r="X38" s="31">
        <v>0</v>
      </c>
      <c r="Y38" s="31">
        <v>0</v>
      </c>
      <c r="Z38" s="31">
        <v>0</v>
      </c>
      <c r="AA38" s="31">
        <v>0</v>
      </c>
      <c r="AB38" s="31">
        <v>0</v>
      </c>
      <c r="AC38" s="31">
        <v>0</v>
      </c>
      <c r="AD38" s="31">
        <v>0</v>
      </c>
      <c r="AE38" s="31">
        <v>0</v>
      </c>
      <c r="AF38" s="31">
        <v>0</v>
      </c>
      <c r="AH38" s="276"/>
      <c r="AI38" s="276"/>
      <c r="AJ38" s="276"/>
      <c r="AK38" s="276"/>
      <c r="AL38" s="276"/>
      <c r="AM38" s="276"/>
      <c r="AN38" s="276"/>
      <c r="AO38" s="276"/>
      <c r="AP38" s="276"/>
      <c r="AQ38" s="276"/>
      <c r="AR38" s="276"/>
      <c r="AS38" s="276"/>
      <c r="AT38" s="276"/>
      <c r="AU38" s="276"/>
      <c r="AV38" s="276"/>
      <c r="AW38" s="394"/>
    </row>
    <row r="39" spans="1:49">
      <c r="A39" s="88">
        <v>30</v>
      </c>
      <c r="B39" s="88" t="s">
        <v>1736</v>
      </c>
      <c r="C39" s="31">
        <v>114</v>
      </c>
      <c r="D39" s="31">
        <v>191</v>
      </c>
      <c r="E39" s="31">
        <v>106</v>
      </c>
      <c r="F39" s="31">
        <v>1708</v>
      </c>
      <c r="G39" s="31">
        <v>1026</v>
      </c>
      <c r="H39" s="31">
        <v>1292</v>
      </c>
      <c r="I39" s="31">
        <v>164</v>
      </c>
      <c r="J39" s="31">
        <v>44</v>
      </c>
      <c r="K39" s="31">
        <v>2</v>
      </c>
      <c r="L39" s="31">
        <v>1</v>
      </c>
      <c r="M39" s="31">
        <v>157</v>
      </c>
      <c r="N39" s="31">
        <v>0</v>
      </c>
      <c r="O39" s="31">
        <v>1297</v>
      </c>
      <c r="P39" s="31">
        <v>0</v>
      </c>
      <c r="Q39" s="31">
        <v>4444</v>
      </c>
      <c r="R39" s="150">
        <v>1</v>
      </c>
      <c r="S39" s="88">
        <v>7</v>
      </c>
      <c r="U39" s="31">
        <v>2163556.0300000003</v>
      </c>
      <c r="V39" s="31">
        <v>2953354.04</v>
      </c>
      <c r="W39" s="31">
        <v>20064083.27</v>
      </c>
      <c r="X39" s="31">
        <v>4104175.9000000004</v>
      </c>
      <c r="Y39" s="31">
        <v>718006.2300000001</v>
      </c>
      <c r="Z39" s="31">
        <v>2359902.27</v>
      </c>
      <c r="AA39" s="31">
        <v>1263988.7100000002</v>
      </c>
      <c r="AB39" s="31">
        <v>1135697.8799999999</v>
      </c>
      <c r="AC39" s="31">
        <v>5038626.2700000005</v>
      </c>
      <c r="AD39" s="31">
        <v>4725477.538541209</v>
      </c>
      <c r="AE39" s="31">
        <v>1061164.72</v>
      </c>
      <c r="AF39" s="31">
        <v>45588032.85854122</v>
      </c>
      <c r="AH39" s="276"/>
      <c r="AI39" s="276"/>
      <c r="AJ39" s="276"/>
      <c r="AK39" s="276"/>
      <c r="AL39" s="276"/>
      <c r="AM39" s="276"/>
      <c r="AN39" s="276"/>
      <c r="AO39" s="276"/>
      <c r="AP39" s="276"/>
      <c r="AQ39" s="276"/>
      <c r="AR39" s="276"/>
      <c r="AS39" s="276"/>
      <c r="AT39" s="276"/>
      <c r="AU39" s="276"/>
      <c r="AV39" s="276"/>
      <c r="AW39" s="394"/>
    </row>
    <row r="40" spans="1:49">
      <c r="A40" s="88">
        <v>31</v>
      </c>
      <c r="B40" s="88" t="s">
        <v>1737</v>
      </c>
      <c r="C40" s="31">
        <v>65</v>
      </c>
      <c r="D40" s="31">
        <v>0</v>
      </c>
      <c r="E40" s="31">
        <v>370</v>
      </c>
      <c r="F40" s="31">
        <v>1967</v>
      </c>
      <c r="G40" s="31">
        <v>1226</v>
      </c>
      <c r="H40" s="31">
        <v>1356</v>
      </c>
      <c r="I40" s="31">
        <v>188</v>
      </c>
      <c r="J40" s="31">
        <v>50</v>
      </c>
      <c r="K40" s="31">
        <v>0</v>
      </c>
      <c r="L40" s="31">
        <v>0</v>
      </c>
      <c r="M40" s="31">
        <v>67</v>
      </c>
      <c r="N40" s="31">
        <v>15</v>
      </c>
      <c r="O40" s="31">
        <v>898</v>
      </c>
      <c r="P40" s="31">
        <v>0</v>
      </c>
      <c r="Q40" s="31">
        <v>5034</v>
      </c>
      <c r="R40" s="150">
        <v>1.01</v>
      </c>
      <c r="S40" s="88">
        <v>4</v>
      </c>
      <c r="U40" s="31">
        <v>2481656.5469000004</v>
      </c>
      <c r="V40" s="31">
        <v>3379327.4577000006</v>
      </c>
      <c r="W40" s="31">
        <v>20816403.717099998</v>
      </c>
      <c r="X40" s="31">
        <v>4746634.3395999996</v>
      </c>
      <c r="Y40" s="31">
        <v>776715.63380000019</v>
      </c>
      <c r="Z40" s="31">
        <v>2657722.0599999996</v>
      </c>
      <c r="AA40" s="31">
        <v>1428788.9249999998</v>
      </c>
      <c r="AB40" s="31">
        <v>1265727.3337999999</v>
      </c>
      <c r="AC40" s="31">
        <v>5453475.6585000008</v>
      </c>
      <c r="AD40" s="31">
        <v>5161948.3425924173</v>
      </c>
      <c r="AE40" s="31">
        <v>1205869</v>
      </c>
      <c r="AF40" s="31">
        <v>49374269.014992416</v>
      </c>
      <c r="AH40" s="276"/>
      <c r="AI40" s="276"/>
      <c r="AJ40" s="276"/>
      <c r="AK40" s="276"/>
      <c r="AL40" s="276"/>
      <c r="AM40" s="276"/>
      <c r="AN40" s="276"/>
      <c r="AO40" s="276"/>
      <c r="AP40" s="276"/>
      <c r="AQ40" s="276"/>
      <c r="AR40" s="276"/>
      <c r="AS40" s="276"/>
      <c r="AT40" s="276"/>
      <c r="AU40" s="276"/>
      <c r="AV40" s="276"/>
      <c r="AW40" s="394"/>
    </row>
    <row r="41" spans="1:49">
      <c r="A41" s="88">
        <v>32</v>
      </c>
      <c r="B41" s="88" t="s">
        <v>1738</v>
      </c>
      <c r="C41" s="31">
        <v>0</v>
      </c>
      <c r="D41" s="31">
        <v>0</v>
      </c>
      <c r="E41" s="31">
        <v>0</v>
      </c>
      <c r="F41" s="31">
        <v>0</v>
      </c>
      <c r="G41" s="31">
        <v>0</v>
      </c>
      <c r="H41" s="31">
        <v>0</v>
      </c>
      <c r="I41" s="31">
        <v>1</v>
      </c>
      <c r="J41" s="31">
        <v>0</v>
      </c>
      <c r="K41" s="31">
        <v>0</v>
      </c>
      <c r="L41" s="31">
        <v>0</v>
      </c>
      <c r="M41" s="31">
        <v>0</v>
      </c>
      <c r="N41" s="31">
        <v>20</v>
      </c>
      <c r="O41" s="31">
        <v>0</v>
      </c>
      <c r="P41" s="31">
        <v>0</v>
      </c>
      <c r="Q41" s="31">
        <v>20</v>
      </c>
      <c r="R41" s="150">
        <v>1</v>
      </c>
      <c r="S41" s="88">
        <v>0</v>
      </c>
      <c r="U41" s="31">
        <v>9900.9500000000007</v>
      </c>
      <c r="V41" s="31">
        <v>13294.400000000001</v>
      </c>
      <c r="W41" s="31">
        <v>142491.85</v>
      </c>
      <c r="X41" s="31">
        <v>17195.620000000003</v>
      </c>
      <c r="Y41" s="31">
        <v>4596.5400000000009</v>
      </c>
      <c r="Z41" s="31">
        <v>25057.32</v>
      </c>
      <c r="AA41" s="31">
        <v>7401.5999999999995</v>
      </c>
      <c r="AB41" s="31">
        <v>9970</v>
      </c>
      <c r="AC41" s="31">
        <v>36139.47</v>
      </c>
      <c r="AD41" s="31">
        <v>27920.599416190242</v>
      </c>
      <c r="AE41" s="31">
        <v>0</v>
      </c>
      <c r="AF41" s="31">
        <v>293968.34941619023</v>
      </c>
      <c r="AH41" s="276"/>
      <c r="AI41" s="276"/>
      <c r="AJ41" s="276"/>
      <c r="AK41" s="276"/>
      <c r="AL41" s="276"/>
      <c r="AM41" s="276"/>
      <c r="AN41" s="276"/>
      <c r="AO41" s="276"/>
      <c r="AP41" s="276"/>
      <c r="AQ41" s="276"/>
      <c r="AR41" s="276"/>
      <c r="AS41" s="276"/>
      <c r="AT41" s="276"/>
      <c r="AU41" s="276"/>
      <c r="AV41" s="276"/>
      <c r="AW41" s="394"/>
    </row>
    <row r="42" spans="1:49">
      <c r="A42" s="88">
        <v>33</v>
      </c>
      <c r="B42" s="88" t="s">
        <v>1739</v>
      </c>
      <c r="C42" s="31">
        <v>0</v>
      </c>
      <c r="D42" s="31">
        <v>0</v>
      </c>
      <c r="E42" s="31">
        <v>0</v>
      </c>
      <c r="F42" s="31">
        <v>0</v>
      </c>
      <c r="G42" s="31">
        <v>0</v>
      </c>
      <c r="H42" s="31">
        <v>0</v>
      </c>
      <c r="I42" s="31">
        <v>0</v>
      </c>
      <c r="J42" s="31">
        <v>0</v>
      </c>
      <c r="K42" s="31">
        <v>0</v>
      </c>
      <c r="L42" s="31">
        <v>0</v>
      </c>
      <c r="M42" s="31">
        <v>0</v>
      </c>
      <c r="N42" s="31">
        <v>6</v>
      </c>
      <c r="O42" s="31">
        <v>0</v>
      </c>
      <c r="P42" s="31">
        <v>0</v>
      </c>
      <c r="Q42" s="31">
        <v>6</v>
      </c>
      <c r="R42" s="150">
        <v>1</v>
      </c>
      <c r="S42" s="88">
        <v>0</v>
      </c>
      <c r="U42" s="31">
        <v>2208.2400000000002</v>
      </c>
      <c r="V42" s="31">
        <v>3988.32</v>
      </c>
      <c r="W42" s="31">
        <v>40233</v>
      </c>
      <c r="X42" s="31">
        <v>2810.88</v>
      </c>
      <c r="Y42" s="31">
        <v>1257.6600000000001</v>
      </c>
      <c r="Z42" s="31">
        <v>7411.32</v>
      </c>
      <c r="AA42" s="31">
        <v>2220.48</v>
      </c>
      <c r="AB42" s="31">
        <v>2991</v>
      </c>
      <c r="AC42" s="31">
        <v>9990.5999999999985</v>
      </c>
      <c r="AD42" s="31">
        <v>7389.5000615372846</v>
      </c>
      <c r="AE42" s="31">
        <v>0</v>
      </c>
      <c r="AF42" s="31">
        <v>80501.000061537285</v>
      </c>
      <c r="AH42" s="276"/>
      <c r="AI42" s="276"/>
      <c r="AJ42" s="276"/>
      <c r="AK42" s="276"/>
      <c r="AL42" s="276"/>
      <c r="AM42" s="276"/>
      <c r="AN42" s="276"/>
      <c r="AO42" s="276"/>
      <c r="AP42" s="276"/>
      <c r="AQ42" s="276"/>
      <c r="AR42" s="276"/>
      <c r="AS42" s="276"/>
      <c r="AT42" s="276"/>
      <c r="AU42" s="276"/>
      <c r="AV42" s="276"/>
      <c r="AW42" s="394"/>
    </row>
    <row r="43" spans="1:49">
      <c r="A43" s="88">
        <v>34</v>
      </c>
      <c r="B43" s="88" t="s">
        <v>1740</v>
      </c>
      <c r="C43" s="31">
        <v>0</v>
      </c>
      <c r="D43" s="31">
        <v>0</v>
      </c>
      <c r="E43" s="31">
        <v>0</v>
      </c>
      <c r="F43" s="31">
        <v>0</v>
      </c>
      <c r="G43" s="31">
        <v>0</v>
      </c>
      <c r="H43" s="31">
        <v>0</v>
      </c>
      <c r="I43" s="31">
        <v>0</v>
      </c>
      <c r="J43" s="31">
        <v>0</v>
      </c>
      <c r="K43" s="31">
        <v>0</v>
      </c>
      <c r="L43" s="31">
        <v>0</v>
      </c>
      <c r="M43" s="31">
        <v>0</v>
      </c>
      <c r="N43" s="31">
        <v>1</v>
      </c>
      <c r="O43" s="31">
        <v>0</v>
      </c>
      <c r="P43" s="31">
        <v>0</v>
      </c>
      <c r="Q43" s="31">
        <v>1</v>
      </c>
      <c r="R43" s="150">
        <v>1.04</v>
      </c>
      <c r="S43" s="88">
        <v>0</v>
      </c>
      <c r="U43" s="31">
        <v>382.76160000000004</v>
      </c>
      <c r="V43" s="31">
        <v>691.30880000000002</v>
      </c>
      <c r="W43" s="31">
        <v>6973.72</v>
      </c>
      <c r="X43" s="31">
        <v>487.21920000000006</v>
      </c>
      <c r="Y43" s="31">
        <v>217.99440000000001</v>
      </c>
      <c r="Z43" s="31">
        <v>1235.22</v>
      </c>
      <c r="AA43" s="31">
        <v>384.88319999999999</v>
      </c>
      <c r="AB43" s="31">
        <v>518.44000000000005</v>
      </c>
      <c r="AC43" s="31">
        <v>1731.704</v>
      </c>
      <c r="AD43" s="31">
        <v>1231.5833435895474</v>
      </c>
      <c r="AE43" s="31">
        <v>0</v>
      </c>
      <c r="AF43" s="31">
        <v>13854.834543589546</v>
      </c>
      <c r="AH43" s="276"/>
      <c r="AI43" s="276"/>
      <c r="AJ43" s="276"/>
      <c r="AK43" s="276"/>
      <c r="AL43" s="276"/>
      <c r="AM43" s="276"/>
      <c r="AN43" s="276"/>
      <c r="AO43" s="276"/>
      <c r="AP43" s="276"/>
      <c r="AQ43" s="276"/>
      <c r="AR43" s="276"/>
      <c r="AS43" s="276"/>
      <c r="AT43" s="276"/>
      <c r="AU43" s="276"/>
      <c r="AV43" s="276"/>
      <c r="AW43" s="394"/>
    </row>
    <row r="44" spans="1:49">
      <c r="A44" s="88">
        <v>35</v>
      </c>
      <c r="B44" s="88" t="s">
        <v>1741</v>
      </c>
      <c r="C44" s="31">
        <v>1783</v>
      </c>
      <c r="D44" s="31">
        <v>0</v>
      </c>
      <c r="E44" s="31">
        <v>3057</v>
      </c>
      <c r="F44" s="31">
        <v>16457</v>
      </c>
      <c r="G44" s="31">
        <v>10790</v>
      </c>
      <c r="H44" s="31">
        <v>14689</v>
      </c>
      <c r="I44" s="31">
        <v>2373</v>
      </c>
      <c r="J44" s="31">
        <v>615</v>
      </c>
      <c r="K44" s="31">
        <v>1586</v>
      </c>
      <c r="L44" s="31">
        <v>0</v>
      </c>
      <c r="M44" s="31">
        <v>16530</v>
      </c>
      <c r="N44" s="31">
        <v>1394</v>
      </c>
      <c r="O44" s="31">
        <v>38135</v>
      </c>
      <c r="P44" s="31">
        <v>0</v>
      </c>
      <c r="Q44" s="31">
        <v>64602</v>
      </c>
      <c r="R44" s="150">
        <v>1.079</v>
      </c>
      <c r="S44" s="88">
        <v>10</v>
      </c>
      <c r="U44" s="31">
        <v>33843864.16099</v>
      </c>
      <c r="V44" s="31">
        <v>46334356.248829998</v>
      </c>
      <c r="W44" s="31">
        <v>412815549.28028995</v>
      </c>
      <c r="X44" s="31">
        <v>63641009.075669996</v>
      </c>
      <c r="Y44" s="31">
        <v>13552186.729769999</v>
      </c>
      <c r="Z44" s="31">
        <v>34331559.609999999</v>
      </c>
      <c r="AA44" s="31">
        <v>20260904.092259999</v>
      </c>
      <c r="AB44" s="31">
        <v>16367472.657249998</v>
      </c>
      <c r="AC44" s="31">
        <v>95396836.913040012</v>
      </c>
      <c r="AD44" s="31">
        <v>78521043.061278537</v>
      </c>
      <c r="AE44" s="31">
        <v>14832188.700000001</v>
      </c>
      <c r="AF44" s="31">
        <v>829896970.52937865</v>
      </c>
      <c r="AH44" s="276"/>
      <c r="AI44" s="276"/>
      <c r="AJ44" s="276"/>
      <c r="AK44" s="276"/>
      <c r="AL44" s="276"/>
      <c r="AM44" s="276"/>
      <c r="AN44" s="276"/>
      <c r="AO44" s="276"/>
      <c r="AP44" s="276"/>
      <c r="AQ44" s="276"/>
      <c r="AR44" s="276"/>
      <c r="AS44" s="276"/>
      <c r="AT44" s="276"/>
      <c r="AU44" s="276"/>
      <c r="AV44" s="276"/>
      <c r="AW44" s="394"/>
    </row>
    <row r="45" spans="1:49">
      <c r="A45" s="88">
        <v>36</v>
      </c>
      <c r="B45" s="88" t="s">
        <v>1742</v>
      </c>
      <c r="C45" s="31">
        <v>48</v>
      </c>
      <c r="D45" s="31">
        <v>92</v>
      </c>
      <c r="E45" s="31">
        <v>20</v>
      </c>
      <c r="F45" s="31">
        <v>783</v>
      </c>
      <c r="G45" s="31">
        <v>531</v>
      </c>
      <c r="H45" s="31">
        <v>566</v>
      </c>
      <c r="I45" s="31">
        <v>73</v>
      </c>
      <c r="J45" s="31">
        <v>20</v>
      </c>
      <c r="K45" s="31">
        <v>0</v>
      </c>
      <c r="L45" s="31">
        <v>1</v>
      </c>
      <c r="M45" s="31">
        <v>9</v>
      </c>
      <c r="N45" s="31">
        <v>1</v>
      </c>
      <c r="O45" s="31">
        <v>557</v>
      </c>
      <c r="P45" s="31">
        <v>0</v>
      </c>
      <c r="Q45" s="31">
        <v>1981</v>
      </c>
      <c r="R45" s="150">
        <v>1</v>
      </c>
      <c r="S45" s="88">
        <v>6</v>
      </c>
      <c r="U45" s="31">
        <v>965138.5900000002</v>
      </c>
      <c r="V45" s="31">
        <v>1316479.3700000001</v>
      </c>
      <c r="W45" s="31">
        <v>8731545.9799999986</v>
      </c>
      <c r="X45" s="31">
        <v>1824909.33</v>
      </c>
      <c r="Y45" s="31">
        <v>316313.69</v>
      </c>
      <c r="Z45" s="31">
        <v>1050075.71</v>
      </c>
      <c r="AA45" s="31">
        <v>563027.72999999986</v>
      </c>
      <c r="AB45" s="31">
        <v>510267.25</v>
      </c>
      <c r="AC45" s="31">
        <v>2219927.7300000004</v>
      </c>
      <c r="AD45" s="31">
        <v>2087926.0548983114</v>
      </c>
      <c r="AE45" s="31">
        <v>482347.60000000003</v>
      </c>
      <c r="AF45" s="31">
        <v>20067959.034898311</v>
      </c>
      <c r="AH45" s="276"/>
      <c r="AI45" s="276"/>
      <c r="AJ45" s="276"/>
      <c r="AK45" s="276"/>
      <c r="AL45" s="276"/>
      <c r="AM45" s="276"/>
      <c r="AN45" s="276"/>
      <c r="AO45" s="276"/>
      <c r="AP45" s="276"/>
      <c r="AQ45" s="276"/>
      <c r="AR45" s="276"/>
      <c r="AS45" s="276"/>
      <c r="AT45" s="276"/>
      <c r="AU45" s="276"/>
      <c r="AV45" s="276"/>
      <c r="AW45" s="394"/>
    </row>
    <row r="46" spans="1:49">
      <c r="A46" s="88">
        <v>37</v>
      </c>
      <c r="B46" s="88" t="s">
        <v>1743</v>
      </c>
      <c r="C46" s="31">
        <v>0</v>
      </c>
      <c r="D46" s="31">
        <v>0</v>
      </c>
      <c r="E46" s="31">
        <v>0</v>
      </c>
      <c r="F46" s="31">
        <v>0</v>
      </c>
      <c r="G46" s="31">
        <v>0</v>
      </c>
      <c r="H46" s="31">
        <v>0</v>
      </c>
      <c r="I46" s="31">
        <v>0</v>
      </c>
      <c r="J46" s="31">
        <v>0</v>
      </c>
      <c r="K46" s="31">
        <v>0</v>
      </c>
      <c r="L46" s="31">
        <v>0</v>
      </c>
      <c r="M46" s="31">
        <v>0</v>
      </c>
      <c r="N46" s="31">
        <v>6</v>
      </c>
      <c r="O46" s="31">
        <v>0</v>
      </c>
      <c r="P46" s="31">
        <v>0</v>
      </c>
      <c r="Q46" s="31">
        <v>6</v>
      </c>
      <c r="R46" s="150">
        <v>1.1200000000000001</v>
      </c>
      <c r="S46" s="88">
        <v>0</v>
      </c>
      <c r="U46" s="31">
        <v>2473.2288000000003</v>
      </c>
      <c r="V46" s="31">
        <v>4466.9184000000005</v>
      </c>
      <c r="W46" s="31">
        <v>45060.960000000006</v>
      </c>
      <c r="X46" s="31">
        <v>3148.1856000000002</v>
      </c>
      <c r="Y46" s="31">
        <v>1408.5792000000001</v>
      </c>
      <c r="Z46" s="31">
        <v>7411.32</v>
      </c>
      <c r="AA46" s="31">
        <v>2486.9376000000002</v>
      </c>
      <c r="AB46" s="31">
        <v>3349.9200000000005</v>
      </c>
      <c r="AC46" s="31">
        <v>11189.472</v>
      </c>
      <c r="AD46" s="31">
        <v>7389.5000615372846</v>
      </c>
      <c r="AE46" s="31">
        <v>0</v>
      </c>
      <c r="AF46" s="31">
        <v>88385.021661537277</v>
      </c>
      <c r="AH46" s="276"/>
      <c r="AI46" s="276"/>
      <c r="AJ46" s="276"/>
      <c r="AK46" s="276"/>
      <c r="AL46" s="276"/>
      <c r="AM46" s="276"/>
      <c r="AN46" s="276"/>
      <c r="AO46" s="276"/>
      <c r="AP46" s="276"/>
      <c r="AQ46" s="276"/>
      <c r="AR46" s="276"/>
      <c r="AS46" s="276"/>
      <c r="AT46" s="276"/>
      <c r="AU46" s="276"/>
      <c r="AV46" s="276"/>
      <c r="AW46" s="394"/>
    </row>
    <row r="47" spans="1:49">
      <c r="A47" s="88">
        <v>38</v>
      </c>
      <c r="B47" s="88" t="s">
        <v>1744</v>
      </c>
      <c r="C47" s="31">
        <v>41</v>
      </c>
      <c r="D47" s="31">
        <v>0</v>
      </c>
      <c r="E47" s="31">
        <v>89</v>
      </c>
      <c r="F47" s="31">
        <v>495</v>
      </c>
      <c r="G47" s="31">
        <v>128</v>
      </c>
      <c r="H47" s="31">
        <v>0</v>
      </c>
      <c r="I47" s="31">
        <v>27</v>
      </c>
      <c r="J47" s="31">
        <v>7</v>
      </c>
      <c r="K47" s="31">
        <v>0</v>
      </c>
      <c r="L47" s="31">
        <v>0</v>
      </c>
      <c r="M47" s="31">
        <v>6</v>
      </c>
      <c r="N47" s="31">
        <v>0</v>
      </c>
      <c r="O47" s="31">
        <v>33</v>
      </c>
      <c r="P47" s="31">
        <v>0</v>
      </c>
      <c r="Q47" s="31">
        <v>739</v>
      </c>
      <c r="R47" s="150">
        <v>1.044</v>
      </c>
      <c r="S47" s="88">
        <v>1</v>
      </c>
      <c r="U47" s="31">
        <v>373922.2242</v>
      </c>
      <c r="V47" s="31">
        <v>512495.55972000008</v>
      </c>
      <c r="W47" s="31">
        <v>2649894.6121200002</v>
      </c>
      <c r="X47" s="31">
        <v>793351.83420000004</v>
      </c>
      <c r="Y47" s="31">
        <v>108277.91711999998</v>
      </c>
      <c r="Z47" s="31">
        <v>335318.32000000007</v>
      </c>
      <c r="AA47" s="31">
        <v>181272.07944000003</v>
      </c>
      <c r="AB47" s="31">
        <v>108200.00340000002</v>
      </c>
      <c r="AC47" s="31">
        <v>759820.17240000004</v>
      </c>
      <c r="AD47" s="31">
        <v>736944.56223669171</v>
      </c>
      <c r="AE47" s="31">
        <v>168821.66</v>
      </c>
      <c r="AF47" s="31">
        <v>6728318.9448366938</v>
      </c>
      <c r="AH47" s="276"/>
      <c r="AI47" s="276"/>
      <c r="AJ47" s="276"/>
      <c r="AK47" s="276"/>
      <c r="AL47" s="276"/>
      <c r="AM47" s="276"/>
      <c r="AN47" s="276"/>
      <c r="AO47" s="276"/>
      <c r="AP47" s="276"/>
      <c r="AQ47" s="276"/>
      <c r="AR47" s="276"/>
      <c r="AS47" s="276"/>
      <c r="AT47" s="276"/>
      <c r="AU47" s="276"/>
      <c r="AV47" s="276"/>
      <c r="AW47" s="394"/>
    </row>
    <row r="48" spans="1:49">
      <c r="A48" s="88">
        <v>39</v>
      </c>
      <c r="B48" s="88" t="s">
        <v>1745</v>
      </c>
      <c r="C48" s="31">
        <v>3</v>
      </c>
      <c r="D48" s="31">
        <v>0</v>
      </c>
      <c r="E48" s="31">
        <v>24</v>
      </c>
      <c r="F48" s="31">
        <v>223</v>
      </c>
      <c r="G48" s="31">
        <v>0</v>
      </c>
      <c r="H48" s="31">
        <v>0</v>
      </c>
      <c r="I48" s="31">
        <v>10</v>
      </c>
      <c r="J48" s="31">
        <v>3</v>
      </c>
      <c r="K48" s="31">
        <v>0</v>
      </c>
      <c r="L48" s="31">
        <v>0</v>
      </c>
      <c r="M48" s="31">
        <v>6</v>
      </c>
      <c r="N48" s="31">
        <v>20</v>
      </c>
      <c r="O48" s="31">
        <v>28</v>
      </c>
      <c r="P48" s="31">
        <v>0</v>
      </c>
      <c r="Q48" s="31">
        <v>275</v>
      </c>
      <c r="R48" s="150">
        <v>1</v>
      </c>
      <c r="S48" s="88">
        <v>2</v>
      </c>
      <c r="U48" s="31">
        <v>134048.95999999999</v>
      </c>
      <c r="V48" s="31">
        <v>182465.67</v>
      </c>
      <c r="W48" s="31">
        <v>1087396.2</v>
      </c>
      <c r="X48" s="31">
        <v>285759.06999999995</v>
      </c>
      <c r="Y48" s="31">
        <v>41048.670000000006</v>
      </c>
      <c r="Z48" s="31">
        <v>140506.28999999998</v>
      </c>
      <c r="AA48" s="31">
        <v>64287.749999999993</v>
      </c>
      <c r="AB48" s="31">
        <v>42528.21</v>
      </c>
      <c r="AC48" s="31">
        <v>291929.77999999997</v>
      </c>
      <c r="AD48" s="31">
        <v>287081.03585678496</v>
      </c>
      <c r="AE48" s="31">
        <v>72352.14</v>
      </c>
      <c r="AF48" s="31">
        <v>2629403.7758567845</v>
      </c>
      <c r="AH48" s="276"/>
      <c r="AI48" s="276"/>
      <c r="AJ48" s="276"/>
      <c r="AK48" s="276"/>
      <c r="AL48" s="276"/>
      <c r="AM48" s="276"/>
      <c r="AN48" s="276"/>
      <c r="AO48" s="276"/>
      <c r="AP48" s="276"/>
      <c r="AQ48" s="276"/>
      <c r="AR48" s="276"/>
      <c r="AS48" s="276"/>
      <c r="AT48" s="276"/>
      <c r="AU48" s="276"/>
      <c r="AV48" s="276"/>
      <c r="AW48" s="394"/>
    </row>
    <row r="49" spans="1:49">
      <c r="A49" s="88">
        <v>40</v>
      </c>
      <c r="B49" s="88" t="s">
        <v>1746</v>
      </c>
      <c r="C49" s="31">
        <v>105</v>
      </c>
      <c r="D49" s="31">
        <v>328</v>
      </c>
      <c r="E49" s="31">
        <v>23</v>
      </c>
      <c r="F49" s="31">
        <v>2110</v>
      </c>
      <c r="G49" s="31">
        <v>1399</v>
      </c>
      <c r="H49" s="31">
        <v>1649</v>
      </c>
      <c r="I49" s="31">
        <v>210</v>
      </c>
      <c r="J49" s="31">
        <v>56</v>
      </c>
      <c r="K49" s="31">
        <v>20</v>
      </c>
      <c r="L49" s="31">
        <v>33</v>
      </c>
      <c r="M49" s="31">
        <v>242</v>
      </c>
      <c r="N49" s="31">
        <v>0</v>
      </c>
      <c r="O49" s="31">
        <v>1156</v>
      </c>
      <c r="P49" s="31">
        <v>0</v>
      </c>
      <c r="Q49" s="31">
        <v>5667</v>
      </c>
      <c r="R49" s="150">
        <v>1.0429999999999999</v>
      </c>
      <c r="S49" s="88">
        <v>5</v>
      </c>
      <c r="U49" s="31">
        <v>2879722.9269899996</v>
      </c>
      <c r="V49" s="31">
        <v>3928259.6403399999</v>
      </c>
      <c r="W49" s="31">
        <v>25041895.869270001</v>
      </c>
      <c r="X49" s="31">
        <v>5433975.8995900005</v>
      </c>
      <c r="Y49" s="31">
        <v>921312.41817999992</v>
      </c>
      <c r="Z49" s="31">
        <v>3010161.83</v>
      </c>
      <c r="AA49" s="31">
        <v>1693463.0491799996</v>
      </c>
      <c r="AB49" s="31">
        <v>1523177.7480500001</v>
      </c>
      <c r="AC49" s="31">
        <v>6465303.9056199994</v>
      </c>
      <c r="AD49" s="31">
        <v>5871123.3287825985</v>
      </c>
      <c r="AE49" s="31">
        <v>1350573.28</v>
      </c>
      <c r="AF49" s="31">
        <v>58118969.896002591</v>
      </c>
      <c r="AH49" s="276"/>
      <c r="AI49" s="276"/>
      <c r="AJ49" s="276"/>
      <c r="AK49" s="276"/>
      <c r="AL49" s="276"/>
      <c r="AM49" s="276"/>
      <c r="AN49" s="276"/>
      <c r="AO49" s="276"/>
      <c r="AP49" s="276"/>
      <c r="AQ49" s="276"/>
      <c r="AR49" s="276"/>
      <c r="AS49" s="276"/>
      <c r="AT49" s="276"/>
      <c r="AU49" s="276"/>
      <c r="AV49" s="276"/>
      <c r="AW49" s="394"/>
    </row>
    <row r="50" spans="1:49">
      <c r="A50" s="88">
        <v>41</v>
      </c>
      <c r="B50" s="88" t="s">
        <v>1747</v>
      </c>
      <c r="C50" s="31">
        <v>16</v>
      </c>
      <c r="D50" s="31">
        <v>0</v>
      </c>
      <c r="E50" s="31">
        <v>75</v>
      </c>
      <c r="F50" s="31">
        <v>396</v>
      </c>
      <c r="G50" s="31">
        <v>0</v>
      </c>
      <c r="H50" s="31">
        <v>0</v>
      </c>
      <c r="I50" s="31">
        <v>18</v>
      </c>
      <c r="J50" s="31">
        <v>5</v>
      </c>
      <c r="K50" s="31">
        <v>0</v>
      </c>
      <c r="L50" s="31">
        <v>0</v>
      </c>
      <c r="M50" s="31">
        <v>11</v>
      </c>
      <c r="N50" s="31">
        <v>0</v>
      </c>
      <c r="O50" s="31">
        <v>143</v>
      </c>
      <c r="P50" s="31">
        <v>0</v>
      </c>
      <c r="Q50" s="31">
        <v>490</v>
      </c>
      <c r="R50" s="150">
        <v>1</v>
      </c>
      <c r="S50" s="88">
        <v>7</v>
      </c>
      <c r="U50" s="31">
        <v>238763.21000000002</v>
      </c>
      <c r="V50" s="31">
        <v>325712.95999999996</v>
      </c>
      <c r="W50" s="31">
        <v>2115581.17</v>
      </c>
      <c r="X50" s="31">
        <v>522391.59</v>
      </c>
      <c r="Y50" s="31">
        <v>76845.950000000012</v>
      </c>
      <c r="Z50" s="31">
        <v>222516.13999999998</v>
      </c>
      <c r="AA50" s="31">
        <v>109484.7</v>
      </c>
      <c r="AB50" s="31">
        <v>61190.049999999996</v>
      </c>
      <c r="AC50" s="31">
        <v>539251.78</v>
      </c>
      <c r="AD50" s="31">
        <v>530685.41511723539</v>
      </c>
      <c r="AE50" s="31">
        <v>120586.90000000001</v>
      </c>
      <c r="AF50" s="31">
        <v>4863009.8651172351</v>
      </c>
      <c r="AH50" s="276"/>
      <c r="AI50" s="276"/>
      <c r="AJ50" s="276"/>
      <c r="AK50" s="276"/>
      <c r="AL50" s="276"/>
      <c r="AM50" s="276"/>
      <c r="AN50" s="276"/>
      <c r="AO50" s="276"/>
      <c r="AP50" s="276"/>
      <c r="AQ50" s="276"/>
      <c r="AR50" s="276"/>
      <c r="AS50" s="276"/>
      <c r="AT50" s="276"/>
      <c r="AU50" s="276"/>
      <c r="AV50" s="276"/>
      <c r="AW50" s="394"/>
    </row>
    <row r="51" spans="1:49">
      <c r="A51" s="88">
        <v>42</v>
      </c>
      <c r="B51" s="88" t="s">
        <v>1748</v>
      </c>
      <c r="C51" s="31">
        <v>0</v>
      </c>
      <c r="D51" s="31">
        <v>0</v>
      </c>
      <c r="E51" s="31">
        <v>0</v>
      </c>
      <c r="F51" s="31">
        <v>0</v>
      </c>
      <c r="G51" s="31">
        <v>0</v>
      </c>
      <c r="H51" s="31">
        <v>0</v>
      </c>
      <c r="I51" s="31">
        <v>1</v>
      </c>
      <c r="J51" s="31">
        <v>0</v>
      </c>
      <c r="K51" s="31">
        <v>0</v>
      </c>
      <c r="L51" s="31">
        <v>0</v>
      </c>
      <c r="M51" s="31">
        <v>0</v>
      </c>
      <c r="N51" s="31">
        <v>13</v>
      </c>
      <c r="O51" s="31">
        <v>0</v>
      </c>
      <c r="P51" s="31">
        <v>0</v>
      </c>
      <c r="Q51" s="31">
        <v>13</v>
      </c>
      <c r="R51" s="150">
        <v>1</v>
      </c>
      <c r="S51" s="88">
        <v>0</v>
      </c>
      <c r="U51" s="31">
        <v>7324.67</v>
      </c>
      <c r="V51" s="31">
        <v>8641.36</v>
      </c>
      <c r="W51" s="31">
        <v>95553.35</v>
      </c>
      <c r="X51" s="31">
        <v>13916.26</v>
      </c>
      <c r="Y51" s="31">
        <v>3129.2700000000004</v>
      </c>
      <c r="Z51" s="31">
        <v>16410.78</v>
      </c>
      <c r="AA51" s="31">
        <v>4811.04</v>
      </c>
      <c r="AB51" s="31">
        <v>6480.5</v>
      </c>
      <c r="AC51" s="31">
        <v>24483.77</v>
      </c>
      <c r="AD51" s="31">
        <v>19299.51601106341</v>
      </c>
      <c r="AE51" s="31">
        <v>0</v>
      </c>
      <c r="AF51" s="31">
        <v>200050.51601106342</v>
      </c>
      <c r="AH51" s="276"/>
      <c r="AI51" s="276"/>
      <c r="AJ51" s="276"/>
      <c r="AK51" s="276"/>
      <c r="AL51" s="276"/>
      <c r="AM51" s="276"/>
      <c r="AN51" s="276"/>
      <c r="AO51" s="276"/>
      <c r="AP51" s="276"/>
      <c r="AQ51" s="276"/>
      <c r="AR51" s="276"/>
      <c r="AS51" s="276"/>
      <c r="AT51" s="276"/>
      <c r="AU51" s="276"/>
      <c r="AV51" s="276"/>
      <c r="AW51" s="394"/>
    </row>
    <row r="52" spans="1:49">
      <c r="A52" s="88">
        <v>43</v>
      </c>
      <c r="B52" s="88" t="s">
        <v>1749</v>
      </c>
      <c r="C52" s="31">
        <v>12</v>
      </c>
      <c r="D52" s="31">
        <v>0</v>
      </c>
      <c r="E52" s="31">
        <v>35</v>
      </c>
      <c r="F52" s="31">
        <v>190</v>
      </c>
      <c r="G52" s="31">
        <v>35</v>
      </c>
      <c r="H52" s="31">
        <v>0</v>
      </c>
      <c r="I52" s="31">
        <v>10</v>
      </c>
      <c r="J52" s="31">
        <v>3</v>
      </c>
      <c r="K52" s="31">
        <v>0</v>
      </c>
      <c r="L52" s="31">
        <v>0</v>
      </c>
      <c r="M52" s="31">
        <v>0</v>
      </c>
      <c r="N52" s="31">
        <v>2</v>
      </c>
      <c r="O52" s="31">
        <v>49</v>
      </c>
      <c r="P52" s="31">
        <v>0</v>
      </c>
      <c r="Q52" s="31">
        <v>268</v>
      </c>
      <c r="R52" s="150">
        <v>1</v>
      </c>
      <c r="S52" s="88">
        <v>4</v>
      </c>
      <c r="U52" s="31">
        <v>131656.79</v>
      </c>
      <c r="V52" s="31">
        <v>178145.08000000002</v>
      </c>
      <c r="W52" s="31">
        <v>1046180.8799999999</v>
      </c>
      <c r="X52" s="31">
        <v>279590.96000000002</v>
      </c>
      <c r="Y52" s="31">
        <v>40224.44</v>
      </c>
      <c r="Z52" s="31">
        <v>123345.59999999999</v>
      </c>
      <c r="AA52" s="31">
        <v>62306.520000000004</v>
      </c>
      <c r="AB52" s="31">
        <v>37327.4</v>
      </c>
      <c r="AC52" s="31">
        <v>282655.51</v>
      </c>
      <c r="AD52" s="31">
        <v>280291.25058324862</v>
      </c>
      <c r="AE52" s="31">
        <v>72352.14</v>
      </c>
      <c r="AF52" s="31">
        <v>2534076.5705832485</v>
      </c>
      <c r="AH52" s="276"/>
      <c r="AI52" s="276"/>
      <c r="AJ52" s="276"/>
      <c r="AK52" s="276"/>
      <c r="AL52" s="276"/>
      <c r="AM52" s="276"/>
      <c r="AN52" s="276"/>
      <c r="AO52" s="276"/>
      <c r="AP52" s="276"/>
      <c r="AQ52" s="276"/>
      <c r="AR52" s="276"/>
      <c r="AS52" s="276"/>
      <c r="AT52" s="276"/>
      <c r="AU52" s="276"/>
      <c r="AV52" s="276"/>
      <c r="AW52" s="394"/>
    </row>
    <row r="53" spans="1:49">
      <c r="A53" s="88">
        <v>44</v>
      </c>
      <c r="B53" s="88" t="s">
        <v>1750</v>
      </c>
      <c r="C53" s="31">
        <v>261</v>
      </c>
      <c r="D53" s="31">
        <v>0</v>
      </c>
      <c r="E53" s="31">
        <v>1104</v>
      </c>
      <c r="F53" s="31">
        <v>5540</v>
      </c>
      <c r="G53" s="31">
        <v>3419</v>
      </c>
      <c r="H53" s="31">
        <v>3855</v>
      </c>
      <c r="I53" s="31">
        <v>668</v>
      </c>
      <c r="J53" s="31">
        <v>175</v>
      </c>
      <c r="K53" s="31">
        <v>2</v>
      </c>
      <c r="L53" s="31">
        <v>0</v>
      </c>
      <c r="M53" s="31">
        <v>3602</v>
      </c>
      <c r="N53" s="31">
        <v>236</v>
      </c>
      <c r="O53" s="31">
        <v>10171</v>
      </c>
      <c r="P53" s="31">
        <v>0</v>
      </c>
      <c r="Q53" s="31">
        <v>17888</v>
      </c>
      <c r="R53" s="150">
        <v>1</v>
      </c>
      <c r="S53" s="88">
        <v>10</v>
      </c>
      <c r="U53" s="31">
        <v>8724664.5999999996</v>
      </c>
      <c r="V53" s="31">
        <v>11890181.629999999</v>
      </c>
      <c r="W53" s="31">
        <v>102019683.88</v>
      </c>
      <c r="X53" s="31">
        <v>16623156.919999998</v>
      </c>
      <c r="Y53" s="31">
        <v>3393017.91</v>
      </c>
      <c r="Z53" s="31">
        <v>9334641.5199999996</v>
      </c>
      <c r="AA53" s="31">
        <v>5089614.75</v>
      </c>
      <c r="AB53" s="31">
        <v>4097486.0199999996</v>
      </c>
      <c r="AC53" s="31">
        <v>23856685.840000004</v>
      </c>
      <c r="AD53" s="31">
        <v>21408348.619614318</v>
      </c>
      <c r="AE53" s="31">
        <v>4220541.5</v>
      </c>
      <c r="AF53" s="31">
        <v>210658023.1896143</v>
      </c>
      <c r="AH53" s="276"/>
      <c r="AI53" s="276"/>
      <c r="AJ53" s="276"/>
      <c r="AK53" s="276"/>
      <c r="AL53" s="276"/>
      <c r="AM53" s="276"/>
      <c r="AN53" s="276"/>
      <c r="AO53" s="276"/>
      <c r="AP53" s="276"/>
      <c r="AQ53" s="276"/>
      <c r="AR53" s="276"/>
      <c r="AS53" s="276"/>
      <c r="AT53" s="276"/>
      <c r="AU53" s="276"/>
      <c r="AV53" s="276"/>
      <c r="AW53" s="394"/>
    </row>
    <row r="54" spans="1:49">
      <c r="A54" s="88">
        <v>45</v>
      </c>
      <c r="B54" s="88" t="s">
        <v>1751</v>
      </c>
      <c r="C54" s="31">
        <v>3</v>
      </c>
      <c r="D54" s="31">
        <v>0</v>
      </c>
      <c r="E54" s="31">
        <v>33</v>
      </c>
      <c r="F54" s="31">
        <v>161</v>
      </c>
      <c r="G54" s="31">
        <v>35</v>
      </c>
      <c r="H54" s="31">
        <v>0</v>
      </c>
      <c r="I54" s="31">
        <v>9</v>
      </c>
      <c r="J54" s="31">
        <v>2</v>
      </c>
      <c r="K54" s="31">
        <v>0</v>
      </c>
      <c r="L54" s="31">
        <v>0</v>
      </c>
      <c r="M54" s="31">
        <v>2</v>
      </c>
      <c r="N54" s="31">
        <v>1</v>
      </c>
      <c r="O54" s="31">
        <v>88</v>
      </c>
      <c r="P54" s="31">
        <v>0</v>
      </c>
      <c r="Q54" s="31">
        <v>234</v>
      </c>
      <c r="R54" s="150">
        <v>1</v>
      </c>
      <c r="S54" s="88">
        <v>9</v>
      </c>
      <c r="U54" s="31">
        <v>113879.02</v>
      </c>
      <c r="V54" s="31">
        <v>155212.15000000002</v>
      </c>
      <c r="W54" s="31">
        <v>1066181.8400000001</v>
      </c>
      <c r="X54" s="31">
        <v>244756.13</v>
      </c>
      <c r="Y54" s="31">
        <v>38606.620000000003</v>
      </c>
      <c r="Z54" s="31">
        <v>106978.89</v>
      </c>
      <c r="AA54" s="31">
        <v>54653.490000000005</v>
      </c>
      <c r="AB54" s="31">
        <v>32682.07</v>
      </c>
      <c r="AC54" s="31">
        <v>271110.36</v>
      </c>
      <c r="AD54" s="31">
        <v>260746.61737658217</v>
      </c>
      <c r="AE54" s="31">
        <v>48234.76</v>
      </c>
      <c r="AF54" s="31">
        <v>2393041.9473765823</v>
      </c>
      <c r="AH54" s="276"/>
      <c r="AI54" s="276"/>
      <c r="AJ54" s="276"/>
      <c r="AK54" s="276"/>
      <c r="AL54" s="276"/>
      <c r="AM54" s="276"/>
      <c r="AN54" s="276"/>
      <c r="AO54" s="276"/>
      <c r="AP54" s="276"/>
      <c r="AQ54" s="276"/>
      <c r="AR54" s="276"/>
      <c r="AS54" s="276"/>
      <c r="AT54" s="276"/>
      <c r="AU54" s="276"/>
      <c r="AV54" s="276"/>
      <c r="AW54" s="394"/>
    </row>
    <row r="55" spans="1:49">
      <c r="A55" s="88">
        <v>46</v>
      </c>
      <c r="B55" s="88" t="s">
        <v>1752</v>
      </c>
      <c r="C55" s="31">
        <v>51</v>
      </c>
      <c r="D55" s="31">
        <v>0</v>
      </c>
      <c r="E55" s="31">
        <v>452</v>
      </c>
      <c r="F55" s="31">
        <v>2747</v>
      </c>
      <c r="G55" s="31">
        <v>1558</v>
      </c>
      <c r="H55" s="31">
        <v>1960</v>
      </c>
      <c r="I55" s="31">
        <v>281</v>
      </c>
      <c r="J55" s="31">
        <v>75</v>
      </c>
      <c r="K55" s="31">
        <v>15</v>
      </c>
      <c r="L55" s="31">
        <v>0</v>
      </c>
      <c r="M55" s="31">
        <v>787</v>
      </c>
      <c r="N55" s="31">
        <v>3</v>
      </c>
      <c r="O55" s="31">
        <v>816</v>
      </c>
      <c r="P55" s="31">
        <v>0</v>
      </c>
      <c r="Q55" s="31">
        <v>7541</v>
      </c>
      <c r="R55" s="150">
        <v>1.0569999999999999</v>
      </c>
      <c r="S55" s="88">
        <v>2</v>
      </c>
      <c r="U55" s="31">
        <v>3889036.8111699997</v>
      </c>
      <c r="V55" s="31">
        <v>5297672.85922</v>
      </c>
      <c r="W55" s="31">
        <v>31946088.518120002</v>
      </c>
      <c r="X55" s="31">
        <v>7415624.6334099993</v>
      </c>
      <c r="Y55" s="31">
        <v>1204247.0867699997</v>
      </c>
      <c r="Z55" s="31">
        <v>3946636.06</v>
      </c>
      <c r="AA55" s="31">
        <v>2257917.3993600002</v>
      </c>
      <c r="AB55" s="31">
        <v>1930309.2232899999</v>
      </c>
      <c r="AC55" s="31">
        <v>8451386.776349999</v>
      </c>
      <c r="AD55" s="31">
        <v>7672160.5064315349</v>
      </c>
      <c r="AE55" s="31">
        <v>1808803.5</v>
      </c>
      <c r="AF55" s="31">
        <v>75819883.374121532</v>
      </c>
      <c r="AH55" s="276"/>
      <c r="AI55" s="276"/>
      <c r="AJ55" s="276"/>
      <c r="AK55" s="276"/>
      <c r="AL55" s="276"/>
      <c r="AM55" s="276"/>
      <c r="AN55" s="276"/>
      <c r="AO55" s="276"/>
      <c r="AP55" s="276"/>
      <c r="AQ55" s="276"/>
      <c r="AR55" s="276"/>
      <c r="AS55" s="276"/>
      <c r="AT55" s="276"/>
      <c r="AU55" s="276"/>
      <c r="AV55" s="276"/>
      <c r="AW55" s="394"/>
    </row>
    <row r="56" spans="1:49">
      <c r="A56" s="88">
        <v>47</v>
      </c>
      <c r="B56" s="88" t="s">
        <v>1753</v>
      </c>
      <c r="C56" s="31">
        <v>0</v>
      </c>
      <c r="D56" s="31">
        <v>0</v>
      </c>
      <c r="E56" s="31">
        <v>0</v>
      </c>
      <c r="F56" s="31">
        <v>0</v>
      </c>
      <c r="G56" s="31">
        <v>0</v>
      </c>
      <c r="H56" s="31">
        <v>0</v>
      </c>
      <c r="I56" s="31">
        <v>0</v>
      </c>
      <c r="J56" s="31">
        <v>0</v>
      </c>
      <c r="K56" s="31">
        <v>0</v>
      </c>
      <c r="L56" s="31">
        <v>0</v>
      </c>
      <c r="M56" s="31">
        <v>0</v>
      </c>
      <c r="N56" s="31">
        <v>1</v>
      </c>
      <c r="O56" s="31">
        <v>0</v>
      </c>
      <c r="P56" s="31">
        <v>0</v>
      </c>
      <c r="Q56" s="31">
        <v>1</v>
      </c>
      <c r="R56" s="150">
        <v>1</v>
      </c>
      <c r="S56" s="88">
        <v>0</v>
      </c>
      <c r="U56" s="31">
        <v>368.04</v>
      </c>
      <c r="V56" s="31">
        <v>664.72</v>
      </c>
      <c r="W56" s="31">
        <v>6705.5</v>
      </c>
      <c r="X56" s="31">
        <v>468.48</v>
      </c>
      <c r="Y56" s="31">
        <v>209.61</v>
      </c>
      <c r="Z56" s="31">
        <v>1235.22</v>
      </c>
      <c r="AA56" s="31">
        <v>370.08</v>
      </c>
      <c r="AB56" s="31">
        <v>498.5</v>
      </c>
      <c r="AC56" s="31">
        <v>1665.1</v>
      </c>
      <c r="AD56" s="31">
        <v>1231.5833435895474</v>
      </c>
      <c r="AE56" s="31">
        <v>0</v>
      </c>
      <c r="AF56" s="31">
        <v>13416.833343589547</v>
      </c>
      <c r="AH56" s="276"/>
      <c r="AI56" s="276"/>
      <c r="AJ56" s="276"/>
      <c r="AK56" s="276"/>
      <c r="AL56" s="276"/>
      <c r="AM56" s="276"/>
      <c r="AN56" s="276"/>
      <c r="AO56" s="276"/>
      <c r="AP56" s="276"/>
      <c r="AQ56" s="276"/>
      <c r="AR56" s="276"/>
      <c r="AS56" s="276"/>
      <c r="AT56" s="276"/>
      <c r="AU56" s="276"/>
      <c r="AV56" s="276"/>
      <c r="AW56" s="394"/>
    </row>
    <row r="57" spans="1:49">
      <c r="A57" s="88">
        <v>48</v>
      </c>
      <c r="B57" s="88" t="s">
        <v>1754</v>
      </c>
      <c r="C57" s="31">
        <v>47</v>
      </c>
      <c r="D57" s="31">
        <v>0</v>
      </c>
      <c r="E57" s="31">
        <v>270</v>
      </c>
      <c r="F57" s="31">
        <v>1231</v>
      </c>
      <c r="G57" s="31">
        <v>835</v>
      </c>
      <c r="H57" s="31">
        <v>981</v>
      </c>
      <c r="I57" s="31">
        <v>130</v>
      </c>
      <c r="J57" s="31">
        <v>35</v>
      </c>
      <c r="K57" s="31">
        <v>0</v>
      </c>
      <c r="L57" s="31">
        <v>0</v>
      </c>
      <c r="M57" s="31">
        <v>149</v>
      </c>
      <c r="N57" s="31">
        <v>5</v>
      </c>
      <c r="O57" s="31">
        <v>449</v>
      </c>
      <c r="P57" s="31">
        <v>0</v>
      </c>
      <c r="Q57" s="31">
        <v>3495</v>
      </c>
      <c r="R57" s="150">
        <v>1.08</v>
      </c>
      <c r="S57" s="88">
        <v>3</v>
      </c>
      <c r="U57" s="31">
        <v>1841660.28</v>
      </c>
      <c r="V57" s="31">
        <v>2508693.6708</v>
      </c>
      <c r="W57" s="31">
        <v>15046821.3816</v>
      </c>
      <c r="X57" s="31">
        <v>3494276.1288000005</v>
      </c>
      <c r="Y57" s="31">
        <v>567554.09400000004</v>
      </c>
      <c r="Z57" s="31">
        <v>1851119.5600000003</v>
      </c>
      <c r="AA57" s="31">
        <v>1073005.2180000001</v>
      </c>
      <c r="AB57" s="31">
        <v>951017.54400000011</v>
      </c>
      <c r="AC57" s="31">
        <v>3983810.9796000007</v>
      </c>
      <c r="AD57" s="31">
        <v>3537948.8678992311</v>
      </c>
      <c r="AE57" s="31">
        <v>844108.3</v>
      </c>
      <c r="AF57" s="31">
        <v>35700016.024699226</v>
      </c>
      <c r="AH57" s="276"/>
      <c r="AI57" s="276"/>
      <c r="AJ57" s="276"/>
      <c r="AK57" s="276"/>
      <c r="AL57" s="276"/>
      <c r="AM57" s="276"/>
      <c r="AN57" s="276"/>
      <c r="AO57" s="276"/>
      <c r="AP57" s="276"/>
      <c r="AQ57" s="276"/>
      <c r="AR57" s="276"/>
      <c r="AS57" s="276"/>
      <c r="AT57" s="276"/>
      <c r="AU57" s="276"/>
      <c r="AV57" s="276"/>
      <c r="AW57" s="394"/>
    </row>
    <row r="58" spans="1:49">
      <c r="A58" s="88">
        <v>49</v>
      </c>
      <c r="B58" s="88" t="s">
        <v>1755</v>
      </c>
      <c r="C58" s="31">
        <v>570</v>
      </c>
      <c r="D58" s="31">
        <v>0</v>
      </c>
      <c r="E58" s="31">
        <v>558</v>
      </c>
      <c r="F58" s="31">
        <v>2408</v>
      </c>
      <c r="G58" s="31">
        <v>1280</v>
      </c>
      <c r="H58" s="31">
        <v>1544</v>
      </c>
      <c r="I58" s="31">
        <v>262</v>
      </c>
      <c r="J58" s="31">
        <v>63</v>
      </c>
      <c r="K58" s="31">
        <v>19</v>
      </c>
      <c r="L58" s="31">
        <v>0</v>
      </c>
      <c r="M58" s="31">
        <v>539</v>
      </c>
      <c r="N58" s="31">
        <v>535</v>
      </c>
      <c r="O58" s="31">
        <v>2422</v>
      </c>
      <c r="P58" s="31">
        <v>0</v>
      </c>
      <c r="Q58" s="31">
        <v>7159</v>
      </c>
      <c r="R58" s="150">
        <v>1.0980000000000001</v>
      </c>
      <c r="S58" s="88">
        <v>8</v>
      </c>
      <c r="U58" s="31">
        <v>3799265.74866</v>
      </c>
      <c r="V58" s="31">
        <v>5224727.60298</v>
      </c>
      <c r="W58" s="31">
        <v>38983229.419140004</v>
      </c>
      <c r="X58" s="31">
        <v>7281292.5829800013</v>
      </c>
      <c r="Y58" s="31">
        <v>1354786.09776</v>
      </c>
      <c r="Z58" s="31">
        <v>4083964.5100000007</v>
      </c>
      <c r="AA58" s="31">
        <v>2229219.8033400001</v>
      </c>
      <c r="AB58" s="31">
        <v>1953077.9310000001</v>
      </c>
      <c r="AC58" s="31">
        <v>9621333.4384800009</v>
      </c>
      <c r="AD58" s="31">
        <v>8005507.699043463</v>
      </c>
      <c r="AE58" s="31">
        <v>1519394.9400000002</v>
      </c>
      <c r="AF58" s="31">
        <v>84055799.773383468</v>
      </c>
      <c r="AH58" s="276"/>
      <c r="AI58" s="276"/>
      <c r="AJ58" s="276"/>
      <c r="AK58" s="276"/>
      <c r="AL58" s="276"/>
      <c r="AM58" s="276"/>
      <c r="AN58" s="276"/>
      <c r="AO58" s="276"/>
      <c r="AP58" s="276"/>
      <c r="AQ58" s="276"/>
      <c r="AR58" s="276"/>
      <c r="AS58" s="276"/>
      <c r="AT58" s="276"/>
      <c r="AU58" s="276"/>
      <c r="AV58" s="276"/>
      <c r="AW58" s="394"/>
    </row>
    <row r="59" spans="1:49">
      <c r="A59" s="88">
        <v>50</v>
      </c>
      <c r="B59" s="88" t="s">
        <v>1756</v>
      </c>
      <c r="C59" s="31">
        <v>91</v>
      </c>
      <c r="D59" s="31">
        <v>0</v>
      </c>
      <c r="E59" s="31">
        <v>227</v>
      </c>
      <c r="F59" s="31">
        <v>1230</v>
      </c>
      <c r="G59" s="31">
        <v>786</v>
      </c>
      <c r="H59" s="31">
        <v>973</v>
      </c>
      <c r="I59" s="31">
        <v>124</v>
      </c>
      <c r="J59" s="31">
        <v>33</v>
      </c>
      <c r="K59" s="31">
        <v>0</v>
      </c>
      <c r="L59" s="31">
        <v>1</v>
      </c>
      <c r="M59" s="31">
        <v>77</v>
      </c>
      <c r="N59" s="31">
        <v>0</v>
      </c>
      <c r="O59" s="31">
        <v>502</v>
      </c>
      <c r="P59" s="31">
        <v>0</v>
      </c>
      <c r="Q59" s="31">
        <v>3340</v>
      </c>
      <c r="R59" s="150">
        <v>1.0620000000000001</v>
      </c>
      <c r="S59" s="88">
        <v>3</v>
      </c>
      <c r="U59" s="31">
        <v>1728606.8224800003</v>
      </c>
      <c r="V59" s="31">
        <v>2357110.0619999999</v>
      </c>
      <c r="W59" s="31">
        <v>14285840.104079999</v>
      </c>
      <c r="X59" s="31">
        <v>3284607.9425400007</v>
      </c>
      <c r="Y59" s="31">
        <v>535086.3211200001</v>
      </c>
      <c r="Z59" s="31">
        <v>1774315.4900000002</v>
      </c>
      <c r="AA59" s="31">
        <v>1007048.97648</v>
      </c>
      <c r="AB59" s="31">
        <v>904876.2291600001</v>
      </c>
      <c r="AC59" s="31">
        <v>3754918.0515600005</v>
      </c>
      <c r="AD59" s="31">
        <v>3387864.3136506462</v>
      </c>
      <c r="AE59" s="31">
        <v>795873.54</v>
      </c>
      <c r="AF59" s="31">
        <v>33816147.853070647</v>
      </c>
      <c r="AH59" s="276"/>
      <c r="AI59" s="276"/>
      <c r="AJ59" s="276"/>
      <c r="AK59" s="276"/>
      <c r="AL59" s="276"/>
      <c r="AM59" s="276"/>
      <c r="AN59" s="276"/>
      <c r="AO59" s="276"/>
      <c r="AP59" s="276"/>
      <c r="AQ59" s="276"/>
      <c r="AR59" s="276"/>
      <c r="AS59" s="276"/>
      <c r="AT59" s="276"/>
      <c r="AU59" s="276"/>
      <c r="AV59" s="276"/>
      <c r="AW59" s="394"/>
    </row>
    <row r="60" spans="1:49">
      <c r="A60" s="88">
        <v>51</v>
      </c>
      <c r="B60" s="88" t="s">
        <v>1757</v>
      </c>
      <c r="C60" s="31">
        <v>2</v>
      </c>
      <c r="D60" s="31">
        <v>45</v>
      </c>
      <c r="E60" s="31">
        <v>0</v>
      </c>
      <c r="F60" s="31">
        <v>300</v>
      </c>
      <c r="G60" s="31">
        <v>217</v>
      </c>
      <c r="H60" s="31">
        <v>0</v>
      </c>
      <c r="I60" s="31">
        <v>21</v>
      </c>
      <c r="J60" s="31">
        <v>6</v>
      </c>
      <c r="K60" s="31">
        <v>0</v>
      </c>
      <c r="L60" s="31">
        <v>0</v>
      </c>
      <c r="M60" s="31">
        <v>19</v>
      </c>
      <c r="N60" s="31">
        <v>3</v>
      </c>
      <c r="O60" s="31">
        <v>15</v>
      </c>
      <c r="P60" s="31">
        <v>0</v>
      </c>
      <c r="Q60" s="31">
        <v>563</v>
      </c>
      <c r="R60" s="150">
        <v>1.0509999999999999</v>
      </c>
      <c r="S60" s="88">
        <v>1</v>
      </c>
      <c r="U60" s="31">
        <v>289662.97801999998</v>
      </c>
      <c r="V60" s="31">
        <v>392974.64896999992</v>
      </c>
      <c r="W60" s="31">
        <v>1992902.2061999999</v>
      </c>
      <c r="X60" s="31">
        <v>581062.23956999986</v>
      </c>
      <c r="Y60" s="31">
        <v>84712.144969999994</v>
      </c>
      <c r="Z60" s="31">
        <v>257940.64</v>
      </c>
      <c r="AA60" s="31">
        <v>149802.05687999999</v>
      </c>
      <c r="AB60" s="31">
        <v>97426.554409999997</v>
      </c>
      <c r="AC60" s="31">
        <v>595068.88504000008</v>
      </c>
      <c r="AD60" s="31">
        <v>561931.01891623379</v>
      </c>
      <c r="AE60" s="31">
        <v>144704.28</v>
      </c>
      <c r="AF60" s="31">
        <v>5148187.6529762335</v>
      </c>
      <c r="AH60" s="276"/>
      <c r="AI60" s="276"/>
      <c r="AJ60" s="276"/>
      <c r="AK60" s="276"/>
      <c r="AL60" s="276"/>
      <c r="AM60" s="276"/>
      <c r="AN60" s="276"/>
      <c r="AO60" s="276"/>
      <c r="AP60" s="276"/>
      <c r="AQ60" s="276"/>
      <c r="AR60" s="276"/>
      <c r="AS60" s="276"/>
      <c r="AT60" s="276"/>
      <c r="AU60" s="276"/>
      <c r="AV60" s="276"/>
      <c r="AW60" s="394"/>
    </row>
    <row r="61" spans="1:49">
      <c r="A61" s="88">
        <v>52</v>
      </c>
      <c r="B61" s="88" t="s">
        <v>1758</v>
      </c>
      <c r="C61" s="31">
        <v>45</v>
      </c>
      <c r="D61" s="31">
        <v>0</v>
      </c>
      <c r="E61" s="31">
        <v>124</v>
      </c>
      <c r="F61" s="31">
        <v>605</v>
      </c>
      <c r="G61" s="31">
        <v>424</v>
      </c>
      <c r="H61" s="31">
        <v>463</v>
      </c>
      <c r="I61" s="31">
        <v>61</v>
      </c>
      <c r="J61" s="31">
        <v>16</v>
      </c>
      <c r="K61" s="31">
        <v>0</v>
      </c>
      <c r="L61" s="31">
        <v>0</v>
      </c>
      <c r="M61" s="31">
        <v>9</v>
      </c>
      <c r="N61" s="31">
        <v>3</v>
      </c>
      <c r="O61" s="31">
        <v>394</v>
      </c>
      <c r="P61" s="31">
        <v>0</v>
      </c>
      <c r="Q61" s="31">
        <v>1651</v>
      </c>
      <c r="R61" s="150">
        <v>1.0269999999999999</v>
      </c>
      <c r="S61" s="88">
        <v>5</v>
      </c>
      <c r="U61" s="31">
        <v>824724.1545399999</v>
      </c>
      <c r="V61" s="31">
        <v>1126743.0718699996</v>
      </c>
      <c r="W61" s="31">
        <v>7243834.9909899989</v>
      </c>
      <c r="X61" s="31">
        <v>1569276.8070199999</v>
      </c>
      <c r="Y61" s="31">
        <v>265523.47613999998</v>
      </c>
      <c r="Z61" s="31">
        <v>874584.73</v>
      </c>
      <c r="AA61" s="31">
        <v>479574.47225999989</v>
      </c>
      <c r="AB61" s="31">
        <v>429440.54295999999</v>
      </c>
      <c r="AC61" s="31">
        <v>1863886.44312</v>
      </c>
      <c r="AD61" s="31">
        <v>1718629.8366969766</v>
      </c>
      <c r="AE61" s="31">
        <v>385878.08</v>
      </c>
      <c r="AF61" s="31">
        <v>16782096.605596974</v>
      </c>
      <c r="AH61" s="276"/>
      <c r="AI61" s="276"/>
      <c r="AJ61" s="276"/>
      <c r="AK61" s="276"/>
      <c r="AL61" s="276"/>
      <c r="AM61" s="276"/>
      <c r="AN61" s="276"/>
      <c r="AO61" s="276"/>
      <c r="AP61" s="276"/>
      <c r="AQ61" s="276"/>
      <c r="AR61" s="276"/>
      <c r="AS61" s="276"/>
      <c r="AT61" s="276"/>
      <c r="AU61" s="276"/>
      <c r="AV61" s="276"/>
      <c r="AW61" s="394"/>
    </row>
    <row r="62" spans="1:49">
      <c r="A62" s="88">
        <v>53</v>
      </c>
      <c r="B62" s="88" t="s">
        <v>1759</v>
      </c>
      <c r="C62" s="31">
        <v>0</v>
      </c>
      <c r="D62" s="31">
        <v>0</v>
      </c>
      <c r="E62" s="31">
        <v>0</v>
      </c>
      <c r="F62" s="31">
        <v>0</v>
      </c>
      <c r="G62" s="31">
        <v>0</v>
      </c>
      <c r="H62" s="31">
        <v>0</v>
      </c>
      <c r="I62" s="31">
        <v>1</v>
      </c>
      <c r="J62" s="31">
        <v>0</v>
      </c>
      <c r="K62" s="31">
        <v>0</v>
      </c>
      <c r="L62" s="31">
        <v>0</v>
      </c>
      <c r="M62" s="31">
        <v>0</v>
      </c>
      <c r="N62" s="31">
        <v>12</v>
      </c>
      <c r="O62" s="31">
        <v>0</v>
      </c>
      <c r="P62" s="31">
        <v>0</v>
      </c>
      <c r="Q62" s="31">
        <v>12</v>
      </c>
      <c r="R62" s="150">
        <v>1</v>
      </c>
      <c r="S62" s="88">
        <v>0</v>
      </c>
      <c r="U62" s="31">
        <v>6956.630000000001</v>
      </c>
      <c r="V62" s="31">
        <v>7976.64</v>
      </c>
      <c r="W62" s="31">
        <v>88847.85</v>
      </c>
      <c r="X62" s="31">
        <v>13447.78</v>
      </c>
      <c r="Y62" s="31">
        <v>2919.6600000000003</v>
      </c>
      <c r="Z62" s="31">
        <v>15175.56</v>
      </c>
      <c r="AA62" s="31">
        <v>4440.96</v>
      </c>
      <c r="AB62" s="31">
        <v>5982</v>
      </c>
      <c r="AC62" s="31">
        <v>22818.67</v>
      </c>
      <c r="AD62" s="31">
        <v>18067.932667473862</v>
      </c>
      <c r="AE62" s="31">
        <v>0</v>
      </c>
      <c r="AF62" s="31">
        <v>186633.68266747385</v>
      </c>
      <c r="AH62" s="276"/>
      <c r="AI62" s="276"/>
      <c r="AJ62" s="276"/>
      <c r="AK62" s="276"/>
      <c r="AL62" s="276"/>
      <c r="AM62" s="276"/>
      <c r="AN62" s="276"/>
      <c r="AO62" s="276"/>
      <c r="AP62" s="276"/>
      <c r="AQ62" s="276"/>
      <c r="AR62" s="276"/>
      <c r="AS62" s="276"/>
      <c r="AT62" s="276"/>
      <c r="AU62" s="276"/>
      <c r="AV62" s="276"/>
      <c r="AW62" s="394"/>
    </row>
    <row r="63" spans="1:49">
      <c r="A63" s="88">
        <v>54</v>
      </c>
      <c r="B63" s="88" t="s">
        <v>1760</v>
      </c>
      <c r="C63" s="31">
        <v>0</v>
      </c>
      <c r="D63" s="31">
        <v>0</v>
      </c>
      <c r="E63" s="31">
        <v>0</v>
      </c>
      <c r="F63" s="31">
        <v>0</v>
      </c>
      <c r="G63" s="31">
        <v>0</v>
      </c>
      <c r="H63" s="31">
        <v>0</v>
      </c>
      <c r="I63" s="31">
        <v>0</v>
      </c>
      <c r="J63" s="31">
        <v>0</v>
      </c>
      <c r="K63" s="31">
        <v>0</v>
      </c>
      <c r="L63" s="31">
        <v>0</v>
      </c>
      <c r="M63" s="31">
        <v>0</v>
      </c>
      <c r="N63" s="31">
        <v>3</v>
      </c>
      <c r="O63" s="31">
        <v>0</v>
      </c>
      <c r="P63" s="31">
        <v>0</v>
      </c>
      <c r="Q63" s="31">
        <v>3</v>
      </c>
      <c r="R63" s="150">
        <v>1</v>
      </c>
      <c r="S63" s="88">
        <v>0</v>
      </c>
      <c r="U63" s="31">
        <v>1104.1200000000001</v>
      </c>
      <c r="V63" s="31">
        <v>1994.16</v>
      </c>
      <c r="W63" s="31">
        <v>20116.5</v>
      </c>
      <c r="X63" s="31">
        <v>1405.44</v>
      </c>
      <c r="Y63" s="31">
        <v>628.83000000000004</v>
      </c>
      <c r="Z63" s="31">
        <v>3705.66</v>
      </c>
      <c r="AA63" s="31">
        <v>1110.24</v>
      </c>
      <c r="AB63" s="31">
        <v>1495.5</v>
      </c>
      <c r="AC63" s="31">
        <v>4995.2999999999993</v>
      </c>
      <c r="AD63" s="31">
        <v>3694.7500307686423</v>
      </c>
      <c r="AE63" s="31">
        <v>0</v>
      </c>
      <c r="AF63" s="31">
        <v>40250.500030768642</v>
      </c>
      <c r="AH63" s="276"/>
      <c r="AI63" s="276"/>
      <c r="AJ63" s="276"/>
      <c r="AK63" s="276"/>
      <c r="AL63" s="276"/>
      <c r="AM63" s="276"/>
      <c r="AN63" s="276"/>
      <c r="AO63" s="276"/>
      <c r="AP63" s="276"/>
      <c r="AQ63" s="276"/>
      <c r="AR63" s="276"/>
      <c r="AS63" s="276"/>
      <c r="AT63" s="276"/>
      <c r="AU63" s="276"/>
      <c r="AV63" s="276"/>
      <c r="AW63" s="394"/>
    </row>
    <row r="64" spans="1:49">
      <c r="A64" s="88">
        <v>55</v>
      </c>
      <c r="B64" s="88" t="s">
        <v>1761</v>
      </c>
      <c r="C64" s="31">
        <v>0</v>
      </c>
      <c r="D64" s="31">
        <v>0</v>
      </c>
      <c r="E64" s="31">
        <v>0</v>
      </c>
      <c r="F64" s="31">
        <v>0</v>
      </c>
      <c r="G64" s="31">
        <v>0</v>
      </c>
      <c r="H64" s="31">
        <v>0</v>
      </c>
      <c r="I64" s="31">
        <v>0</v>
      </c>
      <c r="J64" s="31">
        <v>0</v>
      </c>
      <c r="K64" s="31">
        <v>0</v>
      </c>
      <c r="L64" s="31">
        <v>0</v>
      </c>
      <c r="M64" s="31">
        <v>0</v>
      </c>
      <c r="N64" s="31">
        <v>0</v>
      </c>
      <c r="O64" s="31">
        <v>0</v>
      </c>
      <c r="P64" s="31">
        <v>0</v>
      </c>
      <c r="Q64" s="31">
        <v>0</v>
      </c>
      <c r="R64" s="150">
        <v>1</v>
      </c>
      <c r="S64" s="88">
        <v>0</v>
      </c>
      <c r="U64" s="31">
        <v>0</v>
      </c>
      <c r="V64" s="31">
        <v>0</v>
      </c>
      <c r="W64" s="31">
        <v>0</v>
      </c>
      <c r="X64" s="31">
        <v>0</v>
      </c>
      <c r="Y64" s="31">
        <v>0</v>
      </c>
      <c r="Z64" s="31">
        <v>0</v>
      </c>
      <c r="AA64" s="31">
        <v>0</v>
      </c>
      <c r="AB64" s="31">
        <v>0</v>
      </c>
      <c r="AC64" s="31">
        <v>0</v>
      </c>
      <c r="AD64" s="31">
        <v>0</v>
      </c>
      <c r="AE64" s="31">
        <v>0</v>
      </c>
      <c r="AF64" s="31">
        <v>0</v>
      </c>
      <c r="AH64" s="276"/>
      <c r="AI64" s="276"/>
      <c r="AJ64" s="276"/>
      <c r="AK64" s="276"/>
      <c r="AL64" s="276"/>
      <c r="AM64" s="276"/>
      <c r="AN64" s="276"/>
      <c r="AO64" s="276"/>
      <c r="AP64" s="276"/>
      <c r="AQ64" s="276"/>
      <c r="AR64" s="276"/>
      <c r="AS64" s="276"/>
      <c r="AT64" s="276"/>
      <c r="AU64" s="276"/>
      <c r="AV64" s="276"/>
      <c r="AW64" s="394"/>
    </row>
    <row r="65" spans="1:49">
      <c r="A65" s="88">
        <v>56</v>
      </c>
      <c r="B65" s="88" t="s">
        <v>1762</v>
      </c>
      <c r="C65" s="31">
        <v>137</v>
      </c>
      <c r="D65" s="31">
        <v>280</v>
      </c>
      <c r="E65" s="31">
        <v>33</v>
      </c>
      <c r="F65" s="31">
        <v>1773</v>
      </c>
      <c r="G65" s="31">
        <v>1217</v>
      </c>
      <c r="H65" s="31">
        <v>1561</v>
      </c>
      <c r="I65" s="31">
        <v>182</v>
      </c>
      <c r="J65" s="31">
        <v>49</v>
      </c>
      <c r="K65" s="31">
        <v>0</v>
      </c>
      <c r="L65" s="31">
        <v>19</v>
      </c>
      <c r="M65" s="31">
        <v>129</v>
      </c>
      <c r="N65" s="31">
        <v>0</v>
      </c>
      <c r="O65" s="31">
        <v>622</v>
      </c>
      <c r="P65" s="31">
        <v>0</v>
      </c>
      <c r="Q65" s="31">
        <v>4932</v>
      </c>
      <c r="R65" s="150">
        <v>1.004</v>
      </c>
      <c r="S65" s="88">
        <v>3</v>
      </c>
      <c r="U65" s="31">
        <v>2411190.77776</v>
      </c>
      <c r="V65" s="31">
        <v>3290849.6347199995</v>
      </c>
      <c r="W65" s="31">
        <v>19698334.028439999</v>
      </c>
      <c r="X65" s="31">
        <v>4521776.7066400014</v>
      </c>
      <c r="Y65" s="31">
        <v>740918.64711999998</v>
      </c>
      <c r="Z65" s="31">
        <v>2652740.9700000002</v>
      </c>
      <c r="AA65" s="31">
        <v>1430367.2342399999</v>
      </c>
      <c r="AB65" s="31">
        <v>1320800.26244</v>
      </c>
      <c r="AC65" s="31">
        <v>5199387.9028399996</v>
      </c>
      <c r="AD65" s="31">
        <v>4957476.3847496668</v>
      </c>
      <c r="AE65" s="31">
        <v>1181751.6200000001</v>
      </c>
      <c r="AF65" s="31">
        <v>47405594.168949671</v>
      </c>
      <c r="AH65" s="276"/>
      <c r="AI65" s="276"/>
      <c r="AJ65" s="276"/>
      <c r="AK65" s="276"/>
      <c r="AL65" s="276"/>
      <c r="AM65" s="276"/>
      <c r="AN65" s="276"/>
      <c r="AO65" s="276"/>
      <c r="AP65" s="276"/>
      <c r="AQ65" s="276"/>
      <c r="AR65" s="276"/>
      <c r="AS65" s="276"/>
      <c r="AT65" s="276"/>
      <c r="AU65" s="276"/>
      <c r="AV65" s="276"/>
      <c r="AW65" s="394"/>
    </row>
    <row r="66" spans="1:49">
      <c r="A66" s="88">
        <v>57</v>
      </c>
      <c r="B66" s="88" t="s">
        <v>1763</v>
      </c>
      <c r="C66" s="31">
        <v>158</v>
      </c>
      <c r="D66" s="31">
        <v>0</v>
      </c>
      <c r="E66" s="31">
        <v>314</v>
      </c>
      <c r="F66" s="31">
        <v>2128</v>
      </c>
      <c r="G66" s="31">
        <v>1252</v>
      </c>
      <c r="H66" s="31">
        <v>1319</v>
      </c>
      <c r="I66" s="31">
        <v>263</v>
      </c>
      <c r="J66" s="31">
        <v>70</v>
      </c>
      <c r="K66" s="31">
        <v>116</v>
      </c>
      <c r="L66" s="31">
        <v>0</v>
      </c>
      <c r="M66" s="31">
        <v>1990</v>
      </c>
      <c r="N66" s="31">
        <v>3</v>
      </c>
      <c r="O66" s="31">
        <v>4201</v>
      </c>
      <c r="P66" s="31">
        <v>0</v>
      </c>
      <c r="Q66" s="31">
        <v>7143</v>
      </c>
      <c r="R66" s="150">
        <v>1.036</v>
      </c>
      <c r="S66" s="88">
        <v>10</v>
      </c>
      <c r="U66" s="31">
        <v>3599875.7785200006</v>
      </c>
      <c r="V66" s="31">
        <v>4919029.2172000008</v>
      </c>
      <c r="W66" s="31">
        <v>43111993.168719999</v>
      </c>
      <c r="X66" s="31">
        <v>6874644.54208</v>
      </c>
      <c r="Y66" s="31">
        <v>1428442.8191600002</v>
      </c>
      <c r="Z66" s="31">
        <v>3595475.2899999996</v>
      </c>
      <c r="AA66" s="31">
        <v>2095448.0366400001</v>
      </c>
      <c r="AB66" s="31">
        <v>1571656.0714399999</v>
      </c>
      <c r="AC66" s="31">
        <v>10024930.146</v>
      </c>
      <c r="AD66" s="31">
        <v>8664769.384815814</v>
      </c>
      <c r="AE66" s="31">
        <v>1688216.6</v>
      </c>
      <c r="AF66" s="31">
        <v>87574481.054575801</v>
      </c>
      <c r="AH66" s="276"/>
      <c r="AI66" s="276"/>
      <c r="AJ66" s="276"/>
      <c r="AK66" s="276"/>
      <c r="AL66" s="276"/>
      <c r="AM66" s="276"/>
      <c r="AN66" s="276"/>
      <c r="AO66" s="276"/>
      <c r="AP66" s="276"/>
      <c r="AQ66" s="276"/>
      <c r="AR66" s="276"/>
      <c r="AS66" s="276"/>
      <c r="AT66" s="276"/>
      <c r="AU66" s="276"/>
      <c r="AV66" s="276"/>
      <c r="AW66" s="394"/>
    </row>
    <row r="67" spans="1:49">
      <c r="A67" s="88">
        <v>58</v>
      </c>
      <c r="B67" s="88" t="s">
        <v>1764</v>
      </c>
      <c r="C67" s="31">
        <v>0</v>
      </c>
      <c r="D67" s="31">
        <v>0</v>
      </c>
      <c r="E67" s="31">
        <v>0</v>
      </c>
      <c r="F67" s="31">
        <v>0</v>
      </c>
      <c r="G67" s="31">
        <v>0</v>
      </c>
      <c r="H67" s="31">
        <v>0</v>
      </c>
      <c r="I67" s="31">
        <v>0</v>
      </c>
      <c r="J67" s="31">
        <v>0</v>
      </c>
      <c r="K67" s="31">
        <v>0</v>
      </c>
      <c r="L67" s="31">
        <v>0</v>
      </c>
      <c r="M67" s="31">
        <v>0</v>
      </c>
      <c r="N67" s="31">
        <v>0</v>
      </c>
      <c r="O67" s="31">
        <v>0</v>
      </c>
      <c r="P67" s="31">
        <v>0</v>
      </c>
      <c r="Q67" s="31">
        <v>0</v>
      </c>
      <c r="R67" s="150">
        <v>1</v>
      </c>
      <c r="S67" s="88">
        <v>0</v>
      </c>
      <c r="U67" s="31">
        <v>0</v>
      </c>
      <c r="V67" s="31">
        <v>0</v>
      </c>
      <c r="W67" s="31">
        <v>0</v>
      </c>
      <c r="X67" s="31">
        <v>0</v>
      </c>
      <c r="Y67" s="31">
        <v>0</v>
      </c>
      <c r="Z67" s="31">
        <v>0</v>
      </c>
      <c r="AA67" s="31">
        <v>0</v>
      </c>
      <c r="AB67" s="31">
        <v>0</v>
      </c>
      <c r="AC67" s="31">
        <v>0</v>
      </c>
      <c r="AD67" s="31">
        <v>0</v>
      </c>
      <c r="AE67" s="31">
        <v>0</v>
      </c>
      <c r="AF67" s="31">
        <v>0</v>
      </c>
      <c r="AH67" s="276"/>
      <c r="AI67" s="276"/>
      <c r="AJ67" s="276"/>
      <c r="AK67" s="276"/>
      <c r="AL67" s="276"/>
      <c r="AM67" s="276"/>
      <c r="AN67" s="276"/>
      <c r="AO67" s="276"/>
      <c r="AP67" s="276"/>
      <c r="AQ67" s="276"/>
      <c r="AR67" s="276"/>
      <c r="AS67" s="276"/>
      <c r="AT67" s="276"/>
      <c r="AU67" s="276"/>
      <c r="AV67" s="276"/>
      <c r="AW67" s="394"/>
    </row>
    <row r="68" spans="1:49">
      <c r="A68" s="88">
        <v>59</v>
      </c>
      <c r="B68" s="88" t="s">
        <v>1765</v>
      </c>
      <c r="C68" s="31">
        <v>0</v>
      </c>
      <c r="D68" s="31">
        <v>0</v>
      </c>
      <c r="E68" s="31">
        <v>0</v>
      </c>
      <c r="F68" s="31">
        <v>0</v>
      </c>
      <c r="G68" s="31">
        <v>0</v>
      </c>
      <c r="H68" s="31">
        <v>0</v>
      </c>
      <c r="I68" s="31">
        <v>0</v>
      </c>
      <c r="J68" s="31">
        <v>0</v>
      </c>
      <c r="K68" s="31">
        <v>0</v>
      </c>
      <c r="L68" s="31">
        <v>0</v>
      </c>
      <c r="M68" s="31">
        <v>0</v>
      </c>
      <c r="N68" s="31">
        <v>7</v>
      </c>
      <c r="O68" s="31">
        <v>0</v>
      </c>
      <c r="P68" s="31">
        <v>0</v>
      </c>
      <c r="Q68" s="31">
        <v>7</v>
      </c>
      <c r="R68" s="150">
        <v>1</v>
      </c>
      <c r="S68" s="88">
        <v>0</v>
      </c>
      <c r="U68" s="31">
        <v>2576.2800000000002</v>
      </c>
      <c r="V68" s="31">
        <v>4653.04</v>
      </c>
      <c r="W68" s="31">
        <v>46938.5</v>
      </c>
      <c r="X68" s="31">
        <v>3279.36</v>
      </c>
      <c r="Y68" s="31">
        <v>1467.27</v>
      </c>
      <c r="Z68" s="31">
        <v>8646.5400000000009</v>
      </c>
      <c r="AA68" s="31">
        <v>2590.56</v>
      </c>
      <c r="AB68" s="31">
        <v>3489.5</v>
      </c>
      <c r="AC68" s="31">
        <v>11655.699999999999</v>
      </c>
      <c r="AD68" s="31">
        <v>8621.0834051268321</v>
      </c>
      <c r="AE68" s="31">
        <v>0</v>
      </c>
      <c r="AF68" s="31">
        <v>93917.833405126818</v>
      </c>
      <c r="AH68" s="276"/>
      <c r="AI68" s="276"/>
      <c r="AJ68" s="276"/>
      <c r="AK68" s="276"/>
      <c r="AL68" s="276"/>
      <c r="AM68" s="276"/>
      <c r="AN68" s="276"/>
      <c r="AO68" s="276"/>
      <c r="AP68" s="276"/>
      <c r="AQ68" s="276"/>
      <c r="AR68" s="276"/>
      <c r="AS68" s="276"/>
      <c r="AT68" s="276"/>
      <c r="AU68" s="276"/>
      <c r="AV68" s="276"/>
      <c r="AW68" s="394"/>
    </row>
    <row r="69" spans="1:49">
      <c r="A69" s="88">
        <v>60</v>
      </c>
      <c r="B69" s="88" t="s">
        <v>1766</v>
      </c>
      <c r="C69" s="31">
        <v>0</v>
      </c>
      <c r="D69" s="31">
        <v>0</v>
      </c>
      <c r="E69" s="31">
        <v>0</v>
      </c>
      <c r="F69" s="31">
        <v>0</v>
      </c>
      <c r="G69" s="31">
        <v>0</v>
      </c>
      <c r="H69" s="31">
        <v>0</v>
      </c>
      <c r="I69" s="31">
        <v>1</v>
      </c>
      <c r="J69" s="31">
        <v>0</v>
      </c>
      <c r="K69" s="31">
        <v>0</v>
      </c>
      <c r="L69" s="31">
        <v>0</v>
      </c>
      <c r="M69" s="31">
        <v>0</v>
      </c>
      <c r="N69" s="31">
        <v>18</v>
      </c>
      <c r="O69" s="31">
        <v>0</v>
      </c>
      <c r="P69" s="31">
        <v>0</v>
      </c>
      <c r="Q69" s="31">
        <v>18</v>
      </c>
      <c r="R69" s="150">
        <v>1</v>
      </c>
      <c r="S69" s="88">
        <v>0</v>
      </c>
      <c r="U69" s="31">
        <v>9164.8700000000008</v>
      </c>
      <c r="V69" s="31">
        <v>11964.960000000001</v>
      </c>
      <c r="W69" s="31">
        <v>129080.85</v>
      </c>
      <c r="X69" s="31">
        <v>16258.66</v>
      </c>
      <c r="Y69" s="31">
        <v>4177.3200000000006</v>
      </c>
      <c r="Z69" s="31">
        <v>22586.879999999997</v>
      </c>
      <c r="AA69" s="31">
        <v>6661.44</v>
      </c>
      <c r="AB69" s="31">
        <v>8973</v>
      </c>
      <c r="AC69" s="31">
        <v>32809.269999999997</v>
      </c>
      <c r="AD69" s="31">
        <v>25457.432729011147</v>
      </c>
      <c r="AE69" s="31">
        <v>0</v>
      </c>
      <c r="AF69" s="31">
        <v>267134.68272901117</v>
      </c>
      <c r="AH69" s="276"/>
      <c r="AI69" s="276"/>
      <c r="AJ69" s="276"/>
      <c r="AK69" s="276"/>
      <c r="AL69" s="276"/>
      <c r="AM69" s="276"/>
      <c r="AN69" s="276"/>
      <c r="AO69" s="276"/>
      <c r="AP69" s="276"/>
      <c r="AQ69" s="276"/>
      <c r="AR69" s="276"/>
      <c r="AS69" s="276"/>
      <c r="AT69" s="276"/>
      <c r="AU69" s="276"/>
      <c r="AV69" s="276"/>
      <c r="AW69" s="394"/>
    </row>
    <row r="70" spans="1:49">
      <c r="A70" s="88">
        <v>61</v>
      </c>
      <c r="B70" s="88" t="s">
        <v>1767</v>
      </c>
      <c r="C70" s="31">
        <v>284</v>
      </c>
      <c r="D70" s="31">
        <v>0</v>
      </c>
      <c r="E70" s="31">
        <v>512</v>
      </c>
      <c r="F70" s="31">
        <v>2663</v>
      </c>
      <c r="G70" s="31">
        <v>1612</v>
      </c>
      <c r="H70" s="31">
        <v>1842</v>
      </c>
      <c r="I70" s="31">
        <v>291</v>
      </c>
      <c r="J70" s="31">
        <v>71</v>
      </c>
      <c r="K70" s="31">
        <v>0</v>
      </c>
      <c r="L70" s="31">
        <v>0</v>
      </c>
      <c r="M70" s="31">
        <v>439</v>
      </c>
      <c r="N70" s="31">
        <v>548</v>
      </c>
      <c r="O70" s="31">
        <v>4388</v>
      </c>
      <c r="P70" s="31">
        <v>0</v>
      </c>
      <c r="Q70" s="31">
        <v>7758</v>
      </c>
      <c r="R70" s="150">
        <v>1</v>
      </c>
      <c r="S70" s="88">
        <v>10</v>
      </c>
      <c r="U70" s="31">
        <v>3774791.46</v>
      </c>
      <c r="V70" s="31">
        <v>5156900.5999999996</v>
      </c>
      <c r="W70" s="31">
        <v>44183688.909999996</v>
      </c>
      <c r="X70" s="31">
        <v>7174354.1500000004</v>
      </c>
      <c r="Y70" s="31">
        <v>1464525.18</v>
      </c>
      <c r="Z70" s="31">
        <v>4447870.5999999996</v>
      </c>
      <c r="AA70" s="31">
        <v>2225681.1</v>
      </c>
      <c r="AB70" s="31">
        <v>2008150.14</v>
      </c>
      <c r="AC70" s="31">
        <v>10383741.699999999</v>
      </c>
      <c r="AD70" s="31">
        <v>9250920.2022832111</v>
      </c>
      <c r="AE70" s="31">
        <v>1712333.98</v>
      </c>
      <c r="AF70" s="31">
        <v>91782958.022283211</v>
      </c>
      <c r="AH70" s="276"/>
      <c r="AI70" s="276"/>
      <c r="AJ70" s="276"/>
      <c r="AK70" s="276"/>
      <c r="AL70" s="276"/>
      <c r="AM70" s="276"/>
      <c r="AN70" s="276"/>
      <c r="AO70" s="276"/>
      <c r="AP70" s="276"/>
      <c r="AQ70" s="276"/>
      <c r="AR70" s="276"/>
      <c r="AS70" s="276"/>
      <c r="AT70" s="276"/>
      <c r="AU70" s="276"/>
      <c r="AV70" s="276"/>
      <c r="AW70" s="394"/>
    </row>
    <row r="71" spans="1:49">
      <c r="A71" s="88">
        <v>62</v>
      </c>
      <c r="B71" s="88" t="s">
        <v>1768</v>
      </c>
      <c r="C71" s="31">
        <v>0</v>
      </c>
      <c r="D71" s="31">
        <v>0</v>
      </c>
      <c r="E71" s="31">
        <v>0</v>
      </c>
      <c r="F71" s="31">
        <v>0</v>
      </c>
      <c r="G71" s="31">
        <v>0</v>
      </c>
      <c r="H71" s="31">
        <v>0</v>
      </c>
      <c r="I71" s="31">
        <v>0</v>
      </c>
      <c r="J71" s="31">
        <v>0</v>
      </c>
      <c r="K71" s="31">
        <v>0</v>
      </c>
      <c r="L71" s="31">
        <v>0</v>
      </c>
      <c r="M71" s="31">
        <v>0</v>
      </c>
      <c r="N71" s="31">
        <v>0</v>
      </c>
      <c r="O71" s="31">
        <v>0</v>
      </c>
      <c r="P71" s="31">
        <v>0</v>
      </c>
      <c r="Q71" s="31">
        <v>0</v>
      </c>
      <c r="R71" s="150">
        <v>1</v>
      </c>
      <c r="S71" s="88">
        <v>0</v>
      </c>
      <c r="U71" s="31">
        <v>0</v>
      </c>
      <c r="V71" s="31">
        <v>0</v>
      </c>
      <c r="W71" s="31">
        <v>0</v>
      </c>
      <c r="X71" s="31">
        <v>0</v>
      </c>
      <c r="Y71" s="31">
        <v>0</v>
      </c>
      <c r="Z71" s="31">
        <v>0</v>
      </c>
      <c r="AA71" s="31">
        <v>0</v>
      </c>
      <c r="AB71" s="31">
        <v>0</v>
      </c>
      <c r="AC71" s="31">
        <v>0</v>
      </c>
      <c r="AD71" s="31">
        <v>0</v>
      </c>
      <c r="AE71" s="31">
        <v>0</v>
      </c>
      <c r="AF71" s="31">
        <v>0</v>
      </c>
      <c r="AH71" s="276"/>
      <c r="AI71" s="276"/>
      <c r="AJ71" s="276"/>
      <c r="AK71" s="276"/>
      <c r="AL71" s="276"/>
      <c r="AM71" s="276"/>
      <c r="AN71" s="276"/>
      <c r="AO71" s="276"/>
      <c r="AP71" s="276"/>
      <c r="AQ71" s="276"/>
      <c r="AR71" s="276"/>
      <c r="AS71" s="276"/>
      <c r="AT71" s="276"/>
      <c r="AU71" s="276"/>
      <c r="AV71" s="276"/>
      <c r="AW71" s="394"/>
    </row>
    <row r="72" spans="1:49">
      <c r="A72" s="88">
        <v>63</v>
      </c>
      <c r="B72" s="88" t="s">
        <v>1769</v>
      </c>
      <c r="C72" s="31">
        <v>0</v>
      </c>
      <c r="D72" s="31">
        <v>0</v>
      </c>
      <c r="E72" s="31">
        <v>12</v>
      </c>
      <c r="F72" s="31">
        <v>83</v>
      </c>
      <c r="G72" s="31">
        <v>51</v>
      </c>
      <c r="H72" s="31">
        <v>34</v>
      </c>
      <c r="I72" s="31">
        <v>7</v>
      </c>
      <c r="J72" s="31">
        <v>2</v>
      </c>
      <c r="K72" s="31">
        <v>0</v>
      </c>
      <c r="L72" s="31">
        <v>0</v>
      </c>
      <c r="M72" s="31">
        <v>0</v>
      </c>
      <c r="N72" s="31">
        <v>0</v>
      </c>
      <c r="O72" s="31">
        <v>62</v>
      </c>
      <c r="P72" s="31">
        <v>0</v>
      </c>
      <c r="Q72" s="31">
        <v>180</v>
      </c>
      <c r="R72" s="150">
        <v>1</v>
      </c>
      <c r="S72" s="88">
        <v>8</v>
      </c>
      <c r="U72" s="31">
        <v>89108.550000000017</v>
      </c>
      <c r="V72" s="31">
        <v>119649.59999999999</v>
      </c>
      <c r="W72" s="31">
        <v>818039.11999999988</v>
      </c>
      <c r="X72" s="31">
        <v>173752.61</v>
      </c>
      <c r="Y72" s="31">
        <v>29646.14</v>
      </c>
      <c r="Z72" s="31">
        <v>90877.239999999991</v>
      </c>
      <c r="AA72" s="31">
        <v>48709.5</v>
      </c>
      <c r="AB72" s="31">
        <v>40018.11</v>
      </c>
      <c r="AC72" s="31">
        <v>208035.66</v>
      </c>
      <c r="AD72" s="31">
        <v>195991.03356250678</v>
      </c>
      <c r="AE72" s="31">
        <v>48234.76</v>
      </c>
      <c r="AF72" s="31">
        <v>1862062.3235625066</v>
      </c>
      <c r="AH72" s="276"/>
      <c r="AI72" s="276"/>
      <c r="AJ72" s="276"/>
      <c r="AK72" s="276"/>
      <c r="AL72" s="276"/>
      <c r="AM72" s="276"/>
      <c r="AN72" s="276"/>
      <c r="AO72" s="276"/>
      <c r="AP72" s="276"/>
      <c r="AQ72" s="276"/>
      <c r="AR72" s="276"/>
      <c r="AS72" s="276"/>
      <c r="AT72" s="276"/>
      <c r="AU72" s="276"/>
      <c r="AV72" s="276"/>
      <c r="AW72" s="394"/>
    </row>
    <row r="73" spans="1:49">
      <c r="A73" s="88">
        <v>64</v>
      </c>
      <c r="B73" s="88" t="s">
        <v>1770</v>
      </c>
      <c r="C73" s="31">
        <v>96</v>
      </c>
      <c r="D73" s="31">
        <v>0</v>
      </c>
      <c r="E73" s="31">
        <v>119</v>
      </c>
      <c r="F73" s="31">
        <v>726</v>
      </c>
      <c r="G73" s="31">
        <v>425</v>
      </c>
      <c r="H73" s="31">
        <v>481</v>
      </c>
      <c r="I73" s="31">
        <v>75</v>
      </c>
      <c r="J73" s="31">
        <v>19</v>
      </c>
      <c r="K73" s="31">
        <v>0</v>
      </c>
      <c r="L73" s="31">
        <v>0</v>
      </c>
      <c r="M73" s="31">
        <v>135</v>
      </c>
      <c r="N73" s="31">
        <v>92</v>
      </c>
      <c r="O73" s="31">
        <v>736</v>
      </c>
      <c r="P73" s="31">
        <v>0</v>
      </c>
      <c r="Q73" s="31">
        <v>2026</v>
      </c>
      <c r="R73" s="150">
        <v>1</v>
      </c>
      <c r="S73" s="88">
        <v>8</v>
      </c>
      <c r="U73" s="31">
        <v>984424.10000000009</v>
      </c>
      <c r="V73" s="31">
        <v>1346723.68</v>
      </c>
      <c r="W73" s="31">
        <v>9985499.1799999997</v>
      </c>
      <c r="X73" s="31">
        <v>1877766.8399999999</v>
      </c>
      <c r="Y73" s="31">
        <v>347880.3</v>
      </c>
      <c r="Z73" s="31">
        <v>1120614.52</v>
      </c>
      <c r="AA73" s="31">
        <v>575441.67000000004</v>
      </c>
      <c r="AB73" s="31">
        <v>506204.51</v>
      </c>
      <c r="AC73" s="31">
        <v>2459104.19</v>
      </c>
      <c r="AD73" s="31">
        <v>2256221.0369383064</v>
      </c>
      <c r="AE73" s="31">
        <v>458230.22000000003</v>
      </c>
      <c r="AF73" s="31">
        <v>21918110.246938307</v>
      </c>
      <c r="AH73" s="276"/>
      <c r="AI73" s="276"/>
      <c r="AJ73" s="276"/>
      <c r="AK73" s="276"/>
      <c r="AL73" s="276"/>
      <c r="AM73" s="276"/>
      <c r="AN73" s="276"/>
      <c r="AO73" s="276"/>
      <c r="AP73" s="276"/>
      <c r="AQ73" s="276"/>
      <c r="AR73" s="276"/>
      <c r="AS73" s="276"/>
      <c r="AT73" s="276"/>
      <c r="AU73" s="276"/>
      <c r="AV73" s="276"/>
      <c r="AW73" s="394"/>
    </row>
    <row r="74" spans="1:49">
      <c r="A74" s="88">
        <v>65</v>
      </c>
      <c r="B74" s="88" t="s">
        <v>1771</v>
      </c>
      <c r="C74" s="31">
        <v>24</v>
      </c>
      <c r="D74" s="31">
        <v>105</v>
      </c>
      <c r="E74" s="31">
        <v>0</v>
      </c>
      <c r="F74" s="31">
        <v>616</v>
      </c>
      <c r="G74" s="31">
        <v>404</v>
      </c>
      <c r="H74" s="31">
        <v>438</v>
      </c>
      <c r="I74" s="31">
        <v>57</v>
      </c>
      <c r="J74" s="31">
        <v>15</v>
      </c>
      <c r="K74" s="31">
        <v>0</v>
      </c>
      <c r="L74" s="31">
        <v>0</v>
      </c>
      <c r="M74" s="31">
        <v>2</v>
      </c>
      <c r="N74" s="31">
        <v>0</v>
      </c>
      <c r="O74" s="31">
        <v>90</v>
      </c>
      <c r="P74" s="31">
        <v>0</v>
      </c>
      <c r="Q74" s="31">
        <v>1525</v>
      </c>
      <c r="R74" s="150">
        <v>1.0269999999999999</v>
      </c>
      <c r="S74" s="88">
        <v>1</v>
      </c>
      <c r="U74" s="31">
        <v>764056.23488999996</v>
      </c>
      <c r="V74" s="31">
        <v>1040727.8371099998</v>
      </c>
      <c r="W74" s="31">
        <v>5793431.4929399993</v>
      </c>
      <c r="X74" s="31">
        <v>1450560.8755299998</v>
      </c>
      <c r="Y74" s="31">
        <v>225655.55180999998</v>
      </c>
      <c r="Z74" s="31">
        <v>808588.85999999987</v>
      </c>
      <c r="AA74" s="31">
        <v>444572.46365999989</v>
      </c>
      <c r="AB74" s="31">
        <v>403776.26483999996</v>
      </c>
      <c r="AC74" s="31">
        <v>1583530.8378500002</v>
      </c>
      <c r="AD74" s="31">
        <v>1499002.6802467648</v>
      </c>
      <c r="AE74" s="31">
        <v>361760.7</v>
      </c>
      <c r="AF74" s="31">
        <v>14375663.798876762</v>
      </c>
      <c r="AH74" s="276"/>
      <c r="AI74" s="276"/>
      <c r="AJ74" s="276"/>
      <c r="AK74" s="276"/>
      <c r="AL74" s="276"/>
      <c r="AM74" s="276"/>
      <c r="AN74" s="276"/>
      <c r="AO74" s="276"/>
      <c r="AP74" s="276"/>
      <c r="AQ74" s="276"/>
      <c r="AR74" s="276"/>
      <c r="AS74" s="276"/>
      <c r="AT74" s="276"/>
      <c r="AU74" s="276"/>
      <c r="AV74" s="276"/>
      <c r="AW74" s="394"/>
    </row>
    <row r="75" spans="1:49">
      <c r="A75" s="88">
        <v>66</v>
      </c>
      <c r="B75" s="88" t="s">
        <v>1772</v>
      </c>
      <c r="C75" s="31">
        <v>0</v>
      </c>
      <c r="D75" s="31">
        <v>0</v>
      </c>
      <c r="E75" s="31">
        <v>0</v>
      </c>
      <c r="F75" s="31">
        <v>0</v>
      </c>
      <c r="G75" s="31">
        <v>0</v>
      </c>
      <c r="H75" s="31">
        <v>0</v>
      </c>
      <c r="I75" s="31">
        <v>0</v>
      </c>
      <c r="J75" s="31">
        <v>0</v>
      </c>
      <c r="K75" s="31">
        <v>0</v>
      </c>
      <c r="L75" s="31">
        <v>0</v>
      </c>
      <c r="M75" s="31">
        <v>0</v>
      </c>
      <c r="N75" s="31">
        <v>1</v>
      </c>
      <c r="O75" s="31">
        <v>0</v>
      </c>
      <c r="P75" s="31">
        <v>0</v>
      </c>
      <c r="Q75" s="31">
        <v>1</v>
      </c>
      <c r="R75" s="150">
        <v>1</v>
      </c>
      <c r="S75" s="88">
        <v>0</v>
      </c>
      <c r="U75" s="31">
        <v>368.04</v>
      </c>
      <c r="V75" s="31">
        <v>664.72</v>
      </c>
      <c r="W75" s="31">
        <v>6705.5</v>
      </c>
      <c r="X75" s="31">
        <v>468.48</v>
      </c>
      <c r="Y75" s="31">
        <v>209.61</v>
      </c>
      <c r="Z75" s="31">
        <v>1235.22</v>
      </c>
      <c r="AA75" s="31">
        <v>370.08</v>
      </c>
      <c r="AB75" s="31">
        <v>498.5</v>
      </c>
      <c r="AC75" s="31">
        <v>1665.1</v>
      </c>
      <c r="AD75" s="31">
        <v>1231.5833435895474</v>
      </c>
      <c r="AE75" s="31">
        <v>0</v>
      </c>
      <c r="AF75" s="31">
        <v>13416.833343589547</v>
      </c>
      <c r="AH75" s="276"/>
      <c r="AI75" s="276"/>
      <c r="AJ75" s="276"/>
      <c r="AK75" s="276"/>
      <c r="AL75" s="276"/>
      <c r="AM75" s="276"/>
      <c r="AN75" s="276"/>
      <c r="AO75" s="276"/>
      <c r="AP75" s="276"/>
      <c r="AQ75" s="276"/>
      <c r="AR75" s="276"/>
      <c r="AS75" s="276"/>
      <c r="AT75" s="276"/>
      <c r="AU75" s="276"/>
      <c r="AV75" s="276"/>
      <c r="AW75" s="394"/>
    </row>
    <row r="76" spans="1:49">
      <c r="A76" s="88">
        <v>67</v>
      </c>
      <c r="B76" s="88" t="s">
        <v>1773</v>
      </c>
      <c r="C76" s="31">
        <v>21</v>
      </c>
      <c r="D76" s="31">
        <v>204</v>
      </c>
      <c r="E76" s="31">
        <v>0</v>
      </c>
      <c r="F76" s="31">
        <v>1146</v>
      </c>
      <c r="G76" s="31">
        <v>732</v>
      </c>
      <c r="H76" s="31">
        <v>0</v>
      </c>
      <c r="I76" s="31">
        <v>76</v>
      </c>
      <c r="J76" s="31">
        <v>20</v>
      </c>
      <c r="K76" s="31">
        <v>0</v>
      </c>
      <c r="L76" s="31">
        <v>7</v>
      </c>
      <c r="M76" s="31">
        <v>34</v>
      </c>
      <c r="N76" s="31">
        <v>0</v>
      </c>
      <c r="O76" s="31">
        <v>138</v>
      </c>
      <c r="P76" s="31">
        <v>0</v>
      </c>
      <c r="Q76" s="31">
        <v>2029</v>
      </c>
      <c r="R76" s="150">
        <v>1.0549999999999999</v>
      </c>
      <c r="S76" s="88">
        <v>1</v>
      </c>
      <c r="U76" s="31">
        <v>1044705.2150500001</v>
      </c>
      <c r="V76" s="31">
        <v>1422197.4764</v>
      </c>
      <c r="W76" s="31">
        <v>7406648.589449998</v>
      </c>
      <c r="X76" s="31">
        <v>2125540.2765999995</v>
      </c>
      <c r="Y76" s="31">
        <v>309569.24080000003</v>
      </c>
      <c r="Z76" s="31">
        <v>921475.28</v>
      </c>
      <c r="AA76" s="31">
        <v>534145.14959999989</v>
      </c>
      <c r="AB76" s="31">
        <v>342666.58474999998</v>
      </c>
      <c r="AC76" s="31">
        <v>2172369.9014499998</v>
      </c>
      <c r="AD76" s="31">
        <v>2043911.3937996777</v>
      </c>
      <c r="AE76" s="31">
        <v>482347.60000000003</v>
      </c>
      <c r="AF76" s="31">
        <v>18805576.707899675</v>
      </c>
      <c r="AH76" s="276"/>
      <c r="AI76" s="276"/>
      <c r="AJ76" s="276"/>
      <c r="AK76" s="276"/>
      <c r="AL76" s="276"/>
      <c r="AM76" s="276"/>
      <c r="AN76" s="276"/>
      <c r="AO76" s="276"/>
      <c r="AP76" s="276"/>
      <c r="AQ76" s="276"/>
      <c r="AR76" s="276"/>
      <c r="AS76" s="276"/>
      <c r="AT76" s="276"/>
      <c r="AU76" s="276"/>
      <c r="AV76" s="276"/>
      <c r="AW76" s="394"/>
    </row>
    <row r="77" spans="1:49">
      <c r="A77" s="88">
        <v>68</v>
      </c>
      <c r="B77" s="88" t="s">
        <v>1774</v>
      </c>
      <c r="C77" s="31">
        <v>2</v>
      </c>
      <c r="D77" s="31">
        <v>0</v>
      </c>
      <c r="E77" s="31">
        <v>14</v>
      </c>
      <c r="F77" s="31">
        <v>79</v>
      </c>
      <c r="G77" s="31">
        <v>21</v>
      </c>
      <c r="H77" s="31">
        <v>0</v>
      </c>
      <c r="I77" s="31">
        <v>4</v>
      </c>
      <c r="J77" s="31">
        <v>1</v>
      </c>
      <c r="K77" s="31">
        <v>0</v>
      </c>
      <c r="L77" s="31">
        <v>0</v>
      </c>
      <c r="M77" s="31">
        <v>0</v>
      </c>
      <c r="N77" s="31">
        <v>2</v>
      </c>
      <c r="O77" s="31">
        <v>32</v>
      </c>
      <c r="P77" s="31">
        <v>0</v>
      </c>
      <c r="Q77" s="31">
        <v>117</v>
      </c>
      <c r="R77" s="150">
        <v>1</v>
      </c>
      <c r="S77" s="88">
        <v>6</v>
      </c>
      <c r="U77" s="31">
        <v>55761.45</v>
      </c>
      <c r="V77" s="31">
        <v>77772.260000000009</v>
      </c>
      <c r="W77" s="31">
        <v>490409.03</v>
      </c>
      <c r="X77" s="31">
        <v>117580.72</v>
      </c>
      <c r="Y77" s="31">
        <v>18335.18</v>
      </c>
      <c r="Z77" s="31">
        <v>54614.380000000005</v>
      </c>
      <c r="AA77" s="31">
        <v>27788.219999999998</v>
      </c>
      <c r="AB77" s="31">
        <v>17315.989999999998</v>
      </c>
      <c r="AC77" s="31">
        <v>129051.93000000001</v>
      </c>
      <c r="AD77" s="31">
        <v>125045.01598766245</v>
      </c>
      <c r="AE77" s="31">
        <v>24117.38</v>
      </c>
      <c r="AF77" s="31">
        <v>1137791.5559876624</v>
      </c>
      <c r="AH77" s="276"/>
      <c r="AI77" s="276"/>
      <c r="AJ77" s="276"/>
      <c r="AK77" s="276"/>
      <c r="AL77" s="276"/>
      <c r="AM77" s="276"/>
      <c r="AN77" s="276"/>
      <c r="AO77" s="276"/>
      <c r="AP77" s="276"/>
      <c r="AQ77" s="276"/>
      <c r="AR77" s="276"/>
      <c r="AS77" s="276"/>
      <c r="AT77" s="276"/>
      <c r="AU77" s="276"/>
      <c r="AV77" s="276"/>
      <c r="AW77" s="394"/>
    </row>
    <row r="78" spans="1:49">
      <c r="A78" s="88">
        <v>69</v>
      </c>
      <c r="B78" s="88" t="s">
        <v>1775</v>
      </c>
      <c r="C78" s="31">
        <v>0</v>
      </c>
      <c r="D78" s="31">
        <v>0</v>
      </c>
      <c r="E78" s="31">
        <v>0</v>
      </c>
      <c r="F78" s="31">
        <v>0</v>
      </c>
      <c r="G78" s="31">
        <v>0</v>
      </c>
      <c r="H78" s="31">
        <v>0</v>
      </c>
      <c r="I78" s="31">
        <v>0</v>
      </c>
      <c r="J78" s="31">
        <v>0</v>
      </c>
      <c r="K78" s="31">
        <v>0</v>
      </c>
      <c r="L78" s="31">
        <v>0</v>
      </c>
      <c r="M78" s="31">
        <v>0</v>
      </c>
      <c r="N78" s="31">
        <v>9</v>
      </c>
      <c r="O78" s="31">
        <v>0</v>
      </c>
      <c r="P78" s="31">
        <v>0</v>
      </c>
      <c r="Q78" s="31">
        <v>9</v>
      </c>
      <c r="R78" s="150">
        <v>1</v>
      </c>
      <c r="S78" s="88">
        <v>0</v>
      </c>
      <c r="U78" s="31">
        <v>3312.36</v>
      </c>
      <c r="V78" s="31">
        <v>5982.4800000000005</v>
      </c>
      <c r="W78" s="31">
        <v>60349.5</v>
      </c>
      <c r="X78" s="31">
        <v>4216.32</v>
      </c>
      <c r="Y78" s="31">
        <v>1886.4900000000002</v>
      </c>
      <c r="Z78" s="31">
        <v>11116.98</v>
      </c>
      <c r="AA78" s="31">
        <v>3330.72</v>
      </c>
      <c r="AB78" s="31">
        <v>4486.5</v>
      </c>
      <c r="AC78" s="31">
        <v>14985.9</v>
      </c>
      <c r="AD78" s="31">
        <v>11084.250092305927</v>
      </c>
      <c r="AE78" s="31">
        <v>0</v>
      </c>
      <c r="AF78" s="31">
        <v>120751.50009230593</v>
      </c>
      <c r="AH78" s="276"/>
      <c r="AI78" s="276"/>
      <c r="AJ78" s="276"/>
      <c r="AK78" s="276"/>
      <c r="AL78" s="276"/>
      <c r="AM78" s="276"/>
      <c r="AN78" s="276"/>
      <c r="AO78" s="276"/>
      <c r="AP78" s="276"/>
      <c r="AQ78" s="276"/>
      <c r="AR78" s="276"/>
      <c r="AS78" s="276"/>
      <c r="AT78" s="276"/>
      <c r="AU78" s="276"/>
      <c r="AV78" s="276"/>
      <c r="AW78" s="394"/>
    </row>
    <row r="79" spans="1:49">
      <c r="A79" s="88">
        <v>70</v>
      </c>
      <c r="B79" s="88" t="s">
        <v>1776</v>
      </c>
      <c r="C79" s="31">
        <v>0</v>
      </c>
      <c r="D79" s="31">
        <v>0</v>
      </c>
      <c r="E79" s="31">
        <v>0</v>
      </c>
      <c r="F79" s="31">
        <v>0</v>
      </c>
      <c r="G79" s="31">
        <v>0</v>
      </c>
      <c r="H79" s="31">
        <v>0</v>
      </c>
      <c r="I79" s="31">
        <v>1</v>
      </c>
      <c r="J79" s="31">
        <v>0</v>
      </c>
      <c r="K79" s="31">
        <v>0</v>
      </c>
      <c r="L79" s="31">
        <v>0</v>
      </c>
      <c r="M79" s="31">
        <v>0</v>
      </c>
      <c r="N79" s="31">
        <v>16</v>
      </c>
      <c r="O79" s="31">
        <v>0</v>
      </c>
      <c r="P79" s="31">
        <v>0</v>
      </c>
      <c r="Q79" s="31">
        <v>16</v>
      </c>
      <c r="R79" s="150">
        <v>1</v>
      </c>
      <c r="S79" s="88">
        <v>0</v>
      </c>
      <c r="U79" s="31">
        <v>8428.7900000000009</v>
      </c>
      <c r="V79" s="31">
        <v>10635.52</v>
      </c>
      <c r="W79" s="31">
        <v>115669.85</v>
      </c>
      <c r="X79" s="31">
        <v>15321.7</v>
      </c>
      <c r="Y79" s="31">
        <v>3758.1000000000004</v>
      </c>
      <c r="Z79" s="31">
        <v>20116.439999999999</v>
      </c>
      <c r="AA79" s="31">
        <v>5921.28</v>
      </c>
      <c r="AB79" s="31">
        <v>7976</v>
      </c>
      <c r="AC79" s="31">
        <v>29479.07</v>
      </c>
      <c r="AD79" s="31">
        <v>22994.266041832052</v>
      </c>
      <c r="AE79" s="31">
        <v>0</v>
      </c>
      <c r="AF79" s="31">
        <v>240301.01604183207</v>
      </c>
      <c r="AH79" s="276"/>
      <c r="AI79" s="276"/>
      <c r="AJ79" s="276"/>
      <c r="AK79" s="276"/>
      <c r="AL79" s="276"/>
      <c r="AM79" s="276"/>
      <c r="AN79" s="276"/>
      <c r="AO79" s="276"/>
      <c r="AP79" s="276"/>
      <c r="AQ79" s="276"/>
      <c r="AR79" s="276"/>
      <c r="AS79" s="276"/>
      <c r="AT79" s="276"/>
      <c r="AU79" s="276"/>
      <c r="AV79" s="276"/>
      <c r="AW79" s="394"/>
    </row>
    <row r="80" spans="1:49">
      <c r="A80" s="88">
        <v>71</v>
      </c>
      <c r="B80" s="88" t="s">
        <v>1777</v>
      </c>
      <c r="C80" s="31">
        <v>46</v>
      </c>
      <c r="D80" s="31">
        <v>0</v>
      </c>
      <c r="E80" s="31">
        <v>167</v>
      </c>
      <c r="F80" s="31">
        <v>1348</v>
      </c>
      <c r="G80" s="31">
        <v>852</v>
      </c>
      <c r="H80" s="31">
        <v>1036</v>
      </c>
      <c r="I80" s="31">
        <v>129</v>
      </c>
      <c r="J80" s="31">
        <v>34</v>
      </c>
      <c r="K80" s="31">
        <v>0</v>
      </c>
      <c r="L80" s="31">
        <v>0</v>
      </c>
      <c r="M80" s="31">
        <v>33</v>
      </c>
      <c r="N80" s="31">
        <v>1</v>
      </c>
      <c r="O80" s="31">
        <v>649</v>
      </c>
      <c r="P80" s="31">
        <v>0</v>
      </c>
      <c r="Q80" s="31">
        <v>3460</v>
      </c>
      <c r="R80" s="150">
        <v>1</v>
      </c>
      <c r="S80" s="88">
        <v>4</v>
      </c>
      <c r="U80" s="31">
        <v>1687463.3100000003</v>
      </c>
      <c r="V80" s="31">
        <v>2299931.66</v>
      </c>
      <c r="W80" s="31">
        <v>14298782.5</v>
      </c>
      <c r="X80" s="31">
        <v>3199079.1400000006</v>
      </c>
      <c r="Y80" s="31">
        <v>530032.21</v>
      </c>
      <c r="Z80" s="31">
        <v>1846929.18</v>
      </c>
      <c r="AA80" s="31">
        <v>986163.84</v>
      </c>
      <c r="AB80" s="31">
        <v>900669.89</v>
      </c>
      <c r="AC80" s="31">
        <v>3719644.3000000003</v>
      </c>
      <c r="AD80" s="31">
        <v>3544724.7805279572</v>
      </c>
      <c r="AE80" s="31">
        <v>819990.92</v>
      </c>
      <c r="AF80" s="31">
        <v>33833411.73052796</v>
      </c>
      <c r="AH80" s="276"/>
      <c r="AI80" s="276"/>
      <c r="AJ80" s="276"/>
      <c r="AK80" s="276"/>
      <c r="AL80" s="276"/>
      <c r="AM80" s="276"/>
      <c r="AN80" s="276"/>
      <c r="AO80" s="276"/>
      <c r="AP80" s="276"/>
      <c r="AQ80" s="276"/>
      <c r="AR80" s="276"/>
      <c r="AS80" s="276"/>
      <c r="AT80" s="276"/>
      <c r="AU80" s="276"/>
      <c r="AV80" s="276"/>
      <c r="AW80" s="394"/>
    </row>
    <row r="81" spans="1:49">
      <c r="A81" s="88">
        <v>72</v>
      </c>
      <c r="B81" s="88" t="s">
        <v>1778</v>
      </c>
      <c r="C81" s="31">
        <v>68</v>
      </c>
      <c r="D81" s="31">
        <v>0</v>
      </c>
      <c r="E81" s="31">
        <v>225</v>
      </c>
      <c r="F81" s="31">
        <v>1283</v>
      </c>
      <c r="G81" s="31">
        <v>966</v>
      </c>
      <c r="H81" s="31">
        <v>1055</v>
      </c>
      <c r="I81" s="31">
        <v>135</v>
      </c>
      <c r="J81" s="31">
        <v>36</v>
      </c>
      <c r="K81" s="31">
        <v>0</v>
      </c>
      <c r="L81" s="31">
        <v>0</v>
      </c>
      <c r="M81" s="31">
        <v>83</v>
      </c>
      <c r="N81" s="31">
        <v>0</v>
      </c>
      <c r="O81" s="31">
        <v>815</v>
      </c>
      <c r="P81" s="31">
        <v>0</v>
      </c>
      <c r="Q81" s="31">
        <v>3646</v>
      </c>
      <c r="R81" s="150">
        <v>1</v>
      </c>
      <c r="S81" s="88">
        <v>5</v>
      </c>
      <c r="U81" s="31">
        <v>1776240.17</v>
      </c>
      <c r="V81" s="31">
        <v>2423569.7999999998</v>
      </c>
      <c r="W81" s="31">
        <v>15502142.049999999</v>
      </c>
      <c r="X81" s="31">
        <v>3353077.48</v>
      </c>
      <c r="Y81" s="31">
        <v>570036.16</v>
      </c>
      <c r="Z81" s="31">
        <v>1935335.9399999997</v>
      </c>
      <c r="AA81" s="31">
        <v>1042129.83</v>
      </c>
      <c r="AB81" s="31">
        <v>938390.28</v>
      </c>
      <c r="AC81" s="31">
        <v>4000181.2100000004</v>
      </c>
      <c r="AD81" s="31">
        <v>3785079.4094171356</v>
      </c>
      <c r="AE81" s="31">
        <v>868225.68</v>
      </c>
      <c r="AF81" s="31">
        <v>36194408.009417139</v>
      </c>
      <c r="AH81" s="276"/>
      <c r="AI81" s="276"/>
      <c r="AJ81" s="276"/>
      <c r="AK81" s="276"/>
      <c r="AL81" s="276"/>
      <c r="AM81" s="276"/>
      <c r="AN81" s="276"/>
      <c r="AO81" s="276"/>
      <c r="AP81" s="276"/>
      <c r="AQ81" s="276"/>
      <c r="AR81" s="276"/>
      <c r="AS81" s="276"/>
      <c r="AT81" s="276"/>
      <c r="AU81" s="276"/>
      <c r="AV81" s="276"/>
      <c r="AW81" s="394"/>
    </row>
    <row r="82" spans="1:49">
      <c r="A82" s="88">
        <v>73</v>
      </c>
      <c r="B82" s="88" t="s">
        <v>1779</v>
      </c>
      <c r="C82" s="31">
        <v>27</v>
      </c>
      <c r="D82" s="31">
        <v>142</v>
      </c>
      <c r="E82" s="31">
        <v>29</v>
      </c>
      <c r="F82" s="31">
        <v>965</v>
      </c>
      <c r="G82" s="31">
        <v>623</v>
      </c>
      <c r="H82" s="31">
        <v>752</v>
      </c>
      <c r="I82" s="31">
        <v>97</v>
      </c>
      <c r="J82" s="31">
        <v>26</v>
      </c>
      <c r="K82" s="31">
        <v>0</v>
      </c>
      <c r="L82" s="31">
        <v>10</v>
      </c>
      <c r="M82" s="31">
        <v>153</v>
      </c>
      <c r="N82" s="31">
        <v>0</v>
      </c>
      <c r="O82" s="31">
        <v>603</v>
      </c>
      <c r="P82" s="31">
        <v>0</v>
      </c>
      <c r="Q82" s="31">
        <v>2612</v>
      </c>
      <c r="R82" s="150">
        <v>1.0369999999999999</v>
      </c>
      <c r="S82" s="88">
        <v>5</v>
      </c>
      <c r="U82" s="31">
        <v>1320699.1416</v>
      </c>
      <c r="V82" s="31">
        <v>1800147.0385899998</v>
      </c>
      <c r="W82" s="31">
        <v>11759602.202169999</v>
      </c>
      <c r="X82" s="31">
        <v>2493858.7867299998</v>
      </c>
      <c r="Y82" s="31">
        <v>428506.22602999996</v>
      </c>
      <c r="Z82" s="31">
        <v>1385351.76</v>
      </c>
      <c r="AA82" s="31">
        <v>775751.30693999981</v>
      </c>
      <c r="AB82" s="31">
        <v>692916.14099999995</v>
      </c>
      <c r="AC82" s="31">
        <v>3007039.5055999998</v>
      </c>
      <c r="AD82" s="31">
        <v>2735099.759164718</v>
      </c>
      <c r="AE82" s="31">
        <v>627051.88</v>
      </c>
      <c r="AF82" s="31">
        <v>27026023.747824714</v>
      </c>
      <c r="AH82" s="276"/>
      <c r="AI82" s="276"/>
      <c r="AJ82" s="276"/>
      <c r="AK82" s="276"/>
      <c r="AL82" s="276"/>
      <c r="AM82" s="276"/>
      <c r="AN82" s="276"/>
      <c r="AO82" s="276"/>
      <c r="AP82" s="276"/>
      <c r="AQ82" s="276"/>
      <c r="AR82" s="276"/>
      <c r="AS82" s="276"/>
      <c r="AT82" s="276"/>
      <c r="AU82" s="276"/>
      <c r="AV82" s="276"/>
      <c r="AW82" s="394"/>
    </row>
    <row r="83" spans="1:49">
      <c r="A83" s="88">
        <v>74</v>
      </c>
      <c r="B83" s="88" t="s">
        <v>1780</v>
      </c>
      <c r="C83" s="31">
        <v>9</v>
      </c>
      <c r="D83" s="31">
        <v>0</v>
      </c>
      <c r="E83" s="31">
        <v>50</v>
      </c>
      <c r="F83" s="31">
        <v>214</v>
      </c>
      <c r="G83" s="31">
        <v>57</v>
      </c>
      <c r="H83" s="31">
        <v>0</v>
      </c>
      <c r="I83" s="31">
        <v>12</v>
      </c>
      <c r="J83" s="31">
        <v>3</v>
      </c>
      <c r="K83" s="31">
        <v>2</v>
      </c>
      <c r="L83" s="31">
        <v>0</v>
      </c>
      <c r="M83" s="31">
        <v>2</v>
      </c>
      <c r="N83" s="31">
        <v>0</v>
      </c>
      <c r="O83" s="31">
        <v>79</v>
      </c>
      <c r="P83" s="31">
        <v>0</v>
      </c>
      <c r="Q83" s="31">
        <v>329</v>
      </c>
      <c r="R83" s="150">
        <v>1</v>
      </c>
      <c r="S83" s="88">
        <v>6</v>
      </c>
      <c r="U83" s="31">
        <v>159003.51999999999</v>
      </c>
      <c r="V83" s="31">
        <v>218360.63000000003</v>
      </c>
      <c r="W83" s="31">
        <v>1334061.1000000001</v>
      </c>
      <c r="X83" s="31">
        <v>337876.62</v>
      </c>
      <c r="Y83" s="31">
        <v>50647.92</v>
      </c>
      <c r="Z83" s="31">
        <v>149152.87</v>
      </c>
      <c r="AA83" s="31">
        <v>77264.25</v>
      </c>
      <c r="AB83" s="31">
        <v>45851.099999999991</v>
      </c>
      <c r="AC83" s="31">
        <v>355413.95999999996</v>
      </c>
      <c r="AD83" s="31">
        <v>348610.9853759649</v>
      </c>
      <c r="AE83" s="31">
        <v>72352.14</v>
      </c>
      <c r="AF83" s="31">
        <v>3148595.0953759653</v>
      </c>
      <c r="AH83" s="276"/>
      <c r="AI83" s="276"/>
      <c r="AJ83" s="276"/>
      <c r="AK83" s="276"/>
      <c r="AL83" s="276"/>
      <c r="AM83" s="276"/>
      <c r="AN83" s="276"/>
      <c r="AO83" s="276"/>
      <c r="AP83" s="276"/>
      <c r="AQ83" s="276"/>
      <c r="AR83" s="276"/>
      <c r="AS83" s="276"/>
      <c r="AT83" s="276"/>
      <c r="AU83" s="276"/>
      <c r="AV83" s="276"/>
      <c r="AW83" s="394"/>
    </row>
    <row r="84" spans="1:49">
      <c r="A84" s="88">
        <v>75</v>
      </c>
      <c r="B84" s="88" t="s">
        <v>1781</v>
      </c>
      <c r="C84" s="31">
        <v>0</v>
      </c>
      <c r="D84" s="31">
        <v>0</v>
      </c>
      <c r="E84" s="31">
        <v>0</v>
      </c>
      <c r="F84" s="31">
        <v>0</v>
      </c>
      <c r="G84" s="31">
        <v>0</v>
      </c>
      <c r="H84" s="31">
        <v>0</v>
      </c>
      <c r="I84" s="31">
        <v>0</v>
      </c>
      <c r="J84" s="31">
        <v>0</v>
      </c>
      <c r="K84" s="31">
        <v>0</v>
      </c>
      <c r="L84" s="31">
        <v>0</v>
      </c>
      <c r="M84" s="31">
        <v>0</v>
      </c>
      <c r="N84" s="31">
        <v>0</v>
      </c>
      <c r="O84" s="31">
        <v>0</v>
      </c>
      <c r="P84" s="31">
        <v>0</v>
      </c>
      <c r="Q84" s="31">
        <v>0</v>
      </c>
      <c r="R84" s="150">
        <v>1</v>
      </c>
      <c r="S84" s="88">
        <v>0</v>
      </c>
      <c r="U84" s="31">
        <v>0</v>
      </c>
      <c r="V84" s="31">
        <v>0</v>
      </c>
      <c r="W84" s="31">
        <v>0</v>
      </c>
      <c r="X84" s="31">
        <v>0</v>
      </c>
      <c r="Y84" s="31">
        <v>0</v>
      </c>
      <c r="Z84" s="31">
        <v>0</v>
      </c>
      <c r="AA84" s="31">
        <v>0</v>
      </c>
      <c r="AB84" s="31">
        <v>0</v>
      </c>
      <c r="AC84" s="31">
        <v>0</v>
      </c>
      <c r="AD84" s="31">
        <v>0</v>
      </c>
      <c r="AE84" s="31">
        <v>0</v>
      </c>
      <c r="AF84" s="31">
        <v>0</v>
      </c>
      <c r="AH84" s="276"/>
      <c r="AI84" s="276"/>
      <c r="AJ84" s="276"/>
      <c r="AK84" s="276"/>
      <c r="AL84" s="276"/>
      <c r="AM84" s="276"/>
      <c r="AN84" s="276"/>
      <c r="AO84" s="276"/>
      <c r="AP84" s="276"/>
      <c r="AQ84" s="276"/>
      <c r="AR84" s="276"/>
      <c r="AS84" s="276"/>
      <c r="AT84" s="276"/>
      <c r="AU84" s="276"/>
      <c r="AV84" s="276"/>
      <c r="AW84" s="394"/>
    </row>
    <row r="85" spans="1:49">
      <c r="A85" s="88">
        <v>76</v>
      </c>
      <c r="B85" s="88" t="s">
        <v>1782</v>
      </c>
      <c r="C85" s="31">
        <v>0</v>
      </c>
      <c r="D85" s="31">
        <v>0</v>
      </c>
      <c r="E85" s="31">
        <v>0</v>
      </c>
      <c r="F85" s="31">
        <v>0</v>
      </c>
      <c r="G85" s="31">
        <v>0</v>
      </c>
      <c r="H85" s="31">
        <v>0</v>
      </c>
      <c r="I85" s="31">
        <v>0</v>
      </c>
      <c r="J85" s="31">
        <v>0</v>
      </c>
      <c r="K85" s="31">
        <v>0</v>
      </c>
      <c r="L85" s="31">
        <v>0</v>
      </c>
      <c r="M85" s="31">
        <v>0</v>
      </c>
      <c r="N85" s="31">
        <v>0</v>
      </c>
      <c r="O85" s="31">
        <v>0</v>
      </c>
      <c r="P85" s="31">
        <v>0</v>
      </c>
      <c r="Q85" s="31">
        <v>0</v>
      </c>
      <c r="R85" s="150">
        <v>1</v>
      </c>
      <c r="S85" s="88">
        <v>0</v>
      </c>
      <c r="U85" s="31">
        <v>0</v>
      </c>
      <c r="V85" s="31">
        <v>0</v>
      </c>
      <c r="W85" s="31">
        <v>0</v>
      </c>
      <c r="X85" s="31">
        <v>0</v>
      </c>
      <c r="Y85" s="31">
        <v>0</v>
      </c>
      <c r="Z85" s="31">
        <v>0</v>
      </c>
      <c r="AA85" s="31">
        <v>0</v>
      </c>
      <c r="AB85" s="31">
        <v>0</v>
      </c>
      <c r="AC85" s="31">
        <v>0</v>
      </c>
      <c r="AD85" s="31">
        <v>0</v>
      </c>
      <c r="AE85" s="31">
        <v>0</v>
      </c>
      <c r="AF85" s="31">
        <v>0</v>
      </c>
      <c r="AH85" s="276"/>
      <c r="AI85" s="276"/>
      <c r="AJ85" s="276"/>
      <c r="AK85" s="276"/>
      <c r="AL85" s="276"/>
      <c r="AM85" s="276"/>
      <c r="AN85" s="276"/>
      <c r="AO85" s="276"/>
      <c r="AP85" s="276"/>
      <c r="AQ85" s="276"/>
      <c r="AR85" s="276"/>
      <c r="AS85" s="276"/>
      <c r="AT85" s="276"/>
      <c r="AU85" s="276"/>
      <c r="AV85" s="276"/>
      <c r="AW85" s="394"/>
    </row>
    <row r="86" spans="1:49">
      <c r="A86" s="88">
        <v>77</v>
      </c>
      <c r="B86" s="88" t="s">
        <v>1783</v>
      </c>
      <c r="C86" s="31">
        <v>51</v>
      </c>
      <c r="D86" s="31">
        <v>0</v>
      </c>
      <c r="E86" s="31">
        <v>82</v>
      </c>
      <c r="F86" s="31">
        <v>470</v>
      </c>
      <c r="G86" s="31">
        <v>342</v>
      </c>
      <c r="H86" s="31">
        <v>401</v>
      </c>
      <c r="I86" s="31">
        <v>49</v>
      </c>
      <c r="J86" s="31">
        <v>13</v>
      </c>
      <c r="K86" s="31">
        <v>0</v>
      </c>
      <c r="L86" s="31">
        <v>0</v>
      </c>
      <c r="M86" s="31">
        <v>1</v>
      </c>
      <c r="N86" s="31">
        <v>6</v>
      </c>
      <c r="O86" s="31">
        <v>239</v>
      </c>
      <c r="P86" s="31">
        <v>0</v>
      </c>
      <c r="Q86" s="31">
        <v>1328</v>
      </c>
      <c r="R86" s="150">
        <v>1</v>
      </c>
      <c r="S86" s="88">
        <v>4</v>
      </c>
      <c r="U86" s="31">
        <v>646062.91</v>
      </c>
      <c r="V86" s="31">
        <v>882416.30999999994</v>
      </c>
      <c r="W86" s="31">
        <v>5451245.25</v>
      </c>
      <c r="X86" s="31">
        <v>1219183.95</v>
      </c>
      <c r="Y86" s="31">
        <v>202655.63000000003</v>
      </c>
      <c r="Z86" s="31">
        <v>713829.08</v>
      </c>
      <c r="AA86" s="31">
        <v>379969.40999999992</v>
      </c>
      <c r="AB86" s="31">
        <v>348644.68999999994</v>
      </c>
      <c r="AC86" s="31">
        <v>1423292.54</v>
      </c>
      <c r="AD86" s="31">
        <v>1355044.7399510569</v>
      </c>
      <c r="AE86" s="31">
        <v>313525.94</v>
      </c>
      <c r="AF86" s="31">
        <v>12935870.449951056</v>
      </c>
      <c r="AH86" s="276"/>
      <c r="AI86" s="276"/>
      <c r="AJ86" s="276"/>
      <c r="AK86" s="276"/>
      <c r="AL86" s="276"/>
      <c r="AM86" s="276"/>
      <c r="AN86" s="276"/>
      <c r="AO86" s="276"/>
      <c r="AP86" s="276"/>
      <c r="AQ86" s="276"/>
      <c r="AR86" s="276"/>
      <c r="AS86" s="276"/>
      <c r="AT86" s="276"/>
      <c r="AU86" s="276"/>
      <c r="AV86" s="276"/>
      <c r="AW86" s="394"/>
    </row>
    <row r="87" spans="1:49">
      <c r="A87" s="88">
        <v>78</v>
      </c>
      <c r="B87" s="88" t="s">
        <v>1784</v>
      </c>
      <c r="C87" s="31">
        <v>12</v>
      </c>
      <c r="D87" s="31">
        <v>0</v>
      </c>
      <c r="E87" s="31">
        <v>61</v>
      </c>
      <c r="F87" s="31">
        <v>406</v>
      </c>
      <c r="G87" s="31">
        <v>0</v>
      </c>
      <c r="H87" s="31">
        <v>0</v>
      </c>
      <c r="I87" s="31">
        <v>18</v>
      </c>
      <c r="J87" s="31">
        <v>5</v>
      </c>
      <c r="K87" s="31">
        <v>0</v>
      </c>
      <c r="L87" s="31">
        <v>0</v>
      </c>
      <c r="M87" s="31">
        <v>12</v>
      </c>
      <c r="N87" s="31">
        <v>0</v>
      </c>
      <c r="O87" s="31">
        <v>16</v>
      </c>
      <c r="P87" s="31">
        <v>0</v>
      </c>
      <c r="Q87" s="31">
        <v>485</v>
      </c>
      <c r="R87" s="150">
        <v>1.046</v>
      </c>
      <c r="S87" s="88">
        <v>1</v>
      </c>
      <c r="U87" s="31">
        <v>247821.42662000007</v>
      </c>
      <c r="V87" s="31">
        <v>337219.22872000001</v>
      </c>
      <c r="W87" s="31">
        <v>1773407.4895000001</v>
      </c>
      <c r="X87" s="31">
        <v>542169.27841999999</v>
      </c>
      <c r="Y87" s="31">
        <v>70438.142080000005</v>
      </c>
      <c r="Z87" s="31">
        <v>220310.36999999997</v>
      </c>
      <c r="AA87" s="31">
        <v>113437.91549999999</v>
      </c>
      <c r="AB87" s="31">
        <v>64050.910439999992</v>
      </c>
      <c r="AC87" s="31">
        <v>494279.30855999998</v>
      </c>
      <c r="AD87" s="31">
        <v>485265.39351660118</v>
      </c>
      <c r="AE87" s="31">
        <v>120586.90000000001</v>
      </c>
      <c r="AF87" s="31">
        <v>4468986.3633566014</v>
      </c>
      <c r="AH87" s="276"/>
      <c r="AI87" s="276"/>
      <c r="AJ87" s="276"/>
      <c r="AK87" s="276"/>
      <c r="AL87" s="276"/>
      <c r="AM87" s="276"/>
      <c r="AN87" s="276"/>
      <c r="AO87" s="276"/>
      <c r="AP87" s="276"/>
      <c r="AQ87" s="276"/>
      <c r="AR87" s="276"/>
      <c r="AS87" s="276"/>
      <c r="AT87" s="276"/>
      <c r="AU87" s="276"/>
      <c r="AV87" s="276"/>
      <c r="AW87" s="394"/>
    </row>
    <row r="88" spans="1:49">
      <c r="A88" s="88">
        <v>79</v>
      </c>
      <c r="B88" s="88" t="s">
        <v>1785</v>
      </c>
      <c r="C88" s="31">
        <v>58</v>
      </c>
      <c r="D88" s="31">
        <v>3</v>
      </c>
      <c r="E88" s="31">
        <v>277</v>
      </c>
      <c r="F88" s="31">
        <v>1516</v>
      </c>
      <c r="G88" s="31">
        <v>987</v>
      </c>
      <c r="H88" s="31">
        <v>897</v>
      </c>
      <c r="I88" s="31">
        <v>140</v>
      </c>
      <c r="J88" s="31">
        <v>37</v>
      </c>
      <c r="K88" s="31">
        <v>0</v>
      </c>
      <c r="L88" s="31">
        <v>0</v>
      </c>
      <c r="M88" s="31">
        <v>56</v>
      </c>
      <c r="N88" s="31">
        <v>5</v>
      </c>
      <c r="O88" s="31">
        <v>885</v>
      </c>
      <c r="P88" s="31">
        <v>0</v>
      </c>
      <c r="Q88" s="31">
        <v>3769</v>
      </c>
      <c r="R88" s="150">
        <v>1</v>
      </c>
      <c r="S88" s="88">
        <v>5</v>
      </c>
      <c r="U88" s="31">
        <v>1836565.9000000001</v>
      </c>
      <c r="V88" s="31">
        <v>2504997.9299999997</v>
      </c>
      <c r="W88" s="31">
        <v>15962677.67</v>
      </c>
      <c r="X88" s="31">
        <v>3535569.0000000005</v>
      </c>
      <c r="Y88" s="31">
        <v>590162.78</v>
      </c>
      <c r="Z88" s="31">
        <v>1953289.1300000001</v>
      </c>
      <c r="AA88" s="31">
        <v>1046170.2000000001</v>
      </c>
      <c r="AB88" s="31">
        <v>898203.44</v>
      </c>
      <c r="AC88" s="31">
        <v>4142367.9799999995</v>
      </c>
      <c r="AD88" s="31">
        <v>3937653.6814099881</v>
      </c>
      <c r="AE88" s="31">
        <v>892343.06</v>
      </c>
      <c r="AF88" s="31">
        <v>37300000.771409988</v>
      </c>
      <c r="AH88" s="276"/>
      <c r="AI88" s="276"/>
      <c r="AJ88" s="276"/>
      <c r="AK88" s="276"/>
      <c r="AL88" s="276"/>
      <c r="AM88" s="276"/>
      <c r="AN88" s="276"/>
      <c r="AO88" s="276"/>
      <c r="AP88" s="276"/>
      <c r="AQ88" s="276"/>
      <c r="AR88" s="276"/>
      <c r="AS88" s="276"/>
      <c r="AT88" s="276"/>
      <c r="AU88" s="276"/>
      <c r="AV88" s="276"/>
      <c r="AW88" s="394"/>
    </row>
    <row r="89" spans="1:49">
      <c r="A89" s="88">
        <v>80</v>
      </c>
      <c r="B89" s="88" t="s">
        <v>1786</v>
      </c>
      <c r="C89" s="31">
        <v>0</v>
      </c>
      <c r="D89" s="31">
        <v>0</v>
      </c>
      <c r="E89" s="31">
        <v>0</v>
      </c>
      <c r="F89" s="31">
        <v>0</v>
      </c>
      <c r="G89" s="31">
        <v>0</v>
      </c>
      <c r="H89" s="31">
        <v>0</v>
      </c>
      <c r="I89" s="31">
        <v>0</v>
      </c>
      <c r="J89" s="31">
        <v>0</v>
      </c>
      <c r="K89" s="31">
        <v>0</v>
      </c>
      <c r="L89" s="31">
        <v>0</v>
      </c>
      <c r="M89" s="31">
        <v>0</v>
      </c>
      <c r="N89" s="31">
        <v>2</v>
      </c>
      <c r="O89" s="31">
        <v>0</v>
      </c>
      <c r="P89" s="31">
        <v>0</v>
      </c>
      <c r="Q89" s="31">
        <v>2</v>
      </c>
      <c r="R89" s="150">
        <v>1</v>
      </c>
      <c r="S89" s="88">
        <v>0</v>
      </c>
      <c r="U89" s="31">
        <v>736.08</v>
      </c>
      <c r="V89" s="31">
        <v>1329.44</v>
      </c>
      <c r="W89" s="31">
        <v>13411</v>
      </c>
      <c r="X89" s="31">
        <v>936.96</v>
      </c>
      <c r="Y89" s="31">
        <v>419.22</v>
      </c>
      <c r="Z89" s="31">
        <v>2470.44</v>
      </c>
      <c r="AA89" s="31">
        <v>740.16</v>
      </c>
      <c r="AB89" s="31">
        <v>997</v>
      </c>
      <c r="AC89" s="31">
        <v>3330.2</v>
      </c>
      <c r="AD89" s="31">
        <v>2463.1666871790949</v>
      </c>
      <c r="AE89" s="31">
        <v>0</v>
      </c>
      <c r="AF89" s="31">
        <v>26833.666687179095</v>
      </c>
      <c r="AH89" s="276"/>
      <c r="AI89" s="276"/>
      <c r="AJ89" s="276"/>
      <c r="AK89" s="276"/>
      <c r="AL89" s="276"/>
      <c r="AM89" s="276"/>
      <c r="AN89" s="276"/>
      <c r="AO89" s="276"/>
      <c r="AP89" s="276"/>
      <c r="AQ89" s="276"/>
      <c r="AR89" s="276"/>
      <c r="AS89" s="276"/>
      <c r="AT89" s="276"/>
      <c r="AU89" s="276"/>
      <c r="AV89" s="276"/>
      <c r="AW89" s="394"/>
    </row>
    <row r="90" spans="1:49">
      <c r="A90" s="88">
        <v>81</v>
      </c>
      <c r="B90" s="88" t="s">
        <v>1787</v>
      </c>
      <c r="C90" s="31">
        <v>0</v>
      </c>
      <c r="D90" s="31">
        <v>0</v>
      </c>
      <c r="E90" s="31">
        <v>0</v>
      </c>
      <c r="F90" s="31">
        <v>0</v>
      </c>
      <c r="G90" s="31">
        <v>0</v>
      </c>
      <c r="H90" s="31">
        <v>0</v>
      </c>
      <c r="I90" s="31">
        <v>0</v>
      </c>
      <c r="J90" s="31">
        <v>0</v>
      </c>
      <c r="K90" s="31">
        <v>0</v>
      </c>
      <c r="L90" s="31">
        <v>0</v>
      </c>
      <c r="M90" s="31">
        <v>0</v>
      </c>
      <c r="N90" s="31">
        <v>1</v>
      </c>
      <c r="O90" s="31">
        <v>0</v>
      </c>
      <c r="P90" s="31">
        <v>0</v>
      </c>
      <c r="Q90" s="31">
        <v>1</v>
      </c>
      <c r="R90" s="150">
        <v>1</v>
      </c>
      <c r="S90" s="88">
        <v>0</v>
      </c>
      <c r="U90" s="31">
        <v>368.04</v>
      </c>
      <c r="V90" s="31">
        <v>664.72</v>
      </c>
      <c r="W90" s="31">
        <v>6705.5</v>
      </c>
      <c r="X90" s="31">
        <v>468.48</v>
      </c>
      <c r="Y90" s="31">
        <v>209.61</v>
      </c>
      <c r="Z90" s="31">
        <v>1235.22</v>
      </c>
      <c r="AA90" s="31">
        <v>370.08</v>
      </c>
      <c r="AB90" s="31">
        <v>498.5</v>
      </c>
      <c r="AC90" s="31">
        <v>1665.1</v>
      </c>
      <c r="AD90" s="31">
        <v>1231.5833435895474</v>
      </c>
      <c r="AE90" s="31">
        <v>0</v>
      </c>
      <c r="AF90" s="31">
        <v>13416.833343589547</v>
      </c>
      <c r="AH90" s="276"/>
      <c r="AI90" s="276"/>
      <c r="AJ90" s="276"/>
      <c r="AK90" s="276"/>
      <c r="AL90" s="276"/>
      <c r="AM90" s="276"/>
      <c r="AN90" s="276"/>
      <c r="AO90" s="276"/>
      <c r="AP90" s="276"/>
      <c r="AQ90" s="276"/>
      <c r="AR90" s="276"/>
      <c r="AS90" s="276"/>
      <c r="AT90" s="276"/>
      <c r="AU90" s="276"/>
      <c r="AV90" s="276"/>
      <c r="AW90" s="394"/>
    </row>
    <row r="91" spans="1:49">
      <c r="A91" s="88">
        <v>82</v>
      </c>
      <c r="B91" s="88" t="s">
        <v>1788</v>
      </c>
      <c r="C91" s="31">
        <v>24</v>
      </c>
      <c r="D91" s="31">
        <v>165</v>
      </c>
      <c r="E91" s="31">
        <v>2</v>
      </c>
      <c r="F91" s="31">
        <v>1077</v>
      </c>
      <c r="G91" s="31">
        <v>750</v>
      </c>
      <c r="H91" s="31">
        <v>1088</v>
      </c>
      <c r="I91" s="31">
        <v>113</v>
      </c>
      <c r="J91" s="31">
        <v>30</v>
      </c>
      <c r="K91" s="31">
        <v>0</v>
      </c>
      <c r="L91" s="31">
        <v>1</v>
      </c>
      <c r="M91" s="31">
        <v>12</v>
      </c>
      <c r="N91" s="31">
        <v>3</v>
      </c>
      <c r="O91" s="31">
        <v>233</v>
      </c>
      <c r="P91" s="31">
        <v>0</v>
      </c>
      <c r="Q91" s="31">
        <v>3028</v>
      </c>
      <c r="R91" s="150">
        <v>1.0349999999999999</v>
      </c>
      <c r="S91" s="88">
        <v>1</v>
      </c>
      <c r="U91" s="31">
        <v>1529005.9554000001</v>
      </c>
      <c r="V91" s="31">
        <v>2082533.1668999996</v>
      </c>
      <c r="W91" s="31">
        <v>12006460.6785</v>
      </c>
      <c r="X91" s="31">
        <v>2839881.8933999995</v>
      </c>
      <c r="Y91" s="31">
        <v>456664.48019999999</v>
      </c>
      <c r="Z91" s="31">
        <v>1665617.77</v>
      </c>
      <c r="AA91" s="31">
        <v>920257.69544999988</v>
      </c>
      <c r="AB91" s="31">
        <v>888759.88199999987</v>
      </c>
      <c r="AC91" s="31">
        <v>3205232.39115</v>
      </c>
      <c r="AD91" s="31">
        <v>2980277.5351711418</v>
      </c>
      <c r="AE91" s="31">
        <v>723521.4</v>
      </c>
      <c r="AF91" s="31">
        <v>29298212.848171137</v>
      </c>
      <c r="AH91" s="276"/>
      <c r="AI91" s="276"/>
      <c r="AJ91" s="276"/>
      <c r="AK91" s="276"/>
      <c r="AL91" s="276"/>
      <c r="AM91" s="276"/>
      <c r="AN91" s="276"/>
      <c r="AO91" s="276"/>
      <c r="AP91" s="276"/>
      <c r="AQ91" s="276"/>
      <c r="AR91" s="276"/>
      <c r="AS91" s="276"/>
      <c r="AT91" s="276"/>
      <c r="AU91" s="276"/>
      <c r="AV91" s="276"/>
      <c r="AW91" s="394"/>
    </row>
    <row r="92" spans="1:49">
      <c r="A92" s="88">
        <v>83</v>
      </c>
      <c r="B92" s="88" t="s">
        <v>1789</v>
      </c>
      <c r="C92" s="31">
        <v>18</v>
      </c>
      <c r="D92" s="31">
        <v>136</v>
      </c>
      <c r="E92" s="31">
        <v>7</v>
      </c>
      <c r="F92" s="31">
        <v>819</v>
      </c>
      <c r="G92" s="31">
        <v>566</v>
      </c>
      <c r="H92" s="31">
        <v>668</v>
      </c>
      <c r="I92" s="31">
        <v>80</v>
      </c>
      <c r="J92" s="31">
        <v>21</v>
      </c>
      <c r="K92" s="31">
        <v>0</v>
      </c>
      <c r="L92" s="31">
        <v>0</v>
      </c>
      <c r="M92" s="31">
        <v>10</v>
      </c>
      <c r="N92" s="31">
        <v>6</v>
      </c>
      <c r="O92" s="31">
        <v>412</v>
      </c>
      <c r="P92" s="31">
        <v>0</v>
      </c>
      <c r="Q92" s="31">
        <v>2153</v>
      </c>
      <c r="R92" s="150">
        <v>1</v>
      </c>
      <c r="S92" s="88">
        <v>4</v>
      </c>
      <c r="U92" s="31">
        <v>1048946.81</v>
      </c>
      <c r="V92" s="31">
        <v>1431143.7000000002</v>
      </c>
      <c r="W92" s="31">
        <v>8931586.7400000002</v>
      </c>
      <c r="X92" s="31">
        <v>1973317.79</v>
      </c>
      <c r="Y92" s="31">
        <v>330792.05999999994</v>
      </c>
      <c r="Z92" s="31">
        <v>1159614.3400000001</v>
      </c>
      <c r="AA92" s="31">
        <v>619760.46</v>
      </c>
      <c r="AB92" s="31">
        <v>575474.11</v>
      </c>
      <c r="AC92" s="31">
        <v>2322491.7999999998</v>
      </c>
      <c r="AD92" s="31">
        <v>2205706.7380733578</v>
      </c>
      <c r="AE92" s="31">
        <v>506464.98000000004</v>
      </c>
      <c r="AF92" s="31">
        <v>21105299.528073356</v>
      </c>
      <c r="AH92" s="276"/>
      <c r="AI92" s="276"/>
      <c r="AJ92" s="276"/>
      <c r="AK92" s="276"/>
      <c r="AL92" s="276"/>
      <c r="AM92" s="276"/>
      <c r="AN92" s="276"/>
      <c r="AO92" s="276"/>
      <c r="AP92" s="276"/>
      <c r="AQ92" s="276"/>
      <c r="AR92" s="276"/>
      <c r="AS92" s="276"/>
      <c r="AT92" s="276"/>
      <c r="AU92" s="276"/>
      <c r="AV92" s="276"/>
      <c r="AW92" s="394"/>
    </row>
    <row r="93" spans="1:49">
      <c r="A93" s="88">
        <v>84</v>
      </c>
      <c r="B93" s="88" t="s">
        <v>1790</v>
      </c>
      <c r="C93" s="31">
        <v>0</v>
      </c>
      <c r="D93" s="31">
        <v>0</v>
      </c>
      <c r="E93" s="31">
        <v>0</v>
      </c>
      <c r="F93" s="31">
        <v>0</v>
      </c>
      <c r="G93" s="31">
        <v>0</v>
      </c>
      <c r="H93" s="31">
        <v>0</v>
      </c>
      <c r="I93" s="31">
        <v>1</v>
      </c>
      <c r="J93" s="31">
        <v>0</v>
      </c>
      <c r="K93" s="31">
        <v>0</v>
      </c>
      <c r="L93" s="31">
        <v>0</v>
      </c>
      <c r="M93" s="31">
        <v>0</v>
      </c>
      <c r="N93" s="31">
        <v>17</v>
      </c>
      <c r="O93" s="31">
        <v>0</v>
      </c>
      <c r="P93" s="31">
        <v>0</v>
      </c>
      <c r="Q93" s="31">
        <v>17</v>
      </c>
      <c r="R93" s="150">
        <v>1</v>
      </c>
      <c r="S93" s="88">
        <v>0</v>
      </c>
      <c r="U93" s="31">
        <v>8796.83</v>
      </c>
      <c r="V93" s="31">
        <v>11300.24</v>
      </c>
      <c r="W93" s="31">
        <v>122375.35</v>
      </c>
      <c r="X93" s="31">
        <v>15790.18</v>
      </c>
      <c r="Y93" s="31">
        <v>3967.7100000000005</v>
      </c>
      <c r="Z93" s="31">
        <v>21351.66</v>
      </c>
      <c r="AA93" s="31">
        <v>6291.36</v>
      </c>
      <c r="AB93" s="31">
        <v>8474.5</v>
      </c>
      <c r="AC93" s="31">
        <v>31144.17</v>
      </c>
      <c r="AD93" s="31">
        <v>24225.849385421599</v>
      </c>
      <c r="AE93" s="31">
        <v>0</v>
      </c>
      <c r="AF93" s="31">
        <v>253717.84938542161</v>
      </c>
      <c r="AH93" s="276"/>
      <c r="AI93" s="276"/>
      <c r="AJ93" s="276"/>
      <c r="AK93" s="276"/>
      <c r="AL93" s="276"/>
      <c r="AM93" s="276"/>
      <c r="AN93" s="276"/>
      <c r="AO93" s="276"/>
      <c r="AP93" s="276"/>
      <c r="AQ93" s="276"/>
      <c r="AR93" s="276"/>
      <c r="AS93" s="276"/>
      <c r="AT93" s="276"/>
      <c r="AU93" s="276"/>
      <c r="AV93" s="276"/>
      <c r="AW93" s="394"/>
    </row>
    <row r="94" spans="1:49">
      <c r="A94" s="88">
        <v>85</v>
      </c>
      <c r="B94" s="88" t="s">
        <v>1791</v>
      </c>
      <c r="C94" s="31">
        <v>4</v>
      </c>
      <c r="D94" s="31">
        <v>0</v>
      </c>
      <c r="E94" s="31">
        <v>28</v>
      </c>
      <c r="F94" s="31">
        <v>148</v>
      </c>
      <c r="G94" s="31">
        <v>0</v>
      </c>
      <c r="H94" s="31">
        <v>0</v>
      </c>
      <c r="I94" s="31">
        <v>7</v>
      </c>
      <c r="J94" s="31">
        <v>2</v>
      </c>
      <c r="K94" s="31">
        <v>0</v>
      </c>
      <c r="L94" s="31">
        <v>0</v>
      </c>
      <c r="M94" s="31">
        <v>5</v>
      </c>
      <c r="N94" s="31">
        <v>0</v>
      </c>
      <c r="O94" s="31">
        <v>61</v>
      </c>
      <c r="P94" s="31">
        <v>0</v>
      </c>
      <c r="Q94" s="31">
        <v>183</v>
      </c>
      <c r="R94" s="150">
        <v>1</v>
      </c>
      <c r="S94" s="88">
        <v>8</v>
      </c>
      <c r="U94" s="31">
        <v>90212.71</v>
      </c>
      <c r="V94" s="31">
        <v>121643.8</v>
      </c>
      <c r="W94" s="31">
        <v>819860</v>
      </c>
      <c r="X94" s="31">
        <v>197134.84</v>
      </c>
      <c r="Y94" s="31">
        <v>29423.530000000002</v>
      </c>
      <c r="Z94" s="31">
        <v>83200.91</v>
      </c>
      <c r="AA94" s="31">
        <v>40954.71</v>
      </c>
      <c r="AB94" s="31">
        <v>22896.67</v>
      </c>
      <c r="AC94" s="31">
        <v>206471.90999999997</v>
      </c>
      <c r="AD94" s="31">
        <v>201896.54163405535</v>
      </c>
      <c r="AE94" s="31">
        <v>48234.76</v>
      </c>
      <c r="AF94" s="31">
        <v>1861930.3816340552</v>
      </c>
      <c r="AH94" s="276"/>
      <c r="AI94" s="276"/>
      <c r="AJ94" s="276"/>
      <c r="AK94" s="276"/>
      <c r="AL94" s="276"/>
      <c r="AM94" s="276"/>
      <c r="AN94" s="276"/>
      <c r="AO94" s="276"/>
      <c r="AP94" s="276"/>
      <c r="AQ94" s="276"/>
      <c r="AR94" s="276"/>
      <c r="AS94" s="276"/>
      <c r="AT94" s="276"/>
      <c r="AU94" s="276"/>
      <c r="AV94" s="276"/>
      <c r="AW94" s="394"/>
    </row>
    <row r="95" spans="1:49">
      <c r="A95" s="88">
        <v>86</v>
      </c>
      <c r="B95" s="88" t="s">
        <v>1792</v>
      </c>
      <c r="C95" s="31">
        <v>44</v>
      </c>
      <c r="D95" s="31">
        <v>0</v>
      </c>
      <c r="E95" s="31">
        <v>127</v>
      </c>
      <c r="F95" s="31">
        <v>633</v>
      </c>
      <c r="G95" s="31">
        <v>418</v>
      </c>
      <c r="H95" s="31">
        <v>451</v>
      </c>
      <c r="I95" s="31">
        <v>66</v>
      </c>
      <c r="J95" s="31">
        <v>17</v>
      </c>
      <c r="K95" s="31">
        <v>0</v>
      </c>
      <c r="L95" s="31">
        <v>0</v>
      </c>
      <c r="M95" s="31">
        <v>35</v>
      </c>
      <c r="N95" s="31">
        <v>85</v>
      </c>
      <c r="O95" s="31">
        <v>518</v>
      </c>
      <c r="P95" s="31">
        <v>0</v>
      </c>
      <c r="Q95" s="31">
        <v>1771</v>
      </c>
      <c r="R95" s="150">
        <v>1</v>
      </c>
      <c r="S95" s="88">
        <v>7</v>
      </c>
      <c r="U95" s="31">
        <v>862631.73000000021</v>
      </c>
      <c r="V95" s="31">
        <v>1177219.5599999998</v>
      </c>
      <c r="W95" s="31">
        <v>8212871.6999999993</v>
      </c>
      <c r="X95" s="31">
        <v>1636701.5500000003</v>
      </c>
      <c r="Y95" s="31">
        <v>292586.77</v>
      </c>
      <c r="Z95" s="31">
        <v>991445.24</v>
      </c>
      <c r="AA95" s="31">
        <v>505541.18999999994</v>
      </c>
      <c r="AB95" s="31">
        <v>459115.92000000004</v>
      </c>
      <c r="AC95" s="31">
        <v>2069722.7700000003</v>
      </c>
      <c r="AD95" s="31">
        <v>1916936.2095891605</v>
      </c>
      <c r="AE95" s="31">
        <v>409995.46</v>
      </c>
      <c r="AF95" s="31">
        <v>18534768.099589158</v>
      </c>
      <c r="AH95" s="276"/>
      <c r="AI95" s="276"/>
      <c r="AJ95" s="276"/>
      <c r="AK95" s="276"/>
      <c r="AL95" s="276"/>
      <c r="AM95" s="276"/>
      <c r="AN95" s="276"/>
      <c r="AO95" s="276"/>
      <c r="AP95" s="276"/>
      <c r="AQ95" s="276"/>
      <c r="AR95" s="276"/>
      <c r="AS95" s="276"/>
      <c r="AT95" s="276"/>
      <c r="AU95" s="276"/>
      <c r="AV95" s="276"/>
      <c r="AW95" s="394"/>
    </row>
    <row r="96" spans="1:49">
      <c r="A96" s="88">
        <v>87</v>
      </c>
      <c r="B96" s="88" t="s">
        <v>1793</v>
      </c>
      <c r="C96" s="31">
        <v>42</v>
      </c>
      <c r="D96" s="31">
        <v>0</v>
      </c>
      <c r="E96" s="31">
        <v>162</v>
      </c>
      <c r="F96" s="31">
        <v>901</v>
      </c>
      <c r="G96" s="31">
        <v>633</v>
      </c>
      <c r="H96" s="31">
        <v>885</v>
      </c>
      <c r="I96" s="31">
        <v>100</v>
      </c>
      <c r="J96" s="31">
        <v>26</v>
      </c>
      <c r="K96" s="31">
        <v>0</v>
      </c>
      <c r="L96" s="31">
        <v>0</v>
      </c>
      <c r="M96" s="31">
        <v>54</v>
      </c>
      <c r="N96" s="31">
        <v>22</v>
      </c>
      <c r="O96" s="31">
        <v>511</v>
      </c>
      <c r="P96" s="31">
        <v>0</v>
      </c>
      <c r="Q96" s="31">
        <v>2678</v>
      </c>
      <c r="R96" s="150">
        <v>1</v>
      </c>
      <c r="S96" s="88">
        <v>4</v>
      </c>
      <c r="U96" s="31">
        <v>1305670.4399999997</v>
      </c>
      <c r="V96" s="31">
        <v>1780120.5799999998</v>
      </c>
      <c r="W96" s="31">
        <v>11300888.369999999</v>
      </c>
      <c r="X96" s="31">
        <v>2445890.5699999998</v>
      </c>
      <c r="Y96" s="31">
        <v>414236.01999999996</v>
      </c>
      <c r="Z96" s="31">
        <v>1468420.9500000002</v>
      </c>
      <c r="AA96" s="31">
        <v>778905.3</v>
      </c>
      <c r="AB96" s="31">
        <v>731522.77</v>
      </c>
      <c r="AC96" s="31">
        <v>2911153.5900000003</v>
      </c>
      <c r="AD96" s="31">
        <v>2753741.4576128568</v>
      </c>
      <c r="AE96" s="31">
        <v>627051.88</v>
      </c>
      <c r="AF96" s="31">
        <v>26517601.927612852</v>
      </c>
      <c r="AH96" s="276"/>
      <c r="AI96" s="276"/>
      <c r="AJ96" s="276"/>
      <c r="AK96" s="276"/>
      <c r="AL96" s="276"/>
      <c r="AM96" s="276"/>
      <c r="AN96" s="276"/>
      <c r="AO96" s="276"/>
      <c r="AP96" s="276"/>
      <c r="AQ96" s="276"/>
      <c r="AR96" s="276"/>
      <c r="AS96" s="276"/>
      <c r="AT96" s="276"/>
      <c r="AU96" s="276"/>
      <c r="AV96" s="276"/>
      <c r="AW96" s="394"/>
    </row>
    <row r="97" spans="1:49">
      <c r="A97" s="88">
        <v>88</v>
      </c>
      <c r="B97" s="88" t="s">
        <v>1794</v>
      </c>
      <c r="C97" s="31">
        <v>31</v>
      </c>
      <c r="D97" s="31">
        <v>199</v>
      </c>
      <c r="E97" s="31">
        <v>27</v>
      </c>
      <c r="F97" s="31">
        <v>1350</v>
      </c>
      <c r="G97" s="31">
        <v>896</v>
      </c>
      <c r="H97" s="31">
        <v>1220</v>
      </c>
      <c r="I97" s="31">
        <v>136</v>
      </c>
      <c r="J97" s="31">
        <v>36</v>
      </c>
      <c r="K97" s="31">
        <v>0</v>
      </c>
      <c r="L97" s="31">
        <v>5</v>
      </c>
      <c r="M97" s="31">
        <v>36</v>
      </c>
      <c r="N97" s="31">
        <v>0</v>
      </c>
      <c r="O97" s="31">
        <v>462</v>
      </c>
      <c r="P97" s="31">
        <v>0</v>
      </c>
      <c r="Q97" s="31">
        <v>3648</v>
      </c>
      <c r="R97" s="150">
        <v>1</v>
      </c>
      <c r="S97" s="88">
        <v>3</v>
      </c>
      <c r="U97" s="31">
        <v>1778966.0599999998</v>
      </c>
      <c r="V97" s="31">
        <v>2423903.83</v>
      </c>
      <c r="W97" s="31">
        <v>14488684.770000001</v>
      </c>
      <c r="X97" s="31">
        <v>3331906.92</v>
      </c>
      <c r="Y97" s="31">
        <v>544077.77</v>
      </c>
      <c r="Z97" s="31">
        <v>1979585.7699999998</v>
      </c>
      <c r="AA97" s="31">
        <v>1058297.19</v>
      </c>
      <c r="AB97" s="31">
        <v>998160.71</v>
      </c>
      <c r="AC97" s="31">
        <v>3818030.73</v>
      </c>
      <c r="AD97" s="31">
        <v>3656508.3971180227</v>
      </c>
      <c r="AE97" s="31">
        <v>868225.68</v>
      </c>
      <c r="AF97" s="31">
        <v>34946347.827118024</v>
      </c>
      <c r="AH97" s="276"/>
      <c r="AI97" s="276"/>
      <c r="AJ97" s="276"/>
      <c r="AK97" s="276"/>
      <c r="AL97" s="276"/>
      <c r="AM97" s="276"/>
      <c r="AN97" s="276"/>
      <c r="AO97" s="276"/>
      <c r="AP97" s="276"/>
      <c r="AQ97" s="276"/>
      <c r="AR97" s="276"/>
      <c r="AS97" s="276"/>
      <c r="AT97" s="276"/>
      <c r="AU97" s="276"/>
      <c r="AV97" s="276"/>
      <c r="AW97" s="394"/>
    </row>
    <row r="98" spans="1:49">
      <c r="A98" s="88">
        <v>89</v>
      </c>
      <c r="B98" s="88" t="s">
        <v>1795</v>
      </c>
      <c r="C98" s="31">
        <v>5</v>
      </c>
      <c r="D98" s="31">
        <v>0</v>
      </c>
      <c r="E98" s="31">
        <v>28</v>
      </c>
      <c r="F98" s="31">
        <v>202</v>
      </c>
      <c r="G98" s="31">
        <v>120</v>
      </c>
      <c r="H98" s="31">
        <v>0</v>
      </c>
      <c r="I98" s="31">
        <v>15</v>
      </c>
      <c r="J98" s="31">
        <v>4</v>
      </c>
      <c r="K98" s="31">
        <v>1</v>
      </c>
      <c r="L98" s="31">
        <v>0</v>
      </c>
      <c r="M98" s="31">
        <v>56</v>
      </c>
      <c r="N98" s="31">
        <v>0</v>
      </c>
      <c r="O98" s="31">
        <v>123</v>
      </c>
      <c r="P98" s="31">
        <v>0</v>
      </c>
      <c r="Q98" s="31">
        <v>410</v>
      </c>
      <c r="R98" s="150">
        <v>1</v>
      </c>
      <c r="S98" s="88">
        <v>7</v>
      </c>
      <c r="U98" s="31">
        <v>198791.28000000003</v>
      </c>
      <c r="V98" s="31">
        <v>271870.54000000004</v>
      </c>
      <c r="W98" s="31">
        <v>1806310.95</v>
      </c>
      <c r="X98" s="31">
        <v>402144.66</v>
      </c>
      <c r="Y98" s="31">
        <v>67622.829999999987</v>
      </c>
      <c r="Z98" s="31">
        <v>185724.17999999996</v>
      </c>
      <c r="AA98" s="31">
        <v>103674.18000000002</v>
      </c>
      <c r="AB98" s="31">
        <v>62845.29</v>
      </c>
      <c r="AC98" s="31">
        <v>474539.56999999995</v>
      </c>
      <c r="AD98" s="31">
        <v>450516.47307202744</v>
      </c>
      <c r="AE98" s="31">
        <v>96469.52</v>
      </c>
      <c r="AF98" s="31">
        <v>4120509.4730720278</v>
      </c>
      <c r="AH98" s="276"/>
      <c r="AI98" s="276"/>
      <c r="AJ98" s="276"/>
      <c r="AK98" s="276"/>
      <c r="AL98" s="276"/>
      <c r="AM98" s="276"/>
      <c r="AN98" s="276"/>
      <c r="AO98" s="276"/>
      <c r="AP98" s="276"/>
      <c r="AQ98" s="276"/>
      <c r="AR98" s="276"/>
      <c r="AS98" s="276"/>
      <c r="AT98" s="276"/>
      <c r="AU98" s="276"/>
      <c r="AV98" s="276"/>
      <c r="AW98" s="394"/>
    </row>
    <row r="99" spans="1:49">
      <c r="A99" s="88">
        <v>90</v>
      </c>
      <c r="B99" s="88" t="s">
        <v>1796</v>
      </c>
      <c r="C99" s="31">
        <v>0</v>
      </c>
      <c r="D99" s="31">
        <v>0</v>
      </c>
      <c r="E99" s="31">
        <v>0</v>
      </c>
      <c r="F99" s="31">
        <v>0</v>
      </c>
      <c r="G99" s="31">
        <v>0</v>
      </c>
      <c r="H99" s="31">
        <v>0</v>
      </c>
      <c r="I99" s="31">
        <v>0</v>
      </c>
      <c r="J99" s="31">
        <v>0</v>
      </c>
      <c r="K99" s="31">
        <v>0</v>
      </c>
      <c r="L99" s="31">
        <v>0</v>
      </c>
      <c r="M99" s="31">
        <v>0</v>
      </c>
      <c r="N99" s="31">
        <v>0</v>
      </c>
      <c r="O99" s="31">
        <v>0</v>
      </c>
      <c r="P99" s="31">
        <v>0</v>
      </c>
      <c r="Q99" s="31">
        <v>0</v>
      </c>
      <c r="R99" s="150">
        <v>1</v>
      </c>
      <c r="S99" s="88">
        <v>0</v>
      </c>
      <c r="U99" s="31">
        <v>0</v>
      </c>
      <c r="V99" s="31">
        <v>0</v>
      </c>
      <c r="W99" s="31">
        <v>0</v>
      </c>
      <c r="X99" s="31">
        <v>0</v>
      </c>
      <c r="Y99" s="31">
        <v>0</v>
      </c>
      <c r="Z99" s="31">
        <v>0</v>
      </c>
      <c r="AA99" s="31">
        <v>0</v>
      </c>
      <c r="AB99" s="31">
        <v>0</v>
      </c>
      <c r="AC99" s="31">
        <v>0</v>
      </c>
      <c r="AD99" s="31">
        <v>0</v>
      </c>
      <c r="AE99" s="31">
        <v>0</v>
      </c>
      <c r="AF99" s="31">
        <v>0</v>
      </c>
      <c r="AH99" s="276"/>
      <c r="AI99" s="276"/>
      <c r="AJ99" s="276"/>
      <c r="AK99" s="276"/>
      <c r="AL99" s="276"/>
      <c r="AM99" s="276"/>
      <c r="AN99" s="276"/>
      <c r="AO99" s="276"/>
      <c r="AP99" s="276"/>
      <c r="AQ99" s="276"/>
      <c r="AR99" s="276"/>
      <c r="AS99" s="276"/>
      <c r="AT99" s="276"/>
      <c r="AU99" s="276"/>
      <c r="AV99" s="276"/>
      <c r="AW99" s="394"/>
    </row>
    <row r="100" spans="1:49">
      <c r="A100" s="88">
        <v>91</v>
      </c>
      <c r="B100" s="88" t="s">
        <v>1797</v>
      </c>
      <c r="C100" s="31">
        <v>26</v>
      </c>
      <c r="D100" s="31">
        <v>0</v>
      </c>
      <c r="E100" s="31">
        <v>11</v>
      </c>
      <c r="F100" s="31">
        <v>90</v>
      </c>
      <c r="G100" s="31">
        <v>62</v>
      </c>
      <c r="H100" s="31">
        <v>50</v>
      </c>
      <c r="I100" s="31">
        <v>8</v>
      </c>
      <c r="J100" s="31">
        <v>2</v>
      </c>
      <c r="K100" s="31">
        <v>0</v>
      </c>
      <c r="L100" s="31">
        <v>0</v>
      </c>
      <c r="M100" s="31">
        <v>0</v>
      </c>
      <c r="N100" s="31">
        <v>0</v>
      </c>
      <c r="O100" s="31">
        <v>45</v>
      </c>
      <c r="P100" s="31">
        <v>0</v>
      </c>
      <c r="Q100" s="31">
        <v>226</v>
      </c>
      <c r="R100" s="150">
        <v>1</v>
      </c>
      <c r="S100" s="88">
        <v>5</v>
      </c>
      <c r="U100" s="31">
        <v>108578.8</v>
      </c>
      <c r="V100" s="31">
        <v>150226.97999999998</v>
      </c>
      <c r="W100" s="31">
        <v>918134.31</v>
      </c>
      <c r="X100" s="31">
        <v>210117.14</v>
      </c>
      <c r="Y100" s="31">
        <v>34513.660000000003</v>
      </c>
      <c r="Z100" s="31">
        <v>115758.39</v>
      </c>
      <c r="AA100" s="31">
        <v>62091.93</v>
      </c>
      <c r="AB100" s="31">
        <v>52356.9</v>
      </c>
      <c r="AC100" s="31">
        <v>242200.27</v>
      </c>
      <c r="AD100" s="31">
        <v>231871.332825947</v>
      </c>
      <c r="AE100" s="31">
        <v>48234.76</v>
      </c>
      <c r="AF100" s="31">
        <v>2174084.4728259463</v>
      </c>
      <c r="AH100" s="276"/>
      <c r="AI100" s="276"/>
      <c r="AJ100" s="276"/>
      <c r="AK100" s="276"/>
      <c r="AL100" s="276"/>
      <c r="AM100" s="276"/>
      <c r="AN100" s="276"/>
      <c r="AO100" s="276"/>
      <c r="AP100" s="276"/>
      <c r="AQ100" s="276"/>
      <c r="AR100" s="276"/>
      <c r="AS100" s="276"/>
      <c r="AT100" s="276"/>
      <c r="AU100" s="276"/>
      <c r="AV100" s="276"/>
      <c r="AW100" s="394"/>
    </row>
    <row r="101" spans="1:49">
      <c r="A101" s="88">
        <v>92</v>
      </c>
      <c r="B101" s="88" t="s">
        <v>1798</v>
      </c>
      <c r="C101" s="31">
        <v>0</v>
      </c>
      <c r="D101" s="31">
        <v>0</v>
      </c>
      <c r="E101" s="31">
        <v>0</v>
      </c>
      <c r="F101" s="31">
        <v>0</v>
      </c>
      <c r="G101" s="31">
        <v>0</v>
      </c>
      <c r="H101" s="31">
        <v>0</v>
      </c>
      <c r="I101" s="31">
        <v>0</v>
      </c>
      <c r="J101" s="31">
        <v>0</v>
      </c>
      <c r="K101" s="31">
        <v>0</v>
      </c>
      <c r="L101" s="31">
        <v>0</v>
      </c>
      <c r="M101" s="31">
        <v>0</v>
      </c>
      <c r="N101" s="31">
        <v>0</v>
      </c>
      <c r="O101" s="31">
        <v>0</v>
      </c>
      <c r="P101" s="31">
        <v>0</v>
      </c>
      <c r="Q101" s="31">
        <v>0</v>
      </c>
      <c r="R101" s="150">
        <v>1.034</v>
      </c>
      <c r="S101" s="88">
        <v>0</v>
      </c>
      <c r="U101" s="31">
        <v>0</v>
      </c>
      <c r="V101" s="31">
        <v>0</v>
      </c>
      <c r="W101" s="31">
        <v>0</v>
      </c>
      <c r="X101" s="31">
        <v>0</v>
      </c>
      <c r="Y101" s="31">
        <v>0</v>
      </c>
      <c r="Z101" s="31">
        <v>0</v>
      </c>
      <c r="AA101" s="31">
        <v>0</v>
      </c>
      <c r="AB101" s="31">
        <v>0</v>
      </c>
      <c r="AC101" s="31">
        <v>0</v>
      </c>
      <c r="AD101" s="31">
        <v>0</v>
      </c>
      <c r="AE101" s="31">
        <v>0</v>
      </c>
      <c r="AF101" s="31">
        <v>0</v>
      </c>
      <c r="AH101" s="276"/>
      <c r="AI101" s="276"/>
      <c r="AJ101" s="276"/>
      <c r="AK101" s="276"/>
      <c r="AL101" s="276"/>
      <c r="AM101" s="276"/>
      <c r="AN101" s="276"/>
      <c r="AO101" s="276"/>
      <c r="AP101" s="276"/>
      <c r="AQ101" s="276"/>
      <c r="AR101" s="276"/>
      <c r="AS101" s="276"/>
      <c r="AT101" s="276"/>
      <c r="AU101" s="276"/>
      <c r="AV101" s="276"/>
      <c r="AW101" s="394"/>
    </row>
    <row r="102" spans="1:49">
      <c r="A102" s="88">
        <v>93</v>
      </c>
      <c r="B102" s="88" t="s">
        <v>1799</v>
      </c>
      <c r="C102" s="31">
        <v>504</v>
      </c>
      <c r="D102" s="31">
        <v>0</v>
      </c>
      <c r="E102" s="31">
        <v>483</v>
      </c>
      <c r="F102" s="31">
        <v>2260</v>
      </c>
      <c r="G102" s="31">
        <v>1309</v>
      </c>
      <c r="H102" s="31">
        <v>1931</v>
      </c>
      <c r="I102" s="31">
        <v>277</v>
      </c>
      <c r="J102" s="31">
        <v>74</v>
      </c>
      <c r="K102" s="31">
        <v>0</v>
      </c>
      <c r="L102" s="31">
        <v>0</v>
      </c>
      <c r="M102" s="31">
        <v>1376</v>
      </c>
      <c r="N102" s="31">
        <v>24</v>
      </c>
      <c r="O102" s="31">
        <v>3850</v>
      </c>
      <c r="P102" s="31">
        <v>0</v>
      </c>
      <c r="Q102" s="31">
        <v>7635</v>
      </c>
      <c r="R102" s="150">
        <v>1.0449999999999999</v>
      </c>
      <c r="S102" s="88">
        <v>10</v>
      </c>
      <c r="U102" s="31">
        <v>3868154.3290500003</v>
      </c>
      <c r="V102" s="31">
        <v>5303523.6408000002</v>
      </c>
      <c r="W102" s="31">
        <v>43524904.891049996</v>
      </c>
      <c r="X102" s="31">
        <v>7340694.2405499993</v>
      </c>
      <c r="Y102" s="31">
        <v>1458906.4005999998</v>
      </c>
      <c r="Z102" s="31">
        <v>3996134.9899999998</v>
      </c>
      <c r="AA102" s="31">
        <v>2278572.7997999997</v>
      </c>
      <c r="AB102" s="31">
        <v>1884780.8517999998</v>
      </c>
      <c r="AC102" s="31">
        <v>10243000.966</v>
      </c>
      <c r="AD102" s="31">
        <v>8875527.8952765055</v>
      </c>
      <c r="AE102" s="31">
        <v>1784686.12</v>
      </c>
      <c r="AF102" s="31">
        <v>90558887.124926507</v>
      </c>
      <c r="AH102" s="276"/>
      <c r="AI102" s="276"/>
      <c r="AJ102" s="276"/>
      <c r="AK102" s="276"/>
      <c r="AL102" s="276"/>
      <c r="AM102" s="276"/>
      <c r="AN102" s="276"/>
      <c r="AO102" s="276"/>
      <c r="AP102" s="276"/>
      <c r="AQ102" s="276"/>
      <c r="AR102" s="276"/>
      <c r="AS102" s="276"/>
      <c r="AT102" s="276"/>
      <c r="AU102" s="276"/>
      <c r="AV102" s="276"/>
      <c r="AW102" s="394"/>
    </row>
    <row r="103" spans="1:49">
      <c r="A103" s="88">
        <v>94</v>
      </c>
      <c r="B103" s="88" t="s">
        <v>1800</v>
      </c>
      <c r="C103" s="31">
        <v>26</v>
      </c>
      <c r="D103" s="31">
        <v>0</v>
      </c>
      <c r="E103" s="31">
        <v>126</v>
      </c>
      <c r="F103" s="31">
        <v>771</v>
      </c>
      <c r="G103" s="31">
        <v>457</v>
      </c>
      <c r="H103" s="31">
        <v>405</v>
      </c>
      <c r="I103" s="31">
        <v>67</v>
      </c>
      <c r="J103" s="31">
        <v>18</v>
      </c>
      <c r="K103" s="31">
        <v>0</v>
      </c>
      <c r="L103" s="31">
        <v>0</v>
      </c>
      <c r="M103" s="31">
        <v>29</v>
      </c>
      <c r="N103" s="31">
        <v>0</v>
      </c>
      <c r="O103" s="31">
        <v>644</v>
      </c>
      <c r="P103" s="31">
        <v>0</v>
      </c>
      <c r="Q103" s="31">
        <v>1801</v>
      </c>
      <c r="R103" s="150">
        <v>1</v>
      </c>
      <c r="S103" s="88">
        <v>8</v>
      </c>
      <c r="U103" s="31">
        <v>878753.05000000016</v>
      </c>
      <c r="V103" s="31">
        <v>1197160.98</v>
      </c>
      <c r="W103" s="31">
        <v>8357675.4199999999</v>
      </c>
      <c r="X103" s="31">
        <v>1701454.3900000001</v>
      </c>
      <c r="Y103" s="31">
        <v>298162.02</v>
      </c>
      <c r="Z103" s="31">
        <v>925360.41999999993</v>
      </c>
      <c r="AA103" s="31">
        <v>495192.69</v>
      </c>
      <c r="AB103" s="31">
        <v>418831.60000000003</v>
      </c>
      <c r="AC103" s="31">
        <v>2092307.73</v>
      </c>
      <c r="AD103" s="31">
        <v>1959464.1402691915</v>
      </c>
      <c r="AE103" s="31">
        <v>434112.84</v>
      </c>
      <c r="AF103" s="31">
        <v>18758475.280269191</v>
      </c>
      <c r="AH103" s="276"/>
      <c r="AI103" s="276"/>
      <c r="AJ103" s="276"/>
      <c r="AK103" s="276"/>
      <c r="AL103" s="276"/>
      <c r="AM103" s="276"/>
      <c r="AN103" s="276"/>
      <c r="AO103" s="276"/>
      <c r="AP103" s="276"/>
      <c r="AQ103" s="276"/>
      <c r="AR103" s="276"/>
      <c r="AS103" s="276"/>
      <c r="AT103" s="276"/>
      <c r="AU103" s="276"/>
      <c r="AV103" s="276"/>
      <c r="AW103" s="394"/>
    </row>
    <row r="104" spans="1:49">
      <c r="A104" s="88">
        <v>95</v>
      </c>
      <c r="B104" s="88" t="s">
        <v>1801</v>
      </c>
      <c r="C104" s="31">
        <v>181</v>
      </c>
      <c r="D104" s="31">
        <v>0</v>
      </c>
      <c r="E104" s="31">
        <v>850</v>
      </c>
      <c r="F104" s="31">
        <v>4395</v>
      </c>
      <c r="G104" s="31">
        <v>2648</v>
      </c>
      <c r="H104" s="31">
        <v>2007</v>
      </c>
      <c r="I104" s="31">
        <v>438</v>
      </c>
      <c r="J104" s="31">
        <v>112</v>
      </c>
      <c r="K104" s="31">
        <v>0</v>
      </c>
      <c r="L104" s="31">
        <v>0</v>
      </c>
      <c r="M104" s="31">
        <v>1267</v>
      </c>
      <c r="N104" s="31">
        <v>404</v>
      </c>
      <c r="O104" s="31">
        <v>7707</v>
      </c>
      <c r="P104" s="31">
        <v>0</v>
      </c>
      <c r="Q104" s="31">
        <v>11662</v>
      </c>
      <c r="R104" s="150">
        <v>1</v>
      </c>
      <c r="S104" s="88">
        <v>10</v>
      </c>
      <c r="U104" s="31">
        <v>5688982.7699999996</v>
      </c>
      <c r="V104" s="31">
        <v>7751634.0899999999</v>
      </c>
      <c r="W104" s="31">
        <v>68691104.560000002</v>
      </c>
      <c r="X104" s="31">
        <v>11014706.120000001</v>
      </c>
      <c r="Y104" s="31">
        <v>2267781.4899999998</v>
      </c>
      <c r="Z104" s="31">
        <v>6151107.7699999996</v>
      </c>
      <c r="AA104" s="31">
        <v>3231446.1599999997</v>
      </c>
      <c r="AB104" s="31">
        <v>2606679.9400000004</v>
      </c>
      <c r="AC104" s="31">
        <v>15992637.939999998</v>
      </c>
      <c r="AD104" s="31">
        <v>14270399.667775102</v>
      </c>
      <c r="AE104" s="31">
        <v>2701146.56</v>
      </c>
      <c r="AF104" s="31">
        <v>140367627.0677751</v>
      </c>
      <c r="AH104" s="276"/>
      <c r="AI104" s="276"/>
      <c r="AJ104" s="276"/>
      <c r="AK104" s="276"/>
      <c r="AL104" s="276"/>
      <c r="AM104" s="276"/>
      <c r="AN104" s="276"/>
      <c r="AO104" s="276"/>
      <c r="AP104" s="276"/>
      <c r="AQ104" s="276"/>
      <c r="AR104" s="276"/>
      <c r="AS104" s="276"/>
      <c r="AT104" s="276"/>
      <c r="AU104" s="276"/>
      <c r="AV104" s="276"/>
      <c r="AW104" s="394"/>
    </row>
    <row r="105" spans="1:49">
      <c r="A105" s="88">
        <v>96</v>
      </c>
      <c r="B105" s="88" t="s">
        <v>1802</v>
      </c>
      <c r="C105" s="31">
        <v>94</v>
      </c>
      <c r="D105" s="31">
        <v>0</v>
      </c>
      <c r="E105" s="31">
        <v>211</v>
      </c>
      <c r="F105" s="31">
        <v>1305</v>
      </c>
      <c r="G105" s="31">
        <v>851</v>
      </c>
      <c r="H105" s="31">
        <v>880</v>
      </c>
      <c r="I105" s="31">
        <v>128</v>
      </c>
      <c r="J105" s="31">
        <v>33</v>
      </c>
      <c r="K105" s="31">
        <v>0</v>
      </c>
      <c r="L105" s="31">
        <v>0</v>
      </c>
      <c r="M105" s="31">
        <v>81</v>
      </c>
      <c r="N105" s="31">
        <v>67</v>
      </c>
      <c r="O105" s="31">
        <v>1087</v>
      </c>
      <c r="P105" s="31">
        <v>0</v>
      </c>
      <c r="Q105" s="31">
        <v>3442</v>
      </c>
      <c r="R105" s="150">
        <v>1</v>
      </c>
      <c r="S105" s="88">
        <v>7</v>
      </c>
      <c r="U105" s="31">
        <v>1675758.7699999998</v>
      </c>
      <c r="V105" s="31">
        <v>2287967.1800000002</v>
      </c>
      <c r="W105" s="31">
        <v>15864456.140000001</v>
      </c>
      <c r="X105" s="31">
        <v>3198035.24</v>
      </c>
      <c r="Y105" s="31">
        <v>566379.86</v>
      </c>
      <c r="Z105" s="31">
        <v>1849751.22</v>
      </c>
      <c r="AA105" s="31">
        <v>972276.48</v>
      </c>
      <c r="AB105" s="31">
        <v>862249.82</v>
      </c>
      <c r="AC105" s="31">
        <v>3987559.51</v>
      </c>
      <c r="AD105" s="31">
        <v>3716039.5810156832</v>
      </c>
      <c r="AE105" s="31">
        <v>795873.54</v>
      </c>
      <c r="AF105" s="31">
        <v>35776347.341015682</v>
      </c>
      <c r="AH105" s="276"/>
      <c r="AI105" s="276"/>
      <c r="AJ105" s="276"/>
      <c r="AK105" s="276"/>
      <c r="AL105" s="276"/>
      <c r="AM105" s="276"/>
      <c r="AN105" s="276"/>
      <c r="AO105" s="276"/>
      <c r="AP105" s="276"/>
      <c r="AQ105" s="276"/>
      <c r="AR105" s="276"/>
      <c r="AS105" s="276"/>
      <c r="AT105" s="276"/>
      <c r="AU105" s="276"/>
      <c r="AV105" s="276"/>
      <c r="AW105" s="394"/>
    </row>
    <row r="106" spans="1:49">
      <c r="A106" s="88">
        <v>97</v>
      </c>
      <c r="B106" s="88" t="s">
        <v>1803</v>
      </c>
      <c r="C106" s="31">
        <v>185</v>
      </c>
      <c r="D106" s="31">
        <v>0</v>
      </c>
      <c r="E106" s="31">
        <v>367</v>
      </c>
      <c r="F106" s="31">
        <v>2019</v>
      </c>
      <c r="G106" s="31">
        <v>1237</v>
      </c>
      <c r="H106" s="31">
        <v>1437</v>
      </c>
      <c r="I106" s="31">
        <v>212</v>
      </c>
      <c r="J106" s="31">
        <v>57</v>
      </c>
      <c r="K106" s="31">
        <v>0</v>
      </c>
      <c r="L106" s="31">
        <v>0</v>
      </c>
      <c r="M106" s="31">
        <v>604</v>
      </c>
      <c r="N106" s="31">
        <v>0</v>
      </c>
      <c r="O106" s="31">
        <v>3388</v>
      </c>
      <c r="P106" s="31">
        <v>0</v>
      </c>
      <c r="Q106" s="31">
        <v>5757</v>
      </c>
      <c r="R106" s="150">
        <v>1</v>
      </c>
      <c r="S106" s="88">
        <v>10</v>
      </c>
      <c r="U106" s="31">
        <v>2801924.46</v>
      </c>
      <c r="V106" s="31">
        <v>3826462.5300000003</v>
      </c>
      <c r="W106" s="31">
        <v>32173772.68</v>
      </c>
      <c r="X106" s="31">
        <v>5345720.24</v>
      </c>
      <c r="Y106" s="31">
        <v>1071140.03</v>
      </c>
      <c r="Z106" s="31">
        <v>2994673.8400000003</v>
      </c>
      <c r="AA106" s="31">
        <v>1625027.13</v>
      </c>
      <c r="AB106" s="31">
        <v>1371455.79</v>
      </c>
      <c r="AC106" s="31">
        <v>7516780.0499999998</v>
      </c>
      <c r="AD106" s="31">
        <v>6785614.6424772106</v>
      </c>
      <c r="AE106" s="31">
        <v>1374690.6600000001</v>
      </c>
      <c r="AF106" s="31">
        <v>66887262.052477211</v>
      </c>
      <c r="AH106" s="276"/>
      <c r="AI106" s="276"/>
      <c r="AJ106" s="276"/>
      <c r="AK106" s="276"/>
      <c r="AL106" s="276"/>
      <c r="AM106" s="276"/>
      <c r="AN106" s="276"/>
      <c r="AO106" s="276"/>
      <c r="AP106" s="276"/>
      <c r="AQ106" s="276"/>
      <c r="AR106" s="276"/>
      <c r="AS106" s="276"/>
      <c r="AT106" s="276"/>
      <c r="AU106" s="276"/>
      <c r="AV106" s="276"/>
      <c r="AW106" s="394"/>
    </row>
    <row r="107" spans="1:49">
      <c r="A107" s="88">
        <v>98</v>
      </c>
      <c r="B107" s="88" t="s">
        <v>1804</v>
      </c>
      <c r="C107" s="31">
        <v>8</v>
      </c>
      <c r="D107" s="31">
        <v>0</v>
      </c>
      <c r="E107" s="31">
        <v>5</v>
      </c>
      <c r="F107" s="31">
        <v>42</v>
      </c>
      <c r="G107" s="31">
        <v>19</v>
      </c>
      <c r="H107" s="31">
        <v>15</v>
      </c>
      <c r="I107" s="31">
        <v>3</v>
      </c>
      <c r="J107" s="31">
        <v>1</v>
      </c>
      <c r="K107" s="31">
        <v>0</v>
      </c>
      <c r="L107" s="31">
        <v>0</v>
      </c>
      <c r="M107" s="31">
        <v>0</v>
      </c>
      <c r="N107" s="31">
        <v>0</v>
      </c>
      <c r="O107" s="31">
        <v>21</v>
      </c>
      <c r="P107" s="31">
        <v>0</v>
      </c>
      <c r="Q107" s="31">
        <v>85</v>
      </c>
      <c r="R107" s="150">
        <v>1</v>
      </c>
      <c r="S107" s="88">
        <v>6</v>
      </c>
      <c r="U107" s="31">
        <v>41444.079999999994</v>
      </c>
      <c r="V107" s="31">
        <v>56501.280000000006</v>
      </c>
      <c r="W107" s="31">
        <v>356761.98</v>
      </c>
      <c r="X107" s="31">
        <v>81104.600000000006</v>
      </c>
      <c r="Y107" s="31">
        <v>13203.77</v>
      </c>
      <c r="Z107" s="31">
        <v>42527.05</v>
      </c>
      <c r="AA107" s="31">
        <v>22471.74</v>
      </c>
      <c r="AB107" s="31">
        <v>17937.62</v>
      </c>
      <c r="AC107" s="31">
        <v>92657.49</v>
      </c>
      <c r="AD107" s="31">
        <v>88837.735446840161</v>
      </c>
      <c r="AE107" s="31">
        <v>24117.38</v>
      </c>
      <c r="AF107" s="31">
        <v>837564.72544684017</v>
      </c>
      <c r="AH107" s="276"/>
      <c r="AI107" s="276"/>
      <c r="AJ107" s="276"/>
      <c r="AK107" s="276"/>
      <c r="AL107" s="276"/>
      <c r="AM107" s="276"/>
      <c r="AN107" s="276"/>
      <c r="AO107" s="276"/>
      <c r="AP107" s="276"/>
      <c r="AQ107" s="276"/>
      <c r="AR107" s="276"/>
      <c r="AS107" s="276"/>
      <c r="AT107" s="276"/>
      <c r="AU107" s="276"/>
      <c r="AV107" s="276"/>
      <c r="AW107" s="394"/>
    </row>
    <row r="108" spans="1:49">
      <c r="A108" s="88">
        <v>99</v>
      </c>
      <c r="B108" s="88" t="s">
        <v>1805</v>
      </c>
      <c r="C108" s="31">
        <v>21</v>
      </c>
      <c r="D108" s="31">
        <v>141</v>
      </c>
      <c r="E108" s="31">
        <v>28</v>
      </c>
      <c r="F108" s="31">
        <v>943</v>
      </c>
      <c r="G108" s="31">
        <v>635</v>
      </c>
      <c r="H108" s="31">
        <v>867</v>
      </c>
      <c r="I108" s="31">
        <v>97</v>
      </c>
      <c r="J108" s="31">
        <v>26</v>
      </c>
      <c r="K108" s="31">
        <v>0</v>
      </c>
      <c r="L108" s="31">
        <v>10</v>
      </c>
      <c r="M108" s="31">
        <v>37</v>
      </c>
      <c r="N108" s="31">
        <v>0</v>
      </c>
      <c r="O108" s="31">
        <v>406</v>
      </c>
      <c r="P108" s="31">
        <v>0</v>
      </c>
      <c r="Q108" s="31">
        <v>2597</v>
      </c>
      <c r="R108" s="150">
        <v>1.054</v>
      </c>
      <c r="S108" s="88">
        <v>3</v>
      </c>
      <c r="U108" s="31">
        <v>1336337.2039399999</v>
      </c>
      <c r="V108" s="31">
        <v>1818798.0413599999</v>
      </c>
      <c r="W108" s="31">
        <v>11144515.502480002</v>
      </c>
      <c r="X108" s="31">
        <v>2500384.1002200004</v>
      </c>
      <c r="Y108" s="31">
        <v>414400.06275999994</v>
      </c>
      <c r="Z108" s="31">
        <v>1408954.4000000001</v>
      </c>
      <c r="AA108" s="31">
        <v>794769.30078000005</v>
      </c>
      <c r="AB108" s="31">
        <v>747763.90467999992</v>
      </c>
      <c r="AC108" s="31">
        <v>2908026.1468599997</v>
      </c>
      <c r="AD108" s="31">
        <v>2630116.9741094969</v>
      </c>
      <c r="AE108" s="31">
        <v>627051.88</v>
      </c>
      <c r="AF108" s="31">
        <v>26331117.517189495</v>
      </c>
      <c r="AH108" s="276"/>
      <c r="AI108" s="276"/>
      <c r="AJ108" s="276"/>
      <c r="AK108" s="276"/>
      <c r="AL108" s="276"/>
      <c r="AM108" s="276"/>
      <c r="AN108" s="276"/>
      <c r="AO108" s="276"/>
      <c r="AP108" s="276"/>
      <c r="AQ108" s="276"/>
      <c r="AR108" s="276"/>
      <c r="AS108" s="276"/>
      <c r="AT108" s="276"/>
      <c r="AU108" s="276"/>
      <c r="AV108" s="276"/>
      <c r="AW108" s="394"/>
    </row>
    <row r="109" spans="1:49">
      <c r="A109" s="88">
        <v>100</v>
      </c>
      <c r="B109" s="88" t="s">
        <v>1806</v>
      </c>
      <c r="C109" s="31">
        <v>86</v>
      </c>
      <c r="D109" s="31">
        <v>2</v>
      </c>
      <c r="E109" s="31">
        <v>606</v>
      </c>
      <c r="F109" s="31">
        <v>2883</v>
      </c>
      <c r="G109" s="31">
        <v>1869</v>
      </c>
      <c r="H109" s="31">
        <v>2053</v>
      </c>
      <c r="I109" s="31">
        <v>338</v>
      </c>
      <c r="J109" s="31">
        <v>90</v>
      </c>
      <c r="K109" s="31">
        <v>9</v>
      </c>
      <c r="L109" s="31">
        <v>0</v>
      </c>
      <c r="M109" s="31">
        <v>1594</v>
      </c>
      <c r="N109" s="31">
        <v>7</v>
      </c>
      <c r="O109" s="31">
        <v>3233</v>
      </c>
      <c r="P109" s="31">
        <v>0</v>
      </c>
      <c r="Q109" s="31">
        <v>9061</v>
      </c>
      <c r="R109" s="150">
        <v>1.0409999999999999</v>
      </c>
      <c r="S109" s="88">
        <v>8</v>
      </c>
      <c r="U109" s="31">
        <v>4603105.9588800007</v>
      </c>
      <c r="V109" s="31">
        <v>6269627.0877299998</v>
      </c>
      <c r="W109" s="31">
        <v>46292347.632360004</v>
      </c>
      <c r="X109" s="31">
        <v>8772065.355750002</v>
      </c>
      <c r="Y109" s="31">
        <v>1622078.0906099998</v>
      </c>
      <c r="Z109" s="31">
        <v>4665314.6100000003</v>
      </c>
      <c r="AA109" s="31">
        <v>2675013.3950399999</v>
      </c>
      <c r="AB109" s="31">
        <v>2166769.8167399997</v>
      </c>
      <c r="AC109" s="31">
        <v>11384384.81727</v>
      </c>
      <c r="AD109" s="31">
        <v>10098649.97782729</v>
      </c>
      <c r="AE109" s="31">
        <v>2170564.2000000002</v>
      </c>
      <c r="AF109" s="31">
        <v>100719920.94220732</v>
      </c>
      <c r="AH109" s="276"/>
      <c r="AI109" s="276"/>
      <c r="AJ109" s="276"/>
      <c r="AK109" s="276"/>
      <c r="AL109" s="276"/>
      <c r="AM109" s="276"/>
      <c r="AN109" s="276"/>
      <c r="AO109" s="276"/>
      <c r="AP109" s="276"/>
      <c r="AQ109" s="276"/>
      <c r="AR109" s="276"/>
      <c r="AS109" s="276"/>
      <c r="AT109" s="276"/>
      <c r="AU109" s="276"/>
      <c r="AV109" s="276"/>
      <c r="AW109" s="394"/>
    </row>
    <row r="110" spans="1:49">
      <c r="A110" s="88">
        <v>101</v>
      </c>
      <c r="B110" s="88" t="s">
        <v>1807</v>
      </c>
      <c r="C110" s="31">
        <v>131</v>
      </c>
      <c r="D110" s="31">
        <v>1</v>
      </c>
      <c r="E110" s="31">
        <v>350</v>
      </c>
      <c r="F110" s="31">
        <v>2039</v>
      </c>
      <c r="G110" s="31">
        <v>1509</v>
      </c>
      <c r="H110" s="31">
        <v>1776</v>
      </c>
      <c r="I110" s="31">
        <v>216</v>
      </c>
      <c r="J110" s="31">
        <v>58</v>
      </c>
      <c r="K110" s="31">
        <v>0</v>
      </c>
      <c r="L110" s="31">
        <v>0</v>
      </c>
      <c r="M110" s="31">
        <v>77</v>
      </c>
      <c r="N110" s="31">
        <v>0</v>
      </c>
      <c r="O110" s="31">
        <v>538</v>
      </c>
      <c r="P110" s="31">
        <v>0</v>
      </c>
      <c r="Q110" s="31">
        <v>5818</v>
      </c>
      <c r="R110" s="150">
        <v>1.0549999999999999</v>
      </c>
      <c r="S110" s="88">
        <v>2</v>
      </c>
      <c r="U110" s="31">
        <v>2992920.1105</v>
      </c>
      <c r="V110" s="31">
        <v>4079344.8257999998</v>
      </c>
      <c r="W110" s="31">
        <v>23550949.181900002</v>
      </c>
      <c r="X110" s="31">
        <v>5634916.2989500007</v>
      </c>
      <c r="Y110" s="31">
        <v>901218.70569999993</v>
      </c>
      <c r="Z110" s="31">
        <v>3112508.13</v>
      </c>
      <c r="AA110" s="31">
        <v>1761838.74315</v>
      </c>
      <c r="AB110" s="31">
        <v>1612366.4380999999</v>
      </c>
      <c r="AC110" s="31">
        <v>6324234.5093999999</v>
      </c>
      <c r="AD110" s="31">
        <v>5779835.3434835114</v>
      </c>
      <c r="AE110" s="31">
        <v>1398808.04</v>
      </c>
      <c r="AF110" s="31">
        <v>57148940.326983534</v>
      </c>
      <c r="AH110" s="276"/>
      <c r="AI110" s="276"/>
      <c r="AJ110" s="276"/>
      <c r="AK110" s="276"/>
      <c r="AL110" s="276"/>
      <c r="AM110" s="276"/>
      <c r="AN110" s="276"/>
      <c r="AO110" s="276"/>
      <c r="AP110" s="276"/>
      <c r="AQ110" s="276"/>
      <c r="AR110" s="276"/>
      <c r="AS110" s="276"/>
      <c r="AT110" s="276"/>
      <c r="AU110" s="276"/>
      <c r="AV110" s="276"/>
      <c r="AW110" s="394"/>
    </row>
    <row r="111" spans="1:49">
      <c r="A111" s="88">
        <v>102</v>
      </c>
      <c r="B111" s="88" t="s">
        <v>1808</v>
      </c>
      <c r="C111" s="31">
        <v>0</v>
      </c>
      <c r="D111" s="31">
        <v>0</v>
      </c>
      <c r="E111" s="31">
        <v>0</v>
      </c>
      <c r="F111" s="31">
        <v>0</v>
      </c>
      <c r="G111" s="31">
        <v>0</v>
      </c>
      <c r="H111" s="31">
        <v>0</v>
      </c>
      <c r="I111" s="31">
        <v>4</v>
      </c>
      <c r="J111" s="31">
        <v>0</v>
      </c>
      <c r="K111" s="31">
        <v>0</v>
      </c>
      <c r="L111" s="31">
        <v>0</v>
      </c>
      <c r="M111" s="31">
        <v>0</v>
      </c>
      <c r="N111" s="31">
        <v>92</v>
      </c>
      <c r="O111" s="31">
        <v>0</v>
      </c>
      <c r="P111" s="31">
        <v>0</v>
      </c>
      <c r="Q111" s="31">
        <v>92</v>
      </c>
      <c r="R111" s="150">
        <v>1</v>
      </c>
      <c r="S111" s="88">
        <v>0</v>
      </c>
      <c r="U111" s="31">
        <v>44020.28</v>
      </c>
      <c r="V111" s="31">
        <v>61154.240000000005</v>
      </c>
      <c r="W111" s="31">
        <v>650433.4</v>
      </c>
      <c r="X111" s="31">
        <v>74404.240000000005</v>
      </c>
      <c r="Y111" s="31">
        <v>20901.480000000003</v>
      </c>
      <c r="Z111" s="31">
        <v>115051.92</v>
      </c>
      <c r="AA111" s="31">
        <v>34047.360000000001</v>
      </c>
      <c r="AB111" s="31">
        <v>45862</v>
      </c>
      <c r="AC111" s="31">
        <v>164539.07999999999</v>
      </c>
      <c r="AD111" s="31">
        <v>126461.39778783554</v>
      </c>
      <c r="AE111" s="31">
        <v>0</v>
      </c>
      <c r="AF111" s="31">
        <v>1336875.3977878354</v>
      </c>
      <c r="AH111" s="276"/>
      <c r="AI111" s="276"/>
      <c r="AJ111" s="276"/>
      <c r="AK111" s="276"/>
      <c r="AL111" s="276"/>
      <c r="AM111" s="276"/>
      <c r="AN111" s="276"/>
      <c r="AO111" s="276"/>
      <c r="AP111" s="276"/>
      <c r="AQ111" s="276"/>
      <c r="AR111" s="276"/>
      <c r="AS111" s="276"/>
      <c r="AT111" s="276"/>
      <c r="AU111" s="276"/>
      <c r="AV111" s="276"/>
      <c r="AW111" s="394"/>
    </row>
    <row r="112" spans="1:49">
      <c r="A112" s="88">
        <v>103</v>
      </c>
      <c r="B112" s="88" t="s">
        <v>1809</v>
      </c>
      <c r="C112" s="31">
        <v>43</v>
      </c>
      <c r="D112" s="31">
        <v>0</v>
      </c>
      <c r="E112" s="31">
        <v>187</v>
      </c>
      <c r="F112" s="31">
        <v>983</v>
      </c>
      <c r="G112" s="31">
        <v>549</v>
      </c>
      <c r="H112" s="31">
        <v>679</v>
      </c>
      <c r="I112" s="31">
        <v>94</v>
      </c>
      <c r="J112" s="31">
        <v>25</v>
      </c>
      <c r="K112" s="31">
        <v>0</v>
      </c>
      <c r="L112" s="31">
        <v>0</v>
      </c>
      <c r="M112" s="31">
        <v>111</v>
      </c>
      <c r="N112" s="31">
        <v>0</v>
      </c>
      <c r="O112" s="31">
        <v>1279</v>
      </c>
      <c r="P112" s="31">
        <v>0</v>
      </c>
      <c r="Q112" s="31">
        <v>2531</v>
      </c>
      <c r="R112" s="150">
        <v>1</v>
      </c>
      <c r="S112" s="88">
        <v>10</v>
      </c>
      <c r="U112" s="31">
        <v>1233603.5</v>
      </c>
      <c r="V112" s="31">
        <v>1682074.3900000001</v>
      </c>
      <c r="W112" s="31">
        <v>13264105.950000001</v>
      </c>
      <c r="X112" s="31">
        <v>2364479.48</v>
      </c>
      <c r="Y112" s="31">
        <v>449801.95</v>
      </c>
      <c r="Z112" s="31">
        <v>1329236.0699999998</v>
      </c>
      <c r="AA112" s="31">
        <v>710398.26</v>
      </c>
      <c r="AB112" s="31">
        <v>620352.4</v>
      </c>
      <c r="AC112" s="31">
        <v>3156472.8300000005</v>
      </c>
      <c r="AD112" s="31">
        <v>2887472.1529496363</v>
      </c>
      <c r="AE112" s="31">
        <v>602934.5</v>
      </c>
      <c r="AF112" s="31">
        <v>28300931.482949637</v>
      </c>
      <c r="AH112" s="276"/>
      <c r="AI112" s="276"/>
      <c r="AJ112" s="276"/>
      <c r="AK112" s="276"/>
      <c r="AL112" s="276"/>
      <c r="AM112" s="276"/>
      <c r="AN112" s="276"/>
      <c r="AO112" s="276"/>
      <c r="AP112" s="276"/>
      <c r="AQ112" s="276"/>
      <c r="AR112" s="276"/>
      <c r="AS112" s="276"/>
      <c r="AT112" s="276"/>
      <c r="AU112" s="276"/>
      <c r="AV112" s="276"/>
      <c r="AW112" s="394"/>
    </row>
    <row r="113" spans="1:49">
      <c r="A113" s="88">
        <v>104</v>
      </c>
      <c r="B113" s="88" t="s">
        <v>1370</v>
      </c>
      <c r="C113" s="31">
        <v>0</v>
      </c>
      <c r="D113" s="31">
        <v>0</v>
      </c>
      <c r="E113" s="31">
        <v>0</v>
      </c>
      <c r="F113" s="31">
        <v>0</v>
      </c>
      <c r="G113" s="31">
        <v>0</v>
      </c>
      <c r="H113" s="31">
        <v>0</v>
      </c>
      <c r="I113" s="31">
        <v>0</v>
      </c>
      <c r="J113" s="31">
        <v>0</v>
      </c>
      <c r="K113" s="31">
        <v>0</v>
      </c>
      <c r="L113" s="31">
        <v>0</v>
      </c>
      <c r="M113" s="31">
        <v>0</v>
      </c>
      <c r="N113" s="31">
        <v>0</v>
      </c>
      <c r="O113" s="31">
        <v>0</v>
      </c>
      <c r="P113" s="31">
        <v>0</v>
      </c>
      <c r="Q113" s="31">
        <v>0</v>
      </c>
      <c r="R113" s="150">
        <v>1</v>
      </c>
      <c r="S113" s="88">
        <v>0</v>
      </c>
      <c r="U113" s="31">
        <v>0</v>
      </c>
      <c r="V113" s="31">
        <v>0</v>
      </c>
      <c r="W113" s="31">
        <v>0</v>
      </c>
      <c r="X113" s="31">
        <v>0</v>
      </c>
      <c r="Y113" s="31">
        <v>0</v>
      </c>
      <c r="Z113" s="31">
        <v>0</v>
      </c>
      <c r="AA113" s="31">
        <v>0</v>
      </c>
      <c r="AB113" s="31">
        <v>0</v>
      </c>
      <c r="AC113" s="31">
        <v>0</v>
      </c>
      <c r="AD113" s="31">
        <v>0</v>
      </c>
      <c r="AE113" s="31">
        <v>0</v>
      </c>
      <c r="AF113" s="31">
        <v>0</v>
      </c>
      <c r="AH113" s="276"/>
      <c r="AI113" s="276"/>
      <c r="AJ113" s="276"/>
      <c r="AK113" s="276"/>
      <c r="AL113" s="276"/>
      <c r="AM113" s="276"/>
      <c r="AN113" s="276"/>
      <c r="AO113" s="276"/>
      <c r="AP113" s="276"/>
      <c r="AQ113" s="276"/>
      <c r="AR113" s="276"/>
      <c r="AS113" s="276"/>
      <c r="AT113" s="276"/>
      <c r="AU113" s="276"/>
      <c r="AV113" s="276"/>
      <c r="AW113" s="394"/>
    </row>
    <row r="114" spans="1:49">
      <c r="A114" s="88">
        <v>105</v>
      </c>
      <c r="B114" s="88" t="s">
        <v>1810</v>
      </c>
      <c r="C114" s="31">
        <v>8</v>
      </c>
      <c r="D114" s="31">
        <v>0</v>
      </c>
      <c r="E114" s="31">
        <v>86</v>
      </c>
      <c r="F114" s="31">
        <v>489</v>
      </c>
      <c r="G114" s="31">
        <v>343</v>
      </c>
      <c r="H114" s="31">
        <v>418</v>
      </c>
      <c r="I114" s="31">
        <v>50</v>
      </c>
      <c r="J114" s="31">
        <v>13</v>
      </c>
      <c r="K114" s="31">
        <v>0</v>
      </c>
      <c r="L114" s="31">
        <v>0</v>
      </c>
      <c r="M114" s="31">
        <v>4</v>
      </c>
      <c r="N114" s="31">
        <v>3</v>
      </c>
      <c r="O114" s="31">
        <v>154</v>
      </c>
      <c r="P114" s="31">
        <v>0</v>
      </c>
      <c r="Q114" s="31">
        <v>1347</v>
      </c>
      <c r="R114" s="150">
        <v>1</v>
      </c>
      <c r="S114" s="88">
        <v>2</v>
      </c>
      <c r="U114" s="31">
        <v>655779.40999999992</v>
      </c>
      <c r="V114" s="31">
        <v>895377.92000000016</v>
      </c>
      <c r="W114" s="31">
        <v>5255902.4900000012</v>
      </c>
      <c r="X114" s="31">
        <v>1237179.7000000002</v>
      </c>
      <c r="Y114" s="31">
        <v>199410.75</v>
      </c>
      <c r="Z114" s="31">
        <v>724901.89999999991</v>
      </c>
      <c r="AA114" s="31">
        <v>386664.77999999997</v>
      </c>
      <c r="AB114" s="31">
        <v>357208.23000000004</v>
      </c>
      <c r="AC114" s="31">
        <v>1399924.29</v>
      </c>
      <c r="AD114" s="31">
        <v>1345821.1047678306</v>
      </c>
      <c r="AE114" s="31">
        <v>313525.94</v>
      </c>
      <c r="AF114" s="31">
        <v>12771696.514767833</v>
      </c>
      <c r="AH114" s="276"/>
      <c r="AI114" s="276"/>
      <c r="AJ114" s="276"/>
      <c r="AK114" s="276"/>
      <c r="AL114" s="276"/>
      <c r="AM114" s="276"/>
      <c r="AN114" s="276"/>
      <c r="AO114" s="276"/>
      <c r="AP114" s="276"/>
      <c r="AQ114" s="276"/>
      <c r="AR114" s="276"/>
      <c r="AS114" s="276"/>
      <c r="AT114" s="276"/>
      <c r="AU114" s="276"/>
      <c r="AV114" s="276"/>
      <c r="AW114" s="394"/>
    </row>
    <row r="115" spans="1:49">
      <c r="A115" s="88">
        <v>106</v>
      </c>
      <c r="B115" s="88" t="s">
        <v>1811</v>
      </c>
      <c r="C115" s="31">
        <v>0</v>
      </c>
      <c r="D115" s="31">
        <v>0</v>
      </c>
      <c r="E115" s="31">
        <v>0</v>
      </c>
      <c r="F115" s="31">
        <v>0</v>
      </c>
      <c r="G115" s="31">
        <v>0</v>
      </c>
      <c r="H115" s="31">
        <v>0</v>
      </c>
      <c r="I115" s="31">
        <v>0</v>
      </c>
      <c r="J115" s="31">
        <v>0</v>
      </c>
      <c r="K115" s="31">
        <v>0</v>
      </c>
      <c r="L115" s="31">
        <v>0</v>
      </c>
      <c r="M115" s="31">
        <v>0</v>
      </c>
      <c r="N115" s="31">
        <v>0</v>
      </c>
      <c r="O115" s="31">
        <v>0</v>
      </c>
      <c r="P115" s="31">
        <v>0</v>
      </c>
      <c r="Q115" s="31">
        <v>0</v>
      </c>
      <c r="R115" s="150">
        <v>1</v>
      </c>
      <c r="S115" s="88">
        <v>0</v>
      </c>
      <c r="U115" s="31">
        <v>0</v>
      </c>
      <c r="V115" s="31">
        <v>0</v>
      </c>
      <c r="W115" s="31">
        <v>0</v>
      </c>
      <c r="X115" s="31">
        <v>0</v>
      </c>
      <c r="Y115" s="31">
        <v>0</v>
      </c>
      <c r="Z115" s="31">
        <v>0</v>
      </c>
      <c r="AA115" s="31">
        <v>0</v>
      </c>
      <c r="AB115" s="31">
        <v>0</v>
      </c>
      <c r="AC115" s="31">
        <v>0</v>
      </c>
      <c r="AD115" s="31">
        <v>0</v>
      </c>
      <c r="AE115" s="31">
        <v>0</v>
      </c>
      <c r="AF115" s="31">
        <v>0</v>
      </c>
      <c r="AH115" s="276"/>
      <c r="AI115" s="276"/>
      <c r="AJ115" s="276"/>
      <c r="AK115" s="276"/>
      <c r="AL115" s="276"/>
      <c r="AM115" s="276"/>
      <c r="AN115" s="276"/>
      <c r="AO115" s="276"/>
      <c r="AP115" s="276"/>
      <c r="AQ115" s="276"/>
      <c r="AR115" s="276"/>
      <c r="AS115" s="276"/>
      <c r="AT115" s="276"/>
      <c r="AU115" s="276"/>
      <c r="AV115" s="276"/>
      <c r="AW115" s="394"/>
    </row>
    <row r="116" spans="1:49">
      <c r="A116" s="88">
        <v>107</v>
      </c>
      <c r="B116" s="88" t="s">
        <v>1812</v>
      </c>
      <c r="C116" s="31">
        <v>97</v>
      </c>
      <c r="D116" s="31">
        <v>0</v>
      </c>
      <c r="E116" s="31">
        <v>234</v>
      </c>
      <c r="F116" s="31">
        <v>1134</v>
      </c>
      <c r="G116" s="31">
        <v>698</v>
      </c>
      <c r="H116" s="31">
        <v>821</v>
      </c>
      <c r="I116" s="31">
        <v>119</v>
      </c>
      <c r="J116" s="31">
        <v>30</v>
      </c>
      <c r="K116" s="31">
        <v>0</v>
      </c>
      <c r="L116" s="31">
        <v>0</v>
      </c>
      <c r="M116" s="31">
        <v>143</v>
      </c>
      <c r="N116" s="31">
        <v>110</v>
      </c>
      <c r="O116" s="31">
        <v>1161</v>
      </c>
      <c r="P116" s="31">
        <v>0</v>
      </c>
      <c r="Q116" s="31">
        <v>3189</v>
      </c>
      <c r="R116" s="150">
        <v>1.0409999999999999</v>
      </c>
      <c r="S116" s="88">
        <v>8</v>
      </c>
      <c r="U116" s="31">
        <v>1615609.9932599999</v>
      </c>
      <c r="V116" s="31">
        <v>2206358.5782899996</v>
      </c>
      <c r="W116" s="31">
        <v>16181463.689399997</v>
      </c>
      <c r="X116" s="31">
        <v>3079404.2524799998</v>
      </c>
      <c r="Y116" s="31">
        <v>564955.36367999995</v>
      </c>
      <c r="Z116" s="31">
        <v>1753271.1399999997</v>
      </c>
      <c r="AA116" s="31">
        <v>944183.86658999999</v>
      </c>
      <c r="AB116" s="31">
        <v>842100.24195000005</v>
      </c>
      <c r="AC116" s="31">
        <v>3986774.3408100004</v>
      </c>
      <c r="AD116" s="31">
        <v>3526220.5167302773</v>
      </c>
      <c r="AE116" s="31">
        <v>723521.4</v>
      </c>
      <c r="AF116" s="31">
        <v>35423863.383190274</v>
      </c>
      <c r="AH116" s="276"/>
      <c r="AI116" s="276"/>
      <c r="AJ116" s="276"/>
      <c r="AK116" s="276"/>
      <c r="AL116" s="276"/>
      <c r="AM116" s="276"/>
      <c r="AN116" s="276"/>
      <c r="AO116" s="276"/>
      <c r="AP116" s="276"/>
      <c r="AQ116" s="276"/>
      <c r="AR116" s="276"/>
      <c r="AS116" s="276"/>
      <c r="AT116" s="276"/>
      <c r="AU116" s="276"/>
      <c r="AV116" s="276"/>
      <c r="AW116" s="394"/>
    </row>
    <row r="117" spans="1:49">
      <c r="A117" s="88">
        <v>108</v>
      </c>
      <c r="B117" s="88" t="s">
        <v>1813</v>
      </c>
      <c r="C117" s="31">
        <v>0</v>
      </c>
      <c r="D117" s="31">
        <v>0</v>
      </c>
      <c r="E117" s="31">
        <v>0</v>
      </c>
      <c r="F117" s="31">
        <v>0</v>
      </c>
      <c r="G117" s="31">
        <v>0</v>
      </c>
      <c r="H117" s="31">
        <v>0</v>
      </c>
      <c r="I117" s="31">
        <v>0</v>
      </c>
      <c r="J117" s="31">
        <v>0</v>
      </c>
      <c r="K117" s="31">
        <v>0</v>
      </c>
      <c r="L117" s="31">
        <v>0</v>
      </c>
      <c r="M117" s="31">
        <v>0</v>
      </c>
      <c r="N117" s="31">
        <v>8</v>
      </c>
      <c r="O117" s="31">
        <v>0</v>
      </c>
      <c r="P117" s="31">
        <v>0</v>
      </c>
      <c r="Q117" s="31">
        <v>8</v>
      </c>
      <c r="R117" s="150">
        <v>1</v>
      </c>
      <c r="S117" s="88">
        <v>0</v>
      </c>
      <c r="U117" s="31">
        <v>2944.32</v>
      </c>
      <c r="V117" s="31">
        <v>5317.76</v>
      </c>
      <c r="W117" s="31">
        <v>53644</v>
      </c>
      <c r="X117" s="31">
        <v>3747.84</v>
      </c>
      <c r="Y117" s="31">
        <v>1676.88</v>
      </c>
      <c r="Z117" s="31">
        <v>9881.76</v>
      </c>
      <c r="AA117" s="31">
        <v>2960.64</v>
      </c>
      <c r="AB117" s="31">
        <v>3988</v>
      </c>
      <c r="AC117" s="31">
        <v>13320.8</v>
      </c>
      <c r="AD117" s="31">
        <v>9852.6667487163795</v>
      </c>
      <c r="AE117" s="31">
        <v>0</v>
      </c>
      <c r="AF117" s="31">
        <v>107334.66674871638</v>
      </c>
      <c r="AH117" s="276"/>
      <c r="AI117" s="276"/>
      <c r="AJ117" s="276"/>
      <c r="AK117" s="276"/>
      <c r="AL117" s="276"/>
      <c r="AM117" s="276"/>
      <c r="AN117" s="276"/>
      <c r="AO117" s="276"/>
      <c r="AP117" s="276"/>
      <c r="AQ117" s="276"/>
      <c r="AR117" s="276"/>
      <c r="AS117" s="276"/>
      <c r="AT117" s="276"/>
      <c r="AU117" s="276"/>
      <c r="AV117" s="276"/>
      <c r="AW117" s="394"/>
    </row>
    <row r="118" spans="1:49">
      <c r="A118" s="88">
        <v>109</v>
      </c>
      <c r="B118" s="88" t="s">
        <v>1814</v>
      </c>
      <c r="C118" s="31">
        <v>0</v>
      </c>
      <c r="D118" s="31">
        <v>0</v>
      </c>
      <c r="E118" s="31">
        <v>0</v>
      </c>
      <c r="F118" s="31">
        <v>1</v>
      </c>
      <c r="G118" s="31">
        <v>2</v>
      </c>
      <c r="H118" s="31">
        <v>0</v>
      </c>
      <c r="I118" s="31">
        <v>0</v>
      </c>
      <c r="J118" s="31">
        <v>0</v>
      </c>
      <c r="K118" s="31">
        <v>0</v>
      </c>
      <c r="L118" s="31">
        <v>0</v>
      </c>
      <c r="M118" s="31">
        <v>0</v>
      </c>
      <c r="N118" s="31">
        <v>0</v>
      </c>
      <c r="O118" s="31">
        <v>0</v>
      </c>
      <c r="P118" s="31">
        <v>0</v>
      </c>
      <c r="Q118" s="31">
        <v>3</v>
      </c>
      <c r="R118" s="150">
        <v>1</v>
      </c>
      <c r="S118" s="88">
        <v>0</v>
      </c>
      <c r="U118" s="31">
        <v>1104.1200000000001</v>
      </c>
      <c r="V118" s="31">
        <v>1994.16</v>
      </c>
      <c r="W118" s="31">
        <v>8412.33</v>
      </c>
      <c r="X118" s="31">
        <v>1907.2</v>
      </c>
      <c r="Y118" s="31">
        <v>382.14</v>
      </c>
      <c r="Z118" s="31">
        <v>1323.4499999999998</v>
      </c>
      <c r="AA118" s="31">
        <v>812.25</v>
      </c>
      <c r="AB118" s="31">
        <v>564.71</v>
      </c>
      <c r="AC118" s="31">
        <v>2681.56</v>
      </c>
      <c r="AD118" s="31">
        <v>2573.8660803815592</v>
      </c>
      <c r="AE118" s="31">
        <v>0</v>
      </c>
      <c r="AF118" s="31">
        <v>21755.78608038156</v>
      </c>
      <c r="AH118" s="276"/>
      <c r="AI118" s="276"/>
      <c r="AJ118" s="276"/>
      <c r="AK118" s="276"/>
      <c r="AL118" s="276"/>
      <c r="AM118" s="276"/>
      <c r="AN118" s="276"/>
      <c r="AO118" s="276"/>
      <c r="AP118" s="276"/>
      <c r="AQ118" s="276"/>
      <c r="AR118" s="276"/>
      <c r="AS118" s="276"/>
      <c r="AT118" s="276"/>
      <c r="AU118" s="276"/>
      <c r="AV118" s="276"/>
      <c r="AW118" s="394"/>
    </row>
    <row r="119" spans="1:49">
      <c r="A119" s="88">
        <v>110</v>
      </c>
      <c r="B119" s="88" t="s">
        <v>1815</v>
      </c>
      <c r="C119" s="31">
        <v>129</v>
      </c>
      <c r="D119" s="31">
        <v>1</v>
      </c>
      <c r="E119" s="31">
        <v>232</v>
      </c>
      <c r="F119" s="31">
        <v>1215</v>
      </c>
      <c r="G119" s="31">
        <v>749</v>
      </c>
      <c r="H119" s="31">
        <v>864</v>
      </c>
      <c r="I119" s="31">
        <v>116</v>
      </c>
      <c r="J119" s="31">
        <v>31</v>
      </c>
      <c r="K119" s="31">
        <v>0</v>
      </c>
      <c r="L119" s="31">
        <v>0</v>
      </c>
      <c r="M119" s="31">
        <v>25</v>
      </c>
      <c r="N119" s="31">
        <v>0</v>
      </c>
      <c r="O119" s="31">
        <v>432</v>
      </c>
      <c r="P119" s="31">
        <v>0</v>
      </c>
      <c r="Q119" s="31">
        <v>3151</v>
      </c>
      <c r="R119" s="150">
        <v>1</v>
      </c>
      <c r="S119" s="88">
        <v>3</v>
      </c>
      <c r="U119" s="31">
        <v>1532729.35</v>
      </c>
      <c r="V119" s="31">
        <v>2093869.3000000003</v>
      </c>
      <c r="W119" s="31">
        <v>12430056.299999999</v>
      </c>
      <c r="X119" s="31">
        <v>2932889.5</v>
      </c>
      <c r="Y119" s="31">
        <v>469829.85999999993</v>
      </c>
      <c r="Z119" s="31">
        <v>1659262.67</v>
      </c>
      <c r="AA119" s="31">
        <v>883601.67</v>
      </c>
      <c r="AB119" s="31">
        <v>782941.5</v>
      </c>
      <c r="AC119" s="31">
        <v>3296988.9400000004</v>
      </c>
      <c r="AD119" s="31">
        <v>3175852.5102911</v>
      </c>
      <c r="AE119" s="31">
        <v>747638.78</v>
      </c>
      <c r="AF119" s="31">
        <v>30005660.380291101</v>
      </c>
      <c r="AH119" s="276"/>
      <c r="AI119" s="276"/>
      <c r="AJ119" s="276"/>
      <c r="AK119" s="276"/>
      <c r="AL119" s="276"/>
      <c r="AM119" s="276"/>
      <c r="AN119" s="276"/>
      <c r="AO119" s="276"/>
      <c r="AP119" s="276"/>
      <c r="AQ119" s="276"/>
      <c r="AR119" s="276"/>
      <c r="AS119" s="276"/>
      <c r="AT119" s="276"/>
      <c r="AU119" s="276"/>
      <c r="AV119" s="276"/>
      <c r="AW119" s="394"/>
    </row>
    <row r="120" spans="1:49">
      <c r="A120" s="88">
        <v>111</v>
      </c>
      <c r="B120" s="88" t="s">
        <v>1816</v>
      </c>
      <c r="C120" s="31">
        <v>25</v>
      </c>
      <c r="D120" s="31">
        <v>0</v>
      </c>
      <c r="E120" s="31">
        <v>42</v>
      </c>
      <c r="F120" s="31">
        <v>234</v>
      </c>
      <c r="G120" s="31">
        <v>189</v>
      </c>
      <c r="H120" s="31">
        <v>245</v>
      </c>
      <c r="I120" s="31">
        <v>27</v>
      </c>
      <c r="J120" s="31">
        <v>7</v>
      </c>
      <c r="K120" s="31">
        <v>2</v>
      </c>
      <c r="L120" s="31">
        <v>0</v>
      </c>
      <c r="M120" s="31">
        <v>18</v>
      </c>
      <c r="N120" s="31">
        <v>0</v>
      </c>
      <c r="O120" s="31">
        <v>196</v>
      </c>
      <c r="P120" s="31">
        <v>0</v>
      </c>
      <c r="Q120" s="31">
        <v>742</v>
      </c>
      <c r="R120" s="150">
        <v>1</v>
      </c>
      <c r="S120" s="88">
        <v>6</v>
      </c>
      <c r="U120" s="31">
        <v>359267.05</v>
      </c>
      <c r="V120" s="31">
        <v>492890.15000000008</v>
      </c>
      <c r="W120" s="31">
        <v>3282577.91</v>
      </c>
      <c r="X120" s="31">
        <v>670116.03999999992</v>
      </c>
      <c r="Y120" s="31">
        <v>118156.08999999998</v>
      </c>
      <c r="Z120" s="31">
        <v>401493.2</v>
      </c>
      <c r="AA120" s="31">
        <v>216063.45</v>
      </c>
      <c r="AB120" s="31">
        <v>201283.63999999998</v>
      </c>
      <c r="AC120" s="31">
        <v>829163.17999999993</v>
      </c>
      <c r="AD120" s="31">
        <v>776818.50584627723</v>
      </c>
      <c r="AE120" s="31">
        <v>168821.66</v>
      </c>
      <c r="AF120" s="31">
        <v>7516650.875846277</v>
      </c>
      <c r="AH120" s="276"/>
      <c r="AI120" s="276"/>
      <c r="AJ120" s="276"/>
      <c r="AK120" s="276"/>
      <c r="AL120" s="276"/>
      <c r="AM120" s="276"/>
      <c r="AN120" s="276"/>
      <c r="AO120" s="276"/>
      <c r="AP120" s="276"/>
      <c r="AQ120" s="276"/>
      <c r="AR120" s="276"/>
      <c r="AS120" s="276"/>
      <c r="AT120" s="276"/>
      <c r="AU120" s="276"/>
      <c r="AV120" s="276"/>
      <c r="AW120" s="394"/>
    </row>
    <row r="121" spans="1:49">
      <c r="A121" s="88">
        <v>112</v>
      </c>
      <c r="B121" s="88" t="s">
        <v>1817</v>
      </c>
      <c r="C121" s="31">
        <v>0</v>
      </c>
      <c r="D121" s="31">
        <v>0</v>
      </c>
      <c r="E121" s="31">
        <v>0</v>
      </c>
      <c r="F121" s="31">
        <v>0</v>
      </c>
      <c r="G121" s="31">
        <v>0</v>
      </c>
      <c r="H121" s="31">
        <v>0</v>
      </c>
      <c r="I121" s="31">
        <v>0</v>
      </c>
      <c r="J121" s="31">
        <v>0</v>
      </c>
      <c r="K121" s="31">
        <v>0</v>
      </c>
      <c r="L121" s="31">
        <v>0</v>
      </c>
      <c r="M121" s="31">
        <v>0</v>
      </c>
      <c r="N121" s="31">
        <v>0</v>
      </c>
      <c r="O121" s="31">
        <v>0</v>
      </c>
      <c r="P121" s="31">
        <v>0</v>
      </c>
      <c r="Q121" s="31">
        <v>0</v>
      </c>
      <c r="R121" s="150">
        <v>1</v>
      </c>
      <c r="S121" s="88">
        <v>0</v>
      </c>
      <c r="U121" s="31">
        <v>0</v>
      </c>
      <c r="V121" s="31">
        <v>0</v>
      </c>
      <c r="W121" s="31">
        <v>0</v>
      </c>
      <c r="X121" s="31">
        <v>0</v>
      </c>
      <c r="Y121" s="31">
        <v>0</v>
      </c>
      <c r="Z121" s="31">
        <v>0</v>
      </c>
      <c r="AA121" s="31">
        <v>0</v>
      </c>
      <c r="AB121" s="31">
        <v>0</v>
      </c>
      <c r="AC121" s="31">
        <v>0</v>
      </c>
      <c r="AD121" s="31">
        <v>0</v>
      </c>
      <c r="AE121" s="31">
        <v>0</v>
      </c>
      <c r="AF121" s="31">
        <v>0</v>
      </c>
      <c r="AH121" s="276"/>
      <c r="AI121" s="276"/>
      <c r="AJ121" s="276"/>
      <c r="AK121" s="276"/>
      <c r="AL121" s="276"/>
      <c r="AM121" s="276"/>
      <c r="AN121" s="276"/>
      <c r="AO121" s="276"/>
      <c r="AP121" s="276"/>
      <c r="AQ121" s="276"/>
      <c r="AR121" s="276"/>
      <c r="AS121" s="276"/>
      <c r="AT121" s="276"/>
      <c r="AU121" s="276"/>
      <c r="AV121" s="276"/>
      <c r="AW121" s="394"/>
    </row>
    <row r="122" spans="1:49">
      <c r="A122" s="88">
        <v>113</v>
      </c>
      <c r="B122" s="88" t="s">
        <v>1818</v>
      </c>
      <c r="C122" s="31">
        <v>0</v>
      </c>
      <c r="D122" s="31">
        <v>0</v>
      </c>
      <c r="E122" s="31">
        <v>0</v>
      </c>
      <c r="F122" s="31">
        <v>0</v>
      </c>
      <c r="G122" s="31">
        <v>0</v>
      </c>
      <c r="H122" s="31">
        <v>0</v>
      </c>
      <c r="I122" s="31">
        <v>0</v>
      </c>
      <c r="J122" s="31">
        <v>0</v>
      </c>
      <c r="K122" s="31">
        <v>0</v>
      </c>
      <c r="L122" s="31">
        <v>0</v>
      </c>
      <c r="M122" s="31">
        <v>0</v>
      </c>
      <c r="N122" s="31">
        <v>0</v>
      </c>
      <c r="O122" s="31">
        <v>0</v>
      </c>
      <c r="P122" s="31">
        <v>0</v>
      </c>
      <c r="Q122" s="31">
        <v>0</v>
      </c>
      <c r="R122" s="150">
        <v>1</v>
      </c>
      <c r="S122" s="88">
        <v>0</v>
      </c>
      <c r="U122" s="31">
        <v>0</v>
      </c>
      <c r="V122" s="31">
        <v>0</v>
      </c>
      <c r="W122" s="31">
        <v>0</v>
      </c>
      <c r="X122" s="31">
        <v>0</v>
      </c>
      <c r="Y122" s="31">
        <v>0</v>
      </c>
      <c r="Z122" s="31">
        <v>0</v>
      </c>
      <c r="AA122" s="31">
        <v>0</v>
      </c>
      <c r="AB122" s="31">
        <v>0</v>
      </c>
      <c r="AC122" s="31">
        <v>0</v>
      </c>
      <c r="AD122" s="31">
        <v>0</v>
      </c>
      <c r="AE122" s="31">
        <v>0</v>
      </c>
      <c r="AF122" s="31">
        <v>0</v>
      </c>
      <c r="AH122" s="276"/>
      <c r="AI122" s="276"/>
      <c r="AJ122" s="276"/>
      <c r="AK122" s="276"/>
      <c r="AL122" s="276"/>
      <c r="AM122" s="276"/>
      <c r="AN122" s="276"/>
      <c r="AO122" s="276"/>
      <c r="AP122" s="276"/>
      <c r="AQ122" s="276"/>
      <c r="AR122" s="276"/>
      <c r="AS122" s="276"/>
      <c r="AT122" s="276"/>
      <c r="AU122" s="276"/>
      <c r="AV122" s="276"/>
      <c r="AW122" s="394"/>
    </row>
    <row r="123" spans="1:49">
      <c r="A123" s="88">
        <v>114</v>
      </c>
      <c r="B123" s="88" t="s">
        <v>1819</v>
      </c>
      <c r="C123" s="31">
        <v>66</v>
      </c>
      <c r="D123" s="31">
        <v>0</v>
      </c>
      <c r="E123" s="31">
        <v>162</v>
      </c>
      <c r="F123" s="31">
        <v>734</v>
      </c>
      <c r="G123" s="31">
        <v>427</v>
      </c>
      <c r="H123" s="31">
        <v>486</v>
      </c>
      <c r="I123" s="31">
        <v>70</v>
      </c>
      <c r="J123" s="31">
        <v>19</v>
      </c>
      <c r="K123" s="31">
        <v>0</v>
      </c>
      <c r="L123" s="31">
        <v>0</v>
      </c>
      <c r="M123" s="31">
        <v>69</v>
      </c>
      <c r="N123" s="31">
        <v>2</v>
      </c>
      <c r="O123" s="31">
        <v>855</v>
      </c>
      <c r="P123" s="31">
        <v>0</v>
      </c>
      <c r="Q123" s="31">
        <v>1913</v>
      </c>
      <c r="R123" s="150">
        <v>1</v>
      </c>
      <c r="S123" s="88">
        <v>9</v>
      </c>
      <c r="U123" s="31">
        <v>930134.53</v>
      </c>
      <c r="V123" s="31">
        <v>1271610.0199999998</v>
      </c>
      <c r="W123" s="31">
        <v>9580787.2599999998</v>
      </c>
      <c r="X123" s="31">
        <v>1786829.0599999998</v>
      </c>
      <c r="Y123" s="31">
        <v>330449.15999999997</v>
      </c>
      <c r="Z123" s="31">
        <v>998857.02</v>
      </c>
      <c r="AA123" s="31">
        <v>533075.04</v>
      </c>
      <c r="AB123" s="31">
        <v>459059.39</v>
      </c>
      <c r="AC123" s="31">
        <v>2319331.6999999997</v>
      </c>
      <c r="AD123" s="31">
        <v>2139539.7473970288</v>
      </c>
      <c r="AE123" s="31">
        <v>458230.22000000003</v>
      </c>
      <c r="AF123" s="31">
        <v>20807903.147397026</v>
      </c>
      <c r="AH123" s="276"/>
      <c r="AI123" s="276"/>
      <c r="AJ123" s="276"/>
      <c r="AK123" s="276"/>
      <c r="AL123" s="276"/>
      <c r="AM123" s="276"/>
      <c r="AN123" s="276"/>
      <c r="AO123" s="276"/>
      <c r="AP123" s="276"/>
      <c r="AQ123" s="276"/>
      <c r="AR123" s="276"/>
      <c r="AS123" s="276"/>
      <c r="AT123" s="276"/>
      <c r="AU123" s="276"/>
      <c r="AV123" s="276"/>
      <c r="AW123" s="394"/>
    </row>
    <row r="124" spans="1:49">
      <c r="A124" s="88">
        <v>115</v>
      </c>
      <c r="B124" s="88" t="s">
        <v>1820</v>
      </c>
      <c r="C124" s="31">
        <v>0</v>
      </c>
      <c r="D124" s="31">
        <v>0</v>
      </c>
      <c r="E124" s="31">
        <v>0</v>
      </c>
      <c r="F124" s="31">
        <v>0</v>
      </c>
      <c r="G124" s="31">
        <v>0</v>
      </c>
      <c r="H124" s="31">
        <v>0</v>
      </c>
      <c r="I124" s="31">
        <v>0</v>
      </c>
      <c r="J124" s="31">
        <v>0</v>
      </c>
      <c r="K124" s="31">
        <v>0</v>
      </c>
      <c r="L124" s="31">
        <v>0</v>
      </c>
      <c r="M124" s="31">
        <v>0</v>
      </c>
      <c r="N124" s="31">
        <v>0</v>
      </c>
      <c r="O124" s="31">
        <v>0</v>
      </c>
      <c r="P124" s="31">
        <v>0</v>
      </c>
      <c r="Q124" s="31">
        <v>0</v>
      </c>
      <c r="R124" s="150">
        <v>1</v>
      </c>
      <c r="S124" s="88">
        <v>0</v>
      </c>
      <c r="U124" s="31">
        <v>0</v>
      </c>
      <c r="V124" s="31">
        <v>0</v>
      </c>
      <c r="W124" s="31">
        <v>0</v>
      </c>
      <c r="X124" s="31">
        <v>0</v>
      </c>
      <c r="Y124" s="31">
        <v>0</v>
      </c>
      <c r="Z124" s="31">
        <v>0</v>
      </c>
      <c r="AA124" s="31">
        <v>0</v>
      </c>
      <c r="AB124" s="31">
        <v>0</v>
      </c>
      <c r="AC124" s="31">
        <v>0</v>
      </c>
      <c r="AD124" s="31">
        <v>0</v>
      </c>
      <c r="AE124" s="31">
        <v>0</v>
      </c>
      <c r="AF124" s="31">
        <v>0</v>
      </c>
      <c r="AH124" s="276"/>
      <c r="AI124" s="276"/>
      <c r="AJ124" s="276"/>
      <c r="AK124" s="276"/>
      <c r="AL124" s="276"/>
      <c r="AM124" s="276"/>
      <c r="AN124" s="276"/>
      <c r="AO124" s="276"/>
      <c r="AP124" s="276"/>
      <c r="AQ124" s="276"/>
      <c r="AR124" s="276"/>
      <c r="AS124" s="276"/>
      <c r="AT124" s="276"/>
      <c r="AU124" s="276"/>
      <c r="AV124" s="276"/>
      <c r="AW124" s="394"/>
    </row>
    <row r="125" spans="1:49">
      <c r="A125" s="88">
        <v>116</v>
      </c>
      <c r="B125" s="88" t="s">
        <v>1821</v>
      </c>
      <c r="C125" s="31">
        <v>0</v>
      </c>
      <c r="D125" s="31">
        <v>0</v>
      </c>
      <c r="E125" s="31">
        <v>0</v>
      </c>
      <c r="F125" s="31">
        <v>0</v>
      </c>
      <c r="G125" s="31">
        <v>0</v>
      </c>
      <c r="H125" s="31">
        <v>0</v>
      </c>
      <c r="I125" s="31">
        <v>0</v>
      </c>
      <c r="J125" s="31">
        <v>0</v>
      </c>
      <c r="K125" s="31">
        <v>0</v>
      </c>
      <c r="L125" s="31">
        <v>0</v>
      </c>
      <c r="M125" s="31">
        <v>0</v>
      </c>
      <c r="N125" s="31">
        <v>10</v>
      </c>
      <c r="O125" s="31">
        <v>0</v>
      </c>
      <c r="P125" s="31">
        <v>0</v>
      </c>
      <c r="Q125" s="31">
        <v>10</v>
      </c>
      <c r="R125" s="150">
        <v>1</v>
      </c>
      <c r="S125" s="88">
        <v>0</v>
      </c>
      <c r="U125" s="31">
        <v>3680.4</v>
      </c>
      <c r="V125" s="31">
        <v>6647.2000000000007</v>
      </c>
      <c r="W125" s="31">
        <v>67055</v>
      </c>
      <c r="X125" s="31">
        <v>4684.8</v>
      </c>
      <c r="Y125" s="31">
        <v>2096.1000000000004</v>
      </c>
      <c r="Z125" s="31">
        <v>12352.2</v>
      </c>
      <c r="AA125" s="31">
        <v>3700.7999999999997</v>
      </c>
      <c r="AB125" s="31">
        <v>4985</v>
      </c>
      <c r="AC125" s="31">
        <v>16651</v>
      </c>
      <c r="AD125" s="31">
        <v>12315.833435895474</v>
      </c>
      <c r="AE125" s="31">
        <v>0</v>
      </c>
      <c r="AF125" s="31">
        <v>134168.3334358955</v>
      </c>
      <c r="AH125" s="276"/>
      <c r="AI125" s="276"/>
      <c r="AJ125" s="276"/>
      <c r="AK125" s="276"/>
      <c r="AL125" s="276"/>
      <c r="AM125" s="276"/>
      <c r="AN125" s="276"/>
      <c r="AO125" s="276"/>
      <c r="AP125" s="276"/>
      <c r="AQ125" s="276"/>
      <c r="AR125" s="276"/>
      <c r="AS125" s="276"/>
      <c r="AT125" s="276"/>
      <c r="AU125" s="276"/>
      <c r="AV125" s="276"/>
      <c r="AW125" s="394"/>
    </row>
    <row r="126" spans="1:49">
      <c r="A126" s="88">
        <v>117</v>
      </c>
      <c r="B126" s="88" t="s">
        <v>1822</v>
      </c>
      <c r="C126" s="31">
        <v>0</v>
      </c>
      <c r="D126" s="31">
        <v>0</v>
      </c>
      <c r="E126" s="31">
        <v>22</v>
      </c>
      <c r="F126" s="31">
        <v>198</v>
      </c>
      <c r="G126" s="31">
        <v>145</v>
      </c>
      <c r="H126" s="31">
        <v>169</v>
      </c>
      <c r="I126" s="31">
        <v>21</v>
      </c>
      <c r="J126" s="31">
        <v>5</v>
      </c>
      <c r="K126" s="31">
        <v>0</v>
      </c>
      <c r="L126" s="31">
        <v>0</v>
      </c>
      <c r="M126" s="31">
        <v>8</v>
      </c>
      <c r="N126" s="31">
        <v>23</v>
      </c>
      <c r="O126" s="31">
        <v>108</v>
      </c>
      <c r="P126" s="31">
        <v>0</v>
      </c>
      <c r="Q126" s="31">
        <v>565</v>
      </c>
      <c r="R126" s="150">
        <v>1</v>
      </c>
      <c r="S126" s="88">
        <v>4</v>
      </c>
      <c r="U126" s="31">
        <v>273986.5</v>
      </c>
      <c r="V126" s="31">
        <v>375566.8</v>
      </c>
      <c r="W126" s="31">
        <v>2425852.58</v>
      </c>
      <c r="X126" s="31">
        <v>513067.92000000004</v>
      </c>
      <c r="Y126" s="31">
        <v>88864.790000000008</v>
      </c>
      <c r="Z126" s="31">
        <v>319658.98000000004</v>
      </c>
      <c r="AA126" s="31">
        <v>165019.34999999998</v>
      </c>
      <c r="AB126" s="31">
        <v>156263.47999999998</v>
      </c>
      <c r="AC126" s="31">
        <v>628065.62000000011</v>
      </c>
      <c r="AD126" s="31">
        <v>588012.4546561077</v>
      </c>
      <c r="AE126" s="31">
        <v>120586.90000000001</v>
      </c>
      <c r="AF126" s="31">
        <v>5654945.3746561082</v>
      </c>
      <c r="AH126" s="276"/>
      <c r="AI126" s="276"/>
      <c r="AJ126" s="276"/>
      <c r="AK126" s="276"/>
      <c r="AL126" s="276"/>
      <c r="AM126" s="276"/>
      <c r="AN126" s="276"/>
      <c r="AO126" s="276"/>
      <c r="AP126" s="276"/>
      <c r="AQ126" s="276"/>
      <c r="AR126" s="276"/>
      <c r="AS126" s="276"/>
      <c r="AT126" s="276"/>
      <c r="AU126" s="276"/>
      <c r="AV126" s="276"/>
      <c r="AW126" s="394"/>
    </row>
    <row r="127" spans="1:49">
      <c r="A127" s="88">
        <v>118</v>
      </c>
      <c r="B127" s="88" t="s">
        <v>1823</v>
      </c>
      <c r="C127" s="31">
        <v>0</v>
      </c>
      <c r="D127" s="31">
        <v>0</v>
      </c>
      <c r="E127" s="31">
        <v>96</v>
      </c>
      <c r="F127" s="31">
        <v>422</v>
      </c>
      <c r="G127" s="31">
        <v>94</v>
      </c>
      <c r="H127" s="31">
        <v>11</v>
      </c>
      <c r="I127" s="31">
        <v>24</v>
      </c>
      <c r="J127" s="31">
        <v>6</v>
      </c>
      <c r="K127" s="31">
        <v>0</v>
      </c>
      <c r="L127" s="31">
        <v>0</v>
      </c>
      <c r="M127" s="31">
        <v>6</v>
      </c>
      <c r="N127" s="31">
        <v>4</v>
      </c>
      <c r="O127" s="31">
        <v>126</v>
      </c>
      <c r="P127" s="31">
        <v>0</v>
      </c>
      <c r="Q127" s="31">
        <v>633</v>
      </c>
      <c r="R127" s="150">
        <v>1.024</v>
      </c>
      <c r="S127" s="88">
        <v>4</v>
      </c>
      <c r="U127" s="31">
        <v>316593.99168000004</v>
      </c>
      <c r="V127" s="31">
        <v>430866.18624000001</v>
      </c>
      <c r="W127" s="31">
        <v>2578598.8608000004</v>
      </c>
      <c r="X127" s="31">
        <v>672433.11104000011</v>
      </c>
      <c r="Y127" s="31">
        <v>98542.325759999992</v>
      </c>
      <c r="Z127" s="31">
        <v>293806.01</v>
      </c>
      <c r="AA127" s="31">
        <v>153560.49408</v>
      </c>
      <c r="AB127" s="31">
        <v>95145.226240000018</v>
      </c>
      <c r="AC127" s="31">
        <v>692293.61152000003</v>
      </c>
      <c r="AD127" s="31">
        <v>666330.19301188481</v>
      </c>
      <c r="AE127" s="31">
        <v>144704.28</v>
      </c>
      <c r="AF127" s="31">
        <v>6142874.2903718846</v>
      </c>
      <c r="AH127" s="276"/>
      <c r="AI127" s="276"/>
      <c r="AJ127" s="276"/>
      <c r="AK127" s="276"/>
      <c r="AL127" s="276"/>
      <c r="AM127" s="276"/>
      <c r="AN127" s="276"/>
      <c r="AO127" s="276"/>
      <c r="AP127" s="276"/>
      <c r="AQ127" s="276"/>
      <c r="AR127" s="276"/>
      <c r="AS127" s="276"/>
      <c r="AT127" s="276"/>
      <c r="AU127" s="276"/>
      <c r="AV127" s="276"/>
      <c r="AW127" s="394"/>
    </row>
    <row r="128" spans="1:49">
      <c r="A128" s="88">
        <v>119</v>
      </c>
      <c r="B128" s="88" t="s">
        <v>1824</v>
      </c>
      <c r="C128" s="31">
        <v>0</v>
      </c>
      <c r="D128" s="31">
        <v>0</v>
      </c>
      <c r="E128" s="31">
        <v>0</v>
      </c>
      <c r="F128" s="31">
        <v>0</v>
      </c>
      <c r="G128" s="31">
        <v>0</v>
      </c>
      <c r="H128" s="31">
        <v>0</v>
      </c>
      <c r="I128" s="31">
        <v>0</v>
      </c>
      <c r="J128" s="31">
        <v>0</v>
      </c>
      <c r="K128" s="31">
        <v>0</v>
      </c>
      <c r="L128" s="31">
        <v>0</v>
      </c>
      <c r="M128" s="31">
        <v>0</v>
      </c>
      <c r="N128" s="31">
        <v>0</v>
      </c>
      <c r="O128" s="31">
        <v>0</v>
      </c>
      <c r="P128" s="31">
        <v>0</v>
      </c>
      <c r="Q128" s="31">
        <v>0</v>
      </c>
      <c r="R128" s="150">
        <v>1.036</v>
      </c>
      <c r="S128" s="88">
        <v>0</v>
      </c>
      <c r="U128" s="31">
        <v>0</v>
      </c>
      <c r="V128" s="31">
        <v>0</v>
      </c>
      <c r="W128" s="31">
        <v>0</v>
      </c>
      <c r="X128" s="31">
        <v>0</v>
      </c>
      <c r="Y128" s="31">
        <v>0</v>
      </c>
      <c r="Z128" s="31">
        <v>0</v>
      </c>
      <c r="AA128" s="31">
        <v>0</v>
      </c>
      <c r="AB128" s="31">
        <v>0</v>
      </c>
      <c r="AC128" s="31">
        <v>0</v>
      </c>
      <c r="AD128" s="31">
        <v>0</v>
      </c>
      <c r="AE128" s="31">
        <v>0</v>
      </c>
      <c r="AF128" s="31">
        <v>0</v>
      </c>
      <c r="AH128" s="276"/>
      <c r="AI128" s="276"/>
      <c r="AJ128" s="276"/>
      <c r="AK128" s="276"/>
      <c r="AL128" s="276"/>
      <c r="AM128" s="276"/>
      <c r="AN128" s="276"/>
      <c r="AO128" s="276"/>
      <c r="AP128" s="276"/>
      <c r="AQ128" s="276"/>
      <c r="AR128" s="276"/>
      <c r="AS128" s="276"/>
      <c r="AT128" s="276"/>
      <c r="AU128" s="276"/>
      <c r="AV128" s="276"/>
      <c r="AW128" s="394"/>
    </row>
    <row r="129" spans="1:49">
      <c r="A129" s="88">
        <v>120</v>
      </c>
      <c r="B129" s="88" t="s">
        <v>1825</v>
      </c>
      <c r="C129" s="31">
        <v>0</v>
      </c>
      <c r="D129" s="31">
        <v>0</v>
      </c>
      <c r="E129" s="31">
        <v>0</v>
      </c>
      <c r="F129" s="31">
        <v>0</v>
      </c>
      <c r="G129" s="31">
        <v>0</v>
      </c>
      <c r="H129" s="31">
        <v>0</v>
      </c>
      <c r="I129" s="31">
        <v>0</v>
      </c>
      <c r="J129" s="31">
        <v>0</v>
      </c>
      <c r="K129" s="31">
        <v>0</v>
      </c>
      <c r="L129" s="31">
        <v>0</v>
      </c>
      <c r="M129" s="31">
        <v>0</v>
      </c>
      <c r="N129" s="31">
        <v>0</v>
      </c>
      <c r="O129" s="31">
        <v>0</v>
      </c>
      <c r="P129" s="31">
        <v>0</v>
      </c>
      <c r="Q129" s="31">
        <v>0</v>
      </c>
      <c r="R129" s="150">
        <v>1</v>
      </c>
      <c r="S129" s="88">
        <v>0</v>
      </c>
      <c r="U129" s="31">
        <v>0</v>
      </c>
      <c r="V129" s="31">
        <v>0</v>
      </c>
      <c r="W129" s="31">
        <v>0</v>
      </c>
      <c r="X129" s="31">
        <v>0</v>
      </c>
      <c r="Y129" s="31">
        <v>0</v>
      </c>
      <c r="Z129" s="31">
        <v>0</v>
      </c>
      <c r="AA129" s="31">
        <v>0</v>
      </c>
      <c r="AB129" s="31">
        <v>0</v>
      </c>
      <c r="AC129" s="31">
        <v>0</v>
      </c>
      <c r="AD129" s="31">
        <v>0</v>
      </c>
      <c r="AE129" s="31">
        <v>0</v>
      </c>
      <c r="AF129" s="31">
        <v>0</v>
      </c>
      <c r="AH129" s="276"/>
      <c r="AI129" s="276"/>
      <c r="AJ129" s="276"/>
      <c r="AK129" s="276"/>
      <c r="AL129" s="276"/>
      <c r="AM129" s="276"/>
      <c r="AN129" s="276"/>
      <c r="AO129" s="276"/>
      <c r="AP129" s="276"/>
      <c r="AQ129" s="276"/>
      <c r="AR129" s="276"/>
      <c r="AS129" s="276"/>
      <c r="AT129" s="276"/>
      <c r="AU129" s="276"/>
      <c r="AV129" s="276"/>
      <c r="AW129" s="394"/>
    </row>
    <row r="130" spans="1:49">
      <c r="A130" s="88">
        <v>121</v>
      </c>
      <c r="B130" s="88" t="s">
        <v>1826</v>
      </c>
      <c r="C130" s="31">
        <v>1</v>
      </c>
      <c r="D130" s="31">
        <v>0</v>
      </c>
      <c r="E130" s="31">
        <v>1</v>
      </c>
      <c r="F130" s="31">
        <v>25</v>
      </c>
      <c r="G130" s="31">
        <v>17</v>
      </c>
      <c r="H130" s="31">
        <v>22</v>
      </c>
      <c r="I130" s="31">
        <v>2</v>
      </c>
      <c r="J130" s="31">
        <v>1</v>
      </c>
      <c r="K130" s="31">
        <v>0</v>
      </c>
      <c r="L130" s="31">
        <v>0</v>
      </c>
      <c r="M130" s="31">
        <v>0</v>
      </c>
      <c r="N130" s="31">
        <v>4</v>
      </c>
      <c r="O130" s="31">
        <v>7</v>
      </c>
      <c r="P130" s="31">
        <v>0</v>
      </c>
      <c r="Q130" s="31">
        <v>70</v>
      </c>
      <c r="R130" s="150">
        <v>1</v>
      </c>
      <c r="S130" s="88">
        <v>2</v>
      </c>
      <c r="U130" s="31">
        <v>33199.240000000005</v>
      </c>
      <c r="V130" s="31">
        <v>46198.049999999996</v>
      </c>
      <c r="W130" s="31">
        <v>277858.41000000003</v>
      </c>
      <c r="X130" s="31">
        <v>58153.84</v>
      </c>
      <c r="Y130" s="31">
        <v>10320.580000000002</v>
      </c>
      <c r="Z130" s="31">
        <v>40365.44999999999</v>
      </c>
      <c r="AA130" s="31">
        <v>20518.41</v>
      </c>
      <c r="AB130" s="31">
        <v>20077.150000000001</v>
      </c>
      <c r="AC130" s="31">
        <v>73200.040000000008</v>
      </c>
      <c r="AD130" s="31">
        <v>68597.983561619491</v>
      </c>
      <c r="AE130" s="31">
        <v>24117.38</v>
      </c>
      <c r="AF130" s="31">
        <v>672606.53356161958</v>
      </c>
      <c r="AH130" s="276"/>
      <c r="AI130" s="276"/>
      <c r="AJ130" s="276"/>
      <c r="AK130" s="276"/>
      <c r="AL130" s="276"/>
      <c r="AM130" s="276"/>
      <c r="AN130" s="276"/>
      <c r="AO130" s="276"/>
      <c r="AP130" s="276"/>
      <c r="AQ130" s="276"/>
      <c r="AR130" s="276"/>
      <c r="AS130" s="276"/>
      <c r="AT130" s="276"/>
      <c r="AU130" s="276"/>
      <c r="AV130" s="276"/>
      <c r="AW130" s="394"/>
    </row>
    <row r="131" spans="1:49">
      <c r="A131" s="88">
        <v>122</v>
      </c>
      <c r="B131" s="88" t="s">
        <v>1827</v>
      </c>
      <c r="C131" s="31">
        <v>25</v>
      </c>
      <c r="D131" s="31">
        <v>185</v>
      </c>
      <c r="E131" s="31">
        <v>1</v>
      </c>
      <c r="F131" s="31">
        <v>968</v>
      </c>
      <c r="G131" s="31">
        <v>621</v>
      </c>
      <c r="H131" s="31">
        <v>805</v>
      </c>
      <c r="I131" s="31">
        <v>94</v>
      </c>
      <c r="J131" s="31">
        <v>25</v>
      </c>
      <c r="K131" s="31">
        <v>0</v>
      </c>
      <c r="L131" s="31">
        <v>2</v>
      </c>
      <c r="M131" s="31">
        <v>25</v>
      </c>
      <c r="N131" s="31">
        <v>3</v>
      </c>
      <c r="O131" s="31">
        <v>182</v>
      </c>
      <c r="P131" s="31">
        <v>0</v>
      </c>
      <c r="Q131" s="31">
        <v>2530</v>
      </c>
      <c r="R131" s="150">
        <v>1.032</v>
      </c>
      <c r="S131" s="88">
        <v>1</v>
      </c>
      <c r="U131" s="31">
        <v>1272510.8508000004</v>
      </c>
      <c r="V131" s="31">
        <v>1734873.5279999999</v>
      </c>
      <c r="W131" s="31">
        <v>9892032.1696800012</v>
      </c>
      <c r="X131" s="31">
        <v>2394696.1852800003</v>
      </c>
      <c r="Y131" s="31">
        <v>379406.30663999997</v>
      </c>
      <c r="Z131" s="31">
        <v>1364309.5999999996</v>
      </c>
      <c r="AA131" s="31">
        <v>751541.33736</v>
      </c>
      <c r="AB131" s="31">
        <v>699635.01911999995</v>
      </c>
      <c r="AC131" s="31">
        <v>2663082.0268799998</v>
      </c>
      <c r="AD131" s="31">
        <v>2494662.9604184986</v>
      </c>
      <c r="AE131" s="31">
        <v>602934.5</v>
      </c>
      <c r="AF131" s="31">
        <v>24249684.484178498</v>
      </c>
      <c r="AH131" s="276"/>
      <c r="AI131" s="276"/>
      <c r="AJ131" s="276"/>
      <c r="AK131" s="276"/>
      <c r="AL131" s="276"/>
      <c r="AM131" s="276"/>
      <c r="AN131" s="276"/>
      <c r="AO131" s="276"/>
      <c r="AP131" s="276"/>
      <c r="AQ131" s="276"/>
      <c r="AR131" s="276"/>
      <c r="AS131" s="276"/>
      <c r="AT131" s="276"/>
      <c r="AU131" s="276"/>
      <c r="AV131" s="276"/>
      <c r="AW131" s="394"/>
    </row>
    <row r="132" spans="1:49">
      <c r="A132" s="88">
        <v>123</v>
      </c>
      <c r="B132" s="88" t="s">
        <v>1828</v>
      </c>
      <c r="C132" s="31">
        <v>0</v>
      </c>
      <c r="D132" s="31">
        <v>0</v>
      </c>
      <c r="E132" s="31">
        <v>0</v>
      </c>
      <c r="F132" s="31">
        <v>0</v>
      </c>
      <c r="G132" s="31">
        <v>0</v>
      </c>
      <c r="H132" s="31">
        <v>0</v>
      </c>
      <c r="I132" s="31">
        <v>0</v>
      </c>
      <c r="J132" s="31">
        <v>0</v>
      </c>
      <c r="K132" s="31">
        <v>0</v>
      </c>
      <c r="L132" s="31">
        <v>0</v>
      </c>
      <c r="M132" s="31">
        <v>0</v>
      </c>
      <c r="N132" s="31">
        <v>9</v>
      </c>
      <c r="O132" s="31">
        <v>0</v>
      </c>
      <c r="P132" s="31">
        <v>0</v>
      </c>
      <c r="Q132" s="31">
        <v>9</v>
      </c>
      <c r="R132" s="150">
        <v>1</v>
      </c>
      <c r="S132" s="88">
        <v>0</v>
      </c>
      <c r="U132" s="31">
        <v>3312.36</v>
      </c>
      <c r="V132" s="31">
        <v>5982.4800000000005</v>
      </c>
      <c r="W132" s="31">
        <v>60349.5</v>
      </c>
      <c r="X132" s="31">
        <v>4216.32</v>
      </c>
      <c r="Y132" s="31">
        <v>1886.4900000000002</v>
      </c>
      <c r="Z132" s="31">
        <v>11116.98</v>
      </c>
      <c r="AA132" s="31">
        <v>3330.72</v>
      </c>
      <c r="AB132" s="31">
        <v>4486.5</v>
      </c>
      <c r="AC132" s="31">
        <v>14985.9</v>
      </c>
      <c r="AD132" s="31">
        <v>11084.250092305927</v>
      </c>
      <c r="AE132" s="31">
        <v>0</v>
      </c>
      <c r="AF132" s="31">
        <v>120751.50009230593</v>
      </c>
      <c r="AH132" s="276"/>
      <c r="AI132" s="276"/>
      <c r="AJ132" s="276"/>
      <c r="AK132" s="276"/>
      <c r="AL132" s="276"/>
      <c r="AM132" s="276"/>
      <c r="AN132" s="276"/>
      <c r="AO132" s="276"/>
      <c r="AP132" s="276"/>
      <c r="AQ132" s="276"/>
      <c r="AR132" s="276"/>
      <c r="AS132" s="276"/>
      <c r="AT132" s="276"/>
      <c r="AU132" s="276"/>
      <c r="AV132" s="276"/>
      <c r="AW132" s="394"/>
    </row>
    <row r="133" spans="1:49">
      <c r="A133" s="88">
        <v>124</v>
      </c>
      <c r="B133" s="88" t="s">
        <v>1829</v>
      </c>
      <c r="C133" s="31">
        <v>0</v>
      </c>
      <c r="D133" s="31">
        <v>0</v>
      </c>
      <c r="E133" s="31">
        <v>0</v>
      </c>
      <c r="F133" s="31">
        <v>0</v>
      </c>
      <c r="G133" s="31">
        <v>0</v>
      </c>
      <c r="H133" s="31">
        <v>0</v>
      </c>
      <c r="I133" s="31">
        <v>0</v>
      </c>
      <c r="J133" s="31">
        <v>0</v>
      </c>
      <c r="K133" s="31">
        <v>0</v>
      </c>
      <c r="L133" s="31">
        <v>0</v>
      </c>
      <c r="M133" s="31">
        <v>0</v>
      </c>
      <c r="N133" s="31">
        <v>0</v>
      </c>
      <c r="O133" s="31">
        <v>0</v>
      </c>
      <c r="P133" s="31">
        <v>0</v>
      </c>
      <c r="Q133" s="31">
        <v>0</v>
      </c>
      <c r="R133" s="150">
        <v>1</v>
      </c>
      <c r="S133" s="88">
        <v>0</v>
      </c>
      <c r="U133" s="31">
        <v>0</v>
      </c>
      <c r="V133" s="31">
        <v>0</v>
      </c>
      <c r="W133" s="31">
        <v>0</v>
      </c>
      <c r="X133" s="31">
        <v>0</v>
      </c>
      <c r="Y133" s="31">
        <v>0</v>
      </c>
      <c r="Z133" s="31">
        <v>0</v>
      </c>
      <c r="AA133" s="31">
        <v>0</v>
      </c>
      <c r="AB133" s="31">
        <v>0</v>
      </c>
      <c r="AC133" s="31">
        <v>0</v>
      </c>
      <c r="AD133" s="31">
        <v>0</v>
      </c>
      <c r="AE133" s="31">
        <v>0</v>
      </c>
      <c r="AF133" s="31">
        <v>0</v>
      </c>
      <c r="AH133" s="276"/>
      <c r="AI133" s="276"/>
      <c r="AJ133" s="276"/>
      <c r="AK133" s="276"/>
      <c r="AL133" s="276"/>
      <c r="AM133" s="276"/>
      <c r="AN133" s="276"/>
      <c r="AO133" s="276"/>
      <c r="AP133" s="276"/>
      <c r="AQ133" s="276"/>
      <c r="AR133" s="276"/>
      <c r="AS133" s="276"/>
      <c r="AT133" s="276"/>
      <c r="AU133" s="276"/>
      <c r="AV133" s="276"/>
      <c r="AW133" s="394"/>
    </row>
    <row r="134" spans="1:49">
      <c r="A134" s="88">
        <v>125</v>
      </c>
      <c r="B134" s="88" t="s">
        <v>1830</v>
      </c>
      <c r="C134" s="31">
        <v>3</v>
      </c>
      <c r="D134" s="31">
        <v>52</v>
      </c>
      <c r="E134" s="31">
        <v>0</v>
      </c>
      <c r="F134" s="31">
        <v>314</v>
      </c>
      <c r="G134" s="31">
        <v>243</v>
      </c>
      <c r="H134" s="31">
        <v>388</v>
      </c>
      <c r="I134" s="31">
        <v>37</v>
      </c>
      <c r="J134" s="31">
        <v>10</v>
      </c>
      <c r="K134" s="31">
        <v>0</v>
      </c>
      <c r="L134" s="31">
        <v>1</v>
      </c>
      <c r="M134" s="31">
        <v>6</v>
      </c>
      <c r="N134" s="31">
        <v>0</v>
      </c>
      <c r="O134" s="31">
        <v>60</v>
      </c>
      <c r="P134" s="31">
        <v>0</v>
      </c>
      <c r="Q134" s="31">
        <v>980</v>
      </c>
      <c r="R134" s="150">
        <v>1.0069999999999999</v>
      </c>
      <c r="S134" s="88">
        <v>1</v>
      </c>
      <c r="U134" s="31">
        <v>483056.67145999992</v>
      </c>
      <c r="V134" s="31">
        <v>655316.77007999993</v>
      </c>
      <c r="W134" s="31">
        <v>3768431.2491999995</v>
      </c>
      <c r="X134" s="31">
        <v>885647.5880499999</v>
      </c>
      <c r="Y134" s="31">
        <v>143115.28307999996</v>
      </c>
      <c r="Z134" s="31">
        <v>547647.77</v>
      </c>
      <c r="AA134" s="31">
        <v>295042.30958999996</v>
      </c>
      <c r="AB134" s="31">
        <v>292828.96386999992</v>
      </c>
      <c r="AC134" s="31">
        <v>1004308.9636899999</v>
      </c>
      <c r="AD134" s="31">
        <v>958287.78394908505</v>
      </c>
      <c r="AE134" s="31">
        <v>241173.80000000002</v>
      </c>
      <c r="AF134" s="31">
        <v>9274857.1529690847</v>
      </c>
      <c r="AH134" s="276"/>
      <c r="AI134" s="276"/>
      <c r="AJ134" s="276"/>
      <c r="AK134" s="276"/>
      <c r="AL134" s="276"/>
      <c r="AM134" s="276"/>
      <c r="AN134" s="276"/>
      <c r="AO134" s="276"/>
      <c r="AP134" s="276"/>
      <c r="AQ134" s="276"/>
      <c r="AR134" s="276"/>
      <c r="AS134" s="276"/>
      <c r="AT134" s="276"/>
      <c r="AU134" s="276"/>
      <c r="AV134" s="276"/>
      <c r="AW134" s="394"/>
    </row>
    <row r="135" spans="1:49">
      <c r="A135" s="88">
        <v>126</v>
      </c>
      <c r="B135" s="88" t="s">
        <v>1831</v>
      </c>
      <c r="C135" s="31">
        <v>0</v>
      </c>
      <c r="D135" s="31">
        <v>0</v>
      </c>
      <c r="E135" s="31">
        <v>0</v>
      </c>
      <c r="F135" s="31">
        <v>0</v>
      </c>
      <c r="G135" s="31">
        <v>0</v>
      </c>
      <c r="H135" s="31">
        <v>0</v>
      </c>
      <c r="I135" s="31">
        <v>0</v>
      </c>
      <c r="J135" s="31">
        <v>0</v>
      </c>
      <c r="K135" s="31">
        <v>0</v>
      </c>
      <c r="L135" s="31">
        <v>0</v>
      </c>
      <c r="M135" s="31">
        <v>0</v>
      </c>
      <c r="N135" s="31">
        <v>0</v>
      </c>
      <c r="O135" s="31">
        <v>0</v>
      </c>
      <c r="P135" s="31">
        <v>0</v>
      </c>
      <c r="Q135" s="31">
        <v>0</v>
      </c>
      <c r="R135" s="150">
        <v>1</v>
      </c>
      <c r="S135" s="88">
        <v>0</v>
      </c>
      <c r="U135" s="31">
        <v>0</v>
      </c>
      <c r="V135" s="31">
        <v>0</v>
      </c>
      <c r="W135" s="31">
        <v>0</v>
      </c>
      <c r="X135" s="31">
        <v>0</v>
      </c>
      <c r="Y135" s="31">
        <v>0</v>
      </c>
      <c r="Z135" s="31">
        <v>0</v>
      </c>
      <c r="AA135" s="31">
        <v>0</v>
      </c>
      <c r="AB135" s="31">
        <v>0</v>
      </c>
      <c r="AC135" s="31">
        <v>0</v>
      </c>
      <c r="AD135" s="31">
        <v>0</v>
      </c>
      <c r="AE135" s="31">
        <v>0</v>
      </c>
      <c r="AF135" s="31">
        <v>0</v>
      </c>
      <c r="AH135" s="276"/>
      <c r="AI135" s="276"/>
      <c r="AJ135" s="276"/>
      <c r="AK135" s="276"/>
      <c r="AL135" s="276"/>
      <c r="AM135" s="276"/>
      <c r="AN135" s="276"/>
      <c r="AO135" s="276"/>
      <c r="AP135" s="276"/>
      <c r="AQ135" s="276"/>
      <c r="AR135" s="276"/>
      <c r="AS135" s="276"/>
      <c r="AT135" s="276"/>
      <c r="AU135" s="276"/>
      <c r="AV135" s="276"/>
      <c r="AW135" s="394"/>
    </row>
    <row r="136" spans="1:49">
      <c r="A136" s="88">
        <v>127</v>
      </c>
      <c r="B136" s="88" t="s">
        <v>1832</v>
      </c>
      <c r="C136" s="31">
        <v>0</v>
      </c>
      <c r="D136" s="31">
        <v>0</v>
      </c>
      <c r="E136" s="31">
        <v>26</v>
      </c>
      <c r="F136" s="31">
        <v>133</v>
      </c>
      <c r="G136" s="31">
        <v>87</v>
      </c>
      <c r="H136" s="31">
        <v>96</v>
      </c>
      <c r="I136" s="31">
        <v>14</v>
      </c>
      <c r="J136" s="31">
        <v>3</v>
      </c>
      <c r="K136" s="31">
        <v>0</v>
      </c>
      <c r="L136" s="31">
        <v>0</v>
      </c>
      <c r="M136" s="31">
        <v>1</v>
      </c>
      <c r="N136" s="31">
        <v>11</v>
      </c>
      <c r="O136" s="31">
        <v>52</v>
      </c>
      <c r="P136" s="31">
        <v>0</v>
      </c>
      <c r="Q136" s="31">
        <v>354</v>
      </c>
      <c r="R136" s="150">
        <v>1</v>
      </c>
      <c r="S136" s="88">
        <v>3</v>
      </c>
      <c r="U136" s="31">
        <v>173468.71000000002</v>
      </c>
      <c r="V136" s="31">
        <v>235310.88</v>
      </c>
      <c r="W136" s="31">
        <v>1450931.48</v>
      </c>
      <c r="X136" s="31">
        <v>333687.32000000007</v>
      </c>
      <c r="Y136" s="31">
        <v>54345.55</v>
      </c>
      <c r="Z136" s="31">
        <v>195253.95</v>
      </c>
      <c r="AA136" s="31">
        <v>100843.41</v>
      </c>
      <c r="AB136" s="31">
        <v>92176.3</v>
      </c>
      <c r="AC136" s="31">
        <v>383497.04</v>
      </c>
      <c r="AD136" s="31">
        <v>364937.49998018553</v>
      </c>
      <c r="AE136" s="31">
        <v>72352.14</v>
      </c>
      <c r="AF136" s="31">
        <v>3456804.2799801859</v>
      </c>
      <c r="AH136" s="276"/>
      <c r="AI136" s="276"/>
      <c r="AJ136" s="276"/>
      <c r="AK136" s="276"/>
      <c r="AL136" s="276"/>
      <c r="AM136" s="276"/>
      <c r="AN136" s="276"/>
      <c r="AO136" s="276"/>
      <c r="AP136" s="276"/>
      <c r="AQ136" s="276"/>
      <c r="AR136" s="276"/>
      <c r="AS136" s="276"/>
      <c r="AT136" s="276"/>
      <c r="AU136" s="276"/>
      <c r="AV136" s="276"/>
      <c r="AW136" s="394"/>
    </row>
    <row r="137" spans="1:49">
      <c r="A137" s="88">
        <v>128</v>
      </c>
      <c r="B137" s="88" t="s">
        <v>1833</v>
      </c>
      <c r="C137" s="31">
        <v>205</v>
      </c>
      <c r="D137" s="31">
        <v>309</v>
      </c>
      <c r="E137" s="31">
        <v>293</v>
      </c>
      <c r="F137" s="31">
        <v>3311</v>
      </c>
      <c r="G137" s="31">
        <v>1898</v>
      </c>
      <c r="H137" s="31">
        <v>1839</v>
      </c>
      <c r="I137" s="31">
        <v>308</v>
      </c>
      <c r="J137" s="31">
        <v>82</v>
      </c>
      <c r="K137" s="31">
        <v>1</v>
      </c>
      <c r="L137" s="31">
        <v>38</v>
      </c>
      <c r="M137" s="31">
        <v>647</v>
      </c>
      <c r="N137" s="31">
        <v>38</v>
      </c>
      <c r="O137" s="31">
        <v>3819</v>
      </c>
      <c r="P137" s="31">
        <v>0</v>
      </c>
      <c r="Q137" s="31">
        <v>8304</v>
      </c>
      <c r="R137" s="150">
        <v>1</v>
      </c>
      <c r="S137" s="88">
        <v>10</v>
      </c>
      <c r="U137" s="31">
        <v>4046316.52</v>
      </c>
      <c r="V137" s="31">
        <v>5518843.3300000001</v>
      </c>
      <c r="W137" s="31">
        <v>42502516.699999996</v>
      </c>
      <c r="X137" s="31">
        <v>7795903.8999999994</v>
      </c>
      <c r="Y137" s="31">
        <v>1463301.7699999998</v>
      </c>
      <c r="Z137" s="31">
        <v>4288307.9600000009</v>
      </c>
      <c r="AA137" s="31">
        <v>2308080.39</v>
      </c>
      <c r="AB137" s="31">
        <v>1920937.7899999998</v>
      </c>
      <c r="AC137" s="31">
        <v>10276146.469999999</v>
      </c>
      <c r="AD137" s="31">
        <v>9435753.1420293581</v>
      </c>
      <c r="AE137" s="31">
        <v>1977625.1600000001</v>
      </c>
      <c r="AF137" s="31">
        <v>91533733.132029355</v>
      </c>
      <c r="AH137" s="276"/>
      <c r="AI137" s="276"/>
      <c r="AJ137" s="276"/>
      <c r="AK137" s="276"/>
      <c r="AL137" s="276"/>
      <c r="AM137" s="276"/>
      <c r="AN137" s="276"/>
      <c r="AO137" s="276"/>
      <c r="AP137" s="276"/>
      <c r="AQ137" s="276"/>
      <c r="AR137" s="276"/>
      <c r="AS137" s="276"/>
      <c r="AT137" s="276"/>
      <c r="AU137" s="276"/>
      <c r="AV137" s="276"/>
      <c r="AW137" s="394"/>
    </row>
    <row r="138" spans="1:49">
      <c r="A138" s="88">
        <v>129</v>
      </c>
      <c r="B138" s="88" t="s">
        <v>1834</v>
      </c>
      <c r="C138" s="31">
        <v>0</v>
      </c>
      <c r="D138" s="31">
        <v>0</v>
      </c>
      <c r="E138" s="31">
        <v>0</v>
      </c>
      <c r="F138" s="31">
        <v>0</v>
      </c>
      <c r="G138" s="31">
        <v>0</v>
      </c>
      <c r="H138" s="31">
        <v>0</v>
      </c>
      <c r="I138" s="31">
        <v>0</v>
      </c>
      <c r="J138" s="31">
        <v>0</v>
      </c>
      <c r="K138" s="31">
        <v>0</v>
      </c>
      <c r="L138" s="31">
        <v>0</v>
      </c>
      <c r="M138" s="31">
        <v>0</v>
      </c>
      <c r="N138" s="31">
        <v>2</v>
      </c>
      <c r="O138" s="31">
        <v>0</v>
      </c>
      <c r="P138" s="31">
        <v>0</v>
      </c>
      <c r="Q138" s="31">
        <v>2</v>
      </c>
      <c r="R138" s="150">
        <v>1</v>
      </c>
      <c r="S138" s="88">
        <v>0</v>
      </c>
      <c r="U138" s="31">
        <v>736.08</v>
      </c>
      <c r="V138" s="31">
        <v>1329.44</v>
      </c>
      <c r="W138" s="31">
        <v>13411</v>
      </c>
      <c r="X138" s="31">
        <v>936.96</v>
      </c>
      <c r="Y138" s="31">
        <v>419.22</v>
      </c>
      <c r="Z138" s="31">
        <v>2470.44</v>
      </c>
      <c r="AA138" s="31">
        <v>740.16</v>
      </c>
      <c r="AB138" s="31">
        <v>997</v>
      </c>
      <c r="AC138" s="31">
        <v>3330.2</v>
      </c>
      <c r="AD138" s="31">
        <v>2463.1666871790949</v>
      </c>
      <c r="AE138" s="31">
        <v>0</v>
      </c>
      <c r="AF138" s="31">
        <v>26833.666687179095</v>
      </c>
      <c r="AH138" s="276"/>
      <c r="AI138" s="276"/>
      <c r="AJ138" s="276"/>
      <c r="AK138" s="276"/>
      <c r="AL138" s="276"/>
      <c r="AM138" s="276"/>
      <c r="AN138" s="276"/>
      <c r="AO138" s="276"/>
      <c r="AP138" s="276"/>
      <c r="AQ138" s="276"/>
      <c r="AR138" s="276"/>
      <c r="AS138" s="276"/>
      <c r="AT138" s="276"/>
      <c r="AU138" s="276"/>
      <c r="AV138" s="276"/>
      <c r="AW138" s="394"/>
    </row>
    <row r="139" spans="1:49">
      <c r="A139" s="88">
        <v>130</v>
      </c>
      <c r="B139" s="88" t="s">
        <v>1835</v>
      </c>
      <c r="C139" s="31">
        <v>0</v>
      </c>
      <c r="D139" s="31">
        <v>0</v>
      </c>
      <c r="E139" s="31">
        <v>0</v>
      </c>
      <c r="F139" s="31">
        <v>0</v>
      </c>
      <c r="G139" s="31">
        <v>0</v>
      </c>
      <c r="H139" s="31">
        <v>0</v>
      </c>
      <c r="I139" s="31">
        <v>0</v>
      </c>
      <c r="J139" s="31">
        <v>0</v>
      </c>
      <c r="K139" s="31">
        <v>0</v>
      </c>
      <c r="L139" s="31">
        <v>0</v>
      </c>
      <c r="M139" s="31">
        <v>0</v>
      </c>
      <c r="N139" s="31">
        <v>0</v>
      </c>
      <c r="O139" s="31">
        <v>0</v>
      </c>
      <c r="P139" s="31">
        <v>0</v>
      </c>
      <c r="Q139" s="31">
        <v>0</v>
      </c>
      <c r="R139" s="150">
        <v>1</v>
      </c>
      <c r="S139" s="88">
        <v>0</v>
      </c>
      <c r="U139" s="31">
        <v>0</v>
      </c>
      <c r="V139" s="31">
        <v>0</v>
      </c>
      <c r="W139" s="31">
        <v>0</v>
      </c>
      <c r="X139" s="31">
        <v>0</v>
      </c>
      <c r="Y139" s="31">
        <v>0</v>
      </c>
      <c r="Z139" s="31">
        <v>0</v>
      </c>
      <c r="AA139" s="31">
        <v>0</v>
      </c>
      <c r="AB139" s="31">
        <v>0</v>
      </c>
      <c r="AC139" s="31">
        <v>0</v>
      </c>
      <c r="AD139" s="31">
        <v>0</v>
      </c>
      <c r="AE139" s="31">
        <v>0</v>
      </c>
      <c r="AF139" s="31">
        <v>0</v>
      </c>
      <c r="AH139" s="276"/>
      <c r="AI139" s="276"/>
      <c r="AJ139" s="276"/>
      <c r="AK139" s="276"/>
      <c r="AL139" s="276"/>
      <c r="AM139" s="276"/>
      <c r="AN139" s="276"/>
      <c r="AO139" s="276"/>
      <c r="AP139" s="276"/>
      <c r="AQ139" s="276"/>
      <c r="AR139" s="276"/>
      <c r="AS139" s="276"/>
      <c r="AT139" s="276"/>
      <c r="AU139" s="276"/>
      <c r="AV139" s="276"/>
      <c r="AW139" s="394"/>
    </row>
    <row r="140" spans="1:49">
      <c r="A140" s="88">
        <v>131</v>
      </c>
      <c r="B140" s="88" t="s">
        <v>1836</v>
      </c>
      <c r="C140" s="31">
        <v>32</v>
      </c>
      <c r="D140" s="31">
        <v>3</v>
      </c>
      <c r="E140" s="31">
        <v>271</v>
      </c>
      <c r="F140" s="31">
        <v>1664</v>
      </c>
      <c r="G140" s="31">
        <v>1105</v>
      </c>
      <c r="H140" s="31">
        <v>1260</v>
      </c>
      <c r="I140" s="31">
        <v>162</v>
      </c>
      <c r="J140" s="31">
        <v>43</v>
      </c>
      <c r="K140" s="31">
        <v>0</v>
      </c>
      <c r="L140" s="31">
        <v>0</v>
      </c>
      <c r="M140" s="31">
        <v>6</v>
      </c>
      <c r="N140" s="31">
        <v>4</v>
      </c>
      <c r="O140" s="31">
        <v>282</v>
      </c>
      <c r="P140" s="31">
        <v>0</v>
      </c>
      <c r="Q140" s="31">
        <v>4328</v>
      </c>
      <c r="R140" s="150">
        <v>1.0409999999999999</v>
      </c>
      <c r="S140" s="88">
        <v>1</v>
      </c>
      <c r="U140" s="31">
        <v>2200074.5922000003</v>
      </c>
      <c r="V140" s="31">
        <v>2994515.7721499996</v>
      </c>
      <c r="W140" s="31">
        <v>16801046.006939996</v>
      </c>
      <c r="X140" s="31">
        <v>4178112.7537199999</v>
      </c>
      <c r="Y140" s="31">
        <v>651242.59406999988</v>
      </c>
      <c r="Z140" s="31">
        <v>2302948.1199999996</v>
      </c>
      <c r="AA140" s="31">
        <v>1279207.9701</v>
      </c>
      <c r="AB140" s="31">
        <v>1161197.9615399998</v>
      </c>
      <c r="AC140" s="31">
        <v>4570822.5813899999</v>
      </c>
      <c r="AD140" s="31">
        <v>4264592.3091419414</v>
      </c>
      <c r="AE140" s="31">
        <v>1037047.3400000001</v>
      </c>
      <c r="AF140" s="31">
        <v>41440808.001251943</v>
      </c>
      <c r="AH140" s="276"/>
      <c r="AI140" s="276"/>
      <c r="AJ140" s="276"/>
      <c r="AK140" s="276"/>
      <c r="AL140" s="276"/>
      <c r="AM140" s="276"/>
      <c r="AN140" s="276"/>
      <c r="AO140" s="276"/>
      <c r="AP140" s="276"/>
      <c r="AQ140" s="276"/>
      <c r="AR140" s="276"/>
      <c r="AS140" s="276"/>
      <c r="AT140" s="276"/>
      <c r="AU140" s="276"/>
      <c r="AV140" s="276"/>
      <c r="AW140" s="394"/>
    </row>
    <row r="141" spans="1:49">
      <c r="A141" s="88">
        <v>132</v>
      </c>
      <c r="B141" s="88" t="s">
        <v>1837</v>
      </c>
      <c r="C141" s="31">
        <v>0</v>
      </c>
      <c r="D141" s="31">
        <v>0</v>
      </c>
      <c r="E141" s="31">
        <v>0</v>
      </c>
      <c r="F141" s="31">
        <v>0</v>
      </c>
      <c r="G141" s="31">
        <v>0</v>
      </c>
      <c r="H141" s="31">
        <v>0</v>
      </c>
      <c r="I141" s="31">
        <v>1</v>
      </c>
      <c r="J141" s="31">
        <v>0</v>
      </c>
      <c r="K141" s="31">
        <v>0</v>
      </c>
      <c r="L141" s="31">
        <v>0</v>
      </c>
      <c r="M141" s="31">
        <v>0</v>
      </c>
      <c r="N141" s="31">
        <v>15</v>
      </c>
      <c r="O141" s="31">
        <v>0</v>
      </c>
      <c r="P141" s="31">
        <v>0</v>
      </c>
      <c r="Q141" s="31">
        <v>15</v>
      </c>
      <c r="R141" s="150">
        <v>1</v>
      </c>
      <c r="S141" s="88">
        <v>0</v>
      </c>
      <c r="U141" s="31">
        <v>8060.75</v>
      </c>
      <c r="V141" s="31">
        <v>9970.8000000000011</v>
      </c>
      <c r="W141" s="31">
        <v>108964.35</v>
      </c>
      <c r="X141" s="31">
        <v>14853.220000000001</v>
      </c>
      <c r="Y141" s="31">
        <v>3548.4900000000002</v>
      </c>
      <c r="Z141" s="31">
        <v>18881.219999999998</v>
      </c>
      <c r="AA141" s="31">
        <v>5551.2</v>
      </c>
      <c r="AB141" s="31">
        <v>7477.5</v>
      </c>
      <c r="AC141" s="31">
        <v>27813.97</v>
      </c>
      <c r="AD141" s="31">
        <v>21762.682698242505</v>
      </c>
      <c r="AE141" s="31">
        <v>0</v>
      </c>
      <c r="AF141" s="31">
        <v>226884.18269824251</v>
      </c>
      <c r="AH141" s="276"/>
      <c r="AI141" s="276"/>
      <c r="AJ141" s="276"/>
      <c r="AK141" s="276"/>
      <c r="AL141" s="276"/>
      <c r="AM141" s="276"/>
      <c r="AN141" s="276"/>
      <c r="AO141" s="276"/>
      <c r="AP141" s="276"/>
      <c r="AQ141" s="276"/>
      <c r="AR141" s="276"/>
      <c r="AS141" s="276"/>
      <c r="AT141" s="276"/>
      <c r="AU141" s="276"/>
      <c r="AV141" s="276"/>
      <c r="AW141" s="394"/>
    </row>
    <row r="142" spans="1:49">
      <c r="A142" s="88">
        <v>133</v>
      </c>
      <c r="B142" s="88" t="s">
        <v>1838</v>
      </c>
      <c r="C142" s="31">
        <v>14</v>
      </c>
      <c r="D142" s="31">
        <v>0</v>
      </c>
      <c r="E142" s="31">
        <v>96</v>
      </c>
      <c r="F142" s="31">
        <v>440</v>
      </c>
      <c r="G142" s="31">
        <v>283</v>
      </c>
      <c r="H142" s="31">
        <v>258</v>
      </c>
      <c r="I142" s="31">
        <v>43</v>
      </c>
      <c r="J142" s="31">
        <v>12</v>
      </c>
      <c r="K142" s="31">
        <v>0</v>
      </c>
      <c r="L142" s="31">
        <v>0</v>
      </c>
      <c r="M142" s="31">
        <v>81</v>
      </c>
      <c r="N142" s="31">
        <v>0</v>
      </c>
      <c r="O142" s="31">
        <v>414</v>
      </c>
      <c r="P142" s="31">
        <v>0</v>
      </c>
      <c r="Q142" s="31">
        <v>1165</v>
      </c>
      <c r="R142" s="150">
        <v>1.038</v>
      </c>
      <c r="S142" s="88">
        <v>8</v>
      </c>
      <c r="U142" s="31">
        <v>590077.03962000017</v>
      </c>
      <c r="V142" s="31">
        <v>803826.09971999994</v>
      </c>
      <c r="W142" s="31">
        <v>5700896.3755199993</v>
      </c>
      <c r="X142" s="31">
        <v>1133725.57446</v>
      </c>
      <c r="Y142" s="31">
        <v>202463.68536</v>
      </c>
      <c r="Z142" s="31">
        <v>597407.9800000001</v>
      </c>
      <c r="AA142" s="31">
        <v>335664.41256000003</v>
      </c>
      <c r="AB142" s="31">
        <v>278012.44974000001</v>
      </c>
      <c r="AC142" s="31">
        <v>1420772.5997400002</v>
      </c>
      <c r="AD142" s="31">
        <v>1275982.4926620498</v>
      </c>
      <c r="AE142" s="31">
        <v>289408.56</v>
      </c>
      <c r="AF142" s="31">
        <v>12628237.26938205</v>
      </c>
      <c r="AH142" s="276"/>
      <c r="AI142" s="276"/>
      <c r="AJ142" s="276"/>
      <c r="AK142" s="276"/>
      <c r="AL142" s="276"/>
      <c r="AM142" s="276"/>
      <c r="AN142" s="276"/>
      <c r="AO142" s="276"/>
      <c r="AP142" s="276"/>
      <c r="AQ142" s="276"/>
      <c r="AR142" s="276"/>
      <c r="AS142" s="276"/>
      <c r="AT142" s="276"/>
      <c r="AU142" s="276"/>
      <c r="AV142" s="276"/>
      <c r="AW142" s="394"/>
    </row>
    <row r="143" spans="1:49">
      <c r="A143" s="88">
        <v>134</v>
      </c>
      <c r="B143" s="88" t="s">
        <v>1839</v>
      </c>
      <c r="C143" s="31">
        <v>0</v>
      </c>
      <c r="D143" s="31">
        <v>0</v>
      </c>
      <c r="E143" s="31">
        <v>0</v>
      </c>
      <c r="F143" s="31">
        <v>0</v>
      </c>
      <c r="G143" s="31">
        <v>0</v>
      </c>
      <c r="H143" s="31">
        <v>0</v>
      </c>
      <c r="I143" s="31">
        <v>0</v>
      </c>
      <c r="J143" s="31">
        <v>0</v>
      </c>
      <c r="K143" s="31">
        <v>0</v>
      </c>
      <c r="L143" s="31">
        <v>0</v>
      </c>
      <c r="M143" s="31">
        <v>0</v>
      </c>
      <c r="N143" s="31">
        <v>1</v>
      </c>
      <c r="O143" s="31">
        <v>0</v>
      </c>
      <c r="P143" s="31">
        <v>0</v>
      </c>
      <c r="Q143" s="31">
        <v>1</v>
      </c>
      <c r="R143" s="150">
        <v>1</v>
      </c>
      <c r="S143" s="88">
        <v>0</v>
      </c>
      <c r="U143" s="31">
        <v>368.04</v>
      </c>
      <c r="V143" s="31">
        <v>664.72</v>
      </c>
      <c r="W143" s="31">
        <v>6705.5</v>
      </c>
      <c r="X143" s="31">
        <v>468.48</v>
      </c>
      <c r="Y143" s="31">
        <v>209.61</v>
      </c>
      <c r="Z143" s="31">
        <v>1235.22</v>
      </c>
      <c r="AA143" s="31">
        <v>370.08</v>
      </c>
      <c r="AB143" s="31">
        <v>498.5</v>
      </c>
      <c r="AC143" s="31">
        <v>1665.1</v>
      </c>
      <c r="AD143" s="31">
        <v>1231.5833435895474</v>
      </c>
      <c r="AE143" s="31">
        <v>0</v>
      </c>
      <c r="AF143" s="31">
        <v>13416.833343589547</v>
      </c>
      <c r="AH143" s="276"/>
      <c r="AI143" s="276"/>
      <c r="AJ143" s="276"/>
      <c r="AK143" s="276"/>
      <c r="AL143" s="276"/>
      <c r="AM143" s="276"/>
      <c r="AN143" s="276"/>
      <c r="AO143" s="276"/>
      <c r="AP143" s="276"/>
      <c r="AQ143" s="276"/>
      <c r="AR143" s="276"/>
      <c r="AS143" s="276"/>
      <c r="AT143" s="276"/>
      <c r="AU143" s="276"/>
      <c r="AV143" s="276"/>
      <c r="AW143" s="394"/>
    </row>
    <row r="144" spans="1:49">
      <c r="A144" s="88">
        <v>135</v>
      </c>
      <c r="B144" s="88" t="s">
        <v>1840</v>
      </c>
      <c r="C144" s="31">
        <v>0</v>
      </c>
      <c r="D144" s="31">
        <v>0</v>
      </c>
      <c r="E144" s="31">
        <v>27</v>
      </c>
      <c r="F144" s="31">
        <v>98</v>
      </c>
      <c r="G144" s="31">
        <v>27</v>
      </c>
      <c r="H144" s="31">
        <v>0</v>
      </c>
      <c r="I144" s="31">
        <v>6</v>
      </c>
      <c r="J144" s="31">
        <v>2</v>
      </c>
      <c r="K144" s="31">
        <v>0</v>
      </c>
      <c r="L144" s="31">
        <v>0</v>
      </c>
      <c r="M144" s="31">
        <v>0</v>
      </c>
      <c r="N144" s="31">
        <v>0</v>
      </c>
      <c r="O144" s="31">
        <v>67</v>
      </c>
      <c r="P144" s="31">
        <v>0</v>
      </c>
      <c r="Q144" s="31">
        <v>152</v>
      </c>
      <c r="R144" s="150">
        <v>1</v>
      </c>
      <c r="S144" s="88">
        <v>9</v>
      </c>
      <c r="U144" s="31">
        <v>76263.280000000013</v>
      </c>
      <c r="V144" s="31">
        <v>101037.44</v>
      </c>
      <c r="W144" s="31">
        <v>720775.46</v>
      </c>
      <c r="X144" s="31">
        <v>159944.95000000001</v>
      </c>
      <c r="Y144" s="31">
        <v>25810.62</v>
      </c>
      <c r="Z144" s="31">
        <v>69172.320000000007</v>
      </c>
      <c r="AA144" s="31">
        <v>35694.959999999999</v>
      </c>
      <c r="AB144" s="31">
        <v>21189.64</v>
      </c>
      <c r="AC144" s="31">
        <v>181122.71</v>
      </c>
      <c r="AD144" s="31">
        <v>172905.95897244621</v>
      </c>
      <c r="AE144" s="31">
        <v>48234.76</v>
      </c>
      <c r="AF144" s="31">
        <v>1612152.0989724461</v>
      </c>
      <c r="AH144" s="276"/>
      <c r="AI144" s="276"/>
      <c r="AJ144" s="276"/>
      <c r="AK144" s="276"/>
      <c r="AL144" s="276"/>
      <c r="AM144" s="276"/>
      <c r="AN144" s="276"/>
      <c r="AO144" s="276"/>
      <c r="AP144" s="276"/>
      <c r="AQ144" s="276"/>
      <c r="AR144" s="276"/>
      <c r="AS144" s="276"/>
      <c r="AT144" s="276"/>
      <c r="AU144" s="276"/>
      <c r="AV144" s="276"/>
      <c r="AW144" s="394"/>
    </row>
    <row r="145" spans="1:49">
      <c r="A145" s="88">
        <v>136</v>
      </c>
      <c r="B145" s="88" t="s">
        <v>1841</v>
      </c>
      <c r="C145" s="31">
        <v>12</v>
      </c>
      <c r="D145" s="31">
        <v>189</v>
      </c>
      <c r="E145" s="31">
        <v>12</v>
      </c>
      <c r="F145" s="31">
        <v>1026</v>
      </c>
      <c r="G145" s="31">
        <v>627</v>
      </c>
      <c r="H145" s="31">
        <v>774</v>
      </c>
      <c r="I145" s="31">
        <v>98</v>
      </c>
      <c r="J145" s="31">
        <v>26</v>
      </c>
      <c r="K145" s="31">
        <v>2</v>
      </c>
      <c r="L145" s="31">
        <v>6</v>
      </c>
      <c r="M145" s="31">
        <v>57</v>
      </c>
      <c r="N145" s="31">
        <v>11</v>
      </c>
      <c r="O145" s="31">
        <v>223</v>
      </c>
      <c r="P145" s="31">
        <v>0</v>
      </c>
      <c r="Q145" s="31">
        <v>2612</v>
      </c>
      <c r="R145" s="150">
        <v>1.036</v>
      </c>
      <c r="S145" s="88">
        <v>2</v>
      </c>
      <c r="U145" s="31">
        <v>1322057.45028</v>
      </c>
      <c r="V145" s="31">
        <v>1798411.43132</v>
      </c>
      <c r="W145" s="31">
        <v>10414967.466399999</v>
      </c>
      <c r="X145" s="31">
        <v>2503687.1000400004</v>
      </c>
      <c r="Y145" s="31">
        <v>397964.65772000008</v>
      </c>
      <c r="Z145" s="31">
        <v>1400262.9999999998</v>
      </c>
      <c r="AA145" s="31">
        <v>772996.70951999992</v>
      </c>
      <c r="AB145" s="31">
        <v>705158.321</v>
      </c>
      <c r="AC145" s="31">
        <v>2794921.8878000006</v>
      </c>
      <c r="AD145" s="31">
        <v>2602977.5345742707</v>
      </c>
      <c r="AE145" s="31">
        <v>627051.88</v>
      </c>
      <c r="AF145" s="31">
        <v>25340457.438654266</v>
      </c>
      <c r="AH145" s="276"/>
      <c r="AI145" s="276"/>
      <c r="AJ145" s="276"/>
      <c r="AK145" s="276"/>
      <c r="AL145" s="276"/>
      <c r="AM145" s="276"/>
      <c r="AN145" s="276"/>
      <c r="AO145" s="276"/>
      <c r="AP145" s="276"/>
      <c r="AQ145" s="276"/>
      <c r="AR145" s="276"/>
      <c r="AS145" s="276"/>
      <c r="AT145" s="276"/>
      <c r="AU145" s="276"/>
      <c r="AV145" s="276"/>
      <c r="AW145" s="394"/>
    </row>
    <row r="146" spans="1:49">
      <c r="A146" s="88">
        <v>137</v>
      </c>
      <c r="B146" s="88" t="s">
        <v>1842</v>
      </c>
      <c r="C146" s="31">
        <v>216</v>
      </c>
      <c r="D146" s="31">
        <v>0</v>
      </c>
      <c r="E146" s="31">
        <v>416</v>
      </c>
      <c r="F146" s="31">
        <v>1911</v>
      </c>
      <c r="G146" s="31">
        <v>1027</v>
      </c>
      <c r="H146" s="31">
        <v>1395</v>
      </c>
      <c r="I146" s="31">
        <v>242</v>
      </c>
      <c r="J146" s="31">
        <v>59</v>
      </c>
      <c r="K146" s="31">
        <v>58</v>
      </c>
      <c r="L146" s="31">
        <v>0</v>
      </c>
      <c r="M146" s="31">
        <v>1186</v>
      </c>
      <c r="N146" s="31">
        <v>391</v>
      </c>
      <c r="O146" s="31">
        <v>4691</v>
      </c>
      <c r="P146" s="31">
        <v>0</v>
      </c>
      <c r="Q146" s="31">
        <v>6463</v>
      </c>
      <c r="R146" s="150">
        <v>1</v>
      </c>
      <c r="S146" s="88">
        <v>10</v>
      </c>
      <c r="U146" s="31">
        <v>3143230.99</v>
      </c>
      <c r="V146" s="31">
        <v>4296088.0999999996</v>
      </c>
      <c r="W146" s="31">
        <v>41253079.200000003</v>
      </c>
      <c r="X146" s="31">
        <v>5973822.5600000005</v>
      </c>
      <c r="Y146" s="31">
        <v>1320763.21</v>
      </c>
      <c r="Z146" s="31">
        <v>3616298.33</v>
      </c>
      <c r="AA146" s="31">
        <v>1862923.0800000003</v>
      </c>
      <c r="AB146" s="31">
        <v>1572297.11</v>
      </c>
      <c r="AC146" s="31">
        <v>9344537.9000000004</v>
      </c>
      <c r="AD146" s="31">
        <v>8175214.9685348142</v>
      </c>
      <c r="AE146" s="31">
        <v>1422925.4200000002</v>
      </c>
      <c r="AF146" s="31">
        <v>81981180.868534818</v>
      </c>
      <c r="AH146" s="276"/>
      <c r="AI146" s="276"/>
      <c r="AJ146" s="276"/>
      <c r="AK146" s="276"/>
      <c r="AL146" s="276"/>
      <c r="AM146" s="276"/>
      <c r="AN146" s="276"/>
      <c r="AO146" s="276"/>
      <c r="AP146" s="276"/>
      <c r="AQ146" s="276"/>
      <c r="AR146" s="276"/>
      <c r="AS146" s="276"/>
      <c r="AT146" s="276"/>
      <c r="AU146" s="276"/>
      <c r="AV146" s="276"/>
      <c r="AW146" s="394"/>
    </row>
    <row r="147" spans="1:49">
      <c r="A147" s="88">
        <v>138</v>
      </c>
      <c r="B147" s="88" t="s">
        <v>1843</v>
      </c>
      <c r="C147" s="31">
        <v>14</v>
      </c>
      <c r="D147" s="31">
        <v>0</v>
      </c>
      <c r="E147" s="31">
        <v>64</v>
      </c>
      <c r="F147" s="31">
        <v>351</v>
      </c>
      <c r="G147" s="31">
        <v>255</v>
      </c>
      <c r="H147" s="31">
        <v>328</v>
      </c>
      <c r="I147" s="31">
        <v>38</v>
      </c>
      <c r="J147" s="31">
        <v>10</v>
      </c>
      <c r="K147" s="31">
        <v>0</v>
      </c>
      <c r="L147" s="31">
        <v>0</v>
      </c>
      <c r="M147" s="31">
        <v>12</v>
      </c>
      <c r="N147" s="31">
        <v>2</v>
      </c>
      <c r="O147" s="31">
        <v>120</v>
      </c>
      <c r="P147" s="31">
        <v>0</v>
      </c>
      <c r="Q147" s="31">
        <v>1019</v>
      </c>
      <c r="R147" s="150">
        <v>1.02</v>
      </c>
      <c r="S147" s="88">
        <v>2</v>
      </c>
      <c r="U147" s="31">
        <v>506899.30200000003</v>
      </c>
      <c r="V147" s="31">
        <v>690896.81640000001</v>
      </c>
      <c r="W147" s="31">
        <v>4093421.9250000003</v>
      </c>
      <c r="X147" s="31">
        <v>951931.84019999986</v>
      </c>
      <c r="Y147" s="31">
        <v>154573.14599999998</v>
      </c>
      <c r="Z147" s="31">
        <v>551352.62</v>
      </c>
      <c r="AA147" s="31">
        <v>300438.93959999998</v>
      </c>
      <c r="AB147" s="31">
        <v>279417.48420000001</v>
      </c>
      <c r="AC147" s="31">
        <v>1085100.2046000001</v>
      </c>
      <c r="AD147" s="31">
        <v>1020341.0542113258</v>
      </c>
      <c r="AE147" s="31">
        <v>241173.80000000002</v>
      </c>
      <c r="AF147" s="31">
        <v>9875547.1322113276</v>
      </c>
      <c r="AH147" s="276"/>
      <c r="AI147" s="276"/>
      <c r="AJ147" s="276"/>
      <c r="AK147" s="276"/>
      <c r="AL147" s="276"/>
      <c r="AM147" s="276"/>
      <c r="AN147" s="276"/>
      <c r="AO147" s="276"/>
      <c r="AP147" s="276"/>
      <c r="AQ147" s="276"/>
      <c r="AR147" s="276"/>
      <c r="AS147" s="276"/>
      <c r="AT147" s="276"/>
      <c r="AU147" s="276"/>
      <c r="AV147" s="276"/>
      <c r="AW147" s="394"/>
    </row>
    <row r="148" spans="1:49">
      <c r="A148" s="88">
        <v>139</v>
      </c>
      <c r="B148" s="88" t="s">
        <v>1844</v>
      </c>
      <c r="C148" s="31">
        <v>25</v>
      </c>
      <c r="D148" s="31">
        <v>0</v>
      </c>
      <c r="E148" s="31">
        <v>204</v>
      </c>
      <c r="F148" s="31">
        <v>1176</v>
      </c>
      <c r="G148" s="31">
        <v>882</v>
      </c>
      <c r="H148" s="31">
        <v>1111</v>
      </c>
      <c r="I148" s="31">
        <v>129</v>
      </c>
      <c r="J148" s="31">
        <v>34</v>
      </c>
      <c r="K148" s="31">
        <v>6</v>
      </c>
      <c r="L148" s="31">
        <v>0</v>
      </c>
      <c r="M148" s="31">
        <v>75</v>
      </c>
      <c r="N148" s="31">
        <v>7</v>
      </c>
      <c r="O148" s="31">
        <v>165</v>
      </c>
      <c r="P148" s="31">
        <v>0</v>
      </c>
      <c r="Q148" s="31">
        <v>3471</v>
      </c>
      <c r="R148" s="150">
        <v>1.071</v>
      </c>
      <c r="S148" s="88">
        <v>1</v>
      </c>
      <c r="U148" s="31">
        <v>1811411.9024400003</v>
      </c>
      <c r="V148" s="31">
        <v>2470701.7559700003</v>
      </c>
      <c r="W148" s="31">
        <v>13892175.68823</v>
      </c>
      <c r="X148" s="31">
        <v>3393242.40276</v>
      </c>
      <c r="Y148" s="31">
        <v>536943.86864999996</v>
      </c>
      <c r="Z148" s="31">
        <v>1876178.0999999999</v>
      </c>
      <c r="AA148" s="31">
        <v>1077439.22685</v>
      </c>
      <c r="AB148" s="31">
        <v>999311.64039000007</v>
      </c>
      <c r="AC148" s="31">
        <v>3769414.1559899999</v>
      </c>
      <c r="AD148" s="31">
        <v>3404878.2549993335</v>
      </c>
      <c r="AE148" s="31">
        <v>819990.92</v>
      </c>
      <c r="AF148" s="31">
        <v>34051687.916279338</v>
      </c>
      <c r="AH148" s="276"/>
      <c r="AI148" s="276"/>
      <c r="AJ148" s="276"/>
      <c r="AK148" s="276"/>
      <c r="AL148" s="276"/>
      <c r="AM148" s="276"/>
      <c r="AN148" s="276"/>
      <c r="AO148" s="276"/>
      <c r="AP148" s="276"/>
      <c r="AQ148" s="276"/>
      <c r="AR148" s="276"/>
      <c r="AS148" s="276"/>
      <c r="AT148" s="276"/>
      <c r="AU148" s="276"/>
      <c r="AV148" s="276"/>
      <c r="AW148" s="394"/>
    </row>
    <row r="149" spans="1:49">
      <c r="A149" s="88">
        <v>140</v>
      </c>
      <c r="B149" s="88" t="s">
        <v>1845</v>
      </c>
      <c r="C149" s="31">
        <v>0</v>
      </c>
      <c r="D149" s="31">
        <v>0</v>
      </c>
      <c r="E149" s="31">
        <v>0</v>
      </c>
      <c r="F149" s="31">
        <v>0</v>
      </c>
      <c r="G149" s="31">
        <v>0</v>
      </c>
      <c r="H149" s="31">
        <v>0</v>
      </c>
      <c r="I149" s="31">
        <v>0</v>
      </c>
      <c r="J149" s="31">
        <v>0</v>
      </c>
      <c r="K149" s="31">
        <v>0</v>
      </c>
      <c r="L149" s="31">
        <v>0</v>
      </c>
      <c r="M149" s="31">
        <v>0</v>
      </c>
      <c r="N149" s="31">
        <v>0</v>
      </c>
      <c r="O149" s="31">
        <v>0</v>
      </c>
      <c r="P149" s="31">
        <v>0</v>
      </c>
      <c r="Q149" s="31">
        <v>0</v>
      </c>
      <c r="R149" s="150">
        <v>1</v>
      </c>
      <c r="S149" s="88">
        <v>0</v>
      </c>
      <c r="U149" s="31">
        <v>0</v>
      </c>
      <c r="V149" s="31">
        <v>0</v>
      </c>
      <c r="W149" s="31">
        <v>0</v>
      </c>
      <c r="X149" s="31">
        <v>0</v>
      </c>
      <c r="Y149" s="31">
        <v>0</v>
      </c>
      <c r="Z149" s="31">
        <v>0</v>
      </c>
      <c r="AA149" s="31">
        <v>0</v>
      </c>
      <c r="AB149" s="31">
        <v>0</v>
      </c>
      <c r="AC149" s="31">
        <v>0</v>
      </c>
      <c r="AD149" s="31">
        <v>0</v>
      </c>
      <c r="AE149" s="31">
        <v>0</v>
      </c>
      <c r="AF149" s="31">
        <v>0</v>
      </c>
      <c r="AH149" s="276"/>
      <c r="AI149" s="276"/>
      <c r="AJ149" s="276"/>
      <c r="AK149" s="276"/>
      <c r="AL149" s="276"/>
      <c r="AM149" s="276"/>
      <c r="AN149" s="276"/>
      <c r="AO149" s="276"/>
      <c r="AP149" s="276"/>
      <c r="AQ149" s="276"/>
      <c r="AR149" s="276"/>
      <c r="AS149" s="276"/>
      <c r="AT149" s="276"/>
      <c r="AU149" s="276"/>
      <c r="AV149" s="276"/>
      <c r="AW149" s="394"/>
    </row>
    <row r="150" spans="1:49">
      <c r="A150" s="88">
        <v>141</v>
      </c>
      <c r="B150" s="88" t="s">
        <v>1846</v>
      </c>
      <c r="C150" s="31">
        <v>36</v>
      </c>
      <c r="D150" s="31">
        <v>0</v>
      </c>
      <c r="E150" s="31">
        <v>167</v>
      </c>
      <c r="F150" s="31">
        <v>968</v>
      </c>
      <c r="G150" s="31">
        <v>644</v>
      </c>
      <c r="H150" s="31">
        <v>721</v>
      </c>
      <c r="I150" s="31">
        <v>101</v>
      </c>
      <c r="J150" s="31">
        <v>27</v>
      </c>
      <c r="K150" s="31">
        <v>0</v>
      </c>
      <c r="L150" s="31">
        <v>0</v>
      </c>
      <c r="M150" s="31">
        <v>194</v>
      </c>
      <c r="N150" s="31">
        <v>0</v>
      </c>
      <c r="O150" s="31">
        <v>675</v>
      </c>
      <c r="P150" s="31">
        <v>0</v>
      </c>
      <c r="Q150" s="31">
        <v>2712</v>
      </c>
      <c r="R150" s="150">
        <v>1.0289999999999999</v>
      </c>
      <c r="S150" s="88">
        <v>6</v>
      </c>
      <c r="U150" s="31">
        <v>1361638.69716</v>
      </c>
      <c r="V150" s="31">
        <v>1854999.9089999995</v>
      </c>
      <c r="W150" s="31">
        <v>12291862.884419998</v>
      </c>
      <c r="X150" s="31">
        <v>2587172.9946300001</v>
      </c>
      <c r="Y150" s="31">
        <v>446498.97746999998</v>
      </c>
      <c r="Z150" s="31">
        <v>1422892.6</v>
      </c>
      <c r="AA150" s="31">
        <v>792282.40875000006</v>
      </c>
      <c r="AB150" s="31">
        <v>688146.63119999995</v>
      </c>
      <c r="AC150" s="31">
        <v>3133309.1365799997</v>
      </c>
      <c r="AD150" s="31">
        <v>2867708.6637970177</v>
      </c>
      <c r="AE150" s="31">
        <v>651169.26</v>
      </c>
      <c r="AF150" s="31">
        <v>28097682.163007021</v>
      </c>
      <c r="AH150" s="276"/>
      <c r="AI150" s="276"/>
      <c r="AJ150" s="276"/>
      <c r="AK150" s="276"/>
      <c r="AL150" s="276"/>
      <c r="AM150" s="276"/>
      <c r="AN150" s="276"/>
      <c r="AO150" s="276"/>
      <c r="AP150" s="276"/>
      <c r="AQ150" s="276"/>
      <c r="AR150" s="276"/>
      <c r="AS150" s="276"/>
      <c r="AT150" s="276"/>
      <c r="AU150" s="276"/>
      <c r="AV150" s="276"/>
      <c r="AW150" s="394"/>
    </row>
    <row r="151" spans="1:49">
      <c r="A151" s="88">
        <v>142</v>
      </c>
      <c r="B151" s="88" t="s">
        <v>1847</v>
      </c>
      <c r="C151" s="31">
        <v>59</v>
      </c>
      <c r="D151" s="31">
        <v>0</v>
      </c>
      <c r="E151" s="31">
        <v>58</v>
      </c>
      <c r="F151" s="31">
        <v>316</v>
      </c>
      <c r="G151" s="31">
        <v>218</v>
      </c>
      <c r="H151" s="31">
        <v>336</v>
      </c>
      <c r="I151" s="31">
        <v>35</v>
      </c>
      <c r="J151" s="31">
        <v>9</v>
      </c>
      <c r="K151" s="31">
        <v>0</v>
      </c>
      <c r="L151" s="31">
        <v>0</v>
      </c>
      <c r="M151" s="31">
        <v>8</v>
      </c>
      <c r="N151" s="31">
        <v>5</v>
      </c>
      <c r="O151" s="31">
        <v>289</v>
      </c>
      <c r="P151" s="31">
        <v>0</v>
      </c>
      <c r="Q151" s="31">
        <v>971</v>
      </c>
      <c r="R151" s="150">
        <v>1.026</v>
      </c>
      <c r="S151" s="88">
        <v>7</v>
      </c>
      <c r="U151" s="31">
        <v>481142.71026000002</v>
      </c>
      <c r="V151" s="31">
        <v>661884.24510000006</v>
      </c>
      <c r="W151" s="31">
        <v>4536487.3073399998</v>
      </c>
      <c r="X151" s="31">
        <v>899924.04270000022</v>
      </c>
      <c r="Y151" s="31">
        <v>160548.92117999998</v>
      </c>
      <c r="Z151" s="31">
        <v>533398.12</v>
      </c>
      <c r="AA151" s="31">
        <v>289753.31664000009</v>
      </c>
      <c r="AB151" s="31">
        <v>274677.60096000001</v>
      </c>
      <c r="AC151" s="31">
        <v>1127654.4999599999</v>
      </c>
      <c r="AD151" s="31">
        <v>1025237.7977113419</v>
      </c>
      <c r="AE151" s="31">
        <v>217056.42</v>
      </c>
      <c r="AF151" s="31">
        <v>10207764.981851343</v>
      </c>
      <c r="AH151" s="276"/>
      <c r="AI151" s="276"/>
      <c r="AJ151" s="276"/>
      <c r="AK151" s="276"/>
      <c r="AL151" s="276"/>
      <c r="AM151" s="276"/>
      <c r="AN151" s="276"/>
      <c r="AO151" s="276"/>
      <c r="AP151" s="276"/>
      <c r="AQ151" s="276"/>
      <c r="AR151" s="276"/>
      <c r="AS151" s="276"/>
      <c r="AT151" s="276"/>
      <c r="AU151" s="276"/>
      <c r="AV151" s="276"/>
      <c r="AW151" s="394"/>
    </row>
    <row r="152" spans="1:49">
      <c r="A152" s="88">
        <v>143</v>
      </c>
      <c r="B152" s="88" t="s">
        <v>1848</v>
      </c>
      <c r="C152" s="31">
        <v>0</v>
      </c>
      <c r="D152" s="31">
        <v>0</v>
      </c>
      <c r="E152" s="31">
        <v>0</v>
      </c>
      <c r="F152" s="31">
        <v>0</v>
      </c>
      <c r="G152" s="31">
        <v>0</v>
      </c>
      <c r="H152" s="31">
        <v>0</v>
      </c>
      <c r="I152" s="31">
        <v>1</v>
      </c>
      <c r="J152" s="31">
        <v>0</v>
      </c>
      <c r="K152" s="31">
        <v>0</v>
      </c>
      <c r="L152" s="31">
        <v>0</v>
      </c>
      <c r="M152" s="31">
        <v>0</v>
      </c>
      <c r="N152" s="31">
        <v>25</v>
      </c>
      <c r="O152" s="31">
        <v>0</v>
      </c>
      <c r="P152" s="31">
        <v>0</v>
      </c>
      <c r="Q152" s="31">
        <v>25</v>
      </c>
      <c r="R152" s="150">
        <v>1</v>
      </c>
      <c r="S152" s="88">
        <v>0</v>
      </c>
      <c r="U152" s="31">
        <v>11741.15</v>
      </c>
      <c r="V152" s="31">
        <v>16618</v>
      </c>
      <c r="W152" s="31">
        <v>176019.35</v>
      </c>
      <c r="X152" s="31">
        <v>19538.02</v>
      </c>
      <c r="Y152" s="31">
        <v>5644.59</v>
      </c>
      <c r="Z152" s="31">
        <v>31233.42</v>
      </c>
      <c r="AA152" s="31">
        <v>9252</v>
      </c>
      <c r="AB152" s="31">
        <v>12462.5</v>
      </c>
      <c r="AC152" s="31">
        <v>44464.97</v>
      </c>
      <c r="AD152" s="31">
        <v>34078.516134137979</v>
      </c>
      <c r="AE152" s="31">
        <v>0</v>
      </c>
      <c r="AF152" s="31">
        <v>361052.51613413799</v>
      </c>
      <c r="AH152" s="276"/>
      <c r="AI152" s="276"/>
      <c r="AJ152" s="276"/>
      <c r="AK152" s="276"/>
      <c r="AL152" s="276"/>
      <c r="AM152" s="276"/>
      <c r="AN152" s="276"/>
      <c r="AO152" s="276"/>
      <c r="AP152" s="276"/>
      <c r="AQ152" s="276"/>
      <c r="AR152" s="276"/>
      <c r="AS152" s="276"/>
      <c r="AT152" s="276"/>
      <c r="AU152" s="276"/>
      <c r="AV152" s="276"/>
      <c r="AW152" s="394"/>
    </row>
    <row r="153" spans="1:49">
      <c r="A153" s="88">
        <v>144</v>
      </c>
      <c r="B153" s="88" t="s">
        <v>1849</v>
      </c>
      <c r="C153" s="31">
        <v>30</v>
      </c>
      <c r="D153" s="31">
        <v>0</v>
      </c>
      <c r="E153" s="31">
        <v>98</v>
      </c>
      <c r="F153" s="31">
        <v>604</v>
      </c>
      <c r="G153" s="31">
        <v>450</v>
      </c>
      <c r="H153" s="31">
        <v>524</v>
      </c>
      <c r="I153" s="31">
        <v>65</v>
      </c>
      <c r="J153" s="31">
        <v>17</v>
      </c>
      <c r="K153" s="31">
        <v>2</v>
      </c>
      <c r="L153" s="31">
        <v>0</v>
      </c>
      <c r="M153" s="31">
        <v>40</v>
      </c>
      <c r="N153" s="31">
        <v>12</v>
      </c>
      <c r="O153" s="31">
        <v>263</v>
      </c>
      <c r="P153" s="31">
        <v>0</v>
      </c>
      <c r="Q153" s="31">
        <v>1744</v>
      </c>
      <c r="R153" s="150">
        <v>1.05</v>
      </c>
      <c r="S153" s="88">
        <v>3</v>
      </c>
      <c r="U153" s="31">
        <v>892662.12</v>
      </c>
      <c r="V153" s="31">
        <v>1217235.6000000001</v>
      </c>
      <c r="W153" s="31">
        <v>7428603.682500001</v>
      </c>
      <c r="X153" s="31">
        <v>1679811.4305000002</v>
      </c>
      <c r="Y153" s="31">
        <v>278147.53049999999</v>
      </c>
      <c r="Z153" s="31">
        <v>940537.20000000007</v>
      </c>
      <c r="AA153" s="31">
        <v>527460.94799999997</v>
      </c>
      <c r="AB153" s="31">
        <v>482803.92300000001</v>
      </c>
      <c r="AC153" s="31">
        <v>1954316.9310000001</v>
      </c>
      <c r="AD153" s="31">
        <v>1773567.8592417452</v>
      </c>
      <c r="AE153" s="31">
        <v>409995.46</v>
      </c>
      <c r="AF153" s="31">
        <v>17585142.68474175</v>
      </c>
      <c r="AH153" s="276"/>
      <c r="AI153" s="276"/>
      <c r="AJ153" s="276"/>
      <c r="AK153" s="276"/>
      <c r="AL153" s="276"/>
      <c r="AM153" s="276"/>
      <c r="AN153" s="276"/>
      <c r="AO153" s="276"/>
      <c r="AP153" s="276"/>
      <c r="AQ153" s="276"/>
      <c r="AR153" s="276"/>
      <c r="AS153" s="276"/>
      <c r="AT153" s="276"/>
      <c r="AU153" s="276"/>
      <c r="AV153" s="276"/>
      <c r="AW153" s="394"/>
    </row>
    <row r="154" spans="1:49">
      <c r="A154" s="88">
        <v>145</v>
      </c>
      <c r="B154" s="88" t="s">
        <v>1850</v>
      </c>
      <c r="C154" s="31">
        <v>0</v>
      </c>
      <c r="D154" s="31">
        <v>0</v>
      </c>
      <c r="E154" s="31">
        <v>131</v>
      </c>
      <c r="F154" s="31">
        <v>717</v>
      </c>
      <c r="G154" s="31">
        <v>161</v>
      </c>
      <c r="H154" s="31">
        <v>19</v>
      </c>
      <c r="I154" s="31">
        <v>39</v>
      </c>
      <c r="J154" s="31">
        <v>10</v>
      </c>
      <c r="K154" s="31">
        <v>0</v>
      </c>
      <c r="L154" s="31">
        <v>0</v>
      </c>
      <c r="M154" s="31">
        <v>14</v>
      </c>
      <c r="N154" s="31">
        <v>4</v>
      </c>
      <c r="O154" s="31">
        <v>191</v>
      </c>
      <c r="P154" s="31">
        <v>0</v>
      </c>
      <c r="Q154" s="31">
        <v>1046</v>
      </c>
      <c r="R154" s="150">
        <v>1.0269999999999999</v>
      </c>
      <c r="S154" s="88">
        <v>4</v>
      </c>
      <c r="U154" s="31">
        <v>523191.99412999989</v>
      </c>
      <c r="V154" s="31">
        <v>714070.14224000007</v>
      </c>
      <c r="W154" s="31">
        <v>4208647.4480699999</v>
      </c>
      <c r="X154" s="31">
        <v>1107767.4804300002</v>
      </c>
      <c r="Y154" s="31">
        <v>161846.24456000002</v>
      </c>
      <c r="Z154" s="31">
        <v>483412.36</v>
      </c>
      <c r="AA154" s="31">
        <v>254957.89526999995</v>
      </c>
      <c r="AB154" s="31">
        <v>158751.36978999997</v>
      </c>
      <c r="AC154" s="31">
        <v>1136513.2617799998</v>
      </c>
      <c r="AD154" s="31">
        <v>1093116.8394234153</v>
      </c>
      <c r="AE154" s="31">
        <v>241173.80000000002</v>
      </c>
      <c r="AF154" s="31">
        <v>10083448.835693419</v>
      </c>
      <c r="AH154" s="276"/>
      <c r="AI154" s="276"/>
      <c r="AJ154" s="276"/>
      <c r="AK154" s="276"/>
      <c r="AL154" s="276"/>
      <c r="AM154" s="276"/>
      <c r="AN154" s="276"/>
      <c r="AO154" s="276"/>
      <c r="AP154" s="276"/>
      <c r="AQ154" s="276"/>
      <c r="AR154" s="276"/>
      <c r="AS154" s="276"/>
      <c r="AT154" s="276"/>
      <c r="AU154" s="276"/>
      <c r="AV154" s="276"/>
      <c r="AW154" s="394"/>
    </row>
    <row r="155" spans="1:49">
      <c r="A155" s="88">
        <v>146</v>
      </c>
      <c r="B155" s="88" t="s">
        <v>1851</v>
      </c>
      <c r="C155" s="31">
        <v>0</v>
      </c>
      <c r="D155" s="31">
        <v>0</v>
      </c>
      <c r="E155" s="31">
        <v>0</v>
      </c>
      <c r="F155" s="31">
        <v>0</v>
      </c>
      <c r="G155" s="31">
        <v>0</v>
      </c>
      <c r="H155" s="31">
        <v>0</v>
      </c>
      <c r="I155" s="31">
        <v>0</v>
      </c>
      <c r="J155" s="31">
        <v>0</v>
      </c>
      <c r="K155" s="31">
        <v>0</v>
      </c>
      <c r="L155" s="31">
        <v>0</v>
      </c>
      <c r="M155" s="31">
        <v>0</v>
      </c>
      <c r="N155" s="31">
        <v>8</v>
      </c>
      <c r="O155" s="31">
        <v>0</v>
      </c>
      <c r="P155" s="31">
        <v>0</v>
      </c>
      <c r="Q155" s="31">
        <v>8</v>
      </c>
      <c r="R155" s="150">
        <v>1</v>
      </c>
      <c r="S155" s="88">
        <v>0</v>
      </c>
      <c r="U155" s="31">
        <v>2944.32</v>
      </c>
      <c r="V155" s="31">
        <v>5317.76</v>
      </c>
      <c r="W155" s="31">
        <v>53644</v>
      </c>
      <c r="X155" s="31">
        <v>3747.84</v>
      </c>
      <c r="Y155" s="31">
        <v>1676.88</v>
      </c>
      <c r="Z155" s="31">
        <v>9881.76</v>
      </c>
      <c r="AA155" s="31">
        <v>2960.64</v>
      </c>
      <c r="AB155" s="31">
        <v>3988</v>
      </c>
      <c r="AC155" s="31">
        <v>13320.8</v>
      </c>
      <c r="AD155" s="31">
        <v>9852.6667487163795</v>
      </c>
      <c r="AE155" s="31">
        <v>0</v>
      </c>
      <c r="AF155" s="31">
        <v>107334.66674871638</v>
      </c>
      <c r="AH155" s="276"/>
      <c r="AI155" s="276"/>
      <c r="AJ155" s="276"/>
      <c r="AK155" s="276"/>
      <c r="AL155" s="276"/>
      <c r="AM155" s="276"/>
      <c r="AN155" s="276"/>
      <c r="AO155" s="276"/>
      <c r="AP155" s="276"/>
      <c r="AQ155" s="276"/>
      <c r="AR155" s="276"/>
      <c r="AS155" s="276"/>
      <c r="AT155" s="276"/>
      <c r="AU155" s="276"/>
      <c r="AV155" s="276"/>
      <c r="AW155" s="394"/>
    </row>
    <row r="156" spans="1:49">
      <c r="A156" s="88">
        <v>147</v>
      </c>
      <c r="B156" s="88" t="s">
        <v>1852</v>
      </c>
      <c r="C156" s="31">
        <v>0</v>
      </c>
      <c r="D156" s="31">
        <v>0</v>
      </c>
      <c r="E156" s="31">
        <v>0</v>
      </c>
      <c r="F156" s="31">
        <v>0</v>
      </c>
      <c r="G156" s="31">
        <v>0</v>
      </c>
      <c r="H156" s="31">
        <v>0</v>
      </c>
      <c r="I156" s="31">
        <v>0</v>
      </c>
      <c r="J156" s="31">
        <v>0</v>
      </c>
      <c r="K156" s="31">
        <v>0</v>
      </c>
      <c r="L156" s="31">
        <v>0</v>
      </c>
      <c r="M156" s="31">
        <v>0</v>
      </c>
      <c r="N156" s="31">
        <v>1</v>
      </c>
      <c r="O156" s="31">
        <v>0</v>
      </c>
      <c r="P156" s="31">
        <v>0</v>
      </c>
      <c r="Q156" s="31">
        <v>1</v>
      </c>
      <c r="R156" s="150">
        <v>1</v>
      </c>
      <c r="S156" s="88">
        <v>0</v>
      </c>
      <c r="U156" s="31">
        <v>368.04</v>
      </c>
      <c r="V156" s="31">
        <v>664.72</v>
      </c>
      <c r="W156" s="31">
        <v>6705.5</v>
      </c>
      <c r="X156" s="31">
        <v>468.48</v>
      </c>
      <c r="Y156" s="31">
        <v>209.61</v>
      </c>
      <c r="Z156" s="31">
        <v>1235.22</v>
      </c>
      <c r="AA156" s="31">
        <v>370.08</v>
      </c>
      <c r="AB156" s="31">
        <v>498.5</v>
      </c>
      <c r="AC156" s="31">
        <v>1665.1</v>
      </c>
      <c r="AD156" s="31">
        <v>1231.5833435895474</v>
      </c>
      <c r="AE156" s="31">
        <v>0</v>
      </c>
      <c r="AF156" s="31">
        <v>13416.833343589547</v>
      </c>
      <c r="AH156" s="276"/>
      <c r="AI156" s="276"/>
      <c r="AJ156" s="276"/>
      <c r="AK156" s="276"/>
      <c r="AL156" s="276"/>
      <c r="AM156" s="276"/>
      <c r="AN156" s="276"/>
      <c r="AO156" s="276"/>
      <c r="AP156" s="276"/>
      <c r="AQ156" s="276"/>
      <c r="AR156" s="276"/>
      <c r="AS156" s="276"/>
      <c r="AT156" s="276"/>
      <c r="AU156" s="276"/>
      <c r="AV156" s="276"/>
      <c r="AW156" s="394"/>
    </row>
    <row r="157" spans="1:49">
      <c r="A157" s="88">
        <v>148</v>
      </c>
      <c r="B157" s="88" t="s">
        <v>1853</v>
      </c>
      <c r="C157" s="31">
        <v>15</v>
      </c>
      <c r="D157" s="31">
        <v>0</v>
      </c>
      <c r="E157" s="31">
        <v>28</v>
      </c>
      <c r="F157" s="31">
        <v>134</v>
      </c>
      <c r="G157" s="31">
        <v>25</v>
      </c>
      <c r="H157" s="31">
        <v>0</v>
      </c>
      <c r="I157" s="31">
        <v>7</v>
      </c>
      <c r="J157" s="31">
        <v>2</v>
      </c>
      <c r="K157" s="31">
        <v>0</v>
      </c>
      <c r="L157" s="31">
        <v>0</v>
      </c>
      <c r="M157" s="31">
        <v>1</v>
      </c>
      <c r="N157" s="31">
        <v>0</v>
      </c>
      <c r="O157" s="31">
        <v>52</v>
      </c>
      <c r="P157" s="31">
        <v>0</v>
      </c>
      <c r="Q157" s="31">
        <v>196</v>
      </c>
      <c r="R157" s="150">
        <v>1</v>
      </c>
      <c r="S157" s="88">
        <v>6</v>
      </c>
      <c r="U157" s="31">
        <v>94813.319999999992</v>
      </c>
      <c r="V157" s="31">
        <v>129952.91</v>
      </c>
      <c r="W157" s="31">
        <v>810481.30999999994</v>
      </c>
      <c r="X157" s="31">
        <v>202057.86999999997</v>
      </c>
      <c r="Y157" s="31">
        <v>30305.489999999998</v>
      </c>
      <c r="Z157" s="31">
        <v>88715.34</v>
      </c>
      <c r="AA157" s="31">
        <v>45269.16</v>
      </c>
      <c r="AB157" s="31">
        <v>26403.969999999998</v>
      </c>
      <c r="AC157" s="31">
        <v>212666.33000000002</v>
      </c>
      <c r="AD157" s="31">
        <v>208546.76429525868</v>
      </c>
      <c r="AE157" s="31">
        <v>48234.76</v>
      </c>
      <c r="AF157" s="31">
        <v>1897447.2242952588</v>
      </c>
      <c r="AH157" s="276"/>
      <c r="AI157" s="276"/>
      <c r="AJ157" s="276"/>
      <c r="AK157" s="276"/>
      <c r="AL157" s="276"/>
      <c r="AM157" s="276"/>
      <c r="AN157" s="276"/>
      <c r="AO157" s="276"/>
      <c r="AP157" s="276"/>
      <c r="AQ157" s="276"/>
      <c r="AR157" s="276"/>
      <c r="AS157" s="276"/>
      <c r="AT157" s="276"/>
      <c r="AU157" s="276"/>
      <c r="AV157" s="276"/>
      <c r="AW157" s="394"/>
    </row>
    <row r="158" spans="1:49">
      <c r="A158" s="88">
        <v>149</v>
      </c>
      <c r="B158" s="88" t="s">
        <v>1854</v>
      </c>
      <c r="C158" s="31">
        <v>465</v>
      </c>
      <c r="D158" s="31">
        <v>0</v>
      </c>
      <c r="E158" s="31">
        <v>679</v>
      </c>
      <c r="F158" s="31">
        <v>4188</v>
      </c>
      <c r="G158" s="31">
        <v>2719</v>
      </c>
      <c r="H158" s="31">
        <v>2715</v>
      </c>
      <c r="I158" s="31">
        <v>562</v>
      </c>
      <c r="J158" s="31">
        <v>150</v>
      </c>
      <c r="K158" s="31">
        <v>230</v>
      </c>
      <c r="L158" s="31">
        <v>0</v>
      </c>
      <c r="M158" s="31">
        <v>4651</v>
      </c>
      <c r="N158" s="31">
        <v>12</v>
      </c>
      <c r="O158" s="31">
        <v>10662</v>
      </c>
      <c r="P158" s="31">
        <v>0</v>
      </c>
      <c r="Q158" s="31">
        <v>15312</v>
      </c>
      <c r="R158" s="150">
        <v>1</v>
      </c>
      <c r="S158" s="88">
        <v>10</v>
      </c>
      <c r="U158" s="31">
        <v>7443840.5100000007</v>
      </c>
      <c r="V158" s="31">
        <v>10177867.23</v>
      </c>
      <c r="W158" s="31">
        <v>95094619.879999995</v>
      </c>
      <c r="X158" s="31">
        <v>14177262.329999998</v>
      </c>
      <c r="Y158" s="31">
        <v>3090333.81</v>
      </c>
      <c r="Z158" s="31">
        <v>7681202.0799999991</v>
      </c>
      <c r="AA158" s="31">
        <v>4350012.3899999997</v>
      </c>
      <c r="AB158" s="31">
        <v>3212685.13</v>
      </c>
      <c r="AC158" s="31">
        <v>21689346.460000001</v>
      </c>
      <c r="AD158" s="31">
        <v>19187894.868107136</v>
      </c>
      <c r="AE158" s="31">
        <v>3617607</v>
      </c>
      <c r="AF158" s="31">
        <v>189722671.68810713</v>
      </c>
      <c r="AH158" s="276"/>
      <c r="AI158" s="276"/>
      <c r="AJ158" s="276"/>
      <c r="AK158" s="276"/>
      <c r="AL158" s="276"/>
      <c r="AM158" s="276"/>
      <c r="AN158" s="276"/>
      <c r="AO158" s="276"/>
      <c r="AP158" s="276"/>
      <c r="AQ158" s="276"/>
      <c r="AR158" s="276"/>
      <c r="AS158" s="276"/>
      <c r="AT158" s="276"/>
      <c r="AU158" s="276"/>
      <c r="AV158" s="276"/>
      <c r="AW158" s="394"/>
    </row>
    <row r="159" spans="1:49">
      <c r="A159" s="88">
        <v>150</v>
      </c>
      <c r="B159" s="88" t="s">
        <v>1855</v>
      </c>
      <c r="C159" s="31">
        <v>15</v>
      </c>
      <c r="D159" s="31">
        <v>0</v>
      </c>
      <c r="E159" s="31">
        <v>36</v>
      </c>
      <c r="F159" s="31">
        <v>203</v>
      </c>
      <c r="G159" s="31">
        <v>143</v>
      </c>
      <c r="H159" s="31">
        <v>213</v>
      </c>
      <c r="I159" s="31">
        <v>23</v>
      </c>
      <c r="J159" s="31">
        <v>6</v>
      </c>
      <c r="K159" s="31">
        <v>0</v>
      </c>
      <c r="L159" s="31">
        <v>0</v>
      </c>
      <c r="M159" s="31">
        <v>14</v>
      </c>
      <c r="N159" s="31">
        <v>4</v>
      </c>
      <c r="O159" s="31">
        <v>260</v>
      </c>
      <c r="P159" s="31">
        <v>0</v>
      </c>
      <c r="Q159" s="31">
        <v>621</v>
      </c>
      <c r="R159" s="150">
        <v>1</v>
      </c>
      <c r="S159" s="88">
        <v>9</v>
      </c>
      <c r="U159" s="31">
        <v>302033.32</v>
      </c>
      <c r="V159" s="31">
        <v>412458.91000000009</v>
      </c>
      <c r="W159" s="31">
        <v>3101266.8</v>
      </c>
      <c r="X159" s="31">
        <v>563811.75000000012</v>
      </c>
      <c r="Y159" s="31">
        <v>106396.23</v>
      </c>
      <c r="Z159" s="31">
        <v>341408.19</v>
      </c>
      <c r="AA159" s="31">
        <v>181329.48</v>
      </c>
      <c r="AB159" s="31">
        <v>171646.33</v>
      </c>
      <c r="AC159" s="31">
        <v>747416.6399999999</v>
      </c>
      <c r="AD159" s="31">
        <v>685290.02645779797</v>
      </c>
      <c r="AE159" s="31">
        <v>144704.28</v>
      </c>
      <c r="AF159" s="31">
        <v>6757761.9564577993</v>
      </c>
      <c r="AH159" s="276"/>
      <c r="AI159" s="276"/>
      <c r="AJ159" s="276"/>
      <c r="AK159" s="276"/>
      <c r="AL159" s="276"/>
      <c r="AM159" s="276"/>
      <c r="AN159" s="276"/>
      <c r="AO159" s="276"/>
      <c r="AP159" s="276"/>
      <c r="AQ159" s="276"/>
      <c r="AR159" s="276"/>
      <c r="AS159" s="276"/>
      <c r="AT159" s="276"/>
      <c r="AU159" s="276"/>
      <c r="AV159" s="276"/>
      <c r="AW159" s="394"/>
    </row>
    <row r="160" spans="1:49">
      <c r="A160" s="88">
        <v>151</v>
      </c>
      <c r="B160" s="88" t="s">
        <v>1856</v>
      </c>
      <c r="C160" s="31">
        <v>22</v>
      </c>
      <c r="D160" s="31">
        <v>0</v>
      </c>
      <c r="E160" s="31">
        <v>86</v>
      </c>
      <c r="F160" s="31">
        <v>537</v>
      </c>
      <c r="G160" s="31">
        <v>397</v>
      </c>
      <c r="H160" s="31">
        <v>431</v>
      </c>
      <c r="I160" s="31">
        <v>60</v>
      </c>
      <c r="J160" s="31">
        <v>15</v>
      </c>
      <c r="K160" s="31">
        <v>0</v>
      </c>
      <c r="L160" s="31">
        <v>0</v>
      </c>
      <c r="M160" s="31">
        <v>30</v>
      </c>
      <c r="N160" s="31">
        <v>80</v>
      </c>
      <c r="O160" s="31">
        <v>399</v>
      </c>
      <c r="P160" s="31">
        <v>0</v>
      </c>
      <c r="Q160" s="31">
        <v>1572</v>
      </c>
      <c r="R160" s="150">
        <v>1</v>
      </c>
      <c r="S160" s="88">
        <v>6</v>
      </c>
      <c r="U160" s="31">
        <v>769070.35</v>
      </c>
      <c r="V160" s="31">
        <v>1044940.06</v>
      </c>
      <c r="W160" s="31">
        <v>7129153.0499999998</v>
      </c>
      <c r="X160" s="31">
        <v>1447315.7799999998</v>
      </c>
      <c r="Y160" s="31">
        <v>256566.17</v>
      </c>
      <c r="Z160" s="31">
        <v>892274.40999999992</v>
      </c>
      <c r="AA160" s="31">
        <v>455788.62000000005</v>
      </c>
      <c r="AB160" s="31">
        <v>424158.25</v>
      </c>
      <c r="AC160" s="31">
        <v>1815977.86</v>
      </c>
      <c r="AD160" s="31">
        <v>1684452.9720801534</v>
      </c>
      <c r="AE160" s="31">
        <v>361760.7</v>
      </c>
      <c r="AF160" s="31">
        <v>16281458.222080152</v>
      </c>
      <c r="AH160" s="276"/>
      <c r="AI160" s="276"/>
      <c r="AJ160" s="276"/>
      <c r="AK160" s="276"/>
      <c r="AL160" s="276"/>
      <c r="AM160" s="276"/>
      <c r="AN160" s="276"/>
      <c r="AO160" s="276"/>
      <c r="AP160" s="276"/>
      <c r="AQ160" s="276"/>
      <c r="AR160" s="276"/>
      <c r="AS160" s="276"/>
      <c r="AT160" s="276"/>
      <c r="AU160" s="276"/>
      <c r="AV160" s="276"/>
      <c r="AW160" s="394"/>
    </row>
    <row r="161" spans="1:49">
      <c r="A161" s="88">
        <v>152</v>
      </c>
      <c r="B161" s="88" t="s">
        <v>1857</v>
      </c>
      <c r="C161" s="31">
        <v>12</v>
      </c>
      <c r="D161" s="31">
        <v>0</v>
      </c>
      <c r="E161" s="31">
        <v>23</v>
      </c>
      <c r="F161" s="31">
        <v>179</v>
      </c>
      <c r="G161" s="31">
        <v>126</v>
      </c>
      <c r="H161" s="31">
        <v>166</v>
      </c>
      <c r="I161" s="31">
        <v>19</v>
      </c>
      <c r="J161" s="31">
        <v>5</v>
      </c>
      <c r="K161" s="31">
        <v>0</v>
      </c>
      <c r="L161" s="31">
        <v>0</v>
      </c>
      <c r="M161" s="31">
        <v>18</v>
      </c>
      <c r="N161" s="31">
        <v>3</v>
      </c>
      <c r="O161" s="31">
        <v>146</v>
      </c>
      <c r="P161" s="31">
        <v>0</v>
      </c>
      <c r="Q161" s="31">
        <v>521</v>
      </c>
      <c r="R161" s="150">
        <v>1</v>
      </c>
      <c r="S161" s="88">
        <v>6</v>
      </c>
      <c r="U161" s="31">
        <v>252712.56000000003</v>
      </c>
      <c r="V161" s="31">
        <v>346319.24</v>
      </c>
      <c r="W161" s="31">
        <v>2347856.8899999997</v>
      </c>
      <c r="X161" s="31">
        <v>472818.76999999996</v>
      </c>
      <c r="Y161" s="31">
        <v>83963.89</v>
      </c>
      <c r="Z161" s="31">
        <v>282867.09999999998</v>
      </c>
      <c r="AA161" s="31">
        <v>151188.78</v>
      </c>
      <c r="AB161" s="31">
        <v>140116.84999999998</v>
      </c>
      <c r="AC161" s="31">
        <v>589799.17000000004</v>
      </c>
      <c r="AD161" s="31">
        <v>550885.58364429406</v>
      </c>
      <c r="AE161" s="31">
        <v>120586.90000000001</v>
      </c>
      <c r="AF161" s="31">
        <v>5339115.7336442946</v>
      </c>
      <c r="AH161" s="276"/>
      <c r="AI161" s="276"/>
      <c r="AJ161" s="276"/>
      <c r="AK161" s="276"/>
      <c r="AL161" s="276"/>
      <c r="AM161" s="276"/>
      <c r="AN161" s="276"/>
      <c r="AO161" s="276"/>
      <c r="AP161" s="276"/>
      <c r="AQ161" s="276"/>
      <c r="AR161" s="276"/>
      <c r="AS161" s="276"/>
      <c r="AT161" s="276"/>
      <c r="AU161" s="276"/>
      <c r="AV161" s="276"/>
      <c r="AW161" s="394"/>
    </row>
    <row r="162" spans="1:49">
      <c r="A162" s="88">
        <v>153</v>
      </c>
      <c r="B162" s="88" t="s">
        <v>1858</v>
      </c>
      <c r="C162" s="31">
        <v>154</v>
      </c>
      <c r="D162" s="31">
        <v>2</v>
      </c>
      <c r="E162" s="31">
        <v>315</v>
      </c>
      <c r="F162" s="31">
        <v>2003</v>
      </c>
      <c r="G162" s="31">
        <v>1334</v>
      </c>
      <c r="H162" s="31">
        <v>1280</v>
      </c>
      <c r="I162" s="31">
        <v>233</v>
      </c>
      <c r="J162" s="31">
        <v>54</v>
      </c>
      <c r="K162" s="31">
        <v>0</v>
      </c>
      <c r="L162" s="31">
        <v>0</v>
      </c>
      <c r="M162" s="31">
        <v>479</v>
      </c>
      <c r="N162" s="31">
        <v>634</v>
      </c>
      <c r="O162" s="31">
        <v>2521</v>
      </c>
      <c r="P162" s="31">
        <v>0</v>
      </c>
      <c r="Q162" s="31">
        <v>6123</v>
      </c>
      <c r="R162" s="150">
        <v>1</v>
      </c>
      <c r="S162" s="88">
        <v>9</v>
      </c>
      <c r="U162" s="31">
        <v>2982533.5300000003</v>
      </c>
      <c r="V162" s="31">
        <v>4070082.12</v>
      </c>
      <c r="W162" s="31">
        <v>32500519.590000004</v>
      </c>
      <c r="X162" s="31">
        <v>5645371.7400000002</v>
      </c>
      <c r="Y162" s="31">
        <v>1110758.02</v>
      </c>
      <c r="Z162" s="31">
        <v>3625648.9699999997</v>
      </c>
      <c r="AA162" s="31">
        <v>1774991.6099999999</v>
      </c>
      <c r="AB162" s="31">
        <v>1605681.02</v>
      </c>
      <c r="AC162" s="31">
        <v>7917913.9800000004</v>
      </c>
      <c r="AD162" s="31">
        <v>7097858.9488696065</v>
      </c>
      <c r="AE162" s="31">
        <v>1302338.52</v>
      </c>
      <c r="AF162" s="31">
        <v>69633698.04886961</v>
      </c>
      <c r="AH162" s="276"/>
      <c r="AI162" s="276"/>
      <c r="AJ162" s="276"/>
      <c r="AK162" s="276"/>
      <c r="AL162" s="276"/>
      <c r="AM162" s="276"/>
      <c r="AN162" s="276"/>
      <c r="AO162" s="276"/>
      <c r="AP162" s="276"/>
      <c r="AQ162" s="276"/>
      <c r="AR162" s="276"/>
      <c r="AS162" s="276"/>
      <c r="AT162" s="276"/>
      <c r="AU162" s="276"/>
      <c r="AV162" s="276"/>
      <c r="AW162" s="394"/>
    </row>
    <row r="163" spans="1:49">
      <c r="A163" s="88">
        <v>154</v>
      </c>
      <c r="B163" s="88" t="s">
        <v>1859</v>
      </c>
      <c r="C163" s="31">
        <v>10</v>
      </c>
      <c r="D163" s="31">
        <v>0</v>
      </c>
      <c r="E163" s="31">
        <v>18</v>
      </c>
      <c r="F163" s="31">
        <v>85</v>
      </c>
      <c r="G163" s="31">
        <v>14</v>
      </c>
      <c r="H163" s="31">
        <v>0</v>
      </c>
      <c r="I163" s="31">
        <v>4</v>
      </c>
      <c r="J163" s="31">
        <v>1</v>
      </c>
      <c r="K163" s="31">
        <v>0</v>
      </c>
      <c r="L163" s="31">
        <v>0</v>
      </c>
      <c r="M163" s="31">
        <v>1</v>
      </c>
      <c r="N163" s="31">
        <v>0</v>
      </c>
      <c r="O163" s="31">
        <v>37</v>
      </c>
      <c r="P163" s="31">
        <v>0</v>
      </c>
      <c r="Q163" s="31">
        <v>123</v>
      </c>
      <c r="R163" s="150">
        <v>1</v>
      </c>
      <c r="S163" s="88">
        <v>6</v>
      </c>
      <c r="U163" s="31">
        <v>57969.77</v>
      </c>
      <c r="V163" s="31">
        <v>81760.66</v>
      </c>
      <c r="W163" s="31">
        <v>521209.08999999997</v>
      </c>
      <c r="X163" s="31">
        <v>124274.01</v>
      </c>
      <c r="Y163" s="31">
        <v>19198.23</v>
      </c>
      <c r="Z163" s="31">
        <v>55673.18</v>
      </c>
      <c r="AA163" s="31">
        <v>28381.62</v>
      </c>
      <c r="AB163" s="31">
        <v>16437.939999999999</v>
      </c>
      <c r="AC163" s="31">
        <v>134722.35999999999</v>
      </c>
      <c r="AD163" s="31">
        <v>131323.76703592303</v>
      </c>
      <c r="AE163" s="31">
        <v>24117.38</v>
      </c>
      <c r="AF163" s="31">
        <v>1195068.007035923</v>
      </c>
      <c r="AH163" s="276"/>
      <c r="AI163" s="276"/>
      <c r="AJ163" s="276"/>
      <c r="AK163" s="276"/>
      <c r="AL163" s="276"/>
      <c r="AM163" s="276"/>
      <c r="AN163" s="276"/>
      <c r="AO163" s="276"/>
      <c r="AP163" s="276"/>
      <c r="AQ163" s="276"/>
      <c r="AR163" s="276"/>
      <c r="AS163" s="276"/>
      <c r="AT163" s="276"/>
      <c r="AU163" s="276"/>
      <c r="AV163" s="276"/>
      <c r="AW163" s="394"/>
    </row>
    <row r="164" spans="1:49">
      <c r="A164" s="88">
        <v>155</v>
      </c>
      <c r="B164" s="88" t="s">
        <v>1860</v>
      </c>
      <c r="C164" s="31">
        <v>49</v>
      </c>
      <c r="D164" s="31">
        <v>0</v>
      </c>
      <c r="E164" s="31">
        <v>334</v>
      </c>
      <c r="F164" s="31">
        <v>2376</v>
      </c>
      <c r="G164" s="31">
        <v>1695</v>
      </c>
      <c r="H164" s="31">
        <v>2200</v>
      </c>
      <c r="I164" s="31">
        <v>266</v>
      </c>
      <c r="J164" s="31">
        <v>71</v>
      </c>
      <c r="K164" s="31">
        <v>0</v>
      </c>
      <c r="L164" s="31">
        <v>0</v>
      </c>
      <c r="M164" s="31">
        <v>496</v>
      </c>
      <c r="N164" s="31">
        <v>0</v>
      </c>
      <c r="O164" s="31">
        <v>457</v>
      </c>
      <c r="P164" s="31">
        <v>0</v>
      </c>
      <c r="Q164" s="31">
        <v>7126</v>
      </c>
      <c r="R164" s="150">
        <v>1.127</v>
      </c>
      <c r="S164" s="88">
        <v>1</v>
      </c>
      <c r="U164" s="31">
        <v>3920269.5676199994</v>
      </c>
      <c r="V164" s="31">
        <v>5337993.6319500003</v>
      </c>
      <c r="W164" s="31">
        <v>30913461.709340002</v>
      </c>
      <c r="X164" s="31">
        <v>7344284.1597999996</v>
      </c>
      <c r="Y164" s="31">
        <v>1182167.7319199999</v>
      </c>
      <c r="Z164" s="31">
        <v>3819631.29</v>
      </c>
      <c r="AA164" s="31">
        <v>2330082.5866500004</v>
      </c>
      <c r="AB164" s="31">
        <v>2112975.5147200003</v>
      </c>
      <c r="AC164" s="31">
        <v>8295814.1141399983</v>
      </c>
      <c r="AD164" s="31">
        <v>7085877.83425905</v>
      </c>
      <c r="AE164" s="31">
        <v>1712333.98</v>
      </c>
      <c r="AF164" s="31">
        <v>74054892.120399058</v>
      </c>
      <c r="AH164" s="276"/>
      <c r="AI164" s="276"/>
      <c r="AJ164" s="276"/>
      <c r="AK164" s="276"/>
      <c r="AL164" s="276"/>
      <c r="AM164" s="276"/>
      <c r="AN164" s="276"/>
      <c r="AO164" s="276"/>
      <c r="AP164" s="276"/>
      <c r="AQ164" s="276"/>
      <c r="AR164" s="276"/>
      <c r="AS164" s="276"/>
      <c r="AT164" s="276"/>
      <c r="AU164" s="276"/>
      <c r="AV164" s="276"/>
      <c r="AW164" s="394"/>
    </row>
    <row r="165" spans="1:49">
      <c r="A165" s="88">
        <v>156</v>
      </c>
      <c r="B165" s="88" t="s">
        <v>1861</v>
      </c>
      <c r="C165" s="31">
        <v>0</v>
      </c>
      <c r="D165" s="31">
        <v>0</v>
      </c>
      <c r="E165" s="31">
        <v>0</v>
      </c>
      <c r="F165" s="31">
        <v>0</v>
      </c>
      <c r="G165" s="31">
        <v>0</v>
      </c>
      <c r="H165" s="31">
        <v>0</v>
      </c>
      <c r="I165" s="31">
        <v>0</v>
      </c>
      <c r="J165" s="31">
        <v>0</v>
      </c>
      <c r="K165" s="31">
        <v>0</v>
      </c>
      <c r="L165" s="31">
        <v>0</v>
      </c>
      <c r="M165" s="31">
        <v>0</v>
      </c>
      <c r="N165" s="31">
        <v>0</v>
      </c>
      <c r="O165" s="31">
        <v>0</v>
      </c>
      <c r="P165" s="31">
        <v>0</v>
      </c>
      <c r="Q165" s="31">
        <v>0</v>
      </c>
      <c r="R165" s="150">
        <v>1</v>
      </c>
      <c r="S165" s="88">
        <v>0</v>
      </c>
      <c r="U165" s="31">
        <v>0</v>
      </c>
      <c r="V165" s="31">
        <v>0</v>
      </c>
      <c r="W165" s="31">
        <v>0</v>
      </c>
      <c r="X165" s="31">
        <v>0</v>
      </c>
      <c r="Y165" s="31">
        <v>0</v>
      </c>
      <c r="Z165" s="31">
        <v>0</v>
      </c>
      <c r="AA165" s="31">
        <v>0</v>
      </c>
      <c r="AB165" s="31">
        <v>0</v>
      </c>
      <c r="AC165" s="31">
        <v>0</v>
      </c>
      <c r="AD165" s="31">
        <v>0</v>
      </c>
      <c r="AE165" s="31">
        <v>0</v>
      </c>
      <c r="AF165" s="31">
        <v>0</v>
      </c>
      <c r="AH165" s="276"/>
      <c r="AI165" s="276"/>
      <c r="AJ165" s="276"/>
      <c r="AK165" s="276"/>
      <c r="AL165" s="276"/>
      <c r="AM165" s="276"/>
      <c r="AN165" s="276"/>
      <c r="AO165" s="276"/>
      <c r="AP165" s="276"/>
      <c r="AQ165" s="276"/>
      <c r="AR165" s="276"/>
      <c r="AS165" s="276"/>
      <c r="AT165" s="276"/>
      <c r="AU165" s="276"/>
      <c r="AV165" s="276"/>
      <c r="AW165" s="394"/>
    </row>
    <row r="166" spans="1:49">
      <c r="A166" s="88">
        <v>157</v>
      </c>
      <c r="B166" s="88" t="s">
        <v>1862</v>
      </c>
      <c r="C166" s="31">
        <v>35</v>
      </c>
      <c r="D166" s="31">
        <v>0</v>
      </c>
      <c r="E166" s="31">
        <v>66</v>
      </c>
      <c r="F166" s="31">
        <v>328</v>
      </c>
      <c r="G166" s="31">
        <v>214</v>
      </c>
      <c r="H166" s="31">
        <v>0</v>
      </c>
      <c r="I166" s="31">
        <v>24</v>
      </c>
      <c r="J166" s="31">
        <v>6</v>
      </c>
      <c r="K166" s="31">
        <v>0</v>
      </c>
      <c r="L166" s="31">
        <v>0</v>
      </c>
      <c r="M166" s="31">
        <v>19</v>
      </c>
      <c r="N166" s="31">
        <v>8</v>
      </c>
      <c r="O166" s="31">
        <v>68</v>
      </c>
      <c r="P166" s="31">
        <v>0</v>
      </c>
      <c r="Q166" s="31">
        <v>653</v>
      </c>
      <c r="R166" s="150">
        <v>1.0569999999999999</v>
      </c>
      <c r="S166" s="88">
        <v>2</v>
      </c>
      <c r="U166" s="31">
        <v>334382.95415000001</v>
      </c>
      <c r="V166" s="31">
        <v>458452.76854999998</v>
      </c>
      <c r="W166" s="31">
        <v>2510893.6276199995</v>
      </c>
      <c r="X166" s="31">
        <v>682601.70005999994</v>
      </c>
      <c r="Y166" s="31">
        <v>102122.34039000001</v>
      </c>
      <c r="Z166" s="31">
        <v>302673.18999999994</v>
      </c>
      <c r="AA166" s="31">
        <v>172307.16153000001</v>
      </c>
      <c r="AB166" s="31">
        <v>109445.27866999999</v>
      </c>
      <c r="AC166" s="31">
        <v>718273.79057000007</v>
      </c>
      <c r="AD166" s="31">
        <v>667751.48739183403</v>
      </c>
      <c r="AE166" s="31">
        <v>144704.28</v>
      </c>
      <c r="AF166" s="31">
        <v>6203608.5789318336</v>
      </c>
      <c r="AH166" s="276"/>
      <c r="AI166" s="276"/>
      <c r="AJ166" s="276"/>
      <c r="AK166" s="276"/>
      <c r="AL166" s="276"/>
      <c r="AM166" s="276"/>
      <c r="AN166" s="276"/>
      <c r="AO166" s="276"/>
      <c r="AP166" s="276"/>
      <c r="AQ166" s="276"/>
      <c r="AR166" s="276"/>
      <c r="AS166" s="276"/>
      <c r="AT166" s="276"/>
      <c r="AU166" s="276"/>
      <c r="AV166" s="276"/>
      <c r="AW166" s="394"/>
    </row>
    <row r="167" spans="1:49">
      <c r="A167" s="88">
        <v>158</v>
      </c>
      <c r="B167" s="88" t="s">
        <v>1863</v>
      </c>
      <c r="C167" s="31">
        <v>60</v>
      </c>
      <c r="D167" s="31">
        <v>110</v>
      </c>
      <c r="E167" s="31">
        <v>4</v>
      </c>
      <c r="F167" s="31">
        <v>603</v>
      </c>
      <c r="G167" s="31">
        <v>356</v>
      </c>
      <c r="H167" s="31">
        <v>510</v>
      </c>
      <c r="I167" s="31">
        <v>58</v>
      </c>
      <c r="J167" s="31">
        <v>16</v>
      </c>
      <c r="K167" s="31">
        <v>6</v>
      </c>
      <c r="L167" s="31">
        <v>1</v>
      </c>
      <c r="M167" s="31">
        <v>27</v>
      </c>
      <c r="N167" s="31">
        <v>0</v>
      </c>
      <c r="O167" s="31">
        <v>148</v>
      </c>
      <c r="P167" s="31">
        <v>0</v>
      </c>
      <c r="Q167" s="31">
        <v>1589</v>
      </c>
      <c r="R167" s="150">
        <v>1.026</v>
      </c>
      <c r="S167" s="88">
        <v>2</v>
      </c>
      <c r="U167" s="31">
        <v>792692.19648000004</v>
      </c>
      <c r="V167" s="31">
        <v>1083363.13674</v>
      </c>
      <c r="W167" s="31">
        <v>6308405.9593200004</v>
      </c>
      <c r="X167" s="31">
        <v>1491613.2871200002</v>
      </c>
      <c r="Y167" s="31">
        <v>238989.71970000002</v>
      </c>
      <c r="Z167" s="31">
        <v>856234.02</v>
      </c>
      <c r="AA167" s="31">
        <v>468187.62371999997</v>
      </c>
      <c r="AB167" s="31">
        <v>433883.83698000002</v>
      </c>
      <c r="AC167" s="31">
        <v>1677119.6070000003</v>
      </c>
      <c r="AD167" s="31">
        <v>1575859.2158774023</v>
      </c>
      <c r="AE167" s="31">
        <v>385878.08</v>
      </c>
      <c r="AF167" s="31">
        <v>15312226.682937402</v>
      </c>
      <c r="AH167" s="276"/>
      <c r="AI167" s="276"/>
      <c r="AJ167" s="276"/>
      <c r="AK167" s="276"/>
      <c r="AL167" s="276"/>
      <c r="AM167" s="276"/>
      <c r="AN167" s="276"/>
      <c r="AO167" s="276"/>
      <c r="AP167" s="276"/>
      <c r="AQ167" s="276"/>
      <c r="AR167" s="276"/>
      <c r="AS167" s="276"/>
      <c r="AT167" s="276"/>
      <c r="AU167" s="276"/>
      <c r="AV167" s="276"/>
      <c r="AW167" s="394"/>
    </row>
    <row r="168" spans="1:49">
      <c r="A168" s="88">
        <v>159</v>
      </c>
      <c r="B168" s="88" t="s">
        <v>1864</v>
      </c>
      <c r="C168" s="31">
        <v>18</v>
      </c>
      <c r="D168" s="31">
        <v>0</v>
      </c>
      <c r="E168" s="31">
        <v>162</v>
      </c>
      <c r="F168" s="31">
        <v>977</v>
      </c>
      <c r="G168" s="31">
        <v>675</v>
      </c>
      <c r="H168" s="31">
        <v>952</v>
      </c>
      <c r="I168" s="31">
        <v>106</v>
      </c>
      <c r="J168" s="31">
        <v>28</v>
      </c>
      <c r="K168" s="31">
        <v>0</v>
      </c>
      <c r="L168" s="31">
        <v>0</v>
      </c>
      <c r="M168" s="31">
        <v>34</v>
      </c>
      <c r="N168" s="31">
        <v>15</v>
      </c>
      <c r="O168" s="31">
        <v>226</v>
      </c>
      <c r="P168" s="31">
        <v>0</v>
      </c>
      <c r="Q168" s="31">
        <v>2824</v>
      </c>
      <c r="R168" s="150">
        <v>1</v>
      </c>
      <c r="S168" s="88">
        <v>1</v>
      </c>
      <c r="U168" s="31">
        <v>1379725.2400000002</v>
      </c>
      <c r="V168" s="31">
        <v>1877169.4600000002</v>
      </c>
      <c r="W168" s="31">
        <v>10884701.129999999</v>
      </c>
      <c r="X168" s="31">
        <v>2582197.7700000005</v>
      </c>
      <c r="Y168" s="31">
        <v>413835.37</v>
      </c>
      <c r="Z168" s="31">
        <v>1547122.6600000004</v>
      </c>
      <c r="AA168" s="31">
        <v>821800.07999999984</v>
      </c>
      <c r="AB168" s="31">
        <v>776865.53</v>
      </c>
      <c r="AC168" s="31">
        <v>2906964.9499999997</v>
      </c>
      <c r="AD168" s="31">
        <v>2797562.3587285471</v>
      </c>
      <c r="AE168" s="31">
        <v>675286.64</v>
      </c>
      <c r="AF168" s="31">
        <v>26663231.188728545</v>
      </c>
      <c r="AH168" s="276"/>
      <c r="AI168" s="276"/>
      <c r="AJ168" s="276"/>
      <c r="AK168" s="276"/>
      <c r="AL168" s="276"/>
      <c r="AM168" s="276"/>
      <c r="AN168" s="276"/>
      <c r="AO168" s="276"/>
      <c r="AP168" s="276"/>
      <c r="AQ168" s="276"/>
      <c r="AR168" s="276"/>
      <c r="AS168" s="276"/>
      <c r="AT168" s="276"/>
      <c r="AU168" s="276"/>
      <c r="AV168" s="276"/>
      <c r="AW168" s="394"/>
    </row>
    <row r="169" spans="1:49">
      <c r="A169" s="88">
        <v>160</v>
      </c>
      <c r="B169" s="88" t="s">
        <v>1865</v>
      </c>
      <c r="C169" s="31">
        <v>498</v>
      </c>
      <c r="D169" s="31">
        <v>1</v>
      </c>
      <c r="E169" s="31">
        <v>952</v>
      </c>
      <c r="F169" s="31">
        <v>4849</v>
      </c>
      <c r="G169" s="31">
        <v>2686</v>
      </c>
      <c r="H169" s="31">
        <v>3076</v>
      </c>
      <c r="I169" s="31">
        <v>590</v>
      </c>
      <c r="J169" s="31">
        <v>156</v>
      </c>
      <c r="K169" s="31">
        <v>119</v>
      </c>
      <c r="L169" s="31">
        <v>0</v>
      </c>
      <c r="M169" s="31">
        <v>4021</v>
      </c>
      <c r="N169" s="31">
        <v>131</v>
      </c>
      <c r="O169" s="31">
        <v>9255</v>
      </c>
      <c r="P169" s="31">
        <v>0</v>
      </c>
      <c r="Q169" s="31">
        <v>16025</v>
      </c>
      <c r="R169" s="150">
        <v>1</v>
      </c>
      <c r="S169" s="88">
        <v>10</v>
      </c>
      <c r="U169" s="31">
        <v>7792432.2300000004</v>
      </c>
      <c r="V169" s="31">
        <v>10651479.460000001</v>
      </c>
      <c r="W169" s="31">
        <v>92611541.909999996</v>
      </c>
      <c r="X169" s="31">
        <v>14917866.120000001</v>
      </c>
      <c r="Y169" s="31">
        <v>3069533.27</v>
      </c>
      <c r="Z169" s="31">
        <v>8195453.8599999994</v>
      </c>
      <c r="AA169" s="31">
        <v>4526451.4800000004</v>
      </c>
      <c r="AB169" s="31">
        <v>3467178.09</v>
      </c>
      <c r="AC169" s="31">
        <v>21566381.050000004</v>
      </c>
      <c r="AD169" s="31">
        <v>19336548.210334029</v>
      </c>
      <c r="AE169" s="31">
        <v>3762311.2800000003</v>
      </c>
      <c r="AF169" s="31">
        <v>189897176.96033403</v>
      </c>
      <c r="AH169" s="276"/>
      <c r="AI169" s="276"/>
      <c r="AJ169" s="276"/>
      <c r="AK169" s="276"/>
      <c r="AL169" s="276"/>
      <c r="AM169" s="276"/>
      <c r="AN169" s="276"/>
      <c r="AO169" s="276"/>
      <c r="AP169" s="276"/>
      <c r="AQ169" s="276"/>
      <c r="AR169" s="276"/>
      <c r="AS169" s="276"/>
      <c r="AT169" s="276"/>
      <c r="AU169" s="276"/>
      <c r="AV169" s="276"/>
      <c r="AW169" s="394"/>
    </row>
    <row r="170" spans="1:49">
      <c r="A170" s="88">
        <v>161</v>
      </c>
      <c r="B170" s="88" t="s">
        <v>1866</v>
      </c>
      <c r="C170" s="31">
        <v>31</v>
      </c>
      <c r="D170" s="31">
        <v>0</v>
      </c>
      <c r="E170" s="31">
        <v>140</v>
      </c>
      <c r="F170" s="31">
        <v>822</v>
      </c>
      <c r="G170" s="31">
        <v>675</v>
      </c>
      <c r="H170" s="31">
        <v>823</v>
      </c>
      <c r="I170" s="31">
        <v>98</v>
      </c>
      <c r="J170" s="31">
        <v>25</v>
      </c>
      <c r="K170" s="31">
        <v>6</v>
      </c>
      <c r="L170" s="31">
        <v>0</v>
      </c>
      <c r="M170" s="31">
        <v>63</v>
      </c>
      <c r="N170" s="31">
        <v>60</v>
      </c>
      <c r="O170" s="31">
        <v>764</v>
      </c>
      <c r="P170" s="31">
        <v>0</v>
      </c>
      <c r="Q170" s="31">
        <v>2602</v>
      </c>
      <c r="R170" s="150">
        <v>1</v>
      </c>
      <c r="S170" s="88">
        <v>7</v>
      </c>
      <c r="U170" s="31">
        <v>1269894.94</v>
      </c>
      <c r="V170" s="31">
        <v>1729269.45</v>
      </c>
      <c r="W170" s="31">
        <v>11989703.85</v>
      </c>
      <c r="X170" s="31">
        <v>2366836.62</v>
      </c>
      <c r="Y170" s="31">
        <v>426893.39</v>
      </c>
      <c r="Z170" s="31">
        <v>1447730.3699999999</v>
      </c>
      <c r="AA170" s="31">
        <v>762345.24</v>
      </c>
      <c r="AB170" s="31">
        <v>717344.47000000009</v>
      </c>
      <c r="AC170" s="31">
        <v>3007360.8200000003</v>
      </c>
      <c r="AD170" s="31">
        <v>2787303.8107790803</v>
      </c>
      <c r="AE170" s="31">
        <v>602934.5</v>
      </c>
      <c r="AF170" s="31">
        <v>27107617.460779078</v>
      </c>
      <c r="AH170" s="276"/>
      <c r="AI170" s="276"/>
      <c r="AJ170" s="276"/>
      <c r="AK170" s="276"/>
      <c r="AL170" s="276"/>
      <c r="AM170" s="276"/>
      <c r="AN170" s="276"/>
      <c r="AO170" s="276"/>
      <c r="AP170" s="276"/>
      <c r="AQ170" s="276"/>
      <c r="AR170" s="276"/>
      <c r="AS170" s="276"/>
      <c r="AT170" s="276"/>
      <c r="AU170" s="276"/>
      <c r="AV170" s="276"/>
      <c r="AW170" s="394"/>
    </row>
    <row r="171" spans="1:49">
      <c r="A171" s="88">
        <v>162</v>
      </c>
      <c r="B171" s="88" t="s">
        <v>1867</v>
      </c>
      <c r="C171" s="31">
        <v>41</v>
      </c>
      <c r="D171" s="31">
        <v>0</v>
      </c>
      <c r="E171" s="31">
        <v>119</v>
      </c>
      <c r="F171" s="31">
        <v>645</v>
      </c>
      <c r="G171" s="31">
        <v>407</v>
      </c>
      <c r="H171" s="31">
        <v>486</v>
      </c>
      <c r="I171" s="31">
        <v>63</v>
      </c>
      <c r="J171" s="31">
        <v>17</v>
      </c>
      <c r="K171" s="31">
        <v>0</v>
      </c>
      <c r="L171" s="31">
        <v>0</v>
      </c>
      <c r="M171" s="31">
        <v>26</v>
      </c>
      <c r="N171" s="31">
        <v>1</v>
      </c>
      <c r="O171" s="31">
        <v>295</v>
      </c>
      <c r="P171" s="31">
        <v>0</v>
      </c>
      <c r="Q171" s="31">
        <v>1705</v>
      </c>
      <c r="R171" s="150">
        <v>1</v>
      </c>
      <c r="S171" s="88">
        <v>4</v>
      </c>
      <c r="U171" s="31">
        <v>830536.59000000008</v>
      </c>
      <c r="V171" s="31">
        <v>1133015.6499999999</v>
      </c>
      <c r="W171" s="31">
        <v>6962933.1900000004</v>
      </c>
      <c r="X171" s="31">
        <v>1580406.6</v>
      </c>
      <c r="Y171" s="31">
        <v>259391.46</v>
      </c>
      <c r="Z171" s="31">
        <v>903612.61</v>
      </c>
      <c r="AA171" s="31">
        <v>482057.19</v>
      </c>
      <c r="AB171" s="31">
        <v>431870.27</v>
      </c>
      <c r="AC171" s="31">
        <v>1820457.9200000002</v>
      </c>
      <c r="AD171" s="31">
        <v>1740251.4572306452</v>
      </c>
      <c r="AE171" s="31">
        <v>409995.46</v>
      </c>
      <c r="AF171" s="31">
        <v>16554528.397230644</v>
      </c>
      <c r="AH171" s="276"/>
      <c r="AI171" s="276"/>
      <c r="AJ171" s="276"/>
      <c r="AK171" s="276"/>
      <c r="AL171" s="276"/>
      <c r="AM171" s="276"/>
      <c r="AN171" s="276"/>
      <c r="AO171" s="276"/>
      <c r="AP171" s="276"/>
      <c r="AQ171" s="276"/>
      <c r="AR171" s="276"/>
      <c r="AS171" s="276"/>
      <c r="AT171" s="276"/>
      <c r="AU171" s="276"/>
      <c r="AV171" s="276"/>
      <c r="AW171" s="394"/>
    </row>
    <row r="172" spans="1:49">
      <c r="A172" s="88">
        <v>163</v>
      </c>
      <c r="B172" s="88" t="s">
        <v>1868</v>
      </c>
      <c r="C172" s="31">
        <v>291</v>
      </c>
      <c r="D172" s="31">
        <v>0</v>
      </c>
      <c r="E172" s="31">
        <v>870</v>
      </c>
      <c r="F172" s="31">
        <v>5019</v>
      </c>
      <c r="G172" s="31">
        <v>3167</v>
      </c>
      <c r="H172" s="31">
        <v>3401</v>
      </c>
      <c r="I172" s="31">
        <v>636</v>
      </c>
      <c r="J172" s="31">
        <v>158</v>
      </c>
      <c r="K172" s="31">
        <v>0</v>
      </c>
      <c r="L172" s="31">
        <v>0</v>
      </c>
      <c r="M172" s="31">
        <v>3331</v>
      </c>
      <c r="N172" s="31">
        <v>918</v>
      </c>
      <c r="O172" s="31">
        <v>9437</v>
      </c>
      <c r="P172" s="31">
        <v>0</v>
      </c>
      <c r="Q172" s="31">
        <v>16852</v>
      </c>
      <c r="R172" s="150">
        <v>1</v>
      </c>
      <c r="S172" s="88">
        <v>10</v>
      </c>
      <c r="U172" s="31">
        <v>8218908.0700000003</v>
      </c>
      <c r="V172" s="31">
        <v>11201531.990000002</v>
      </c>
      <c r="W172" s="31">
        <v>97952591.260000005</v>
      </c>
      <c r="X172" s="31">
        <v>15588560.330000002</v>
      </c>
      <c r="Y172" s="31">
        <v>3246013.33</v>
      </c>
      <c r="Z172" s="31">
        <v>9287698.7599999979</v>
      </c>
      <c r="AA172" s="31">
        <v>4855167.45</v>
      </c>
      <c r="AB172" s="31">
        <v>4032387.9600000004</v>
      </c>
      <c r="AC172" s="31">
        <v>22957479.07</v>
      </c>
      <c r="AD172" s="31">
        <v>20403802.406827647</v>
      </c>
      <c r="AE172" s="31">
        <v>3810546.04</v>
      </c>
      <c r="AF172" s="31">
        <v>201554686.66682765</v>
      </c>
      <c r="AH172" s="276"/>
      <c r="AI172" s="276"/>
      <c r="AJ172" s="276"/>
      <c r="AK172" s="276"/>
      <c r="AL172" s="276"/>
      <c r="AM172" s="276"/>
      <c r="AN172" s="276"/>
      <c r="AO172" s="276"/>
      <c r="AP172" s="276"/>
      <c r="AQ172" s="276"/>
      <c r="AR172" s="276"/>
      <c r="AS172" s="276"/>
      <c r="AT172" s="276"/>
      <c r="AU172" s="276"/>
      <c r="AV172" s="276"/>
      <c r="AW172" s="394"/>
    </row>
    <row r="173" spans="1:49">
      <c r="A173" s="88">
        <v>164</v>
      </c>
      <c r="B173" s="88" t="s">
        <v>1869</v>
      </c>
      <c r="C173" s="31">
        <v>20</v>
      </c>
      <c r="D173" s="31">
        <v>0</v>
      </c>
      <c r="E173" s="31">
        <v>142</v>
      </c>
      <c r="F173" s="31">
        <v>852</v>
      </c>
      <c r="G173" s="31">
        <v>527</v>
      </c>
      <c r="H173" s="31">
        <v>643</v>
      </c>
      <c r="I173" s="31">
        <v>82</v>
      </c>
      <c r="J173" s="31">
        <v>22</v>
      </c>
      <c r="K173" s="31">
        <v>0</v>
      </c>
      <c r="L173" s="31">
        <v>0</v>
      </c>
      <c r="M173" s="31">
        <v>17</v>
      </c>
      <c r="N173" s="31">
        <v>0</v>
      </c>
      <c r="O173" s="31">
        <v>181</v>
      </c>
      <c r="P173" s="31">
        <v>0</v>
      </c>
      <c r="Q173" s="31">
        <v>2191</v>
      </c>
      <c r="R173" s="150">
        <v>1.0349999999999999</v>
      </c>
      <c r="S173" s="88">
        <v>1</v>
      </c>
      <c r="U173" s="31">
        <v>1108020.7403999998</v>
      </c>
      <c r="V173" s="31">
        <v>1507375.7801999999</v>
      </c>
      <c r="W173" s="31">
        <v>8606886.0061499998</v>
      </c>
      <c r="X173" s="31">
        <v>2107127.4475500002</v>
      </c>
      <c r="Y173" s="31">
        <v>330534.83654999995</v>
      </c>
      <c r="Z173" s="31">
        <v>1165701.29</v>
      </c>
      <c r="AA173" s="31">
        <v>642986.93969999999</v>
      </c>
      <c r="AB173" s="31">
        <v>582587.62064999994</v>
      </c>
      <c r="AC173" s="31">
        <v>2319490.8175499998</v>
      </c>
      <c r="AD173" s="31">
        <v>2172152.3154382771</v>
      </c>
      <c r="AE173" s="31">
        <v>530582.36</v>
      </c>
      <c r="AF173" s="31">
        <v>21073446.154188275</v>
      </c>
      <c r="AH173" s="276"/>
      <c r="AI173" s="276"/>
      <c r="AJ173" s="276"/>
      <c r="AK173" s="276"/>
      <c r="AL173" s="276"/>
      <c r="AM173" s="276"/>
      <c r="AN173" s="276"/>
      <c r="AO173" s="276"/>
      <c r="AP173" s="276"/>
      <c r="AQ173" s="276"/>
      <c r="AR173" s="276"/>
      <c r="AS173" s="276"/>
      <c r="AT173" s="276"/>
      <c r="AU173" s="276"/>
      <c r="AV173" s="276"/>
      <c r="AW173" s="394"/>
    </row>
    <row r="174" spans="1:49">
      <c r="A174" s="88">
        <v>165</v>
      </c>
      <c r="B174" s="88" t="s">
        <v>1870</v>
      </c>
      <c r="C174" s="31">
        <v>299</v>
      </c>
      <c r="D174" s="31">
        <v>1</v>
      </c>
      <c r="E174" s="31">
        <v>335</v>
      </c>
      <c r="F174" s="31">
        <v>2307</v>
      </c>
      <c r="G174" s="31">
        <v>1460</v>
      </c>
      <c r="H174" s="31">
        <v>1875</v>
      </c>
      <c r="I174" s="31">
        <v>277</v>
      </c>
      <c r="J174" s="31">
        <v>74</v>
      </c>
      <c r="K174" s="31">
        <v>0</v>
      </c>
      <c r="L174" s="31">
        <v>0</v>
      </c>
      <c r="M174" s="31">
        <v>1384</v>
      </c>
      <c r="N174" s="31">
        <v>17</v>
      </c>
      <c r="O174" s="31">
        <v>3511</v>
      </c>
      <c r="P174" s="31">
        <v>0</v>
      </c>
      <c r="Q174" s="31">
        <v>7529</v>
      </c>
      <c r="R174" s="150">
        <v>1.036</v>
      </c>
      <c r="S174" s="88">
        <v>9</v>
      </c>
      <c r="U174" s="31">
        <v>3794039.9977200003</v>
      </c>
      <c r="V174" s="31">
        <v>5184159.7057600003</v>
      </c>
      <c r="W174" s="31">
        <v>41425103.532120004</v>
      </c>
      <c r="X174" s="31">
        <v>7175704.0286400001</v>
      </c>
      <c r="Y174" s="31">
        <v>1406086.2706800001</v>
      </c>
      <c r="Z174" s="31">
        <v>3928549.23</v>
      </c>
      <c r="AA174" s="31">
        <v>2236784.7717599999</v>
      </c>
      <c r="AB174" s="31">
        <v>1854521.8957999998</v>
      </c>
      <c r="AC174" s="31">
        <v>9870889.8649200015</v>
      </c>
      <c r="AD174" s="31">
        <v>8660226.8263247386</v>
      </c>
      <c r="AE174" s="31">
        <v>1784686.12</v>
      </c>
      <c r="AF174" s="31">
        <v>87320752.243724763</v>
      </c>
      <c r="AH174" s="276"/>
      <c r="AI174" s="276"/>
      <c r="AJ174" s="276"/>
      <c r="AK174" s="276"/>
      <c r="AL174" s="276"/>
      <c r="AM174" s="276"/>
      <c r="AN174" s="276"/>
      <c r="AO174" s="276"/>
      <c r="AP174" s="276"/>
      <c r="AQ174" s="276"/>
      <c r="AR174" s="276"/>
      <c r="AS174" s="276"/>
      <c r="AT174" s="276"/>
      <c r="AU174" s="276"/>
      <c r="AV174" s="276"/>
      <c r="AW174" s="394"/>
    </row>
    <row r="175" spans="1:49">
      <c r="A175" s="88">
        <v>166</v>
      </c>
      <c r="B175" s="88" t="s">
        <v>1871</v>
      </c>
      <c r="C175" s="31">
        <v>0</v>
      </c>
      <c r="D175" s="31">
        <v>0</v>
      </c>
      <c r="E175" s="31">
        <v>0</v>
      </c>
      <c r="F175" s="31">
        <v>0</v>
      </c>
      <c r="G175" s="31">
        <v>0</v>
      </c>
      <c r="H175" s="31">
        <v>0</v>
      </c>
      <c r="I175" s="31">
        <v>0</v>
      </c>
      <c r="J175" s="31">
        <v>0</v>
      </c>
      <c r="K175" s="31">
        <v>0</v>
      </c>
      <c r="L175" s="31">
        <v>0</v>
      </c>
      <c r="M175" s="31">
        <v>0</v>
      </c>
      <c r="N175" s="31">
        <v>0</v>
      </c>
      <c r="O175" s="31">
        <v>0</v>
      </c>
      <c r="P175" s="31">
        <v>0</v>
      </c>
      <c r="Q175" s="31">
        <v>0</v>
      </c>
      <c r="R175" s="150">
        <v>1.0369999999999999</v>
      </c>
      <c r="S175" s="88">
        <v>0</v>
      </c>
      <c r="U175" s="31">
        <v>0</v>
      </c>
      <c r="V175" s="31">
        <v>0</v>
      </c>
      <c r="W175" s="31">
        <v>0</v>
      </c>
      <c r="X175" s="31">
        <v>0</v>
      </c>
      <c r="Y175" s="31">
        <v>0</v>
      </c>
      <c r="Z175" s="31">
        <v>0</v>
      </c>
      <c r="AA175" s="31">
        <v>0</v>
      </c>
      <c r="AB175" s="31">
        <v>0</v>
      </c>
      <c r="AC175" s="31">
        <v>0</v>
      </c>
      <c r="AD175" s="31">
        <v>0</v>
      </c>
      <c r="AE175" s="31">
        <v>0</v>
      </c>
      <c r="AF175" s="31">
        <v>0</v>
      </c>
      <c r="AH175" s="276"/>
      <c r="AI175" s="276"/>
      <c r="AJ175" s="276"/>
      <c r="AK175" s="276"/>
      <c r="AL175" s="276"/>
      <c r="AM175" s="276"/>
      <c r="AN175" s="276"/>
      <c r="AO175" s="276"/>
      <c r="AP175" s="276"/>
      <c r="AQ175" s="276"/>
      <c r="AR175" s="276"/>
      <c r="AS175" s="276"/>
      <c r="AT175" s="276"/>
      <c r="AU175" s="276"/>
      <c r="AV175" s="276"/>
      <c r="AW175" s="394"/>
    </row>
    <row r="176" spans="1:49">
      <c r="A176" s="88">
        <v>167</v>
      </c>
      <c r="B176" s="88" t="s">
        <v>1872</v>
      </c>
      <c r="C176" s="31">
        <v>86</v>
      </c>
      <c r="D176" s="31">
        <v>221</v>
      </c>
      <c r="E176" s="31">
        <v>6</v>
      </c>
      <c r="F176" s="31">
        <v>1325</v>
      </c>
      <c r="G176" s="31">
        <v>1041</v>
      </c>
      <c r="H176" s="31">
        <v>1348</v>
      </c>
      <c r="I176" s="31">
        <v>146</v>
      </c>
      <c r="J176" s="31">
        <v>39</v>
      </c>
      <c r="K176" s="31">
        <v>0</v>
      </c>
      <c r="L176" s="31">
        <v>11</v>
      </c>
      <c r="M176" s="31">
        <v>52</v>
      </c>
      <c r="N176" s="31">
        <v>0</v>
      </c>
      <c r="O176" s="31">
        <v>530</v>
      </c>
      <c r="P176" s="31">
        <v>0</v>
      </c>
      <c r="Q176" s="31">
        <v>3932</v>
      </c>
      <c r="R176" s="150">
        <v>1.085</v>
      </c>
      <c r="S176" s="88">
        <v>3</v>
      </c>
      <c r="U176" s="31">
        <v>2079615.4638000003</v>
      </c>
      <c r="V176" s="31">
        <v>2835123.9874999998</v>
      </c>
      <c r="W176" s="31">
        <v>17075797.443599999</v>
      </c>
      <c r="X176" s="31">
        <v>3860275.4309000005</v>
      </c>
      <c r="Y176" s="31">
        <v>640224.64800000004</v>
      </c>
      <c r="Z176" s="31">
        <v>2142504.1599999997</v>
      </c>
      <c r="AA176" s="31">
        <v>1250376.2208</v>
      </c>
      <c r="AB176" s="31">
        <v>1187058.7239000001</v>
      </c>
      <c r="AC176" s="31">
        <v>4492759.7974000005</v>
      </c>
      <c r="AD176" s="31">
        <v>3949307.5515403221</v>
      </c>
      <c r="AE176" s="31">
        <v>940577.82000000007</v>
      </c>
      <c r="AF176" s="31">
        <v>40453621.247440323</v>
      </c>
      <c r="AH176" s="276"/>
      <c r="AI176" s="276"/>
      <c r="AJ176" s="276"/>
      <c r="AK176" s="276"/>
      <c r="AL176" s="276"/>
      <c r="AM176" s="276"/>
      <c r="AN176" s="276"/>
      <c r="AO176" s="276"/>
      <c r="AP176" s="276"/>
      <c r="AQ176" s="276"/>
      <c r="AR176" s="276"/>
      <c r="AS176" s="276"/>
      <c r="AT176" s="276"/>
      <c r="AU176" s="276"/>
      <c r="AV176" s="276"/>
      <c r="AW176" s="394"/>
    </row>
    <row r="177" spans="1:49">
      <c r="A177" s="88">
        <v>168</v>
      </c>
      <c r="B177" s="88" t="s">
        <v>1873</v>
      </c>
      <c r="C177" s="31">
        <v>36</v>
      </c>
      <c r="D177" s="31">
        <v>188</v>
      </c>
      <c r="E177" s="31">
        <v>25</v>
      </c>
      <c r="F177" s="31">
        <v>1114</v>
      </c>
      <c r="G177" s="31">
        <v>813</v>
      </c>
      <c r="H177" s="31">
        <v>1043</v>
      </c>
      <c r="I177" s="31">
        <v>121</v>
      </c>
      <c r="J177" s="31">
        <v>32</v>
      </c>
      <c r="K177" s="31">
        <v>0</v>
      </c>
      <c r="L177" s="31">
        <v>10</v>
      </c>
      <c r="M177" s="31">
        <v>121</v>
      </c>
      <c r="N177" s="31">
        <v>0</v>
      </c>
      <c r="O177" s="31">
        <v>338</v>
      </c>
      <c r="P177" s="31">
        <v>0</v>
      </c>
      <c r="Q177" s="31">
        <v>3233</v>
      </c>
      <c r="R177" s="150">
        <v>1</v>
      </c>
      <c r="S177" s="88">
        <v>2</v>
      </c>
      <c r="U177" s="31">
        <v>1578518.71</v>
      </c>
      <c r="V177" s="31">
        <v>2149042.1</v>
      </c>
      <c r="W177" s="31">
        <v>12720385.66</v>
      </c>
      <c r="X177" s="31">
        <v>2951029.05</v>
      </c>
      <c r="Y177" s="31">
        <v>481375.02</v>
      </c>
      <c r="Z177" s="31">
        <v>1745024.54</v>
      </c>
      <c r="AA177" s="31">
        <v>940670.19000000006</v>
      </c>
      <c r="AB177" s="31">
        <v>871888.19</v>
      </c>
      <c r="AC177" s="31">
        <v>3378053.03</v>
      </c>
      <c r="AD177" s="31">
        <v>3237331.3940457096</v>
      </c>
      <c r="AE177" s="31">
        <v>771756.16</v>
      </c>
      <c r="AF177" s="31">
        <v>30825074.044045713</v>
      </c>
      <c r="AH177" s="276"/>
      <c r="AI177" s="276"/>
      <c r="AJ177" s="276"/>
      <c r="AK177" s="276"/>
      <c r="AL177" s="276"/>
      <c r="AM177" s="276"/>
      <c r="AN177" s="276"/>
      <c r="AO177" s="276"/>
      <c r="AP177" s="276"/>
      <c r="AQ177" s="276"/>
      <c r="AR177" s="276"/>
      <c r="AS177" s="276"/>
      <c r="AT177" s="276"/>
      <c r="AU177" s="276"/>
      <c r="AV177" s="276"/>
      <c r="AW177" s="394"/>
    </row>
    <row r="178" spans="1:49">
      <c r="A178" s="88">
        <v>169</v>
      </c>
      <c r="B178" s="88" t="s">
        <v>1874</v>
      </c>
      <c r="C178" s="31">
        <v>26</v>
      </c>
      <c r="D178" s="31">
        <v>0</v>
      </c>
      <c r="E178" s="31">
        <v>51</v>
      </c>
      <c r="F178" s="31">
        <v>315</v>
      </c>
      <c r="G178" s="31">
        <v>69</v>
      </c>
      <c r="H178" s="31">
        <v>3</v>
      </c>
      <c r="I178" s="31">
        <v>17</v>
      </c>
      <c r="J178" s="31">
        <v>4</v>
      </c>
      <c r="K178" s="31">
        <v>1</v>
      </c>
      <c r="L178" s="31">
        <v>0</v>
      </c>
      <c r="M178" s="31">
        <v>2</v>
      </c>
      <c r="N178" s="31">
        <v>1</v>
      </c>
      <c r="O178" s="31">
        <v>103</v>
      </c>
      <c r="P178" s="31">
        <v>0</v>
      </c>
      <c r="Q178" s="31">
        <v>455</v>
      </c>
      <c r="R178" s="150">
        <v>1</v>
      </c>
      <c r="S178" s="88">
        <v>5</v>
      </c>
      <c r="U178" s="31">
        <v>220617.61000000004</v>
      </c>
      <c r="V178" s="31">
        <v>302115.50999999995</v>
      </c>
      <c r="W178" s="31">
        <v>1833415.8199999998</v>
      </c>
      <c r="X178" s="31">
        <v>471741.7699999999</v>
      </c>
      <c r="Y178" s="31">
        <v>69664.819999999992</v>
      </c>
      <c r="Z178" s="31">
        <v>208090.61999999997</v>
      </c>
      <c r="AA178" s="31">
        <v>106647.27</v>
      </c>
      <c r="AB178" s="31">
        <v>64578.37999999999</v>
      </c>
      <c r="AC178" s="31">
        <v>489053.22</v>
      </c>
      <c r="AD178" s="31">
        <v>481268.97495337273</v>
      </c>
      <c r="AE178" s="31">
        <v>96469.52</v>
      </c>
      <c r="AF178" s="31">
        <v>4343663.5149533721</v>
      </c>
      <c r="AH178" s="276"/>
      <c r="AI178" s="276"/>
      <c r="AJ178" s="276"/>
      <c r="AK178" s="276"/>
      <c r="AL178" s="276"/>
      <c r="AM178" s="276"/>
      <c r="AN178" s="276"/>
      <c r="AO178" s="276"/>
      <c r="AP178" s="276"/>
      <c r="AQ178" s="276"/>
      <c r="AR178" s="276"/>
      <c r="AS178" s="276"/>
      <c r="AT178" s="276"/>
      <c r="AU178" s="276"/>
      <c r="AV178" s="276"/>
      <c r="AW178" s="394"/>
    </row>
    <row r="179" spans="1:49">
      <c r="A179" s="88">
        <v>170</v>
      </c>
      <c r="B179" s="88" t="s">
        <v>1875</v>
      </c>
      <c r="C179" s="31">
        <v>37</v>
      </c>
      <c r="D179" s="31">
        <v>1</v>
      </c>
      <c r="E179" s="31">
        <v>233</v>
      </c>
      <c r="F179" s="31">
        <v>1500</v>
      </c>
      <c r="G179" s="31">
        <v>1133</v>
      </c>
      <c r="H179" s="31">
        <v>1293</v>
      </c>
      <c r="I179" s="31">
        <v>189</v>
      </c>
      <c r="J179" s="31">
        <v>51</v>
      </c>
      <c r="K179" s="31">
        <v>19</v>
      </c>
      <c r="L179" s="31">
        <v>0</v>
      </c>
      <c r="M179" s="31">
        <v>892</v>
      </c>
      <c r="N179" s="31">
        <v>0</v>
      </c>
      <c r="O179" s="31">
        <v>1718</v>
      </c>
      <c r="P179" s="31">
        <v>0</v>
      </c>
      <c r="Q179" s="31">
        <v>5081</v>
      </c>
      <c r="R179" s="150">
        <v>1.0529999999999999</v>
      </c>
      <c r="S179" s="88">
        <v>8</v>
      </c>
      <c r="U179" s="31">
        <v>2610488.0248199999</v>
      </c>
      <c r="V179" s="31">
        <v>3555397.4379299995</v>
      </c>
      <c r="W179" s="31">
        <v>26022916.67625</v>
      </c>
      <c r="X179" s="31">
        <v>4904381.7646199996</v>
      </c>
      <c r="Y179" s="31">
        <v>914325.36506999994</v>
      </c>
      <c r="Z179" s="31">
        <v>2649780.69</v>
      </c>
      <c r="AA179" s="31">
        <v>1545524.0072999999</v>
      </c>
      <c r="AB179" s="31">
        <v>1294733.6192699999</v>
      </c>
      <c r="AC179" s="31">
        <v>6416299.1821499998</v>
      </c>
      <c r="AD179" s="31">
        <v>5618076.4120877422</v>
      </c>
      <c r="AE179" s="31">
        <v>1229986.3800000001</v>
      </c>
      <c r="AF179" s="31">
        <v>56761909.559497736</v>
      </c>
      <c r="AH179" s="276"/>
      <c r="AI179" s="276"/>
      <c r="AJ179" s="276"/>
      <c r="AK179" s="276"/>
      <c r="AL179" s="276"/>
      <c r="AM179" s="276"/>
      <c r="AN179" s="276"/>
      <c r="AO179" s="276"/>
      <c r="AP179" s="276"/>
      <c r="AQ179" s="276"/>
      <c r="AR179" s="276"/>
      <c r="AS179" s="276"/>
      <c r="AT179" s="276"/>
      <c r="AU179" s="276"/>
      <c r="AV179" s="276"/>
      <c r="AW179" s="394"/>
    </row>
    <row r="180" spans="1:49">
      <c r="A180" s="88">
        <v>171</v>
      </c>
      <c r="B180" s="88" t="s">
        <v>1876</v>
      </c>
      <c r="C180" s="31">
        <v>130</v>
      </c>
      <c r="D180" s="31">
        <v>272</v>
      </c>
      <c r="E180" s="31">
        <v>6</v>
      </c>
      <c r="F180" s="31">
        <v>1436</v>
      </c>
      <c r="G180" s="31">
        <v>1022</v>
      </c>
      <c r="H180" s="31">
        <v>1356</v>
      </c>
      <c r="I180" s="31">
        <v>153</v>
      </c>
      <c r="J180" s="31">
        <v>40</v>
      </c>
      <c r="K180" s="31">
        <v>0</v>
      </c>
      <c r="L180" s="31">
        <v>1</v>
      </c>
      <c r="M180" s="31">
        <v>39</v>
      </c>
      <c r="N180" s="31">
        <v>67</v>
      </c>
      <c r="O180" s="31">
        <v>573</v>
      </c>
      <c r="P180" s="31">
        <v>0</v>
      </c>
      <c r="Q180" s="31">
        <v>4128</v>
      </c>
      <c r="R180" s="150">
        <v>1.03</v>
      </c>
      <c r="S180" s="88">
        <v>3</v>
      </c>
      <c r="U180" s="31">
        <v>2069618.2327000001</v>
      </c>
      <c r="V180" s="31">
        <v>2825944.9049000004</v>
      </c>
      <c r="W180" s="31">
        <v>17260966.7236</v>
      </c>
      <c r="X180" s="31">
        <v>3862269.3006000002</v>
      </c>
      <c r="Y180" s="31">
        <v>643271.08090000006</v>
      </c>
      <c r="Z180" s="31">
        <v>2286981.29</v>
      </c>
      <c r="AA180" s="31">
        <v>1240537.5723000001</v>
      </c>
      <c r="AB180" s="31">
        <v>1178156.7655999998</v>
      </c>
      <c r="AC180" s="31">
        <v>4527552.7896000007</v>
      </c>
      <c r="AD180" s="31">
        <v>4176773.3565830425</v>
      </c>
      <c r="AE180" s="31">
        <v>964695.20000000007</v>
      </c>
      <c r="AF180" s="31">
        <v>41036767.216783047</v>
      </c>
      <c r="AH180" s="276"/>
      <c r="AI180" s="276"/>
      <c r="AJ180" s="276"/>
      <c r="AK180" s="276"/>
      <c r="AL180" s="276"/>
      <c r="AM180" s="276"/>
      <c r="AN180" s="276"/>
      <c r="AO180" s="276"/>
      <c r="AP180" s="276"/>
      <c r="AQ180" s="276"/>
      <c r="AR180" s="276"/>
      <c r="AS180" s="276"/>
      <c r="AT180" s="276"/>
      <c r="AU180" s="276"/>
      <c r="AV180" s="276"/>
      <c r="AW180" s="394"/>
    </row>
    <row r="181" spans="1:49">
      <c r="A181" s="88">
        <v>172</v>
      </c>
      <c r="B181" s="88" t="s">
        <v>1877</v>
      </c>
      <c r="C181" s="31">
        <v>30</v>
      </c>
      <c r="D181" s="31">
        <v>0</v>
      </c>
      <c r="E181" s="31">
        <v>77</v>
      </c>
      <c r="F181" s="31">
        <v>559</v>
      </c>
      <c r="G181" s="31">
        <v>417</v>
      </c>
      <c r="H181" s="31">
        <v>474</v>
      </c>
      <c r="I181" s="31">
        <v>59</v>
      </c>
      <c r="J181" s="31">
        <v>16</v>
      </c>
      <c r="K181" s="31">
        <v>0</v>
      </c>
      <c r="L181" s="31">
        <v>0</v>
      </c>
      <c r="M181" s="31">
        <v>48</v>
      </c>
      <c r="N181" s="31">
        <v>0</v>
      </c>
      <c r="O181" s="31">
        <v>494</v>
      </c>
      <c r="P181" s="31">
        <v>0</v>
      </c>
      <c r="Q181" s="31">
        <v>1590</v>
      </c>
      <c r="R181" s="150">
        <v>1</v>
      </c>
      <c r="S181" s="88">
        <v>7</v>
      </c>
      <c r="U181" s="31">
        <v>775695.15</v>
      </c>
      <c r="V181" s="31">
        <v>1056905.1000000001</v>
      </c>
      <c r="W181" s="31">
        <v>7256424.9699999997</v>
      </c>
      <c r="X181" s="31">
        <v>1457990.3500000003</v>
      </c>
      <c r="Y181" s="31">
        <v>259369.60000000001</v>
      </c>
      <c r="Z181" s="31">
        <v>847718.73</v>
      </c>
      <c r="AA181" s="31">
        <v>457084.70999999996</v>
      </c>
      <c r="AB181" s="31">
        <v>414889.99</v>
      </c>
      <c r="AC181" s="31">
        <v>1820117.46</v>
      </c>
      <c r="AD181" s="31">
        <v>1699030.4253567546</v>
      </c>
      <c r="AE181" s="31">
        <v>385878.08</v>
      </c>
      <c r="AF181" s="31">
        <v>16431104.565356754</v>
      </c>
      <c r="AH181" s="276"/>
      <c r="AI181" s="276"/>
      <c r="AJ181" s="276"/>
      <c r="AK181" s="276"/>
      <c r="AL181" s="276"/>
      <c r="AM181" s="276"/>
      <c r="AN181" s="276"/>
      <c r="AO181" s="276"/>
      <c r="AP181" s="276"/>
      <c r="AQ181" s="276"/>
      <c r="AR181" s="276"/>
      <c r="AS181" s="276"/>
      <c r="AT181" s="276"/>
      <c r="AU181" s="276"/>
      <c r="AV181" s="276"/>
      <c r="AW181" s="394"/>
    </row>
    <row r="182" spans="1:49">
      <c r="A182" s="88">
        <v>173</v>
      </c>
      <c r="B182" s="88" t="s">
        <v>1878</v>
      </c>
      <c r="C182" s="31">
        <v>21</v>
      </c>
      <c r="D182" s="31">
        <v>0</v>
      </c>
      <c r="E182" s="31">
        <v>46</v>
      </c>
      <c r="F182" s="31">
        <v>305</v>
      </c>
      <c r="G182" s="31">
        <v>72</v>
      </c>
      <c r="H182" s="31">
        <v>7</v>
      </c>
      <c r="I182" s="31">
        <v>16</v>
      </c>
      <c r="J182" s="31">
        <v>4</v>
      </c>
      <c r="K182" s="31">
        <v>0</v>
      </c>
      <c r="L182" s="31">
        <v>0</v>
      </c>
      <c r="M182" s="31">
        <v>3</v>
      </c>
      <c r="N182" s="31">
        <v>7</v>
      </c>
      <c r="O182" s="31">
        <v>77</v>
      </c>
      <c r="P182" s="31">
        <v>0</v>
      </c>
      <c r="Q182" s="31">
        <v>451</v>
      </c>
      <c r="R182" s="150">
        <v>1</v>
      </c>
      <c r="S182" s="88">
        <v>4</v>
      </c>
      <c r="U182" s="31">
        <v>216605.23</v>
      </c>
      <c r="V182" s="31">
        <v>299456.56999999995</v>
      </c>
      <c r="W182" s="31">
        <v>1754664.3299999998</v>
      </c>
      <c r="X182" s="31">
        <v>456920.87999999995</v>
      </c>
      <c r="Y182" s="31">
        <v>67553.179999999993</v>
      </c>
      <c r="Z182" s="31">
        <v>211796.29</v>
      </c>
      <c r="AA182" s="31">
        <v>107500.13999999998</v>
      </c>
      <c r="AB182" s="31">
        <v>68292.899999999994</v>
      </c>
      <c r="AC182" s="31">
        <v>475400.99000000005</v>
      </c>
      <c r="AD182" s="31">
        <v>468029.88500187913</v>
      </c>
      <c r="AE182" s="31">
        <v>96469.52</v>
      </c>
      <c r="AF182" s="31">
        <v>4222689.9150018794</v>
      </c>
      <c r="AH182" s="276"/>
      <c r="AI182" s="276"/>
      <c r="AJ182" s="276"/>
      <c r="AK182" s="276"/>
      <c r="AL182" s="276"/>
      <c r="AM182" s="276"/>
      <c r="AN182" s="276"/>
      <c r="AO182" s="276"/>
      <c r="AP182" s="276"/>
      <c r="AQ182" s="276"/>
      <c r="AR182" s="276"/>
      <c r="AS182" s="276"/>
      <c r="AT182" s="276"/>
      <c r="AU182" s="276"/>
      <c r="AV182" s="276"/>
      <c r="AW182" s="394"/>
    </row>
    <row r="183" spans="1:49">
      <c r="A183" s="88">
        <v>174</v>
      </c>
      <c r="B183" s="88" t="s">
        <v>1879</v>
      </c>
      <c r="C183" s="31">
        <v>26</v>
      </c>
      <c r="D183" s="31">
        <v>0</v>
      </c>
      <c r="E183" s="31">
        <v>113</v>
      </c>
      <c r="F183" s="31">
        <v>508</v>
      </c>
      <c r="G183" s="31">
        <v>335</v>
      </c>
      <c r="H183" s="31">
        <v>396</v>
      </c>
      <c r="I183" s="31">
        <v>53</v>
      </c>
      <c r="J183" s="31">
        <v>14</v>
      </c>
      <c r="K183" s="31">
        <v>0</v>
      </c>
      <c r="L183" s="31">
        <v>0</v>
      </c>
      <c r="M183" s="31">
        <v>61</v>
      </c>
      <c r="N183" s="31">
        <v>3</v>
      </c>
      <c r="O183" s="31">
        <v>279</v>
      </c>
      <c r="P183" s="31">
        <v>0</v>
      </c>
      <c r="Q183" s="31">
        <v>1429</v>
      </c>
      <c r="R183" s="150">
        <v>1.0580000000000001</v>
      </c>
      <c r="S183" s="88">
        <v>4</v>
      </c>
      <c r="U183" s="31">
        <v>736494.39926000009</v>
      </c>
      <c r="V183" s="31">
        <v>1004978.4781200001</v>
      </c>
      <c r="W183" s="31">
        <v>6344882.3490800001</v>
      </c>
      <c r="X183" s="31">
        <v>1401335.0185</v>
      </c>
      <c r="Y183" s="31">
        <v>234261.03749999998</v>
      </c>
      <c r="Z183" s="31">
        <v>756311.65000000014</v>
      </c>
      <c r="AA183" s="31">
        <v>428688.34326000005</v>
      </c>
      <c r="AB183" s="31">
        <v>378495.97686</v>
      </c>
      <c r="AC183" s="31">
        <v>1644536.0607799999</v>
      </c>
      <c r="AD183" s="31">
        <v>1477446.5600640709</v>
      </c>
      <c r="AE183" s="31">
        <v>337643.32</v>
      </c>
      <c r="AF183" s="31">
        <v>14745073.193424072</v>
      </c>
      <c r="AH183" s="276"/>
      <c r="AI183" s="276"/>
      <c r="AJ183" s="276"/>
      <c r="AK183" s="276"/>
      <c r="AL183" s="276"/>
      <c r="AM183" s="276"/>
      <c r="AN183" s="276"/>
      <c r="AO183" s="276"/>
      <c r="AP183" s="276"/>
      <c r="AQ183" s="276"/>
      <c r="AR183" s="276"/>
      <c r="AS183" s="276"/>
      <c r="AT183" s="276"/>
      <c r="AU183" s="276"/>
      <c r="AV183" s="276"/>
      <c r="AW183" s="394"/>
    </row>
    <row r="184" spans="1:49">
      <c r="A184" s="88">
        <v>175</v>
      </c>
      <c r="B184" s="88" t="s">
        <v>1880</v>
      </c>
      <c r="C184" s="31">
        <v>11</v>
      </c>
      <c r="D184" s="31">
        <v>173</v>
      </c>
      <c r="E184" s="31">
        <v>1</v>
      </c>
      <c r="F184" s="31">
        <v>884</v>
      </c>
      <c r="G184" s="31">
        <v>632</v>
      </c>
      <c r="H184" s="31">
        <v>851</v>
      </c>
      <c r="I184" s="31">
        <v>93</v>
      </c>
      <c r="J184" s="31">
        <v>25</v>
      </c>
      <c r="K184" s="31">
        <v>0</v>
      </c>
      <c r="L184" s="31">
        <v>3</v>
      </c>
      <c r="M184" s="31">
        <v>27</v>
      </c>
      <c r="N184" s="31">
        <v>0</v>
      </c>
      <c r="O184" s="31">
        <v>144</v>
      </c>
      <c r="P184" s="31">
        <v>0</v>
      </c>
      <c r="Q184" s="31">
        <v>2490</v>
      </c>
      <c r="R184" s="150">
        <v>1.0349999999999999</v>
      </c>
      <c r="S184" s="88">
        <v>1</v>
      </c>
      <c r="U184" s="31">
        <v>1258153.3899000003</v>
      </c>
      <c r="V184" s="31">
        <v>1712053.10565</v>
      </c>
      <c r="W184" s="31">
        <v>9698034.1247999985</v>
      </c>
      <c r="X184" s="31">
        <v>2343948.84045</v>
      </c>
      <c r="Y184" s="31">
        <v>372693.32594999997</v>
      </c>
      <c r="Z184" s="31">
        <v>1355883.9700000002</v>
      </c>
      <c r="AA184" s="31">
        <v>752055.3432</v>
      </c>
      <c r="AB184" s="31">
        <v>713965.0040999999</v>
      </c>
      <c r="AC184" s="31">
        <v>2615372.47755</v>
      </c>
      <c r="AD184" s="31">
        <v>2440888.1383539173</v>
      </c>
      <c r="AE184" s="31">
        <v>602934.5</v>
      </c>
      <c r="AF184" s="31">
        <v>23865982.219953917</v>
      </c>
      <c r="AH184" s="276"/>
      <c r="AI184" s="276"/>
      <c r="AJ184" s="276"/>
      <c r="AK184" s="276"/>
      <c r="AL184" s="276"/>
      <c r="AM184" s="276"/>
      <c r="AN184" s="276"/>
      <c r="AO184" s="276"/>
      <c r="AP184" s="276"/>
      <c r="AQ184" s="276"/>
      <c r="AR184" s="276"/>
      <c r="AS184" s="276"/>
      <c r="AT184" s="276"/>
      <c r="AU184" s="276"/>
      <c r="AV184" s="276"/>
      <c r="AW184" s="394"/>
    </row>
    <row r="185" spans="1:49">
      <c r="A185" s="88">
        <v>176</v>
      </c>
      <c r="B185" s="88" t="s">
        <v>1881</v>
      </c>
      <c r="C185" s="31">
        <v>91</v>
      </c>
      <c r="D185" s="31">
        <v>0</v>
      </c>
      <c r="E185" s="31">
        <v>296</v>
      </c>
      <c r="F185" s="31">
        <v>1559</v>
      </c>
      <c r="G185" s="31">
        <v>1005</v>
      </c>
      <c r="H185" s="31">
        <v>1115</v>
      </c>
      <c r="I185" s="31">
        <v>183</v>
      </c>
      <c r="J185" s="31">
        <v>44</v>
      </c>
      <c r="K185" s="31">
        <v>32</v>
      </c>
      <c r="L185" s="31">
        <v>0</v>
      </c>
      <c r="M185" s="31">
        <v>410</v>
      </c>
      <c r="N185" s="31">
        <v>400</v>
      </c>
      <c r="O185" s="31">
        <v>1532</v>
      </c>
      <c r="P185" s="31">
        <v>0</v>
      </c>
      <c r="Q185" s="31">
        <v>4847</v>
      </c>
      <c r="R185" s="150">
        <v>1.046</v>
      </c>
      <c r="S185" s="88">
        <v>7</v>
      </c>
      <c r="U185" s="31">
        <v>2468896.2471600003</v>
      </c>
      <c r="V185" s="31">
        <v>3369758.7786600003</v>
      </c>
      <c r="W185" s="31">
        <v>25024824.515319999</v>
      </c>
      <c r="X185" s="31">
        <v>4666352.6387400003</v>
      </c>
      <c r="Y185" s="31">
        <v>874970.62154000008</v>
      </c>
      <c r="Z185" s="31">
        <v>2815386.95</v>
      </c>
      <c r="AA185" s="31">
        <v>1469269.5274799999</v>
      </c>
      <c r="AB185" s="31">
        <v>1323540.5459799999</v>
      </c>
      <c r="AC185" s="31">
        <v>6221364.2192399995</v>
      </c>
      <c r="AD185" s="31">
        <v>5415094.9586045053</v>
      </c>
      <c r="AE185" s="31">
        <v>1061164.72</v>
      </c>
      <c r="AF185" s="31">
        <v>54710623.722724512</v>
      </c>
      <c r="AH185" s="276"/>
      <c r="AI185" s="276"/>
      <c r="AJ185" s="276"/>
      <c r="AK185" s="276"/>
      <c r="AL185" s="276"/>
      <c r="AM185" s="276"/>
      <c r="AN185" s="276"/>
      <c r="AO185" s="276"/>
      <c r="AP185" s="276"/>
      <c r="AQ185" s="276"/>
      <c r="AR185" s="276"/>
      <c r="AS185" s="276"/>
      <c r="AT185" s="276"/>
      <c r="AU185" s="276"/>
      <c r="AV185" s="276"/>
      <c r="AW185" s="394"/>
    </row>
    <row r="186" spans="1:49">
      <c r="A186" s="88">
        <v>177</v>
      </c>
      <c r="B186" s="88" t="s">
        <v>1882</v>
      </c>
      <c r="C186" s="31">
        <v>36</v>
      </c>
      <c r="D186" s="31">
        <v>123</v>
      </c>
      <c r="E186" s="31">
        <v>17</v>
      </c>
      <c r="F186" s="31">
        <v>805</v>
      </c>
      <c r="G186" s="31">
        <v>534</v>
      </c>
      <c r="H186" s="31">
        <v>793</v>
      </c>
      <c r="I186" s="31">
        <v>84</v>
      </c>
      <c r="J186" s="31">
        <v>22</v>
      </c>
      <c r="K186" s="31">
        <v>0</v>
      </c>
      <c r="L186" s="31">
        <v>2</v>
      </c>
      <c r="M186" s="31">
        <v>18</v>
      </c>
      <c r="N186" s="31">
        <v>0</v>
      </c>
      <c r="O186" s="31">
        <v>239</v>
      </c>
      <c r="P186" s="31">
        <v>0</v>
      </c>
      <c r="Q186" s="31">
        <v>2248</v>
      </c>
      <c r="R186" s="150">
        <v>1.0349999999999999</v>
      </c>
      <c r="S186" s="88">
        <v>2</v>
      </c>
      <c r="U186" s="31">
        <v>1134802.3900499998</v>
      </c>
      <c r="V186" s="31">
        <v>1546248.4033499998</v>
      </c>
      <c r="W186" s="31">
        <v>9129309.9875999987</v>
      </c>
      <c r="X186" s="31">
        <v>2118495.4424999999</v>
      </c>
      <c r="Y186" s="31">
        <v>343659.24719999998</v>
      </c>
      <c r="Z186" s="31">
        <v>1231037.8099999998</v>
      </c>
      <c r="AA186" s="31">
        <v>679660.59149999998</v>
      </c>
      <c r="AB186" s="31">
        <v>650310.15464999992</v>
      </c>
      <c r="AC186" s="31">
        <v>2411623.3504499993</v>
      </c>
      <c r="AD186" s="31">
        <v>2235912.2007890544</v>
      </c>
      <c r="AE186" s="31">
        <v>530582.36</v>
      </c>
      <c r="AF186" s="31">
        <v>22011641.938089047</v>
      </c>
      <c r="AH186" s="276"/>
      <c r="AI186" s="276"/>
      <c r="AJ186" s="276"/>
      <c r="AK186" s="276"/>
      <c r="AL186" s="276"/>
      <c r="AM186" s="276"/>
      <c r="AN186" s="276"/>
      <c r="AO186" s="276"/>
      <c r="AP186" s="276"/>
      <c r="AQ186" s="276"/>
      <c r="AR186" s="276"/>
      <c r="AS186" s="276"/>
      <c r="AT186" s="276"/>
      <c r="AU186" s="276"/>
      <c r="AV186" s="276"/>
      <c r="AW186" s="394"/>
    </row>
    <row r="187" spans="1:49">
      <c r="A187" s="88">
        <v>178</v>
      </c>
      <c r="B187" s="88" t="s">
        <v>1883</v>
      </c>
      <c r="C187" s="31">
        <v>23</v>
      </c>
      <c r="D187" s="31">
        <v>0</v>
      </c>
      <c r="E187" s="31">
        <v>299</v>
      </c>
      <c r="F187" s="31">
        <v>1440</v>
      </c>
      <c r="G187" s="31">
        <v>828</v>
      </c>
      <c r="H187" s="31">
        <v>1068</v>
      </c>
      <c r="I187" s="31">
        <v>142</v>
      </c>
      <c r="J187" s="31">
        <v>38</v>
      </c>
      <c r="K187" s="31">
        <v>0</v>
      </c>
      <c r="L187" s="31">
        <v>0</v>
      </c>
      <c r="M187" s="31">
        <v>146</v>
      </c>
      <c r="N187" s="31">
        <v>6</v>
      </c>
      <c r="O187" s="31">
        <v>516</v>
      </c>
      <c r="P187" s="31">
        <v>0</v>
      </c>
      <c r="Q187" s="31">
        <v>3799</v>
      </c>
      <c r="R187" s="150">
        <v>1.0329999999999999</v>
      </c>
      <c r="S187" s="88">
        <v>3</v>
      </c>
      <c r="U187" s="31">
        <v>1916449.66661</v>
      </c>
      <c r="V187" s="31">
        <v>2608262.1419499996</v>
      </c>
      <c r="W187" s="31">
        <v>15746357.823999997</v>
      </c>
      <c r="X187" s="31">
        <v>3658426.2116999999</v>
      </c>
      <c r="Y187" s="31">
        <v>590832.31443000003</v>
      </c>
      <c r="Z187" s="31">
        <v>2013287.0499999998</v>
      </c>
      <c r="AA187" s="31">
        <v>1108680.6686699998</v>
      </c>
      <c r="AB187" s="31">
        <v>983097.00959999987</v>
      </c>
      <c r="AC187" s="31">
        <v>4147302.8000199995</v>
      </c>
      <c r="AD187" s="31">
        <v>3854951.1393510308</v>
      </c>
      <c r="AE187" s="31">
        <v>916460.44000000006</v>
      </c>
      <c r="AF187" s="31">
        <v>37544107.266331017</v>
      </c>
      <c r="AH187" s="276"/>
      <c r="AI187" s="276"/>
      <c r="AJ187" s="276"/>
      <c r="AK187" s="276"/>
      <c r="AL187" s="276"/>
      <c r="AM187" s="276"/>
      <c r="AN187" s="276"/>
      <c r="AO187" s="276"/>
      <c r="AP187" s="276"/>
      <c r="AQ187" s="276"/>
      <c r="AR187" s="276"/>
      <c r="AS187" s="276"/>
      <c r="AT187" s="276"/>
      <c r="AU187" s="276"/>
      <c r="AV187" s="276"/>
      <c r="AW187" s="394"/>
    </row>
    <row r="188" spans="1:49">
      <c r="A188" s="88">
        <v>179</v>
      </c>
      <c r="B188" s="88" t="s">
        <v>1884</v>
      </c>
      <c r="C188" s="31">
        <v>0</v>
      </c>
      <c r="D188" s="31">
        <v>0</v>
      </c>
      <c r="E188" s="31">
        <v>0</v>
      </c>
      <c r="F188" s="31">
        <v>0</v>
      </c>
      <c r="G188" s="31">
        <v>0</v>
      </c>
      <c r="H188" s="31">
        <v>0</v>
      </c>
      <c r="I188" s="31">
        <v>0</v>
      </c>
      <c r="J188" s="31">
        <v>0</v>
      </c>
      <c r="K188" s="31">
        <v>0</v>
      </c>
      <c r="L188" s="31">
        <v>0</v>
      </c>
      <c r="M188" s="31">
        <v>0</v>
      </c>
      <c r="N188" s="31">
        <v>7</v>
      </c>
      <c r="O188" s="31">
        <v>0</v>
      </c>
      <c r="P188" s="31">
        <v>0</v>
      </c>
      <c r="Q188" s="31">
        <v>7</v>
      </c>
      <c r="R188" s="150">
        <v>1.0069999999999999</v>
      </c>
      <c r="S188" s="88">
        <v>0</v>
      </c>
      <c r="U188" s="31">
        <v>2594.31396</v>
      </c>
      <c r="V188" s="31">
        <v>4685.6112799999992</v>
      </c>
      <c r="W188" s="31">
        <v>47267.069499999998</v>
      </c>
      <c r="X188" s="31">
        <v>3302.3155199999997</v>
      </c>
      <c r="Y188" s="31">
        <v>1477.5408899999998</v>
      </c>
      <c r="Z188" s="31">
        <v>8646.5400000000009</v>
      </c>
      <c r="AA188" s="31">
        <v>2608.6939199999997</v>
      </c>
      <c r="AB188" s="31">
        <v>3513.9264999999996</v>
      </c>
      <c r="AC188" s="31">
        <v>11737.289899999998</v>
      </c>
      <c r="AD188" s="31">
        <v>8621.0834051268321</v>
      </c>
      <c r="AE188" s="31">
        <v>0</v>
      </c>
      <c r="AF188" s="31">
        <v>94454.384875126823</v>
      </c>
      <c r="AH188" s="276"/>
      <c r="AI188" s="276"/>
      <c r="AJ188" s="276"/>
      <c r="AK188" s="276"/>
      <c r="AL188" s="276"/>
      <c r="AM188" s="276"/>
      <c r="AN188" s="276"/>
      <c r="AO188" s="276"/>
      <c r="AP188" s="276"/>
      <c r="AQ188" s="276"/>
      <c r="AR188" s="276"/>
      <c r="AS188" s="276"/>
      <c r="AT188" s="276"/>
      <c r="AU188" s="276"/>
      <c r="AV188" s="276"/>
      <c r="AW188" s="394"/>
    </row>
    <row r="189" spans="1:49">
      <c r="A189" s="88">
        <v>180</v>
      </c>
      <c r="B189" s="88" t="s">
        <v>1885</v>
      </c>
      <c r="C189" s="31">
        <v>0</v>
      </c>
      <c r="D189" s="31">
        <v>0</v>
      </c>
      <c r="E189" s="31">
        <v>0</v>
      </c>
      <c r="F189" s="31">
        <v>0</v>
      </c>
      <c r="G189" s="31">
        <v>0</v>
      </c>
      <c r="H189" s="31">
        <v>0</v>
      </c>
      <c r="I189" s="31">
        <v>0</v>
      </c>
      <c r="J189" s="31">
        <v>0</v>
      </c>
      <c r="K189" s="31">
        <v>0</v>
      </c>
      <c r="L189" s="31">
        <v>0</v>
      </c>
      <c r="M189" s="31">
        <v>0</v>
      </c>
      <c r="N189" s="31">
        <v>6</v>
      </c>
      <c r="O189" s="31">
        <v>0</v>
      </c>
      <c r="P189" s="31">
        <v>0</v>
      </c>
      <c r="Q189" s="31">
        <v>6</v>
      </c>
      <c r="R189" s="150">
        <v>1</v>
      </c>
      <c r="S189" s="88">
        <v>0</v>
      </c>
      <c r="U189" s="31">
        <v>2208.2400000000002</v>
      </c>
      <c r="V189" s="31">
        <v>3988.32</v>
      </c>
      <c r="W189" s="31">
        <v>40233</v>
      </c>
      <c r="X189" s="31">
        <v>2810.88</v>
      </c>
      <c r="Y189" s="31">
        <v>1257.6600000000001</v>
      </c>
      <c r="Z189" s="31">
        <v>7411.32</v>
      </c>
      <c r="AA189" s="31">
        <v>2220.48</v>
      </c>
      <c r="AB189" s="31">
        <v>2991</v>
      </c>
      <c r="AC189" s="31">
        <v>9990.5999999999985</v>
      </c>
      <c r="AD189" s="31">
        <v>7389.5000615372846</v>
      </c>
      <c r="AE189" s="31">
        <v>0</v>
      </c>
      <c r="AF189" s="31">
        <v>80501.000061537285</v>
      </c>
      <c r="AH189" s="276"/>
      <c r="AI189" s="276"/>
      <c r="AJ189" s="276"/>
      <c r="AK189" s="276"/>
      <c r="AL189" s="276"/>
      <c r="AM189" s="276"/>
      <c r="AN189" s="276"/>
      <c r="AO189" s="276"/>
      <c r="AP189" s="276"/>
      <c r="AQ189" s="276"/>
      <c r="AR189" s="276"/>
      <c r="AS189" s="276"/>
      <c r="AT189" s="276"/>
      <c r="AU189" s="276"/>
      <c r="AV189" s="276"/>
      <c r="AW189" s="394"/>
    </row>
    <row r="190" spans="1:49">
      <c r="A190" s="88">
        <v>181</v>
      </c>
      <c r="B190" s="88" t="s">
        <v>1886</v>
      </c>
      <c r="C190" s="31">
        <v>140</v>
      </c>
      <c r="D190" s="31">
        <v>0</v>
      </c>
      <c r="E190" s="31">
        <v>419</v>
      </c>
      <c r="F190" s="31">
        <v>2428</v>
      </c>
      <c r="G190" s="31">
        <v>1671</v>
      </c>
      <c r="H190" s="31">
        <v>1581</v>
      </c>
      <c r="I190" s="31">
        <v>267</v>
      </c>
      <c r="J190" s="31">
        <v>67</v>
      </c>
      <c r="K190" s="31">
        <v>2</v>
      </c>
      <c r="L190" s="31">
        <v>0</v>
      </c>
      <c r="M190" s="31">
        <v>586</v>
      </c>
      <c r="N190" s="31">
        <v>332</v>
      </c>
      <c r="O190" s="31">
        <v>2551</v>
      </c>
      <c r="P190" s="31">
        <v>0</v>
      </c>
      <c r="Q190" s="31">
        <v>7088</v>
      </c>
      <c r="R190" s="150">
        <v>1</v>
      </c>
      <c r="S190" s="88">
        <v>8</v>
      </c>
      <c r="U190" s="31">
        <v>3457079.0599999996</v>
      </c>
      <c r="V190" s="31">
        <v>4711536.78</v>
      </c>
      <c r="W190" s="31">
        <v>34951792.789999999</v>
      </c>
      <c r="X190" s="31">
        <v>6575927.8200000003</v>
      </c>
      <c r="Y190" s="31">
        <v>1224282.77</v>
      </c>
      <c r="Z190" s="31">
        <v>3903223.49</v>
      </c>
      <c r="AA190" s="31">
        <v>2021551.68</v>
      </c>
      <c r="AB190" s="31">
        <v>1757049.0800000003</v>
      </c>
      <c r="AC190" s="31">
        <v>8655803.6500000004</v>
      </c>
      <c r="AD190" s="31">
        <v>7928222.7069581253</v>
      </c>
      <c r="AE190" s="31">
        <v>1615864.46</v>
      </c>
      <c r="AF190" s="31">
        <v>76802334.286958128</v>
      </c>
      <c r="AH190" s="276"/>
      <c r="AI190" s="276"/>
      <c r="AJ190" s="276"/>
      <c r="AK190" s="276"/>
      <c r="AL190" s="276"/>
      <c r="AM190" s="276"/>
      <c r="AN190" s="276"/>
      <c r="AO190" s="276"/>
      <c r="AP190" s="276"/>
      <c r="AQ190" s="276"/>
      <c r="AR190" s="276"/>
      <c r="AS190" s="276"/>
      <c r="AT190" s="276"/>
      <c r="AU190" s="276"/>
      <c r="AV190" s="276"/>
      <c r="AW190" s="394"/>
    </row>
    <row r="191" spans="1:49">
      <c r="A191" s="88">
        <v>182</v>
      </c>
      <c r="B191" s="88" t="s">
        <v>1887</v>
      </c>
      <c r="C191" s="31">
        <v>51</v>
      </c>
      <c r="D191" s="31">
        <v>0</v>
      </c>
      <c r="E191" s="31">
        <v>85</v>
      </c>
      <c r="F191" s="31">
        <v>1172</v>
      </c>
      <c r="G191" s="31">
        <v>797</v>
      </c>
      <c r="H191" s="31">
        <v>754</v>
      </c>
      <c r="I191" s="31">
        <v>107</v>
      </c>
      <c r="J191" s="31">
        <v>28</v>
      </c>
      <c r="K191" s="31">
        <v>0</v>
      </c>
      <c r="L191" s="31">
        <v>0</v>
      </c>
      <c r="M191" s="31">
        <v>21</v>
      </c>
      <c r="N191" s="31">
        <v>15</v>
      </c>
      <c r="O191" s="31">
        <v>851</v>
      </c>
      <c r="P191" s="31">
        <v>0</v>
      </c>
      <c r="Q191" s="31">
        <v>2870</v>
      </c>
      <c r="R191" s="150">
        <v>1</v>
      </c>
      <c r="S191" s="88">
        <v>7</v>
      </c>
      <c r="U191" s="31">
        <v>1399011.54</v>
      </c>
      <c r="V191" s="31">
        <v>1907414.55</v>
      </c>
      <c r="W191" s="31">
        <v>12817873.829999998</v>
      </c>
      <c r="X191" s="31">
        <v>2662935.4700000007</v>
      </c>
      <c r="Y191" s="31">
        <v>463829.65</v>
      </c>
      <c r="Z191" s="31">
        <v>1515137.47</v>
      </c>
      <c r="AA191" s="31">
        <v>810534.57</v>
      </c>
      <c r="AB191" s="31">
        <v>723285.00999999989</v>
      </c>
      <c r="AC191" s="31">
        <v>3257792.7999999993</v>
      </c>
      <c r="AD191" s="31">
        <v>3056358.7301088516</v>
      </c>
      <c r="AE191" s="31">
        <v>675286.64</v>
      </c>
      <c r="AF191" s="31">
        <v>29289460.260108851</v>
      </c>
      <c r="AH191" s="276"/>
      <c r="AI191" s="276"/>
      <c r="AJ191" s="276"/>
      <c r="AK191" s="276"/>
      <c r="AL191" s="276"/>
      <c r="AM191" s="276"/>
      <c r="AN191" s="276"/>
      <c r="AO191" s="276"/>
      <c r="AP191" s="276"/>
      <c r="AQ191" s="276"/>
      <c r="AR191" s="276"/>
      <c r="AS191" s="276"/>
      <c r="AT191" s="276"/>
      <c r="AU191" s="276"/>
      <c r="AV191" s="276"/>
      <c r="AW191" s="394"/>
    </row>
    <row r="192" spans="1:49">
      <c r="A192" s="88">
        <v>183</v>
      </c>
      <c r="B192" s="88" t="s">
        <v>1888</v>
      </c>
      <c r="C192" s="31">
        <v>0</v>
      </c>
      <c r="D192" s="31">
        <v>0</v>
      </c>
      <c r="E192" s="31">
        <v>0</v>
      </c>
      <c r="F192" s="31">
        <v>0</v>
      </c>
      <c r="G192" s="31">
        <v>0</v>
      </c>
      <c r="H192" s="31">
        <v>0</v>
      </c>
      <c r="I192" s="31">
        <v>0</v>
      </c>
      <c r="J192" s="31">
        <v>0</v>
      </c>
      <c r="K192" s="31">
        <v>0</v>
      </c>
      <c r="L192" s="31">
        <v>0</v>
      </c>
      <c r="M192" s="31">
        <v>0</v>
      </c>
      <c r="N192" s="31">
        <v>4</v>
      </c>
      <c r="O192" s="31">
        <v>0</v>
      </c>
      <c r="P192" s="31">
        <v>0</v>
      </c>
      <c r="Q192" s="31">
        <v>4</v>
      </c>
      <c r="R192" s="150">
        <v>1</v>
      </c>
      <c r="S192" s="88">
        <v>0</v>
      </c>
      <c r="U192" s="31">
        <v>1472.16</v>
      </c>
      <c r="V192" s="31">
        <v>2658.88</v>
      </c>
      <c r="W192" s="31">
        <v>26822</v>
      </c>
      <c r="X192" s="31">
        <v>1873.92</v>
      </c>
      <c r="Y192" s="31">
        <v>838.44</v>
      </c>
      <c r="Z192" s="31">
        <v>4940.88</v>
      </c>
      <c r="AA192" s="31">
        <v>1480.32</v>
      </c>
      <c r="AB192" s="31">
        <v>1994</v>
      </c>
      <c r="AC192" s="31">
        <v>6660.4</v>
      </c>
      <c r="AD192" s="31">
        <v>4926.3333743581898</v>
      </c>
      <c r="AE192" s="31">
        <v>0</v>
      </c>
      <c r="AF192" s="31">
        <v>53667.33337435819</v>
      </c>
      <c r="AH192" s="276"/>
      <c r="AI192" s="276"/>
      <c r="AJ192" s="276"/>
      <c r="AK192" s="276"/>
      <c r="AL192" s="276"/>
      <c r="AM192" s="276"/>
      <c r="AN192" s="276"/>
      <c r="AO192" s="276"/>
      <c r="AP192" s="276"/>
      <c r="AQ192" s="276"/>
      <c r="AR192" s="276"/>
      <c r="AS192" s="276"/>
      <c r="AT192" s="276"/>
      <c r="AU192" s="276"/>
      <c r="AV192" s="276"/>
      <c r="AW192" s="394"/>
    </row>
    <row r="193" spans="1:49">
      <c r="A193" s="88">
        <v>184</v>
      </c>
      <c r="B193" s="88" t="s">
        <v>1889</v>
      </c>
      <c r="C193" s="31">
        <v>76</v>
      </c>
      <c r="D193" s="31">
        <v>0</v>
      </c>
      <c r="E193" s="31">
        <v>75</v>
      </c>
      <c r="F193" s="31">
        <v>436</v>
      </c>
      <c r="G193" s="31">
        <v>109</v>
      </c>
      <c r="H193" s="31">
        <v>0</v>
      </c>
      <c r="I193" s="31">
        <v>24</v>
      </c>
      <c r="J193" s="31">
        <v>6</v>
      </c>
      <c r="K193" s="31">
        <v>0</v>
      </c>
      <c r="L193" s="31">
        <v>0</v>
      </c>
      <c r="M193" s="31">
        <v>8</v>
      </c>
      <c r="N193" s="31">
        <v>0</v>
      </c>
      <c r="O193" s="31">
        <v>63</v>
      </c>
      <c r="P193" s="31">
        <v>0</v>
      </c>
      <c r="Q193" s="31">
        <v>666</v>
      </c>
      <c r="R193" s="150">
        <v>1.04</v>
      </c>
      <c r="S193" s="88">
        <v>2</v>
      </c>
      <c r="U193" s="31">
        <v>334172.69600000011</v>
      </c>
      <c r="V193" s="31">
        <v>460412.45120000001</v>
      </c>
      <c r="W193" s="31">
        <v>2489470.8696000003</v>
      </c>
      <c r="X193" s="31">
        <v>710912.85200000007</v>
      </c>
      <c r="Y193" s="31">
        <v>99490.570399999997</v>
      </c>
      <c r="Z193" s="31">
        <v>302276.36</v>
      </c>
      <c r="AA193" s="31">
        <v>162555.61920000002</v>
      </c>
      <c r="AB193" s="31">
        <v>95988.484800000006</v>
      </c>
      <c r="AC193" s="31">
        <v>698167.76639999996</v>
      </c>
      <c r="AD193" s="31">
        <v>674208.72233043402</v>
      </c>
      <c r="AE193" s="31">
        <v>144704.28</v>
      </c>
      <c r="AF193" s="31">
        <v>6172360.6719304342</v>
      </c>
      <c r="AH193" s="276"/>
      <c r="AI193" s="276"/>
      <c r="AJ193" s="276"/>
      <c r="AK193" s="276"/>
      <c r="AL193" s="276"/>
      <c r="AM193" s="276"/>
      <c r="AN193" s="276"/>
      <c r="AO193" s="276"/>
      <c r="AP193" s="276"/>
      <c r="AQ193" s="276"/>
      <c r="AR193" s="276"/>
      <c r="AS193" s="276"/>
      <c r="AT193" s="276"/>
      <c r="AU193" s="276"/>
      <c r="AV193" s="276"/>
      <c r="AW193" s="394"/>
    </row>
    <row r="194" spans="1:49">
      <c r="A194" s="88">
        <v>185</v>
      </c>
      <c r="B194" s="88" t="s">
        <v>1890</v>
      </c>
      <c r="C194" s="31">
        <v>46</v>
      </c>
      <c r="D194" s="31">
        <v>0</v>
      </c>
      <c r="E194" s="31">
        <v>218</v>
      </c>
      <c r="F194" s="31">
        <v>1372</v>
      </c>
      <c r="G194" s="31">
        <v>980</v>
      </c>
      <c r="H194" s="31">
        <v>1069</v>
      </c>
      <c r="I194" s="31">
        <v>159</v>
      </c>
      <c r="J194" s="31">
        <v>42</v>
      </c>
      <c r="K194" s="31">
        <v>12</v>
      </c>
      <c r="L194" s="31">
        <v>0</v>
      </c>
      <c r="M194" s="31">
        <v>541</v>
      </c>
      <c r="N194" s="31">
        <v>35</v>
      </c>
      <c r="O194" s="31">
        <v>1482</v>
      </c>
      <c r="P194" s="31">
        <v>0</v>
      </c>
      <c r="Q194" s="31">
        <v>4244</v>
      </c>
      <c r="R194" s="150">
        <v>1.026</v>
      </c>
      <c r="S194" s="88">
        <v>8</v>
      </c>
      <c r="U194" s="31">
        <v>2126418.45786</v>
      </c>
      <c r="V194" s="31">
        <v>2894420.1387600005</v>
      </c>
      <c r="W194" s="31">
        <v>21129812.221140001</v>
      </c>
      <c r="X194" s="31">
        <v>4019364.6854400006</v>
      </c>
      <c r="Y194" s="31">
        <v>742619.17962000007</v>
      </c>
      <c r="Z194" s="31">
        <v>2239111.9200000004</v>
      </c>
      <c r="AA194" s="31">
        <v>1248776.33418</v>
      </c>
      <c r="AB194" s="31">
        <v>1064418.4776600001</v>
      </c>
      <c r="AC194" s="31">
        <v>5218286.9716799995</v>
      </c>
      <c r="AD194" s="31">
        <v>4692742.1806323938</v>
      </c>
      <c r="AE194" s="31">
        <v>1012929.9600000001</v>
      </c>
      <c r="AF194" s="31">
        <v>46388900.526972406</v>
      </c>
      <c r="AH194" s="276"/>
      <c r="AI194" s="276"/>
      <c r="AJ194" s="276"/>
      <c r="AK194" s="276"/>
      <c r="AL194" s="276"/>
      <c r="AM194" s="276"/>
      <c r="AN194" s="276"/>
      <c r="AO194" s="276"/>
      <c r="AP194" s="276"/>
      <c r="AQ194" s="276"/>
      <c r="AR194" s="276"/>
      <c r="AS194" s="276"/>
      <c r="AT194" s="276"/>
      <c r="AU194" s="276"/>
      <c r="AV194" s="276"/>
      <c r="AW194" s="394"/>
    </row>
    <row r="195" spans="1:49">
      <c r="A195" s="88">
        <v>186</v>
      </c>
      <c r="B195" s="88" t="s">
        <v>1891</v>
      </c>
      <c r="C195" s="31">
        <v>55</v>
      </c>
      <c r="D195" s="31">
        <v>0</v>
      </c>
      <c r="E195" s="31">
        <v>101</v>
      </c>
      <c r="F195" s="31">
        <v>681</v>
      </c>
      <c r="G195" s="31">
        <v>424</v>
      </c>
      <c r="H195" s="31">
        <v>469</v>
      </c>
      <c r="I195" s="31">
        <v>64</v>
      </c>
      <c r="J195" s="31">
        <v>17</v>
      </c>
      <c r="K195" s="31">
        <v>0</v>
      </c>
      <c r="L195" s="31">
        <v>0</v>
      </c>
      <c r="M195" s="31">
        <v>43</v>
      </c>
      <c r="N195" s="31">
        <v>2</v>
      </c>
      <c r="O195" s="31">
        <v>505</v>
      </c>
      <c r="P195" s="31">
        <v>0</v>
      </c>
      <c r="Q195" s="31">
        <v>1748</v>
      </c>
      <c r="R195" s="150">
        <v>1</v>
      </c>
      <c r="S195" s="88">
        <v>6</v>
      </c>
      <c r="U195" s="31">
        <v>848902.60000000009</v>
      </c>
      <c r="V195" s="31">
        <v>1161598.75</v>
      </c>
      <c r="W195" s="31">
        <v>7789909.8000000007</v>
      </c>
      <c r="X195" s="31">
        <v>1620473.07</v>
      </c>
      <c r="Y195" s="31">
        <v>280807.94</v>
      </c>
      <c r="Z195" s="31">
        <v>919229.21999999986</v>
      </c>
      <c r="AA195" s="31">
        <v>491718.26999999996</v>
      </c>
      <c r="AB195" s="31">
        <v>433612.96</v>
      </c>
      <c r="AC195" s="31">
        <v>1970954.2800000003</v>
      </c>
      <c r="AD195" s="31">
        <v>1853759.8030004448</v>
      </c>
      <c r="AE195" s="31">
        <v>409995.46</v>
      </c>
      <c r="AF195" s="31">
        <v>17780962.153000448</v>
      </c>
      <c r="AH195" s="276"/>
      <c r="AI195" s="276"/>
      <c r="AJ195" s="276"/>
      <c r="AK195" s="276"/>
      <c r="AL195" s="276"/>
      <c r="AM195" s="276"/>
      <c r="AN195" s="276"/>
      <c r="AO195" s="276"/>
      <c r="AP195" s="276"/>
      <c r="AQ195" s="276"/>
      <c r="AR195" s="276"/>
      <c r="AS195" s="276"/>
      <c r="AT195" s="276"/>
      <c r="AU195" s="276"/>
      <c r="AV195" s="276"/>
      <c r="AW195" s="394"/>
    </row>
    <row r="196" spans="1:49">
      <c r="A196" s="88">
        <v>187</v>
      </c>
      <c r="B196" s="88" t="s">
        <v>1892</v>
      </c>
      <c r="C196" s="31">
        <v>13</v>
      </c>
      <c r="D196" s="31">
        <v>69</v>
      </c>
      <c r="E196" s="31">
        <v>11</v>
      </c>
      <c r="F196" s="31">
        <v>437</v>
      </c>
      <c r="G196" s="31">
        <v>320</v>
      </c>
      <c r="H196" s="31">
        <v>381</v>
      </c>
      <c r="I196" s="31">
        <v>45</v>
      </c>
      <c r="J196" s="31">
        <v>12</v>
      </c>
      <c r="K196" s="31">
        <v>0</v>
      </c>
      <c r="L196" s="31">
        <v>2</v>
      </c>
      <c r="M196" s="31">
        <v>7</v>
      </c>
      <c r="N196" s="31">
        <v>0</v>
      </c>
      <c r="O196" s="31">
        <v>161</v>
      </c>
      <c r="P196" s="31">
        <v>0</v>
      </c>
      <c r="Q196" s="31">
        <v>1199</v>
      </c>
      <c r="R196" s="150">
        <v>1.0269999999999999</v>
      </c>
      <c r="S196" s="88">
        <v>3</v>
      </c>
      <c r="U196" s="31">
        <v>601515.26591000007</v>
      </c>
      <c r="V196" s="31">
        <v>817836.45580000011</v>
      </c>
      <c r="W196" s="31">
        <v>4884938.6147899991</v>
      </c>
      <c r="X196" s="31">
        <v>1128130.5180599999</v>
      </c>
      <c r="Y196" s="31">
        <v>184280.16606999995</v>
      </c>
      <c r="Z196" s="31">
        <v>645230.2200000002</v>
      </c>
      <c r="AA196" s="31">
        <v>355639.79918999993</v>
      </c>
      <c r="AB196" s="31">
        <v>331298.57436000003</v>
      </c>
      <c r="AC196" s="31">
        <v>1293174.6454899998</v>
      </c>
      <c r="AD196" s="31">
        <v>1205551.6950045715</v>
      </c>
      <c r="AE196" s="31">
        <v>289408.56</v>
      </c>
      <c r="AF196" s="31">
        <v>11737004.51467457</v>
      </c>
      <c r="AH196" s="276"/>
      <c r="AI196" s="276"/>
      <c r="AJ196" s="276"/>
      <c r="AK196" s="276"/>
      <c r="AL196" s="276"/>
      <c r="AM196" s="276"/>
      <c r="AN196" s="276"/>
      <c r="AO196" s="276"/>
      <c r="AP196" s="276"/>
      <c r="AQ196" s="276"/>
      <c r="AR196" s="276"/>
      <c r="AS196" s="276"/>
      <c r="AT196" s="276"/>
      <c r="AU196" s="276"/>
      <c r="AV196" s="276"/>
      <c r="AW196" s="394"/>
    </row>
    <row r="197" spans="1:49">
      <c r="A197" s="88">
        <v>188</v>
      </c>
      <c r="B197" s="88" t="s">
        <v>1893</v>
      </c>
      <c r="C197" s="31">
        <v>0</v>
      </c>
      <c r="D197" s="31">
        <v>0</v>
      </c>
      <c r="E197" s="31">
        <v>0</v>
      </c>
      <c r="F197" s="31">
        <v>0</v>
      </c>
      <c r="G197" s="31">
        <v>0</v>
      </c>
      <c r="H197" s="31">
        <v>0</v>
      </c>
      <c r="I197" s="31">
        <v>0</v>
      </c>
      <c r="J197" s="31">
        <v>0</v>
      </c>
      <c r="K197" s="31">
        <v>0</v>
      </c>
      <c r="L197" s="31">
        <v>0</v>
      </c>
      <c r="M197" s="31">
        <v>0</v>
      </c>
      <c r="N197" s="31">
        <v>7</v>
      </c>
      <c r="O197" s="31">
        <v>0</v>
      </c>
      <c r="P197" s="31">
        <v>0</v>
      </c>
      <c r="Q197" s="31">
        <v>7</v>
      </c>
      <c r="R197" s="150">
        <v>1</v>
      </c>
      <c r="S197" s="88">
        <v>0</v>
      </c>
      <c r="U197" s="31">
        <v>2576.2800000000002</v>
      </c>
      <c r="V197" s="31">
        <v>4653.04</v>
      </c>
      <c r="W197" s="31">
        <v>46938.5</v>
      </c>
      <c r="X197" s="31">
        <v>3279.36</v>
      </c>
      <c r="Y197" s="31">
        <v>1467.27</v>
      </c>
      <c r="Z197" s="31">
        <v>8646.5400000000009</v>
      </c>
      <c r="AA197" s="31">
        <v>2590.56</v>
      </c>
      <c r="AB197" s="31">
        <v>3489.5</v>
      </c>
      <c r="AC197" s="31">
        <v>11655.699999999999</v>
      </c>
      <c r="AD197" s="31">
        <v>8621.0834051268321</v>
      </c>
      <c r="AE197" s="31">
        <v>0</v>
      </c>
      <c r="AF197" s="31">
        <v>93917.833405126818</v>
      </c>
      <c r="AH197" s="276"/>
      <c r="AI197" s="276"/>
      <c r="AJ197" s="276"/>
      <c r="AK197" s="276"/>
      <c r="AL197" s="276"/>
      <c r="AM197" s="276"/>
      <c r="AN197" s="276"/>
      <c r="AO197" s="276"/>
      <c r="AP197" s="276"/>
      <c r="AQ197" s="276"/>
      <c r="AR197" s="276"/>
      <c r="AS197" s="276"/>
      <c r="AT197" s="276"/>
      <c r="AU197" s="276"/>
      <c r="AV197" s="276"/>
      <c r="AW197" s="394"/>
    </row>
    <row r="198" spans="1:49">
      <c r="A198" s="88">
        <v>189</v>
      </c>
      <c r="B198" s="88" t="s">
        <v>1894</v>
      </c>
      <c r="C198" s="31">
        <v>43</v>
      </c>
      <c r="D198" s="31">
        <v>0</v>
      </c>
      <c r="E198" s="31">
        <v>354</v>
      </c>
      <c r="F198" s="31">
        <v>1707</v>
      </c>
      <c r="G198" s="31">
        <v>919</v>
      </c>
      <c r="H198" s="31">
        <v>1006</v>
      </c>
      <c r="I198" s="31">
        <v>153</v>
      </c>
      <c r="J198" s="31">
        <v>41</v>
      </c>
      <c r="K198" s="31">
        <v>0</v>
      </c>
      <c r="L198" s="31">
        <v>0</v>
      </c>
      <c r="M198" s="31">
        <v>85</v>
      </c>
      <c r="N198" s="31">
        <v>0</v>
      </c>
      <c r="O198" s="31">
        <v>433</v>
      </c>
      <c r="P198" s="31">
        <v>0</v>
      </c>
      <c r="Q198" s="31">
        <v>4093</v>
      </c>
      <c r="R198" s="150">
        <v>1.038</v>
      </c>
      <c r="S198" s="88">
        <v>2</v>
      </c>
      <c r="U198" s="31">
        <v>2074954.9727399999</v>
      </c>
      <c r="V198" s="31">
        <v>2823740.9771400006</v>
      </c>
      <c r="W198" s="31">
        <v>16358753.966040002</v>
      </c>
      <c r="X198" s="31">
        <v>4015520.5837199995</v>
      </c>
      <c r="Y198" s="31">
        <v>626325.85764000006</v>
      </c>
      <c r="Z198" s="31">
        <v>2125691.5499999998</v>
      </c>
      <c r="AA198" s="31">
        <v>1173550.7903400001</v>
      </c>
      <c r="AB198" s="31">
        <v>1007342.54544</v>
      </c>
      <c r="AC198" s="31">
        <v>4395170.7652800009</v>
      </c>
      <c r="AD198" s="31">
        <v>4109518.8814979256</v>
      </c>
      <c r="AE198" s="31">
        <v>988812.58000000007</v>
      </c>
      <c r="AF198" s="31">
        <v>39699383.469837926</v>
      </c>
      <c r="AH198" s="276"/>
      <c r="AI198" s="276"/>
      <c r="AJ198" s="276"/>
      <c r="AK198" s="276"/>
      <c r="AL198" s="276"/>
      <c r="AM198" s="276"/>
      <c r="AN198" s="276"/>
      <c r="AO198" s="276"/>
      <c r="AP198" s="276"/>
      <c r="AQ198" s="276"/>
      <c r="AR198" s="276"/>
      <c r="AS198" s="276"/>
      <c r="AT198" s="276"/>
      <c r="AU198" s="276"/>
      <c r="AV198" s="276"/>
      <c r="AW198" s="394"/>
    </row>
    <row r="199" spans="1:49">
      <c r="A199" s="88">
        <v>190</v>
      </c>
      <c r="B199" s="88" t="s">
        <v>1895</v>
      </c>
      <c r="C199" s="31">
        <v>1</v>
      </c>
      <c r="D199" s="31">
        <v>0</v>
      </c>
      <c r="E199" s="31">
        <v>0</v>
      </c>
      <c r="F199" s="31">
        <v>6</v>
      </c>
      <c r="G199" s="31">
        <v>3</v>
      </c>
      <c r="H199" s="31">
        <v>0</v>
      </c>
      <c r="I199" s="31">
        <v>0</v>
      </c>
      <c r="J199" s="31">
        <v>0</v>
      </c>
      <c r="K199" s="31">
        <v>0</v>
      </c>
      <c r="L199" s="31">
        <v>0</v>
      </c>
      <c r="M199" s="31">
        <v>0</v>
      </c>
      <c r="N199" s="31">
        <v>0</v>
      </c>
      <c r="O199" s="31">
        <v>0</v>
      </c>
      <c r="P199" s="31">
        <v>0</v>
      </c>
      <c r="Q199" s="31">
        <v>10</v>
      </c>
      <c r="R199" s="150">
        <v>1</v>
      </c>
      <c r="S199" s="88">
        <v>0</v>
      </c>
      <c r="U199" s="31">
        <v>3496.3900000000003</v>
      </c>
      <c r="V199" s="31">
        <v>6314.85</v>
      </c>
      <c r="W199" s="31">
        <v>27858.17</v>
      </c>
      <c r="X199" s="31">
        <v>6769.49</v>
      </c>
      <c r="Y199" s="31">
        <v>1176.27</v>
      </c>
      <c r="Z199" s="31">
        <v>4190.9299999999994</v>
      </c>
      <c r="AA199" s="31">
        <v>2327.31</v>
      </c>
      <c r="AB199" s="31">
        <v>1486.7399999999998</v>
      </c>
      <c r="AC199" s="31">
        <v>8254.25</v>
      </c>
      <c r="AD199" s="31">
        <v>8183.27309236155</v>
      </c>
      <c r="AE199" s="31">
        <v>0</v>
      </c>
      <c r="AF199" s="31">
        <v>70057.67309236154</v>
      </c>
      <c r="AH199" s="276"/>
      <c r="AI199" s="276"/>
      <c r="AJ199" s="276"/>
      <c r="AK199" s="276"/>
      <c r="AL199" s="276"/>
      <c r="AM199" s="276"/>
      <c r="AN199" s="276"/>
      <c r="AO199" s="276"/>
      <c r="AP199" s="276"/>
      <c r="AQ199" s="276"/>
      <c r="AR199" s="276"/>
      <c r="AS199" s="276"/>
      <c r="AT199" s="276"/>
      <c r="AU199" s="276"/>
      <c r="AV199" s="276"/>
      <c r="AW199" s="394"/>
    </row>
    <row r="200" spans="1:49">
      <c r="A200" s="88">
        <v>191</v>
      </c>
      <c r="B200" s="88" t="s">
        <v>1896</v>
      </c>
      <c r="C200" s="31">
        <v>41</v>
      </c>
      <c r="D200" s="31">
        <v>0</v>
      </c>
      <c r="E200" s="31">
        <v>62</v>
      </c>
      <c r="F200" s="31">
        <v>327</v>
      </c>
      <c r="G200" s="31">
        <v>243</v>
      </c>
      <c r="H200" s="31">
        <v>306</v>
      </c>
      <c r="I200" s="31">
        <v>35</v>
      </c>
      <c r="J200" s="31">
        <v>9</v>
      </c>
      <c r="K200" s="31">
        <v>0</v>
      </c>
      <c r="L200" s="31">
        <v>0</v>
      </c>
      <c r="M200" s="31">
        <v>8</v>
      </c>
      <c r="N200" s="31">
        <v>0</v>
      </c>
      <c r="O200" s="31">
        <v>262</v>
      </c>
      <c r="P200" s="31">
        <v>0</v>
      </c>
      <c r="Q200" s="31">
        <v>967</v>
      </c>
      <c r="R200" s="150">
        <v>1</v>
      </c>
      <c r="S200" s="88">
        <v>6</v>
      </c>
      <c r="U200" s="31">
        <v>467477.67</v>
      </c>
      <c r="V200" s="31">
        <v>642452.29</v>
      </c>
      <c r="W200" s="31">
        <v>4260953.07</v>
      </c>
      <c r="X200" s="31">
        <v>879481.02000000014</v>
      </c>
      <c r="Y200" s="31">
        <v>153551.36999999997</v>
      </c>
      <c r="Z200" s="31">
        <v>519722.08000000007</v>
      </c>
      <c r="AA200" s="31">
        <v>278169.60000000003</v>
      </c>
      <c r="AB200" s="31">
        <v>256688.97</v>
      </c>
      <c r="AC200" s="31">
        <v>1077549.54</v>
      </c>
      <c r="AD200" s="31">
        <v>1012209.1007165036</v>
      </c>
      <c r="AE200" s="31">
        <v>217056.42</v>
      </c>
      <c r="AF200" s="31">
        <v>9765311.1307165027</v>
      </c>
      <c r="AH200" s="276"/>
      <c r="AI200" s="276"/>
      <c r="AJ200" s="276"/>
      <c r="AK200" s="276"/>
      <c r="AL200" s="276"/>
      <c r="AM200" s="276"/>
      <c r="AN200" s="276"/>
      <c r="AO200" s="276"/>
      <c r="AP200" s="276"/>
      <c r="AQ200" s="276"/>
      <c r="AR200" s="276"/>
      <c r="AS200" s="276"/>
      <c r="AT200" s="276"/>
      <c r="AU200" s="276"/>
      <c r="AV200" s="276"/>
      <c r="AW200" s="394"/>
    </row>
    <row r="201" spans="1:49">
      <c r="A201" s="88">
        <v>192</v>
      </c>
      <c r="B201" s="88" t="s">
        <v>1897</v>
      </c>
      <c r="C201" s="31">
        <v>0</v>
      </c>
      <c r="D201" s="31">
        <v>0</v>
      </c>
      <c r="E201" s="31">
        <v>0</v>
      </c>
      <c r="F201" s="31">
        <v>0</v>
      </c>
      <c r="G201" s="31">
        <v>0</v>
      </c>
      <c r="H201" s="31">
        <v>0</v>
      </c>
      <c r="I201" s="31">
        <v>0</v>
      </c>
      <c r="J201" s="31">
        <v>0</v>
      </c>
      <c r="K201" s="31">
        <v>0</v>
      </c>
      <c r="L201" s="31">
        <v>0</v>
      </c>
      <c r="M201" s="31">
        <v>0</v>
      </c>
      <c r="N201" s="31">
        <v>0</v>
      </c>
      <c r="O201" s="31">
        <v>0</v>
      </c>
      <c r="P201" s="31">
        <v>0</v>
      </c>
      <c r="Q201" s="31">
        <v>0</v>
      </c>
      <c r="R201" s="150">
        <v>1</v>
      </c>
      <c r="S201" s="88">
        <v>0</v>
      </c>
      <c r="U201" s="31">
        <v>0</v>
      </c>
      <c r="V201" s="31">
        <v>0</v>
      </c>
      <c r="W201" s="31">
        <v>0</v>
      </c>
      <c r="X201" s="31">
        <v>0</v>
      </c>
      <c r="Y201" s="31">
        <v>0</v>
      </c>
      <c r="Z201" s="31">
        <v>0</v>
      </c>
      <c r="AA201" s="31">
        <v>0</v>
      </c>
      <c r="AB201" s="31">
        <v>0</v>
      </c>
      <c r="AC201" s="31">
        <v>0</v>
      </c>
      <c r="AD201" s="31">
        <v>0</v>
      </c>
      <c r="AE201" s="31">
        <v>0</v>
      </c>
      <c r="AF201" s="31">
        <v>0</v>
      </c>
      <c r="AH201" s="276"/>
      <c r="AI201" s="276"/>
      <c r="AJ201" s="276"/>
      <c r="AK201" s="276"/>
      <c r="AL201" s="276"/>
      <c r="AM201" s="276"/>
      <c r="AN201" s="276"/>
      <c r="AO201" s="276"/>
      <c r="AP201" s="276"/>
      <c r="AQ201" s="276"/>
      <c r="AR201" s="276"/>
      <c r="AS201" s="276"/>
      <c r="AT201" s="276"/>
      <c r="AU201" s="276"/>
      <c r="AV201" s="276"/>
      <c r="AW201" s="394"/>
    </row>
    <row r="202" spans="1:49">
      <c r="A202" s="88">
        <v>193</v>
      </c>
      <c r="B202" s="88" t="s">
        <v>1898</v>
      </c>
      <c r="C202" s="31">
        <v>0</v>
      </c>
      <c r="D202" s="31">
        <v>0</v>
      </c>
      <c r="E202" s="31">
        <v>0</v>
      </c>
      <c r="F202" s="31">
        <v>0</v>
      </c>
      <c r="G202" s="31">
        <v>0</v>
      </c>
      <c r="H202" s="31">
        <v>0</v>
      </c>
      <c r="I202" s="31">
        <v>0</v>
      </c>
      <c r="J202" s="31">
        <v>0</v>
      </c>
      <c r="K202" s="31">
        <v>0</v>
      </c>
      <c r="L202" s="31">
        <v>0</v>
      </c>
      <c r="M202" s="31">
        <v>0</v>
      </c>
      <c r="N202" s="31">
        <v>0</v>
      </c>
      <c r="O202" s="31">
        <v>0</v>
      </c>
      <c r="P202" s="31">
        <v>0</v>
      </c>
      <c r="Q202" s="31">
        <v>0</v>
      </c>
      <c r="R202" s="150">
        <v>1</v>
      </c>
      <c r="S202" s="88">
        <v>0</v>
      </c>
      <c r="U202" s="31">
        <v>0</v>
      </c>
      <c r="V202" s="31">
        <v>0</v>
      </c>
      <c r="W202" s="31">
        <v>0</v>
      </c>
      <c r="X202" s="31">
        <v>0</v>
      </c>
      <c r="Y202" s="31">
        <v>0</v>
      </c>
      <c r="Z202" s="31">
        <v>0</v>
      </c>
      <c r="AA202" s="31">
        <v>0</v>
      </c>
      <c r="AB202" s="31">
        <v>0</v>
      </c>
      <c r="AC202" s="31">
        <v>0</v>
      </c>
      <c r="AD202" s="31">
        <v>0</v>
      </c>
      <c r="AE202" s="31">
        <v>0</v>
      </c>
      <c r="AF202" s="31">
        <v>0</v>
      </c>
      <c r="AH202" s="276"/>
      <c r="AI202" s="276"/>
      <c r="AJ202" s="276"/>
      <c r="AK202" s="276"/>
      <c r="AL202" s="276"/>
      <c r="AM202" s="276"/>
      <c r="AN202" s="276"/>
      <c r="AO202" s="276"/>
      <c r="AP202" s="276"/>
      <c r="AQ202" s="276"/>
      <c r="AR202" s="276"/>
      <c r="AS202" s="276"/>
      <c r="AT202" s="276"/>
      <c r="AU202" s="276"/>
      <c r="AV202" s="276"/>
      <c r="AW202" s="394"/>
    </row>
    <row r="203" spans="1:49">
      <c r="A203" s="88">
        <v>194</v>
      </c>
      <c r="B203" s="88" t="s">
        <v>1899</v>
      </c>
      <c r="C203" s="31">
        <v>0</v>
      </c>
      <c r="D203" s="31">
        <v>0</v>
      </c>
      <c r="E203" s="31">
        <v>0</v>
      </c>
      <c r="F203" s="31">
        <v>0</v>
      </c>
      <c r="G203" s="31">
        <v>0</v>
      </c>
      <c r="H203" s="31">
        <v>0</v>
      </c>
      <c r="I203" s="31">
        <v>0</v>
      </c>
      <c r="J203" s="31">
        <v>0</v>
      </c>
      <c r="K203" s="31">
        <v>0</v>
      </c>
      <c r="L203" s="31">
        <v>0</v>
      </c>
      <c r="M203" s="31">
        <v>0</v>
      </c>
      <c r="N203" s="31">
        <v>6</v>
      </c>
      <c r="O203" s="31">
        <v>0</v>
      </c>
      <c r="P203" s="31">
        <v>0</v>
      </c>
      <c r="Q203" s="31">
        <v>6</v>
      </c>
      <c r="R203" s="150">
        <v>1</v>
      </c>
      <c r="S203" s="88">
        <v>0</v>
      </c>
      <c r="U203" s="31">
        <v>2208.2400000000002</v>
      </c>
      <c r="V203" s="31">
        <v>3988.32</v>
      </c>
      <c r="W203" s="31">
        <v>40233</v>
      </c>
      <c r="X203" s="31">
        <v>2810.88</v>
      </c>
      <c r="Y203" s="31">
        <v>1257.6600000000001</v>
      </c>
      <c r="Z203" s="31">
        <v>7411.32</v>
      </c>
      <c r="AA203" s="31">
        <v>2220.48</v>
      </c>
      <c r="AB203" s="31">
        <v>2991</v>
      </c>
      <c r="AC203" s="31">
        <v>9990.5999999999985</v>
      </c>
      <c r="AD203" s="31">
        <v>7389.5000615372846</v>
      </c>
      <c r="AE203" s="31">
        <v>0</v>
      </c>
      <c r="AF203" s="31">
        <v>80501.000061537285</v>
      </c>
      <c r="AH203" s="276"/>
      <c r="AI203" s="276"/>
      <c r="AJ203" s="276"/>
      <c r="AK203" s="276"/>
      <c r="AL203" s="276"/>
      <c r="AM203" s="276"/>
      <c r="AN203" s="276"/>
      <c r="AO203" s="276"/>
      <c r="AP203" s="276"/>
      <c r="AQ203" s="276"/>
      <c r="AR203" s="276"/>
      <c r="AS203" s="276"/>
      <c r="AT203" s="276"/>
      <c r="AU203" s="276"/>
      <c r="AV203" s="276"/>
      <c r="AW203" s="394"/>
    </row>
    <row r="204" spans="1:49">
      <c r="A204" s="88">
        <v>195</v>
      </c>
      <c r="B204" s="88" t="s">
        <v>1900</v>
      </c>
      <c r="C204" s="31">
        <v>0</v>
      </c>
      <c r="D204" s="31">
        <v>0</v>
      </c>
      <c r="E204" s="31">
        <v>0</v>
      </c>
      <c r="F204" s="31">
        <v>2</v>
      </c>
      <c r="G204" s="31">
        <v>0</v>
      </c>
      <c r="H204" s="31">
        <v>2</v>
      </c>
      <c r="I204" s="31">
        <v>0</v>
      </c>
      <c r="J204" s="31">
        <v>0</v>
      </c>
      <c r="K204" s="31">
        <v>0</v>
      </c>
      <c r="L204" s="31">
        <v>0</v>
      </c>
      <c r="M204" s="31">
        <v>0</v>
      </c>
      <c r="N204" s="31">
        <v>0</v>
      </c>
      <c r="O204" s="31">
        <v>0</v>
      </c>
      <c r="P204" s="31">
        <v>0</v>
      </c>
      <c r="Q204" s="31">
        <v>4</v>
      </c>
      <c r="R204" s="150">
        <v>1</v>
      </c>
      <c r="S204" s="88">
        <v>0</v>
      </c>
      <c r="U204" s="31">
        <v>1472.16</v>
      </c>
      <c r="V204" s="31">
        <v>2658.88</v>
      </c>
      <c r="W204" s="31">
        <v>13984.64</v>
      </c>
      <c r="X204" s="31">
        <v>2500.44</v>
      </c>
      <c r="Y204" s="31">
        <v>494.8</v>
      </c>
      <c r="Z204" s="31">
        <v>2294</v>
      </c>
      <c r="AA204" s="31">
        <v>1183.74</v>
      </c>
      <c r="AB204" s="31">
        <v>1261.7</v>
      </c>
      <c r="AC204" s="31">
        <v>3472.16</v>
      </c>
      <c r="AD204" s="31">
        <v>3320.8391266046201</v>
      </c>
      <c r="AE204" s="31">
        <v>0</v>
      </c>
      <c r="AF204" s="31">
        <v>32643.359126604621</v>
      </c>
      <c r="AH204" s="276"/>
      <c r="AI204" s="276"/>
      <c r="AJ204" s="276"/>
      <c r="AK204" s="276"/>
      <c r="AL204" s="276"/>
      <c r="AM204" s="276"/>
      <c r="AN204" s="276"/>
      <c r="AO204" s="276"/>
      <c r="AP204" s="276"/>
      <c r="AQ204" s="276"/>
      <c r="AR204" s="276"/>
      <c r="AS204" s="276"/>
      <c r="AT204" s="276"/>
      <c r="AU204" s="276"/>
      <c r="AV204" s="276"/>
      <c r="AW204" s="394"/>
    </row>
    <row r="205" spans="1:49">
      <c r="A205" s="88">
        <v>196</v>
      </c>
      <c r="B205" s="88" t="s">
        <v>1901</v>
      </c>
      <c r="C205" s="31">
        <v>11</v>
      </c>
      <c r="D205" s="31">
        <v>0</v>
      </c>
      <c r="E205" s="31">
        <v>17</v>
      </c>
      <c r="F205" s="31">
        <v>95</v>
      </c>
      <c r="G205" s="31">
        <v>62</v>
      </c>
      <c r="H205" s="31">
        <v>89</v>
      </c>
      <c r="I205" s="31">
        <v>10</v>
      </c>
      <c r="J205" s="31">
        <v>3</v>
      </c>
      <c r="K205" s="31">
        <v>0</v>
      </c>
      <c r="L205" s="31">
        <v>0</v>
      </c>
      <c r="M205" s="31">
        <v>1</v>
      </c>
      <c r="N205" s="31">
        <v>0</v>
      </c>
      <c r="O205" s="31">
        <v>32</v>
      </c>
      <c r="P205" s="31">
        <v>0</v>
      </c>
      <c r="Q205" s="31">
        <v>270</v>
      </c>
      <c r="R205" s="150">
        <v>1</v>
      </c>
      <c r="S205" s="88">
        <v>2</v>
      </c>
      <c r="U205" s="31">
        <v>132208.84000000003</v>
      </c>
      <c r="V205" s="31">
        <v>179142.15</v>
      </c>
      <c r="W205" s="31">
        <v>1060476.19</v>
      </c>
      <c r="X205" s="31">
        <v>247440.03</v>
      </c>
      <c r="Y205" s="31">
        <v>39895.030000000006</v>
      </c>
      <c r="Z205" s="31">
        <v>145977.48000000001</v>
      </c>
      <c r="AA205" s="31">
        <v>77596.76999999999</v>
      </c>
      <c r="AB205" s="31">
        <v>72460.44</v>
      </c>
      <c r="AC205" s="31">
        <v>279961.59000000003</v>
      </c>
      <c r="AD205" s="31">
        <v>269124.73619934515</v>
      </c>
      <c r="AE205" s="31">
        <v>72352.14</v>
      </c>
      <c r="AF205" s="31">
        <v>2576635.3961993451</v>
      </c>
      <c r="AH205" s="276"/>
      <c r="AI205" s="276"/>
      <c r="AJ205" s="276"/>
      <c r="AK205" s="276"/>
      <c r="AL205" s="276"/>
      <c r="AM205" s="276"/>
      <c r="AN205" s="276"/>
      <c r="AO205" s="276"/>
      <c r="AP205" s="276"/>
      <c r="AQ205" s="276"/>
      <c r="AR205" s="276"/>
      <c r="AS205" s="276"/>
      <c r="AT205" s="276"/>
      <c r="AU205" s="276"/>
      <c r="AV205" s="276"/>
      <c r="AW205" s="394"/>
    </row>
    <row r="206" spans="1:49">
      <c r="A206" s="88">
        <v>197</v>
      </c>
      <c r="B206" s="88" t="s">
        <v>1902</v>
      </c>
      <c r="C206" s="31">
        <v>35</v>
      </c>
      <c r="D206" s="31">
        <v>0</v>
      </c>
      <c r="E206" s="31">
        <v>55</v>
      </c>
      <c r="F206" s="31">
        <v>477</v>
      </c>
      <c r="G206" s="31">
        <v>295</v>
      </c>
      <c r="H206" s="31">
        <v>483</v>
      </c>
      <c r="I206" s="31">
        <v>59</v>
      </c>
      <c r="J206" s="31">
        <v>16</v>
      </c>
      <c r="K206" s="31">
        <v>0</v>
      </c>
      <c r="L206" s="31">
        <v>0</v>
      </c>
      <c r="M206" s="31">
        <v>255</v>
      </c>
      <c r="N206" s="31">
        <v>0</v>
      </c>
      <c r="O206" s="31">
        <v>382</v>
      </c>
      <c r="P206" s="31">
        <v>0</v>
      </c>
      <c r="Q206" s="31">
        <v>1583</v>
      </c>
      <c r="R206" s="150">
        <v>1</v>
      </c>
      <c r="S206" s="88">
        <v>5</v>
      </c>
      <c r="U206" s="31">
        <v>772934.90000000014</v>
      </c>
      <c r="V206" s="31">
        <v>1051919.75</v>
      </c>
      <c r="W206" s="31">
        <v>7225573.879999999</v>
      </c>
      <c r="X206" s="31">
        <v>1443598.5099999998</v>
      </c>
      <c r="Y206" s="31">
        <v>257749.13</v>
      </c>
      <c r="Z206" s="31">
        <v>846792.42999999993</v>
      </c>
      <c r="AA206" s="31">
        <v>462998.22</v>
      </c>
      <c r="AB206" s="31">
        <v>407825.5</v>
      </c>
      <c r="AC206" s="31">
        <v>1808769.6500000001</v>
      </c>
      <c r="AD206" s="31">
        <v>1687950.1082136531</v>
      </c>
      <c r="AE206" s="31">
        <v>385878.08</v>
      </c>
      <c r="AF206" s="31">
        <v>16351990.158213655</v>
      </c>
      <c r="AH206" s="276"/>
      <c r="AI206" s="276"/>
      <c r="AJ206" s="276"/>
      <c r="AK206" s="276"/>
      <c r="AL206" s="276"/>
      <c r="AM206" s="276"/>
      <c r="AN206" s="276"/>
      <c r="AO206" s="276"/>
      <c r="AP206" s="276"/>
      <c r="AQ206" s="276"/>
      <c r="AR206" s="276"/>
      <c r="AS206" s="276"/>
      <c r="AT206" s="276"/>
      <c r="AU206" s="276"/>
      <c r="AV206" s="276"/>
      <c r="AW206" s="394"/>
    </row>
    <row r="207" spans="1:49">
      <c r="A207" s="88">
        <v>198</v>
      </c>
      <c r="B207" s="88" t="s">
        <v>1903</v>
      </c>
      <c r="C207" s="31">
        <v>43</v>
      </c>
      <c r="D207" s="31">
        <v>0</v>
      </c>
      <c r="E207" s="31">
        <v>424</v>
      </c>
      <c r="F207" s="31">
        <v>2133</v>
      </c>
      <c r="G207" s="31">
        <v>1201</v>
      </c>
      <c r="H207" s="31">
        <v>1568</v>
      </c>
      <c r="I207" s="31">
        <v>204</v>
      </c>
      <c r="J207" s="31">
        <v>54</v>
      </c>
      <c r="K207" s="31">
        <v>0</v>
      </c>
      <c r="L207" s="31">
        <v>0</v>
      </c>
      <c r="M207" s="31">
        <v>113</v>
      </c>
      <c r="N207" s="31">
        <v>5</v>
      </c>
      <c r="O207" s="31">
        <v>621</v>
      </c>
      <c r="P207" s="31">
        <v>0</v>
      </c>
      <c r="Q207" s="31">
        <v>5466</v>
      </c>
      <c r="R207" s="150">
        <v>1.0269999999999999</v>
      </c>
      <c r="S207" s="88">
        <v>2</v>
      </c>
      <c r="U207" s="31">
        <v>2738887.5572500001</v>
      </c>
      <c r="V207" s="31">
        <v>3731119.3349299994</v>
      </c>
      <c r="W207" s="31">
        <v>21979612.665269993</v>
      </c>
      <c r="X207" s="31">
        <v>5235350.0083299996</v>
      </c>
      <c r="Y207" s="31">
        <v>831949.17142999999</v>
      </c>
      <c r="Z207" s="31">
        <v>2902121.1700000009</v>
      </c>
      <c r="AA207" s="31">
        <v>1583585.6591099999</v>
      </c>
      <c r="AB207" s="31">
        <v>1417610.04268</v>
      </c>
      <c r="AC207" s="31">
        <v>5839115.236109999</v>
      </c>
      <c r="AD207" s="31">
        <v>5486853.1947922232</v>
      </c>
      <c r="AE207" s="31">
        <v>1302338.52</v>
      </c>
      <c r="AF207" s="31">
        <v>53048542.559902228</v>
      </c>
      <c r="AH207" s="276"/>
      <c r="AI207" s="276"/>
      <c r="AJ207" s="276"/>
      <c r="AK207" s="276"/>
      <c r="AL207" s="276"/>
      <c r="AM207" s="276"/>
      <c r="AN207" s="276"/>
      <c r="AO207" s="276"/>
      <c r="AP207" s="276"/>
      <c r="AQ207" s="276"/>
      <c r="AR207" s="276"/>
      <c r="AS207" s="276"/>
      <c r="AT207" s="276"/>
      <c r="AU207" s="276"/>
      <c r="AV207" s="276"/>
      <c r="AW207" s="394"/>
    </row>
    <row r="208" spans="1:49">
      <c r="A208" s="88">
        <v>199</v>
      </c>
      <c r="B208" s="88" t="s">
        <v>1904</v>
      </c>
      <c r="C208" s="31">
        <v>39</v>
      </c>
      <c r="D208" s="31">
        <v>329</v>
      </c>
      <c r="E208" s="31">
        <v>12</v>
      </c>
      <c r="F208" s="31">
        <v>2115</v>
      </c>
      <c r="G208" s="31">
        <v>1303</v>
      </c>
      <c r="H208" s="31">
        <v>1710</v>
      </c>
      <c r="I208" s="31">
        <v>204</v>
      </c>
      <c r="J208" s="31">
        <v>54</v>
      </c>
      <c r="K208" s="31">
        <v>0</v>
      </c>
      <c r="L208" s="31">
        <v>32</v>
      </c>
      <c r="M208" s="31">
        <v>106</v>
      </c>
      <c r="N208" s="31">
        <v>0</v>
      </c>
      <c r="O208" s="31">
        <v>352</v>
      </c>
      <c r="P208" s="31">
        <v>0</v>
      </c>
      <c r="Q208" s="31">
        <v>5447</v>
      </c>
      <c r="R208" s="150">
        <v>1.0760000000000001</v>
      </c>
      <c r="S208" s="88">
        <v>1</v>
      </c>
      <c r="U208" s="31">
        <v>2861846.7333600004</v>
      </c>
      <c r="V208" s="31">
        <v>3895194.3731199997</v>
      </c>
      <c r="W208" s="31">
        <v>22170796.509720001</v>
      </c>
      <c r="X208" s="31">
        <v>5396999.7562800013</v>
      </c>
      <c r="Y208" s="31">
        <v>851603.01911999995</v>
      </c>
      <c r="Z208" s="31">
        <v>2927137.58</v>
      </c>
      <c r="AA208" s="31">
        <v>1685113.0982399997</v>
      </c>
      <c r="AB208" s="31">
        <v>1557479.8827600002</v>
      </c>
      <c r="AC208" s="31">
        <v>5976098.8029200006</v>
      </c>
      <c r="AD208" s="31">
        <v>5375568.2822585432</v>
      </c>
      <c r="AE208" s="31">
        <v>1302338.52</v>
      </c>
      <c r="AF208" s="31">
        <v>54000176.557778552</v>
      </c>
      <c r="AH208" s="276"/>
      <c r="AI208" s="276"/>
      <c r="AJ208" s="276"/>
      <c r="AK208" s="276"/>
      <c r="AL208" s="276"/>
      <c r="AM208" s="276"/>
      <c r="AN208" s="276"/>
      <c r="AO208" s="276"/>
      <c r="AP208" s="276"/>
      <c r="AQ208" s="276"/>
      <c r="AR208" s="276"/>
      <c r="AS208" s="276"/>
      <c r="AT208" s="276"/>
      <c r="AU208" s="276"/>
      <c r="AV208" s="276"/>
      <c r="AW208" s="394"/>
    </row>
    <row r="209" spans="1:49">
      <c r="A209" s="88">
        <v>200</v>
      </c>
      <c r="B209" s="88" t="s">
        <v>1905</v>
      </c>
      <c r="C209" s="31">
        <v>0</v>
      </c>
      <c r="D209" s="31">
        <v>0</v>
      </c>
      <c r="E209" s="31">
        <v>4</v>
      </c>
      <c r="F209" s="31">
        <v>7</v>
      </c>
      <c r="G209" s="31">
        <v>8</v>
      </c>
      <c r="H209" s="31">
        <v>14</v>
      </c>
      <c r="I209" s="31">
        <v>1</v>
      </c>
      <c r="J209" s="31">
        <v>0</v>
      </c>
      <c r="K209" s="31">
        <v>0</v>
      </c>
      <c r="L209" s="31">
        <v>0</v>
      </c>
      <c r="M209" s="31">
        <v>0</v>
      </c>
      <c r="N209" s="31">
        <v>0</v>
      </c>
      <c r="O209" s="31">
        <v>0</v>
      </c>
      <c r="P209" s="31">
        <v>0</v>
      </c>
      <c r="Q209" s="31">
        <v>33</v>
      </c>
      <c r="R209" s="150">
        <v>1</v>
      </c>
      <c r="S209" s="88">
        <v>0</v>
      </c>
      <c r="U209" s="31">
        <v>14685.47</v>
      </c>
      <c r="V209" s="31">
        <v>21935.760000000002</v>
      </c>
      <c r="W209" s="31">
        <v>118588.3</v>
      </c>
      <c r="X209" s="31">
        <v>27485.72</v>
      </c>
      <c r="Y209" s="31">
        <v>4552.08</v>
      </c>
      <c r="Z209" s="31">
        <v>18616.669999999998</v>
      </c>
      <c r="AA209" s="31">
        <v>9982.6500000000015</v>
      </c>
      <c r="AB209" s="31">
        <v>9987.85</v>
      </c>
      <c r="AC209" s="31">
        <v>31944.170000000006</v>
      </c>
      <c r="AD209" s="31">
        <v>30778.625291652977</v>
      </c>
      <c r="AE209" s="31">
        <v>0</v>
      </c>
      <c r="AF209" s="31">
        <v>288557.29529165302</v>
      </c>
      <c r="AH209" s="276"/>
      <c r="AI209" s="276"/>
      <c r="AJ209" s="276"/>
      <c r="AK209" s="276"/>
      <c r="AL209" s="276"/>
      <c r="AM209" s="276"/>
      <c r="AN209" s="276"/>
      <c r="AO209" s="276"/>
      <c r="AP209" s="276"/>
      <c r="AQ209" s="276"/>
      <c r="AR209" s="276"/>
      <c r="AS209" s="276"/>
      <c r="AT209" s="276"/>
      <c r="AU209" s="276"/>
      <c r="AV209" s="276"/>
      <c r="AW209" s="394"/>
    </row>
    <row r="210" spans="1:49">
      <c r="A210" s="88">
        <v>201</v>
      </c>
      <c r="B210" s="88" t="s">
        <v>1906</v>
      </c>
      <c r="C210" s="31">
        <v>387</v>
      </c>
      <c r="D210" s="31">
        <v>0</v>
      </c>
      <c r="E210" s="31">
        <v>796</v>
      </c>
      <c r="F210" s="31">
        <v>4442</v>
      </c>
      <c r="G210" s="31">
        <v>2625</v>
      </c>
      <c r="H210" s="31">
        <v>2035</v>
      </c>
      <c r="I210" s="31">
        <v>502</v>
      </c>
      <c r="J210" s="31">
        <v>134</v>
      </c>
      <c r="K210" s="31">
        <v>112</v>
      </c>
      <c r="L210" s="31">
        <v>0</v>
      </c>
      <c r="M210" s="31">
        <v>3476</v>
      </c>
      <c r="N210" s="31">
        <v>0</v>
      </c>
      <c r="O210" s="31">
        <v>9051</v>
      </c>
      <c r="P210" s="31">
        <v>0</v>
      </c>
      <c r="Q210" s="31">
        <v>13624</v>
      </c>
      <c r="R210" s="150">
        <v>1</v>
      </c>
      <c r="S210" s="88">
        <v>10</v>
      </c>
      <c r="U210" s="31">
        <v>6629534.4500000002</v>
      </c>
      <c r="V210" s="31">
        <v>9055817.910000002</v>
      </c>
      <c r="W210" s="31">
        <v>81653926.439999998</v>
      </c>
      <c r="X210" s="31">
        <v>12818185.130000001</v>
      </c>
      <c r="Y210" s="31">
        <v>2687645.67</v>
      </c>
      <c r="Z210" s="31">
        <v>6725839.8599999994</v>
      </c>
      <c r="AA210" s="31">
        <v>3775488.81</v>
      </c>
      <c r="AB210" s="31">
        <v>2724584.08</v>
      </c>
      <c r="AC210" s="31">
        <v>18860942.52</v>
      </c>
      <c r="AD210" s="31">
        <v>16839528.442195855</v>
      </c>
      <c r="AE210" s="31">
        <v>3231728.92</v>
      </c>
      <c r="AF210" s="31">
        <v>165003222.23219585</v>
      </c>
      <c r="AH210" s="276"/>
      <c r="AI210" s="276"/>
      <c r="AJ210" s="276"/>
      <c r="AK210" s="276"/>
      <c r="AL210" s="276"/>
      <c r="AM210" s="276"/>
      <c r="AN210" s="276"/>
      <c r="AO210" s="276"/>
      <c r="AP210" s="276"/>
      <c r="AQ210" s="276"/>
      <c r="AR210" s="276"/>
      <c r="AS210" s="276"/>
      <c r="AT210" s="276"/>
      <c r="AU210" s="276"/>
      <c r="AV210" s="276"/>
      <c r="AW210" s="394"/>
    </row>
    <row r="211" spans="1:49">
      <c r="A211" s="88">
        <v>202</v>
      </c>
      <c r="B211" s="88" t="s">
        <v>1907</v>
      </c>
      <c r="C211" s="31">
        <v>0</v>
      </c>
      <c r="D211" s="31">
        <v>0</v>
      </c>
      <c r="E211" s="31">
        <v>0</v>
      </c>
      <c r="F211" s="31">
        <v>0</v>
      </c>
      <c r="G211" s="31">
        <v>0</v>
      </c>
      <c r="H211" s="31">
        <v>0</v>
      </c>
      <c r="I211" s="31">
        <v>0</v>
      </c>
      <c r="J211" s="31">
        <v>0</v>
      </c>
      <c r="K211" s="31">
        <v>0</v>
      </c>
      <c r="L211" s="31">
        <v>0</v>
      </c>
      <c r="M211" s="31">
        <v>0</v>
      </c>
      <c r="N211" s="31">
        <v>0</v>
      </c>
      <c r="O211" s="31">
        <v>0</v>
      </c>
      <c r="P211" s="31">
        <v>0</v>
      </c>
      <c r="Q211" s="31">
        <v>0</v>
      </c>
      <c r="R211" s="150">
        <v>1</v>
      </c>
      <c r="S211" s="88">
        <v>0</v>
      </c>
      <c r="U211" s="31">
        <v>0</v>
      </c>
      <c r="V211" s="31">
        <v>0</v>
      </c>
      <c r="W211" s="31">
        <v>0</v>
      </c>
      <c r="X211" s="31">
        <v>0</v>
      </c>
      <c r="Y211" s="31">
        <v>0</v>
      </c>
      <c r="Z211" s="31">
        <v>0</v>
      </c>
      <c r="AA211" s="31">
        <v>0</v>
      </c>
      <c r="AB211" s="31">
        <v>0</v>
      </c>
      <c r="AC211" s="31">
        <v>0</v>
      </c>
      <c r="AD211" s="31">
        <v>0</v>
      </c>
      <c r="AE211" s="31">
        <v>0</v>
      </c>
      <c r="AF211" s="31">
        <v>0</v>
      </c>
      <c r="AH211" s="276"/>
      <c r="AI211" s="276"/>
      <c r="AJ211" s="276"/>
      <c r="AK211" s="276"/>
      <c r="AL211" s="276"/>
      <c r="AM211" s="276"/>
      <c r="AN211" s="276"/>
      <c r="AO211" s="276"/>
      <c r="AP211" s="276"/>
      <c r="AQ211" s="276"/>
      <c r="AR211" s="276"/>
      <c r="AS211" s="276"/>
      <c r="AT211" s="276"/>
      <c r="AU211" s="276"/>
      <c r="AV211" s="276"/>
      <c r="AW211" s="394"/>
    </row>
    <row r="212" spans="1:49">
      <c r="A212" s="88">
        <v>203</v>
      </c>
      <c r="B212" s="88" t="s">
        <v>1908</v>
      </c>
      <c r="C212" s="31">
        <v>0</v>
      </c>
      <c r="D212" s="31">
        <v>0</v>
      </c>
      <c r="E212" s="31">
        <v>0</v>
      </c>
      <c r="F212" s="31">
        <v>0</v>
      </c>
      <c r="G212" s="31">
        <v>0</v>
      </c>
      <c r="H212" s="31">
        <v>0</v>
      </c>
      <c r="I212" s="31">
        <v>0</v>
      </c>
      <c r="J212" s="31">
        <v>0</v>
      </c>
      <c r="K212" s="31">
        <v>0</v>
      </c>
      <c r="L212" s="31">
        <v>0</v>
      </c>
      <c r="M212" s="31">
        <v>0</v>
      </c>
      <c r="N212" s="31">
        <v>6</v>
      </c>
      <c r="O212" s="31">
        <v>0</v>
      </c>
      <c r="P212" s="31">
        <v>0</v>
      </c>
      <c r="Q212" s="31">
        <v>6</v>
      </c>
      <c r="R212" s="150">
        <v>1.032</v>
      </c>
      <c r="S212" s="88">
        <v>0</v>
      </c>
      <c r="U212" s="31">
        <v>2278.9036800000003</v>
      </c>
      <c r="V212" s="31">
        <v>4115.9462400000002</v>
      </c>
      <c r="W212" s="31">
        <v>41520.455999999998</v>
      </c>
      <c r="X212" s="31">
        <v>2900.82816</v>
      </c>
      <c r="Y212" s="31">
        <v>1297.9051200000001</v>
      </c>
      <c r="Z212" s="31">
        <v>7411.32</v>
      </c>
      <c r="AA212" s="31">
        <v>2291.5353599999999</v>
      </c>
      <c r="AB212" s="31">
        <v>3086.712</v>
      </c>
      <c r="AC212" s="31">
        <v>10310.299199999999</v>
      </c>
      <c r="AD212" s="31">
        <v>7389.5000615372846</v>
      </c>
      <c r="AE212" s="31">
        <v>0</v>
      </c>
      <c r="AF212" s="31">
        <v>82603.405821537279</v>
      </c>
      <c r="AH212" s="276"/>
      <c r="AI212" s="276"/>
      <c r="AJ212" s="276"/>
      <c r="AK212" s="276"/>
      <c r="AL212" s="276"/>
      <c r="AM212" s="276"/>
      <c r="AN212" s="276"/>
      <c r="AO212" s="276"/>
      <c r="AP212" s="276"/>
      <c r="AQ212" s="276"/>
      <c r="AR212" s="276"/>
      <c r="AS212" s="276"/>
      <c r="AT212" s="276"/>
      <c r="AU212" s="276"/>
      <c r="AV212" s="276"/>
      <c r="AW212" s="394"/>
    </row>
    <row r="213" spans="1:49">
      <c r="A213" s="88">
        <v>204</v>
      </c>
      <c r="B213" s="88" t="s">
        <v>1909</v>
      </c>
      <c r="C213" s="31">
        <v>72</v>
      </c>
      <c r="D213" s="31">
        <v>119</v>
      </c>
      <c r="E213" s="31">
        <v>28</v>
      </c>
      <c r="F213" s="31">
        <v>865</v>
      </c>
      <c r="G213" s="31">
        <v>610</v>
      </c>
      <c r="H213" s="31">
        <v>774</v>
      </c>
      <c r="I213" s="31">
        <v>88</v>
      </c>
      <c r="J213" s="31">
        <v>24</v>
      </c>
      <c r="K213" s="31">
        <v>0</v>
      </c>
      <c r="L213" s="31">
        <v>1</v>
      </c>
      <c r="M213" s="31">
        <v>19</v>
      </c>
      <c r="N213" s="31">
        <v>2</v>
      </c>
      <c r="O213" s="31">
        <v>228</v>
      </c>
      <c r="P213" s="31">
        <v>0</v>
      </c>
      <c r="Q213" s="31">
        <v>2395</v>
      </c>
      <c r="R213" s="150">
        <v>1</v>
      </c>
      <c r="S213" s="88">
        <v>2</v>
      </c>
      <c r="U213" s="31">
        <v>1165586.4900000002</v>
      </c>
      <c r="V213" s="31">
        <v>1591341.6</v>
      </c>
      <c r="W213" s="31">
        <v>9230695.8899999987</v>
      </c>
      <c r="X213" s="31">
        <v>2181364.12</v>
      </c>
      <c r="Y213" s="31">
        <v>351446.75999999995</v>
      </c>
      <c r="Z213" s="31">
        <v>1293636.96</v>
      </c>
      <c r="AA213" s="31">
        <v>692265.9</v>
      </c>
      <c r="AB213" s="31">
        <v>646663.19000000006</v>
      </c>
      <c r="AC213" s="31">
        <v>2466663.8800000008</v>
      </c>
      <c r="AD213" s="31">
        <v>2373710.5186497364</v>
      </c>
      <c r="AE213" s="31">
        <v>578817.12</v>
      </c>
      <c r="AF213" s="31">
        <v>22572192.428649735</v>
      </c>
      <c r="AH213" s="276"/>
      <c r="AI213" s="276"/>
      <c r="AJ213" s="276"/>
      <c r="AK213" s="276"/>
      <c r="AL213" s="276"/>
      <c r="AM213" s="276"/>
      <c r="AN213" s="276"/>
      <c r="AO213" s="276"/>
      <c r="AP213" s="276"/>
      <c r="AQ213" s="276"/>
      <c r="AR213" s="276"/>
      <c r="AS213" s="276"/>
      <c r="AT213" s="276"/>
      <c r="AU213" s="276"/>
      <c r="AV213" s="276"/>
      <c r="AW213" s="394"/>
    </row>
    <row r="214" spans="1:49">
      <c r="A214" s="88">
        <v>205</v>
      </c>
      <c r="B214" s="88" t="s">
        <v>1910</v>
      </c>
      <c r="C214" s="31">
        <v>0</v>
      </c>
      <c r="D214" s="31">
        <v>0</v>
      </c>
      <c r="E214" s="31">
        <v>0</v>
      </c>
      <c r="F214" s="31">
        <v>0</v>
      </c>
      <c r="G214" s="31">
        <v>0</v>
      </c>
      <c r="H214" s="31">
        <v>0</v>
      </c>
      <c r="I214" s="31">
        <v>0</v>
      </c>
      <c r="J214" s="31">
        <v>0</v>
      </c>
      <c r="K214" s="31">
        <v>0</v>
      </c>
      <c r="L214" s="31">
        <v>0</v>
      </c>
      <c r="M214" s="31">
        <v>0</v>
      </c>
      <c r="N214" s="31">
        <v>0</v>
      </c>
      <c r="O214" s="31">
        <v>0</v>
      </c>
      <c r="P214" s="31">
        <v>0</v>
      </c>
      <c r="Q214" s="31">
        <v>0</v>
      </c>
      <c r="R214" s="150">
        <v>1</v>
      </c>
      <c r="S214" s="88">
        <v>0</v>
      </c>
      <c r="U214" s="31">
        <v>0</v>
      </c>
      <c r="V214" s="31">
        <v>0</v>
      </c>
      <c r="W214" s="31">
        <v>0</v>
      </c>
      <c r="X214" s="31">
        <v>0</v>
      </c>
      <c r="Y214" s="31">
        <v>0</v>
      </c>
      <c r="Z214" s="31">
        <v>0</v>
      </c>
      <c r="AA214" s="31">
        <v>0</v>
      </c>
      <c r="AB214" s="31">
        <v>0</v>
      </c>
      <c r="AC214" s="31">
        <v>0</v>
      </c>
      <c r="AD214" s="31">
        <v>0</v>
      </c>
      <c r="AE214" s="31">
        <v>0</v>
      </c>
      <c r="AF214" s="31">
        <v>0</v>
      </c>
      <c r="AH214" s="276"/>
      <c r="AI214" s="276"/>
      <c r="AJ214" s="276"/>
      <c r="AK214" s="276"/>
      <c r="AL214" s="276"/>
      <c r="AM214" s="276"/>
      <c r="AN214" s="276"/>
      <c r="AO214" s="276"/>
      <c r="AP214" s="276"/>
      <c r="AQ214" s="276"/>
      <c r="AR214" s="276"/>
      <c r="AS214" s="276"/>
      <c r="AT214" s="276"/>
      <c r="AU214" s="276"/>
      <c r="AV214" s="276"/>
      <c r="AW214" s="394"/>
    </row>
    <row r="215" spans="1:49">
      <c r="A215" s="88">
        <v>206</v>
      </c>
      <c r="B215" s="88" t="s">
        <v>1911</v>
      </c>
      <c r="C215" s="31">
        <v>0</v>
      </c>
      <c r="D215" s="31">
        <v>0</v>
      </c>
      <c r="E215" s="31">
        <v>0</v>
      </c>
      <c r="F215" s="31">
        <v>0</v>
      </c>
      <c r="G215" s="31">
        <v>0</v>
      </c>
      <c r="H215" s="31">
        <v>0</v>
      </c>
      <c r="I215" s="31">
        <v>0</v>
      </c>
      <c r="J215" s="31">
        <v>0</v>
      </c>
      <c r="K215" s="31">
        <v>0</v>
      </c>
      <c r="L215" s="31">
        <v>0</v>
      </c>
      <c r="M215" s="31">
        <v>0</v>
      </c>
      <c r="N215" s="31">
        <v>1</v>
      </c>
      <c r="O215" s="31">
        <v>0</v>
      </c>
      <c r="P215" s="31">
        <v>0</v>
      </c>
      <c r="Q215" s="31">
        <v>1</v>
      </c>
      <c r="R215" s="150">
        <v>1</v>
      </c>
      <c r="S215" s="88">
        <v>0</v>
      </c>
      <c r="U215" s="31">
        <v>368.04</v>
      </c>
      <c r="V215" s="31">
        <v>664.72</v>
      </c>
      <c r="W215" s="31">
        <v>6705.5</v>
      </c>
      <c r="X215" s="31">
        <v>468.48</v>
      </c>
      <c r="Y215" s="31">
        <v>209.61</v>
      </c>
      <c r="Z215" s="31">
        <v>1235.22</v>
      </c>
      <c r="AA215" s="31">
        <v>370.08</v>
      </c>
      <c r="AB215" s="31">
        <v>498.5</v>
      </c>
      <c r="AC215" s="31">
        <v>1665.1</v>
      </c>
      <c r="AD215" s="31">
        <v>1231.5833435895474</v>
      </c>
      <c r="AE215" s="31">
        <v>0</v>
      </c>
      <c r="AF215" s="31">
        <v>13416.833343589547</v>
      </c>
      <c r="AH215" s="276"/>
      <c r="AI215" s="276"/>
      <c r="AJ215" s="276"/>
      <c r="AK215" s="276"/>
      <c r="AL215" s="276"/>
      <c r="AM215" s="276"/>
      <c r="AN215" s="276"/>
      <c r="AO215" s="276"/>
      <c r="AP215" s="276"/>
      <c r="AQ215" s="276"/>
      <c r="AR215" s="276"/>
      <c r="AS215" s="276"/>
      <c r="AT215" s="276"/>
      <c r="AU215" s="276"/>
      <c r="AV215" s="276"/>
      <c r="AW215" s="394"/>
    </row>
    <row r="216" spans="1:49">
      <c r="A216" s="88">
        <v>207</v>
      </c>
      <c r="B216" s="88" t="s">
        <v>1912</v>
      </c>
      <c r="C216" s="31">
        <v>189</v>
      </c>
      <c r="D216" s="31">
        <v>0</v>
      </c>
      <c r="E216" s="31">
        <v>771</v>
      </c>
      <c r="F216" s="31">
        <v>4436</v>
      </c>
      <c r="G216" s="31">
        <v>2760</v>
      </c>
      <c r="H216" s="31">
        <v>3377</v>
      </c>
      <c r="I216" s="31">
        <v>484</v>
      </c>
      <c r="J216" s="31">
        <v>122</v>
      </c>
      <c r="K216" s="31">
        <v>0</v>
      </c>
      <c r="L216" s="31">
        <v>0</v>
      </c>
      <c r="M216" s="31">
        <v>829</v>
      </c>
      <c r="N216" s="31">
        <v>589</v>
      </c>
      <c r="O216" s="31">
        <v>1332</v>
      </c>
      <c r="P216" s="31">
        <v>0</v>
      </c>
      <c r="Q216" s="31">
        <v>12857</v>
      </c>
      <c r="R216" s="150">
        <v>1.056</v>
      </c>
      <c r="S216" s="88">
        <v>2</v>
      </c>
      <c r="U216" s="31">
        <v>6622217.2367999991</v>
      </c>
      <c r="V216" s="31">
        <v>9024549.1459199991</v>
      </c>
      <c r="W216" s="31">
        <v>55665886.298879996</v>
      </c>
      <c r="X216" s="31">
        <v>12530748.405120002</v>
      </c>
      <c r="Y216" s="31">
        <v>2081867.8425600003</v>
      </c>
      <c r="Z216" s="31">
        <v>7204058.3300000001</v>
      </c>
      <c r="AA216" s="31">
        <v>3910510.1376</v>
      </c>
      <c r="AB216" s="31">
        <v>3534324.8054399998</v>
      </c>
      <c r="AC216" s="31">
        <v>14730191.593920002</v>
      </c>
      <c r="AD216" s="31">
        <v>13205600.289249979</v>
      </c>
      <c r="AE216" s="31">
        <v>2942320.3600000003</v>
      </c>
      <c r="AF216" s="31">
        <v>131452274.44548996</v>
      </c>
      <c r="AH216" s="276"/>
      <c r="AI216" s="276"/>
      <c r="AJ216" s="276"/>
      <c r="AK216" s="276"/>
      <c r="AL216" s="276"/>
      <c r="AM216" s="276"/>
      <c r="AN216" s="276"/>
      <c r="AO216" s="276"/>
      <c r="AP216" s="276"/>
      <c r="AQ216" s="276"/>
      <c r="AR216" s="276"/>
      <c r="AS216" s="276"/>
      <c r="AT216" s="276"/>
      <c r="AU216" s="276"/>
      <c r="AV216" s="276"/>
      <c r="AW216" s="394"/>
    </row>
    <row r="217" spans="1:49">
      <c r="A217" s="88">
        <v>208</v>
      </c>
      <c r="B217" s="88" t="s">
        <v>1913</v>
      </c>
      <c r="C217" s="31">
        <v>14</v>
      </c>
      <c r="D217" s="31">
        <v>0</v>
      </c>
      <c r="E217" s="31">
        <v>124</v>
      </c>
      <c r="F217" s="31">
        <v>622</v>
      </c>
      <c r="G217" s="31">
        <v>122</v>
      </c>
      <c r="H217" s="31">
        <v>0</v>
      </c>
      <c r="I217" s="31">
        <v>33</v>
      </c>
      <c r="J217" s="31">
        <v>9</v>
      </c>
      <c r="K217" s="31">
        <v>0</v>
      </c>
      <c r="L217" s="31">
        <v>0</v>
      </c>
      <c r="M217" s="31">
        <v>17</v>
      </c>
      <c r="N217" s="31">
        <v>0</v>
      </c>
      <c r="O217" s="31">
        <v>61</v>
      </c>
      <c r="P217" s="31">
        <v>0</v>
      </c>
      <c r="Q217" s="31">
        <v>892</v>
      </c>
      <c r="R217" s="150">
        <v>1.042</v>
      </c>
      <c r="S217" s="88">
        <v>1</v>
      </c>
      <c r="U217" s="31">
        <v>453247.20104000001</v>
      </c>
      <c r="V217" s="31">
        <v>617833.45596000005</v>
      </c>
      <c r="W217" s="31">
        <v>3291835.3107399996</v>
      </c>
      <c r="X217" s="31">
        <v>965452.02290000021</v>
      </c>
      <c r="Y217" s="31">
        <v>132234.70782000001</v>
      </c>
      <c r="Z217" s="31">
        <v>405152.23</v>
      </c>
      <c r="AA217" s="31">
        <v>216782.50446000003</v>
      </c>
      <c r="AB217" s="31">
        <v>127649.97034000001</v>
      </c>
      <c r="AC217" s="31">
        <v>927924.97642000008</v>
      </c>
      <c r="AD217" s="31">
        <v>899699.34217779757</v>
      </c>
      <c r="AE217" s="31">
        <v>217056.42</v>
      </c>
      <c r="AF217" s="31">
        <v>8254868.1418577991</v>
      </c>
      <c r="AH217" s="276"/>
      <c r="AI217" s="276"/>
      <c r="AJ217" s="276"/>
      <c r="AK217" s="276"/>
      <c r="AL217" s="276"/>
      <c r="AM217" s="276"/>
      <c r="AN217" s="276"/>
      <c r="AO217" s="276"/>
      <c r="AP217" s="276"/>
      <c r="AQ217" s="276"/>
      <c r="AR217" s="276"/>
      <c r="AS217" s="276"/>
      <c r="AT217" s="276"/>
      <c r="AU217" s="276"/>
      <c r="AV217" s="276"/>
      <c r="AW217" s="394"/>
    </row>
    <row r="218" spans="1:49">
      <c r="A218" s="88">
        <v>209</v>
      </c>
      <c r="B218" s="88" t="s">
        <v>1914</v>
      </c>
      <c r="C218" s="31">
        <v>117</v>
      </c>
      <c r="D218" s="31">
        <v>0</v>
      </c>
      <c r="E218" s="31">
        <v>122</v>
      </c>
      <c r="F218" s="31">
        <v>628</v>
      </c>
      <c r="G218" s="31">
        <v>348</v>
      </c>
      <c r="H218" s="31">
        <v>327</v>
      </c>
      <c r="I218" s="31">
        <v>54</v>
      </c>
      <c r="J218" s="31">
        <v>14</v>
      </c>
      <c r="K218" s="31">
        <v>1</v>
      </c>
      <c r="L218" s="31">
        <v>0</v>
      </c>
      <c r="M218" s="31">
        <v>19</v>
      </c>
      <c r="N218" s="31">
        <v>2</v>
      </c>
      <c r="O218" s="31">
        <v>899</v>
      </c>
      <c r="P218" s="31">
        <v>0</v>
      </c>
      <c r="Q218" s="31">
        <v>1506</v>
      </c>
      <c r="R218" s="150">
        <v>1</v>
      </c>
      <c r="S218" s="88">
        <v>10</v>
      </c>
      <c r="U218" s="31">
        <v>726631.59</v>
      </c>
      <c r="V218" s="31">
        <v>1000404.78</v>
      </c>
      <c r="W218" s="31">
        <v>8184137.1499999994</v>
      </c>
      <c r="X218" s="31">
        <v>1417333.06</v>
      </c>
      <c r="Y218" s="31">
        <v>274640.86</v>
      </c>
      <c r="Z218" s="31">
        <v>771134.05999999994</v>
      </c>
      <c r="AA218" s="31">
        <v>409568.78999999992</v>
      </c>
      <c r="AB218" s="31">
        <v>340858.74</v>
      </c>
      <c r="AC218" s="31">
        <v>1927687.2499999998</v>
      </c>
      <c r="AD218" s="31">
        <v>1755270.0295684645</v>
      </c>
      <c r="AE218" s="31">
        <v>337643.32</v>
      </c>
      <c r="AF218" s="31">
        <v>17145309.629568465</v>
      </c>
      <c r="AH218" s="276"/>
      <c r="AI218" s="276"/>
      <c r="AJ218" s="276"/>
      <c r="AK218" s="276"/>
      <c r="AL218" s="276"/>
      <c r="AM218" s="276"/>
      <c r="AN218" s="276"/>
      <c r="AO218" s="276"/>
      <c r="AP218" s="276"/>
      <c r="AQ218" s="276"/>
      <c r="AR218" s="276"/>
      <c r="AS218" s="276"/>
      <c r="AT218" s="276"/>
      <c r="AU218" s="276"/>
      <c r="AV218" s="276"/>
      <c r="AW218" s="394"/>
    </row>
    <row r="219" spans="1:49">
      <c r="A219" s="88">
        <v>210</v>
      </c>
      <c r="B219" s="88" t="s">
        <v>1915</v>
      </c>
      <c r="C219" s="31">
        <v>55</v>
      </c>
      <c r="D219" s="31">
        <v>0</v>
      </c>
      <c r="E219" s="31">
        <v>190</v>
      </c>
      <c r="F219" s="31">
        <v>886</v>
      </c>
      <c r="G219" s="31">
        <v>662</v>
      </c>
      <c r="H219" s="31">
        <v>873</v>
      </c>
      <c r="I219" s="31">
        <v>102</v>
      </c>
      <c r="J219" s="31">
        <v>27</v>
      </c>
      <c r="K219" s="31">
        <v>17</v>
      </c>
      <c r="L219" s="31">
        <v>0</v>
      </c>
      <c r="M219" s="31">
        <v>97</v>
      </c>
      <c r="N219" s="31">
        <v>1</v>
      </c>
      <c r="O219" s="31">
        <v>718</v>
      </c>
      <c r="P219" s="31">
        <v>0</v>
      </c>
      <c r="Q219" s="31">
        <v>2746</v>
      </c>
      <c r="R219" s="150">
        <v>1</v>
      </c>
      <c r="S219" s="88">
        <v>6</v>
      </c>
      <c r="U219" s="31">
        <v>1337950.04</v>
      </c>
      <c r="V219" s="31">
        <v>1824657.12</v>
      </c>
      <c r="W219" s="31">
        <v>12186476.969999999</v>
      </c>
      <c r="X219" s="31">
        <v>2509876.17</v>
      </c>
      <c r="Y219" s="31">
        <v>438709.56999999995</v>
      </c>
      <c r="Z219" s="31">
        <v>1478832.12</v>
      </c>
      <c r="AA219" s="31">
        <v>794783.13</v>
      </c>
      <c r="AB219" s="31">
        <v>729216.2</v>
      </c>
      <c r="AC219" s="31">
        <v>3078843.7600000002</v>
      </c>
      <c r="AD219" s="31">
        <v>2888865.8057541405</v>
      </c>
      <c r="AE219" s="31">
        <v>651169.26</v>
      </c>
      <c r="AF219" s="31">
        <v>27919380.14575414</v>
      </c>
      <c r="AH219" s="276"/>
      <c r="AI219" s="276"/>
      <c r="AJ219" s="276"/>
      <c r="AK219" s="276"/>
      <c r="AL219" s="276"/>
      <c r="AM219" s="276"/>
      <c r="AN219" s="276"/>
      <c r="AO219" s="276"/>
      <c r="AP219" s="276"/>
      <c r="AQ219" s="276"/>
      <c r="AR219" s="276"/>
      <c r="AS219" s="276"/>
      <c r="AT219" s="276"/>
      <c r="AU219" s="276"/>
      <c r="AV219" s="276"/>
      <c r="AW219" s="394"/>
    </row>
    <row r="220" spans="1:49">
      <c r="A220" s="88">
        <v>211</v>
      </c>
      <c r="B220" s="88" t="s">
        <v>1916</v>
      </c>
      <c r="C220" s="31">
        <v>123</v>
      </c>
      <c r="D220" s="31">
        <v>1</v>
      </c>
      <c r="E220" s="31">
        <v>325</v>
      </c>
      <c r="F220" s="31">
        <v>1728</v>
      </c>
      <c r="G220" s="31">
        <v>1151</v>
      </c>
      <c r="H220" s="31">
        <v>1443</v>
      </c>
      <c r="I220" s="31">
        <v>178</v>
      </c>
      <c r="J220" s="31">
        <v>47</v>
      </c>
      <c r="K220" s="31">
        <v>0</v>
      </c>
      <c r="L220" s="31">
        <v>0</v>
      </c>
      <c r="M220" s="31">
        <v>91</v>
      </c>
      <c r="N220" s="31">
        <v>10</v>
      </c>
      <c r="O220" s="31">
        <v>699</v>
      </c>
      <c r="P220" s="31">
        <v>0</v>
      </c>
      <c r="Q220" s="31">
        <v>4811</v>
      </c>
      <c r="R220" s="150">
        <v>1</v>
      </c>
      <c r="S220" s="88">
        <v>3</v>
      </c>
      <c r="U220" s="31">
        <v>2341807.3899999997</v>
      </c>
      <c r="V220" s="31">
        <v>3197304.4400000004</v>
      </c>
      <c r="W220" s="31">
        <v>19334049.350000001</v>
      </c>
      <c r="X220" s="31">
        <v>4433520.4400000004</v>
      </c>
      <c r="Y220" s="31">
        <v>724397.29</v>
      </c>
      <c r="Z220" s="31">
        <v>2574654.6800000002</v>
      </c>
      <c r="AA220" s="31">
        <v>1373485.89</v>
      </c>
      <c r="AB220" s="31">
        <v>1248034.73</v>
      </c>
      <c r="AC220" s="31">
        <v>5085331.45</v>
      </c>
      <c r="AD220" s="31">
        <v>4868158.281910996</v>
      </c>
      <c r="AE220" s="31">
        <v>1133516.8600000001</v>
      </c>
      <c r="AF220" s="31">
        <v>46314260.801910989</v>
      </c>
      <c r="AH220" s="276"/>
      <c r="AI220" s="276"/>
      <c r="AJ220" s="276"/>
      <c r="AK220" s="276"/>
      <c r="AL220" s="276"/>
      <c r="AM220" s="276"/>
      <c r="AN220" s="276"/>
      <c r="AO220" s="276"/>
      <c r="AP220" s="276"/>
      <c r="AQ220" s="276"/>
      <c r="AR220" s="276"/>
      <c r="AS220" s="276"/>
      <c r="AT220" s="276"/>
      <c r="AU220" s="276"/>
      <c r="AV220" s="276"/>
      <c r="AW220" s="394"/>
    </row>
    <row r="221" spans="1:49">
      <c r="A221" s="88">
        <v>212</v>
      </c>
      <c r="B221" s="88" t="s">
        <v>1917</v>
      </c>
      <c r="C221" s="31">
        <v>137</v>
      </c>
      <c r="D221" s="31">
        <v>249</v>
      </c>
      <c r="E221" s="31">
        <v>53</v>
      </c>
      <c r="F221" s="31">
        <v>1687</v>
      </c>
      <c r="G221" s="31">
        <v>1081</v>
      </c>
      <c r="H221" s="31">
        <v>1191</v>
      </c>
      <c r="I221" s="31">
        <v>160</v>
      </c>
      <c r="J221" s="31">
        <v>43</v>
      </c>
      <c r="K221" s="31">
        <v>0</v>
      </c>
      <c r="L221" s="31">
        <v>9</v>
      </c>
      <c r="M221" s="31">
        <v>135</v>
      </c>
      <c r="N221" s="31">
        <v>0</v>
      </c>
      <c r="O221" s="31">
        <v>747</v>
      </c>
      <c r="P221" s="31">
        <v>0</v>
      </c>
      <c r="Q221" s="31">
        <v>4346</v>
      </c>
      <c r="R221" s="150">
        <v>1</v>
      </c>
      <c r="S221" s="88">
        <v>4</v>
      </c>
      <c r="U221" s="31">
        <v>2114604.27</v>
      </c>
      <c r="V221" s="31">
        <v>2887879.99</v>
      </c>
      <c r="W221" s="31">
        <v>17772326.870000001</v>
      </c>
      <c r="X221" s="31">
        <v>4018401.06</v>
      </c>
      <c r="Y221" s="31">
        <v>663619.39</v>
      </c>
      <c r="Z221" s="31">
        <v>2288303.0500000003</v>
      </c>
      <c r="AA221" s="31">
        <v>1229807.6399999999</v>
      </c>
      <c r="AB221" s="31">
        <v>1090840.6300000001</v>
      </c>
      <c r="AC221" s="31">
        <v>4656966.99</v>
      </c>
      <c r="AD221" s="31">
        <v>4445986.3224397749</v>
      </c>
      <c r="AE221" s="31">
        <v>1037047.3400000001</v>
      </c>
      <c r="AF221" s="31">
        <v>42205783.552439779</v>
      </c>
      <c r="AH221" s="276"/>
      <c r="AI221" s="276"/>
      <c r="AJ221" s="276"/>
      <c r="AK221" s="276"/>
      <c r="AL221" s="276"/>
      <c r="AM221" s="276"/>
      <c r="AN221" s="276"/>
      <c r="AO221" s="276"/>
      <c r="AP221" s="276"/>
      <c r="AQ221" s="276"/>
      <c r="AR221" s="276"/>
      <c r="AS221" s="276"/>
      <c r="AT221" s="276"/>
      <c r="AU221" s="276"/>
      <c r="AV221" s="276"/>
      <c r="AW221" s="394"/>
    </row>
    <row r="222" spans="1:49">
      <c r="A222" s="88">
        <v>213</v>
      </c>
      <c r="B222" s="88" t="s">
        <v>1918</v>
      </c>
      <c r="C222" s="31">
        <v>17</v>
      </c>
      <c r="D222" s="31">
        <v>136</v>
      </c>
      <c r="E222" s="31">
        <v>11</v>
      </c>
      <c r="F222" s="31">
        <v>825</v>
      </c>
      <c r="G222" s="31">
        <v>635</v>
      </c>
      <c r="H222" s="31">
        <v>10</v>
      </c>
      <c r="I222" s="31">
        <v>61</v>
      </c>
      <c r="J222" s="31">
        <v>16</v>
      </c>
      <c r="K222" s="31">
        <v>0</v>
      </c>
      <c r="L222" s="31">
        <v>11</v>
      </c>
      <c r="M222" s="31">
        <v>77</v>
      </c>
      <c r="N222" s="31">
        <v>1</v>
      </c>
      <c r="O222" s="31">
        <v>201</v>
      </c>
      <c r="P222" s="31">
        <v>0</v>
      </c>
      <c r="Q222" s="31">
        <v>1642</v>
      </c>
      <c r="R222" s="150">
        <v>1</v>
      </c>
      <c r="S222" s="88">
        <v>3</v>
      </c>
      <c r="U222" s="31">
        <v>799546.94000000006</v>
      </c>
      <c r="V222" s="31">
        <v>1090807.1599999999</v>
      </c>
      <c r="W222" s="31">
        <v>6033632.0300000012</v>
      </c>
      <c r="X222" s="31">
        <v>1605400.3299999998</v>
      </c>
      <c r="Y222" s="31">
        <v>246196.45999999996</v>
      </c>
      <c r="Z222" s="31">
        <v>748897.16</v>
      </c>
      <c r="AA222" s="31">
        <v>418279.32</v>
      </c>
      <c r="AB222" s="31">
        <v>270583.31</v>
      </c>
      <c r="AC222" s="31">
        <v>1727851.3500000003</v>
      </c>
      <c r="AD222" s="31">
        <v>1688328.4372645945</v>
      </c>
      <c r="AE222" s="31">
        <v>385878.08</v>
      </c>
      <c r="AF222" s="31">
        <v>15015400.577264598</v>
      </c>
      <c r="AH222" s="276"/>
      <c r="AI222" s="276"/>
      <c r="AJ222" s="276"/>
      <c r="AK222" s="276"/>
      <c r="AL222" s="276"/>
      <c r="AM222" s="276"/>
      <c r="AN222" s="276"/>
      <c r="AO222" s="276"/>
      <c r="AP222" s="276"/>
      <c r="AQ222" s="276"/>
      <c r="AR222" s="276"/>
      <c r="AS222" s="276"/>
      <c r="AT222" s="276"/>
      <c r="AU222" s="276"/>
      <c r="AV222" s="276"/>
      <c r="AW222" s="394"/>
    </row>
    <row r="223" spans="1:49">
      <c r="A223" s="88">
        <v>214</v>
      </c>
      <c r="B223" s="88" t="s">
        <v>1919</v>
      </c>
      <c r="C223" s="31">
        <v>33</v>
      </c>
      <c r="D223" s="31">
        <v>0</v>
      </c>
      <c r="E223" s="31">
        <v>143</v>
      </c>
      <c r="F223" s="31">
        <v>875</v>
      </c>
      <c r="G223" s="31">
        <v>602</v>
      </c>
      <c r="H223" s="31">
        <v>599</v>
      </c>
      <c r="I223" s="31">
        <v>85</v>
      </c>
      <c r="J223" s="31">
        <v>23</v>
      </c>
      <c r="K223" s="31">
        <v>0</v>
      </c>
      <c r="L223" s="31">
        <v>0</v>
      </c>
      <c r="M223" s="31">
        <v>60</v>
      </c>
      <c r="N223" s="31">
        <v>9</v>
      </c>
      <c r="O223" s="31">
        <v>692</v>
      </c>
      <c r="P223" s="31">
        <v>0</v>
      </c>
      <c r="Q223" s="31">
        <v>2305</v>
      </c>
      <c r="R223" s="150">
        <v>1</v>
      </c>
      <c r="S223" s="88">
        <v>7</v>
      </c>
      <c r="U223" s="31">
        <v>1122484.71</v>
      </c>
      <c r="V223" s="31">
        <v>1531847.57</v>
      </c>
      <c r="W223" s="31">
        <v>10376890.969999999</v>
      </c>
      <c r="X223" s="31">
        <v>2135918.1299999994</v>
      </c>
      <c r="Y223" s="31">
        <v>373864.65999999992</v>
      </c>
      <c r="Z223" s="31">
        <v>1212330.47</v>
      </c>
      <c r="AA223" s="31">
        <v>649892.16</v>
      </c>
      <c r="AB223" s="31">
        <v>571049.23</v>
      </c>
      <c r="AC223" s="31">
        <v>2625321.4900000002</v>
      </c>
      <c r="AD223" s="31">
        <v>2460920.247401081</v>
      </c>
      <c r="AE223" s="31">
        <v>554699.74</v>
      </c>
      <c r="AF223" s="31">
        <v>23615219.37740108</v>
      </c>
      <c r="AH223" s="276"/>
      <c r="AI223" s="276"/>
      <c r="AJ223" s="276"/>
      <c r="AK223" s="276"/>
      <c r="AL223" s="276"/>
      <c r="AM223" s="276"/>
      <c r="AN223" s="276"/>
      <c r="AO223" s="276"/>
      <c r="AP223" s="276"/>
      <c r="AQ223" s="276"/>
      <c r="AR223" s="276"/>
      <c r="AS223" s="276"/>
      <c r="AT223" s="276"/>
      <c r="AU223" s="276"/>
      <c r="AV223" s="276"/>
      <c r="AW223" s="394"/>
    </row>
    <row r="224" spans="1:49">
      <c r="A224" s="88">
        <v>215</v>
      </c>
      <c r="B224" s="88" t="s">
        <v>1920</v>
      </c>
      <c r="C224" s="31">
        <v>23</v>
      </c>
      <c r="D224" s="31">
        <v>0</v>
      </c>
      <c r="E224" s="31">
        <v>51</v>
      </c>
      <c r="F224" s="31">
        <v>237</v>
      </c>
      <c r="G224" s="31">
        <v>144</v>
      </c>
      <c r="H224" s="31">
        <v>151</v>
      </c>
      <c r="I224" s="31">
        <v>22</v>
      </c>
      <c r="J224" s="31">
        <v>6</v>
      </c>
      <c r="K224" s="31">
        <v>0</v>
      </c>
      <c r="L224" s="31">
        <v>0</v>
      </c>
      <c r="M224" s="31">
        <v>0</v>
      </c>
      <c r="N224" s="31">
        <v>1</v>
      </c>
      <c r="O224" s="31">
        <v>210</v>
      </c>
      <c r="P224" s="31">
        <v>0</v>
      </c>
      <c r="Q224" s="31">
        <v>596</v>
      </c>
      <c r="R224" s="150">
        <v>1</v>
      </c>
      <c r="S224" s="88">
        <v>8</v>
      </c>
      <c r="U224" s="31">
        <v>290292.25</v>
      </c>
      <c r="V224" s="31">
        <v>395840.99</v>
      </c>
      <c r="W224" s="31">
        <v>2759533.9399999995</v>
      </c>
      <c r="X224" s="31">
        <v>558778.27999999991</v>
      </c>
      <c r="Y224" s="31">
        <v>98030.16</v>
      </c>
      <c r="Z224" s="31">
        <v>311232.94999999995</v>
      </c>
      <c r="AA224" s="31">
        <v>165191.03999999998</v>
      </c>
      <c r="AB224" s="31">
        <v>143783.41</v>
      </c>
      <c r="AC224" s="31">
        <v>688111.04</v>
      </c>
      <c r="AD224" s="31">
        <v>644152.12998487009</v>
      </c>
      <c r="AE224" s="31">
        <v>144704.28</v>
      </c>
      <c r="AF224" s="31">
        <v>6199650.4699848695</v>
      </c>
      <c r="AH224" s="276"/>
      <c r="AI224" s="276"/>
      <c r="AJ224" s="276"/>
      <c r="AK224" s="276"/>
      <c r="AL224" s="276"/>
      <c r="AM224" s="276"/>
      <c r="AN224" s="276"/>
      <c r="AO224" s="276"/>
      <c r="AP224" s="276"/>
      <c r="AQ224" s="276"/>
      <c r="AR224" s="276"/>
      <c r="AS224" s="276"/>
      <c r="AT224" s="276"/>
      <c r="AU224" s="276"/>
      <c r="AV224" s="276"/>
      <c r="AW224" s="394"/>
    </row>
    <row r="225" spans="1:49">
      <c r="A225" s="88">
        <v>216</v>
      </c>
      <c r="B225" s="88" t="s">
        <v>1921</v>
      </c>
      <c r="C225" s="31">
        <v>0</v>
      </c>
      <c r="D225" s="31">
        <v>0</v>
      </c>
      <c r="E225" s="31">
        <v>0</v>
      </c>
      <c r="F225" s="31">
        <v>0</v>
      </c>
      <c r="G225" s="31">
        <v>0</v>
      </c>
      <c r="H225" s="31">
        <v>0</v>
      </c>
      <c r="I225" s="31">
        <v>0</v>
      </c>
      <c r="J225" s="31">
        <v>0</v>
      </c>
      <c r="K225" s="31">
        <v>0</v>
      </c>
      <c r="L225" s="31">
        <v>0</v>
      </c>
      <c r="M225" s="31">
        <v>0</v>
      </c>
      <c r="N225" s="31">
        <v>0</v>
      </c>
      <c r="O225" s="31">
        <v>0</v>
      </c>
      <c r="P225" s="31">
        <v>0</v>
      </c>
      <c r="Q225" s="31">
        <v>0</v>
      </c>
      <c r="R225" s="150">
        <v>1</v>
      </c>
      <c r="S225" s="88">
        <v>0</v>
      </c>
      <c r="U225" s="31">
        <v>0</v>
      </c>
      <c r="V225" s="31">
        <v>0</v>
      </c>
      <c r="W225" s="31">
        <v>0</v>
      </c>
      <c r="X225" s="31">
        <v>0</v>
      </c>
      <c r="Y225" s="31">
        <v>0</v>
      </c>
      <c r="Z225" s="31">
        <v>0</v>
      </c>
      <c r="AA225" s="31">
        <v>0</v>
      </c>
      <c r="AB225" s="31">
        <v>0</v>
      </c>
      <c r="AC225" s="31">
        <v>0</v>
      </c>
      <c r="AD225" s="31">
        <v>0</v>
      </c>
      <c r="AE225" s="31">
        <v>0</v>
      </c>
      <c r="AF225" s="31">
        <v>0</v>
      </c>
      <c r="AH225" s="276"/>
      <c r="AI225" s="276"/>
      <c r="AJ225" s="276"/>
      <c r="AK225" s="276"/>
      <c r="AL225" s="276"/>
      <c r="AM225" s="276"/>
      <c r="AN225" s="276"/>
      <c r="AO225" s="276"/>
      <c r="AP225" s="276"/>
      <c r="AQ225" s="276"/>
      <c r="AR225" s="276"/>
      <c r="AS225" s="276"/>
      <c r="AT225" s="276"/>
      <c r="AU225" s="276"/>
      <c r="AV225" s="276"/>
      <c r="AW225" s="394"/>
    </row>
    <row r="226" spans="1:49">
      <c r="A226" s="88">
        <v>217</v>
      </c>
      <c r="B226" s="88" t="s">
        <v>1922</v>
      </c>
      <c r="C226" s="31">
        <v>52</v>
      </c>
      <c r="D226" s="31">
        <v>154</v>
      </c>
      <c r="E226" s="31">
        <v>3</v>
      </c>
      <c r="F226" s="31">
        <v>896</v>
      </c>
      <c r="G226" s="31">
        <v>579</v>
      </c>
      <c r="H226" s="31">
        <v>829</v>
      </c>
      <c r="I226" s="31">
        <v>90</v>
      </c>
      <c r="J226" s="31">
        <v>24</v>
      </c>
      <c r="K226" s="31">
        <v>0</v>
      </c>
      <c r="L226" s="31">
        <v>2</v>
      </c>
      <c r="M226" s="31">
        <v>11</v>
      </c>
      <c r="N226" s="31">
        <v>4</v>
      </c>
      <c r="O226" s="31">
        <v>207</v>
      </c>
      <c r="P226" s="31">
        <v>0</v>
      </c>
      <c r="Q226" s="31">
        <v>2426</v>
      </c>
      <c r="R226" s="150">
        <v>1.0589999999999999</v>
      </c>
      <c r="S226" s="88">
        <v>2</v>
      </c>
      <c r="U226" s="31">
        <v>1252208.45016</v>
      </c>
      <c r="V226" s="31">
        <v>1707756.9551999995</v>
      </c>
      <c r="W226" s="31">
        <v>9888939.087749999</v>
      </c>
      <c r="X226" s="31">
        <v>2342656.3976700003</v>
      </c>
      <c r="Y226" s="31">
        <v>375524.3757899999</v>
      </c>
      <c r="Z226" s="31">
        <v>1324606.3199999998</v>
      </c>
      <c r="AA226" s="31">
        <v>746582.3237699999</v>
      </c>
      <c r="AB226" s="31">
        <v>709468.39796999993</v>
      </c>
      <c r="AC226" s="31">
        <v>2636063.2130099996</v>
      </c>
      <c r="AD226" s="31">
        <v>2397583.2002217155</v>
      </c>
      <c r="AE226" s="31">
        <v>578817.12</v>
      </c>
      <c r="AF226" s="31">
        <v>23960205.841541711</v>
      </c>
      <c r="AH226" s="276"/>
      <c r="AI226" s="276"/>
      <c r="AJ226" s="276"/>
      <c r="AK226" s="276"/>
      <c r="AL226" s="276"/>
      <c r="AM226" s="276"/>
      <c r="AN226" s="276"/>
      <c r="AO226" s="276"/>
      <c r="AP226" s="276"/>
      <c r="AQ226" s="276"/>
      <c r="AR226" s="276"/>
      <c r="AS226" s="276"/>
      <c r="AT226" s="276"/>
      <c r="AU226" s="276"/>
      <c r="AV226" s="276"/>
      <c r="AW226" s="394"/>
    </row>
    <row r="227" spans="1:49">
      <c r="A227" s="88">
        <v>218</v>
      </c>
      <c r="B227" s="88" t="s">
        <v>1923</v>
      </c>
      <c r="C227" s="31">
        <v>80</v>
      </c>
      <c r="D227" s="31">
        <v>132</v>
      </c>
      <c r="E227" s="31">
        <v>36</v>
      </c>
      <c r="F227" s="31">
        <v>903</v>
      </c>
      <c r="G227" s="31">
        <v>627</v>
      </c>
      <c r="H227" s="31">
        <v>815</v>
      </c>
      <c r="I227" s="31">
        <v>93</v>
      </c>
      <c r="J227" s="31">
        <v>25</v>
      </c>
      <c r="K227" s="31">
        <v>2</v>
      </c>
      <c r="L227" s="31">
        <v>2</v>
      </c>
      <c r="M227" s="31">
        <v>28</v>
      </c>
      <c r="N227" s="31">
        <v>0</v>
      </c>
      <c r="O227" s="31">
        <v>452</v>
      </c>
      <c r="P227" s="31">
        <v>0</v>
      </c>
      <c r="Q227" s="31">
        <v>2517</v>
      </c>
      <c r="R227" s="150">
        <v>1</v>
      </c>
      <c r="S227" s="88">
        <v>4</v>
      </c>
      <c r="U227" s="31">
        <v>1226096.5800000003</v>
      </c>
      <c r="V227" s="31">
        <v>1673102.4</v>
      </c>
      <c r="W227" s="31">
        <v>10391638.65</v>
      </c>
      <c r="X227" s="31">
        <v>2299101.6</v>
      </c>
      <c r="Y227" s="31">
        <v>384507.06</v>
      </c>
      <c r="Z227" s="31">
        <v>1358927.6899999997</v>
      </c>
      <c r="AA227" s="31">
        <v>727348.61999999988</v>
      </c>
      <c r="AB227" s="31">
        <v>677830.73</v>
      </c>
      <c r="AC227" s="31">
        <v>2698287.6399999997</v>
      </c>
      <c r="AD227" s="31">
        <v>2566023.5672263987</v>
      </c>
      <c r="AE227" s="31">
        <v>602934.5</v>
      </c>
      <c r="AF227" s="31">
        <v>24605799.037226401</v>
      </c>
      <c r="AH227" s="276"/>
      <c r="AI227" s="276"/>
      <c r="AJ227" s="276"/>
      <c r="AK227" s="276"/>
      <c r="AL227" s="276"/>
      <c r="AM227" s="276"/>
      <c r="AN227" s="276"/>
      <c r="AO227" s="276"/>
      <c r="AP227" s="276"/>
      <c r="AQ227" s="276"/>
      <c r="AR227" s="276"/>
      <c r="AS227" s="276"/>
      <c r="AT227" s="276"/>
      <c r="AU227" s="276"/>
      <c r="AV227" s="276"/>
      <c r="AW227" s="394"/>
    </row>
    <row r="228" spans="1:49">
      <c r="A228" s="88">
        <v>219</v>
      </c>
      <c r="B228" s="88" t="s">
        <v>1924</v>
      </c>
      <c r="C228" s="31">
        <v>37</v>
      </c>
      <c r="D228" s="31">
        <v>121</v>
      </c>
      <c r="E228" s="31">
        <v>8</v>
      </c>
      <c r="F228" s="31">
        <v>801</v>
      </c>
      <c r="G228" s="31">
        <v>524</v>
      </c>
      <c r="H228" s="31">
        <v>728</v>
      </c>
      <c r="I228" s="31">
        <v>80</v>
      </c>
      <c r="J228" s="31">
        <v>21</v>
      </c>
      <c r="K228" s="31">
        <v>0</v>
      </c>
      <c r="L228" s="31">
        <v>0</v>
      </c>
      <c r="M228" s="31">
        <v>4</v>
      </c>
      <c r="N228" s="31">
        <v>0</v>
      </c>
      <c r="O228" s="31">
        <v>109</v>
      </c>
      <c r="P228" s="31">
        <v>0</v>
      </c>
      <c r="Q228" s="31">
        <v>2145</v>
      </c>
      <c r="R228" s="150">
        <v>1.0509999999999999</v>
      </c>
      <c r="S228" s="88">
        <v>1</v>
      </c>
      <c r="U228" s="31">
        <v>1098961.8489900001</v>
      </c>
      <c r="V228" s="31">
        <v>1497844.4842599996</v>
      </c>
      <c r="W228" s="31">
        <v>8405914.3325399999</v>
      </c>
      <c r="X228" s="31">
        <v>2059439.1559300001</v>
      </c>
      <c r="Y228" s="31">
        <v>323795.20147000003</v>
      </c>
      <c r="Z228" s="31">
        <v>1166761.5900000001</v>
      </c>
      <c r="AA228" s="31">
        <v>653981.41833000001</v>
      </c>
      <c r="AB228" s="31">
        <v>620512.28128999996</v>
      </c>
      <c r="AC228" s="31">
        <v>2272225.2675500005</v>
      </c>
      <c r="AD228" s="31">
        <v>2095222.4467335455</v>
      </c>
      <c r="AE228" s="31">
        <v>506464.98000000004</v>
      </c>
      <c r="AF228" s="31">
        <v>20701123.007093545</v>
      </c>
      <c r="AH228" s="276"/>
      <c r="AI228" s="276"/>
      <c r="AJ228" s="276"/>
      <c r="AK228" s="276"/>
      <c r="AL228" s="276"/>
      <c r="AM228" s="276"/>
      <c r="AN228" s="276"/>
      <c r="AO228" s="276"/>
      <c r="AP228" s="276"/>
      <c r="AQ228" s="276"/>
      <c r="AR228" s="276"/>
      <c r="AS228" s="276"/>
      <c r="AT228" s="276"/>
      <c r="AU228" s="276"/>
      <c r="AV228" s="276"/>
      <c r="AW228" s="394"/>
    </row>
    <row r="229" spans="1:49">
      <c r="A229" s="88">
        <v>220</v>
      </c>
      <c r="B229" s="88" t="s">
        <v>1925</v>
      </c>
      <c r="C229" s="31">
        <v>43</v>
      </c>
      <c r="D229" s="31">
        <v>0</v>
      </c>
      <c r="E229" s="31">
        <v>237</v>
      </c>
      <c r="F229" s="31">
        <v>1183</v>
      </c>
      <c r="G229" s="31">
        <v>759</v>
      </c>
      <c r="H229" s="31">
        <v>968</v>
      </c>
      <c r="I229" s="31">
        <v>128</v>
      </c>
      <c r="J229" s="31">
        <v>34</v>
      </c>
      <c r="K229" s="31">
        <v>1</v>
      </c>
      <c r="L229" s="31">
        <v>0</v>
      </c>
      <c r="M229" s="31">
        <v>272</v>
      </c>
      <c r="N229" s="31">
        <v>0</v>
      </c>
      <c r="O229" s="31">
        <v>886</v>
      </c>
      <c r="P229" s="31">
        <v>0</v>
      </c>
      <c r="Q229" s="31">
        <v>3442</v>
      </c>
      <c r="R229" s="150">
        <v>1.0529999999999999</v>
      </c>
      <c r="S229" s="88">
        <v>6</v>
      </c>
      <c r="U229" s="31">
        <v>1766860.7006699999</v>
      </c>
      <c r="V229" s="31">
        <v>2408528.9638799997</v>
      </c>
      <c r="W229" s="31">
        <v>16171688.015729997</v>
      </c>
      <c r="X229" s="31">
        <v>3349448.6231700005</v>
      </c>
      <c r="Y229" s="31">
        <v>582731.35830000008</v>
      </c>
      <c r="Z229" s="31">
        <v>1819400.73</v>
      </c>
      <c r="AA229" s="31">
        <v>1034548.0809299997</v>
      </c>
      <c r="AB229" s="31">
        <v>907763.10065999988</v>
      </c>
      <c r="AC229" s="31">
        <v>4089331.9022400002</v>
      </c>
      <c r="AD229" s="31">
        <v>3648687.7571913842</v>
      </c>
      <c r="AE229" s="31">
        <v>819990.92</v>
      </c>
      <c r="AF229" s="31">
        <v>36598980.152771384</v>
      </c>
      <c r="AH229" s="276"/>
      <c r="AI229" s="276"/>
      <c r="AJ229" s="276"/>
      <c r="AK229" s="276"/>
      <c r="AL229" s="276"/>
      <c r="AM229" s="276"/>
      <c r="AN229" s="276"/>
      <c r="AO229" s="276"/>
      <c r="AP229" s="276"/>
      <c r="AQ229" s="276"/>
      <c r="AR229" s="276"/>
      <c r="AS229" s="276"/>
      <c r="AT229" s="276"/>
      <c r="AU229" s="276"/>
      <c r="AV229" s="276"/>
      <c r="AW229" s="394"/>
    </row>
    <row r="230" spans="1:49">
      <c r="A230" s="88">
        <v>221</v>
      </c>
      <c r="B230" s="88" t="s">
        <v>1926</v>
      </c>
      <c r="C230" s="31">
        <v>11</v>
      </c>
      <c r="D230" s="31">
        <v>0</v>
      </c>
      <c r="E230" s="31">
        <v>37</v>
      </c>
      <c r="F230" s="31">
        <v>219</v>
      </c>
      <c r="G230" s="31">
        <v>124</v>
      </c>
      <c r="H230" s="31">
        <v>0</v>
      </c>
      <c r="I230" s="31">
        <v>17</v>
      </c>
      <c r="J230" s="31">
        <v>5</v>
      </c>
      <c r="K230" s="31">
        <v>2</v>
      </c>
      <c r="L230" s="31">
        <v>0</v>
      </c>
      <c r="M230" s="31">
        <v>72</v>
      </c>
      <c r="N230" s="31">
        <v>0</v>
      </c>
      <c r="O230" s="31">
        <v>128</v>
      </c>
      <c r="P230" s="31">
        <v>0</v>
      </c>
      <c r="Q230" s="31">
        <v>459</v>
      </c>
      <c r="R230" s="150">
        <v>1</v>
      </c>
      <c r="S230" s="88">
        <v>6</v>
      </c>
      <c r="U230" s="31">
        <v>224629.79</v>
      </c>
      <c r="V230" s="31">
        <v>304774.25</v>
      </c>
      <c r="W230" s="31">
        <v>2009767.42</v>
      </c>
      <c r="X230" s="31">
        <v>453070.65</v>
      </c>
      <c r="Y230" s="31">
        <v>75405.87000000001</v>
      </c>
      <c r="Z230" s="31">
        <v>208266.98</v>
      </c>
      <c r="AA230" s="31">
        <v>116158.2</v>
      </c>
      <c r="AB230" s="31">
        <v>69202.489999999991</v>
      </c>
      <c r="AC230" s="31">
        <v>529161.68999999994</v>
      </c>
      <c r="AD230" s="31">
        <v>503717.23485515255</v>
      </c>
      <c r="AE230" s="31">
        <v>120586.90000000001</v>
      </c>
      <c r="AF230" s="31">
        <v>4614741.4748551529</v>
      </c>
      <c r="AH230" s="276"/>
      <c r="AI230" s="276"/>
      <c r="AJ230" s="276"/>
      <c r="AK230" s="276"/>
      <c r="AL230" s="276"/>
      <c r="AM230" s="276"/>
      <c r="AN230" s="276"/>
      <c r="AO230" s="276"/>
      <c r="AP230" s="276"/>
      <c r="AQ230" s="276"/>
      <c r="AR230" s="276"/>
      <c r="AS230" s="276"/>
      <c r="AT230" s="276"/>
      <c r="AU230" s="276"/>
      <c r="AV230" s="276"/>
      <c r="AW230" s="394"/>
    </row>
    <row r="231" spans="1:49">
      <c r="A231" s="88">
        <v>222</v>
      </c>
      <c r="B231" s="88" t="s">
        <v>1927</v>
      </c>
      <c r="C231" s="31">
        <v>0</v>
      </c>
      <c r="D231" s="31">
        <v>0</v>
      </c>
      <c r="E231" s="31">
        <v>0</v>
      </c>
      <c r="F231" s="31">
        <v>0</v>
      </c>
      <c r="G231" s="31">
        <v>0</v>
      </c>
      <c r="H231" s="31">
        <v>0</v>
      </c>
      <c r="I231" s="31">
        <v>0</v>
      </c>
      <c r="J231" s="31">
        <v>0</v>
      </c>
      <c r="K231" s="31">
        <v>0</v>
      </c>
      <c r="L231" s="31">
        <v>0</v>
      </c>
      <c r="M231" s="31">
        <v>0</v>
      </c>
      <c r="N231" s="31">
        <v>1</v>
      </c>
      <c r="O231" s="31">
        <v>0</v>
      </c>
      <c r="P231" s="31">
        <v>0</v>
      </c>
      <c r="Q231" s="31">
        <v>1</v>
      </c>
      <c r="R231" s="150">
        <v>1</v>
      </c>
      <c r="S231" s="88">
        <v>0</v>
      </c>
      <c r="U231" s="31">
        <v>368.04</v>
      </c>
      <c r="V231" s="31">
        <v>664.72</v>
      </c>
      <c r="W231" s="31">
        <v>6705.5</v>
      </c>
      <c r="X231" s="31">
        <v>468.48</v>
      </c>
      <c r="Y231" s="31">
        <v>209.61</v>
      </c>
      <c r="Z231" s="31">
        <v>1235.22</v>
      </c>
      <c r="AA231" s="31">
        <v>370.08</v>
      </c>
      <c r="AB231" s="31">
        <v>498.5</v>
      </c>
      <c r="AC231" s="31">
        <v>1665.1</v>
      </c>
      <c r="AD231" s="31">
        <v>1231.5833435895474</v>
      </c>
      <c r="AE231" s="31">
        <v>0</v>
      </c>
      <c r="AF231" s="31">
        <v>13416.833343589547</v>
      </c>
      <c r="AH231" s="276"/>
      <c r="AI231" s="276"/>
      <c r="AJ231" s="276"/>
      <c r="AK231" s="276"/>
      <c r="AL231" s="276"/>
      <c r="AM231" s="276"/>
      <c r="AN231" s="276"/>
      <c r="AO231" s="276"/>
      <c r="AP231" s="276"/>
      <c r="AQ231" s="276"/>
      <c r="AR231" s="276"/>
      <c r="AS231" s="276"/>
      <c r="AT231" s="276"/>
      <c r="AU231" s="276"/>
      <c r="AV231" s="276"/>
      <c r="AW231" s="394"/>
    </row>
    <row r="232" spans="1:49">
      <c r="A232" s="88">
        <v>223</v>
      </c>
      <c r="B232" s="88" t="s">
        <v>1928</v>
      </c>
      <c r="C232" s="31">
        <v>76</v>
      </c>
      <c r="D232" s="31">
        <v>0</v>
      </c>
      <c r="E232" s="31">
        <v>80</v>
      </c>
      <c r="F232" s="31">
        <v>411</v>
      </c>
      <c r="G232" s="31">
        <v>74</v>
      </c>
      <c r="H232" s="31">
        <v>0</v>
      </c>
      <c r="I232" s="31">
        <v>22</v>
      </c>
      <c r="J232" s="31">
        <v>6</v>
      </c>
      <c r="K232" s="31">
        <v>0</v>
      </c>
      <c r="L232" s="31">
        <v>0</v>
      </c>
      <c r="M232" s="31">
        <v>10</v>
      </c>
      <c r="N232" s="31">
        <v>2</v>
      </c>
      <c r="O232" s="31">
        <v>352</v>
      </c>
      <c r="P232" s="31">
        <v>0</v>
      </c>
      <c r="Q232" s="31">
        <v>615</v>
      </c>
      <c r="R232" s="150">
        <v>1</v>
      </c>
      <c r="S232" s="88">
        <v>10</v>
      </c>
      <c r="U232" s="31">
        <v>297469.56000000006</v>
      </c>
      <c r="V232" s="31">
        <v>408803.56000000006</v>
      </c>
      <c r="W232" s="31">
        <v>3206139.95</v>
      </c>
      <c r="X232" s="31">
        <v>634774.78</v>
      </c>
      <c r="Y232" s="31">
        <v>109770.88</v>
      </c>
      <c r="Z232" s="31">
        <v>280660.00999999995</v>
      </c>
      <c r="AA232" s="31">
        <v>142865.25</v>
      </c>
      <c r="AB232" s="31">
        <v>83124.47</v>
      </c>
      <c r="AC232" s="31">
        <v>770705.11999999988</v>
      </c>
      <c r="AD232" s="31">
        <v>722538.14051726833</v>
      </c>
      <c r="AE232" s="31">
        <v>144704.28</v>
      </c>
      <c r="AF232" s="31">
        <v>6801556.0005172687</v>
      </c>
      <c r="AH232" s="276"/>
      <c r="AI232" s="276"/>
      <c r="AJ232" s="276"/>
      <c r="AK232" s="276"/>
      <c r="AL232" s="276"/>
      <c r="AM232" s="276"/>
      <c r="AN232" s="276"/>
      <c r="AO232" s="276"/>
      <c r="AP232" s="276"/>
      <c r="AQ232" s="276"/>
      <c r="AR232" s="276"/>
      <c r="AS232" s="276"/>
      <c r="AT232" s="276"/>
      <c r="AU232" s="276"/>
      <c r="AV232" s="276"/>
      <c r="AW232" s="394"/>
    </row>
    <row r="233" spans="1:49">
      <c r="A233" s="88">
        <v>224</v>
      </c>
      <c r="B233" s="88" t="s">
        <v>1929</v>
      </c>
      <c r="C233" s="31">
        <v>3</v>
      </c>
      <c r="D233" s="31">
        <v>0</v>
      </c>
      <c r="E233" s="31">
        <v>36</v>
      </c>
      <c r="F233" s="31">
        <v>175</v>
      </c>
      <c r="G233" s="31">
        <v>0</v>
      </c>
      <c r="H233" s="31">
        <v>0</v>
      </c>
      <c r="I233" s="31">
        <v>8</v>
      </c>
      <c r="J233" s="31">
        <v>2</v>
      </c>
      <c r="K233" s="31">
        <v>0</v>
      </c>
      <c r="L233" s="31">
        <v>0</v>
      </c>
      <c r="M233" s="31">
        <v>7</v>
      </c>
      <c r="N233" s="31">
        <v>0</v>
      </c>
      <c r="O233" s="31">
        <v>67</v>
      </c>
      <c r="P233" s="31">
        <v>0</v>
      </c>
      <c r="Q233" s="31">
        <v>220</v>
      </c>
      <c r="R233" s="150">
        <v>1</v>
      </c>
      <c r="S233" s="88">
        <v>7</v>
      </c>
      <c r="U233" s="31">
        <v>106186.31</v>
      </c>
      <c r="V233" s="31">
        <v>145906.07</v>
      </c>
      <c r="W233" s="31">
        <v>959705.28</v>
      </c>
      <c r="X233" s="31">
        <v>233181.06</v>
      </c>
      <c r="Y233" s="31">
        <v>34692.42</v>
      </c>
      <c r="Z233" s="31">
        <v>99655.8</v>
      </c>
      <c r="AA233" s="31">
        <v>49196.94</v>
      </c>
      <c r="AB233" s="31">
        <v>27396.639999999999</v>
      </c>
      <c r="AC233" s="31">
        <v>243447.08000000002</v>
      </c>
      <c r="AD233" s="31">
        <v>238800.14846482596</v>
      </c>
      <c r="AE233" s="31">
        <v>48234.76</v>
      </c>
      <c r="AF233" s="31">
        <v>2186402.5084648258</v>
      </c>
      <c r="AH233" s="276"/>
      <c r="AI233" s="276"/>
      <c r="AJ233" s="276"/>
      <c r="AK233" s="276"/>
      <c r="AL233" s="276"/>
      <c r="AM233" s="276"/>
      <c r="AN233" s="276"/>
      <c r="AO233" s="276"/>
      <c r="AP233" s="276"/>
      <c r="AQ233" s="276"/>
      <c r="AR233" s="276"/>
      <c r="AS233" s="276"/>
      <c r="AT233" s="276"/>
      <c r="AU233" s="276"/>
      <c r="AV233" s="276"/>
      <c r="AW233" s="394"/>
    </row>
    <row r="234" spans="1:49">
      <c r="A234" s="88">
        <v>225</v>
      </c>
      <c r="B234" s="88" t="s">
        <v>1930</v>
      </c>
      <c r="C234" s="31">
        <v>0</v>
      </c>
      <c r="D234" s="31">
        <v>0</v>
      </c>
      <c r="E234" s="31">
        <v>0</v>
      </c>
      <c r="F234" s="31">
        <v>0</v>
      </c>
      <c r="G234" s="31">
        <v>0</v>
      </c>
      <c r="H234" s="31">
        <v>0</v>
      </c>
      <c r="I234" s="31">
        <v>0</v>
      </c>
      <c r="J234" s="31">
        <v>0</v>
      </c>
      <c r="K234" s="31">
        <v>0</v>
      </c>
      <c r="L234" s="31">
        <v>0</v>
      </c>
      <c r="M234" s="31">
        <v>0</v>
      </c>
      <c r="N234" s="31">
        <v>0</v>
      </c>
      <c r="O234" s="31">
        <v>0</v>
      </c>
      <c r="P234" s="31">
        <v>0</v>
      </c>
      <c r="Q234" s="31">
        <v>0</v>
      </c>
      <c r="R234" s="150">
        <v>1</v>
      </c>
      <c r="S234" s="88">
        <v>0</v>
      </c>
      <c r="U234" s="31">
        <v>0</v>
      </c>
      <c r="V234" s="31">
        <v>0</v>
      </c>
      <c r="W234" s="31">
        <v>0</v>
      </c>
      <c r="X234" s="31">
        <v>0</v>
      </c>
      <c r="Y234" s="31">
        <v>0</v>
      </c>
      <c r="Z234" s="31">
        <v>0</v>
      </c>
      <c r="AA234" s="31">
        <v>0</v>
      </c>
      <c r="AB234" s="31">
        <v>0</v>
      </c>
      <c r="AC234" s="31">
        <v>0</v>
      </c>
      <c r="AD234" s="31">
        <v>0</v>
      </c>
      <c r="AE234" s="31">
        <v>0</v>
      </c>
      <c r="AF234" s="31">
        <v>0</v>
      </c>
      <c r="AH234" s="276"/>
      <c r="AI234" s="276"/>
      <c r="AJ234" s="276"/>
      <c r="AK234" s="276"/>
      <c r="AL234" s="276"/>
      <c r="AM234" s="276"/>
      <c r="AN234" s="276"/>
      <c r="AO234" s="276"/>
      <c r="AP234" s="276"/>
      <c r="AQ234" s="276"/>
      <c r="AR234" s="276"/>
      <c r="AS234" s="276"/>
      <c r="AT234" s="276"/>
      <c r="AU234" s="276"/>
      <c r="AV234" s="276"/>
      <c r="AW234" s="394"/>
    </row>
    <row r="235" spans="1:49">
      <c r="A235" s="88">
        <v>226</v>
      </c>
      <c r="B235" s="88" t="s">
        <v>1931</v>
      </c>
      <c r="C235" s="31">
        <v>23</v>
      </c>
      <c r="D235" s="31">
        <v>0</v>
      </c>
      <c r="E235" s="31">
        <v>148</v>
      </c>
      <c r="F235" s="31">
        <v>713</v>
      </c>
      <c r="G235" s="31">
        <v>441</v>
      </c>
      <c r="H235" s="31">
        <v>464</v>
      </c>
      <c r="I235" s="31">
        <v>66</v>
      </c>
      <c r="J235" s="31">
        <v>18</v>
      </c>
      <c r="K235" s="31">
        <v>0</v>
      </c>
      <c r="L235" s="31">
        <v>0</v>
      </c>
      <c r="M235" s="31">
        <v>7</v>
      </c>
      <c r="N235" s="31">
        <v>0</v>
      </c>
      <c r="O235" s="31">
        <v>646</v>
      </c>
      <c r="P235" s="31">
        <v>0</v>
      </c>
      <c r="Q235" s="31">
        <v>1785</v>
      </c>
      <c r="R235" s="150">
        <v>1</v>
      </c>
      <c r="S235" s="88">
        <v>8</v>
      </c>
      <c r="U235" s="31">
        <v>870140.21000000008</v>
      </c>
      <c r="V235" s="31">
        <v>1186193.07</v>
      </c>
      <c r="W235" s="31">
        <v>8330230.0299999993</v>
      </c>
      <c r="X235" s="31">
        <v>1669198.0300000003</v>
      </c>
      <c r="Y235" s="31">
        <v>295171.46999999997</v>
      </c>
      <c r="Z235" s="31">
        <v>933345.81</v>
      </c>
      <c r="AA235" s="31">
        <v>497491.58999999997</v>
      </c>
      <c r="AB235" s="31">
        <v>436005.2</v>
      </c>
      <c r="AC235" s="31">
        <v>2071325</v>
      </c>
      <c r="AD235" s="31">
        <v>1935123.9600246241</v>
      </c>
      <c r="AE235" s="31">
        <v>434112.84</v>
      </c>
      <c r="AF235" s="31">
        <v>18658337.210024625</v>
      </c>
      <c r="AH235" s="276"/>
      <c r="AI235" s="276"/>
      <c r="AJ235" s="276"/>
      <c r="AK235" s="276"/>
      <c r="AL235" s="276"/>
      <c r="AM235" s="276"/>
      <c r="AN235" s="276"/>
      <c r="AO235" s="276"/>
      <c r="AP235" s="276"/>
      <c r="AQ235" s="276"/>
      <c r="AR235" s="276"/>
      <c r="AS235" s="276"/>
      <c r="AT235" s="276"/>
      <c r="AU235" s="276"/>
      <c r="AV235" s="276"/>
      <c r="AW235" s="394"/>
    </row>
    <row r="236" spans="1:49">
      <c r="A236" s="88">
        <v>227</v>
      </c>
      <c r="B236" s="88" t="s">
        <v>1932</v>
      </c>
      <c r="C236" s="31">
        <v>25</v>
      </c>
      <c r="D236" s="31">
        <v>0</v>
      </c>
      <c r="E236" s="31">
        <v>119</v>
      </c>
      <c r="F236" s="31">
        <v>546</v>
      </c>
      <c r="G236" s="31">
        <v>402</v>
      </c>
      <c r="H236" s="31">
        <v>389</v>
      </c>
      <c r="I236" s="31">
        <v>56</v>
      </c>
      <c r="J236" s="31">
        <v>15</v>
      </c>
      <c r="K236" s="31">
        <v>0</v>
      </c>
      <c r="L236" s="31">
        <v>0</v>
      </c>
      <c r="M236" s="31">
        <v>26</v>
      </c>
      <c r="N236" s="31">
        <v>0</v>
      </c>
      <c r="O236" s="31">
        <v>600</v>
      </c>
      <c r="P236" s="31">
        <v>0</v>
      </c>
      <c r="Q236" s="31">
        <v>1495</v>
      </c>
      <c r="R236" s="150">
        <v>1</v>
      </c>
      <c r="S236" s="88">
        <v>9</v>
      </c>
      <c r="U236" s="31">
        <v>730386.68</v>
      </c>
      <c r="V236" s="31">
        <v>993424.29</v>
      </c>
      <c r="W236" s="31">
        <v>7210256.2499999991</v>
      </c>
      <c r="X236" s="31">
        <v>1393176.13</v>
      </c>
      <c r="Y236" s="31">
        <v>253267.41</v>
      </c>
      <c r="Z236" s="31">
        <v>782030.62</v>
      </c>
      <c r="AA236" s="31">
        <v>420581.91</v>
      </c>
      <c r="AB236" s="31">
        <v>368128.12</v>
      </c>
      <c r="AC236" s="31">
        <v>1777304.56</v>
      </c>
      <c r="AD236" s="31">
        <v>1647067.4455272988</v>
      </c>
      <c r="AE236" s="31">
        <v>361760.7</v>
      </c>
      <c r="AF236" s="31">
        <v>15937384.115527295</v>
      </c>
      <c r="AH236" s="276"/>
      <c r="AI236" s="276"/>
      <c r="AJ236" s="276"/>
      <c r="AK236" s="276"/>
      <c r="AL236" s="276"/>
      <c r="AM236" s="276"/>
      <c r="AN236" s="276"/>
      <c r="AO236" s="276"/>
      <c r="AP236" s="276"/>
      <c r="AQ236" s="276"/>
      <c r="AR236" s="276"/>
      <c r="AS236" s="276"/>
      <c r="AT236" s="276"/>
      <c r="AU236" s="276"/>
      <c r="AV236" s="276"/>
      <c r="AW236" s="394"/>
    </row>
    <row r="237" spans="1:49">
      <c r="A237" s="88">
        <v>228</v>
      </c>
      <c r="B237" s="88" t="s">
        <v>1933</v>
      </c>
      <c r="C237" s="31">
        <v>0</v>
      </c>
      <c r="D237" s="31">
        <v>0</v>
      </c>
      <c r="E237" s="31">
        <v>0</v>
      </c>
      <c r="F237" s="31">
        <v>0</v>
      </c>
      <c r="G237" s="31">
        <v>0</v>
      </c>
      <c r="H237" s="31">
        <v>0</v>
      </c>
      <c r="I237" s="31">
        <v>0</v>
      </c>
      <c r="J237" s="31">
        <v>0</v>
      </c>
      <c r="K237" s="31">
        <v>0</v>
      </c>
      <c r="L237" s="31">
        <v>0</v>
      </c>
      <c r="M237" s="31">
        <v>0</v>
      </c>
      <c r="N237" s="31">
        <v>0</v>
      </c>
      <c r="O237" s="31">
        <v>0</v>
      </c>
      <c r="P237" s="31">
        <v>0</v>
      </c>
      <c r="Q237" s="31">
        <v>0</v>
      </c>
      <c r="R237" s="150">
        <v>1</v>
      </c>
      <c r="S237" s="88">
        <v>0</v>
      </c>
      <c r="U237" s="31">
        <v>0</v>
      </c>
      <c r="V237" s="31">
        <v>0</v>
      </c>
      <c r="W237" s="31">
        <v>0</v>
      </c>
      <c r="X237" s="31">
        <v>0</v>
      </c>
      <c r="Y237" s="31">
        <v>0</v>
      </c>
      <c r="Z237" s="31">
        <v>0</v>
      </c>
      <c r="AA237" s="31">
        <v>0</v>
      </c>
      <c r="AB237" s="31">
        <v>0</v>
      </c>
      <c r="AC237" s="31">
        <v>0</v>
      </c>
      <c r="AD237" s="31">
        <v>0</v>
      </c>
      <c r="AE237" s="31">
        <v>0</v>
      </c>
      <c r="AF237" s="31">
        <v>0</v>
      </c>
      <c r="AH237" s="276"/>
      <c r="AI237" s="276"/>
      <c r="AJ237" s="276"/>
      <c r="AK237" s="276"/>
      <c r="AL237" s="276"/>
      <c r="AM237" s="276"/>
      <c r="AN237" s="276"/>
      <c r="AO237" s="276"/>
      <c r="AP237" s="276"/>
      <c r="AQ237" s="276"/>
      <c r="AR237" s="276"/>
      <c r="AS237" s="276"/>
      <c r="AT237" s="276"/>
      <c r="AU237" s="276"/>
      <c r="AV237" s="276"/>
      <c r="AW237" s="394"/>
    </row>
    <row r="238" spans="1:49">
      <c r="A238" s="88">
        <v>229</v>
      </c>
      <c r="B238" s="88" t="s">
        <v>1934</v>
      </c>
      <c r="C238" s="31">
        <v>271</v>
      </c>
      <c r="D238" s="31">
        <v>3</v>
      </c>
      <c r="E238" s="31">
        <v>445</v>
      </c>
      <c r="F238" s="31">
        <v>2082</v>
      </c>
      <c r="G238" s="31">
        <v>1280</v>
      </c>
      <c r="H238" s="31">
        <v>1142</v>
      </c>
      <c r="I238" s="31">
        <v>220</v>
      </c>
      <c r="J238" s="31">
        <v>53</v>
      </c>
      <c r="K238" s="31">
        <v>0</v>
      </c>
      <c r="L238" s="31">
        <v>0</v>
      </c>
      <c r="M238" s="31">
        <v>391</v>
      </c>
      <c r="N238" s="31">
        <v>414</v>
      </c>
      <c r="O238" s="31">
        <v>2025</v>
      </c>
      <c r="P238" s="31">
        <v>0</v>
      </c>
      <c r="Q238" s="31">
        <v>5892</v>
      </c>
      <c r="R238" s="150">
        <v>1</v>
      </c>
      <c r="S238" s="88">
        <v>8</v>
      </c>
      <c r="U238" s="31">
        <v>2861587.3300000005</v>
      </c>
      <c r="V238" s="31">
        <v>3915868.2600000002</v>
      </c>
      <c r="W238" s="31">
        <v>28969008.580000002</v>
      </c>
      <c r="X238" s="31">
        <v>5499989.5099999998</v>
      </c>
      <c r="Y238" s="31">
        <v>1016020.63</v>
      </c>
      <c r="Z238" s="31">
        <v>3307490.8</v>
      </c>
      <c r="AA238" s="31">
        <v>1660018.2599999998</v>
      </c>
      <c r="AB238" s="31">
        <v>1431028.1500000001</v>
      </c>
      <c r="AC238" s="31">
        <v>7210285.4199999999</v>
      </c>
      <c r="AD238" s="31">
        <v>6599947.6741885068</v>
      </c>
      <c r="AE238" s="31">
        <v>1278221.1400000001</v>
      </c>
      <c r="AF238" s="31">
        <v>63749465.754188508</v>
      </c>
      <c r="AH238" s="276"/>
      <c r="AI238" s="276"/>
      <c r="AJ238" s="276"/>
      <c r="AK238" s="276"/>
      <c r="AL238" s="276"/>
      <c r="AM238" s="276"/>
      <c r="AN238" s="276"/>
      <c r="AO238" s="276"/>
      <c r="AP238" s="276"/>
      <c r="AQ238" s="276"/>
      <c r="AR238" s="276"/>
      <c r="AS238" s="276"/>
      <c r="AT238" s="276"/>
      <c r="AU238" s="276"/>
      <c r="AV238" s="276"/>
      <c r="AW238" s="394"/>
    </row>
    <row r="239" spans="1:49">
      <c r="A239" s="88">
        <v>230</v>
      </c>
      <c r="B239" s="88" t="s">
        <v>1935</v>
      </c>
      <c r="C239" s="31">
        <v>0</v>
      </c>
      <c r="D239" s="31">
        <v>0</v>
      </c>
      <c r="E239" s="31">
        <v>16</v>
      </c>
      <c r="F239" s="31">
        <v>58</v>
      </c>
      <c r="G239" s="31">
        <v>7</v>
      </c>
      <c r="H239" s="31">
        <v>0</v>
      </c>
      <c r="I239" s="31">
        <v>3</v>
      </c>
      <c r="J239" s="31">
        <v>1</v>
      </c>
      <c r="K239" s="31">
        <v>0</v>
      </c>
      <c r="L239" s="31">
        <v>0</v>
      </c>
      <c r="M239" s="31">
        <v>0</v>
      </c>
      <c r="N239" s="31">
        <v>0</v>
      </c>
      <c r="O239" s="31">
        <v>30</v>
      </c>
      <c r="P239" s="31">
        <v>0</v>
      </c>
      <c r="Q239" s="31">
        <v>81</v>
      </c>
      <c r="R239" s="150">
        <v>1</v>
      </c>
      <c r="S239" s="88">
        <v>8</v>
      </c>
      <c r="U239" s="31">
        <v>39971.840000000004</v>
      </c>
      <c r="V239" s="31">
        <v>53842.32</v>
      </c>
      <c r="W239" s="31">
        <v>365715.61</v>
      </c>
      <c r="X239" s="31">
        <v>85304.739999999991</v>
      </c>
      <c r="Y239" s="31">
        <v>13172.2</v>
      </c>
      <c r="Z239" s="31">
        <v>36791.910000000003</v>
      </c>
      <c r="AA239" s="31">
        <v>18479.07</v>
      </c>
      <c r="AB239" s="31">
        <v>10601.4</v>
      </c>
      <c r="AC239" s="31">
        <v>92432.36</v>
      </c>
      <c r="AD239" s="31">
        <v>89591.751766761226</v>
      </c>
      <c r="AE239" s="31">
        <v>24117.38</v>
      </c>
      <c r="AF239" s="31">
        <v>830020.58176676114</v>
      </c>
      <c r="AH239" s="276"/>
      <c r="AI239" s="276"/>
      <c r="AJ239" s="276"/>
      <c r="AK239" s="276"/>
      <c r="AL239" s="276"/>
      <c r="AM239" s="276"/>
      <c r="AN239" s="276"/>
      <c r="AO239" s="276"/>
      <c r="AP239" s="276"/>
      <c r="AQ239" s="276"/>
      <c r="AR239" s="276"/>
      <c r="AS239" s="276"/>
      <c r="AT239" s="276"/>
      <c r="AU239" s="276"/>
      <c r="AV239" s="276"/>
      <c r="AW239" s="394"/>
    </row>
    <row r="240" spans="1:49">
      <c r="A240" s="88">
        <v>231</v>
      </c>
      <c r="B240" s="88" t="s">
        <v>1936</v>
      </c>
      <c r="C240" s="31">
        <v>9</v>
      </c>
      <c r="D240" s="31">
        <v>146</v>
      </c>
      <c r="E240" s="31">
        <v>16</v>
      </c>
      <c r="F240" s="31">
        <v>1064</v>
      </c>
      <c r="G240" s="31">
        <v>773</v>
      </c>
      <c r="H240" s="31">
        <v>1000</v>
      </c>
      <c r="I240" s="31">
        <v>113</v>
      </c>
      <c r="J240" s="31">
        <v>29</v>
      </c>
      <c r="K240" s="31">
        <v>1</v>
      </c>
      <c r="L240" s="31">
        <v>1</v>
      </c>
      <c r="M240" s="31">
        <v>17</v>
      </c>
      <c r="N240" s="31">
        <v>55</v>
      </c>
      <c r="O240" s="31">
        <v>436</v>
      </c>
      <c r="P240" s="31">
        <v>0</v>
      </c>
      <c r="Q240" s="31">
        <v>3005</v>
      </c>
      <c r="R240" s="150">
        <v>1.0329999999999999</v>
      </c>
      <c r="S240" s="88">
        <v>3</v>
      </c>
      <c r="U240" s="31">
        <v>1514492.6939899998</v>
      </c>
      <c r="V240" s="31">
        <v>2062372.1969700002</v>
      </c>
      <c r="W240" s="31">
        <v>12679136.633129999</v>
      </c>
      <c r="X240" s="31">
        <v>2820933.3205399998</v>
      </c>
      <c r="Y240" s="31">
        <v>471972.51433999994</v>
      </c>
      <c r="Z240" s="31">
        <v>1673248.62</v>
      </c>
      <c r="AA240" s="31">
        <v>909743.36969999992</v>
      </c>
      <c r="AB240" s="31">
        <v>872342.33410999994</v>
      </c>
      <c r="AC240" s="31">
        <v>3323058.2268299996</v>
      </c>
      <c r="AD240" s="31">
        <v>3050097.8399654934</v>
      </c>
      <c r="AE240" s="31">
        <v>699404.02</v>
      </c>
      <c r="AF240" s="31">
        <v>30076801.769575488</v>
      </c>
      <c r="AH240" s="276"/>
      <c r="AI240" s="276"/>
      <c r="AJ240" s="276"/>
      <c r="AK240" s="276"/>
      <c r="AL240" s="276"/>
      <c r="AM240" s="276"/>
      <c r="AN240" s="276"/>
      <c r="AO240" s="276"/>
      <c r="AP240" s="276"/>
      <c r="AQ240" s="276"/>
      <c r="AR240" s="276"/>
      <c r="AS240" s="276"/>
      <c r="AT240" s="276"/>
      <c r="AU240" s="276"/>
      <c r="AV240" s="276"/>
      <c r="AW240" s="394"/>
    </row>
    <row r="241" spans="1:49">
      <c r="A241" s="88">
        <v>232</v>
      </c>
      <c r="B241" s="88" t="s">
        <v>1937</v>
      </c>
      <c r="C241" s="31">
        <v>0</v>
      </c>
      <c r="D241" s="31">
        <v>0</v>
      </c>
      <c r="E241" s="31">
        <v>0</v>
      </c>
      <c r="F241" s="31">
        <v>0</v>
      </c>
      <c r="G241" s="31">
        <v>0</v>
      </c>
      <c r="H241" s="31">
        <v>0</v>
      </c>
      <c r="I241" s="31">
        <v>0</v>
      </c>
      <c r="J241" s="31">
        <v>0</v>
      </c>
      <c r="K241" s="31">
        <v>0</v>
      </c>
      <c r="L241" s="31">
        <v>0</v>
      </c>
      <c r="M241" s="31">
        <v>0</v>
      </c>
      <c r="N241" s="31">
        <v>0</v>
      </c>
      <c r="O241" s="31">
        <v>0</v>
      </c>
      <c r="P241" s="31">
        <v>0</v>
      </c>
      <c r="Q241" s="31">
        <v>0</v>
      </c>
      <c r="R241" s="150">
        <v>1</v>
      </c>
      <c r="S241" s="88">
        <v>0</v>
      </c>
      <c r="U241" s="31">
        <v>0</v>
      </c>
      <c r="V241" s="31">
        <v>0</v>
      </c>
      <c r="W241" s="31">
        <v>0</v>
      </c>
      <c r="X241" s="31">
        <v>0</v>
      </c>
      <c r="Y241" s="31">
        <v>0</v>
      </c>
      <c r="Z241" s="31">
        <v>0</v>
      </c>
      <c r="AA241" s="31">
        <v>0</v>
      </c>
      <c r="AB241" s="31">
        <v>0</v>
      </c>
      <c r="AC241" s="31">
        <v>0</v>
      </c>
      <c r="AD241" s="31">
        <v>0</v>
      </c>
      <c r="AE241" s="31">
        <v>0</v>
      </c>
      <c r="AF241" s="31">
        <v>0</v>
      </c>
      <c r="AH241" s="276"/>
      <c r="AI241" s="276"/>
      <c r="AJ241" s="276"/>
      <c r="AK241" s="276"/>
      <c r="AL241" s="276"/>
      <c r="AM241" s="276"/>
      <c r="AN241" s="276"/>
      <c r="AO241" s="276"/>
      <c r="AP241" s="276"/>
      <c r="AQ241" s="276"/>
      <c r="AR241" s="276"/>
      <c r="AS241" s="276"/>
      <c r="AT241" s="276"/>
      <c r="AU241" s="276"/>
      <c r="AV241" s="276"/>
      <c r="AW241" s="394"/>
    </row>
    <row r="242" spans="1:49">
      <c r="A242" s="88">
        <v>233</v>
      </c>
      <c r="B242" s="88" t="s">
        <v>1938</v>
      </c>
      <c r="C242" s="31">
        <v>0</v>
      </c>
      <c r="D242" s="31">
        <v>0</v>
      </c>
      <c r="E242" s="31">
        <v>0</v>
      </c>
      <c r="F242" s="31">
        <v>0</v>
      </c>
      <c r="G242" s="31">
        <v>0</v>
      </c>
      <c r="H242" s="31">
        <v>0</v>
      </c>
      <c r="I242" s="31">
        <v>0</v>
      </c>
      <c r="J242" s="31">
        <v>0</v>
      </c>
      <c r="K242" s="31">
        <v>0</v>
      </c>
      <c r="L242" s="31">
        <v>0</v>
      </c>
      <c r="M242" s="31">
        <v>0</v>
      </c>
      <c r="N242" s="31">
        <v>8</v>
      </c>
      <c r="O242" s="31">
        <v>0</v>
      </c>
      <c r="P242" s="31">
        <v>0</v>
      </c>
      <c r="Q242" s="31">
        <v>8</v>
      </c>
      <c r="R242" s="150">
        <v>1</v>
      </c>
      <c r="S242" s="88">
        <v>0</v>
      </c>
      <c r="U242" s="31">
        <v>2944.32</v>
      </c>
      <c r="V242" s="31">
        <v>5317.76</v>
      </c>
      <c r="W242" s="31">
        <v>53644</v>
      </c>
      <c r="X242" s="31">
        <v>3747.84</v>
      </c>
      <c r="Y242" s="31">
        <v>1676.88</v>
      </c>
      <c r="Z242" s="31">
        <v>9881.76</v>
      </c>
      <c r="AA242" s="31">
        <v>2960.64</v>
      </c>
      <c r="AB242" s="31">
        <v>3988</v>
      </c>
      <c r="AC242" s="31">
        <v>13320.8</v>
      </c>
      <c r="AD242" s="31">
        <v>9852.6667487163795</v>
      </c>
      <c r="AE242" s="31">
        <v>0</v>
      </c>
      <c r="AF242" s="31">
        <v>107334.66674871638</v>
      </c>
      <c r="AH242" s="276"/>
      <c r="AI242" s="276"/>
      <c r="AJ242" s="276"/>
      <c r="AK242" s="276"/>
      <c r="AL242" s="276"/>
      <c r="AM242" s="276"/>
      <c r="AN242" s="276"/>
      <c r="AO242" s="276"/>
      <c r="AP242" s="276"/>
      <c r="AQ242" s="276"/>
      <c r="AR242" s="276"/>
      <c r="AS242" s="276"/>
      <c r="AT242" s="276"/>
      <c r="AU242" s="276"/>
      <c r="AV242" s="276"/>
      <c r="AW242" s="394"/>
    </row>
    <row r="243" spans="1:49">
      <c r="A243" s="88">
        <v>234</v>
      </c>
      <c r="B243" s="88" t="s">
        <v>1939</v>
      </c>
      <c r="C243" s="31">
        <v>0</v>
      </c>
      <c r="D243" s="31">
        <v>0</v>
      </c>
      <c r="E243" s="31">
        <v>15</v>
      </c>
      <c r="F243" s="31">
        <v>44</v>
      </c>
      <c r="G243" s="31">
        <v>11</v>
      </c>
      <c r="H243" s="31">
        <v>0</v>
      </c>
      <c r="I243" s="31">
        <v>3</v>
      </c>
      <c r="J243" s="31">
        <v>1</v>
      </c>
      <c r="K243" s="31">
        <v>0</v>
      </c>
      <c r="L243" s="31">
        <v>0</v>
      </c>
      <c r="M243" s="31">
        <v>0</v>
      </c>
      <c r="N243" s="31">
        <v>0</v>
      </c>
      <c r="O243" s="31">
        <v>23</v>
      </c>
      <c r="P243" s="31">
        <v>0</v>
      </c>
      <c r="Q243" s="31">
        <v>70</v>
      </c>
      <c r="R243" s="150">
        <v>1</v>
      </c>
      <c r="S243" s="88">
        <v>7</v>
      </c>
      <c r="U243" s="31">
        <v>35923.4</v>
      </c>
      <c r="V243" s="31">
        <v>46530.400000000001</v>
      </c>
      <c r="W243" s="31">
        <v>307539.78999999998</v>
      </c>
      <c r="X243" s="31">
        <v>75829.56</v>
      </c>
      <c r="Y243" s="31">
        <v>11375.590000000002</v>
      </c>
      <c r="Z243" s="31">
        <v>31939.26</v>
      </c>
      <c r="AA243" s="31">
        <v>16333.140000000001</v>
      </c>
      <c r="AB243" s="31">
        <v>9524.98</v>
      </c>
      <c r="AC243" s="31">
        <v>79826.349999999991</v>
      </c>
      <c r="AD243" s="31">
        <v>77689.336023441021</v>
      </c>
      <c r="AE243" s="31">
        <v>24117.38</v>
      </c>
      <c r="AF243" s="31">
        <v>716629.18602344103</v>
      </c>
      <c r="AH243" s="276"/>
      <c r="AI243" s="276"/>
      <c r="AJ243" s="276"/>
      <c r="AK243" s="276"/>
      <c r="AL243" s="276"/>
      <c r="AM243" s="276"/>
      <c r="AN243" s="276"/>
      <c r="AO243" s="276"/>
      <c r="AP243" s="276"/>
      <c r="AQ243" s="276"/>
      <c r="AR243" s="276"/>
      <c r="AS243" s="276"/>
      <c r="AT243" s="276"/>
      <c r="AU243" s="276"/>
      <c r="AV243" s="276"/>
      <c r="AW243" s="394"/>
    </row>
    <row r="244" spans="1:49">
      <c r="A244" s="88">
        <v>235</v>
      </c>
      <c r="B244" s="88" t="s">
        <v>1940</v>
      </c>
      <c r="C244" s="31">
        <v>0</v>
      </c>
      <c r="D244" s="31">
        <v>0</v>
      </c>
      <c r="E244" s="31">
        <v>0</v>
      </c>
      <c r="F244" s="31">
        <v>0</v>
      </c>
      <c r="G244" s="31">
        <v>0</v>
      </c>
      <c r="H244" s="31">
        <v>0</v>
      </c>
      <c r="I244" s="31">
        <v>0</v>
      </c>
      <c r="J244" s="31">
        <v>0</v>
      </c>
      <c r="K244" s="31">
        <v>0</v>
      </c>
      <c r="L244" s="31">
        <v>0</v>
      </c>
      <c r="M244" s="31">
        <v>0</v>
      </c>
      <c r="N244" s="31">
        <v>0</v>
      </c>
      <c r="O244" s="31">
        <v>0</v>
      </c>
      <c r="P244" s="31">
        <v>0</v>
      </c>
      <c r="Q244" s="31">
        <v>0</v>
      </c>
      <c r="R244" s="150">
        <v>1</v>
      </c>
      <c r="S244" s="88">
        <v>0</v>
      </c>
      <c r="U244" s="31">
        <v>0</v>
      </c>
      <c r="V244" s="31">
        <v>0</v>
      </c>
      <c r="W244" s="31">
        <v>0</v>
      </c>
      <c r="X244" s="31">
        <v>0</v>
      </c>
      <c r="Y244" s="31">
        <v>0</v>
      </c>
      <c r="Z244" s="31">
        <v>0</v>
      </c>
      <c r="AA244" s="31">
        <v>0</v>
      </c>
      <c r="AB244" s="31">
        <v>0</v>
      </c>
      <c r="AC244" s="31">
        <v>0</v>
      </c>
      <c r="AD244" s="31">
        <v>0</v>
      </c>
      <c r="AE244" s="31">
        <v>0</v>
      </c>
      <c r="AF244" s="31">
        <v>0</v>
      </c>
      <c r="AH244" s="276"/>
      <c r="AI244" s="276"/>
      <c r="AJ244" s="276"/>
      <c r="AK244" s="276"/>
      <c r="AL244" s="276"/>
      <c r="AM244" s="276"/>
      <c r="AN244" s="276"/>
      <c r="AO244" s="276"/>
      <c r="AP244" s="276"/>
      <c r="AQ244" s="276"/>
      <c r="AR244" s="276"/>
      <c r="AS244" s="276"/>
      <c r="AT244" s="276"/>
      <c r="AU244" s="276"/>
      <c r="AV244" s="276"/>
      <c r="AW244" s="394"/>
    </row>
    <row r="245" spans="1:49">
      <c r="A245" s="88">
        <v>236</v>
      </c>
      <c r="B245" s="88" t="s">
        <v>1941</v>
      </c>
      <c r="C245" s="31">
        <v>160</v>
      </c>
      <c r="D245" s="31">
        <v>0</v>
      </c>
      <c r="E245" s="31">
        <v>436</v>
      </c>
      <c r="F245" s="31">
        <v>2164</v>
      </c>
      <c r="G245" s="31">
        <v>1362</v>
      </c>
      <c r="H245" s="31">
        <v>1398</v>
      </c>
      <c r="I245" s="31">
        <v>226</v>
      </c>
      <c r="J245" s="31">
        <v>56</v>
      </c>
      <c r="K245" s="31">
        <v>1</v>
      </c>
      <c r="L245" s="31">
        <v>0</v>
      </c>
      <c r="M245" s="31">
        <v>253</v>
      </c>
      <c r="N245" s="31">
        <v>332</v>
      </c>
      <c r="O245" s="31">
        <v>2947</v>
      </c>
      <c r="P245" s="31">
        <v>0</v>
      </c>
      <c r="Q245" s="31">
        <v>6026</v>
      </c>
      <c r="R245" s="150">
        <v>1</v>
      </c>
      <c r="S245" s="88">
        <v>10</v>
      </c>
      <c r="U245" s="31">
        <v>2933948.94</v>
      </c>
      <c r="V245" s="31">
        <v>4005271.9700000007</v>
      </c>
      <c r="W245" s="31">
        <v>32261288.609999999</v>
      </c>
      <c r="X245" s="31">
        <v>5601281.9200000009</v>
      </c>
      <c r="Y245" s="31">
        <v>1093121.83</v>
      </c>
      <c r="Z245" s="31">
        <v>3371591.8900000006</v>
      </c>
      <c r="AA245" s="31">
        <v>1711577.25</v>
      </c>
      <c r="AB245" s="31">
        <v>1522326.92</v>
      </c>
      <c r="AC245" s="31">
        <v>7735433.1499999985</v>
      </c>
      <c r="AD245" s="31">
        <v>6984542.0137639595</v>
      </c>
      <c r="AE245" s="31">
        <v>1350573.28</v>
      </c>
      <c r="AF245" s="31">
        <v>68570957.773763955</v>
      </c>
      <c r="AH245" s="276"/>
      <c r="AI245" s="276"/>
      <c r="AJ245" s="276"/>
      <c r="AK245" s="276"/>
      <c r="AL245" s="276"/>
      <c r="AM245" s="276"/>
      <c r="AN245" s="276"/>
      <c r="AO245" s="276"/>
      <c r="AP245" s="276"/>
      <c r="AQ245" s="276"/>
      <c r="AR245" s="276"/>
      <c r="AS245" s="276"/>
      <c r="AT245" s="276"/>
      <c r="AU245" s="276"/>
      <c r="AV245" s="276"/>
      <c r="AW245" s="394"/>
    </row>
    <row r="246" spans="1:49">
      <c r="A246" s="88">
        <v>237</v>
      </c>
      <c r="B246" s="88" t="s">
        <v>1942</v>
      </c>
      <c r="C246" s="31">
        <v>0</v>
      </c>
      <c r="D246" s="31">
        <v>0</v>
      </c>
      <c r="E246" s="31">
        <v>0</v>
      </c>
      <c r="F246" s="31">
        <v>0</v>
      </c>
      <c r="G246" s="31">
        <v>0</v>
      </c>
      <c r="H246" s="31">
        <v>0</v>
      </c>
      <c r="I246" s="31">
        <v>0</v>
      </c>
      <c r="J246" s="31">
        <v>0</v>
      </c>
      <c r="K246" s="31">
        <v>0</v>
      </c>
      <c r="L246" s="31">
        <v>0</v>
      </c>
      <c r="M246" s="31">
        <v>0</v>
      </c>
      <c r="N246" s="31">
        <v>3</v>
      </c>
      <c r="O246" s="31">
        <v>0</v>
      </c>
      <c r="P246" s="31">
        <v>0</v>
      </c>
      <c r="Q246" s="31">
        <v>3</v>
      </c>
      <c r="R246" s="150">
        <v>1</v>
      </c>
      <c r="S246" s="88">
        <v>0</v>
      </c>
      <c r="U246" s="31">
        <v>1104.1200000000001</v>
      </c>
      <c r="V246" s="31">
        <v>1994.16</v>
      </c>
      <c r="W246" s="31">
        <v>20116.5</v>
      </c>
      <c r="X246" s="31">
        <v>1405.44</v>
      </c>
      <c r="Y246" s="31">
        <v>628.83000000000004</v>
      </c>
      <c r="Z246" s="31">
        <v>3705.66</v>
      </c>
      <c r="AA246" s="31">
        <v>1110.24</v>
      </c>
      <c r="AB246" s="31">
        <v>1495.5</v>
      </c>
      <c r="AC246" s="31">
        <v>4995.2999999999993</v>
      </c>
      <c r="AD246" s="31">
        <v>3694.7500307686423</v>
      </c>
      <c r="AE246" s="31">
        <v>0</v>
      </c>
      <c r="AF246" s="31">
        <v>40250.500030768642</v>
      </c>
      <c r="AH246" s="276"/>
      <c r="AI246" s="276"/>
      <c r="AJ246" s="276"/>
      <c r="AK246" s="276"/>
      <c r="AL246" s="276"/>
      <c r="AM246" s="276"/>
      <c r="AN246" s="276"/>
      <c r="AO246" s="276"/>
      <c r="AP246" s="276"/>
      <c r="AQ246" s="276"/>
      <c r="AR246" s="276"/>
      <c r="AS246" s="276"/>
      <c r="AT246" s="276"/>
      <c r="AU246" s="276"/>
      <c r="AV246" s="276"/>
      <c r="AW246" s="394"/>
    </row>
    <row r="247" spans="1:49">
      <c r="A247" s="88">
        <v>238</v>
      </c>
      <c r="B247" s="88" t="s">
        <v>1943</v>
      </c>
      <c r="C247" s="31">
        <v>21</v>
      </c>
      <c r="D247" s="31">
        <v>0</v>
      </c>
      <c r="E247" s="31">
        <v>90</v>
      </c>
      <c r="F247" s="31">
        <v>474</v>
      </c>
      <c r="G247" s="31">
        <v>98</v>
      </c>
      <c r="H247" s="31">
        <v>0</v>
      </c>
      <c r="I247" s="31">
        <v>26</v>
      </c>
      <c r="J247" s="31">
        <v>7</v>
      </c>
      <c r="K247" s="31">
        <v>1</v>
      </c>
      <c r="L247" s="31">
        <v>0</v>
      </c>
      <c r="M247" s="31">
        <v>27</v>
      </c>
      <c r="N247" s="31">
        <v>0</v>
      </c>
      <c r="O247" s="31">
        <v>133</v>
      </c>
      <c r="P247" s="31">
        <v>0</v>
      </c>
      <c r="Q247" s="31">
        <v>701</v>
      </c>
      <c r="R247" s="150">
        <v>1</v>
      </c>
      <c r="S247" s="88">
        <v>4</v>
      </c>
      <c r="U247" s="31">
        <v>341453.18</v>
      </c>
      <c r="V247" s="31">
        <v>465304.22000000003</v>
      </c>
      <c r="W247" s="31">
        <v>2767917.1500000004</v>
      </c>
      <c r="X247" s="31">
        <v>725194.85000000009</v>
      </c>
      <c r="Y247" s="31">
        <v>106130.59999999999</v>
      </c>
      <c r="Z247" s="31">
        <v>317981.02999999997</v>
      </c>
      <c r="AA247" s="31">
        <v>164469.38999999998</v>
      </c>
      <c r="AB247" s="31">
        <v>96426.859999999986</v>
      </c>
      <c r="AC247" s="31">
        <v>744753.38000000012</v>
      </c>
      <c r="AD247" s="31">
        <v>735740.92308466742</v>
      </c>
      <c r="AE247" s="31">
        <v>168821.66</v>
      </c>
      <c r="AF247" s="31">
        <v>6634193.2430846673</v>
      </c>
      <c r="AH247" s="276"/>
      <c r="AI247" s="276"/>
      <c r="AJ247" s="276"/>
      <c r="AK247" s="276"/>
      <c r="AL247" s="276"/>
      <c r="AM247" s="276"/>
      <c r="AN247" s="276"/>
      <c r="AO247" s="276"/>
      <c r="AP247" s="276"/>
      <c r="AQ247" s="276"/>
      <c r="AR247" s="276"/>
      <c r="AS247" s="276"/>
      <c r="AT247" s="276"/>
      <c r="AU247" s="276"/>
      <c r="AV247" s="276"/>
      <c r="AW247" s="394"/>
    </row>
    <row r="248" spans="1:49">
      <c r="A248" s="88">
        <v>239</v>
      </c>
      <c r="B248" s="88" t="s">
        <v>1944</v>
      </c>
      <c r="C248" s="31">
        <v>121</v>
      </c>
      <c r="D248" s="31">
        <v>1</v>
      </c>
      <c r="E248" s="31">
        <v>511</v>
      </c>
      <c r="F248" s="31">
        <v>2933</v>
      </c>
      <c r="G248" s="31">
        <v>1930</v>
      </c>
      <c r="H248" s="31">
        <v>2048</v>
      </c>
      <c r="I248" s="31">
        <v>312</v>
      </c>
      <c r="J248" s="31">
        <v>75</v>
      </c>
      <c r="K248" s="31">
        <v>0</v>
      </c>
      <c r="L248" s="31">
        <v>0</v>
      </c>
      <c r="M248" s="31">
        <v>74</v>
      </c>
      <c r="N248" s="31">
        <v>654</v>
      </c>
      <c r="O248" s="31">
        <v>2073</v>
      </c>
      <c r="P248" s="31">
        <v>0</v>
      </c>
      <c r="Q248" s="31">
        <v>8212</v>
      </c>
      <c r="R248" s="150">
        <v>1.0349999999999999</v>
      </c>
      <c r="S248" s="88">
        <v>6</v>
      </c>
      <c r="U248" s="31">
        <v>4145191.2598499996</v>
      </c>
      <c r="V248" s="31">
        <v>5649047.7399000004</v>
      </c>
      <c r="W248" s="31">
        <v>39120386.449049994</v>
      </c>
      <c r="X248" s="31">
        <v>7848181.6987499995</v>
      </c>
      <c r="Y248" s="31">
        <v>1400937.52905</v>
      </c>
      <c r="Z248" s="31">
        <v>4793821.6800000006</v>
      </c>
      <c r="AA248" s="31">
        <v>2451883.1219999995</v>
      </c>
      <c r="AB248" s="31">
        <v>2290063.4491499998</v>
      </c>
      <c r="AC248" s="31">
        <v>9962444.4880499989</v>
      </c>
      <c r="AD248" s="31">
        <v>8878925.6135434918</v>
      </c>
      <c r="AE248" s="31">
        <v>1808803.5</v>
      </c>
      <c r="AF248" s="31">
        <v>88349686.529343486</v>
      </c>
      <c r="AH248" s="276"/>
      <c r="AI248" s="276"/>
      <c r="AJ248" s="276"/>
      <c r="AK248" s="276"/>
      <c r="AL248" s="276"/>
      <c r="AM248" s="276"/>
      <c r="AN248" s="276"/>
      <c r="AO248" s="276"/>
      <c r="AP248" s="276"/>
      <c r="AQ248" s="276"/>
      <c r="AR248" s="276"/>
      <c r="AS248" s="276"/>
      <c r="AT248" s="276"/>
      <c r="AU248" s="276"/>
      <c r="AV248" s="276"/>
      <c r="AW248" s="394"/>
    </row>
    <row r="249" spans="1:49">
      <c r="A249" s="88">
        <v>240</v>
      </c>
      <c r="B249" s="88" t="s">
        <v>1945</v>
      </c>
      <c r="C249" s="31">
        <v>0</v>
      </c>
      <c r="D249" s="31">
        <v>0</v>
      </c>
      <c r="E249" s="31">
        <v>29</v>
      </c>
      <c r="F249" s="31">
        <v>149</v>
      </c>
      <c r="G249" s="31">
        <v>35</v>
      </c>
      <c r="H249" s="31">
        <v>1</v>
      </c>
      <c r="I249" s="31">
        <v>8</v>
      </c>
      <c r="J249" s="31">
        <v>2</v>
      </c>
      <c r="K249" s="31">
        <v>0</v>
      </c>
      <c r="L249" s="31">
        <v>0</v>
      </c>
      <c r="M249" s="31">
        <v>0</v>
      </c>
      <c r="N249" s="31">
        <v>7</v>
      </c>
      <c r="O249" s="31">
        <v>43</v>
      </c>
      <c r="P249" s="31">
        <v>0</v>
      </c>
      <c r="Q249" s="31">
        <v>221</v>
      </c>
      <c r="R249" s="150">
        <v>1.056</v>
      </c>
      <c r="S249" s="88">
        <v>4</v>
      </c>
      <c r="U249" s="31">
        <v>112715.68704000002</v>
      </c>
      <c r="V249" s="31">
        <v>155129.69472000003</v>
      </c>
      <c r="W249" s="31">
        <v>936522.40704000008</v>
      </c>
      <c r="X249" s="31">
        <v>237894.50784000001</v>
      </c>
      <c r="Y249" s="31">
        <v>35683.72896</v>
      </c>
      <c r="Z249" s="31">
        <v>106140.69999999998</v>
      </c>
      <c r="AA249" s="31">
        <v>55727.559359999999</v>
      </c>
      <c r="AB249" s="31">
        <v>35728.080959999999</v>
      </c>
      <c r="AC249" s="31">
        <v>251836.85472</v>
      </c>
      <c r="AD249" s="31">
        <v>232972.4080803766</v>
      </c>
      <c r="AE249" s="31">
        <v>48234.76</v>
      </c>
      <c r="AF249" s="31">
        <v>2208586.3887203764</v>
      </c>
      <c r="AH249" s="276"/>
      <c r="AI249" s="276"/>
      <c r="AJ249" s="276"/>
      <c r="AK249" s="276"/>
      <c r="AL249" s="276"/>
      <c r="AM249" s="276"/>
      <c r="AN249" s="276"/>
      <c r="AO249" s="276"/>
      <c r="AP249" s="276"/>
      <c r="AQ249" s="276"/>
      <c r="AR249" s="276"/>
      <c r="AS249" s="276"/>
      <c r="AT249" s="276"/>
      <c r="AU249" s="276"/>
      <c r="AV249" s="276"/>
      <c r="AW249" s="394"/>
    </row>
    <row r="250" spans="1:49">
      <c r="A250" s="88">
        <v>241</v>
      </c>
      <c r="B250" s="88" t="s">
        <v>1946</v>
      </c>
      <c r="C250" s="31">
        <v>0</v>
      </c>
      <c r="D250" s="31">
        <v>0</v>
      </c>
      <c r="E250" s="31">
        <v>0</v>
      </c>
      <c r="F250" s="31">
        <v>0</v>
      </c>
      <c r="G250" s="31">
        <v>0</v>
      </c>
      <c r="H250" s="31">
        <v>0</v>
      </c>
      <c r="I250" s="31">
        <v>0</v>
      </c>
      <c r="J250" s="31">
        <v>0</v>
      </c>
      <c r="K250" s="31">
        <v>0</v>
      </c>
      <c r="L250" s="31">
        <v>0</v>
      </c>
      <c r="M250" s="31">
        <v>0</v>
      </c>
      <c r="N250" s="31">
        <v>0</v>
      </c>
      <c r="O250" s="31">
        <v>0</v>
      </c>
      <c r="P250" s="31">
        <v>0</v>
      </c>
      <c r="Q250" s="31">
        <v>0</v>
      </c>
      <c r="R250" s="150">
        <v>1</v>
      </c>
      <c r="S250" s="88">
        <v>0</v>
      </c>
      <c r="U250" s="31">
        <v>0</v>
      </c>
      <c r="V250" s="31">
        <v>0</v>
      </c>
      <c r="W250" s="31">
        <v>0</v>
      </c>
      <c r="X250" s="31">
        <v>0</v>
      </c>
      <c r="Y250" s="31">
        <v>0</v>
      </c>
      <c r="Z250" s="31">
        <v>0</v>
      </c>
      <c r="AA250" s="31">
        <v>0</v>
      </c>
      <c r="AB250" s="31">
        <v>0</v>
      </c>
      <c r="AC250" s="31">
        <v>0</v>
      </c>
      <c r="AD250" s="31">
        <v>0</v>
      </c>
      <c r="AE250" s="31">
        <v>0</v>
      </c>
      <c r="AF250" s="31">
        <v>0</v>
      </c>
      <c r="AH250" s="276"/>
      <c r="AI250" s="276"/>
      <c r="AJ250" s="276"/>
      <c r="AK250" s="276"/>
      <c r="AL250" s="276"/>
      <c r="AM250" s="276"/>
      <c r="AN250" s="276"/>
      <c r="AO250" s="276"/>
      <c r="AP250" s="276"/>
      <c r="AQ250" s="276"/>
      <c r="AR250" s="276"/>
      <c r="AS250" s="276"/>
      <c r="AT250" s="276"/>
      <c r="AU250" s="276"/>
      <c r="AV250" s="276"/>
      <c r="AW250" s="394"/>
    </row>
    <row r="251" spans="1:49">
      <c r="A251" s="88">
        <v>242</v>
      </c>
      <c r="B251" s="88" t="s">
        <v>1947</v>
      </c>
      <c r="C251" s="31">
        <v>0</v>
      </c>
      <c r="D251" s="31">
        <v>0</v>
      </c>
      <c r="E251" s="31">
        <v>1</v>
      </c>
      <c r="F251" s="31">
        <v>34</v>
      </c>
      <c r="G251" s="31">
        <v>23</v>
      </c>
      <c r="H251" s="31">
        <v>38</v>
      </c>
      <c r="I251" s="31">
        <v>4</v>
      </c>
      <c r="J251" s="31">
        <v>1</v>
      </c>
      <c r="K251" s="31">
        <v>0</v>
      </c>
      <c r="L251" s="31">
        <v>0</v>
      </c>
      <c r="M251" s="31">
        <v>19</v>
      </c>
      <c r="N251" s="31">
        <v>0</v>
      </c>
      <c r="O251" s="31">
        <v>55</v>
      </c>
      <c r="P251" s="31">
        <v>0</v>
      </c>
      <c r="Q251" s="31">
        <v>115</v>
      </c>
      <c r="R251" s="150">
        <v>1</v>
      </c>
      <c r="S251" s="88">
        <v>10</v>
      </c>
      <c r="U251" s="31">
        <v>55025.35</v>
      </c>
      <c r="V251" s="31">
        <v>76442.8</v>
      </c>
      <c r="W251" s="31">
        <v>618933.38000000012</v>
      </c>
      <c r="X251" s="31">
        <v>101325.34000000001</v>
      </c>
      <c r="Y251" s="31">
        <v>20726.099999999999</v>
      </c>
      <c r="Z251" s="31">
        <v>62202.53</v>
      </c>
      <c r="AA251" s="31">
        <v>34225.35</v>
      </c>
      <c r="AB251" s="31">
        <v>31017.93</v>
      </c>
      <c r="AC251" s="31">
        <v>145446.59</v>
      </c>
      <c r="AD251" s="31">
        <v>131071.5607840289</v>
      </c>
      <c r="AE251" s="31">
        <v>24117.38</v>
      </c>
      <c r="AF251" s="31">
        <v>1300534.3107840288</v>
      </c>
      <c r="AH251" s="276"/>
      <c r="AI251" s="276"/>
      <c r="AJ251" s="276"/>
      <c r="AK251" s="276"/>
      <c r="AL251" s="276"/>
      <c r="AM251" s="276"/>
      <c r="AN251" s="276"/>
      <c r="AO251" s="276"/>
      <c r="AP251" s="276"/>
      <c r="AQ251" s="276"/>
      <c r="AR251" s="276"/>
      <c r="AS251" s="276"/>
      <c r="AT251" s="276"/>
      <c r="AU251" s="276"/>
      <c r="AV251" s="276"/>
      <c r="AW251" s="394"/>
    </row>
    <row r="252" spans="1:49">
      <c r="A252" s="88">
        <v>243</v>
      </c>
      <c r="B252" s="88" t="s">
        <v>1948</v>
      </c>
      <c r="C252" s="31">
        <v>302</v>
      </c>
      <c r="D252" s="31">
        <v>0</v>
      </c>
      <c r="E252" s="31">
        <v>561</v>
      </c>
      <c r="F252" s="31">
        <v>2767</v>
      </c>
      <c r="G252" s="31">
        <v>1890</v>
      </c>
      <c r="H252" s="31">
        <v>1333</v>
      </c>
      <c r="I252" s="31">
        <v>357</v>
      </c>
      <c r="J252" s="31">
        <v>79</v>
      </c>
      <c r="K252" s="31">
        <v>0</v>
      </c>
      <c r="L252" s="31">
        <v>0</v>
      </c>
      <c r="M252" s="31">
        <v>1365</v>
      </c>
      <c r="N252" s="31">
        <v>1254</v>
      </c>
      <c r="O252" s="31">
        <v>3840</v>
      </c>
      <c r="P252" s="31">
        <v>0</v>
      </c>
      <c r="Q252" s="31">
        <v>9321</v>
      </c>
      <c r="R252" s="150">
        <v>1.048</v>
      </c>
      <c r="S252" s="88">
        <v>9</v>
      </c>
      <c r="U252" s="31">
        <v>4755833.7044800008</v>
      </c>
      <c r="V252" s="31">
        <v>6493259.33072</v>
      </c>
      <c r="W252" s="31">
        <v>53488876.013839997</v>
      </c>
      <c r="X252" s="31">
        <v>9060355.3370400015</v>
      </c>
      <c r="Y252" s="31">
        <v>1823090.3619200001</v>
      </c>
      <c r="Z252" s="31">
        <v>5586561.9800000004</v>
      </c>
      <c r="AA252" s="31">
        <v>2819092.2175199999</v>
      </c>
      <c r="AB252" s="31">
        <v>2418669.4955200003</v>
      </c>
      <c r="AC252" s="31">
        <v>13048937.541440001</v>
      </c>
      <c r="AD252" s="31">
        <v>11065545.004203243</v>
      </c>
      <c r="AE252" s="31">
        <v>1905273.02</v>
      </c>
      <c r="AF252" s="31">
        <v>112465494.00668323</v>
      </c>
      <c r="AH252" s="276"/>
      <c r="AI252" s="276"/>
      <c r="AJ252" s="276"/>
      <c r="AK252" s="276"/>
      <c r="AL252" s="276"/>
      <c r="AM252" s="276"/>
      <c r="AN252" s="276"/>
      <c r="AO252" s="276"/>
      <c r="AP252" s="276"/>
      <c r="AQ252" s="276"/>
      <c r="AR252" s="276"/>
      <c r="AS252" s="276"/>
      <c r="AT252" s="276"/>
      <c r="AU252" s="276"/>
      <c r="AV252" s="276"/>
      <c r="AW252" s="394"/>
    </row>
    <row r="253" spans="1:49">
      <c r="A253" s="88">
        <v>244</v>
      </c>
      <c r="B253" s="88" t="s">
        <v>1949</v>
      </c>
      <c r="C253" s="31">
        <v>80</v>
      </c>
      <c r="D253" s="31">
        <v>0</v>
      </c>
      <c r="E253" s="31">
        <v>172</v>
      </c>
      <c r="F253" s="31">
        <v>1165</v>
      </c>
      <c r="G253" s="31">
        <v>701</v>
      </c>
      <c r="H253" s="31">
        <v>786</v>
      </c>
      <c r="I253" s="31">
        <v>121</v>
      </c>
      <c r="J253" s="31">
        <v>32</v>
      </c>
      <c r="K253" s="31">
        <v>0</v>
      </c>
      <c r="L253" s="31">
        <v>0</v>
      </c>
      <c r="M253" s="31">
        <v>402</v>
      </c>
      <c r="N253" s="31">
        <v>0</v>
      </c>
      <c r="O253" s="31">
        <v>1462</v>
      </c>
      <c r="P253" s="31">
        <v>0</v>
      </c>
      <c r="Q253" s="31">
        <v>3266</v>
      </c>
      <c r="R253" s="150">
        <v>1.0349999999999999</v>
      </c>
      <c r="S253" s="88">
        <v>9</v>
      </c>
      <c r="U253" s="31">
        <v>1646335.5736500002</v>
      </c>
      <c r="V253" s="31">
        <v>2246960.4911999996</v>
      </c>
      <c r="W253" s="31">
        <v>17360838.4122</v>
      </c>
      <c r="X253" s="31">
        <v>3144978.6241499996</v>
      </c>
      <c r="Y253" s="31">
        <v>596362.03200000001</v>
      </c>
      <c r="Z253" s="31">
        <v>1691553.8199999998</v>
      </c>
      <c r="AA253" s="31">
        <v>954192.58199999982</v>
      </c>
      <c r="AB253" s="31">
        <v>796392.0418499998</v>
      </c>
      <c r="AC253" s="31">
        <v>4185028.6065000002</v>
      </c>
      <c r="AD253" s="31">
        <v>3706287.5956309061</v>
      </c>
      <c r="AE253" s="31">
        <v>771756.16</v>
      </c>
      <c r="AF253" s="31">
        <v>37100685.939180903</v>
      </c>
      <c r="AH253" s="276"/>
      <c r="AI253" s="276"/>
      <c r="AJ253" s="276"/>
      <c r="AK253" s="276"/>
      <c r="AL253" s="276"/>
      <c r="AM253" s="276"/>
      <c r="AN253" s="276"/>
      <c r="AO253" s="276"/>
      <c r="AP253" s="276"/>
      <c r="AQ253" s="276"/>
      <c r="AR253" s="276"/>
      <c r="AS253" s="276"/>
      <c r="AT253" s="276"/>
      <c r="AU253" s="276"/>
      <c r="AV253" s="276"/>
      <c r="AW253" s="394"/>
    </row>
    <row r="254" spans="1:49">
      <c r="A254" s="88">
        <v>245</v>
      </c>
      <c r="B254" s="88" t="s">
        <v>1950</v>
      </c>
      <c r="C254" s="31">
        <v>0</v>
      </c>
      <c r="D254" s="31">
        <v>0</v>
      </c>
      <c r="E254" s="31">
        <v>0</v>
      </c>
      <c r="F254" s="31">
        <v>0</v>
      </c>
      <c r="G254" s="31">
        <v>0</v>
      </c>
      <c r="H254" s="31">
        <v>0</v>
      </c>
      <c r="I254" s="31">
        <v>0</v>
      </c>
      <c r="J254" s="31">
        <v>0</v>
      </c>
      <c r="K254" s="31">
        <v>0</v>
      </c>
      <c r="L254" s="31">
        <v>0</v>
      </c>
      <c r="M254" s="31">
        <v>0</v>
      </c>
      <c r="N254" s="31">
        <v>0</v>
      </c>
      <c r="O254" s="31">
        <v>0</v>
      </c>
      <c r="P254" s="31">
        <v>0</v>
      </c>
      <c r="Q254" s="31">
        <v>0</v>
      </c>
      <c r="R254" s="150">
        <v>1</v>
      </c>
      <c r="S254" s="88">
        <v>0</v>
      </c>
      <c r="U254" s="31">
        <v>0</v>
      </c>
      <c r="V254" s="31">
        <v>0</v>
      </c>
      <c r="W254" s="31">
        <v>0</v>
      </c>
      <c r="X254" s="31">
        <v>0</v>
      </c>
      <c r="Y254" s="31">
        <v>0</v>
      </c>
      <c r="Z254" s="31">
        <v>0</v>
      </c>
      <c r="AA254" s="31">
        <v>0</v>
      </c>
      <c r="AB254" s="31">
        <v>0</v>
      </c>
      <c r="AC254" s="31">
        <v>0</v>
      </c>
      <c r="AD254" s="31">
        <v>0</v>
      </c>
      <c r="AE254" s="31">
        <v>0</v>
      </c>
      <c r="AF254" s="31">
        <v>0</v>
      </c>
      <c r="AH254" s="276"/>
      <c r="AI254" s="276"/>
      <c r="AJ254" s="276"/>
      <c r="AK254" s="276"/>
      <c r="AL254" s="276"/>
      <c r="AM254" s="276"/>
      <c r="AN254" s="276"/>
      <c r="AO254" s="276"/>
      <c r="AP254" s="276"/>
      <c r="AQ254" s="276"/>
      <c r="AR254" s="276"/>
      <c r="AS254" s="276"/>
      <c r="AT254" s="276"/>
      <c r="AU254" s="276"/>
      <c r="AV254" s="276"/>
      <c r="AW254" s="394"/>
    </row>
    <row r="255" spans="1:49">
      <c r="A255" s="88">
        <v>246</v>
      </c>
      <c r="B255" s="88" t="s">
        <v>1951</v>
      </c>
      <c r="C255" s="31">
        <v>33</v>
      </c>
      <c r="D255" s="31">
        <v>233</v>
      </c>
      <c r="E255" s="31">
        <v>25</v>
      </c>
      <c r="F255" s="31">
        <v>1647</v>
      </c>
      <c r="G255" s="31">
        <v>1039</v>
      </c>
      <c r="H255" s="31">
        <v>1301</v>
      </c>
      <c r="I255" s="31">
        <v>156</v>
      </c>
      <c r="J255" s="31">
        <v>42</v>
      </c>
      <c r="K255" s="31">
        <v>0</v>
      </c>
      <c r="L255" s="31">
        <v>9</v>
      </c>
      <c r="M255" s="31">
        <v>37</v>
      </c>
      <c r="N255" s="31">
        <v>3</v>
      </c>
      <c r="O255" s="31">
        <v>365</v>
      </c>
      <c r="P255" s="31">
        <v>0</v>
      </c>
      <c r="Q255" s="31">
        <v>4191</v>
      </c>
      <c r="R255" s="150">
        <v>1.028</v>
      </c>
      <c r="S255" s="88">
        <v>2</v>
      </c>
      <c r="U255" s="31">
        <v>2102112.09136</v>
      </c>
      <c r="V255" s="31">
        <v>2862822.9113200004</v>
      </c>
      <c r="W255" s="31">
        <v>16488980.006959999</v>
      </c>
      <c r="X255" s="31">
        <v>3962983.5769200004</v>
      </c>
      <c r="Y255" s="31">
        <v>630407.29675999994</v>
      </c>
      <c r="Z255" s="31">
        <v>2250011.73</v>
      </c>
      <c r="AA255" s="31">
        <v>1235560.56048</v>
      </c>
      <c r="AB255" s="31">
        <v>1143202.3574000001</v>
      </c>
      <c r="AC255" s="31">
        <v>4424448.5518400008</v>
      </c>
      <c r="AD255" s="31">
        <v>4155161.8174722739</v>
      </c>
      <c r="AE255" s="31">
        <v>1012929.9600000001</v>
      </c>
      <c r="AF255" s="31">
        <v>40268620.860512272</v>
      </c>
      <c r="AH255" s="276"/>
      <c r="AI255" s="276"/>
      <c r="AJ255" s="276"/>
      <c r="AK255" s="276"/>
      <c r="AL255" s="276"/>
      <c r="AM255" s="276"/>
      <c r="AN255" s="276"/>
      <c r="AO255" s="276"/>
      <c r="AP255" s="276"/>
      <c r="AQ255" s="276"/>
      <c r="AR255" s="276"/>
      <c r="AS255" s="276"/>
      <c r="AT255" s="276"/>
      <c r="AU255" s="276"/>
      <c r="AV255" s="276"/>
      <c r="AW255" s="394"/>
    </row>
    <row r="256" spans="1:49">
      <c r="A256" s="88">
        <v>247</v>
      </c>
      <c r="B256" s="88" t="s">
        <v>1952</v>
      </c>
      <c r="C256" s="31">
        <v>0</v>
      </c>
      <c r="D256" s="31">
        <v>0</v>
      </c>
      <c r="E256" s="31">
        <v>0</v>
      </c>
      <c r="F256" s="31">
        <v>0</v>
      </c>
      <c r="G256" s="31">
        <v>0</v>
      </c>
      <c r="H256" s="31">
        <v>0</v>
      </c>
      <c r="I256" s="31">
        <v>0</v>
      </c>
      <c r="J256" s="31">
        <v>0</v>
      </c>
      <c r="K256" s="31">
        <v>0</v>
      </c>
      <c r="L256" s="31">
        <v>0</v>
      </c>
      <c r="M256" s="31">
        <v>0</v>
      </c>
      <c r="N256" s="31">
        <v>0</v>
      </c>
      <c r="O256" s="31">
        <v>0</v>
      </c>
      <c r="P256" s="31">
        <v>0</v>
      </c>
      <c r="Q256" s="31">
        <v>0</v>
      </c>
      <c r="R256" s="150">
        <v>1</v>
      </c>
      <c r="S256" s="88">
        <v>0</v>
      </c>
      <c r="U256" s="31">
        <v>0</v>
      </c>
      <c r="V256" s="31">
        <v>0</v>
      </c>
      <c r="W256" s="31">
        <v>0</v>
      </c>
      <c r="X256" s="31">
        <v>0</v>
      </c>
      <c r="Y256" s="31">
        <v>0</v>
      </c>
      <c r="Z256" s="31">
        <v>0</v>
      </c>
      <c r="AA256" s="31">
        <v>0</v>
      </c>
      <c r="AB256" s="31">
        <v>0</v>
      </c>
      <c r="AC256" s="31">
        <v>0</v>
      </c>
      <c r="AD256" s="31">
        <v>0</v>
      </c>
      <c r="AE256" s="31">
        <v>0</v>
      </c>
      <c r="AF256" s="31">
        <v>0</v>
      </c>
      <c r="AH256" s="276"/>
      <c r="AI256" s="276"/>
      <c r="AJ256" s="276"/>
      <c r="AK256" s="276"/>
      <c r="AL256" s="276"/>
      <c r="AM256" s="276"/>
      <c r="AN256" s="276"/>
      <c r="AO256" s="276"/>
      <c r="AP256" s="276"/>
      <c r="AQ256" s="276"/>
      <c r="AR256" s="276"/>
      <c r="AS256" s="276"/>
      <c r="AT256" s="276"/>
      <c r="AU256" s="276"/>
      <c r="AV256" s="276"/>
      <c r="AW256" s="394"/>
    </row>
    <row r="257" spans="1:49">
      <c r="A257" s="88">
        <v>248</v>
      </c>
      <c r="B257" s="88" t="s">
        <v>1953</v>
      </c>
      <c r="C257" s="31">
        <v>110</v>
      </c>
      <c r="D257" s="31">
        <v>0</v>
      </c>
      <c r="E257" s="31">
        <v>341</v>
      </c>
      <c r="F257" s="31">
        <v>2324</v>
      </c>
      <c r="G257" s="31">
        <v>1607</v>
      </c>
      <c r="H257" s="31">
        <v>1838</v>
      </c>
      <c r="I257" s="31">
        <v>285</v>
      </c>
      <c r="J257" s="31">
        <v>76</v>
      </c>
      <c r="K257" s="31">
        <v>0</v>
      </c>
      <c r="L257" s="31">
        <v>0</v>
      </c>
      <c r="M257" s="31">
        <v>1488</v>
      </c>
      <c r="N257" s="31">
        <v>2</v>
      </c>
      <c r="O257" s="31">
        <v>3588</v>
      </c>
      <c r="P257" s="31">
        <v>0</v>
      </c>
      <c r="Q257" s="31">
        <v>7655</v>
      </c>
      <c r="R257" s="150">
        <v>1.026</v>
      </c>
      <c r="S257" s="88">
        <v>9</v>
      </c>
      <c r="U257" s="31">
        <v>3831434.3277000003</v>
      </c>
      <c r="V257" s="31">
        <v>5220731.9502000017</v>
      </c>
      <c r="W257" s="31">
        <v>41766248.785319991</v>
      </c>
      <c r="X257" s="31">
        <v>7239585.59406</v>
      </c>
      <c r="Y257" s="31">
        <v>1421666.1680399999</v>
      </c>
      <c r="Z257" s="31">
        <v>3965692.7400000007</v>
      </c>
      <c r="AA257" s="31">
        <v>2255097.9312000005</v>
      </c>
      <c r="AB257" s="31">
        <v>1851006.9078000002</v>
      </c>
      <c r="AC257" s="31">
        <v>9977160.8358000014</v>
      </c>
      <c r="AD257" s="31">
        <v>8834018.4499674626</v>
      </c>
      <c r="AE257" s="31">
        <v>1832920.8800000001</v>
      </c>
      <c r="AF257" s="31">
        <v>88195564.570087463</v>
      </c>
      <c r="AH257" s="276"/>
      <c r="AI257" s="276"/>
      <c r="AJ257" s="276"/>
      <c r="AK257" s="276"/>
      <c r="AL257" s="276"/>
      <c r="AM257" s="276"/>
      <c r="AN257" s="276"/>
      <c r="AO257" s="276"/>
      <c r="AP257" s="276"/>
      <c r="AQ257" s="276"/>
      <c r="AR257" s="276"/>
      <c r="AS257" s="276"/>
      <c r="AT257" s="276"/>
      <c r="AU257" s="276"/>
      <c r="AV257" s="276"/>
      <c r="AW257" s="394"/>
    </row>
    <row r="258" spans="1:49">
      <c r="A258" s="88">
        <v>249</v>
      </c>
      <c r="B258" s="88" t="s">
        <v>1954</v>
      </c>
      <c r="C258" s="31">
        <v>0</v>
      </c>
      <c r="D258" s="31">
        <v>0</v>
      </c>
      <c r="E258" s="31">
        <v>8</v>
      </c>
      <c r="F258" s="31">
        <v>45</v>
      </c>
      <c r="G258" s="31">
        <v>23</v>
      </c>
      <c r="H258" s="31">
        <v>42</v>
      </c>
      <c r="I258" s="31">
        <v>4</v>
      </c>
      <c r="J258" s="31">
        <v>1</v>
      </c>
      <c r="K258" s="31">
        <v>0</v>
      </c>
      <c r="L258" s="31">
        <v>0</v>
      </c>
      <c r="M258" s="31">
        <v>0</v>
      </c>
      <c r="N258" s="31">
        <v>5</v>
      </c>
      <c r="O258" s="31">
        <v>35</v>
      </c>
      <c r="P258" s="31">
        <v>0</v>
      </c>
      <c r="Q258" s="31">
        <v>123</v>
      </c>
      <c r="R258" s="150">
        <v>1</v>
      </c>
      <c r="S258" s="88">
        <v>6</v>
      </c>
      <c r="U258" s="31">
        <v>57969.67</v>
      </c>
      <c r="V258" s="31">
        <v>81760.560000000012</v>
      </c>
      <c r="W258" s="31">
        <v>566023.74</v>
      </c>
      <c r="X258" s="31">
        <v>107736.45999999999</v>
      </c>
      <c r="Y258" s="31">
        <v>19812.7</v>
      </c>
      <c r="Z258" s="31">
        <v>70760.88</v>
      </c>
      <c r="AA258" s="31">
        <v>35938.92</v>
      </c>
      <c r="AB258" s="31">
        <v>35063.31</v>
      </c>
      <c r="AC258" s="31">
        <v>140005.34</v>
      </c>
      <c r="AD258" s="31">
        <v>129391.54023145094</v>
      </c>
      <c r="AE258" s="31">
        <v>24117.38</v>
      </c>
      <c r="AF258" s="31">
        <v>1268580.5002314509</v>
      </c>
      <c r="AH258" s="276"/>
      <c r="AI258" s="276"/>
      <c r="AJ258" s="276"/>
      <c r="AK258" s="276"/>
      <c r="AL258" s="276"/>
      <c r="AM258" s="276"/>
      <c r="AN258" s="276"/>
      <c r="AO258" s="276"/>
      <c r="AP258" s="276"/>
      <c r="AQ258" s="276"/>
      <c r="AR258" s="276"/>
      <c r="AS258" s="276"/>
      <c r="AT258" s="276"/>
      <c r="AU258" s="276"/>
      <c r="AV258" s="276"/>
      <c r="AW258" s="394"/>
    </row>
    <row r="259" spans="1:49">
      <c r="A259" s="88">
        <v>250</v>
      </c>
      <c r="B259" s="88" t="s">
        <v>1955</v>
      </c>
      <c r="C259" s="31">
        <v>22</v>
      </c>
      <c r="D259" s="31">
        <v>0</v>
      </c>
      <c r="E259" s="31">
        <v>49</v>
      </c>
      <c r="F259" s="31">
        <v>326</v>
      </c>
      <c r="G259" s="31">
        <v>71</v>
      </c>
      <c r="H259" s="31">
        <v>1</v>
      </c>
      <c r="I259" s="31">
        <v>17</v>
      </c>
      <c r="J259" s="31">
        <v>4</v>
      </c>
      <c r="K259" s="31">
        <v>0</v>
      </c>
      <c r="L259" s="31">
        <v>0</v>
      </c>
      <c r="M259" s="31">
        <v>2</v>
      </c>
      <c r="N259" s="31">
        <v>7</v>
      </c>
      <c r="O259" s="31">
        <v>67</v>
      </c>
      <c r="P259" s="31">
        <v>0</v>
      </c>
      <c r="Q259" s="31">
        <v>467</v>
      </c>
      <c r="R259" s="150">
        <v>1</v>
      </c>
      <c r="S259" s="88">
        <v>3</v>
      </c>
      <c r="U259" s="31">
        <v>225218.05000000002</v>
      </c>
      <c r="V259" s="31">
        <v>310424.45999999996</v>
      </c>
      <c r="W259" s="31">
        <v>1773844.6899999997</v>
      </c>
      <c r="X259" s="31">
        <v>479900.8299999999</v>
      </c>
      <c r="Y259" s="31">
        <v>69133.48</v>
      </c>
      <c r="Z259" s="31">
        <v>217839.99000000002</v>
      </c>
      <c r="AA259" s="31">
        <v>110123.04</v>
      </c>
      <c r="AB259" s="31">
        <v>68041.539999999994</v>
      </c>
      <c r="AC259" s="31">
        <v>486486.15</v>
      </c>
      <c r="AD259" s="31">
        <v>482499.65408585413</v>
      </c>
      <c r="AE259" s="31">
        <v>96469.52</v>
      </c>
      <c r="AF259" s="31">
        <v>4319981.4040858541</v>
      </c>
      <c r="AH259" s="276"/>
      <c r="AI259" s="276"/>
      <c r="AJ259" s="276"/>
      <c r="AK259" s="276"/>
      <c r="AL259" s="276"/>
      <c r="AM259" s="276"/>
      <c r="AN259" s="276"/>
      <c r="AO259" s="276"/>
      <c r="AP259" s="276"/>
      <c r="AQ259" s="276"/>
      <c r="AR259" s="276"/>
      <c r="AS259" s="276"/>
      <c r="AT259" s="276"/>
      <c r="AU259" s="276"/>
      <c r="AV259" s="276"/>
      <c r="AW259" s="394"/>
    </row>
    <row r="260" spans="1:49">
      <c r="A260" s="88">
        <v>251</v>
      </c>
      <c r="B260" s="88" t="s">
        <v>1956</v>
      </c>
      <c r="C260" s="31">
        <v>71</v>
      </c>
      <c r="D260" s="31">
        <v>0</v>
      </c>
      <c r="E260" s="31">
        <v>177</v>
      </c>
      <c r="F260" s="31">
        <v>871</v>
      </c>
      <c r="G260" s="31">
        <v>533</v>
      </c>
      <c r="H260" s="31">
        <v>637</v>
      </c>
      <c r="I260" s="31">
        <v>87</v>
      </c>
      <c r="J260" s="31">
        <v>23</v>
      </c>
      <c r="K260" s="31">
        <v>0</v>
      </c>
      <c r="L260" s="31">
        <v>0</v>
      </c>
      <c r="M260" s="31">
        <v>99</v>
      </c>
      <c r="N260" s="31">
        <v>8</v>
      </c>
      <c r="O260" s="31">
        <v>801</v>
      </c>
      <c r="P260" s="31">
        <v>0</v>
      </c>
      <c r="Q260" s="31">
        <v>2361</v>
      </c>
      <c r="R260" s="150">
        <v>1.0620000000000001</v>
      </c>
      <c r="S260" s="88">
        <v>8</v>
      </c>
      <c r="U260" s="31">
        <v>1219362.5190600001</v>
      </c>
      <c r="V260" s="31">
        <v>1666354.75074</v>
      </c>
      <c r="W260" s="31">
        <v>11736945.649800001</v>
      </c>
      <c r="X260" s="31">
        <v>2328709.5907199997</v>
      </c>
      <c r="Y260" s="31">
        <v>414939.47868000006</v>
      </c>
      <c r="Z260" s="31">
        <v>1247005.4300000002</v>
      </c>
      <c r="AA260" s="31">
        <v>706862.27231999999</v>
      </c>
      <c r="AB260" s="31">
        <v>620086.4222400001</v>
      </c>
      <c r="AC260" s="31">
        <v>2913460.1931599998</v>
      </c>
      <c r="AD260" s="31">
        <v>2557629.321526899</v>
      </c>
      <c r="AE260" s="31">
        <v>554699.74</v>
      </c>
      <c r="AF260" s="31">
        <v>25966055.368246898</v>
      </c>
      <c r="AH260" s="276"/>
      <c r="AI260" s="276"/>
      <c r="AJ260" s="276"/>
      <c r="AK260" s="276"/>
      <c r="AL260" s="276"/>
      <c r="AM260" s="276"/>
      <c r="AN260" s="276"/>
      <c r="AO260" s="276"/>
      <c r="AP260" s="276"/>
      <c r="AQ260" s="276"/>
      <c r="AR260" s="276"/>
      <c r="AS260" s="276"/>
      <c r="AT260" s="276"/>
      <c r="AU260" s="276"/>
      <c r="AV260" s="276"/>
      <c r="AW260" s="394"/>
    </row>
    <row r="261" spans="1:49">
      <c r="A261" s="88">
        <v>252</v>
      </c>
      <c r="B261" s="88" t="s">
        <v>1957</v>
      </c>
      <c r="C261" s="31">
        <v>16</v>
      </c>
      <c r="D261" s="31">
        <v>0</v>
      </c>
      <c r="E261" s="31">
        <v>53</v>
      </c>
      <c r="F261" s="31">
        <v>265</v>
      </c>
      <c r="G261" s="31">
        <v>172</v>
      </c>
      <c r="H261" s="31">
        <v>234</v>
      </c>
      <c r="I261" s="31">
        <v>27</v>
      </c>
      <c r="J261" s="31">
        <v>7</v>
      </c>
      <c r="K261" s="31">
        <v>0</v>
      </c>
      <c r="L261" s="31">
        <v>0</v>
      </c>
      <c r="M261" s="31">
        <v>3</v>
      </c>
      <c r="N261" s="31">
        <v>0</v>
      </c>
      <c r="O261" s="31">
        <v>190</v>
      </c>
      <c r="P261" s="31">
        <v>0</v>
      </c>
      <c r="Q261" s="31">
        <v>735</v>
      </c>
      <c r="R261" s="150">
        <v>1.024</v>
      </c>
      <c r="S261" s="88">
        <v>6</v>
      </c>
      <c r="U261" s="31">
        <v>365439.65184000001</v>
      </c>
      <c r="V261" s="31">
        <v>500295.02464000008</v>
      </c>
      <c r="W261" s="31">
        <v>3292748.5952000003</v>
      </c>
      <c r="X261" s="31">
        <v>690903.45984000002</v>
      </c>
      <c r="Y261" s="31">
        <v>118819.34847999999</v>
      </c>
      <c r="Z261" s="31">
        <v>395713.97</v>
      </c>
      <c r="AA261" s="31">
        <v>215620.88448000004</v>
      </c>
      <c r="AB261" s="31">
        <v>199356.49791999999</v>
      </c>
      <c r="AC261" s="31">
        <v>833811.80416000006</v>
      </c>
      <c r="AD261" s="31">
        <v>767609.42498702125</v>
      </c>
      <c r="AE261" s="31">
        <v>168821.66</v>
      </c>
      <c r="AF261" s="31">
        <v>7549140.3215470212</v>
      </c>
      <c r="AH261" s="276"/>
      <c r="AI261" s="276"/>
      <c r="AJ261" s="276"/>
      <c r="AK261" s="276"/>
      <c r="AL261" s="276"/>
      <c r="AM261" s="276"/>
      <c r="AN261" s="276"/>
      <c r="AO261" s="276"/>
      <c r="AP261" s="276"/>
      <c r="AQ261" s="276"/>
      <c r="AR261" s="276"/>
      <c r="AS261" s="276"/>
      <c r="AT261" s="276"/>
      <c r="AU261" s="276"/>
      <c r="AV261" s="276"/>
      <c r="AW261" s="394"/>
    </row>
    <row r="262" spans="1:49">
      <c r="A262" s="88">
        <v>253</v>
      </c>
      <c r="B262" s="88" t="s">
        <v>1958</v>
      </c>
      <c r="C262" s="31">
        <v>2</v>
      </c>
      <c r="D262" s="31">
        <v>0</v>
      </c>
      <c r="E262" s="31">
        <v>7</v>
      </c>
      <c r="F262" s="31">
        <v>21</v>
      </c>
      <c r="G262" s="31">
        <v>14</v>
      </c>
      <c r="H262" s="31">
        <v>17</v>
      </c>
      <c r="I262" s="31">
        <v>2</v>
      </c>
      <c r="J262" s="31">
        <v>1</v>
      </c>
      <c r="K262" s="31">
        <v>0</v>
      </c>
      <c r="L262" s="31">
        <v>0</v>
      </c>
      <c r="M262" s="31">
        <v>0</v>
      </c>
      <c r="N262" s="31">
        <v>4</v>
      </c>
      <c r="O262" s="31">
        <v>10</v>
      </c>
      <c r="P262" s="31">
        <v>0</v>
      </c>
      <c r="Q262" s="31">
        <v>64</v>
      </c>
      <c r="R262" s="150">
        <v>1</v>
      </c>
      <c r="S262" s="88">
        <v>4</v>
      </c>
      <c r="U262" s="31">
        <v>31175.030000000002</v>
      </c>
      <c r="V262" s="31">
        <v>42542.1</v>
      </c>
      <c r="W262" s="31">
        <v>267397.93</v>
      </c>
      <c r="X262" s="31">
        <v>56077.590000000004</v>
      </c>
      <c r="Y262" s="31">
        <v>9808.9800000000014</v>
      </c>
      <c r="Z262" s="31">
        <v>36615.629999999997</v>
      </c>
      <c r="AA262" s="31">
        <v>18336.78</v>
      </c>
      <c r="AB262" s="31">
        <v>16980.25</v>
      </c>
      <c r="AC262" s="31">
        <v>69610.94</v>
      </c>
      <c r="AD262" s="31">
        <v>65198.661573756173</v>
      </c>
      <c r="AE262" s="31">
        <v>24117.38</v>
      </c>
      <c r="AF262" s="31">
        <v>637861.27157375612</v>
      </c>
      <c r="AH262" s="276"/>
      <c r="AI262" s="276"/>
      <c r="AJ262" s="276"/>
      <c r="AK262" s="276"/>
      <c r="AL262" s="276"/>
      <c r="AM262" s="276"/>
      <c r="AN262" s="276"/>
      <c r="AO262" s="276"/>
      <c r="AP262" s="276"/>
      <c r="AQ262" s="276"/>
      <c r="AR262" s="276"/>
      <c r="AS262" s="276"/>
      <c r="AT262" s="276"/>
      <c r="AU262" s="276"/>
      <c r="AV262" s="276"/>
      <c r="AW262" s="394"/>
    </row>
    <row r="263" spans="1:49">
      <c r="A263" s="88">
        <v>254</v>
      </c>
      <c r="B263" s="88" t="s">
        <v>1959</v>
      </c>
      <c r="C263" s="31">
        <v>0</v>
      </c>
      <c r="D263" s="31">
        <v>0</v>
      </c>
      <c r="E263" s="31">
        <v>0</v>
      </c>
      <c r="F263" s="31">
        <v>0</v>
      </c>
      <c r="G263" s="31">
        <v>0</v>
      </c>
      <c r="H263" s="31">
        <v>0</v>
      </c>
      <c r="I263" s="31">
        <v>0</v>
      </c>
      <c r="J263" s="31">
        <v>0</v>
      </c>
      <c r="K263" s="31">
        <v>0</v>
      </c>
      <c r="L263" s="31">
        <v>0</v>
      </c>
      <c r="M263" s="31">
        <v>0</v>
      </c>
      <c r="N263" s="31">
        <v>5</v>
      </c>
      <c r="O263" s="31">
        <v>0</v>
      </c>
      <c r="P263" s="31">
        <v>0</v>
      </c>
      <c r="Q263" s="31">
        <v>5</v>
      </c>
      <c r="R263" s="150">
        <v>1.0369999999999999</v>
      </c>
      <c r="S263" s="88">
        <v>0</v>
      </c>
      <c r="U263" s="31">
        <v>1908.2873999999999</v>
      </c>
      <c r="V263" s="31">
        <v>3446.5732000000003</v>
      </c>
      <c r="W263" s="31">
        <v>34768.017499999994</v>
      </c>
      <c r="X263" s="31">
        <v>2429.0688</v>
      </c>
      <c r="Y263" s="31">
        <v>1086.8278500000001</v>
      </c>
      <c r="Z263" s="31">
        <v>6176.1</v>
      </c>
      <c r="AA263" s="31">
        <v>1918.8647999999996</v>
      </c>
      <c r="AB263" s="31">
        <v>2584.7224999999999</v>
      </c>
      <c r="AC263" s="31">
        <v>8633.5434999999998</v>
      </c>
      <c r="AD263" s="31">
        <v>6157.9167179477372</v>
      </c>
      <c r="AE263" s="31">
        <v>0</v>
      </c>
      <c r="AF263" s="31">
        <v>69109.922267947739</v>
      </c>
      <c r="AH263" s="276"/>
      <c r="AI263" s="276"/>
      <c r="AJ263" s="276"/>
      <c r="AK263" s="276"/>
      <c r="AL263" s="276"/>
      <c r="AM263" s="276"/>
      <c r="AN263" s="276"/>
      <c r="AO263" s="276"/>
      <c r="AP263" s="276"/>
      <c r="AQ263" s="276"/>
      <c r="AR263" s="276"/>
      <c r="AS263" s="276"/>
      <c r="AT263" s="276"/>
      <c r="AU263" s="276"/>
      <c r="AV263" s="276"/>
      <c r="AW263" s="394"/>
    </row>
    <row r="264" spans="1:49">
      <c r="A264" s="88">
        <v>255</v>
      </c>
      <c r="B264" s="88" t="s">
        <v>1960</v>
      </c>
      <c r="C264" s="31">
        <v>0</v>
      </c>
      <c r="D264" s="31">
        <v>0</v>
      </c>
      <c r="E264" s="31">
        <v>0</v>
      </c>
      <c r="F264" s="31">
        <v>0</v>
      </c>
      <c r="G264" s="31">
        <v>0</v>
      </c>
      <c r="H264" s="31">
        <v>0</v>
      </c>
      <c r="I264" s="31">
        <v>0</v>
      </c>
      <c r="J264" s="31">
        <v>0</v>
      </c>
      <c r="K264" s="31">
        <v>0</v>
      </c>
      <c r="L264" s="31">
        <v>0</v>
      </c>
      <c r="M264" s="31">
        <v>0</v>
      </c>
      <c r="N264" s="31">
        <v>0</v>
      </c>
      <c r="O264" s="31">
        <v>0</v>
      </c>
      <c r="P264" s="31">
        <v>0</v>
      </c>
      <c r="Q264" s="31">
        <v>0</v>
      </c>
      <c r="R264" s="150">
        <v>1</v>
      </c>
      <c r="S264" s="88">
        <v>0</v>
      </c>
      <c r="U264" s="31">
        <v>0</v>
      </c>
      <c r="V264" s="31">
        <v>0</v>
      </c>
      <c r="W264" s="31">
        <v>0</v>
      </c>
      <c r="X264" s="31">
        <v>0</v>
      </c>
      <c r="Y264" s="31">
        <v>0</v>
      </c>
      <c r="Z264" s="31">
        <v>0</v>
      </c>
      <c r="AA264" s="31">
        <v>0</v>
      </c>
      <c r="AB264" s="31">
        <v>0</v>
      </c>
      <c r="AC264" s="31">
        <v>0</v>
      </c>
      <c r="AD264" s="31">
        <v>0</v>
      </c>
      <c r="AE264" s="31">
        <v>0</v>
      </c>
      <c r="AF264" s="31">
        <v>0</v>
      </c>
      <c r="AH264" s="276"/>
      <c r="AI264" s="276"/>
      <c r="AJ264" s="276"/>
      <c r="AK264" s="276"/>
      <c r="AL264" s="276"/>
      <c r="AM264" s="276"/>
      <c r="AN264" s="276"/>
      <c r="AO264" s="276"/>
      <c r="AP264" s="276"/>
      <c r="AQ264" s="276"/>
      <c r="AR264" s="276"/>
      <c r="AS264" s="276"/>
      <c r="AT264" s="276"/>
      <c r="AU264" s="276"/>
      <c r="AV264" s="276"/>
      <c r="AW264" s="394"/>
    </row>
    <row r="265" spans="1:49">
      <c r="A265" s="88">
        <v>256</v>
      </c>
      <c r="B265" s="88" t="s">
        <v>1961</v>
      </c>
      <c r="C265" s="31">
        <v>0</v>
      </c>
      <c r="D265" s="31">
        <v>0</v>
      </c>
      <c r="E265" s="31">
        <v>0</v>
      </c>
      <c r="F265" s="31">
        <v>0</v>
      </c>
      <c r="G265" s="31">
        <v>0</v>
      </c>
      <c r="H265" s="31">
        <v>0</v>
      </c>
      <c r="I265" s="31">
        <v>1</v>
      </c>
      <c r="J265" s="31">
        <v>0</v>
      </c>
      <c r="K265" s="31">
        <v>0</v>
      </c>
      <c r="L265" s="31">
        <v>0</v>
      </c>
      <c r="M265" s="31">
        <v>0</v>
      </c>
      <c r="N265" s="31">
        <v>16</v>
      </c>
      <c r="O265" s="31">
        <v>0</v>
      </c>
      <c r="P265" s="31">
        <v>0</v>
      </c>
      <c r="Q265" s="31">
        <v>16</v>
      </c>
      <c r="R265" s="150">
        <v>1</v>
      </c>
      <c r="S265" s="88">
        <v>0</v>
      </c>
      <c r="U265" s="31">
        <v>8428.7900000000009</v>
      </c>
      <c r="V265" s="31">
        <v>10635.52</v>
      </c>
      <c r="W265" s="31">
        <v>115669.85</v>
      </c>
      <c r="X265" s="31">
        <v>15321.7</v>
      </c>
      <c r="Y265" s="31">
        <v>3758.1000000000004</v>
      </c>
      <c r="Z265" s="31">
        <v>20116.439999999999</v>
      </c>
      <c r="AA265" s="31">
        <v>5921.28</v>
      </c>
      <c r="AB265" s="31">
        <v>7976</v>
      </c>
      <c r="AC265" s="31">
        <v>29479.07</v>
      </c>
      <c r="AD265" s="31">
        <v>22994.266041832052</v>
      </c>
      <c r="AE265" s="31">
        <v>0</v>
      </c>
      <c r="AF265" s="31">
        <v>240301.01604183207</v>
      </c>
      <c r="AH265" s="276"/>
      <c r="AI265" s="276"/>
      <c r="AJ265" s="276"/>
      <c r="AK265" s="276"/>
      <c r="AL265" s="276"/>
      <c r="AM265" s="276"/>
      <c r="AN265" s="276"/>
      <c r="AO265" s="276"/>
      <c r="AP265" s="276"/>
      <c r="AQ265" s="276"/>
      <c r="AR265" s="276"/>
      <c r="AS265" s="276"/>
      <c r="AT265" s="276"/>
      <c r="AU265" s="276"/>
      <c r="AV265" s="276"/>
      <c r="AW265" s="394"/>
    </row>
    <row r="266" spans="1:49">
      <c r="A266" s="88">
        <v>257</v>
      </c>
      <c r="B266" s="88" t="s">
        <v>1962</v>
      </c>
      <c r="C266" s="31">
        <v>0</v>
      </c>
      <c r="D266" s="31">
        <v>0</v>
      </c>
      <c r="E266" s="31">
        <v>0</v>
      </c>
      <c r="F266" s="31">
        <v>0</v>
      </c>
      <c r="G266" s="31">
        <v>0</v>
      </c>
      <c r="H266" s="31">
        <v>0</v>
      </c>
      <c r="I266" s="31">
        <v>0</v>
      </c>
      <c r="J266" s="31">
        <v>0</v>
      </c>
      <c r="K266" s="31">
        <v>0</v>
      </c>
      <c r="L266" s="31">
        <v>0</v>
      </c>
      <c r="M266" s="31">
        <v>0</v>
      </c>
      <c r="N266" s="31">
        <v>0</v>
      </c>
      <c r="O266" s="31">
        <v>0</v>
      </c>
      <c r="P266" s="31">
        <v>0</v>
      </c>
      <c r="Q266" s="31">
        <v>0</v>
      </c>
      <c r="R266" s="150">
        <v>1</v>
      </c>
      <c r="S266" s="88">
        <v>0</v>
      </c>
      <c r="U266" s="31">
        <v>0</v>
      </c>
      <c r="V266" s="31">
        <v>0</v>
      </c>
      <c r="W266" s="31">
        <v>0</v>
      </c>
      <c r="X266" s="31">
        <v>0</v>
      </c>
      <c r="Y266" s="31">
        <v>0</v>
      </c>
      <c r="Z266" s="31">
        <v>0</v>
      </c>
      <c r="AA266" s="31">
        <v>0</v>
      </c>
      <c r="AB266" s="31">
        <v>0</v>
      </c>
      <c r="AC266" s="31">
        <v>0</v>
      </c>
      <c r="AD266" s="31">
        <v>0</v>
      </c>
      <c r="AE266" s="31">
        <v>0</v>
      </c>
      <c r="AF266" s="31">
        <v>0</v>
      </c>
      <c r="AH266" s="276"/>
      <c r="AI266" s="276"/>
      <c r="AJ266" s="276"/>
      <c r="AK266" s="276"/>
      <c r="AL266" s="276"/>
      <c r="AM266" s="276"/>
      <c r="AN266" s="276"/>
      <c r="AO266" s="276"/>
      <c r="AP266" s="276"/>
      <c r="AQ266" s="276"/>
      <c r="AR266" s="276"/>
      <c r="AS266" s="276"/>
      <c r="AT266" s="276"/>
      <c r="AU266" s="276"/>
      <c r="AV266" s="276"/>
      <c r="AW266" s="394"/>
    </row>
    <row r="267" spans="1:49">
      <c r="A267" s="88">
        <v>258</v>
      </c>
      <c r="B267" s="88" t="s">
        <v>1963</v>
      </c>
      <c r="C267" s="31">
        <v>60</v>
      </c>
      <c r="D267" s="31">
        <v>0</v>
      </c>
      <c r="E267" s="31">
        <v>346</v>
      </c>
      <c r="F267" s="31">
        <v>1567</v>
      </c>
      <c r="G267" s="31">
        <v>936</v>
      </c>
      <c r="H267" s="31">
        <v>786</v>
      </c>
      <c r="I267" s="31">
        <v>173</v>
      </c>
      <c r="J267" s="31">
        <v>41</v>
      </c>
      <c r="K267" s="31">
        <v>0</v>
      </c>
      <c r="L267" s="31">
        <v>0</v>
      </c>
      <c r="M267" s="31">
        <v>497</v>
      </c>
      <c r="N267" s="31">
        <v>375</v>
      </c>
      <c r="O267" s="31">
        <v>2238</v>
      </c>
      <c r="P267" s="31">
        <v>0</v>
      </c>
      <c r="Q267" s="31">
        <v>4537</v>
      </c>
      <c r="R267" s="150">
        <v>1</v>
      </c>
      <c r="S267" s="88">
        <v>10</v>
      </c>
      <c r="U267" s="31">
        <v>2213390.1799999997</v>
      </c>
      <c r="V267" s="31">
        <v>3015835.2399999998</v>
      </c>
      <c r="W267" s="31">
        <v>25100696.150000002</v>
      </c>
      <c r="X267" s="31">
        <v>4255698.21</v>
      </c>
      <c r="Y267" s="31">
        <v>847226.57</v>
      </c>
      <c r="Z267" s="31">
        <v>2568383.46</v>
      </c>
      <c r="AA267" s="31">
        <v>1283664.54</v>
      </c>
      <c r="AB267" s="31">
        <v>1087450.42</v>
      </c>
      <c r="AC267" s="31">
        <v>6018242.0199999996</v>
      </c>
      <c r="AD267" s="31">
        <v>5389172.6436737981</v>
      </c>
      <c r="AE267" s="31">
        <v>988812.58000000007</v>
      </c>
      <c r="AF267" s="31">
        <v>52768572.013673805</v>
      </c>
      <c r="AH267" s="276"/>
      <c r="AI267" s="276"/>
      <c r="AJ267" s="276"/>
      <c r="AK267" s="276"/>
      <c r="AL267" s="276"/>
      <c r="AM267" s="276"/>
      <c r="AN267" s="276"/>
      <c r="AO267" s="276"/>
      <c r="AP267" s="276"/>
      <c r="AQ267" s="276"/>
      <c r="AR267" s="276"/>
      <c r="AS267" s="276"/>
      <c r="AT267" s="276"/>
      <c r="AU267" s="276"/>
      <c r="AV267" s="276"/>
      <c r="AW267" s="394"/>
    </row>
    <row r="268" spans="1:49">
      <c r="A268" s="88">
        <v>259</v>
      </c>
      <c r="B268" s="88" t="s">
        <v>1964</v>
      </c>
      <c r="C268" s="31">
        <v>0</v>
      </c>
      <c r="D268" s="31">
        <v>0</v>
      </c>
      <c r="E268" s="31">
        <v>0</v>
      </c>
      <c r="F268" s="31">
        <v>0</v>
      </c>
      <c r="G268" s="31">
        <v>0</v>
      </c>
      <c r="H268" s="31">
        <v>0</v>
      </c>
      <c r="I268" s="31">
        <v>0</v>
      </c>
      <c r="J268" s="31">
        <v>0</v>
      </c>
      <c r="K268" s="31">
        <v>0</v>
      </c>
      <c r="L268" s="31">
        <v>0</v>
      </c>
      <c r="M268" s="31">
        <v>0</v>
      </c>
      <c r="N268" s="31">
        <v>3</v>
      </c>
      <c r="O268" s="31">
        <v>0</v>
      </c>
      <c r="P268" s="31">
        <v>0</v>
      </c>
      <c r="Q268" s="31">
        <v>3</v>
      </c>
      <c r="R268" s="150">
        <v>1</v>
      </c>
      <c r="S268" s="88">
        <v>0</v>
      </c>
      <c r="U268" s="31">
        <v>1104.1200000000001</v>
      </c>
      <c r="V268" s="31">
        <v>1994.16</v>
      </c>
      <c r="W268" s="31">
        <v>20116.5</v>
      </c>
      <c r="X268" s="31">
        <v>1405.44</v>
      </c>
      <c r="Y268" s="31">
        <v>628.83000000000004</v>
      </c>
      <c r="Z268" s="31">
        <v>3705.66</v>
      </c>
      <c r="AA268" s="31">
        <v>1110.24</v>
      </c>
      <c r="AB268" s="31">
        <v>1495.5</v>
      </c>
      <c r="AC268" s="31">
        <v>4995.2999999999993</v>
      </c>
      <c r="AD268" s="31">
        <v>3694.7500307686423</v>
      </c>
      <c r="AE268" s="31">
        <v>0</v>
      </c>
      <c r="AF268" s="31">
        <v>40250.500030768642</v>
      </c>
      <c r="AH268" s="276"/>
      <c r="AI268" s="276"/>
      <c r="AJ268" s="276"/>
      <c r="AK268" s="276"/>
      <c r="AL268" s="276"/>
      <c r="AM268" s="276"/>
      <c r="AN268" s="276"/>
      <c r="AO268" s="276"/>
      <c r="AP268" s="276"/>
      <c r="AQ268" s="276"/>
      <c r="AR268" s="276"/>
      <c r="AS268" s="276"/>
      <c r="AT268" s="276"/>
      <c r="AU268" s="276"/>
      <c r="AV268" s="276"/>
      <c r="AW268" s="394"/>
    </row>
    <row r="269" spans="1:49">
      <c r="A269" s="88">
        <v>260</v>
      </c>
      <c r="B269" s="88" t="s">
        <v>1965</v>
      </c>
      <c r="C269" s="31">
        <v>0</v>
      </c>
      <c r="D269" s="31">
        <v>0</v>
      </c>
      <c r="E269" s="31">
        <v>0</v>
      </c>
      <c r="F269" s="31">
        <v>0</v>
      </c>
      <c r="G269" s="31">
        <v>0</v>
      </c>
      <c r="H269" s="31">
        <v>0</v>
      </c>
      <c r="I269" s="31">
        <v>0</v>
      </c>
      <c r="J269" s="31">
        <v>0</v>
      </c>
      <c r="K269" s="31">
        <v>0</v>
      </c>
      <c r="L269" s="31">
        <v>0</v>
      </c>
      <c r="M269" s="31">
        <v>0</v>
      </c>
      <c r="N269" s="31">
        <v>0</v>
      </c>
      <c r="O269" s="31">
        <v>0</v>
      </c>
      <c r="P269" s="31">
        <v>0</v>
      </c>
      <c r="Q269" s="31">
        <v>0</v>
      </c>
      <c r="R269" s="150">
        <v>1</v>
      </c>
      <c r="S269" s="88">
        <v>0</v>
      </c>
      <c r="U269" s="31">
        <v>0</v>
      </c>
      <c r="V269" s="31">
        <v>0</v>
      </c>
      <c r="W269" s="31">
        <v>0</v>
      </c>
      <c r="X269" s="31">
        <v>0</v>
      </c>
      <c r="Y269" s="31">
        <v>0</v>
      </c>
      <c r="Z269" s="31">
        <v>0</v>
      </c>
      <c r="AA269" s="31">
        <v>0</v>
      </c>
      <c r="AB269" s="31">
        <v>0</v>
      </c>
      <c r="AC269" s="31">
        <v>0</v>
      </c>
      <c r="AD269" s="31">
        <v>0</v>
      </c>
      <c r="AE269" s="31">
        <v>0</v>
      </c>
      <c r="AF269" s="31">
        <v>0</v>
      </c>
      <c r="AH269" s="276"/>
      <c r="AI269" s="276"/>
      <c r="AJ269" s="276"/>
      <c r="AK269" s="276"/>
      <c r="AL269" s="276"/>
      <c r="AM269" s="276"/>
      <c r="AN269" s="276"/>
      <c r="AO269" s="276"/>
      <c r="AP269" s="276"/>
      <c r="AQ269" s="276"/>
      <c r="AR269" s="276"/>
      <c r="AS269" s="276"/>
      <c r="AT269" s="276"/>
      <c r="AU269" s="276"/>
      <c r="AV269" s="276"/>
      <c r="AW269" s="394"/>
    </row>
    <row r="270" spans="1:49">
      <c r="A270" s="88">
        <v>261</v>
      </c>
      <c r="B270" s="88" t="s">
        <v>1966</v>
      </c>
      <c r="C270" s="31">
        <v>65</v>
      </c>
      <c r="D270" s="31">
        <v>0</v>
      </c>
      <c r="E270" s="31">
        <v>166</v>
      </c>
      <c r="F270" s="31">
        <v>1028</v>
      </c>
      <c r="G270" s="31">
        <v>703</v>
      </c>
      <c r="H270" s="31">
        <v>928</v>
      </c>
      <c r="I270" s="31">
        <v>107</v>
      </c>
      <c r="J270" s="31">
        <v>29</v>
      </c>
      <c r="K270" s="31">
        <v>3</v>
      </c>
      <c r="L270" s="31">
        <v>0</v>
      </c>
      <c r="M270" s="31">
        <v>26</v>
      </c>
      <c r="N270" s="31">
        <v>0</v>
      </c>
      <c r="O270" s="31">
        <v>502</v>
      </c>
      <c r="P270" s="31">
        <v>0</v>
      </c>
      <c r="Q270" s="31">
        <v>2886</v>
      </c>
      <c r="R270" s="150">
        <v>1</v>
      </c>
      <c r="S270" s="88">
        <v>4</v>
      </c>
      <c r="U270" s="31">
        <v>1407256.5100000005</v>
      </c>
      <c r="V270" s="31">
        <v>1917717.8800000004</v>
      </c>
      <c r="W270" s="31">
        <v>11854355.299999999</v>
      </c>
      <c r="X270" s="31">
        <v>2644851.4200000004</v>
      </c>
      <c r="Y270" s="31">
        <v>439310.36000000004</v>
      </c>
      <c r="Z270" s="31">
        <v>1556122.13</v>
      </c>
      <c r="AA270" s="31">
        <v>831124.16999999993</v>
      </c>
      <c r="AB270" s="31">
        <v>771792.28999999992</v>
      </c>
      <c r="AC270" s="31">
        <v>3082834.11</v>
      </c>
      <c r="AD270" s="31">
        <v>2936934.6665648427</v>
      </c>
      <c r="AE270" s="31">
        <v>699404.02</v>
      </c>
      <c r="AF270" s="31">
        <v>28141702.856564838</v>
      </c>
      <c r="AH270" s="276"/>
      <c r="AI270" s="276"/>
      <c r="AJ270" s="276"/>
      <c r="AK270" s="276"/>
      <c r="AL270" s="276"/>
      <c r="AM270" s="276"/>
      <c r="AN270" s="276"/>
      <c r="AO270" s="276"/>
      <c r="AP270" s="276"/>
      <c r="AQ270" s="276"/>
      <c r="AR270" s="276"/>
      <c r="AS270" s="276"/>
      <c r="AT270" s="276"/>
      <c r="AU270" s="276"/>
      <c r="AV270" s="276"/>
      <c r="AW270" s="394"/>
    </row>
    <row r="271" spans="1:49">
      <c r="A271" s="88">
        <v>262</v>
      </c>
      <c r="B271" s="88" t="s">
        <v>1967</v>
      </c>
      <c r="C271" s="31">
        <v>109</v>
      </c>
      <c r="D271" s="31">
        <v>133</v>
      </c>
      <c r="E271" s="31">
        <v>25</v>
      </c>
      <c r="F271" s="31">
        <v>958</v>
      </c>
      <c r="G271" s="31">
        <v>682</v>
      </c>
      <c r="H271" s="31">
        <v>751</v>
      </c>
      <c r="I271" s="31">
        <v>98</v>
      </c>
      <c r="J271" s="31">
        <v>26</v>
      </c>
      <c r="K271" s="31">
        <v>0</v>
      </c>
      <c r="L271" s="31">
        <v>11</v>
      </c>
      <c r="M271" s="31">
        <v>108</v>
      </c>
      <c r="N271" s="31">
        <v>26</v>
      </c>
      <c r="O271" s="31">
        <v>818</v>
      </c>
      <c r="P271" s="31">
        <v>0</v>
      </c>
      <c r="Q271" s="31">
        <v>2678</v>
      </c>
      <c r="R271" s="150">
        <v>1</v>
      </c>
      <c r="S271" s="88">
        <v>7</v>
      </c>
      <c r="U271" s="31">
        <v>1300040.3</v>
      </c>
      <c r="V271" s="31">
        <v>1779125.61</v>
      </c>
      <c r="W271" s="31">
        <v>12271636.600000001</v>
      </c>
      <c r="X271" s="31">
        <v>2449734.96</v>
      </c>
      <c r="Y271" s="31">
        <v>438336.19000000006</v>
      </c>
      <c r="Z271" s="31">
        <v>1434760.9199999997</v>
      </c>
      <c r="AA271" s="31">
        <v>767259.98999999987</v>
      </c>
      <c r="AB271" s="31">
        <v>689460.43</v>
      </c>
      <c r="AC271" s="31">
        <v>3081100.37</v>
      </c>
      <c r="AD271" s="31">
        <v>2869641.6808569417</v>
      </c>
      <c r="AE271" s="31">
        <v>627051.88</v>
      </c>
      <c r="AF271" s="31">
        <v>27708148.930856943</v>
      </c>
      <c r="AH271" s="276"/>
      <c r="AI271" s="276"/>
      <c r="AJ271" s="276"/>
      <c r="AK271" s="276"/>
      <c r="AL271" s="276"/>
      <c r="AM271" s="276"/>
      <c r="AN271" s="276"/>
      <c r="AO271" s="276"/>
      <c r="AP271" s="276"/>
      <c r="AQ271" s="276"/>
      <c r="AR271" s="276"/>
      <c r="AS271" s="276"/>
      <c r="AT271" s="276"/>
      <c r="AU271" s="276"/>
      <c r="AV271" s="276"/>
      <c r="AW271" s="394"/>
    </row>
    <row r="272" spans="1:49">
      <c r="A272" s="88">
        <v>263</v>
      </c>
      <c r="B272" s="88" t="s">
        <v>1968</v>
      </c>
      <c r="C272" s="31">
        <v>1</v>
      </c>
      <c r="D272" s="31">
        <v>0</v>
      </c>
      <c r="E272" s="31">
        <v>6</v>
      </c>
      <c r="F272" s="31">
        <v>22</v>
      </c>
      <c r="G272" s="31">
        <v>13</v>
      </c>
      <c r="H272" s="31">
        <v>17</v>
      </c>
      <c r="I272" s="31">
        <v>2</v>
      </c>
      <c r="J272" s="31">
        <v>1</v>
      </c>
      <c r="K272" s="31">
        <v>0</v>
      </c>
      <c r="L272" s="31">
        <v>0</v>
      </c>
      <c r="M272" s="31">
        <v>0</v>
      </c>
      <c r="N272" s="31">
        <v>1</v>
      </c>
      <c r="O272" s="31">
        <v>21</v>
      </c>
      <c r="P272" s="31">
        <v>0</v>
      </c>
      <c r="Q272" s="31">
        <v>60</v>
      </c>
      <c r="R272" s="150">
        <v>1</v>
      </c>
      <c r="S272" s="88">
        <v>9</v>
      </c>
      <c r="U272" s="31">
        <v>29518.840000000004</v>
      </c>
      <c r="V272" s="31">
        <v>39550.85</v>
      </c>
      <c r="W272" s="31">
        <v>280296.39</v>
      </c>
      <c r="X272" s="31">
        <v>53718.559999999998</v>
      </c>
      <c r="Y272" s="31">
        <v>9808.24</v>
      </c>
      <c r="Z272" s="31">
        <v>32248.240000000002</v>
      </c>
      <c r="AA272" s="31">
        <v>16820.43</v>
      </c>
      <c r="AB272" s="31">
        <v>15268.58</v>
      </c>
      <c r="AC272" s="31">
        <v>69023.430000000008</v>
      </c>
      <c r="AD272" s="31">
        <v>63995.409502796756</v>
      </c>
      <c r="AE272" s="31">
        <v>24117.38</v>
      </c>
      <c r="AF272" s="31">
        <v>634366.34950279677</v>
      </c>
      <c r="AH272" s="276"/>
      <c r="AI272" s="276"/>
      <c r="AJ272" s="276"/>
      <c r="AK272" s="276"/>
      <c r="AL272" s="276"/>
      <c r="AM272" s="276"/>
      <c r="AN272" s="276"/>
      <c r="AO272" s="276"/>
      <c r="AP272" s="276"/>
      <c r="AQ272" s="276"/>
      <c r="AR272" s="276"/>
      <c r="AS272" s="276"/>
      <c r="AT272" s="276"/>
      <c r="AU272" s="276"/>
      <c r="AV272" s="276"/>
      <c r="AW272" s="394"/>
    </row>
    <row r="273" spans="1:49">
      <c r="A273" s="88">
        <v>264</v>
      </c>
      <c r="B273" s="88" t="s">
        <v>1969</v>
      </c>
      <c r="C273" s="31">
        <v>67</v>
      </c>
      <c r="D273" s="31">
        <v>176</v>
      </c>
      <c r="E273" s="31">
        <v>11</v>
      </c>
      <c r="F273" s="31">
        <v>1082</v>
      </c>
      <c r="G273" s="31">
        <v>755</v>
      </c>
      <c r="H273" s="31">
        <v>939</v>
      </c>
      <c r="I273" s="31">
        <v>109</v>
      </c>
      <c r="J273" s="31">
        <v>29</v>
      </c>
      <c r="K273" s="31">
        <v>2</v>
      </c>
      <c r="L273" s="31">
        <v>3</v>
      </c>
      <c r="M273" s="31">
        <v>20</v>
      </c>
      <c r="N273" s="31">
        <v>0</v>
      </c>
      <c r="O273" s="31">
        <v>339</v>
      </c>
      <c r="P273" s="31">
        <v>0</v>
      </c>
      <c r="Q273" s="31">
        <v>2932</v>
      </c>
      <c r="R273" s="150">
        <v>1.03</v>
      </c>
      <c r="S273" s="88">
        <v>2</v>
      </c>
      <c r="U273" s="31">
        <v>1472146.5241000005</v>
      </c>
      <c r="V273" s="31">
        <v>2006745.7040000001</v>
      </c>
      <c r="W273" s="31">
        <v>11814809.566999998</v>
      </c>
      <c r="X273" s="31">
        <v>2762882.9592000009</v>
      </c>
      <c r="Y273" s="31">
        <v>447555.13650000008</v>
      </c>
      <c r="Z273" s="31">
        <v>1580033.47</v>
      </c>
      <c r="AA273" s="31">
        <v>871798.88040000002</v>
      </c>
      <c r="AB273" s="31">
        <v>812850.13670000003</v>
      </c>
      <c r="AC273" s="31">
        <v>3140713.4920000006</v>
      </c>
      <c r="AD273" s="31">
        <v>2928063.3086986667</v>
      </c>
      <c r="AE273" s="31">
        <v>699404.02</v>
      </c>
      <c r="AF273" s="31">
        <v>28537003.198598668</v>
      </c>
      <c r="AH273" s="276"/>
      <c r="AI273" s="276"/>
      <c r="AJ273" s="276"/>
      <c r="AK273" s="276"/>
      <c r="AL273" s="276"/>
      <c r="AM273" s="276"/>
      <c r="AN273" s="276"/>
      <c r="AO273" s="276"/>
      <c r="AP273" s="276"/>
      <c r="AQ273" s="276"/>
      <c r="AR273" s="276"/>
      <c r="AS273" s="276"/>
      <c r="AT273" s="276"/>
      <c r="AU273" s="276"/>
      <c r="AV273" s="276"/>
      <c r="AW273" s="394"/>
    </row>
    <row r="274" spans="1:49">
      <c r="A274" s="88">
        <v>265</v>
      </c>
      <c r="B274" s="88" t="s">
        <v>1970</v>
      </c>
      <c r="C274" s="31">
        <v>18</v>
      </c>
      <c r="D274" s="31">
        <v>120</v>
      </c>
      <c r="E274" s="31">
        <v>5</v>
      </c>
      <c r="F274" s="31">
        <v>663</v>
      </c>
      <c r="G274" s="31">
        <v>523</v>
      </c>
      <c r="H274" s="31">
        <v>603</v>
      </c>
      <c r="I274" s="31">
        <v>71</v>
      </c>
      <c r="J274" s="31">
        <v>19</v>
      </c>
      <c r="K274" s="31">
        <v>0</v>
      </c>
      <c r="L274" s="31">
        <v>5</v>
      </c>
      <c r="M274" s="31">
        <v>46</v>
      </c>
      <c r="N274" s="31">
        <v>0</v>
      </c>
      <c r="O274" s="31">
        <v>326</v>
      </c>
      <c r="P274" s="31">
        <v>0</v>
      </c>
      <c r="Q274" s="31">
        <v>1912</v>
      </c>
      <c r="R274" s="150">
        <v>1</v>
      </c>
      <c r="S274" s="88">
        <v>4</v>
      </c>
      <c r="U274" s="31">
        <v>932123.44</v>
      </c>
      <c r="V274" s="31">
        <v>1270613.7100000004</v>
      </c>
      <c r="W274" s="31">
        <v>7849946.1600000001</v>
      </c>
      <c r="X274" s="31">
        <v>1739643.4199999997</v>
      </c>
      <c r="Y274" s="31">
        <v>292462.81</v>
      </c>
      <c r="Z274" s="31">
        <v>1027930.36</v>
      </c>
      <c r="AA274" s="31">
        <v>555339.2699999999</v>
      </c>
      <c r="AB274" s="31">
        <v>514351.63999999996</v>
      </c>
      <c r="AC274" s="31">
        <v>2052360.8299999998</v>
      </c>
      <c r="AD274" s="31">
        <v>1949351.5278148658</v>
      </c>
      <c r="AE274" s="31">
        <v>458230.22000000003</v>
      </c>
      <c r="AF274" s="31">
        <v>18642353.387814865</v>
      </c>
      <c r="AH274" s="276"/>
      <c r="AI274" s="276"/>
      <c r="AJ274" s="276"/>
      <c r="AK274" s="276"/>
      <c r="AL274" s="276"/>
      <c r="AM274" s="276"/>
      <c r="AN274" s="276"/>
      <c r="AO274" s="276"/>
      <c r="AP274" s="276"/>
      <c r="AQ274" s="276"/>
      <c r="AR274" s="276"/>
      <c r="AS274" s="276"/>
      <c r="AT274" s="276"/>
      <c r="AU274" s="276"/>
      <c r="AV274" s="276"/>
      <c r="AW274" s="394"/>
    </row>
    <row r="275" spans="1:49">
      <c r="A275" s="88">
        <v>266</v>
      </c>
      <c r="B275" s="88" t="s">
        <v>1971</v>
      </c>
      <c r="C275" s="31">
        <v>21</v>
      </c>
      <c r="D275" s="31">
        <v>175</v>
      </c>
      <c r="E275" s="31">
        <v>23</v>
      </c>
      <c r="F275" s="31">
        <v>1232</v>
      </c>
      <c r="G275" s="31">
        <v>850</v>
      </c>
      <c r="H275" s="31">
        <v>1086</v>
      </c>
      <c r="I275" s="31">
        <v>127</v>
      </c>
      <c r="J275" s="31">
        <v>34</v>
      </c>
      <c r="K275" s="31">
        <v>0</v>
      </c>
      <c r="L275" s="31">
        <v>13</v>
      </c>
      <c r="M275" s="31">
        <v>104</v>
      </c>
      <c r="N275" s="31">
        <v>0</v>
      </c>
      <c r="O275" s="31">
        <v>276</v>
      </c>
      <c r="P275" s="31">
        <v>0</v>
      </c>
      <c r="Q275" s="31">
        <v>3401</v>
      </c>
      <c r="R275" s="150">
        <v>1.0409999999999999</v>
      </c>
      <c r="S275" s="88">
        <v>1</v>
      </c>
      <c r="U275" s="31">
        <v>1728183.2023499999</v>
      </c>
      <c r="V275" s="31">
        <v>2352366.1569299996</v>
      </c>
      <c r="W275" s="31">
        <v>13619810.260019997</v>
      </c>
      <c r="X275" s="31">
        <v>3236549.6358599998</v>
      </c>
      <c r="Y275" s="31">
        <v>520034.45438999997</v>
      </c>
      <c r="Z275" s="31">
        <v>1831975.51</v>
      </c>
      <c r="AA275" s="31">
        <v>1025961.7452300001</v>
      </c>
      <c r="AB275" s="31">
        <v>950929.48412999988</v>
      </c>
      <c r="AC275" s="31">
        <v>3649330.9949400001</v>
      </c>
      <c r="AD275" s="31">
        <v>3375331.4183420246</v>
      </c>
      <c r="AE275" s="31">
        <v>819990.92</v>
      </c>
      <c r="AF275" s="31">
        <v>33110463.782192025</v>
      </c>
      <c r="AH275" s="276"/>
      <c r="AI275" s="276"/>
      <c r="AJ275" s="276"/>
      <c r="AK275" s="276"/>
      <c r="AL275" s="276"/>
      <c r="AM275" s="276"/>
      <c r="AN275" s="276"/>
      <c r="AO275" s="276"/>
      <c r="AP275" s="276"/>
      <c r="AQ275" s="276"/>
      <c r="AR275" s="276"/>
      <c r="AS275" s="276"/>
      <c r="AT275" s="276"/>
      <c r="AU275" s="276"/>
      <c r="AV275" s="276"/>
      <c r="AW275" s="394"/>
    </row>
    <row r="276" spans="1:49">
      <c r="A276" s="88">
        <v>267</v>
      </c>
      <c r="B276" s="88" t="s">
        <v>1972</v>
      </c>
      <c r="C276" s="31">
        <v>0</v>
      </c>
      <c r="D276" s="31">
        <v>0</v>
      </c>
      <c r="E276" s="31">
        <v>0</v>
      </c>
      <c r="F276" s="31">
        <v>0</v>
      </c>
      <c r="G276" s="31">
        <v>0</v>
      </c>
      <c r="H276" s="31">
        <v>0</v>
      </c>
      <c r="I276" s="31">
        <v>0</v>
      </c>
      <c r="J276" s="31">
        <v>0</v>
      </c>
      <c r="K276" s="31">
        <v>0</v>
      </c>
      <c r="L276" s="31">
        <v>0</v>
      </c>
      <c r="M276" s="31">
        <v>0</v>
      </c>
      <c r="N276" s="31">
        <v>7</v>
      </c>
      <c r="O276" s="31">
        <v>0</v>
      </c>
      <c r="P276" s="31">
        <v>0</v>
      </c>
      <c r="Q276" s="31">
        <v>7</v>
      </c>
      <c r="R276" s="150">
        <v>1</v>
      </c>
      <c r="S276" s="88">
        <v>0</v>
      </c>
      <c r="U276" s="31">
        <v>2576.2800000000002</v>
      </c>
      <c r="V276" s="31">
        <v>4653.04</v>
      </c>
      <c r="W276" s="31">
        <v>46938.5</v>
      </c>
      <c r="X276" s="31">
        <v>3279.36</v>
      </c>
      <c r="Y276" s="31">
        <v>1467.27</v>
      </c>
      <c r="Z276" s="31">
        <v>8646.5400000000009</v>
      </c>
      <c r="AA276" s="31">
        <v>2590.56</v>
      </c>
      <c r="AB276" s="31">
        <v>3489.5</v>
      </c>
      <c r="AC276" s="31">
        <v>11655.699999999999</v>
      </c>
      <c r="AD276" s="31">
        <v>8621.0834051268321</v>
      </c>
      <c r="AE276" s="31">
        <v>0</v>
      </c>
      <c r="AF276" s="31">
        <v>93917.833405126818</v>
      </c>
      <c r="AH276" s="276"/>
      <c r="AI276" s="276"/>
      <c r="AJ276" s="276"/>
      <c r="AK276" s="276"/>
      <c r="AL276" s="276"/>
      <c r="AM276" s="276"/>
      <c r="AN276" s="276"/>
      <c r="AO276" s="276"/>
      <c r="AP276" s="276"/>
      <c r="AQ276" s="276"/>
      <c r="AR276" s="276"/>
      <c r="AS276" s="276"/>
      <c r="AT276" s="276"/>
      <c r="AU276" s="276"/>
      <c r="AV276" s="276"/>
      <c r="AW276" s="394"/>
    </row>
    <row r="277" spans="1:49">
      <c r="A277" s="88">
        <v>268</v>
      </c>
      <c r="B277" s="88" t="s">
        <v>1973</v>
      </c>
      <c r="C277" s="31">
        <v>0</v>
      </c>
      <c r="D277" s="31">
        <v>0</v>
      </c>
      <c r="E277" s="31">
        <v>0</v>
      </c>
      <c r="F277" s="31">
        <v>0</v>
      </c>
      <c r="G277" s="31">
        <v>0</v>
      </c>
      <c r="H277" s="31">
        <v>0</v>
      </c>
      <c r="I277" s="31">
        <v>0</v>
      </c>
      <c r="J277" s="31">
        <v>0</v>
      </c>
      <c r="K277" s="31">
        <v>0</v>
      </c>
      <c r="L277" s="31">
        <v>0</v>
      </c>
      <c r="M277" s="31">
        <v>0</v>
      </c>
      <c r="N277" s="31">
        <v>0</v>
      </c>
      <c r="O277" s="31">
        <v>0</v>
      </c>
      <c r="P277" s="31">
        <v>0</v>
      </c>
      <c r="Q277" s="31">
        <v>0</v>
      </c>
      <c r="R277" s="150">
        <v>1</v>
      </c>
      <c r="S277" s="88">
        <v>0</v>
      </c>
      <c r="U277" s="31">
        <v>0</v>
      </c>
      <c r="V277" s="31">
        <v>0</v>
      </c>
      <c r="W277" s="31">
        <v>0</v>
      </c>
      <c r="X277" s="31">
        <v>0</v>
      </c>
      <c r="Y277" s="31">
        <v>0</v>
      </c>
      <c r="Z277" s="31">
        <v>0</v>
      </c>
      <c r="AA277" s="31">
        <v>0</v>
      </c>
      <c r="AB277" s="31">
        <v>0</v>
      </c>
      <c r="AC277" s="31">
        <v>0</v>
      </c>
      <c r="AD277" s="31">
        <v>0</v>
      </c>
      <c r="AE277" s="31">
        <v>0</v>
      </c>
      <c r="AF277" s="31">
        <v>0</v>
      </c>
      <c r="AH277" s="276"/>
      <c r="AI277" s="276"/>
      <c r="AJ277" s="276"/>
      <c r="AK277" s="276"/>
      <c r="AL277" s="276"/>
      <c r="AM277" s="276"/>
      <c r="AN277" s="276"/>
      <c r="AO277" s="276"/>
      <c r="AP277" s="276"/>
      <c r="AQ277" s="276"/>
      <c r="AR277" s="276"/>
      <c r="AS277" s="276"/>
      <c r="AT277" s="276"/>
      <c r="AU277" s="276"/>
      <c r="AV277" s="276"/>
      <c r="AW277" s="394"/>
    </row>
    <row r="278" spans="1:49">
      <c r="A278" s="88">
        <v>269</v>
      </c>
      <c r="B278" s="88" t="s">
        <v>1974</v>
      </c>
      <c r="C278" s="31">
        <v>20</v>
      </c>
      <c r="D278" s="31">
        <v>0</v>
      </c>
      <c r="E278" s="31">
        <v>61</v>
      </c>
      <c r="F278" s="31">
        <v>337</v>
      </c>
      <c r="G278" s="31">
        <v>0</v>
      </c>
      <c r="H278" s="31">
        <v>0</v>
      </c>
      <c r="I278" s="31">
        <v>15</v>
      </c>
      <c r="J278" s="31">
        <v>4</v>
      </c>
      <c r="K278" s="31">
        <v>0</v>
      </c>
      <c r="L278" s="31">
        <v>0</v>
      </c>
      <c r="M278" s="31">
        <v>7</v>
      </c>
      <c r="N278" s="31">
        <v>0</v>
      </c>
      <c r="O278" s="31">
        <v>21</v>
      </c>
      <c r="P278" s="31">
        <v>0</v>
      </c>
      <c r="Q278" s="31">
        <v>415</v>
      </c>
      <c r="R278" s="150">
        <v>1.0389999999999999</v>
      </c>
      <c r="S278" s="88">
        <v>1</v>
      </c>
      <c r="U278" s="31">
        <v>208838.63635000002</v>
      </c>
      <c r="V278" s="31">
        <v>286617.50099999999</v>
      </c>
      <c r="W278" s="31">
        <v>1521240.7846499998</v>
      </c>
      <c r="X278" s="31">
        <v>458064.78197999991</v>
      </c>
      <c r="Y278" s="31">
        <v>60053.358410000001</v>
      </c>
      <c r="Z278" s="31">
        <v>188371.14999999997</v>
      </c>
      <c r="AA278" s="31">
        <v>96166.338569999978</v>
      </c>
      <c r="AB278" s="31">
        <v>53812.968559999987</v>
      </c>
      <c r="AC278" s="31">
        <v>421410.74256999989</v>
      </c>
      <c r="AD278" s="31">
        <v>415593.1639225792</v>
      </c>
      <c r="AE278" s="31">
        <v>96469.52</v>
      </c>
      <c r="AF278" s="31">
        <v>3806638.9460125784</v>
      </c>
      <c r="AH278" s="276"/>
      <c r="AI278" s="276"/>
      <c r="AJ278" s="276"/>
      <c r="AK278" s="276"/>
      <c r="AL278" s="276"/>
      <c r="AM278" s="276"/>
      <c r="AN278" s="276"/>
      <c r="AO278" s="276"/>
      <c r="AP278" s="276"/>
      <c r="AQ278" s="276"/>
      <c r="AR278" s="276"/>
      <c r="AS278" s="276"/>
      <c r="AT278" s="276"/>
      <c r="AU278" s="276"/>
      <c r="AV278" s="276"/>
      <c r="AW278" s="394"/>
    </row>
    <row r="279" spans="1:49">
      <c r="A279" s="88">
        <v>270</v>
      </c>
      <c r="B279" s="88" t="s">
        <v>1975</v>
      </c>
      <c r="C279" s="31">
        <v>0</v>
      </c>
      <c r="D279" s="31">
        <v>0</v>
      </c>
      <c r="E279" s="31">
        <v>0</v>
      </c>
      <c r="F279" s="31">
        <v>0</v>
      </c>
      <c r="G279" s="31">
        <v>0</v>
      </c>
      <c r="H279" s="31">
        <v>0</v>
      </c>
      <c r="I279" s="31">
        <v>0</v>
      </c>
      <c r="J279" s="31">
        <v>0</v>
      </c>
      <c r="K279" s="31">
        <v>0</v>
      </c>
      <c r="L279" s="31">
        <v>0</v>
      </c>
      <c r="M279" s="31">
        <v>0</v>
      </c>
      <c r="N279" s="31">
        <v>0</v>
      </c>
      <c r="O279" s="31">
        <v>0</v>
      </c>
      <c r="P279" s="31">
        <v>0</v>
      </c>
      <c r="Q279" s="31">
        <v>0</v>
      </c>
      <c r="R279" s="150">
        <v>1</v>
      </c>
      <c r="S279" s="88">
        <v>0</v>
      </c>
      <c r="U279" s="31">
        <v>0</v>
      </c>
      <c r="V279" s="31">
        <v>0</v>
      </c>
      <c r="W279" s="31">
        <v>0</v>
      </c>
      <c r="X279" s="31">
        <v>0</v>
      </c>
      <c r="Y279" s="31">
        <v>0</v>
      </c>
      <c r="Z279" s="31">
        <v>0</v>
      </c>
      <c r="AA279" s="31">
        <v>0</v>
      </c>
      <c r="AB279" s="31">
        <v>0</v>
      </c>
      <c r="AC279" s="31">
        <v>0</v>
      </c>
      <c r="AD279" s="31">
        <v>0</v>
      </c>
      <c r="AE279" s="31">
        <v>0</v>
      </c>
      <c r="AF279" s="31">
        <v>0</v>
      </c>
      <c r="AH279" s="276"/>
      <c r="AI279" s="276"/>
      <c r="AJ279" s="276"/>
      <c r="AK279" s="276"/>
      <c r="AL279" s="276"/>
      <c r="AM279" s="276"/>
      <c r="AN279" s="276"/>
      <c r="AO279" s="276"/>
      <c r="AP279" s="276"/>
      <c r="AQ279" s="276"/>
      <c r="AR279" s="276"/>
      <c r="AS279" s="276"/>
      <c r="AT279" s="276"/>
      <c r="AU279" s="276"/>
      <c r="AV279" s="276"/>
      <c r="AW279" s="394"/>
    </row>
    <row r="280" spans="1:49">
      <c r="A280" s="88">
        <v>271</v>
      </c>
      <c r="B280" s="88" t="s">
        <v>1976</v>
      </c>
      <c r="C280" s="31">
        <v>36</v>
      </c>
      <c r="D280" s="31">
        <v>338</v>
      </c>
      <c r="E280" s="31">
        <v>22</v>
      </c>
      <c r="F280" s="31">
        <v>2195</v>
      </c>
      <c r="G280" s="31">
        <v>1477</v>
      </c>
      <c r="H280" s="31">
        <v>1858</v>
      </c>
      <c r="I280" s="31">
        <v>227</v>
      </c>
      <c r="J280" s="31">
        <v>59</v>
      </c>
      <c r="K280" s="31">
        <v>5</v>
      </c>
      <c r="L280" s="31">
        <v>30</v>
      </c>
      <c r="M280" s="31">
        <v>174</v>
      </c>
      <c r="N280" s="31">
        <v>108</v>
      </c>
      <c r="O280" s="31">
        <v>674</v>
      </c>
      <c r="P280" s="31">
        <v>0</v>
      </c>
      <c r="Q280" s="31">
        <v>6039</v>
      </c>
      <c r="R280" s="150">
        <v>1</v>
      </c>
      <c r="S280" s="88">
        <v>2</v>
      </c>
      <c r="U280" s="31">
        <v>2948896.88</v>
      </c>
      <c r="V280" s="31">
        <v>4013915.8100000005</v>
      </c>
      <c r="W280" s="31">
        <v>24157817.279999997</v>
      </c>
      <c r="X280" s="31">
        <v>5529982.2600000007</v>
      </c>
      <c r="Y280" s="31">
        <v>909106.71</v>
      </c>
      <c r="Z280" s="31">
        <v>3321571.3200000003</v>
      </c>
      <c r="AA280" s="31">
        <v>1753345.5599999998</v>
      </c>
      <c r="AB280" s="31">
        <v>1633636.6400000001</v>
      </c>
      <c r="AC280" s="31">
        <v>6400602.8500000015</v>
      </c>
      <c r="AD280" s="31">
        <v>6102236.1334184846</v>
      </c>
      <c r="AE280" s="31">
        <v>1422925.4200000002</v>
      </c>
      <c r="AF280" s="31">
        <v>58194036.86341849</v>
      </c>
      <c r="AH280" s="276"/>
      <c r="AI280" s="276"/>
      <c r="AJ280" s="276"/>
      <c r="AK280" s="276"/>
      <c r="AL280" s="276"/>
      <c r="AM280" s="276"/>
      <c r="AN280" s="276"/>
      <c r="AO280" s="276"/>
      <c r="AP280" s="276"/>
      <c r="AQ280" s="276"/>
      <c r="AR280" s="276"/>
      <c r="AS280" s="276"/>
      <c r="AT280" s="276"/>
      <c r="AU280" s="276"/>
      <c r="AV280" s="276"/>
      <c r="AW280" s="394"/>
    </row>
    <row r="281" spans="1:49">
      <c r="A281" s="88">
        <v>272</v>
      </c>
      <c r="B281" s="88" t="s">
        <v>1977</v>
      </c>
      <c r="C281" s="31">
        <v>10</v>
      </c>
      <c r="D281" s="31">
        <v>0</v>
      </c>
      <c r="E281" s="31">
        <v>20</v>
      </c>
      <c r="F281" s="31">
        <v>76</v>
      </c>
      <c r="G281" s="31">
        <v>14</v>
      </c>
      <c r="H281" s="31">
        <v>0</v>
      </c>
      <c r="I281" s="31">
        <v>4</v>
      </c>
      <c r="J281" s="31">
        <v>1</v>
      </c>
      <c r="K281" s="31">
        <v>0</v>
      </c>
      <c r="L281" s="31">
        <v>0</v>
      </c>
      <c r="M281" s="31">
        <v>1</v>
      </c>
      <c r="N281" s="31">
        <v>0</v>
      </c>
      <c r="O281" s="31">
        <v>40</v>
      </c>
      <c r="P281" s="31">
        <v>0</v>
      </c>
      <c r="Q281" s="31">
        <v>116</v>
      </c>
      <c r="R281" s="150">
        <v>1</v>
      </c>
      <c r="S281" s="88">
        <v>8</v>
      </c>
      <c r="U281" s="31">
        <v>55393.49</v>
      </c>
      <c r="V281" s="31">
        <v>77107.62000000001</v>
      </c>
      <c r="W281" s="31">
        <v>511840.11</v>
      </c>
      <c r="X281" s="31">
        <v>118801.83</v>
      </c>
      <c r="Y281" s="31">
        <v>18617.48</v>
      </c>
      <c r="Z281" s="31">
        <v>52585.13</v>
      </c>
      <c r="AA281" s="31">
        <v>26829.09</v>
      </c>
      <c r="AB281" s="31">
        <v>15423.270000000002</v>
      </c>
      <c r="AC281" s="31">
        <v>130646.03</v>
      </c>
      <c r="AD281" s="31">
        <v>126487.12657541814</v>
      </c>
      <c r="AE281" s="31">
        <v>24117.38</v>
      </c>
      <c r="AF281" s="31">
        <v>1157848.556575418</v>
      </c>
      <c r="AH281" s="276"/>
      <c r="AI281" s="276"/>
      <c r="AJ281" s="276"/>
      <c r="AK281" s="276"/>
      <c r="AL281" s="276"/>
      <c r="AM281" s="276"/>
      <c r="AN281" s="276"/>
      <c r="AO281" s="276"/>
      <c r="AP281" s="276"/>
      <c r="AQ281" s="276"/>
      <c r="AR281" s="276"/>
      <c r="AS281" s="276"/>
      <c r="AT281" s="276"/>
      <c r="AU281" s="276"/>
      <c r="AV281" s="276"/>
      <c r="AW281" s="394"/>
    </row>
    <row r="282" spans="1:49">
      <c r="A282" s="88">
        <v>273</v>
      </c>
      <c r="B282" s="88" t="s">
        <v>1978</v>
      </c>
      <c r="C282" s="31">
        <v>60</v>
      </c>
      <c r="D282" s="31">
        <v>0</v>
      </c>
      <c r="E282" s="31">
        <v>191</v>
      </c>
      <c r="F282" s="31">
        <v>933</v>
      </c>
      <c r="G282" s="31">
        <v>635</v>
      </c>
      <c r="H282" s="31">
        <v>0</v>
      </c>
      <c r="I282" s="31">
        <v>67</v>
      </c>
      <c r="J282" s="31">
        <v>18</v>
      </c>
      <c r="K282" s="31">
        <v>0</v>
      </c>
      <c r="L282" s="31">
        <v>0</v>
      </c>
      <c r="M282" s="31">
        <v>15</v>
      </c>
      <c r="N282" s="31">
        <v>0</v>
      </c>
      <c r="O282" s="31">
        <v>408</v>
      </c>
      <c r="P282" s="31">
        <v>0</v>
      </c>
      <c r="Q282" s="31">
        <v>1804</v>
      </c>
      <c r="R282" s="150">
        <v>1</v>
      </c>
      <c r="S282" s="88">
        <v>5</v>
      </c>
      <c r="U282" s="31">
        <v>879857.51</v>
      </c>
      <c r="V282" s="31">
        <v>1199155.48</v>
      </c>
      <c r="W282" s="31">
        <v>7121182.6600000001</v>
      </c>
      <c r="X282" s="31">
        <v>1793879.0300000003</v>
      </c>
      <c r="Y282" s="31">
        <v>279717.69999999995</v>
      </c>
      <c r="Z282" s="31">
        <v>819480.53999999992</v>
      </c>
      <c r="AA282" s="31">
        <v>447844.26000000007</v>
      </c>
      <c r="AB282" s="31">
        <v>282241.94</v>
      </c>
      <c r="AC282" s="31">
        <v>1962869.0499999998</v>
      </c>
      <c r="AD282" s="31">
        <v>1905030.866508926</v>
      </c>
      <c r="AE282" s="31">
        <v>434112.84</v>
      </c>
      <c r="AF282" s="31">
        <v>17125371.876508925</v>
      </c>
      <c r="AH282" s="276"/>
      <c r="AI282" s="276"/>
      <c r="AJ282" s="276"/>
      <c r="AK282" s="276"/>
      <c r="AL282" s="276"/>
      <c r="AM282" s="276"/>
      <c r="AN282" s="276"/>
      <c r="AO282" s="276"/>
      <c r="AP282" s="276"/>
      <c r="AQ282" s="276"/>
      <c r="AR282" s="276"/>
      <c r="AS282" s="276"/>
      <c r="AT282" s="276"/>
      <c r="AU282" s="276"/>
      <c r="AV282" s="276"/>
      <c r="AW282" s="394"/>
    </row>
    <row r="283" spans="1:49">
      <c r="A283" s="88">
        <v>274</v>
      </c>
      <c r="B283" s="88" t="s">
        <v>1979</v>
      </c>
      <c r="C283" s="31">
        <v>204</v>
      </c>
      <c r="D283" s="31">
        <v>0</v>
      </c>
      <c r="E283" s="31">
        <v>332</v>
      </c>
      <c r="F283" s="31">
        <v>1713</v>
      </c>
      <c r="G283" s="31">
        <v>945</v>
      </c>
      <c r="H283" s="31">
        <v>699</v>
      </c>
      <c r="I283" s="31">
        <v>201</v>
      </c>
      <c r="J283" s="31">
        <v>46</v>
      </c>
      <c r="K283" s="31">
        <v>106</v>
      </c>
      <c r="L283" s="31">
        <v>0</v>
      </c>
      <c r="M283" s="31">
        <v>872</v>
      </c>
      <c r="N283" s="31">
        <v>637</v>
      </c>
      <c r="O283" s="31">
        <v>2349</v>
      </c>
      <c r="P283" s="31">
        <v>0</v>
      </c>
      <c r="Q283" s="31">
        <v>5353</v>
      </c>
      <c r="R283" s="150">
        <v>1.034</v>
      </c>
      <c r="S283" s="88">
        <v>9</v>
      </c>
      <c r="U283" s="31">
        <v>2685855.6672200002</v>
      </c>
      <c r="V283" s="31">
        <v>3679229.734840001</v>
      </c>
      <c r="W283" s="31">
        <v>30656492.647</v>
      </c>
      <c r="X283" s="31">
        <v>5158705.7731000008</v>
      </c>
      <c r="Y283" s="31">
        <v>1038589.9156600001</v>
      </c>
      <c r="Z283" s="31">
        <v>3123262.3099999996</v>
      </c>
      <c r="AA283" s="31">
        <v>1574456.7656399999</v>
      </c>
      <c r="AB283" s="31">
        <v>1300479.3263000001</v>
      </c>
      <c r="AC283" s="31">
        <v>7416336.5029600002</v>
      </c>
      <c r="AD283" s="31">
        <v>6387839.9867884312</v>
      </c>
      <c r="AE283" s="31">
        <v>1109399.48</v>
      </c>
      <c r="AF283" s="31">
        <v>64130648.10950844</v>
      </c>
      <c r="AH283" s="276"/>
      <c r="AI283" s="276"/>
      <c r="AJ283" s="276"/>
      <c r="AK283" s="276"/>
      <c r="AL283" s="276"/>
      <c r="AM283" s="276"/>
      <c r="AN283" s="276"/>
      <c r="AO283" s="276"/>
      <c r="AP283" s="276"/>
      <c r="AQ283" s="276"/>
      <c r="AR283" s="276"/>
      <c r="AS283" s="276"/>
      <c r="AT283" s="276"/>
      <c r="AU283" s="276"/>
      <c r="AV283" s="276"/>
      <c r="AW283" s="394"/>
    </row>
    <row r="284" spans="1:49">
      <c r="A284" s="88">
        <v>275</v>
      </c>
      <c r="B284" s="88" t="s">
        <v>1980</v>
      </c>
      <c r="C284" s="31">
        <v>12</v>
      </c>
      <c r="D284" s="31">
        <v>0</v>
      </c>
      <c r="E284" s="31">
        <v>68</v>
      </c>
      <c r="F284" s="31">
        <v>298</v>
      </c>
      <c r="G284" s="31">
        <v>60</v>
      </c>
      <c r="H284" s="31">
        <v>0</v>
      </c>
      <c r="I284" s="31">
        <v>18</v>
      </c>
      <c r="J284" s="31">
        <v>4</v>
      </c>
      <c r="K284" s="31">
        <v>0</v>
      </c>
      <c r="L284" s="31">
        <v>0</v>
      </c>
      <c r="M284" s="31">
        <v>11</v>
      </c>
      <c r="N284" s="31">
        <v>49</v>
      </c>
      <c r="O284" s="31">
        <v>82</v>
      </c>
      <c r="P284" s="31">
        <v>0</v>
      </c>
      <c r="Q284" s="31">
        <v>492</v>
      </c>
      <c r="R284" s="150">
        <v>1</v>
      </c>
      <c r="S284" s="88">
        <v>4</v>
      </c>
      <c r="U284" s="31">
        <v>236959.1</v>
      </c>
      <c r="V284" s="31">
        <v>327042.36</v>
      </c>
      <c r="W284" s="31">
        <v>2077396.71</v>
      </c>
      <c r="X284" s="31">
        <v>495425.95999999996</v>
      </c>
      <c r="Y284" s="31">
        <v>77620.510000000009</v>
      </c>
      <c r="Z284" s="31">
        <v>262307.84999999998</v>
      </c>
      <c r="AA284" s="31">
        <v>121600.95</v>
      </c>
      <c r="AB284" s="31">
        <v>84822.97</v>
      </c>
      <c r="AC284" s="31">
        <v>554204.23</v>
      </c>
      <c r="AD284" s="31">
        <v>529353.36313754565</v>
      </c>
      <c r="AE284" s="31">
        <v>96469.52</v>
      </c>
      <c r="AF284" s="31">
        <v>4863203.5231375461</v>
      </c>
      <c r="AH284" s="276"/>
      <c r="AI284" s="276"/>
      <c r="AJ284" s="276"/>
      <c r="AK284" s="276"/>
      <c r="AL284" s="276"/>
      <c r="AM284" s="276"/>
      <c r="AN284" s="276"/>
      <c r="AO284" s="276"/>
      <c r="AP284" s="276"/>
      <c r="AQ284" s="276"/>
      <c r="AR284" s="276"/>
      <c r="AS284" s="276"/>
      <c r="AT284" s="276"/>
      <c r="AU284" s="276"/>
      <c r="AV284" s="276"/>
      <c r="AW284" s="394"/>
    </row>
    <row r="285" spans="1:49">
      <c r="A285" s="88">
        <v>276</v>
      </c>
      <c r="B285" s="88" t="s">
        <v>1981</v>
      </c>
      <c r="C285" s="31">
        <v>29</v>
      </c>
      <c r="D285" s="31">
        <v>97</v>
      </c>
      <c r="E285" s="31">
        <v>8</v>
      </c>
      <c r="F285" s="31">
        <v>632</v>
      </c>
      <c r="G285" s="31">
        <v>448</v>
      </c>
      <c r="H285" s="31">
        <v>8</v>
      </c>
      <c r="I285" s="31">
        <v>46</v>
      </c>
      <c r="J285" s="31">
        <v>12</v>
      </c>
      <c r="K285" s="31">
        <v>0</v>
      </c>
      <c r="L285" s="31">
        <v>8</v>
      </c>
      <c r="M285" s="31">
        <v>71</v>
      </c>
      <c r="N285" s="31">
        <v>0</v>
      </c>
      <c r="O285" s="31">
        <v>58</v>
      </c>
      <c r="P285" s="31">
        <v>0</v>
      </c>
      <c r="Q285" s="31">
        <v>1235</v>
      </c>
      <c r="R285" s="150">
        <v>1.0509999999999999</v>
      </c>
      <c r="S285" s="88">
        <v>1</v>
      </c>
      <c r="U285" s="31">
        <v>632167.54547999997</v>
      </c>
      <c r="V285" s="31">
        <v>862099.37681999989</v>
      </c>
      <c r="W285" s="31">
        <v>4497174.4846299998</v>
      </c>
      <c r="X285" s="31">
        <v>1274607.06048</v>
      </c>
      <c r="Y285" s="31">
        <v>188173.16302000001</v>
      </c>
      <c r="Z285" s="31">
        <v>562731.69000000006</v>
      </c>
      <c r="AA285" s="31">
        <v>329259.68679000001</v>
      </c>
      <c r="AB285" s="31">
        <v>210904.76906999995</v>
      </c>
      <c r="AC285" s="31">
        <v>1320494.8450499997</v>
      </c>
      <c r="AD285" s="31">
        <v>1242873.2080497774</v>
      </c>
      <c r="AE285" s="31">
        <v>289408.56</v>
      </c>
      <c r="AF285" s="31">
        <v>11409894.389389778</v>
      </c>
      <c r="AH285" s="276"/>
      <c r="AI285" s="276"/>
      <c r="AJ285" s="276"/>
      <c r="AK285" s="276"/>
      <c r="AL285" s="276"/>
      <c r="AM285" s="276"/>
      <c r="AN285" s="276"/>
      <c r="AO285" s="276"/>
      <c r="AP285" s="276"/>
      <c r="AQ285" s="276"/>
      <c r="AR285" s="276"/>
      <c r="AS285" s="276"/>
      <c r="AT285" s="276"/>
      <c r="AU285" s="276"/>
      <c r="AV285" s="276"/>
      <c r="AW285" s="394"/>
    </row>
    <row r="286" spans="1:49">
      <c r="A286" s="88">
        <v>277</v>
      </c>
      <c r="B286" s="88" t="s">
        <v>1982</v>
      </c>
      <c r="C286" s="31">
        <v>36</v>
      </c>
      <c r="D286" s="31">
        <v>0</v>
      </c>
      <c r="E286" s="31">
        <v>153</v>
      </c>
      <c r="F286" s="31">
        <v>740</v>
      </c>
      <c r="G286" s="31">
        <v>485</v>
      </c>
      <c r="H286" s="31">
        <v>534</v>
      </c>
      <c r="I286" s="31">
        <v>88</v>
      </c>
      <c r="J286" s="31">
        <v>24</v>
      </c>
      <c r="K286" s="31">
        <v>16</v>
      </c>
      <c r="L286" s="31">
        <v>0</v>
      </c>
      <c r="M286" s="31">
        <v>440</v>
      </c>
      <c r="N286" s="31">
        <v>2</v>
      </c>
      <c r="O286" s="31">
        <v>1520</v>
      </c>
      <c r="P286" s="31">
        <v>0</v>
      </c>
      <c r="Q286" s="31">
        <v>2380</v>
      </c>
      <c r="R286" s="150">
        <v>1</v>
      </c>
      <c r="S286" s="88">
        <v>10</v>
      </c>
      <c r="U286" s="31">
        <v>1160432.6800000002</v>
      </c>
      <c r="V286" s="31">
        <v>1582034.1199999999</v>
      </c>
      <c r="W286" s="31">
        <v>13964065.189999998</v>
      </c>
      <c r="X286" s="31">
        <v>2205851.15</v>
      </c>
      <c r="Y286" s="31">
        <v>459581.38</v>
      </c>
      <c r="Z286" s="31">
        <v>1223932.1600000001</v>
      </c>
      <c r="AA286" s="31">
        <v>675862.38</v>
      </c>
      <c r="AB286" s="31">
        <v>544363.34</v>
      </c>
      <c r="AC286" s="31">
        <v>3225544.73</v>
      </c>
      <c r="AD286" s="31">
        <v>2883447.8341102037</v>
      </c>
      <c r="AE286" s="31">
        <v>578817.12</v>
      </c>
      <c r="AF286" s="31">
        <v>28503932.0841102</v>
      </c>
      <c r="AH286" s="276"/>
      <c r="AI286" s="276"/>
      <c r="AJ286" s="276"/>
      <c r="AK286" s="276"/>
      <c r="AL286" s="276"/>
      <c r="AM286" s="276"/>
      <c r="AN286" s="276"/>
      <c r="AO286" s="276"/>
      <c r="AP286" s="276"/>
      <c r="AQ286" s="276"/>
      <c r="AR286" s="276"/>
      <c r="AS286" s="276"/>
      <c r="AT286" s="276"/>
      <c r="AU286" s="276"/>
      <c r="AV286" s="276"/>
      <c r="AW286" s="394"/>
    </row>
    <row r="287" spans="1:49">
      <c r="A287" s="88">
        <v>278</v>
      </c>
      <c r="B287" s="88" t="s">
        <v>1983</v>
      </c>
      <c r="C287" s="31">
        <v>59</v>
      </c>
      <c r="D287" s="31">
        <v>0</v>
      </c>
      <c r="E287" s="31">
        <v>150</v>
      </c>
      <c r="F287" s="31">
        <v>665</v>
      </c>
      <c r="G287" s="31">
        <v>400</v>
      </c>
      <c r="H287" s="31">
        <v>553</v>
      </c>
      <c r="I287" s="31">
        <v>70</v>
      </c>
      <c r="J287" s="31">
        <v>18</v>
      </c>
      <c r="K287" s="31">
        <v>7</v>
      </c>
      <c r="L287" s="31">
        <v>0</v>
      </c>
      <c r="M287" s="31">
        <v>49</v>
      </c>
      <c r="N287" s="31">
        <v>49</v>
      </c>
      <c r="O287" s="31">
        <v>536</v>
      </c>
      <c r="P287" s="31">
        <v>0</v>
      </c>
      <c r="Q287" s="31">
        <v>1900</v>
      </c>
      <c r="R287" s="150">
        <v>1</v>
      </c>
      <c r="S287" s="88">
        <v>6</v>
      </c>
      <c r="U287" s="31">
        <v>922441.8899999999</v>
      </c>
      <c r="V287" s="31">
        <v>1262303.9400000002</v>
      </c>
      <c r="W287" s="31">
        <v>8670096.6599999983</v>
      </c>
      <c r="X287" s="31">
        <v>1748632.4800000002</v>
      </c>
      <c r="Y287" s="31">
        <v>308514.11</v>
      </c>
      <c r="Z287" s="31">
        <v>1047737.1100000001</v>
      </c>
      <c r="AA287" s="31">
        <v>543680.4</v>
      </c>
      <c r="AB287" s="31">
        <v>497367.99000000005</v>
      </c>
      <c r="AC287" s="31">
        <v>2174517.1599999997</v>
      </c>
      <c r="AD287" s="31">
        <v>2027669.7510340703</v>
      </c>
      <c r="AE287" s="31">
        <v>434112.84</v>
      </c>
      <c r="AF287" s="31">
        <v>19637074.331034068</v>
      </c>
      <c r="AH287" s="276"/>
      <c r="AI287" s="276"/>
      <c r="AJ287" s="276"/>
      <c r="AK287" s="276"/>
      <c r="AL287" s="276"/>
      <c r="AM287" s="276"/>
      <c r="AN287" s="276"/>
      <c r="AO287" s="276"/>
      <c r="AP287" s="276"/>
      <c r="AQ287" s="276"/>
      <c r="AR287" s="276"/>
      <c r="AS287" s="276"/>
      <c r="AT287" s="276"/>
      <c r="AU287" s="276"/>
      <c r="AV287" s="276"/>
      <c r="AW287" s="394"/>
    </row>
    <row r="288" spans="1:49">
      <c r="A288" s="88">
        <v>279</v>
      </c>
      <c r="B288" s="88" t="s">
        <v>1984</v>
      </c>
      <c r="C288" s="31">
        <v>0</v>
      </c>
      <c r="D288" s="31">
        <v>0</v>
      </c>
      <c r="E288" s="31">
        <v>0</v>
      </c>
      <c r="F288" s="31">
        <v>0</v>
      </c>
      <c r="G288" s="31">
        <v>0</v>
      </c>
      <c r="H288" s="31">
        <v>0</v>
      </c>
      <c r="I288" s="31">
        <v>0</v>
      </c>
      <c r="J288" s="31">
        <v>0</v>
      </c>
      <c r="K288" s="31">
        <v>0</v>
      </c>
      <c r="L288" s="31">
        <v>0</v>
      </c>
      <c r="M288" s="31">
        <v>0</v>
      </c>
      <c r="N288" s="31">
        <v>0</v>
      </c>
      <c r="O288" s="31">
        <v>0</v>
      </c>
      <c r="P288" s="31">
        <v>0</v>
      </c>
      <c r="Q288" s="31">
        <v>0</v>
      </c>
      <c r="R288" s="150">
        <v>1</v>
      </c>
      <c r="S288" s="88">
        <v>0</v>
      </c>
      <c r="U288" s="31">
        <v>0</v>
      </c>
      <c r="V288" s="31">
        <v>0</v>
      </c>
      <c r="W288" s="31">
        <v>0</v>
      </c>
      <c r="X288" s="31">
        <v>0</v>
      </c>
      <c r="Y288" s="31">
        <v>0</v>
      </c>
      <c r="Z288" s="31">
        <v>0</v>
      </c>
      <c r="AA288" s="31">
        <v>0</v>
      </c>
      <c r="AB288" s="31">
        <v>0</v>
      </c>
      <c r="AC288" s="31">
        <v>0</v>
      </c>
      <c r="AD288" s="31">
        <v>0</v>
      </c>
      <c r="AE288" s="31">
        <v>0</v>
      </c>
      <c r="AF288" s="31">
        <v>0</v>
      </c>
      <c r="AH288" s="276"/>
      <c r="AI288" s="276"/>
      <c r="AJ288" s="276"/>
      <c r="AK288" s="276"/>
      <c r="AL288" s="276"/>
      <c r="AM288" s="276"/>
      <c r="AN288" s="276"/>
      <c r="AO288" s="276"/>
      <c r="AP288" s="276"/>
      <c r="AQ288" s="276"/>
      <c r="AR288" s="276"/>
      <c r="AS288" s="276"/>
      <c r="AT288" s="276"/>
      <c r="AU288" s="276"/>
      <c r="AV288" s="276"/>
      <c r="AW288" s="394"/>
    </row>
    <row r="289" spans="1:49">
      <c r="A289" s="88">
        <v>280</v>
      </c>
      <c r="B289" s="88" t="s">
        <v>1985</v>
      </c>
      <c r="C289" s="31">
        <v>0</v>
      </c>
      <c r="D289" s="31">
        <v>0</v>
      </c>
      <c r="E289" s="31">
        <v>0</v>
      </c>
      <c r="F289" s="31">
        <v>0</v>
      </c>
      <c r="G289" s="31">
        <v>0</v>
      </c>
      <c r="H289" s="31">
        <v>0</v>
      </c>
      <c r="I289" s="31">
        <v>0</v>
      </c>
      <c r="J289" s="31">
        <v>0</v>
      </c>
      <c r="K289" s="31">
        <v>0</v>
      </c>
      <c r="L289" s="31">
        <v>0</v>
      </c>
      <c r="M289" s="31">
        <v>0</v>
      </c>
      <c r="N289" s="31">
        <v>4</v>
      </c>
      <c r="O289" s="31">
        <v>0</v>
      </c>
      <c r="P289" s="31">
        <v>0</v>
      </c>
      <c r="Q289" s="31">
        <v>4</v>
      </c>
      <c r="R289" s="150">
        <v>1</v>
      </c>
      <c r="S289" s="88">
        <v>0</v>
      </c>
      <c r="U289" s="31">
        <v>1472.16</v>
      </c>
      <c r="V289" s="31">
        <v>2658.88</v>
      </c>
      <c r="W289" s="31">
        <v>26822</v>
      </c>
      <c r="X289" s="31">
        <v>1873.92</v>
      </c>
      <c r="Y289" s="31">
        <v>838.44</v>
      </c>
      <c r="Z289" s="31">
        <v>4940.88</v>
      </c>
      <c r="AA289" s="31">
        <v>1480.32</v>
      </c>
      <c r="AB289" s="31">
        <v>1994</v>
      </c>
      <c r="AC289" s="31">
        <v>6660.4</v>
      </c>
      <c r="AD289" s="31">
        <v>4926.3333743581898</v>
      </c>
      <c r="AE289" s="31">
        <v>0</v>
      </c>
      <c r="AF289" s="31">
        <v>53667.33337435819</v>
      </c>
      <c r="AH289" s="276"/>
      <c r="AI289" s="276"/>
      <c r="AJ289" s="276"/>
      <c r="AK289" s="276"/>
      <c r="AL289" s="276"/>
      <c r="AM289" s="276"/>
      <c r="AN289" s="276"/>
      <c r="AO289" s="276"/>
      <c r="AP289" s="276"/>
      <c r="AQ289" s="276"/>
      <c r="AR289" s="276"/>
      <c r="AS289" s="276"/>
      <c r="AT289" s="276"/>
      <c r="AU289" s="276"/>
      <c r="AV289" s="276"/>
      <c r="AW289" s="394"/>
    </row>
    <row r="290" spans="1:49">
      <c r="A290" s="88">
        <v>281</v>
      </c>
      <c r="B290" s="88" t="s">
        <v>1986</v>
      </c>
      <c r="C290" s="31">
        <v>1265</v>
      </c>
      <c r="D290" s="31">
        <v>0</v>
      </c>
      <c r="E290" s="31">
        <v>1952</v>
      </c>
      <c r="F290" s="31">
        <v>9479</v>
      </c>
      <c r="G290" s="31">
        <v>5560</v>
      </c>
      <c r="H290" s="31">
        <v>6271</v>
      </c>
      <c r="I290" s="31">
        <v>1098</v>
      </c>
      <c r="J290" s="31">
        <v>275</v>
      </c>
      <c r="K290" s="31">
        <v>0</v>
      </c>
      <c r="L290" s="31">
        <v>0</v>
      </c>
      <c r="M290" s="31">
        <v>4207</v>
      </c>
      <c r="N290" s="31">
        <v>1431</v>
      </c>
      <c r="O290" s="31">
        <v>21681</v>
      </c>
      <c r="P290" s="31">
        <v>0</v>
      </c>
      <c r="Q290" s="31">
        <v>29533</v>
      </c>
      <c r="R290" s="150">
        <v>1</v>
      </c>
      <c r="S290" s="88">
        <v>10</v>
      </c>
      <c r="U290" s="31">
        <v>14356779.900000002</v>
      </c>
      <c r="V290" s="31">
        <v>19630856.050000001</v>
      </c>
      <c r="W290" s="31">
        <v>185457733.79999998</v>
      </c>
      <c r="X290" s="31">
        <v>27400873.869999997</v>
      </c>
      <c r="Y290" s="31">
        <v>5968856.7599999998</v>
      </c>
      <c r="Z290" s="31">
        <v>16212022.73</v>
      </c>
      <c r="AA290" s="31">
        <v>8409412.2599999998</v>
      </c>
      <c r="AB290" s="31">
        <v>7080780.8799999999</v>
      </c>
      <c r="AC290" s="31">
        <v>42164908.579999998</v>
      </c>
      <c r="AD290" s="31">
        <v>37061478.283822268</v>
      </c>
      <c r="AE290" s="31">
        <v>6632279.5</v>
      </c>
      <c r="AF290" s="31">
        <v>370375982.61382222</v>
      </c>
      <c r="AH290" s="276"/>
      <c r="AI290" s="276"/>
      <c r="AJ290" s="276"/>
      <c r="AK290" s="276"/>
      <c r="AL290" s="276"/>
      <c r="AM290" s="276"/>
      <c r="AN290" s="276"/>
      <c r="AO290" s="276"/>
      <c r="AP290" s="276"/>
      <c r="AQ290" s="276"/>
      <c r="AR290" s="276"/>
      <c r="AS290" s="276"/>
      <c r="AT290" s="276"/>
      <c r="AU290" s="276"/>
      <c r="AV290" s="276"/>
      <c r="AW290" s="394"/>
    </row>
    <row r="291" spans="1:49">
      <c r="A291" s="88">
        <v>282</v>
      </c>
      <c r="B291" s="88" t="s">
        <v>1987</v>
      </c>
      <c r="C291" s="31">
        <v>0</v>
      </c>
      <c r="D291" s="31">
        <v>0</v>
      </c>
      <c r="E291" s="31">
        <v>0</v>
      </c>
      <c r="F291" s="31">
        <v>0</v>
      </c>
      <c r="G291" s="31">
        <v>0</v>
      </c>
      <c r="H291" s="31">
        <v>0</v>
      </c>
      <c r="I291" s="31">
        <v>0</v>
      </c>
      <c r="J291" s="31">
        <v>0</v>
      </c>
      <c r="K291" s="31">
        <v>0</v>
      </c>
      <c r="L291" s="31">
        <v>0</v>
      </c>
      <c r="M291" s="31">
        <v>0</v>
      </c>
      <c r="N291" s="31">
        <v>0</v>
      </c>
      <c r="O291" s="31">
        <v>0</v>
      </c>
      <c r="P291" s="31">
        <v>0</v>
      </c>
      <c r="Q291" s="31">
        <v>0</v>
      </c>
      <c r="R291" s="150">
        <v>1</v>
      </c>
      <c r="S291" s="88">
        <v>0</v>
      </c>
      <c r="U291" s="31">
        <v>0</v>
      </c>
      <c r="V291" s="31">
        <v>0</v>
      </c>
      <c r="W291" s="31">
        <v>0</v>
      </c>
      <c r="X291" s="31">
        <v>0</v>
      </c>
      <c r="Y291" s="31">
        <v>0</v>
      </c>
      <c r="Z291" s="31">
        <v>0</v>
      </c>
      <c r="AA291" s="31">
        <v>0</v>
      </c>
      <c r="AB291" s="31">
        <v>0</v>
      </c>
      <c r="AC291" s="31">
        <v>0</v>
      </c>
      <c r="AD291" s="31">
        <v>0</v>
      </c>
      <c r="AE291" s="31">
        <v>0</v>
      </c>
      <c r="AF291" s="31">
        <v>0</v>
      </c>
      <c r="AH291" s="276"/>
      <c r="AI291" s="276"/>
      <c r="AJ291" s="276"/>
      <c r="AK291" s="276"/>
      <c r="AL291" s="276"/>
      <c r="AM291" s="276"/>
      <c r="AN291" s="276"/>
      <c r="AO291" s="276"/>
      <c r="AP291" s="276"/>
      <c r="AQ291" s="276"/>
      <c r="AR291" s="276"/>
      <c r="AS291" s="276"/>
      <c r="AT291" s="276"/>
      <c r="AU291" s="276"/>
      <c r="AV291" s="276"/>
      <c r="AW291" s="394"/>
    </row>
    <row r="292" spans="1:49">
      <c r="A292" s="88">
        <v>283</v>
      </c>
      <c r="B292" s="88" t="s">
        <v>1988</v>
      </c>
      <c r="C292" s="31">
        <v>0</v>
      </c>
      <c r="D292" s="31">
        <v>0</v>
      </c>
      <c r="E292" s="31">
        <v>0</v>
      </c>
      <c r="F292" s="31">
        <v>0</v>
      </c>
      <c r="G292" s="31">
        <v>0</v>
      </c>
      <c r="H292" s="31">
        <v>0</v>
      </c>
      <c r="I292" s="31">
        <v>0</v>
      </c>
      <c r="J292" s="31">
        <v>0</v>
      </c>
      <c r="K292" s="31">
        <v>0</v>
      </c>
      <c r="L292" s="31">
        <v>0</v>
      </c>
      <c r="M292" s="31">
        <v>0</v>
      </c>
      <c r="N292" s="31">
        <v>0</v>
      </c>
      <c r="O292" s="31">
        <v>0</v>
      </c>
      <c r="P292" s="31">
        <v>0</v>
      </c>
      <c r="Q292" s="31">
        <v>0</v>
      </c>
      <c r="R292" s="150">
        <v>1</v>
      </c>
      <c r="S292" s="88">
        <v>0</v>
      </c>
      <c r="U292" s="31">
        <v>0</v>
      </c>
      <c r="V292" s="31">
        <v>0</v>
      </c>
      <c r="W292" s="31">
        <v>0</v>
      </c>
      <c r="X292" s="31">
        <v>0</v>
      </c>
      <c r="Y292" s="31">
        <v>0</v>
      </c>
      <c r="Z292" s="31">
        <v>0</v>
      </c>
      <c r="AA292" s="31">
        <v>0</v>
      </c>
      <c r="AB292" s="31">
        <v>0</v>
      </c>
      <c r="AC292" s="31">
        <v>0</v>
      </c>
      <c r="AD292" s="31">
        <v>0</v>
      </c>
      <c r="AE292" s="31">
        <v>0</v>
      </c>
      <c r="AF292" s="31">
        <v>0</v>
      </c>
      <c r="AH292" s="276"/>
      <c r="AI292" s="276"/>
      <c r="AJ292" s="276"/>
      <c r="AK292" s="276"/>
      <c r="AL292" s="276"/>
      <c r="AM292" s="276"/>
      <c r="AN292" s="276"/>
      <c r="AO292" s="276"/>
      <c r="AP292" s="276"/>
      <c r="AQ292" s="276"/>
      <c r="AR292" s="276"/>
      <c r="AS292" s="276"/>
      <c r="AT292" s="276"/>
      <c r="AU292" s="276"/>
      <c r="AV292" s="276"/>
      <c r="AW292" s="394"/>
    </row>
    <row r="293" spans="1:49">
      <c r="A293" s="88">
        <v>284</v>
      </c>
      <c r="B293" s="88" t="s">
        <v>1989</v>
      </c>
      <c r="C293" s="31">
        <v>35</v>
      </c>
      <c r="D293" s="31">
        <v>0</v>
      </c>
      <c r="E293" s="31">
        <v>174</v>
      </c>
      <c r="F293" s="31">
        <v>862</v>
      </c>
      <c r="G293" s="31">
        <v>556</v>
      </c>
      <c r="H293" s="31">
        <v>719</v>
      </c>
      <c r="I293" s="31">
        <v>91</v>
      </c>
      <c r="J293" s="31">
        <v>24</v>
      </c>
      <c r="K293" s="31">
        <v>5</v>
      </c>
      <c r="L293" s="31">
        <v>0</v>
      </c>
      <c r="M293" s="31">
        <v>77</v>
      </c>
      <c r="N293" s="31">
        <v>16</v>
      </c>
      <c r="O293" s="31">
        <v>427</v>
      </c>
      <c r="P293" s="31">
        <v>0</v>
      </c>
      <c r="Q293" s="31">
        <v>2425</v>
      </c>
      <c r="R293" s="150">
        <v>1.0369999999999999</v>
      </c>
      <c r="S293" s="88">
        <v>4</v>
      </c>
      <c r="U293" s="31">
        <v>1228063.78642</v>
      </c>
      <c r="V293" s="31">
        <v>1670899.1021599998</v>
      </c>
      <c r="W293" s="31">
        <v>10462452.604669999</v>
      </c>
      <c r="X293" s="31">
        <v>2326578.5019800006</v>
      </c>
      <c r="Y293" s="31">
        <v>386814.25286000007</v>
      </c>
      <c r="Z293" s="31">
        <v>1304487.94</v>
      </c>
      <c r="AA293" s="31">
        <v>718934.08730999986</v>
      </c>
      <c r="AB293" s="31">
        <v>651337.97857999988</v>
      </c>
      <c r="AC293" s="31">
        <v>2717671.90423</v>
      </c>
      <c r="AD293" s="31">
        <v>2492367.5791623909</v>
      </c>
      <c r="AE293" s="31">
        <v>578817.12</v>
      </c>
      <c r="AF293" s="31">
        <v>24538424.857372392</v>
      </c>
      <c r="AH293" s="276"/>
      <c r="AI293" s="276"/>
      <c r="AJ293" s="276"/>
      <c r="AK293" s="276"/>
      <c r="AL293" s="276"/>
      <c r="AM293" s="276"/>
      <c r="AN293" s="276"/>
      <c r="AO293" s="276"/>
      <c r="AP293" s="276"/>
      <c r="AQ293" s="276"/>
      <c r="AR293" s="276"/>
      <c r="AS293" s="276"/>
      <c r="AT293" s="276"/>
      <c r="AU293" s="276"/>
      <c r="AV293" s="276"/>
      <c r="AW293" s="394"/>
    </row>
    <row r="294" spans="1:49">
      <c r="A294" s="88">
        <v>285</v>
      </c>
      <c r="B294" s="88" t="s">
        <v>1990</v>
      </c>
      <c r="C294" s="31">
        <v>101</v>
      </c>
      <c r="D294" s="31">
        <v>0</v>
      </c>
      <c r="E294" s="31">
        <v>232</v>
      </c>
      <c r="F294" s="31">
        <v>1300</v>
      </c>
      <c r="G294" s="31">
        <v>800</v>
      </c>
      <c r="H294" s="31">
        <v>1101</v>
      </c>
      <c r="I294" s="31">
        <v>135</v>
      </c>
      <c r="J294" s="31">
        <v>36</v>
      </c>
      <c r="K294" s="31">
        <v>0</v>
      </c>
      <c r="L294" s="31">
        <v>0</v>
      </c>
      <c r="M294" s="31">
        <v>167</v>
      </c>
      <c r="N294" s="31">
        <v>0</v>
      </c>
      <c r="O294" s="31">
        <v>1080</v>
      </c>
      <c r="P294" s="31">
        <v>0</v>
      </c>
      <c r="Q294" s="31">
        <v>3651</v>
      </c>
      <c r="R294" s="150">
        <v>1.038</v>
      </c>
      <c r="S294" s="88">
        <v>7</v>
      </c>
      <c r="U294" s="31">
        <v>1845456.7538399999</v>
      </c>
      <c r="V294" s="31">
        <v>2518770.70206</v>
      </c>
      <c r="W294" s="31">
        <v>17273094.846240003</v>
      </c>
      <c r="X294" s="31">
        <v>3493265.7271199999</v>
      </c>
      <c r="Y294" s="31">
        <v>614930.26806000003</v>
      </c>
      <c r="Z294" s="31">
        <v>1949497.48</v>
      </c>
      <c r="AA294" s="31">
        <v>1083595.8626999999</v>
      </c>
      <c r="AB294" s="31">
        <v>976629.00774000003</v>
      </c>
      <c r="AC294" s="31">
        <v>4315273.8500399999</v>
      </c>
      <c r="AD294" s="31">
        <v>3891674.3376731873</v>
      </c>
      <c r="AE294" s="31">
        <v>868225.68</v>
      </c>
      <c r="AF294" s="31">
        <v>38830414.515473194</v>
      </c>
      <c r="AH294" s="276"/>
      <c r="AI294" s="276"/>
      <c r="AJ294" s="276"/>
      <c r="AK294" s="276"/>
      <c r="AL294" s="276"/>
      <c r="AM294" s="276"/>
      <c r="AN294" s="276"/>
      <c r="AO294" s="276"/>
      <c r="AP294" s="276"/>
      <c r="AQ294" s="276"/>
      <c r="AR294" s="276"/>
      <c r="AS294" s="276"/>
      <c r="AT294" s="276"/>
      <c r="AU294" s="276"/>
      <c r="AV294" s="276"/>
      <c r="AW294" s="394"/>
    </row>
    <row r="295" spans="1:49">
      <c r="A295" s="88">
        <v>286</v>
      </c>
      <c r="B295" s="88" t="s">
        <v>1991</v>
      </c>
      <c r="C295" s="31">
        <v>0</v>
      </c>
      <c r="D295" s="31">
        <v>0</v>
      </c>
      <c r="E295" s="31">
        <v>0</v>
      </c>
      <c r="F295" s="31">
        <v>0</v>
      </c>
      <c r="G295" s="31">
        <v>0</v>
      </c>
      <c r="H295" s="31">
        <v>0</v>
      </c>
      <c r="I295" s="31">
        <v>0</v>
      </c>
      <c r="J295" s="31">
        <v>0</v>
      </c>
      <c r="K295" s="31">
        <v>0</v>
      </c>
      <c r="L295" s="31">
        <v>0</v>
      </c>
      <c r="M295" s="31">
        <v>0</v>
      </c>
      <c r="N295" s="31">
        <v>2</v>
      </c>
      <c r="O295" s="31">
        <v>0</v>
      </c>
      <c r="P295" s="31">
        <v>0</v>
      </c>
      <c r="Q295" s="31">
        <v>2</v>
      </c>
      <c r="R295" s="150">
        <v>1.0489999999999999</v>
      </c>
      <c r="S295" s="88">
        <v>0</v>
      </c>
      <c r="U295" s="31">
        <v>772.14792</v>
      </c>
      <c r="V295" s="31">
        <v>1394.5825600000001</v>
      </c>
      <c r="W295" s="31">
        <v>14068.138999999999</v>
      </c>
      <c r="X295" s="31">
        <v>982.87103999999999</v>
      </c>
      <c r="Y295" s="31">
        <v>439.76177999999999</v>
      </c>
      <c r="Z295" s="31">
        <v>2470.44</v>
      </c>
      <c r="AA295" s="31">
        <v>776.42783999999995</v>
      </c>
      <c r="AB295" s="31">
        <v>1045.8529999999998</v>
      </c>
      <c r="AC295" s="31">
        <v>3493.3797999999997</v>
      </c>
      <c r="AD295" s="31">
        <v>2463.1666871790949</v>
      </c>
      <c r="AE295" s="31">
        <v>0</v>
      </c>
      <c r="AF295" s="31">
        <v>27906.769627179092</v>
      </c>
      <c r="AH295" s="276"/>
      <c r="AI295" s="276"/>
      <c r="AJ295" s="276"/>
      <c r="AK295" s="276"/>
      <c r="AL295" s="276"/>
      <c r="AM295" s="276"/>
      <c r="AN295" s="276"/>
      <c r="AO295" s="276"/>
      <c r="AP295" s="276"/>
      <c r="AQ295" s="276"/>
      <c r="AR295" s="276"/>
      <c r="AS295" s="276"/>
      <c r="AT295" s="276"/>
      <c r="AU295" s="276"/>
      <c r="AV295" s="276"/>
      <c r="AW295" s="394"/>
    </row>
    <row r="296" spans="1:49">
      <c r="A296" s="88">
        <v>287</v>
      </c>
      <c r="B296" s="88" t="s">
        <v>1992</v>
      </c>
      <c r="C296" s="31">
        <v>30</v>
      </c>
      <c r="D296" s="31">
        <v>0</v>
      </c>
      <c r="E296" s="31">
        <v>112</v>
      </c>
      <c r="F296" s="31">
        <v>612</v>
      </c>
      <c r="G296" s="31">
        <v>128</v>
      </c>
      <c r="H296" s="31">
        <v>0</v>
      </c>
      <c r="I296" s="31">
        <v>32</v>
      </c>
      <c r="J296" s="31">
        <v>9</v>
      </c>
      <c r="K296" s="31">
        <v>0</v>
      </c>
      <c r="L296" s="31">
        <v>0</v>
      </c>
      <c r="M296" s="31">
        <v>3</v>
      </c>
      <c r="N296" s="31">
        <v>1</v>
      </c>
      <c r="O296" s="31">
        <v>159</v>
      </c>
      <c r="P296" s="31">
        <v>0</v>
      </c>
      <c r="Q296" s="31">
        <v>871</v>
      </c>
      <c r="R296" s="150">
        <v>1</v>
      </c>
      <c r="S296" s="88">
        <v>4</v>
      </c>
      <c r="U296" s="31">
        <v>424709.28999999992</v>
      </c>
      <c r="V296" s="31">
        <v>578971.42000000004</v>
      </c>
      <c r="W296" s="31">
        <v>3374425.1400000006</v>
      </c>
      <c r="X296" s="31">
        <v>902860.65</v>
      </c>
      <c r="Y296" s="31">
        <v>130293.67000000001</v>
      </c>
      <c r="Z296" s="31">
        <v>396329.31</v>
      </c>
      <c r="AA296" s="31">
        <v>202947.56999999998</v>
      </c>
      <c r="AB296" s="31">
        <v>120770.67</v>
      </c>
      <c r="AC296" s="31">
        <v>914502.67</v>
      </c>
      <c r="AD296" s="31">
        <v>907549.15769686888</v>
      </c>
      <c r="AE296" s="31">
        <v>217056.42</v>
      </c>
      <c r="AF296" s="31">
        <v>8170415.9676968697</v>
      </c>
      <c r="AH296" s="276"/>
      <c r="AI296" s="276"/>
      <c r="AJ296" s="276"/>
      <c r="AK296" s="276"/>
      <c r="AL296" s="276"/>
      <c r="AM296" s="276"/>
      <c r="AN296" s="276"/>
      <c r="AO296" s="276"/>
      <c r="AP296" s="276"/>
      <c r="AQ296" s="276"/>
      <c r="AR296" s="276"/>
      <c r="AS296" s="276"/>
      <c r="AT296" s="276"/>
      <c r="AU296" s="276"/>
      <c r="AV296" s="276"/>
      <c r="AW296" s="394"/>
    </row>
    <row r="297" spans="1:49">
      <c r="A297" s="88">
        <v>288</v>
      </c>
      <c r="B297" s="88" t="s">
        <v>1993</v>
      </c>
      <c r="C297" s="31">
        <v>19</v>
      </c>
      <c r="D297" s="31">
        <v>0</v>
      </c>
      <c r="E297" s="31">
        <v>239</v>
      </c>
      <c r="F297" s="31">
        <v>1500</v>
      </c>
      <c r="G297" s="31">
        <v>985</v>
      </c>
      <c r="H297" s="31">
        <v>0</v>
      </c>
      <c r="I297" s="31">
        <v>104</v>
      </c>
      <c r="J297" s="31">
        <v>28</v>
      </c>
      <c r="K297" s="31">
        <v>0</v>
      </c>
      <c r="L297" s="31">
        <v>0</v>
      </c>
      <c r="M297" s="31">
        <v>31</v>
      </c>
      <c r="N297" s="31">
        <v>23</v>
      </c>
      <c r="O297" s="31">
        <v>165</v>
      </c>
      <c r="P297" s="31">
        <v>0</v>
      </c>
      <c r="Q297" s="31">
        <v>2788</v>
      </c>
      <c r="R297" s="150">
        <v>1.036</v>
      </c>
      <c r="S297" s="88">
        <v>1</v>
      </c>
      <c r="U297" s="31">
        <v>1410215.1036400001</v>
      </c>
      <c r="V297" s="31">
        <v>1919611.8488400003</v>
      </c>
      <c r="W297" s="31">
        <v>9979092.7611200009</v>
      </c>
      <c r="X297" s="31">
        <v>2865893.5650800006</v>
      </c>
      <c r="Y297" s="31">
        <v>416965.16708000004</v>
      </c>
      <c r="Z297" s="31">
        <v>1284673.01</v>
      </c>
      <c r="AA297" s="31">
        <v>721330.59180000005</v>
      </c>
      <c r="AB297" s="31">
        <v>465120.39476000005</v>
      </c>
      <c r="AC297" s="31">
        <v>2930580.4519599993</v>
      </c>
      <c r="AD297" s="31">
        <v>2805626.1733523537</v>
      </c>
      <c r="AE297" s="31">
        <v>675286.64</v>
      </c>
      <c r="AF297" s="31">
        <v>25474395.707632355</v>
      </c>
      <c r="AH297" s="276"/>
      <c r="AI297" s="276"/>
      <c r="AJ297" s="276"/>
      <c r="AK297" s="276"/>
      <c r="AL297" s="276"/>
      <c r="AM297" s="276"/>
      <c r="AN297" s="276"/>
      <c r="AO297" s="276"/>
      <c r="AP297" s="276"/>
      <c r="AQ297" s="276"/>
      <c r="AR297" s="276"/>
      <c r="AS297" s="276"/>
      <c r="AT297" s="276"/>
      <c r="AU297" s="276"/>
      <c r="AV297" s="276"/>
      <c r="AW297" s="394"/>
    </row>
    <row r="298" spans="1:49">
      <c r="A298" s="88">
        <v>289</v>
      </c>
      <c r="B298" s="88" t="s">
        <v>1994</v>
      </c>
      <c r="C298" s="31">
        <v>7</v>
      </c>
      <c r="D298" s="31">
        <v>1</v>
      </c>
      <c r="E298" s="31">
        <v>30</v>
      </c>
      <c r="F298" s="31">
        <v>117</v>
      </c>
      <c r="G298" s="31">
        <v>29</v>
      </c>
      <c r="H298" s="31">
        <v>0</v>
      </c>
      <c r="I298" s="31">
        <v>7</v>
      </c>
      <c r="J298" s="31">
        <v>2</v>
      </c>
      <c r="K298" s="31">
        <v>0</v>
      </c>
      <c r="L298" s="31">
        <v>0</v>
      </c>
      <c r="M298" s="31">
        <v>14</v>
      </c>
      <c r="N298" s="31">
        <v>2</v>
      </c>
      <c r="O298" s="31">
        <v>73</v>
      </c>
      <c r="P298" s="31">
        <v>0</v>
      </c>
      <c r="Q298" s="31">
        <v>197</v>
      </c>
      <c r="R298" s="150">
        <v>1</v>
      </c>
      <c r="S298" s="88">
        <v>9</v>
      </c>
      <c r="U298" s="31">
        <v>94997.27</v>
      </c>
      <c r="V298" s="31">
        <v>130285.20000000001</v>
      </c>
      <c r="W298" s="31">
        <v>910883.16999999981</v>
      </c>
      <c r="X298" s="31">
        <v>198909.67</v>
      </c>
      <c r="Y298" s="31">
        <v>32744.880000000005</v>
      </c>
      <c r="Z298" s="31">
        <v>90524.020000000019</v>
      </c>
      <c r="AA298" s="31">
        <v>46925.22</v>
      </c>
      <c r="AB298" s="31">
        <v>27604.07</v>
      </c>
      <c r="AC298" s="31">
        <v>230175.14</v>
      </c>
      <c r="AD298" s="31">
        <v>219178.59826053251</v>
      </c>
      <c r="AE298" s="31">
        <v>48234.76</v>
      </c>
      <c r="AF298" s="31">
        <v>2030461.9982605327</v>
      </c>
      <c r="AH298" s="276"/>
      <c r="AI298" s="276"/>
      <c r="AJ298" s="276"/>
      <c r="AK298" s="276"/>
      <c r="AL298" s="276"/>
      <c r="AM298" s="276"/>
      <c r="AN298" s="276"/>
      <c r="AO298" s="276"/>
      <c r="AP298" s="276"/>
      <c r="AQ298" s="276"/>
      <c r="AR298" s="276"/>
      <c r="AS298" s="276"/>
      <c r="AT298" s="276"/>
      <c r="AU298" s="276"/>
      <c r="AV298" s="276"/>
      <c r="AW298" s="394"/>
    </row>
    <row r="299" spans="1:49">
      <c r="A299" s="88">
        <v>290</v>
      </c>
      <c r="B299" s="88" t="s">
        <v>1995</v>
      </c>
      <c r="C299" s="31">
        <v>30</v>
      </c>
      <c r="D299" s="31">
        <v>0</v>
      </c>
      <c r="E299" s="31">
        <v>81</v>
      </c>
      <c r="F299" s="31">
        <v>526</v>
      </c>
      <c r="G299" s="31">
        <v>365</v>
      </c>
      <c r="H299" s="31">
        <v>417</v>
      </c>
      <c r="I299" s="31">
        <v>53</v>
      </c>
      <c r="J299" s="31">
        <v>14</v>
      </c>
      <c r="K299" s="31">
        <v>0</v>
      </c>
      <c r="L299" s="31">
        <v>0</v>
      </c>
      <c r="M299" s="31">
        <v>15</v>
      </c>
      <c r="N299" s="31">
        <v>3</v>
      </c>
      <c r="O299" s="31">
        <v>145</v>
      </c>
      <c r="P299" s="31">
        <v>0</v>
      </c>
      <c r="Q299" s="31">
        <v>1422</v>
      </c>
      <c r="R299" s="150">
        <v>1</v>
      </c>
      <c r="S299" s="88">
        <v>2</v>
      </c>
      <c r="U299" s="31">
        <v>693543.2300000001</v>
      </c>
      <c r="V299" s="31">
        <v>945232.14000000013</v>
      </c>
      <c r="W299" s="31">
        <v>5490501.7800000003</v>
      </c>
      <c r="X299" s="31">
        <v>1313098.6299999999</v>
      </c>
      <c r="Y299" s="31">
        <v>209757.58</v>
      </c>
      <c r="Z299" s="31">
        <v>758782.32000000007</v>
      </c>
      <c r="AA299" s="31">
        <v>405573.93</v>
      </c>
      <c r="AB299" s="31">
        <v>368347.49</v>
      </c>
      <c r="AC299" s="31">
        <v>1472536.92</v>
      </c>
      <c r="AD299" s="31">
        <v>1419394.6915563738</v>
      </c>
      <c r="AE299" s="31">
        <v>337643.32</v>
      </c>
      <c r="AF299" s="31">
        <v>13414412.031556375</v>
      </c>
      <c r="AH299" s="276"/>
      <c r="AI299" s="276"/>
      <c r="AJ299" s="276"/>
      <c r="AK299" s="276"/>
      <c r="AL299" s="276"/>
      <c r="AM299" s="276"/>
      <c r="AN299" s="276"/>
      <c r="AO299" s="276"/>
      <c r="AP299" s="276"/>
      <c r="AQ299" s="276"/>
      <c r="AR299" s="276"/>
      <c r="AS299" s="276"/>
      <c r="AT299" s="276"/>
      <c r="AU299" s="276"/>
      <c r="AV299" s="276"/>
      <c r="AW299" s="394"/>
    </row>
    <row r="300" spans="1:49">
      <c r="A300" s="88">
        <v>291</v>
      </c>
      <c r="B300" s="88" t="s">
        <v>1996</v>
      </c>
      <c r="C300" s="31">
        <v>57</v>
      </c>
      <c r="D300" s="31">
        <v>0</v>
      </c>
      <c r="E300" s="31">
        <v>131</v>
      </c>
      <c r="F300" s="31">
        <v>733</v>
      </c>
      <c r="G300" s="31">
        <v>524</v>
      </c>
      <c r="H300" s="31">
        <v>613</v>
      </c>
      <c r="I300" s="31">
        <v>78</v>
      </c>
      <c r="J300" s="31">
        <v>21</v>
      </c>
      <c r="K300" s="31">
        <v>0</v>
      </c>
      <c r="L300" s="31">
        <v>0</v>
      </c>
      <c r="M300" s="31">
        <v>89</v>
      </c>
      <c r="N300" s="31">
        <v>0</v>
      </c>
      <c r="O300" s="31">
        <v>362</v>
      </c>
      <c r="P300" s="31">
        <v>0</v>
      </c>
      <c r="Q300" s="31">
        <v>2119</v>
      </c>
      <c r="R300" s="150">
        <v>1</v>
      </c>
      <c r="S300" s="88">
        <v>4</v>
      </c>
      <c r="U300" s="31">
        <v>1031168.16</v>
      </c>
      <c r="V300" s="31">
        <v>1408209.8900000001</v>
      </c>
      <c r="W300" s="31">
        <v>8721549.0299999993</v>
      </c>
      <c r="X300" s="31">
        <v>1946627.8300000003</v>
      </c>
      <c r="Y300" s="31">
        <v>324502.33000000007</v>
      </c>
      <c r="Z300" s="31">
        <v>1124365.4200000002</v>
      </c>
      <c r="AA300" s="31">
        <v>605781.75</v>
      </c>
      <c r="AB300" s="31">
        <v>541723.66</v>
      </c>
      <c r="AC300" s="31">
        <v>2277188.0099999998</v>
      </c>
      <c r="AD300" s="31">
        <v>2168382.7550093383</v>
      </c>
      <c r="AE300" s="31">
        <v>506464.98000000004</v>
      </c>
      <c r="AF300" s="31">
        <v>20655963.815009337</v>
      </c>
      <c r="AH300" s="276"/>
      <c r="AI300" s="276"/>
      <c r="AJ300" s="276"/>
      <c r="AK300" s="276"/>
      <c r="AL300" s="276"/>
      <c r="AM300" s="276"/>
      <c r="AN300" s="276"/>
      <c r="AO300" s="276"/>
      <c r="AP300" s="276"/>
      <c r="AQ300" s="276"/>
      <c r="AR300" s="276"/>
      <c r="AS300" s="276"/>
      <c r="AT300" s="276"/>
      <c r="AU300" s="276"/>
      <c r="AV300" s="276"/>
      <c r="AW300" s="394"/>
    </row>
    <row r="301" spans="1:49">
      <c r="A301" s="88">
        <v>292</v>
      </c>
      <c r="B301" s="88" t="s">
        <v>1997</v>
      </c>
      <c r="C301" s="31">
        <v>64</v>
      </c>
      <c r="D301" s="31">
        <v>0</v>
      </c>
      <c r="E301" s="31">
        <v>165</v>
      </c>
      <c r="F301" s="31">
        <v>805</v>
      </c>
      <c r="G301" s="31">
        <v>497</v>
      </c>
      <c r="H301" s="31">
        <v>539</v>
      </c>
      <c r="I301" s="31">
        <v>76</v>
      </c>
      <c r="J301" s="31">
        <v>20</v>
      </c>
      <c r="K301" s="31">
        <v>0</v>
      </c>
      <c r="L301" s="31">
        <v>0</v>
      </c>
      <c r="M301" s="31">
        <v>11</v>
      </c>
      <c r="N301" s="31">
        <v>0</v>
      </c>
      <c r="O301" s="31">
        <v>461</v>
      </c>
      <c r="P301" s="31">
        <v>0</v>
      </c>
      <c r="Q301" s="31">
        <v>2049</v>
      </c>
      <c r="R301" s="150">
        <v>1</v>
      </c>
      <c r="S301" s="88">
        <v>5</v>
      </c>
      <c r="U301" s="31">
        <v>997969.00000000012</v>
      </c>
      <c r="V301" s="31">
        <v>1362011.92</v>
      </c>
      <c r="W301" s="31">
        <v>8635859.1999999993</v>
      </c>
      <c r="X301" s="31">
        <v>1917919.9699999997</v>
      </c>
      <c r="Y301" s="31">
        <v>318290.93999999994</v>
      </c>
      <c r="Z301" s="31">
        <v>1073411.8899999999</v>
      </c>
      <c r="AA301" s="31">
        <v>571682.58000000007</v>
      </c>
      <c r="AB301" s="31">
        <v>501512.56</v>
      </c>
      <c r="AC301" s="31">
        <v>2233578.19</v>
      </c>
      <c r="AD301" s="31">
        <v>2126931.292529508</v>
      </c>
      <c r="AE301" s="31">
        <v>482347.60000000003</v>
      </c>
      <c r="AF301" s="31">
        <v>20221515.14252951</v>
      </c>
      <c r="AH301" s="276"/>
      <c r="AI301" s="276"/>
      <c r="AJ301" s="276"/>
      <c r="AK301" s="276"/>
      <c r="AL301" s="276"/>
      <c r="AM301" s="276"/>
      <c r="AN301" s="276"/>
      <c r="AO301" s="276"/>
      <c r="AP301" s="276"/>
      <c r="AQ301" s="276"/>
      <c r="AR301" s="276"/>
      <c r="AS301" s="276"/>
      <c r="AT301" s="276"/>
      <c r="AU301" s="276"/>
      <c r="AV301" s="276"/>
      <c r="AW301" s="394"/>
    </row>
    <row r="302" spans="1:49">
      <c r="A302" s="88">
        <v>293</v>
      </c>
      <c r="B302" s="88" t="s">
        <v>1998</v>
      </c>
      <c r="C302" s="31">
        <v>324</v>
      </c>
      <c r="D302" s="31">
        <v>0</v>
      </c>
      <c r="E302" s="31">
        <v>524</v>
      </c>
      <c r="F302" s="31">
        <v>3075</v>
      </c>
      <c r="G302" s="31">
        <v>1957</v>
      </c>
      <c r="H302" s="31">
        <v>1181</v>
      </c>
      <c r="I302" s="31">
        <v>303</v>
      </c>
      <c r="J302" s="31">
        <v>70</v>
      </c>
      <c r="K302" s="31">
        <v>7</v>
      </c>
      <c r="L302" s="31">
        <v>0</v>
      </c>
      <c r="M302" s="31">
        <v>290</v>
      </c>
      <c r="N302" s="31">
        <v>819</v>
      </c>
      <c r="O302" s="31">
        <v>3695</v>
      </c>
      <c r="P302" s="31">
        <v>0</v>
      </c>
      <c r="Q302" s="31">
        <v>8012</v>
      </c>
      <c r="R302" s="150">
        <v>1</v>
      </c>
      <c r="S302" s="88">
        <v>9</v>
      </c>
      <c r="U302" s="31">
        <v>3896031.79</v>
      </c>
      <c r="V302" s="31">
        <v>5325407.59</v>
      </c>
      <c r="W302" s="31">
        <v>42720844.339999996</v>
      </c>
      <c r="X302" s="31">
        <v>7535805.25</v>
      </c>
      <c r="Y302" s="31">
        <v>1464808.94</v>
      </c>
      <c r="Z302" s="31">
        <v>4604163.67</v>
      </c>
      <c r="AA302" s="31">
        <v>2238722.34</v>
      </c>
      <c r="AB302" s="31">
        <v>1926411.3599999999</v>
      </c>
      <c r="AC302" s="31">
        <v>10438367.57</v>
      </c>
      <c r="AD302" s="31">
        <v>9385496.3628428988</v>
      </c>
      <c r="AE302" s="31">
        <v>1688216.6</v>
      </c>
      <c r="AF302" s="31">
        <v>91224275.812842891</v>
      </c>
      <c r="AH302" s="276"/>
      <c r="AI302" s="276"/>
      <c r="AJ302" s="276"/>
      <c r="AK302" s="276"/>
      <c r="AL302" s="276"/>
      <c r="AM302" s="276"/>
      <c r="AN302" s="276"/>
      <c r="AO302" s="276"/>
      <c r="AP302" s="276"/>
      <c r="AQ302" s="276"/>
      <c r="AR302" s="276"/>
      <c r="AS302" s="276"/>
      <c r="AT302" s="276"/>
      <c r="AU302" s="276"/>
      <c r="AV302" s="276"/>
      <c r="AW302" s="394"/>
    </row>
    <row r="303" spans="1:49">
      <c r="A303" s="88">
        <v>294</v>
      </c>
      <c r="B303" s="88" t="s">
        <v>1999</v>
      </c>
      <c r="C303" s="31">
        <v>0</v>
      </c>
      <c r="D303" s="31">
        <v>0</v>
      </c>
      <c r="E303" s="31">
        <v>0</v>
      </c>
      <c r="F303" s="31">
        <v>0</v>
      </c>
      <c r="G303" s="31">
        <v>0</v>
      </c>
      <c r="H303" s="31">
        <v>0</v>
      </c>
      <c r="I303" s="31">
        <v>0</v>
      </c>
      <c r="J303" s="31">
        <v>0</v>
      </c>
      <c r="K303" s="31">
        <v>0</v>
      </c>
      <c r="L303" s="31">
        <v>0</v>
      </c>
      <c r="M303" s="31">
        <v>0</v>
      </c>
      <c r="N303" s="31">
        <v>1</v>
      </c>
      <c r="O303" s="31">
        <v>0</v>
      </c>
      <c r="P303" s="31">
        <v>0</v>
      </c>
      <c r="Q303" s="31">
        <v>1</v>
      </c>
      <c r="R303" s="150">
        <v>1</v>
      </c>
      <c r="S303" s="88">
        <v>0</v>
      </c>
      <c r="U303" s="31">
        <v>368.04</v>
      </c>
      <c r="V303" s="31">
        <v>664.72</v>
      </c>
      <c r="W303" s="31">
        <v>6705.5</v>
      </c>
      <c r="X303" s="31">
        <v>468.48</v>
      </c>
      <c r="Y303" s="31">
        <v>209.61</v>
      </c>
      <c r="Z303" s="31">
        <v>1235.22</v>
      </c>
      <c r="AA303" s="31">
        <v>370.08</v>
      </c>
      <c r="AB303" s="31">
        <v>498.5</v>
      </c>
      <c r="AC303" s="31">
        <v>1665.1</v>
      </c>
      <c r="AD303" s="31">
        <v>1231.5833435895474</v>
      </c>
      <c r="AE303" s="31">
        <v>0</v>
      </c>
      <c r="AF303" s="31">
        <v>13416.833343589547</v>
      </c>
      <c r="AH303" s="276"/>
      <c r="AI303" s="276"/>
      <c r="AJ303" s="276"/>
      <c r="AK303" s="276"/>
      <c r="AL303" s="276"/>
      <c r="AM303" s="276"/>
      <c r="AN303" s="276"/>
      <c r="AO303" s="276"/>
      <c r="AP303" s="276"/>
      <c r="AQ303" s="276"/>
      <c r="AR303" s="276"/>
      <c r="AS303" s="276"/>
      <c r="AT303" s="276"/>
      <c r="AU303" s="276"/>
      <c r="AV303" s="276"/>
      <c r="AW303" s="394"/>
    </row>
    <row r="304" spans="1:49">
      <c r="A304" s="88">
        <v>295</v>
      </c>
      <c r="B304" s="88" t="s">
        <v>2000</v>
      </c>
      <c r="C304" s="31">
        <v>48</v>
      </c>
      <c r="D304" s="31">
        <v>0</v>
      </c>
      <c r="E304" s="31">
        <v>262</v>
      </c>
      <c r="F304" s="31">
        <v>1268</v>
      </c>
      <c r="G304" s="31">
        <v>925</v>
      </c>
      <c r="H304" s="31">
        <v>1055</v>
      </c>
      <c r="I304" s="31">
        <v>134</v>
      </c>
      <c r="J304" s="31">
        <v>36</v>
      </c>
      <c r="K304" s="31">
        <v>0</v>
      </c>
      <c r="L304" s="31">
        <v>0</v>
      </c>
      <c r="M304" s="31">
        <v>55</v>
      </c>
      <c r="N304" s="31">
        <v>6</v>
      </c>
      <c r="O304" s="31">
        <v>577</v>
      </c>
      <c r="P304" s="31">
        <v>0</v>
      </c>
      <c r="Q304" s="31">
        <v>3595</v>
      </c>
      <c r="R304" s="150">
        <v>1.004</v>
      </c>
      <c r="S304" s="88">
        <v>3</v>
      </c>
      <c r="U304" s="31">
        <v>1761949.4991200001</v>
      </c>
      <c r="V304" s="31">
        <v>2399227.5555199999</v>
      </c>
      <c r="W304" s="31">
        <v>14612798.7216</v>
      </c>
      <c r="X304" s="31">
        <v>3330136.727</v>
      </c>
      <c r="Y304" s="31">
        <v>547475.92899999989</v>
      </c>
      <c r="Z304" s="31">
        <v>1917248.69</v>
      </c>
      <c r="AA304" s="31">
        <v>1030747.7848799998</v>
      </c>
      <c r="AB304" s="31">
        <v>932926.56891999999</v>
      </c>
      <c r="AC304" s="31">
        <v>3843017.05492</v>
      </c>
      <c r="AD304" s="31">
        <v>3656862.8516187211</v>
      </c>
      <c r="AE304" s="31">
        <v>868225.68</v>
      </c>
      <c r="AF304" s="31">
        <v>34900617.062578723</v>
      </c>
      <c r="AH304" s="276"/>
      <c r="AI304" s="276"/>
      <c r="AJ304" s="276"/>
      <c r="AK304" s="276"/>
      <c r="AL304" s="276"/>
      <c r="AM304" s="276"/>
      <c r="AN304" s="276"/>
      <c r="AO304" s="276"/>
      <c r="AP304" s="276"/>
      <c r="AQ304" s="276"/>
      <c r="AR304" s="276"/>
      <c r="AS304" s="276"/>
      <c r="AT304" s="276"/>
      <c r="AU304" s="276"/>
      <c r="AV304" s="276"/>
      <c r="AW304" s="394"/>
    </row>
    <row r="305" spans="1:49">
      <c r="A305" s="88">
        <v>296</v>
      </c>
      <c r="B305" s="88" t="s">
        <v>2001</v>
      </c>
      <c r="C305" s="31">
        <v>3</v>
      </c>
      <c r="D305" s="31">
        <v>0</v>
      </c>
      <c r="E305" s="31">
        <v>25</v>
      </c>
      <c r="F305" s="31">
        <v>150</v>
      </c>
      <c r="G305" s="31">
        <v>109</v>
      </c>
      <c r="H305" s="31">
        <v>0</v>
      </c>
      <c r="I305" s="31">
        <v>14</v>
      </c>
      <c r="J305" s="31">
        <v>4</v>
      </c>
      <c r="K305" s="31">
        <v>3</v>
      </c>
      <c r="L305" s="31">
        <v>0</v>
      </c>
      <c r="M305" s="31">
        <v>77</v>
      </c>
      <c r="N305" s="31">
        <v>0</v>
      </c>
      <c r="O305" s="31">
        <v>112</v>
      </c>
      <c r="P305" s="31">
        <v>0</v>
      </c>
      <c r="Q305" s="31">
        <v>365</v>
      </c>
      <c r="R305" s="150">
        <v>1</v>
      </c>
      <c r="S305" s="88">
        <v>7</v>
      </c>
      <c r="U305" s="31">
        <v>179689.34999999998</v>
      </c>
      <c r="V305" s="31">
        <v>241958.13999999998</v>
      </c>
      <c r="W305" s="31">
        <v>1663785.4500000002</v>
      </c>
      <c r="X305" s="31">
        <v>358102.95000000007</v>
      </c>
      <c r="Y305" s="31">
        <v>61848.299999999996</v>
      </c>
      <c r="Z305" s="31">
        <v>165519.50999999998</v>
      </c>
      <c r="AA305" s="31">
        <v>94501.470000000016</v>
      </c>
      <c r="AB305" s="31">
        <v>56143.88</v>
      </c>
      <c r="AC305" s="31">
        <v>434022.47</v>
      </c>
      <c r="AD305" s="31">
        <v>408449.26197162009</v>
      </c>
      <c r="AE305" s="31">
        <v>96469.52</v>
      </c>
      <c r="AF305" s="31">
        <v>3760490.3019716195</v>
      </c>
      <c r="AH305" s="276"/>
      <c r="AI305" s="276"/>
      <c r="AJ305" s="276"/>
      <c r="AK305" s="276"/>
      <c r="AL305" s="276"/>
      <c r="AM305" s="276"/>
      <c r="AN305" s="276"/>
      <c r="AO305" s="276"/>
      <c r="AP305" s="276"/>
      <c r="AQ305" s="276"/>
      <c r="AR305" s="276"/>
      <c r="AS305" s="276"/>
      <c r="AT305" s="276"/>
      <c r="AU305" s="276"/>
      <c r="AV305" s="276"/>
      <c r="AW305" s="394"/>
    </row>
    <row r="306" spans="1:49">
      <c r="A306" s="88">
        <v>297</v>
      </c>
      <c r="B306" s="88" t="s">
        <v>2002</v>
      </c>
      <c r="C306" s="31">
        <v>0</v>
      </c>
      <c r="D306" s="31">
        <v>0</v>
      </c>
      <c r="E306" s="31">
        <v>0</v>
      </c>
      <c r="F306" s="31">
        <v>0</v>
      </c>
      <c r="G306" s="31">
        <v>0</v>
      </c>
      <c r="H306" s="31">
        <v>0</v>
      </c>
      <c r="I306" s="31">
        <v>0</v>
      </c>
      <c r="J306" s="31">
        <v>0</v>
      </c>
      <c r="K306" s="31">
        <v>0</v>
      </c>
      <c r="L306" s="31">
        <v>0</v>
      </c>
      <c r="M306" s="31">
        <v>0</v>
      </c>
      <c r="N306" s="31">
        <v>0</v>
      </c>
      <c r="O306" s="31">
        <v>0</v>
      </c>
      <c r="P306" s="31">
        <v>0</v>
      </c>
      <c r="Q306" s="31">
        <v>0</v>
      </c>
      <c r="R306" s="150">
        <v>1</v>
      </c>
      <c r="S306" s="88">
        <v>0</v>
      </c>
      <c r="U306" s="31">
        <v>0</v>
      </c>
      <c r="V306" s="31">
        <v>0</v>
      </c>
      <c r="W306" s="31">
        <v>0</v>
      </c>
      <c r="X306" s="31">
        <v>0</v>
      </c>
      <c r="Y306" s="31">
        <v>0</v>
      </c>
      <c r="Z306" s="31">
        <v>0</v>
      </c>
      <c r="AA306" s="31">
        <v>0</v>
      </c>
      <c r="AB306" s="31">
        <v>0</v>
      </c>
      <c r="AC306" s="31">
        <v>0</v>
      </c>
      <c r="AD306" s="31">
        <v>0</v>
      </c>
      <c r="AE306" s="31">
        <v>0</v>
      </c>
      <c r="AF306" s="31">
        <v>0</v>
      </c>
      <c r="AH306" s="276"/>
      <c r="AI306" s="276"/>
      <c r="AJ306" s="276"/>
      <c r="AK306" s="276"/>
      <c r="AL306" s="276"/>
      <c r="AM306" s="276"/>
      <c r="AN306" s="276"/>
      <c r="AO306" s="276"/>
      <c r="AP306" s="276"/>
      <c r="AQ306" s="276"/>
      <c r="AR306" s="276"/>
      <c r="AS306" s="276"/>
      <c r="AT306" s="276"/>
      <c r="AU306" s="276"/>
      <c r="AV306" s="276"/>
      <c r="AW306" s="394"/>
    </row>
    <row r="307" spans="1:49">
      <c r="A307" s="88">
        <v>298</v>
      </c>
      <c r="B307" s="88" t="s">
        <v>2003</v>
      </c>
      <c r="C307" s="31">
        <v>43</v>
      </c>
      <c r="D307" s="31">
        <v>68</v>
      </c>
      <c r="E307" s="31">
        <v>8</v>
      </c>
      <c r="F307" s="31">
        <v>420</v>
      </c>
      <c r="G307" s="31">
        <v>92</v>
      </c>
      <c r="H307" s="31">
        <v>0</v>
      </c>
      <c r="I307" s="31">
        <v>21</v>
      </c>
      <c r="J307" s="31">
        <v>6</v>
      </c>
      <c r="K307" s="31">
        <v>0</v>
      </c>
      <c r="L307" s="31">
        <v>0</v>
      </c>
      <c r="M307" s="31">
        <v>0</v>
      </c>
      <c r="N307" s="31">
        <v>0</v>
      </c>
      <c r="O307" s="31">
        <v>42</v>
      </c>
      <c r="P307" s="31">
        <v>0</v>
      </c>
      <c r="Q307" s="31">
        <v>576</v>
      </c>
      <c r="R307" s="150">
        <v>1.042</v>
      </c>
      <c r="S307" s="88">
        <v>1</v>
      </c>
      <c r="U307" s="31">
        <v>292168.65156000009</v>
      </c>
      <c r="V307" s="31">
        <v>398614.46374000004</v>
      </c>
      <c r="W307" s="31">
        <v>2106820.13344</v>
      </c>
      <c r="X307" s="31">
        <v>619282.08603999997</v>
      </c>
      <c r="Y307" s="31">
        <v>85023.95938</v>
      </c>
      <c r="Z307" s="31">
        <v>261293.7</v>
      </c>
      <c r="AA307" s="31">
        <v>140039.54832000003</v>
      </c>
      <c r="AB307" s="31">
        <v>84481.796360000008</v>
      </c>
      <c r="AC307" s="31">
        <v>596653.71185999992</v>
      </c>
      <c r="AD307" s="31">
        <v>578414.91591149289</v>
      </c>
      <c r="AE307" s="31">
        <v>144704.28</v>
      </c>
      <c r="AF307" s="31">
        <v>5307497.2466114936</v>
      </c>
      <c r="AH307" s="276"/>
      <c r="AI307" s="276"/>
      <c r="AJ307" s="276"/>
      <c r="AK307" s="276"/>
      <c r="AL307" s="276"/>
      <c r="AM307" s="276"/>
      <c r="AN307" s="276"/>
      <c r="AO307" s="276"/>
      <c r="AP307" s="276"/>
      <c r="AQ307" s="276"/>
      <c r="AR307" s="276"/>
      <c r="AS307" s="276"/>
      <c r="AT307" s="276"/>
      <c r="AU307" s="276"/>
      <c r="AV307" s="276"/>
      <c r="AW307" s="394"/>
    </row>
    <row r="308" spans="1:49">
      <c r="A308" s="88">
        <v>299</v>
      </c>
      <c r="B308" s="88" t="s">
        <v>2004</v>
      </c>
      <c r="C308" s="31">
        <v>0</v>
      </c>
      <c r="D308" s="31">
        <v>0</v>
      </c>
      <c r="E308" s="31">
        <v>0</v>
      </c>
      <c r="F308" s="31">
        <v>0</v>
      </c>
      <c r="G308" s="31">
        <v>0</v>
      </c>
      <c r="H308" s="31">
        <v>0</v>
      </c>
      <c r="I308" s="31">
        <v>0</v>
      </c>
      <c r="J308" s="31">
        <v>0</v>
      </c>
      <c r="K308" s="31">
        <v>0</v>
      </c>
      <c r="L308" s="31">
        <v>0</v>
      </c>
      <c r="M308" s="31">
        <v>0</v>
      </c>
      <c r="N308" s="31">
        <v>0</v>
      </c>
      <c r="O308" s="31">
        <v>0</v>
      </c>
      <c r="P308" s="31">
        <v>0</v>
      </c>
      <c r="Q308" s="31">
        <v>0</v>
      </c>
      <c r="R308" s="150">
        <v>1</v>
      </c>
      <c r="S308" s="88">
        <v>0</v>
      </c>
      <c r="U308" s="31">
        <v>0</v>
      </c>
      <c r="V308" s="31">
        <v>0</v>
      </c>
      <c r="W308" s="31">
        <v>0</v>
      </c>
      <c r="X308" s="31">
        <v>0</v>
      </c>
      <c r="Y308" s="31">
        <v>0</v>
      </c>
      <c r="Z308" s="31">
        <v>0</v>
      </c>
      <c r="AA308" s="31">
        <v>0</v>
      </c>
      <c r="AB308" s="31">
        <v>0</v>
      </c>
      <c r="AC308" s="31">
        <v>0</v>
      </c>
      <c r="AD308" s="31">
        <v>0</v>
      </c>
      <c r="AE308" s="31">
        <v>0</v>
      </c>
      <c r="AF308" s="31">
        <v>0</v>
      </c>
      <c r="AH308" s="276"/>
      <c r="AI308" s="276"/>
      <c r="AJ308" s="276"/>
      <c r="AK308" s="276"/>
      <c r="AL308" s="276"/>
      <c r="AM308" s="276"/>
      <c r="AN308" s="276"/>
      <c r="AO308" s="276"/>
      <c r="AP308" s="276"/>
      <c r="AQ308" s="276"/>
      <c r="AR308" s="276"/>
      <c r="AS308" s="276"/>
      <c r="AT308" s="276"/>
      <c r="AU308" s="276"/>
      <c r="AV308" s="276"/>
      <c r="AW308" s="394"/>
    </row>
    <row r="309" spans="1:49">
      <c r="A309" s="88">
        <v>300</v>
      </c>
      <c r="B309" s="88" t="s">
        <v>2005</v>
      </c>
      <c r="C309" s="31">
        <v>19</v>
      </c>
      <c r="D309" s="31">
        <v>0</v>
      </c>
      <c r="E309" s="31">
        <v>13</v>
      </c>
      <c r="F309" s="31">
        <v>74</v>
      </c>
      <c r="G309" s="31">
        <v>50</v>
      </c>
      <c r="H309" s="31">
        <v>57</v>
      </c>
      <c r="I309" s="31">
        <v>7</v>
      </c>
      <c r="J309" s="31">
        <v>2</v>
      </c>
      <c r="K309" s="31">
        <v>0</v>
      </c>
      <c r="L309" s="31">
        <v>0</v>
      </c>
      <c r="M309" s="31">
        <v>5</v>
      </c>
      <c r="N309" s="31">
        <v>0</v>
      </c>
      <c r="O309" s="31">
        <v>36</v>
      </c>
      <c r="P309" s="31">
        <v>0</v>
      </c>
      <c r="Q309" s="31">
        <v>209</v>
      </c>
      <c r="R309" s="150">
        <v>1</v>
      </c>
      <c r="S309" s="88">
        <v>4</v>
      </c>
      <c r="U309" s="31">
        <v>99597.88</v>
      </c>
      <c r="V309" s="31">
        <v>138594.31</v>
      </c>
      <c r="W309" s="31">
        <v>845630.47</v>
      </c>
      <c r="X309" s="31">
        <v>188262.74</v>
      </c>
      <c r="Y309" s="31">
        <v>31491.47</v>
      </c>
      <c r="Z309" s="31">
        <v>109538.21</v>
      </c>
      <c r="AA309" s="31">
        <v>58734.659999999996</v>
      </c>
      <c r="AB309" s="31">
        <v>51664.17</v>
      </c>
      <c r="AC309" s="31">
        <v>220993.44</v>
      </c>
      <c r="AD309" s="31">
        <v>210937.73192431882</v>
      </c>
      <c r="AE309" s="31">
        <v>48234.76</v>
      </c>
      <c r="AF309" s="31">
        <v>2003679.8419243183</v>
      </c>
      <c r="AH309" s="276"/>
      <c r="AI309" s="276"/>
      <c r="AJ309" s="276"/>
      <c r="AK309" s="276"/>
      <c r="AL309" s="276"/>
      <c r="AM309" s="276"/>
      <c r="AN309" s="276"/>
      <c r="AO309" s="276"/>
      <c r="AP309" s="276"/>
      <c r="AQ309" s="276"/>
      <c r="AR309" s="276"/>
      <c r="AS309" s="276"/>
      <c r="AT309" s="276"/>
      <c r="AU309" s="276"/>
      <c r="AV309" s="276"/>
      <c r="AW309" s="394"/>
    </row>
    <row r="310" spans="1:49">
      <c r="A310" s="88">
        <v>301</v>
      </c>
      <c r="B310" s="88" t="s">
        <v>2006</v>
      </c>
      <c r="C310" s="31">
        <v>1</v>
      </c>
      <c r="D310" s="31">
        <v>56</v>
      </c>
      <c r="E310" s="31">
        <v>52</v>
      </c>
      <c r="F310" s="31">
        <v>574</v>
      </c>
      <c r="G310" s="31">
        <v>438</v>
      </c>
      <c r="H310" s="31">
        <v>555</v>
      </c>
      <c r="I310" s="31">
        <v>63</v>
      </c>
      <c r="J310" s="31">
        <v>17</v>
      </c>
      <c r="K310" s="31">
        <v>0</v>
      </c>
      <c r="L310" s="31">
        <v>2</v>
      </c>
      <c r="M310" s="31">
        <v>28</v>
      </c>
      <c r="N310" s="31">
        <v>1</v>
      </c>
      <c r="O310" s="31">
        <v>291</v>
      </c>
      <c r="P310" s="31">
        <v>0</v>
      </c>
      <c r="Q310" s="31">
        <v>1678</v>
      </c>
      <c r="R310" s="150">
        <v>1</v>
      </c>
      <c r="S310" s="88">
        <v>4</v>
      </c>
      <c r="U310" s="31">
        <v>820599.71</v>
      </c>
      <c r="V310" s="31">
        <v>1115068.3899999999</v>
      </c>
      <c r="W310" s="31">
        <v>6923455.540000001</v>
      </c>
      <c r="X310" s="31">
        <v>1530425.2300000002</v>
      </c>
      <c r="Y310" s="31">
        <v>256731.47999999995</v>
      </c>
      <c r="Z310" s="31">
        <v>909965.94999999984</v>
      </c>
      <c r="AA310" s="31">
        <v>488797.56</v>
      </c>
      <c r="AB310" s="31">
        <v>458762.06</v>
      </c>
      <c r="AC310" s="31">
        <v>1801796.9900000002</v>
      </c>
      <c r="AD310" s="31">
        <v>1711123.9992110783</v>
      </c>
      <c r="AE310" s="31">
        <v>409995.46</v>
      </c>
      <c r="AF310" s="31">
        <v>16426722.369211081</v>
      </c>
      <c r="AH310" s="276"/>
      <c r="AI310" s="276"/>
      <c r="AJ310" s="276"/>
      <c r="AK310" s="276"/>
      <c r="AL310" s="276"/>
      <c r="AM310" s="276"/>
      <c r="AN310" s="276"/>
      <c r="AO310" s="276"/>
      <c r="AP310" s="276"/>
      <c r="AQ310" s="276"/>
      <c r="AR310" s="276"/>
      <c r="AS310" s="276"/>
      <c r="AT310" s="276"/>
      <c r="AU310" s="276"/>
      <c r="AV310" s="276"/>
      <c r="AW310" s="394"/>
    </row>
    <row r="311" spans="1:49">
      <c r="A311" s="88">
        <v>302</v>
      </c>
      <c r="B311" s="88" t="s">
        <v>2007</v>
      </c>
      <c r="C311" s="31">
        <v>0</v>
      </c>
      <c r="D311" s="31">
        <v>0</v>
      </c>
      <c r="E311" s="31">
        <v>4</v>
      </c>
      <c r="F311" s="31">
        <v>10</v>
      </c>
      <c r="G311" s="31">
        <v>6</v>
      </c>
      <c r="H311" s="31">
        <v>7</v>
      </c>
      <c r="I311" s="31">
        <v>1</v>
      </c>
      <c r="J311" s="31">
        <v>0</v>
      </c>
      <c r="K311" s="31">
        <v>0</v>
      </c>
      <c r="L311" s="31">
        <v>0</v>
      </c>
      <c r="M311" s="31">
        <v>0</v>
      </c>
      <c r="N311" s="31">
        <v>0</v>
      </c>
      <c r="O311" s="31">
        <v>0</v>
      </c>
      <c r="P311" s="31">
        <v>0</v>
      </c>
      <c r="Q311" s="31">
        <v>27</v>
      </c>
      <c r="R311" s="150">
        <v>1</v>
      </c>
      <c r="S311" s="88">
        <v>0</v>
      </c>
      <c r="U311" s="31">
        <v>12477.230000000001</v>
      </c>
      <c r="V311" s="31">
        <v>17947.440000000002</v>
      </c>
      <c r="W311" s="31">
        <v>94756.96</v>
      </c>
      <c r="X311" s="31">
        <v>25426.120000000003</v>
      </c>
      <c r="Y311" s="31">
        <v>3764.96</v>
      </c>
      <c r="Z311" s="31">
        <v>14116.87</v>
      </c>
      <c r="AA311" s="31">
        <v>7467</v>
      </c>
      <c r="AB311" s="31">
        <v>6463.04</v>
      </c>
      <c r="AC311" s="31">
        <v>26420.230000000003</v>
      </c>
      <c r="AD311" s="31">
        <v>26091.283706091512</v>
      </c>
      <c r="AE311" s="31">
        <v>0</v>
      </c>
      <c r="AF311" s="31">
        <v>234931.13370609152</v>
      </c>
      <c r="AH311" s="276"/>
      <c r="AI311" s="276"/>
      <c r="AJ311" s="276"/>
      <c r="AK311" s="276"/>
      <c r="AL311" s="276"/>
      <c r="AM311" s="276"/>
      <c r="AN311" s="276"/>
      <c r="AO311" s="276"/>
      <c r="AP311" s="276"/>
      <c r="AQ311" s="276"/>
      <c r="AR311" s="276"/>
      <c r="AS311" s="276"/>
      <c r="AT311" s="276"/>
      <c r="AU311" s="276"/>
      <c r="AV311" s="276"/>
      <c r="AW311" s="394"/>
    </row>
    <row r="312" spans="1:49">
      <c r="A312" s="88">
        <v>303</v>
      </c>
      <c r="B312" s="88" t="s">
        <v>2008</v>
      </c>
      <c r="C312" s="31">
        <v>0</v>
      </c>
      <c r="D312" s="31">
        <v>0</v>
      </c>
      <c r="E312" s="31">
        <v>0</v>
      </c>
      <c r="F312" s="31">
        <v>0</v>
      </c>
      <c r="G312" s="31">
        <v>0</v>
      </c>
      <c r="H312" s="31">
        <v>0</v>
      </c>
      <c r="I312" s="31">
        <v>0</v>
      </c>
      <c r="J312" s="31">
        <v>0</v>
      </c>
      <c r="K312" s="31">
        <v>0</v>
      </c>
      <c r="L312" s="31">
        <v>0</v>
      </c>
      <c r="M312" s="31">
        <v>0</v>
      </c>
      <c r="N312" s="31">
        <v>4</v>
      </c>
      <c r="O312" s="31">
        <v>0</v>
      </c>
      <c r="P312" s="31">
        <v>0</v>
      </c>
      <c r="Q312" s="31">
        <v>4</v>
      </c>
      <c r="R312" s="150">
        <v>1</v>
      </c>
      <c r="S312" s="88">
        <v>0</v>
      </c>
      <c r="U312" s="31">
        <v>1472.16</v>
      </c>
      <c r="V312" s="31">
        <v>2658.88</v>
      </c>
      <c r="W312" s="31">
        <v>26822</v>
      </c>
      <c r="X312" s="31">
        <v>1873.92</v>
      </c>
      <c r="Y312" s="31">
        <v>838.44</v>
      </c>
      <c r="Z312" s="31">
        <v>4940.88</v>
      </c>
      <c r="AA312" s="31">
        <v>1480.32</v>
      </c>
      <c r="AB312" s="31">
        <v>1994</v>
      </c>
      <c r="AC312" s="31">
        <v>6660.4</v>
      </c>
      <c r="AD312" s="31">
        <v>4926.3333743581898</v>
      </c>
      <c r="AE312" s="31">
        <v>0</v>
      </c>
      <c r="AF312" s="31">
        <v>53667.33337435819</v>
      </c>
      <c r="AH312" s="276"/>
      <c r="AI312" s="276"/>
      <c r="AJ312" s="276"/>
      <c r="AK312" s="276"/>
      <c r="AL312" s="276"/>
      <c r="AM312" s="276"/>
      <c r="AN312" s="276"/>
      <c r="AO312" s="276"/>
      <c r="AP312" s="276"/>
      <c r="AQ312" s="276"/>
      <c r="AR312" s="276"/>
      <c r="AS312" s="276"/>
      <c r="AT312" s="276"/>
      <c r="AU312" s="276"/>
      <c r="AV312" s="276"/>
      <c r="AW312" s="394"/>
    </row>
    <row r="313" spans="1:49">
      <c r="A313" s="88">
        <v>304</v>
      </c>
      <c r="B313" s="88" t="s">
        <v>2009</v>
      </c>
      <c r="C313" s="31">
        <v>37</v>
      </c>
      <c r="D313" s="31">
        <v>0</v>
      </c>
      <c r="E313" s="31">
        <v>128</v>
      </c>
      <c r="F313" s="31">
        <v>707</v>
      </c>
      <c r="G313" s="31">
        <v>456</v>
      </c>
      <c r="H313" s="31">
        <v>518</v>
      </c>
      <c r="I313" s="31">
        <v>70</v>
      </c>
      <c r="J313" s="31">
        <v>18</v>
      </c>
      <c r="K313" s="31">
        <v>0</v>
      </c>
      <c r="L313" s="31">
        <v>0</v>
      </c>
      <c r="M313" s="31">
        <v>22</v>
      </c>
      <c r="N313" s="31">
        <v>19</v>
      </c>
      <c r="O313" s="31">
        <v>378</v>
      </c>
      <c r="P313" s="31">
        <v>0</v>
      </c>
      <c r="Q313" s="31">
        <v>1869</v>
      </c>
      <c r="R313" s="150">
        <v>1</v>
      </c>
      <c r="S313" s="88">
        <v>5</v>
      </c>
      <c r="U313" s="31">
        <v>911216.30999999994</v>
      </c>
      <c r="V313" s="31">
        <v>1242029.69</v>
      </c>
      <c r="W313" s="31">
        <v>7859640.1799999997</v>
      </c>
      <c r="X313" s="31">
        <v>1737665.1000000003</v>
      </c>
      <c r="Y313" s="31">
        <v>290022.39999999997</v>
      </c>
      <c r="Z313" s="31">
        <v>1001195.29</v>
      </c>
      <c r="AA313" s="31">
        <v>529150.11</v>
      </c>
      <c r="AB313" s="31">
        <v>475682.15</v>
      </c>
      <c r="AC313" s="31">
        <v>2038892.7000000002</v>
      </c>
      <c r="AD313" s="31">
        <v>1935518.6844384959</v>
      </c>
      <c r="AE313" s="31">
        <v>434112.84</v>
      </c>
      <c r="AF313" s="31">
        <v>18455125.454438496</v>
      </c>
      <c r="AH313" s="276"/>
      <c r="AI313" s="276"/>
      <c r="AJ313" s="276"/>
      <c r="AK313" s="276"/>
      <c r="AL313" s="276"/>
      <c r="AM313" s="276"/>
      <c r="AN313" s="276"/>
      <c r="AO313" s="276"/>
      <c r="AP313" s="276"/>
      <c r="AQ313" s="276"/>
      <c r="AR313" s="276"/>
      <c r="AS313" s="276"/>
      <c r="AT313" s="276"/>
      <c r="AU313" s="276"/>
      <c r="AV313" s="276"/>
      <c r="AW313" s="394"/>
    </row>
    <row r="314" spans="1:49">
      <c r="A314" s="88">
        <v>305</v>
      </c>
      <c r="B314" s="88" t="s">
        <v>2010</v>
      </c>
      <c r="C314" s="31">
        <v>39</v>
      </c>
      <c r="D314" s="31">
        <v>0</v>
      </c>
      <c r="E314" s="31">
        <v>265</v>
      </c>
      <c r="F314" s="31">
        <v>1279</v>
      </c>
      <c r="G314" s="31">
        <v>852</v>
      </c>
      <c r="H314" s="31">
        <v>1051</v>
      </c>
      <c r="I314" s="31">
        <v>132</v>
      </c>
      <c r="J314" s="31">
        <v>35</v>
      </c>
      <c r="K314" s="31">
        <v>0</v>
      </c>
      <c r="L314" s="31">
        <v>0</v>
      </c>
      <c r="M314" s="31">
        <v>62</v>
      </c>
      <c r="N314" s="31">
        <v>6</v>
      </c>
      <c r="O314" s="31">
        <v>519</v>
      </c>
      <c r="P314" s="31">
        <v>0</v>
      </c>
      <c r="Q314" s="31">
        <v>3535</v>
      </c>
      <c r="R314" s="150">
        <v>1.0580000000000001</v>
      </c>
      <c r="S314" s="88">
        <v>3</v>
      </c>
      <c r="U314" s="31">
        <v>1825095.3035600001</v>
      </c>
      <c r="V314" s="31">
        <v>2485721.5173400003</v>
      </c>
      <c r="W314" s="31">
        <v>15034630.792639999</v>
      </c>
      <c r="X314" s="31">
        <v>3459688.9574600002</v>
      </c>
      <c r="Y314" s="31">
        <v>563733.01852000004</v>
      </c>
      <c r="Z314" s="31">
        <v>1888794.4300000002</v>
      </c>
      <c r="AA314" s="31">
        <v>1066234.2658800001</v>
      </c>
      <c r="AB314" s="31">
        <v>966678.42318000004</v>
      </c>
      <c r="AC314" s="31">
        <v>3957161.975180001</v>
      </c>
      <c r="AD314" s="31">
        <v>3582145.7586192684</v>
      </c>
      <c r="AE314" s="31">
        <v>844108.3</v>
      </c>
      <c r="AF314" s="31">
        <v>35673992.74237927</v>
      </c>
      <c r="AH314" s="276"/>
      <c r="AI314" s="276"/>
      <c r="AJ314" s="276"/>
      <c r="AK314" s="276"/>
      <c r="AL314" s="276"/>
      <c r="AM314" s="276"/>
      <c r="AN314" s="276"/>
      <c r="AO314" s="276"/>
      <c r="AP314" s="276"/>
      <c r="AQ314" s="276"/>
      <c r="AR314" s="276"/>
      <c r="AS314" s="276"/>
      <c r="AT314" s="276"/>
      <c r="AU314" s="276"/>
      <c r="AV314" s="276"/>
      <c r="AW314" s="394"/>
    </row>
    <row r="315" spans="1:49">
      <c r="A315" s="88">
        <v>306</v>
      </c>
      <c r="B315" s="88" t="s">
        <v>2011</v>
      </c>
      <c r="C315" s="31">
        <v>13</v>
      </c>
      <c r="D315" s="31">
        <v>0</v>
      </c>
      <c r="E315" s="31">
        <v>21</v>
      </c>
      <c r="F315" s="31">
        <v>109</v>
      </c>
      <c r="G315" s="31">
        <v>20</v>
      </c>
      <c r="H315" s="31">
        <v>0</v>
      </c>
      <c r="I315" s="31">
        <v>6</v>
      </c>
      <c r="J315" s="31">
        <v>2</v>
      </c>
      <c r="K315" s="31">
        <v>0</v>
      </c>
      <c r="L315" s="31">
        <v>0</v>
      </c>
      <c r="M315" s="31">
        <v>0</v>
      </c>
      <c r="N315" s="31">
        <v>0</v>
      </c>
      <c r="O315" s="31">
        <v>51</v>
      </c>
      <c r="P315" s="31">
        <v>0</v>
      </c>
      <c r="Q315" s="31">
        <v>157</v>
      </c>
      <c r="R315" s="150">
        <v>1</v>
      </c>
      <c r="S315" s="88">
        <v>8</v>
      </c>
      <c r="U315" s="31">
        <v>77919.590000000011</v>
      </c>
      <c r="V315" s="31">
        <v>104028.81</v>
      </c>
      <c r="W315" s="31">
        <v>683598.95</v>
      </c>
      <c r="X315" s="31">
        <v>164995.72</v>
      </c>
      <c r="Y315" s="31">
        <v>25106.04</v>
      </c>
      <c r="Z315" s="31">
        <v>71157.56</v>
      </c>
      <c r="AA315" s="31">
        <v>36178.74</v>
      </c>
      <c r="AB315" s="31">
        <v>21176.089999999997</v>
      </c>
      <c r="AC315" s="31">
        <v>176177.61</v>
      </c>
      <c r="AD315" s="31">
        <v>171439.22960647842</v>
      </c>
      <c r="AE315" s="31">
        <v>48234.76</v>
      </c>
      <c r="AF315" s="31">
        <v>1580013.0996064784</v>
      </c>
      <c r="AH315" s="276"/>
      <c r="AI315" s="276"/>
      <c r="AJ315" s="276"/>
      <c r="AK315" s="276"/>
      <c r="AL315" s="276"/>
      <c r="AM315" s="276"/>
      <c r="AN315" s="276"/>
      <c r="AO315" s="276"/>
      <c r="AP315" s="276"/>
      <c r="AQ315" s="276"/>
      <c r="AR315" s="276"/>
      <c r="AS315" s="276"/>
      <c r="AT315" s="276"/>
      <c r="AU315" s="276"/>
      <c r="AV315" s="276"/>
      <c r="AW315" s="394"/>
    </row>
    <row r="316" spans="1:49">
      <c r="A316" s="88">
        <v>307</v>
      </c>
      <c r="B316" s="88" t="s">
        <v>2012</v>
      </c>
      <c r="C316" s="31">
        <v>29</v>
      </c>
      <c r="D316" s="31">
        <v>262</v>
      </c>
      <c r="E316" s="31">
        <v>13</v>
      </c>
      <c r="F316" s="31">
        <v>1386</v>
      </c>
      <c r="G316" s="31">
        <v>925</v>
      </c>
      <c r="H316" s="31">
        <v>1176</v>
      </c>
      <c r="I316" s="31">
        <v>140</v>
      </c>
      <c r="J316" s="31">
        <v>37</v>
      </c>
      <c r="K316" s="31">
        <v>3</v>
      </c>
      <c r="L316" s="31">
        <v>5</v>
      </c>
      <c r="M316" s="31">
        <v>93</v>
      </c>
      <c r="N316" s="31">
        <v>0</v>
      </c>
      <c r="O316" s="31">
        <v>436</v>
      </c>
      <c r="P316" s="31">
        <v>0</v>
      </c>
      <c r="Q316" s="31">
        <v>3744</v>
      </c>
      <c r="R316" s="150">
        <v>1.0429999999999999</v>
      </c>
      <c r="S316" s="88">
        <v>2</v>
      </c>
      <c r="U316" s="31">
        <v>1905560.29076</v>
      </c>
      <c r="V316" s="31">
        <v>2594689.44637</v>
      </c>
      <c r="W316" s="31">
        <v>15396661.084629999</v>
      </c>
      <c r="X316" s="31">
        <v>3584336.0225399998</v>
      </c>
      <c r="Y316" s="31">
        <v>581722.22548999987</v>
      </c>
      <c r="Z316" s="31">
        <v>2011701.3699999999</v>
      </c>
      <c r="AA316" s="31">
        <v>1125907.35033</v>
      </c>
      <c r="AB316" s="31">
        <v>1039305.4123900001</v>
      </c>
      <c r="AC316" s="31">
        <v>4082233.6417799997</v>
      </c>
      <c r="AD316" s="31">
        <v>3755397.0070605148</v>
      </c>
      <c r="AE316" s="31">
        <v>892343.06</v>
      </c>
      <c r="AF316" s="31">
        <v>36969856.911350518</v>
      </c>
      <c r="AH316" s="276"/>
      <c r="AI316" s="276"/>
      <c r="AJ316" s="276"/>
      <c r="AK316" s="276"/>
      <c r="AL316" s="276"/>
      <c r="AM316" s="276"/>
      <c r="AN316" s="276"/>
      <c r="AO316" s="276"/>
      <c r="AP316" s="276"/>
      <c r="AQ316" s="276"/>
      <c r="AR316" s="276"/>
      <c r="AS316" s="276"/>
      <c r="AT316" s="276"/>
      <c r="AU316" s="276"/>
      <c r="AV316" s="276"/>
      <c r="AW316" s="394"/>
    </row>
    <row r="317" spans="1:49">
      <c r="A317" s="88">
        <v>308</v>
      </c>
      <c r="B317" s="88" t="s">
        <v>2013</v>
      </c>
      <c r="C317" s="31">
        <v>69</v>
      </c>
      <c r="D317" s="31">
        <v>0</v>
      </c>
      <c r="E317" s="31">
        <v>306</v>
      </c>
      <c r="F317" s="31">
        <v>1648</v>
      </c>
      <c r="G317" s="31">
        <v>1014</v>
      </c>
      <c r="H317" s="31">
        <v>903</v>
      </c>
      <c r="I317" s="31">
        <v>212</v>
      </c>
      <c r="J317" s="31">
        <v>48</v>
      </c>
      <c r="K317" s="31">
        <v>0</v>
      </c>
      <c r="L317" s="31">
        <v>0</v>
      </c>
      <c r="M317" s="31">
        <v>947</v>
      </c>
      <c r="N317" s="31">
        <v>645</v>
      </c>
      <c r="O317" s="31">
        <v>1680</v>
      </c>
      <c r="P317" s="31">
        <v>0</v>
      </c>
      <c r="Q317" s="31">
        <v>5498</v>
      </c>
      <c r="R317" s="150">
        <v>1.089</v>
      </c>
      <c r="S317" s="88">
        <v>7</v>
      </c>
      <c r="U317" s="31">
        <v>2922592.4135099999</v>
      </c>
      <c r="V317" s="31">
        <v>3979531.4912100001</v>
      </c>
      <c r="W317" s="31">
        <v>30631469.482350003</v>
      </c>
      <c r="X317" s="31">
        <v>5557422.3051599991</v>
      </c>
      <c r="Y317" s="31">
        <v>1067101.86528</v>
      </c>
      <c r="Z317" s="31">
        <v>3251240.76</v>
      </c>
      <c r="AA317" s="31">
        <v>1734622.6342499999</v>
      </c>
      <c r="AB317" s="31">
        <v>1485806.6727899997</v>
      </c>
      <c r="AC317" s="31">
        <v>7624854.2294100001</v>
      </c>
      <c r="AD317" s="31">
        <v>6309178.6070700539</v>
      </c>
      <c r="AE317" s="31">
        <v>1157634.24</v>
      </c>
      <c r="AF317" s="31">
        <v>65721454.701030053</v>
      </c>
      <c r="AH317" s="276"/>
      <c r="AI317" s="276"/>
      <c r="AJ317" s="276"/>
      <c r="AK317" s="276"/>
      <c r="AL317" s="276"/>
      <c r="AM317" s="276"/>
      <c r="AN317" s="276"/>
      <c r="AO317" s="276"/>
      <c r="AP317" s="276"/>
      <c r="AQ317" s="276"/>
      <c r="AR317" s="276"/>
      <c r="AS317" s="276"/>
      <c r="AT317" s="276"/>
      <c r="AU317" s="276"/>
      <c r="AV317" s="276"/>
      <c r="AW317" s="394"/>
    </row>
    <row r="318" spans="1:49">
      <c r="A318" s="88">
        <v>309</v>
      </c>
      <c r="B318" s="88" t="s">
        <v>2014</v>
      </c>
      <c r="C318" s="31">
        <v>20</v>
      </c>
      <c r="D318" s="31">
        <v>0</v>
      </c>
      <c r="E318" s="31">
        <v>97</v>
      </c>
      <c r="F318" s="31">
        <v>530</v>
      </c>
      <c r="G318" s="31">
        <v>335</v>
      </c>
      <c r="H318" s="31">
        <v>350</v>
      </c>
      <c r="I318" s="31">
        <v>50</v>
      </c>
      <c r="J318" s="31">
        <v>13</v>
      </c>
      <c r="K318" s="31">
        <v>0</v>
      </c>
      <c r="L318" s="31">
        <v>0</v>
      </c>
      <c r="M318" s="31">
        <v>16</v>
      </c>
      <c r="N318" s="31">
        <v>3</v>
      </c>
      <c r="O318" s="31">
        <v>616</v>
      </c>
      <c r="P318" s="31">
        <v>0</v>
      </c>
      <c r="Q318" s="31">
        <v>1341</v>
      </c>
      <c r="R318" s="150">
        <v>1</v>
      </c>
      <c r="S318" s="88">
        <v>9</v>
      </c>
      <c r="U318" s="31">
        <v>653571.29</v>
      </c>
      <c r="V318" s="31">
        <v>891389.72000000009</v>
      </c>
      <c r="W318" s="31">
        <v>6729035.8099999996</v>
      </c>
      <c r="X318" s="31">
        <v>1253662.98</v>
      </c>
      <c r="Y318" s="31">
        <v>232388.59</v>
      </c>
      <c r="Z318" s="31">
        <v>704255.46000000008</v>
      </c>
      <c r="AA318" s="31">
        <v>375543.89999999997</v>
      </c>
      <c r="AB318" s="31">
        <v>330095.18</v>
      </c>
      <c r="AC318" s="31">
        <v>1631367.7500000002</v>
      </c>
      <c r="AD318" s="31">
        <v>1502716.6852944214</v>
      </c>
      <c r="AE318" s="31">
        <v>313525.94</v>
      </c>
      <c r="AF318" s="31">
        <v>14617553.305294422</v>
      </c>
      <c r="AH318" s="276"/>
      <c r="AI318" s="276"/>
      <c r="AJ318" s="276"/>
      <c r="AK318" s="276"/>
      <c r="AL318" s="276"/>
      <c r="AM318" s="276"/>
      <c r="AN318" s="276"/>
      <c r="AO318" s="276"/>
      <c r="AP318" s="276"/>
      <c r="AQ318" s="276"/>
      <c r="AR318" s="276"/>
      <c r="AS318" s="276"/>
      <c r="AT318" s="276"/>
      <c r="AU318" s="276"/>
      <c r="AV318" s="276"/>
      <c r="AW318" s="394"/>
    </row>
    <row r="319" spans="1:49">
      <c r="A319" s="88">
        <v>310</v>
      </c>
      <c r="B319" s="88" t="s">
        <v>2015</v>
      </c>
      <c r="C319" s="31">
        <v>93</v>
      </c>
      <c r="D319" s="31">
        <v>2</v>
      </c>
      <c r="E319" s="31">
        <v>173</v>
      </c>
      <c r="F319" s="31">
        <v>1098</v>
      </c>
      <c r="G319" s="31">
        <v>647</v>
      </c>
      <c r="H319" s="31">
        <v>510</v>
      </c>
      <c r="I319" s="31">
        <v>101</v>
      </c>
      <c r="J319" s="31">
        <v>24</v>
      </c>
      <c r="K319" s="31">
        <v>0</v>
      </c>
      <c r="L319" s="31">
        <v>0</v>
      </c>
      <c r="M319" s="31">
        <v>16</v>
      </c>
      <c r="N319" s="31">
        <v>188</v>
      </c>
      <c r="O319" s="31">
        <v>1330</v>
      </c>
      <c r="P319" s="31">
        <v>0</v>
      </c>
      <c r="Q319" s="31">
        <v>2680</v>
      </c>
      <c r="R319" s="150">
        <v>1</v>
      </c>
      <c r="S319" s="88">
        <v>10</v>
      </c>
      <c r="U319" s="31">
        <v>1303682.8800000001</v>
      </c>
      <c r="V319" s="31">
        <v>1781118.1900000002</v>
      </c>
      <c r="W319" s="31">
        <v>14297521.629999999</v>
      </c>
      <c r="X319" s="31">
        <v>2523169.33</v>
      </c>
      <c r="Y319" s="31">
        <v>486906.91000000003</v>
      </c>
      <c r="Z319" s="31">
        <v>1501988.98</v>
      </c>
      <c r="AA319" s="31">
        <v>746482.02000000014</v>
      </c>
      <c r="AB319" s="31">
        <v>654714.38</v>
      </c>
      <c r="AC319" s="31">
        <v>3453346.0399999996</v>
      </c>
      <c r="AD319" s="31">
        <v>3120557.9234785363</v>
      </c>
      <c r="AE319" s="31">
        <v>578817.12</v>
      </c>
      <c r="AF319" s="31">
        <v>30448305.403478537</v>
      </c>
      <c r="AH319" s="276"/>
      <c r="AI319" s="276"/>
      <c r="AJ319" s="276"/>
      <c r="AK319" s="276"/>
      <c r="AL319" s="276"/>
      <c r="AM319" s="276"/>
      <c r="AN319" s="276"/>
      <c r="AO319" s="276"/>
      <c r="AP319" s="276"/>
      <c r="AQ319" s="276"/>
      <c r="AR319" s="276"/>
      <c r="AS319" s="276"/>
      <c r="AT319" s="276"/>
      <c r="AU319" s="276"/>
      <c r="AV319" s="276"/>
      <c r="AW319" s="394"/>
    </row>
    <row r="320" spans="1:49">
      <c r="A320" s="88">
        <v>311</v>
      </c>
      <c r="B320" s="88" t="s">
        <v>2016</v>
      </c>
      <c r="C320" s="31">
        <v>0</v>
      </c>
      <c r="D320" s="31">
        <v>0</v>
      </c>
      <c r="E320" s="31">
        <v>0</v>
      </c>
      <c r="F320" s="31">
        <v>0</v>
      </c>
      <c r="G320" s="31">
        <v>0</v>
      </c>
      <c r="H320" s="31">
        <v>0</v>
      </c>
      <c r="I320" s="31">
        <v>0</v>
      </c>
      <c r="J320" s="31">
        <v>0</v>
      </c>
      <c r="K320" s="31">
        <v>0</v>
      </c>
      <c r="L320" s="31">
        <v>0</v>
      </c>
      <c r="M320" s="31">
        <v>0</v>
      </c>
      <c r="N320" s="31">
        <v>0</v>
      </c>
      <c r="O320" s="31">
        <v>0</v>
      </c>
      <c r="P320" s="31">
        <v>0</v>
      </c>
      <c r="Q320" s="31">
        <v>0</v>
      </c>
      <c r="R320" s="150">
        <v>1</v>
      </c>
      <c r="S320" s="88">
        <v>0</v>
      </c>
      <c r="U320" s="31">
        <v>0</v>
      </c>
      <c r="V320" s="31">
        <v>0</v>
      </c>
      <c r="W320" s="31">
        <v>0</v>
      </c>
      <c r="X320" s="31">
        <v>0</v>
      </c>
      <c r="Y320" s="31">
        <v>0</v>
      </c>
      <c r="Z320" s="31">
        <v>0</v>
      </c>
      <c r="AA320" s="31">
        <v>0</v>
      </c>
      <c r="AB320" s="31">
        <v>0</v>
      </c>
      <c r="AC320" s="31">
        <v>0</v>
      </c>
      <c r="AD320" s="31">
        <v>0</v>
      </c>
      <c r="AE320" s="31">
        <v>0</v>
      </c>
      <c r="AF320" s="31">
        <v>0</v>
      </c>
      <c r="AH320" s="276"/>
      <c r="AI320" s="276"/>
      <c r="AJ320" s="276"/>
      <c r="AK320" s="276"/>
      <c r="AL320" s="276"/>
      <c r="AM320" s="276"/>
      <c r="AN320" s="276"/>
      <c r="AO320" s="276"/>
      <c r="AP320" s="276"/>
      <c r="AQ320" s="276"/>
      <c r="AR320" s="276"/>
      <c r="AS320" s="276"/>
      <c r="AT320" s="276"/>
      <c r="AU320" s="276"/>
      <c r="AV320" s="276"/>
      <c r="AW320" s="394"/>
    </row>
    <row r="321" spans="1:49">
      <c r="A321" s="88">
        <v>312</v>
      </c>
      <c r="B321" s="88" t="s">
        <v>2017</v>
      </c>
      <c r="C321" s="31">
        <v>0</v>
      </c>
      <c r="D321" s="31">
        <v>0</v>
      </c>
      <c r="E321" s="31">
        <v>0</v>
      </c>
      <c r="F321" s="31">
        <v>0</v>
      </c>
      <c r="G321" s="31">
        <v>0</v>
      </c>
      <c r="H321" s="31">
        <v>0</v>
      </c>
      <c r="I321" s="31">
        <v>0</v>
      </c>
      <c r="J321" s="31">
        <v>0</v>
      </c>
      <c r="K321" s="31">
        <v>0</v>
      </c>
      <c r="L321" s="31">
        <v>0</v>
      </c>
      <c r="M321" s="31">
        <v>0</v>
      </c>
      <c r="N321" s="31">
        <v>0</v>
      </c>
      <c r="O321" s="31">
        <v>0</v>
      </c>
      <c r="P321" s="31">
        <v>0</v>
      </c>
      <c r="Q321" s="31">
        <v>0</v>
      </c>
      <c r="R321" s="150">
        <v>1</v>
      </c>
      <c r="S321" s="88">
        <v>0</v>
      </c>
      <c r="U321" s="31">
        <v>0</v>
      </c>
      <c r="V321" s="31">
        <v>0</v>
      </c>
      <c r="W321" s="31">
        <v>0</v>
      </c>
      <c r="X321" s="31">
        <v>0</v>
      </c>
      <c r="Y321" s="31">
        <v>0</v>
      </c>
      <c r="Z321" s="31">
        <v>0</v>
      </c>
      <c r="AA321" s="31">
        <v>0</v>
      </c>
      <c r="AB321" s="31">
        <v>0</v>
      </c>
      <c r="AC321" s="31">
        <v>0</v>
      </c>
      <c r="AD321" s="31">
        <v>0</v>
      </c>
      <c r="AE321" s="31">
        <v>0</v>
      </c>
      <c r="AF321" s="31">
        <v>0</v>
      </c>
      <c r="AH321" s="276"/>
      <c r="AI321" s="276"/>
      <c r="AJ321" s="276"/>
      <c r="AK321" s="276"/>
      <c r="AL321" s="276"/>
      <c r="AM321" s="276"/>
      <c r="AN321" s="276"/>
      <c r="AO321" s="276"/>
      <c r="AP321" s="276"/>
      <c r="AQ321" s="276"/>
      <c r="AR321" s="276"/>
      <c r="AS321" s="276"/>
      <c r="AT321" s="276"/>
      <c r="AU321" s="276"/>
      <c r="AV321" s="276"/>
      <c r="AW321" s="394"/>
    </row>
    <row r="322" spans="1:49">
      <c r="A322" s="88">
        <v>313</v>
      </c>
      <c r="B322" s="88" t="s">
        <v>2018</v>
      </c>
      <c r="C322" s="31">
        <v>0</v>
      </c>
      <c r="D322" s="31">
        <v>0</v>
      </c>
      <c r="E322" s="31">
        <v>0</v>
      </c>
      <c r="F322" s="31">
        <v>0</v>
      </c>
      <c r="G322" s="31">
        <v>0</v>
      </c>
      <c r="H322" s="31">
        <v>0</v>
      </c>
      <c r="I322" s="31">
        <v>0</v>
      </c>
      <c r="J322" s="31">
        <v>0</v>
      </c>
      <c r="K322" s="31">
        <v>0</v>
      </c>
      <c r="L322" s="31">
        <v>0</v>
      </c>
      <c r="M322" s="31">
        <v>0</v>
      </c>
      <c r="N322" s="31">
        <v>2</v>
      </c>
      <c r="O322" s="31">
        <v>0</v>
      </c>
      <c r="P322" s="31">
        <v>0</v>
      </c>
      <c r="Q322" s="31">
        <v>2</v>
      </c>
      <c r="R322" s="150">
        <v>1</v>
      </c>
      <c r="S322" s="88">
        <v>0</v>
      </c>
      <c r="U322" s="31">
        <v>736.08</v>
      </c>
      <c r="V322" s="31">
        <v>1329.44</v>
      </c>
      <c r="W322" s="31">
        <v>13411</v>
      </c>
      <c r="X322" s="31">
        <v>936.96</v>
      </c>
      <c r="Y322" s="31">
        <v>419.22</v>
      </c>
      <c r="Z322" s="31">
        <v>2470.44</v>
      </c>
      <c r="AA322" s="31">
        <v>740.16</v>
      </c>
      <c r="AB322" s="31">
        <v>997</v>
      </c>
      <c r="AC322" s="31">
        <v>3330.2</v>
      </c>
      <c r="AD322" s="31">
        <v>2463.1666871790949</v>
      </c>
      <c r="AE322" s="31">
        <v>0</v>
      </c>
      <c r="AF322" s="31">
        <v>26833.666687179095</v>
      </c>
      <c r="AH322" s="276"/>
      <c r="AI322" s="276"/>
      <c r="AJ322" s="276"/>
      <c r="AK322" s="276"/>
      <c r="AL322" s="276"/>
      <c r="AM322" s="276"/>
      <c r="AN322" s="276"/>
      <c r="AO322" s="276"/>
      <c r="AP322" s="276"/>
      <c r="AQ322" s="276"/>
      <c r="AR322" s="276"/>
      <c r="AS322" s="276"/>
      <c r="AT322" s="276"/>
      <c r="AU322" s="276"/>
      <c r="AV322" s="276"/>
      <c r="AW322" s="394"/>
    </row>
    <row r="323" spans="1:49">
      <c r="A323" s="88">
        <v>314</v>
      </c>
      <c r="B323" s="88" t="s">
        <v>2019</v>
      </c>
      <c r="C323" s="31">
        <v>33</v>
      </c>
      <c r="D323" s="31">
        <v>0</v>
      </c>
      <c r="E323" s="31">
        <v>258</v>
      </c>
      <c r="F323" s="31">
        <v>854</v>
      </c>
      <c r="G323" s="31">
        <v>547</v>
      </c>
      <c r="H323" s="31">
        <v>646</v>
      </c>
      <c r="I323" s="31">
        <v>98</v>
      </c>
      <c r="J323" s="31">
        <v>26</v>
      </c>
      <c r="K323" s="31">
        <v>0</v>
      </c>
      <c r="L323" s="31">
        <v>0</v>
      </c>
      <c r="M323" s="31">
        <v>261</v>
      </c>
      <c r="N323" s="31">
        <v>51</v>
      </c>
      <c r="O323" s="31">
        <v>713</v>
      </c>
      <c r="P323" s="31">
        <v>0</v>
      </c>
      <c r="Q323" s="31">
        <v>2634</v>
      </c>
      <c r="R323" s="150">
        <v>1.0620000000000001</v>
      </c>
      <c r="S323" s="88">
        <v>6</v>
      </c>
      <c r="U323" s="31">
        <v>1363833.43074</v>
      </c>
      <c r="V323" s="31">
        <v>1859073.9579</v>
      </c>
      <c r="W323" s="31">
        <v>12806304.109739998</v>
      </c>
      <c r="X323" s="31">
        <v>2599395.8358600005</v>
      </c>
      <c r="Y323" s="31">
        <v>458584.14222000004</v>
      </c>
      <c r="Z323" s="31">
        <v>1407848.6199999999</v>
      </c>
      <c r="AA323" s="31">
        <v>793081.54944000009</v>
      </c>
      <c r="AB323" s="31">
        <v>677021.20866000012</v>
      </c>
      <c r="AC323" s="31">
        <v>3228658.299180001</v>
      </c>
      <c r="AD323" s="31">
        <v>2837729.5659714974</v>
      </c>
      <c r="AE323" s="31">
        <v>627051.88</v>
      </c>
      <c r="AF323" s="31">
        <v>28658582.599711496</v>
      </c>
      <c r="AH323" s="276"/>
      <c r="AI323" s="276"/>
      <c r="AJ323" s="276"/>
      <c r="AK323" s="276"/>
      <c r="AL323" s="276"/>
      <c r="AM323" s="276"/>
      <c r="AN323" s="276"/>
      <c r="AO323" s="276"/>
      <c r="AP323" s="276"/>
      <c r="AQ323" s="276"/>
      <c r="AR323" s="276"/>
      <c r="AS323" s="276"/>
      <c r="AT323" s="276"/>
      <c r="AU323" s="276"/>
      <c r="AV323" s="276"/>
      <c r="AW323" s="394"/>
    </row>
    <row r="324" spans="1:49">
      <c r="A324" s="88">
        <v>315</v>
      </c>
      <c r="B324" s="88" t="s">
        <v>2020</v>
      </c>
      <c r="C324" s="31">
        <v>9</v>
      </c>
      <c r="D324" s="31">
        <v>177</v>
      </c>
      <c r="E324" s="31">
        <v>0</v>
      </c>
      <c r="F324" s="31">
        <v>961</v>
      </c>
      <c r="G324" s="31">
        <v>634</v>
      </c>
      <c r="H324" s="31">
        <v>844</v>
      </c>
      <c r="I324" s="31">
        <v>97</v>
      </c>
      <c r="J324" s="31">
        <v>26</v>
      </c>
      <c r="K324" s="31">
        <v>0</v>
      </c>
      <c r="L324" s="31">
        <v>7</v>
      </c>
      <c r="M324" s="31">
        <v>58</v>
      </c>
      <c r="N324" s="31">
        <v>7</v>
      </c>
      <c r="O324" s="31">
        <v>160</v>
      </c>
      <c r="P324" s="31">
        <v>0</v>
      </c>
      <c r="Q324" s="31">
        <v>2602</v>
      </c>
      <c r="R324" s="150">
        <v>1.036</v>
      </c>
      <c r="S324" s="88">
        <v>1</v>
      </c>
      <c r="U324" s="31">
        <v>1315231.49492</v>
      </c>
      <c r="V324" s="31">
        <v>1790836.11644</v>
      </c>
      <c r="W324" s="31">
        <v>10217301.13208</v>
      </c>
      <c r="X324" s="31">
        <v>2463581.9135199999</v>
      </c>
      <c r="Y324" s="31">
        <v>391893.81168000004</v>
      </c>
      <c r="Z324" s="31">
        <v>1410410.0699999998</v>
      </c>
      <c r="AA324" s="31">
        <v>781179.54515999998</v>
      </c>
      <c r="AB324" s="31">
        <v>730185.29415999993</v>
      </c>
      <c r="AC324" s="31">
        <v>2751518.8439200004</v>
      </c>
      <c r="AD324" s="31">
        <v>2564099.9402872887</v>
      </c>
      <c r="AE324" s="31">
        <v>627051.88</v>
      </c>
      <c r="AF324" s="31">
        <v>25043290.042167287</v>
      </c>
      <c r="AH324" s="276"/>
      <c r="AI324" s="276"/>
      <c r="AJ324" s="276"/>
      <c r="AK324" s="276"/>
      <c r="AL324" s="276"/>
      <c r="AM324" s="276"/>
      <c r="AN324" s="276"/>
      <c r="AO324" s="276"/>
      <c r="AP324" s="276"/>
      <c r="AQ324" s="276"/>
      <c r="AR324" s="276"/>
      <c r="AS324" s="276"/>
      <c r="AT324" s="276"/>
      <c r="AU324" s="276"/>
      <c r="AV324" s="276"/>
      <c r="AW324" s="394"/>
    </row>
    <row r="325" spans="1:49">
      <c r="A325" s="88">
        <v>316</v>
      </c>
      <c r="B325" s="88" t="s">
        <v>2021</v>
      </c>
      <c r="C325" s="31">
        <v>53</v>
      </c>
      <c r="D325" s="31">
        <v>0</v>
      </c>
      <c r="E325" s="31">
        <v>142</v>
      </c>
      <c r="F325" s="31">
        <v>742</v>
      </c>
      <c r="G325" s="31">
        <v>463</v>
      </c>
      <c r="H325" s="31">
        <v>474</v>
      </c>
      <c r="I325" s="31">
        <v>74</v>
      </c>
      <c r="J325" s="31">
        <v>19</v>
      </c>
      <c r="K325" s="31">
        <v>0</v>
      </c>
      <c r="L325" s="31">
        <v>0</v>
      </c>
      <c r="M325" s="31">
        <v>115</v>
      </c>
      <c r="N325" s="31">
        <v>26</v>
      </c>
      <c r="O325" s="31">
        <v>1025</v>
      </c>
      <c r="P325" s="31">
        <v>0</v>
      </c>
      <c r="Q325" s="31">
        <v>1989</v>
      </c>
      <c r="R325" s="150">
        <v>1</v>
      </c>
      <c r="S325" s="88">
        <v>10</v>
      </c>
      <c r="U325" s="31">
        <v>968082.02</v>
      </c>
      <c r="V325" s="31">
        <v>1321796.25</v>
      </c>
      <c r="W325" s="31">
        <v>10562463.080000002</v>
      </c>
      <c r="X325" s="31">
        <v>1858304.7999999998</v>
      </c>
      <c r="Y325" s="31">
        <v>358401.07</v>
      </c>
      <c r="Z325" s="31">
        <v>1049456.74</v>
      </c>
      <c r="AA325" s="31">
        <v>557621.93999999994</v>
      </c>
      <c r="AB325" s="31">
        <v>477632.67</v>
      </c>
      <c r="AC325" s="31">
        <v>2520126.77</v>
      </c>
      <c r="AD325" s="31">
        <v>2293875.653709841</v>
      </c>
      <c r="AE325" s="31">
        <v>458230.22000000003</v>
      </c>
      <c r="AF325" s="31">
        <v>22425991.213709842</v>
      </c>
      <c r="AH325" s="276"/>
      <c r="AI325" s="276"/>
      <c r="AJ325" s="276"/>
      <c r="AK325" s="276"/>
      <c r="AL325" s="276"/>
      <c r="AM325" s="276"/>
      <c r="AN325" s="276"/>
      <c r="AO325" s="276"/>
      <c r="AP325" s="276"/>
      <c r="AQ325" s="276"/>
      <c r="AR325" s="276"/>
      <c r="AS325" s="276"/>
      <c r="AT325" s="276"/>
      <c r="AU325" s="276"/>
      <c r="AV325" s="276"/>
      <c r="AW325" s="394"/>
    </row>
    <row r="326" spans="1:49">
      <c r="A326" s="88">
        <v>317</v>
      </c>
      <c r="B326" s="88" t="s">
        <v>2022</v>
      </c>
      <c r="C326" s="31">
        <v>107</v>
      </c>
      <c r="D326" s="31">
        <v>0</v>
      </c>
      <c r="E326" s="31">
        <v>329</v>
      </c>
      <c r="F326" s="31">
        <v>1863</v>
      </c>
      <c r="G326" s="31">
        <v>1139</v>
      </c>
      <c r="H326" s="31">
        <v>1538</v>
      </c>
      <c r="I326" s="31">
        <v>187</v>
      </c>
      <c r="J326" s="31">
        <v>50</v>
      </c>
      <c r="K326" s="31">
        <v>0</v>
      </c>
      <c r="L326" s="31">
        <v>0</v>
      </c>
      <c r="M326" s="31">
        <v>105</v>
      </c>
      <c r="N326" s="31">
        <v>2</v>
      </c>
      <c r="O326" s="31">
        <v>316</v>
      </c>
      <c r="P326" s="31">
        <v>0</v>
      </c>
      <c r="Q326" s="31">
        <v>5030</v>
      </c>
      <c r="R326" s="150">
        <v>1.0680000000000001</v>
      </c>
      <c r="S326" s="88">
        <v>1</v>
      </c>
      <c r="U326" s="31">
        <v>2619882.8184000002</v>
      </c>
      <c r="V326" s="31">
        <v>3570548.6110800002</v>
      </c>
      <c r="W326" s="31">
        <v>20262354.701639999</v>
      </c>
      <c r="X326" s="31">
        <v>4964965.829880001</v>
      </c>
      <c r="Y326" s="31">
        <v>778260.58188000007</v>
      </c>
      <c r="Z326" s="31">
        <v>2693457.2399999998</v>
      </c>
      <c r="AA326" s="31">
        <v>1532811.9268799999</v>
      </c>
      <c r="AB326" s="31">
        <v>1397086.5566400001</v>
      </c>
      <c r="AC326" s="31">
        <v>5461804.7912400011</v>
      </c>
      <c r="AD326" s="31">
        <v>4959834.9062263332</v>
      </c>
      <c r="AE326" s="31">
        <v>1205869</v>
      </c>
      <c r="AF326" s="31">
        <v>49446876.963866338</v>
      </c>
      <c r="AH326" s="276"/>
      <c r="AI326" s="276"/>
      <c r="AJ326" s="276"/>
      <c r="AK326" s="276"/>
      <c r="AL326" s="276"/>
      <c r="AM326" s="276"/>
      <c r="AN326" s="276"/>
      <c r="AO326" s="276"/>
      <c r="AP326" s="276"/>
      <c r="AQ326" s="276"/>
      <c r="AR326" s="276"/>
      <c r="AS326" s="276"/>
      <c r="AT326" s="276"/>
      <c r="AU326" s="276"/>
      <c r="AV326" s="276"/>
      <c r="AW326" s="394"/>
    </row>
    <row r="327" spans="1:49">
      <c r="A327" s="88">
        <v>318</v>
      </c>
      <c r="B327" s="88" t="s">
        <v>2023</v>
      </c>
      <c r="C327" s="31">
        <v>6</v>
      </c>
      <c r="D327" s="31">
        <v>0</v>
      </c>
      <c r="E327" s="31">
        <v>18</v>
      </c>
      <c r="F327" s="31">
        <v>87</v>
      </c>
      <c r="G327" s="31">
        <v>0</v>
      </c>
      <c r="H327" s="31">
        <v>0</v>
      </c>
      <c r="I327" s="31">
        <v>4</v>
      </c>
      <c r="J327" s="31">
        <v>1</v>
      </c>
      <c r="K327" s="31">
        <v>0</v>
      </c>
      <c r="L327" s="31">
        <v>0</v>
      </c>
      <c r="M327" s="31">
        <v>2</v>
      </c>
      <c r="N327" s="31">
        <v>0</v>
      </c>
      <c r="O327" s="31">
        <v>37</v>
      </c>
      <c r="P327" s="31">
        <v>0</v>
      </c>
      <c r="Q327" s="31">
        <v>110</v>
      </c>
      <c r="R327" s="150">
        <v>1</v>
      </c>
      <c r="S327" s="88">
        <v>8</v>
      </c>
      <c r="U327" s="31">
        <v>53185.210000000006</v>
      </c>
      <c r="V327" s="31">
        <v>73119.260000000009</v>
      </c>
      <c r="W327" s="31">
        <v>490590.25</v>
      </c>
      <c r="X327" s="31">
        <v>117020.91</v>
      </c>
      <c r="Y327" s="31">
        <v>17582.810000000001</v>
      </c>
      <c r="Z327" s="31">
        <v>49938.21</v>
      </c>
      <c r="AA327" s="31">
        <v>24543.69</v>
      </c>
      <c r="AB327" s="31">
        <v>13632.07</v>
      </c>
      <c r="AC327" s="31">
        <v>123383.73000000001</v>
      </c>
      <c r="AD327" s="31">
        <v>120621.92229926988</v>
      </c>
      <c r="AE327" s="31">
        <v>24117.38</v>
      </c>
      <c r="AF327" s="31">
        <v>1107735.4422992696</v>
      </c>
      <c r="AH327" s="276"/>
      <c r="AI327" s="276"/>
      <c r="AJ327" s="276"/>
      <c r="AK327" s="276"/>
      <c r="AL327" s="276"/>
      <c r="AM327" s="276"/>
      <c r="AN327" s="276"/>
      <c r="AO327" s="276"/>
      <c r="AP327" s="276"/>
      <c r="AQ327" s="276"/>
      <c r="AR327" s="276"/>
      <c r="AS327" s="276"/>
      <c r="AT327" s="276"/>
      <c r="AU327" s="276"/>
      <c r="AV327" s="276"/>
      <c r="AW327" s="394"/>
    </row>
    <row r="328" spans="1:49">
      <c r="A328" s="88">
        <v>319</v>
      </c>
      <c r="B328" s="88" t="s">
        <v>2024</v>
      </c>
      <c r="C328" s="31">
        <v>0</v>
      </c>
      <c r="D328" s="31">
        <v>0</v>
      </c>
      <c r="E328" s="31">
        <v>0</v>
      </c>
      <c r="F328" s="31">
        <v>0</v>
      </c>
      <c r="G328" s="31">
        <v>0</v>
      </c>
      <c r="H328" s="31">
        <v>0</v>
      </c>
      <c r="I328" s="31">
        <v>0</v>
      </c>
      <c r="J328" s="31">
        <v>0</v>
      </c>
      <c r="K328" s="31">
        <v>0</v>
      </c>
      <c r="L328" s="31">
        <v>0</v>
      </c>
      <c r="M328" s="31">
        <v>0</v>
      </c>
      <c r="N328" s="31">
        <v>0</v>
      </c>
      <c r="O328" s="31">
        <v>0</v>
      </c>
      <c r="P328" s="31">
        <v>0</v>
      </c>
      <c r="Q328" s="31">
        <v>0</v>
      </c>
      <c r="R328" s="150">
        <v>1</v>
      </c>
      <c r="S328" s="88">
        <v>0</v>
      </c>
      <c r="U328" s="31">
        <v>0</v>
      </c>
      <c r="V328" s="31">
        <v>0</v>
      </c>
      <c r="W328" s="31">
        <v>0</v>
      </c>
      <c r="X328" s="31">
        <v>0</v>
      </c>
      <c r="Y328" s="31">
        <v>0</v>
      </c>
      <c r="Z328" s="31">
        <v>0</v>
      </c>
      <c r="AA328" s="31">
        <v>0</v>
      </c>
      <c r="AB328" s="31">
        <v>0</v>
      </c>
      <c r="AC328" s="31">
        <v>0</v>
      </c>
      <c r="AD328" s="31">
        <v>0</v>
      </c>
      <c r="AE328" s="31">
        <v>0</v>
      </c>
      <c r="AF328" s="31">
        <v>0</v>
      </c>
      <c r="AH328" s="276"/>
      <c r="AI328" s="276"/>
      <c r="AJ328" s="276"/>
      <c r="AK328" s="276"/>
      <c r="AL328" s="276"/>
      <c r="AM328" s="276"/>
      <c r="AN328" s="276"/>
      <c r="AO328" s="276"/>
      <c r="AP328" s="276"/>
      <c r="AQ328" s="276"/>
      <c r="AR328" s="276"/>
      <c r="AS328" s="276"/>
      <c r="AT328" s="276"/>
      <c r="AU328" s="276"/>
      <c r="AV328" s="276"/>
      <c r="AW328" s="394"/>
    </row>
    <row r="329" spans="1:49">
      <c r="A329" s="88">
        <v>320</v>
      </c>
      <c r="B329" s="88" t="s">
        <v>2025</v>
      </c>
      <c r="C329" s="31">
        <v>0</v>
      </c>
      <c r="D329" s="31">
        <v>0</v>
      </c>
      <c r="E329" s="31">
        <v>0</v>
      </c>
      <c r="F329" s="31">
        <v>0</v>
      </c>
      <c r="G329" s="31">
        <v>0</v>
      </c>
      <c r="H329" s="31">
        <v>0</v>
      </c>
      <c r="I329" s="31">
        <v>0</v>
      </c>
      <c r="J329" s="31">
        <v>0</v>
      </c>
      <c r="K329" s="31">
        <v>0</v>
      </c>
      <c r="L329" s="31">
        <v>0</v>
      </c>
      <c r="M329" s="31">
        <v>0</v>
      </c>
      <c r="N329" s="31">
        <v>0</v>
      </c>
      <c r="O329" s="31">
        <v>0</v>
      </c>
      <c r="P329" s="31">
        <v>0</v>
      </c>
      <c r="Q329" s="31">
        <v>0</v>
      </c>
      <c r="R329" s="150">
        <v>1.0329999999999999</v>
      </c>
      <c r="S329" s="88">
        <v>0</v>
      </c>
      <c r="U329" s="31">
        <v>0</v>
      </c>
      <c r="V329" s="31">
        <v>0</v>
      </c>
      <c r="W329" s="31">
        <v>0</v>
      </c>
      <c r="X329" s="31">
        <v>0</v>
      </c>
      <c r="Y329" s="31">
        <v>0</v>
      </c>
      <c r="Z329" s="31">
        <v>0</v>
      </c>
      <c r="AA329" s="31">
        <v>0</v>
      </c>
      <c r="AB329" s="31">
        <v>0</v>
      </c>
      <c r="AC329" s="31">
        <v>0</v>
      </c>
      <c r="AD329" s="31">
        <v>0</v>
      </c>
      <c r="AE329" s="31">
        <v>0</v>
      </c>
      <c r="AF329" s="31">
        <v>0</v>
      </c>
      <c r="AH329" s="276"/>
      <c r="AI329" s="276"/>
      <c r="AJ329" s="276"/>
      <c r="AK329" s="276"/>
      <c r="AL329" s="276"/>
      <c r="AM329" s="276"/>
      <c r="AN329" s="276"/>
      <c r="AO329" s="276"/>
      <c r="AP329" s="276"/>
      <c r="AQ329" s="276"/>
      <c r="AR329" s="276"/>
      <c r="AS329" s="276"/>
      <c r="AT329" s="276"/>
      <c r="AU329" s="276"/>
      <c r="AV329" s="276"/>
      <c r="AW329" s="394"/>
    </row>
    <row r="330" spans="1:49">
      <c r="A330" s="88">
        <v>321</v>
      </c>
      <c r="B330" s="88" t="s">
        <v>2026</v>
      </c>
      <c r="C330" s="31">
        <v>102</v>
      </c>
      <c r="D330" s="31">
        <v>236</v>
      </c>
      <c r="E330" s="31">
        <v>187</v>
      </c>
      <c r="F330" s="31">
        <v>1200</v>
      </c>
      <c r="G330" s="31">
        <v>891</v>
      </c>
      <c r="H330" s="31">
        <v>1049</v>
      </c>
      <c r="I330" s="31">
        <v>142</v>
      </c>
      <c r="J330" s="31">
        <v>38</v>
      </c>
      <c r="K330" s="31">
        <v>1</v>
      </c>
      <c r="L330" s="31">
        <v>24</v>
      </c>
      <c r="M330" s="31">
        <v>340</v>
      </c>
      <c r="N330" s="31">
        <v>0</v>
      </c>
      <c r="O330" s="31">
        <v>353</v>
      </c>
      <c r="P330" s="31">
        <v>0</v>
      </c>
      <c r="Q330" s="31">
        <v>3849</v>
      </c>
      <c r="R330" s="150">
        <v>1</v>
      </c>
      <c r="S330" s="88">
        <v>2</v>
      </c>
      <c r="U330" s="31">
        <v>1873632.82</v>
      </c>
      <c r="V330" s="31">
        <v>2558178.5499999998</v>
      </c>
      <c r="W330" s="31">
        <v>15143895.799999997</v>
      </c>
      <c r="X330" s="31">
        <v>3542322.3299999996</v>
      </c>
      <c r="Y330" s="31">
        <v>575582.56000000006</v>
      </c>
      <c r="Z330" s="31">
        <v>2025552.53</v>
      </c>
      <c r="AA330" s="31">
        <v>1100432.22</v>
      </c>
      <c r="AB330" s="31">
        <v>952422.81</v>
      </c>
      <c r="AC330" s="31">
        <v>4039216.0500000007</v>
      </c>
      <c r="AD330" s="31">
        <v>3878549.9311385821</v>
      </c>
      <c r="AE330" s="31">
        <v>916460.44000000006</v>
      </c>
      <c r="AF330" s="31">
        <v>36606246.041138574</v>
      </c>
      <c r="AH330" s="276"/>
      <c r="AI330" s="276"/>
      <c r="AJ330" s="276"/>
      <c r="AK330" s="276"/>
      <c r="AL330" s="276"/>
      <c r="AM330" s="276"/>
      <c r="AN330" s="276"/>
      <c r="AO330" s="276"/>
      <c r="AP330" s="276"/>
      <c r="AQ330" s="276"/>
      <c r="AR330" s="276"/>
      <c r="AS330" s="276"/>
      <c r="AT330" s="276"/>
      <c r="AU330" s="276"/>
      <c r="AV330" s="276"/>
      <c r="AW330" s="394"/>
    </row>
    <row r="331" spans="1:49">
      <c r="A331" s="88">
        <v>322</v>
      </c>
      <c r="B331" s="88" t="s">
        <v>2027</v>
      </c>
      <c r="C331" s="31">
        <v>24</v>
      </c>
      <c r="D331" s="31">
        <v>0</v>
      </c>
      <c r="E331" s="31">
        <v>51</v>
      </c>
      <c r="F331" s="31">
        <v>293</v>
      </c>
      <c r="G331" s="31">
        <v>216</v>
      </c>
      <c r="H331" s="31">
        <v>199</v>
      </c>
      <c r="I331" s="31">
        <v>32</v>
      </c>
      <c r="J331" s="31">
        <v>8</v>
      </c>
      <c r="K331" s="31">
        <v>2</v>
      </c>
      <c r="L331" s="31">
        <v>0</v>
      </c>
      <c r="M331" s="31">
        <v>21</v>
      </c>
      <c r="N331" s="31">
        <v>69</v>
      </c>
      <c r="O331" s="31">
        <v>188</v>
      </c>
      <c r="P331" s="31">
        <v>0</v>
      </c>
      <c r="Q331" s="31">
        <v>862</v>
      </c>
      <c r="R331" s="150">
        <v>1</v>
      </c>
      <c r="S331" s="88">
        <v>5</v>
      </c>
      <c r="U331" s="31">
        <v>418856.76000000007</v>
      </c>
      <c r="V331" s="31">
        <v>572988.90000000014</v>
      </c>
      <c r="W331" s="31">
        <v>3866540.92</v>
      </c>
      <c r="X331" s="31">
        <v>789896.4</v>
      </c>
      <c r="Y331" s="31">
        <v>140287.61000000002</v>
      </c>
      <c r="Z331" s="31">
        <v>499030.99999999994</v>
      </c>
      <c r="AA331" s="31">
        <v>248403.02999999997</v>
      </c>
      <c r="AB331" s="31">
        <v>227541.76000000001</v>
      </c>
      <c r="AC331" s="31">
        <v>997856.1100000001</v>
      </c>
      <c r="AD331" s="31">
        <v>922979.58198151994</v>
      </c>
      <c r="AE331" s="31">
        <v>192939.04</v>
      </c>
      <c r="AF331" s="31">
        <v>8877321.1119815204</v>
      </c>
      <c r="AH331" s="276"/>
      <c r="AI331" s="276"/>
      <c r="AJ331" s="276"/>
      <c r="AK331" s="276"/>
      <c r="AL331" s="276"/>
      <c r="AM331" s="276"/>
      <c r="AN331" s="276"/>
      <c r="AO331" s="276"/>
      <c r="AP331" s="276"/>
      <c r="AQ331" s="276"/>
      <c r="AR331" s="276"/>
      <c r="AS331" s="276"/>
      <c r="AT331" s="276"/>
      <c r="AU331" s="276"/>
      <c r="AV331" s="276"/>
      <c r="AW331" s="394"/>
    </row>
    <row r="332" spans="1:49">
      <c r="A332" s="88">
        <v>323</v>
      </c>
      <c r="B332" s="88" t="s">
        <v>2028</v>
      </c>
      <c r="C332" s="31">
        <v>18</v>
      </c>
      <c r="D332" s="31">
        <v>0</v>
      </c>
      <c r="E332" s="31">
        <v>76</v>
      </c>
      <c r="F332" s="31">
        <v>374</v>
      </c>
      <c r="G332" s="31">
        <v>274</v>
      </c>
      <c r="H332" s="31">
        <v>308</v>
      </c>
      <c r="I332" s="31">
        <v>39</v>
      </c>
      <c r="J332" s="31">
        <v>10</v>
      </c>
      <c r="K332" s="31">
        <v>0</v>
      </c>
      <c r="L332" s="31">
        <v>0</v>
      </c>
      <c r="M332" s="31">
        <v>10</v>
      </c>
      <c r="N332" s="31">
        <v>1</v>
      </c>
      <c r="O332" s="31">
        <v>217</v>
      </c>
      <c r="P332" s="31">
        <v>0</v>
      </c>
      <c r="Q332" s="31">
        <v>1052</v>
      </c>
      <c r="R332" s="150">
        <v>1</v>
      </c>
      <c r="S332" s="88">
        <v>5</v>
      </c>
      <c r="U332" s="31">
        <v>511645.61000000004</v>
      </c>
      <c r="V332" s="31">
        <v>699285.62</v>
      </c>
      <c r="W332" s="31">
        <v>4403885.3299999991</v>
      </c>
      <c r="X332" s="31">
        <v>969620.5</v>
      </c>
      <c r="Y332" s="31">
        <v>162719.13</v>
      </c>
      <c r="Z332" s="31">
        <v>560175.43999999994</v>
      </c>
      <c r="AA332" s="31">
        <v>300001.38</v>
      </c>
      <c r="AB332" s="31">
        <v>271592.26</v>
      </c>
      <c r="AC332" s="31">
        <v>1142060.5</v>
      </c>
      <c r="AD332" s="31">
        <v>1084464.8926606858</v>
      </c>
      <c r="AE332" s="31">
        <v>241173.80000000002</v>
      </c>
      <c r="AF332" s="31">
        <v>10346624.462660685</v>
      </c>
      <c r="AH332" s="276"/>
      <c r="AI332" s="276"/>
      <c r="AJ332" s="276"/>
      <c r="AK332" s="276"/>
      <c r="AL332" s="276"/>
      <c r="AM332" s="276"/>
      <c r="AN332" s="276"/>
      <c r="AO332" s="276"/>
      <c r="AP332" s="276"/>
      <c r="AQ332" s="276"/>
      <c r="AR332" s="276"/>
      <c r="AS332" s="276"/>
      <c r="AT332" s="276"/>
      <c r="AU332" s="276"/>
      <c r="AV332" s="276"/>
      <c r="AW332" s="394"/>
    </row>
    <row r="333" spans="1:49">
      <c r="A333" s="88">
        <v>324</v>
      </c>
      <c r="B333" s="88" t="s">
        <v>2029</v>
      </c>
      <c r="C333" s="31">
        <v>0</v>
      </c>
      <c r="D333" s="31">
        <v>0</v>
      </c>
      <c r="E333" s="31">
        <v>0</v>
      </c>
      <c r="F333" s="31">
        <v>0</v>
      </c>
      <c r="G333" s="31">
        <v>0</v>
      </c>
      <c r="H333" s="31">
        <v>0</v>
      </c>
      <c r="I333" s="31">
        <v>2</v>
      </c>
      <c r="J333" s="31">
        <v>0</v>
      </c>
      <c r="K333" s="31">
        <v>0</v>
      </c>
      <c r="L333" s="31">
        <v>0</v>
      </c>
      <c r="M333" s="31">
        <v>0</v>
      </c>
      <c r="N333" s="31">
        <v>34</v>
      </c>
      <c r="O333" s="31">
        <v>0</v>
      </c>
      <c r="P333" s="31">
        <v>0</v>
      </c>
      <c r="Q333" s="31">
        <v>34</v>
      </c>
      <c r="R333" s="150">
        <v>1</v>
      </c>
      <c r="S333" s="88">
        <v>0</v>
      </c>
      <c r="U333" s="31">
        <v>17593.66</v>
      </c>
      <c r="V333" s="31">
        <v>22600.48</v>
      </c>
      <c r="W333" s="31">
        <v>244750.7</v>
      </c>
      <c r="X333" s="31">
        <v>31580.36</v>
      </c>
      <c r="Y333" s="31">
        <v>7935.420000000001</v>
      </c>
      <c r="Z333" s="31">
        <v>42703.32</v>
      </c>
      <c r="AA333" s="31">
        <v>12582.72</v>
      </c>
      <c r="AB333" s="31">
        <v>16949</v>
      </c>
      <c r="AC333" s="31">
        <v>62288.34</v>
      </c>
      <c r="AD333" s="31">
        <v>48451.698770843199</v>
      </c>
      <c r="AE333" s="31">
        <v>0</v>
      </c>
      <c r="AF333" s="31">
        <v>507435.69877084321</v>
      </c>
      <c r="AH333" s="276"/>
      <c r="AI333" s="276"/>
      <c r="AJ333" s="276"/>
      <c r="AK333" s="276"/>
      <c r="AL333" s="276"/>
      <c r="AM333" s="276"/>
      <c r="AN333" s="276"/>
      <c r="AO333" s="276"/>
      <c r="AP333" s="276"/>
      <c r="AQ333" s="276"/>
      <c r="AR333" s="276"/>
      <c r="AS333" s="276"/>
      <c r="AT333" s="276"/>
      <c r="AU333" s="276"/>
      <c r="AV333" s="276"/>
      <c r="AW333" s="394"/>
    </row>
    <row r="334" spans="1:49">
      <c r="A334" s="88">
        <v>325</v>
      </c>
      <c r="B334" s="88" t="s">
        <v>2030</v>
      </c>
      <c r="C334" s="31">
        <v>176</v>
      </c>
      <c r="D334" s="31">
        <v>0</v>
      </c>
      <c r="E334" s="31">
        <v>343</v>
      </c>
      <c r="F334" s="31">
        <v>1856</v>
      </c>
      <c r="G334" s="31">
        <v>1222</v>
      </c>
      <c r="H334" s="31">
        <v>1273</v>
      </c>
      <c r="I334" s="31">
        <v>207</v>
      </c>
      <c r="J334" s="31">
        <v>49</v>
      </c>
      <c r="K334" s="31">
        <v>0</v>
      </c>
      <c r="L334" s="31">
        <v>0</v>
      </c>
      <c r="M334" s="31">
        <v>239</v>
      </c>
      <c r="N334" s="31">
        <v>453</v>
      </c>
      <c r="O334" s="31">
        <v>2149</v>
      </c>
      <c r="P334" s="31">
        <v>0</v>
      </c>
      <c r="Q334" s="31">
        <v>5474</v>
      </c>
      <c r="R334" s="150">
        <v>1</v>
      </c>
      <c r="S334" s="88">
        <v>9</v>
      </c>
      <c r="U334" s="31">
        <v>2664931.12</v>
      </c>
      <c r="V334" s="31">
        <v>3638679.0400000005</v>
      </c>
      <c r="W334" s="31">
        <v>28101737.829999998</v>
      </c>
      <c r="X334" s="31">
        <v>5055372.1100000003</v>
      </c>
      <c r="Y334" s="31">
        <v>967918.24999999988</v>
      </c>
      <c r="Z334" s="31">
        <v>3184587.2300000004</v>
      </c>
      <c r="AA334" s="31">
        <v>1577320.1999999997</v>
      </c>
      <c r="AB334" s="31">
        <v>1439884.13</v>
      </c>
      <c r="AC334" s="31">
        <v>6880367.6999999993</v>
      </c>
      <c r="AD334" s="31">
        <v>6225367.5136174811</v>
      </c>
      <c r="AE334" s="31">
        <v>1181751.6200000001</v>
      </c>
      <c r="AF334" s="31">
        <v>60917916.743617475</v>
      </c>
      <c r="AH334" s="276"/>
      <c r="AI334" s="276"/>
      <c r="AJ334" s="276"/>
      <c r="AK334" s="276"/>
      <c r="AL334" s="276"/>
      <c r="AM334" s="276"/>
      <c r="AN334" s="276"/>
      <c r="AO334" s="276"/>
      <c r="AP334" s="276"/>
      <c r="AQ334" s="276"/>
      <c r="AR334" s="276"/>
      <c r="AS334" s="276"/>
      <c r="AT334" s="276"/>
      <c r="AU334" s="276"/>
      <c r="AV334" s="276"/>
      <c r="AW334" s="394"/>
    </row>
    <row r="335" spans="1:49">
      <c r="A335" s="88">
        <v>326</v>
      </c>
      <c r="B335" s="88" t="s">
        <v>2031</v>
      </c>
      <c r="C335" s="31">
        <v>54</v>
      </c>
      <c r="D335" s="31">
        <v>237</v>
      </c>
      <c r="E335" s="31">
        <v>11</v>
      </c>
      <c r="F335" s="31">
        <v>1660</v>
      </c>
      <c r="G335" s="31">
        <v>1278</v>
      </c>
      <c r="H335" s="31">
        <v>1689</v>
      </c>
      <c r="I335" s="31">
        <v>182</v>
      </c>
      <c r="J335" s="31">
        <v>49</v>
      </c>
      <c r="K335" s="31">
        <v>0</v>
      </c>
      <c r="L335" s="31">
        <v>10</v>
      </c>
      <c r="M335" s="31">
        <v>93</v>
      </c>
      <c r="N335" s="31">
        <v>1</v>
      </c>
      <c r="O335" s="31">
        <v>300</v>
      </c>
      <c r="P335" s="31">
        <v>0</v>
      </c>
      <c r="Q335" s="31">
        <v>4883</v>
      </c>
      <c r="R335" s="150">
        <v>1.0169999999999999</v>
      </c>
      <c r="S335" s="88">
        <v>1</v>
      </c>
      <c r="U335" s="31">
        <v>2424256.5220200005</v>
      </c>
      <c r="V335" s="31">
        <v>3300671.8829700002</v>
      </c>
      <c r="W335" s="31">
        <v>18819144.191520002</v>
      </c>
      <c r="X335" s="31">
        <v>4493536.3028700007</v>
      </c>
      <c r="Y335" s="31">
        <v>721922.77908000001</v>
      </c>
      <c r="Z335" s="31">
        <v>2666020.1900000004</v>
      </c>
      <c r="AA335" s="31">
        <v>1458936.0278999999</v>
      </c>
      <c r="AB335" s="31">
        <v>1388426.73651</v>
      </c>
      <c r="AC335" s="31">
        <v>5066277.8130899994</v>
      </c>
      <c r="AD335" s="31">
        <v>4798327.212711297</v>
      </c>
      <c r="AE335" s="31">
        <v>1181751.6200000001</v>
      </c>
      <c r="AF335" s="31">
        <v>46319271.278671294</v>
      </c>
      <c r="AH335" s="276"/>
      <c r="AI335" s="276"/>
      <c r="AJ335" s="276"/>
      <c r="AK335" s="276"/>
      <c r="AL335" s="276"/>
      <c r="AM335" s="276"/>
      <c r="AN335" s="276"/>
      <c r="AO335" s="276"/>
      <c r="AP335" s="276"/>
      <c r="AQ335" s="276"/>
      <c r="AR335" s="276"/>
      <c r="AS335" s="276"/>
      <c r="AT335" s="276"/>
      <c r="AU335" s="276"/>
      <c r="AV335" s="276"/>
      <c r="AW335" s="394"/>
    </row>
    <row r="336" spans="1:49">
      <c r="A336" s="88">
        <v>327</v>
      </c>
      <c r="B336" s="88" t="s">
        <v>2032</v>
      </c>
      <c r="C336" s="31">
        <v>4</v>
      </c>
      <c r="D336" s="31">
        <v>0</v>
      </c>
      <c r="E336" s="31">
        <v>12</v>
      </c>
      <c r="F336" s="31">
        <v>86</v>
      </c>
      <c r="G336" s="31">
        <v>12</v>
      </c>
      <c r="H336" s="31">
        <v>0</v>
      </c>
      <c r="I336" s="31">
        <v>5</v>
      </c>
      <c r="J336" s="31">
        <v>1</v>
      </c>
      <c r="K336" s="31">
        <v>0</v>
      </c>
      <c r="L336" s="31">
        <v>0</v>
      </c>
      <c r="M336" s="31">
        <v>1</v>
      </c>
      <c r="N336" s="31">
        <v>18</v>
      </c>
      <c r="O336" s="31">
        <v>15</v>
      </c>
      <c r="P336" s="31">
        <v>0</v>
      </c>
      <c r="Q336" s="31">
        <v>131</v>
      </c>
      <c r="R336" s="150">
        <v>1</v>
      </c>
      <c r="S336" s="88">
        <v>2</v>
      </c>
      <c r="U336" s="31">
        <v>63454.180000000008</v>
      </c>
      <c r="V336" s="31">
        <v>87078.360000000015</v>
      </c>
      <c r="W336" s="31">
        <v>549453.96</v>
      </c>
      <c r="X336" s="31">
        <v>133153.35</v>
      </c>
      <c r="Y336" s="31">
        <v>20585.11</v>
      </c>
      <c r="Z336" s="31">
        <v>73848.53</v>
      </c>
      <c r="AA336" s="31">
        <v>32678.369999999995</v>
      </c>
      <c r="AB336" s="31">
        <v>24316.89</v>
      </c>
      <c r="AC336" s="31">
        <v>147946.62999999998</v>
      </c>
      <c r="AD336" s="31">
        <v>140940.13422404774</v>
      </c>
      <c r="AE336" s="31">
        <v>24117.38</v>
      </c>
      <c r="AF336" s="31">
        <v>1297572.8942240474</v>
      </c>
      <c r="AH336" s="276"/>
      <c r="AI336" s="276"/>
      <c r="AJ336" s="276"/>
      <c r="AK336" s="276"/>
      <c r="AL336" s="276"/>
      <c r="AM336" s="276"/>
      <c r="AN336" s="276"/>
      <c r="AO336" s="276"/>
      <c r="AP336" s="276"/>
      <c r="AQ336" s="276"/>
      <c r="AR336" s="276"/>
      <c r="AS336" s="276"/>
      <c r="AT336" s="276"/>
      <c r="AU336" s="276"/>
      <c r="AV336" s="276"/>
      <c r="AW336" s="394"/>
    </row>
    <row r="337" spans="1:49">
      <c r="A337" s="88">
        <v>328</v>
      </c>
      <c r="B337" s="88" t="s">
        <v>2033</v>
      </c>
      <c r="C337" s="31">
        <v>0</v>
      </c>
      <c r="D337" s="31">
        <v>0</v>
      </c>
      <c r="E337" s="31">
        <v>0</v>
      </c>
      <c r="F337" s="31">
        <v>0</v>
      </c>
      <c r="G337" s="31">
        <v>0</v>
      </c>
      <c r="H337" s="31">
        <v>0</v>
      </c>
      <c r="I337" s="31">
        <v>0</v>
      </c>
      <c r="J337" s="31">
        <v>0</v>
      </c>
      <c r="K337" s="31">
        <v>0</v>
      </c>
      <c r="L337" s="31">
        <v>0</v>
      </c>
      <c r="M337" s="31">
        <v>0</v>
      </c>
      <c r="N337" s="31">
        <v>0</v>
      </c>
      <c r="O337" s="31">
        <v>0</v>
      </c>
      <c r="P337" s="31">
        <v>0</v>
      </c>
      <c r="Q337" s="31">
        <v>0</v>
      </c>
      <c r="R337" s="150">
        <v>1</v>
      </c>
      <c r="S337" s="88">
        <v>0</v>
      </c>
      <c r="U337" s="31">
        <v>0</v>
      </c>
      <c r="V337" s="31">
        <v>0</v>
      </c>
      <c r="W337" s="31">
        <v>0</v>
      </c>
      <c r="X337" s="31">
        <v>0</v>
      </c>
      <c r="Y337" s="31">
        <v>0</v>
      </c>
      <c r="Z337" s="31">
        <v>0</v>
      </c>
      <c r="AA337" s="31">
        <v>0</v>
      </c>
      <c r="AB337" s="31">
        <v>0</v>
      </c>
      <c r="AC337" s="31">
        <v>0</v>
      </c>
      <c r="AD337" s="31">
        <v>0</v>
      </c>
      <c r="AE337" s="31">
        <v>0</v>
      </c>
      <c r="AF337" s="31">
        <v>0</v>
      </c>
      <c r="AH337" s="276"/>
      <c r="AI337" s="276"/>
      <c r="AJ337" s="276"/>
      <c r="AK337" s="276"/>
      <c r="AL337" s="276"/>
      <c r="AM337" s="276"/>
      <c r="AN337" s="276"/>
      <c r="AO337" s="276"/>
      <c r="AP337" s="276"/>
      <c r="AQ337" s="276"/>
      <c r="AR337" s="276"/>
      <c r="AS337" s="276"/>
      <c r="AT337" s="276"/>
      <c r="AU337" s="276"/>
      <c r="AV337" s="276"/>
      <c r="AW337" s="394"/>
    </row>
    <row r="338" spans="1:49">
      <c r="A338" s="88">
        <v>329</v>
      </c>
      <c r="B338" s="88" t="s">
        <v>2034</v>
      </c>
      <c r="C338" s="31">
        <v>0</v>
      </c>
      <c r="D338" s="31">
        <v>0</v>
      </c>
      <c r="E338" s="31">
        <v>0</v>
      </c>
      <c r="F338" s="31">
        <v>0</v>
      </c>
      <c r="G338" s="31">
        <v>0</v>
      </c>
      <c r="H338" s="31">
        <v>0</v>
      </c>
      <c r="I338" s="31">
        <v>0</v>
      </c>
      <c r="J338" s="31">
        <v>0</v>
      </c>
      <c r="K338" s="31">
        <v>0</v>
      </c>
      <c r="L338" s="31">
        <v>0</v>
      </c>
      <c r="M338" s="31">
        <v>0</v>
      </c>
      <c r="N338" s="31">
        <v>1</v>
      </c>
      <c r="O338" s="31">
        <v>0</v>
      </c>
      <c r="P338" s="31">
        <v>0</v>
      </c>
      <c r="Q338" s="31">
        <v>1</v>
      </c>
      <c r="R338" s="150">
        <v>1</v>
      </c>
      <c r="S338" s="88">
        <v>0</v>
      </c>
      <c r="U338" s="31">
        <v>368.04</v>
      </c>
      <c r="V338" s="31">
        <v>664.72</v>
      </c>
      <c r="W338" s="31">
        <v>6705.5</v>
      </c>
      <c r="X338" s="31">
        <v>468.48</v>
      </c>
      <c r="Y338" s="31">
        <v>209.61</v>
      </c>
      <c r="Z338" s="31">
        <v>1235.22</v>
      </c>
      <c r="AA338" s="31">
        <v>370.08</v>
      </c>
      <c r="AB338" s="31">
        <v>498.5</v>
      </c>
      <c r="AC338" s="31">
        <v>1665.1</v>
      </c>
      <c r="AD338" s="31">
        <v>1231.5833435895474</v>
      </c>
      <c r="AE338" s="31">
        <v>0</v>
      </c>
      <c r="AF338" s="31">
        <v>13416.833343589547</v>
      </c>
      <c r="AH338" s="276"/>
      <c r="AI338" s="276"/>
      <c r="AJ338" s="276"/>
      <c r="AK338" s="276"/>
      <c r="AL338" s="276"/>
      <c r="AM338" s="276"/>
      <c r="AN338" s="276"/>
      <c r="AO338" s="276"/>
      <c r="AP338" s="276"/>
      <c r="AQ338" s="276"/>
      <c r="AR338" s="276"/>
      <c r="AS338" s="276"/>
      <c r="AT338" s="276"/>
      <c r="AU338" s="276"/>
      <c r="AV338" s="276"/>
      <c r="AW338" s="394"/>
    </row>
    <row r="339" spans="1:49">
      <c r="A339" s="88">
        <v>330</v>
      </c>
      <c r="B339" s="88" t="s">
        <v>2035</v>
      </c>
      <c r="C339" s="31">
        <v>17</v>
      </c>
      <c r="D339" s="31">
        <v>0</v>
      </c>
      <c r="E339" s="31">
        <v>118</v>
      </c>
      <c r="F339" s="31">
        <v>731</v>
      </c>
      <c r="G339" s="31">
        <v>512</v>
      </c>
      <c r="H339" s="31">
        <v>698</v>
      </c>
      <c r="I339" s="31">
        <v>80</v>
      </c>
      <c r="J339" s="31">
        <v>21</v>
      </c>
      <c r="K339" s="31">
        <v>0</v>
      </c>
      <c r="L339" s="31">
        <v>0</v>
      </c>
      <c r="M339" s="31">
        <v>84</v>
      </c>
      <c r="N339" s="31">
        <v>7</v>
      </c>
      <c r="O339" s="31">
        <v>119</v>
      </c>
      <c r="P339" s="31">
        <v>0</v>
      </c>
      <c r="Q339" s="31">
        <v>2159</v>
      </c>
      <c r="R339" s="150">
        <v>1.0649999999999999</v>
      </c>
      <c r="S339" s="88">
        <v>1</v>
      </c>
      <c r="U339" s="31">
        <v>1119282.6878999998</v>
      </c>
      <c r="V339" s="31">
        <v>1528060.17885</v>
      </c>
      <c r="W339" s="31">
        <v>8731475.3992499989</v>
      </c>
      <c r="X339" s="31">
        <v>2096070.5590500003</v>
      </c>
      <c r="Y339" s="31">
        <v>334644.67275000003</v>
      </c>
      <c r="Z339" s="31">
        <v>1170775.0500000003</v>
      </c>
      <c r="AA339" s="31">
        <v>667806.27974999999</v>
      </c>
      <c r="AB339" s="31">
        <v>618928.93544999999</v>
      </c>
      <c r="AC339" s="31">
        <v>2349794.8810500004</v>
      </c>
      <c r="AD339" s="31">
        <v>2128434.6702173124</v>
      </c>
      <c r="AE339" s="31">
        <v>506464.98000000004</v>
      </c>
      <c r="AF339" s="31">
        <v>21251738.294267315</v>
      </c>
      <c r="AH339" s="276"/>
      <c r="AI339" s="276"/>
      <c r="AJ339" s="276"/>
      <c r="AK339" s="276"/>
      <c r="AL339" s="276"/>
      <c r="AM339" s="276"/>
      <c r="AN339" s="276"/>
      <c r="AO339" s="276"/>
      <c r="AP339" s="276"/>
      <c r="AQ339" s="276"/>
      <c r="AR339" s="276"/>
      <c r="AS339" s="276"/>
      <c r="AT339" s="276"/>
      <c r="AU339" s="276"/>
      <c r="AV339" s="276"/>
      <c r="AW339" s="394"/>
    </row>
    <row r="340" spans="1:49">
      <c r="A340" s="88">
        <v>331</v>
      </c>
      <c r="B340" s="88" t="s">
        <v>2036</v>
      </c>
      <c r="C340" s="31">
        <v>42</v>
      </c>
      <c r="D340" s="31">
        <v>0</v>
      </c>
      <c r="E340" s="31">
        <v>102</v>
      </c>
      <c r="F340" s="31">
        <v>614</v>
      </c>
      <c r="G340" s="31">
        <v>386</v>
      </c>
      <c r="H340" s="31">
        <v>351</v>
      </c>
      <c r="I340" s="31">
        <v>55</v>
      </c>
      <c r="J340" s="31">
        <v>15</v>
      </c>
      <c r="K340" s="31">
        <v>1</v>
      </c>
      <c r="L340" s="31">
        <v>0</v>
      </c>
      <c r="M340" s="31">
        <v>16</v>
      </c>
      <c r="N340" s="31">
        <v>0</v>
      </c>
      <c r="O340" s="31">
        <v>386</v>
      </c>
      <c r="P340" s="31">
        <v>0</v>
      </c>
      <c r="Q340" s="31">
        <v>1491</v>
      </c>
      <c r="R340" s="150">
        <v>1</v>
      </c>
      <c r="S340" s="88">
        <v>6</v>
      </c>
      <c r="U340" s="31">
        <v>726374.56</v>
      </c>
      <c r="V340" s="31">
        <v>990765.59000000008</v>
      </c>
      <c r="W340" s="31">
        <v>6416832.54</v>
      </c>
      <c r="X340" s="31">
        <v>1399119.29</v>
      </c>
      <c r="Y340" s="31">
        <v>235513.93</v>
      </c>
      <c r="Z340" s="31">
        <v>769854.58999999985</v>
      </c>
      <c r="AA340" s="31">
        <v>412186.73999999993</v>
      </c>
      <c r="AB340" s="31">
        <v>352718.32999999996</v>
      </c>
      <c r="AC340" s="31">
        <v>1652707.72</v>
      </c>
      <c r="AD340" s="31">
        <v>1567457.304271678</v>
      </c>
      <c r="AE340" s="31">
        <v>361760.7</v>
      </c>
      <c r="AF340" s="31">
        <v>14885291.294271678</v>
      </c>
      <c r="AH340" s="276"/>
      <c r="AI340" s="276"/>
      <c r="AJ340" s="276"/>
      <c r="AK340" s="276"/>
      <c r="AL340" s="276"/>
      <c r="AM340" s="276"/>
      <c r="AN340" s="276"/>
      <c r="AO340" s="276"/>
      <c r="AP340" s="276"/>
      <c r="AQ340" s="276"/>
      <c r="AR340" s="276"/>
      <c r="AS340" s="276"/>
      <c r="AT340" s="276"/>
      <c r="AU340" s="276"/>
      <c r="AV340" s="276"/>
      <c r="AW340" s="394"/>
    </row>
    <row r="341" spans="1:49">
      <c r="A341" s="88">
        <v>332</v>
      </c>
      <c r="B341" s="88" t="s">
        <v>2037</v>
      </c>
      <c r="C341" s="31">
        <v>120</v>
      </c>
      <c r="D341" s="31">
        <v>0</v>
      </c>
      <c r="E341" s="31">
        <v>226</v>
      </c>
      <c r="F341" s="31">
        <v>1345</v>
      </c>
      <c r="G341" s="31">
        <v>862</v>
      </c>
      <c r="H341" s="31">
        <v>1084</v>
      </c>
      <c r="I341" s="31">
        <v>151</v>
      </c>
      <c r="J341" s="31">
        <v>39</v>
      </c>
      <c r="K341" s="31">
        <v>3</v>
      </c>
      <c r="L341" s="31">
        <v>0</v>
      </c>
      <c r="M341" s="31">
        <v>416</v>
      </c>
      <c r="N341" s="31">
        <v>87</v>
      </c>
      <c r="O341" s="31">
        <v>2016</v>
      </c>
      <c r="P341" s="31">
        <v>0</v>
      </c>
      <c r="Q341" s="31">
        <v>4082</v>
      </c>
      <c r="R341" s="150">
        <v>1</v>
      </c>
      <c r="S341" s="88">
        <v>10</v>
      </c>
      <c r="U341" s="31">
        <v>1984785.0200000005</v>
      </c>
      <c r="V341" s="31">
        <v>2713055.91</v>
      </c>
      <c r="W341" s="31">
        <v>21919886.339999996</v>
      </c>
      <c r="X341" s="31">
        <v>3752893.59</v>
      </c>
      <c r="Y341" s="31">
        <v>739471.05999999994</v>
      </c>
      <c r="Z341" s="31">
        <v>2209864.1500000004</v>
      </c>
      <c r="AA341" s="31">
        <v>1172848.1099999999</v>
      </c>
      <c r="AB341" s="31">
        <v>1028591.76</v>
      </c>
      <c r="AC341" s="31">
        <v>5206166.1000000006</v>
      </c>
      <c r="AD341" s="31">
        <v>4711084.4872726947</v>
      </c>
      <c r="AE341" s="31">
        <v>940577.82000000007</v>
      </c>
      <c r="AF341" s="31">
        <v>46379224.347272687</v>
      </c>
      <c r="AH341" s="276"/>
      <c r="AI341" s="276"/>
      <c r="AJ341" s="276"/>
      <c r="AK341" s="276"/>
      <c r="AL341" s="276"/>
      <c r="AM341" s="276"/>
      <c r="AN341" s="276"/>
      <c r="AO341" s="276"/>
      <c r="AP341" s="276"/>
      <c r="AQ341" s="276"/>
      <c r="AR341" s="276"/>
      <c r="AS341" s="276"/>
      <c r="AT341" s="276"/>
      <c r="AU341" s="276"/>
      <c r="AV341" s="276"/>
      <c r="AW341" s="394"/>
    </row>
    <row r="342" spans="1:49">
      <c r="A342" s="88">
        <v>333</v>
      </c>
      <c r="B342" s="88" t="s">
        <v>2038</v>
      </c>
      <c r="C342" s="31">
        <v>0</v>
      </c>
      <c r="D342" s="31">
        <v>0</v>
      </c>
      <c r="E342" s="31">
        <v>0</v>
      </c>
      <c r="F342" s="31">
        <v>0</v>
      </c>
      <c r="G342" s="31">
        <v>0</v>
      </c>
      <c r="H342" s="31">
        <v>0</v>
      </c>
      <c r="I342" s="31">
        <v>0</v>
      </c>
      <c r="J342" s="31">
        <v>0</v>
      </c>
      <c r="K342" s="31">
        <v>0</v>
      </c>
      <c r="L342" s="31">
        <v>0</v>
      </c>
      <c r="M342" s="31">
        <v>0</v>
      </c>
      <c r="N342" s="31">
        <v>0</v>
      </c>
      <c r="O342" s="31">
        <v>0</v>
      </c>
      <c r="P342" s="31">
        <v>0</v>
      </c>
      <c r="Q342" s="31">
        <v>0</v>
      </c>
      <c r="R342" s="150">
        <v>1</v>
      </c>
      <c r="S342" s="88">
        <v>0</v>
      </c>
      <c r="U342" s="31">
        <v>0</v>
      </c>
      <c r="V342" s="31">
        <v>0</v>
      </c>
      <c r="W342" s="31">
        <v>0</v>
      </c>
      <c r="X342" s="31">
        <v>0</v>
      </c>
      <c r="Y342" s="31">
        <v>0</v>
      </c>
      <c r="Z342" s="31">
        <v>0</v>
      </c>
      <c r="AA342" s="31">
        <v>0</v>
      </c>
      <c r="AB342" s="31">
        <v>0</v>
      </c>
      <c r="AC342" s="31">
        <v>0</v>
      </c>
      <c r="AD342" s="31">
        <v>0</v>
      </c>
      <c r="AE342" s="31">
        <v>0</v>
      </c>
      <c r="AF342" s="31">
        <v>0</v>
      </c>
      <c r="AH342" s="276"/>
      <c r="AI342" s="276"/>
      <c r="AJ342" s="276"/>
      <c r="AK342" s="276"/>
      <c r="AL342" s="276"/>
      <c r="AM342" s="276"/>
      <c r="AN342" s="276"/>
      <c r="AO342" s="276"/>
      <c r="AP342" s="276"/>
      <c r="AQ342" s="276"/>
      <c r="AR342" s="276"/>
      <c r="AS342" s="276"/>
      <c r="AT342" s="276"/>
      <c r="AU342" s="276"/>
      <c r="AV342" s="276"/>
      <c r="AW342" s="394"/>
    </row>
    <row r="343" spans="1:49">
      <c r="A343" s="88">
        <v>334</v>
      </c>
      <c r="B343" s="88" t="s">
        <v>2039</v>
      </c>
      <c r="C343" s="31">
        <v>0</v>
      </c>
      <c r="D343" s="31">
        <v>0</v>
      </c>
      <c r="E343" s="31">
        <v>0</v>
      </c>
      <c r="F343" s="31">
        <v>0</v>
      </c>
      <c r="G343" s="31">
        <v>0</v>
      </c>
      <c r="H343" s="31">
        <v>0</v>
      </c>
      <c r="I343" s="31">
        <v>0</v>
      </c>
      <c r="J343" s="31">
        <v>0</v>
      </c>
      <c r="K343" s="31">
        <v>0</v>
      </c>
      <c r="L343" s="31">
        <v>0</v>
      </c>
      <c r="M343" s="31">
        <v>0</v>
      </c>
      <c r="N343" s="31">
        <v>0</v>
      </c>
      <c r="O343" s="31">
        <v>0</v>
      </c>
      <c r="P343" s="31">
        <v>0</v>
      </c>
      <c r="Q343" s="31">
        <v>0</v>
      </c>
      <c r="R343" s="150">
        <v>1</v>
      </c>
      <c r="S343" s="88">
        <v>0</v>
      </c>
      <c r="U343" s="31">
        <v>0</v>
      </c>
      <c r="V343" s="31">
        <v>0</v>
      </c>
      <c r="W343" s="31">
        <v>0</v>
      </c>
      <c r="X343" s="31">
        <v>0</v>
      </c>
      <c r="Y343" s="31">
        <v>0</v>
      </c>
      <c r="Z343" s="31">
        <v>0</v>
      </c>
      <c r="AA343" s="31">
        <v>0</v>
      </c>
      <c r="AB343" s="31">
        <v>0</v>
      </c>
      <c r="AC343" s="31">
        <v>0</v>
      </c>
      <c r="AD343" s="31">
        <v>0</v>
      </c>
      <c r="AE343" s="31">
        <v>0</v>
      </c>
      <c r="AF343" s="31">
        <v>0</v>
      </c>
      <c r="AH343" s="276"/>
      <c r="AI343" s="276"/>
      <c r="AJ343" s="276"/>
      <c r="AK343" s="276"/>
      <c r="AL343" s="276"/>
      <c r="AM343" s="276"/>
      <c r="AN343" s="276"/>
      <c r="AO343" s="276"/>
      <c r="AP343" s="276"/>
      <c r="AQ343" s="276"/>
      <c r="AR343" s="276"/>
      <c r="AS343" s="276"/>
      <c r="AT343" s="276"/>
      <c r="AU343" s="276"/>
      <c r="AV343" s="276"/>
      <c r="AW343" s="394"/>
    </row>
    <row r="344" spans="1:49">
      <c r="A344" s="88">
        <v>335</v>
      </c>
      <c r="B344" s="88" t="s">
        <v>2040</v>
      </c>
      <c r="C344" s="31">
        <v>15</v>
      </c>
      <c r="D344" s="31">
        <v>162</v>
      </c>
      <c r="E344" s="31">
        <v>13</v>
      </c>
      <c r="F344" s="31">
        <v>1131</v>
      </c>
      <c r="G344" s="31">
        <v>798</v>
      </c>
      <c r="H344" s="31">
        <v>1021</v>
      </c>
      <c r="I344" s="31">
        <v>115</v>
      </c>
      <c r="J344" s="31">
        <v>31</v>
      </c>
      <c r="K344" s="31">
        <v>0</v>
      </c>
      <c r="L344" s="31">
        <v>1</v>
      </c>
      <c r="M344" s="31">
        <v>24</v>
      </c>
      <c r="N344" s="31">
        <v>0</v>
      </c>
      <c r="O344" s="31">
        <v>184</v>
      </c>
      <c r="P344" s="31">
        <v>0</v>
      </c>
      <c r="Q344" s="31">
        <v>3077</v>
      </c>
      <c r="R344" s="150">
        <v>1.0589999999999999</v>
      </c>
      <c r="S344" s="88">
        <v>1</v>
      </c>
      <c r="U344" s="31">
        <v>1591629.05907</v>
      </c>
      <c r="V344" s="31">
        <v>2165316.6495000003</v>
      </c>
      <c r="W344" s="31">
        <v>12231584.440049998</v>
      </c>
      <c r="X344" s="31">
        <v>2973014.6469299998</v>
      </c>
      <c r="Y344" s="31">
        <v>471296.27981999994</v>
      </c>
      <c r="Z344" s="31">
        <v>1667822.7900000003</v>
      </c>
      <c r="AA344" s="31">
        <v>946779.73973999999</v>
      </c>
      <c r="AB344" s="31">
        <v>893121.81942000007</v>
      </c>
      <c r="AC344" s="31">
        <v>3307300.1436600001</v>
      </c>
      <c r="AD344" s="31">
        <v>3019317.3627277291</v>
      </c>
      <c r="AE344" s="31">
        <v>747638.78</v>
      </c>
      <c r="AF344" s="31">
        <v>30014821.710917722</v>
      </c>
      <c r="AH344" s="276"/>
      <c r="AI344" s="276"/>
      <c r="AJ344" s="276"/>
      <c r="AK344" s="276"/>
      <c r="AL344" s="276"/>
      <c r="AM344" s="276"/>
      <c r="AN344" s="276"/>
      <c r="AO344" s="276"/>
      <c r="AP344" s="276"/>
      <c r="AQ344" s="276"/>
      <c r="AR344" s="276"/>
      <c r="AS344" s="276"/>
      <c r="AT344" s="276"/>
      <c r="AU344" s="276"/>
      <c r="AV344" s="276"/>
      <c r="AW344" s="394"/>
    </row>
    <row r="345" spans="1:49">
      <c r="A345" s="88">
        <v>336</v>
      </c>
      <c r="B345" s="88" t="s">
        <v>2041</v>
      </c>
      <c r="C345" s="31">
        <v>93</v>
      </c>
      <c r="D345" s="31">
        <v>328</v>
      </c>
      <c r="E345" s="31">
        <v>76</v>
      </c>
      <c r="F345" s="31">
        <v>2301</v>
      </c>
      <c r="G345" s="31">
        <v>1427</v>
      </c>
      <c r="H345" s="31">
        <v>1516</v>
      </c>
      <c r="I345" s="31">
        <v>239</v>
      </c>
      <c r="J345" s="31">
        <v>57</v>
      </c>
      <c r="K345" s="31">
        <v>0</v>
      </c>
      <c r="L345" s="31">
        <v>21</v>
      </c>
      <c r="M345" s="31">
        <v>202</v>
      </c>
      <c r="N345" s="31">
        <v>519</v>
      </c>
      <c r="O345" s="31">
        <v>1840</v>
      </c>
      <c r="P345" s="31">
        <v>0</v>
      </c>
      <c r="Q345" s="31">
        <v>6263</v>
      </c>
      <c r="R345" s="150">
        <v>1.0389999999999999</v>
      </c>
      <c r="S345" s="88">
        <v>7</v>
      </c>
      <c r="U345" s="31">
        <v>3175761.1748899994</v>
      </c>
      <c r="V345" s="31">
        <v>4324817.8213399993</v>
      </c>
      <c r="W345" s="31">
        <v>31167417.846029997</v>
      </c>
      <c r="X345" s="31">
        <v>6010179.659</v>
      </c>
      <c r="Y345" s="31">
        <v>1100956.9310900001</v>
      </c>
      <c r="Z345" s="31">
        <v>3660238.92</v>
      </c>
      <c r="AA345" s="31">
        <v>1881647.05782</v>
      </c>
      <c r="AB345" s="31">
        <v>1746424.26248</v>
      </c>
      <c r="AC345" s="31">
        <v>7830681.5564300008</v>
      </c>
      <c r="AD345" s="31">
        <v>6899819.3716582656</v>
      </c>
      <c r="AE345" s="31">
        <v>1374690.6600000001</v>
      </c>
      <c r="AF345" s="31">
        <v>69172635.260738254</v>
      </c>
      <c r="AH345" s="276"/>
      <c r="AI345" s="276"/>
      <c r="AJ345" s="276"/>
      <c r="AK345" s="276"/>
      <c r="AL345" s="276"/>
      <c r="AM345" s="276"/>
      <c r="AN345" s="276"/>
      <c r="AO345" s="276"/>
      <c r="AP345" s="276"/>
      <c r="AQ345" s="276"/>
      <c r="AR345" s="276"/>
      <c r="AS345" s="276"/>
      <c r="AT345" s="276"/>
      <c r="AU345" s="276"/>
      <c r="AV345" s="276"/>
      <c r="AW345" s="394"/>
    </row>
    <row r="346" spans="1:49">
      <c r="A346" s="88">
        <v>337</v>
      </c>
      <c r="B346" s="88" t="s">
        <v>2042</v>
      </c>
      <c r="C346" s="31">
        <v>0</v>
      </c>
      <c r="D346" s="31">
        <v>0</v>
      </c>
      <c r="E346" s="31">
        <v>10</v>
      </c>
      <c r="F346" s="31">
        <v>60</v>
      </c>
      <c r="G346" s="31">
        <v>13</v>
      </c>
      <c r="H346" s="31">
        <v>0</v>
      </c>
      <c r="I346" s="31">
        <v>3</v>
      </c>
      <c r="J346" s="31">
        <v>1</v>
      </c>
      <c r="K346" s="31">
        <v>0</v>
      </c>
      <c r="L346" s="31">
        <v>0</v>
      </c>
      <c r="M346" s="31">
        <v>0</v>
      </c>
      <c r="N346" s="31">
        <v>0</v>
      </c>
      <c r="O346" s="31">
        <v>36</v>
      </c>
      <c r="P346" s="31">
        <v>0</v>
      </c>
      <c r="Q346" s="31">
        <v>83</v>
      </c>
      <c r="R346" s="150">
        <v>1</v>
      </c>
      <c r="S346" s="88">
        <v>9</v>
      </c>
      <c r="U346" s="31">
        <v>40707.920000000006</v>
      </c>
      <c r="V346" s="31">
        <v>55171.760000000009</v>
      </c>
      <c r="W346" s="31">
        <v>390005.69</v>
      </c>
      <c r="X346" s="31">
        <v>85554.16</v>
      </c>
      <c r="Y346" s="31">
        <v>13922.9</v>
      </c>
      <c r="Z346" s="31">
        <v>37674.21</v>
      </c>
      <c r="AA346" s="31">
        <v>19363.29</v>
      </c>
      <c r="AB346" s="31">
        <v>11633.74</v>
      </c>
      <c r="AC346" s="31">
        <v>97701.360000000015</v>
      </c>
      <c r="AD346" s="31">
        <v>93331.709547400998</v>
      </c>
      <c r="AE346" s="31">
        <v>24117.38</v>
      </c>
      <c r="AF346" s="31">
        <v>869184.11954740097</v>
      </c>
      <c r="AH346" s="276"/>
      <c r="AI346" s="276"/>
      <c r="AJ346" s="276"/>
      <c r="AK346" s="276"/>
      <c r="AL346" s="276"/>
      <c r="AM346" s="276"/>
      <c r="AN346" s="276"/>
      <c r="AO346" s="276"/>
      <c r="AP346" s="276"/>
      <c r="AQ346" s="276"/>
      <c r="AR346" s="276"/>
      <c r="AS346" s="276"/>
      <c r="AT346" s="276"/>
      <c r="AU346" s="276"/>
      <c r="AV346" s="276"/>
      <c r="AW346" s="394"/>
    </row>
    <row r="347" spans="1:49">
      <c r="A347" s="88">
        <v>338</v>
      </c>
      <c r="B347" s="88" t="s">
        <v>2043</v>
      </c>
      <c r="C347" s="31">
        <v>0</v>
      </c>
      <c r="D347" s="31">
        <v>0</v>
      </c>
      <c r="E347" s="31">
        <v>0</v>
      </c>
      <c r="F347" s="31">
        <v>0</v>
      </c>
      <c r="G347" s="31">
        <v>0</v>
      </c>
      <c r="H347" s="31">
        <v>0</v>
      </c>
      <c r="I347" s="31">
        <v>0</v>
      </c>
      <c r="J347" s="31">
        <v>0</v>
      </c>
      <c r="K347" s="31">
        <v>0</v>
      </c>
      <c r="L347" s="31">
        <v>0</v>
      </c>
      <c r="M347" s="31">
        <v>0</v>
      </c>
      <c r="N347" s="31">
        <v>9</v>
      </c>
      <c r="O347" s="31">
        <v>0</v>
      </c>
      <c r="P347" s="31">
        <v>0</v>
      </c>
      <c r="Q347" s="31">
        <v>9</v>
      </c>
      <c r="R347" s="150">
        <v>1</v>
      </c>
      <c r="S347" s="88">
        <v>0</v>
      </c>
      <c r="U347" s="31">
        <v>3312.36</v>
      </c>
      <c r="V347" s="31">
        <v>5982.4800000000005</v>
      </c>
      <c r="W347" s="31">
        <v>60349.5</v>
      </c>
      <c r="X347" s="31">
        <v>4216.32</v>
      </c>
      <c r="Y347" s="31">
        <v>1886.4900000000002</v>
      </c>
      <c r="Z347" s="31">
        <v>11116.98</v>
      </c>
      <c r="AA347" s="31">
        <v>3330.72</v>
      </c>
      <c r="AB347" s="31">
        <v>4486.5</v>
      </c>
      <c r="AC347" s="31">
        <v>14985.9</v>
      </c>
      <c r="AD347" s="31">
        <v>11084.250092305927</v>
      </c>
      <c r="AE347" s="31">
        <v>0</v>
      </c>
      <c r="AF347" s="31">
        <v>120751.50009230593</v>
      </c>
      <c r="AH347" s="276"/>
      <c r="AI347" s="276"/>
      <c r="AJ347" s="276"/>
      <c r="AK347" s="276"/>
      <c r="AL347" s="276"/>
      <c r="AM347" s="276"/>
      <c r="AN347" s="276"/>
      <c r="AO347" s="276"/>
      <c r="AP347" s="276"/>
      <c r="AQ347" s="276"/>
      <c r="AR347" s="276"/>
      <c r="AS347" s="276"/>
      <c r="AT347" s="276"/>
      <c r="AU347" s="276"/>
      <c r="AV347" s="276"/>
      <c r="AW347" s="394"/>
    </row>
    <row r="348" spans="1:49">
      <c r="A348" s="88">
        <v>339</v>
      </c>
      <c r="B348" s="88" t="s">
        <v>2044</v>
      </c>
      <c r="C348" s="31">
        <v>0</v>
      </c>
      <c r="D348" s="31">
        <v>0</v>
      </c>
      <c r="E348" s="31">
        <v>0</v>
      </c>
      <c r="F348" s="31">
        <v>0</v>
      </c>
      <c r="G348" s="31">
        <v>0</v>
      </c>
      <c r="H348" s="31">
        <v>0</v>
      </c>
      <c r="I348" s="31">
        <v>0</v>
      </c>
      <c r="J348" s="31">
        <v>0</v>
      </c>
      <c r="K348" s="31">
        <v>0</v>
      </c>
      <c r="L348" s="31">
        <v>0</v>
      </c>
      <c r="M348" s="31">
        <v>0</v>
      </c>
      <c r="N348" s="31">
        <v>0</v>
      </c>
      <c r="O348" s="31">
        <v>0</v>
      </c>
      <c r="P348" s="31">
        <v>0</v>
      </c>
      <c r="Q348" s="31">
        <v>0</v>
      </c>
      <c r="R348" s="150">
        <v>1</v>
      </c>
      <c r="S348" s="88">
        <v>0</v>
      </c>
      <c r="U348" s="31">
        <v>0</v>
      </c>
      <c r="V348" s="31">
        <v>0</v>
      </c>
      <c r="W348" s="31">
        <v>0</v>
      </c>
      <c r="X348" s="31">
        <v>0</v>
      </c>
      <c r="Y348" s="31">
        <v>0</v>
      </c>
      <c r="Z348" s="31">
        <v>0</v>
      </c>
      <c r="AA348" s="31">
        <v>0</v>
      </c>
      <c r="AB348" s="31">
        <v>0</v>
      </c>
      <c r="AC348" s="31">
        <v>0</v>
      </c>
      <c r="AD348" s="31">
        <v>0</v>
      </c>
      <c r="AE348" s="31">
        <v>0</v>
      </c>
      <c r="AF348" s="31">
        <v>0</v>
      </c>
      <c r="AH348" s="276"/>
      <c r="AI348" s="276"/>
      <c r="AJ348" s="276"/>
      <c r="AK348" s="276"/>
      <c r="AL348" s="276"/>
      <c r="AM348" s="276"/>
      <c r="AN348" s="276"/>
      <c r="AO348" s="276"/>
      <c r="AP348" s="276"/>
      <c r="AQ348" s="276"/>
      <c r="AR348" s="276"/>
      <c r="AS348" s="276"/>
      <c r="AT348" s="276"/>
      <c r="AU348" s="276"/>
      <c r="AV348" s="276"/>
      <c r="AW348" s="394"/>
    </row>
    <row r="349" spans="1:49">
      <c r="A349" s="88">
        <v>340</v>
      </c>
      <c r="B349" s="88" t="s">
        <v>2045</v>
      </c>
      <c r="C349" s="31">
        <v>1</v>
      </c>
      <c r="D349" s="31">
        <v>0</v>
      </c>
      <c r="E349" s="31">
        <v>18</v>
      </c>
      <c r="F349" s="31">
        <v>115</v>
      </c>
      <c r="G349" s="31">
        <v>28</v>
      </c>
      <c r="H349" s="31">
        <v>0</v>
      </c>
      <c r="I349" s="31">
        <v>6</v>
      </c>
      <c r="J349" s="31">
        <v>2</v>
      </c>
      <c r="K349" s="31">
        <v>0</v>
      </c>
      <c r="L349" s="31">
        <v>0</v>
      </c>
      <c r="M349" s="31">
        <v>2</v>
      </c>
      <c r="N349" s="31">
        <v>7</v>
      </c>
      <c r="O349" s="31">
        <v>31</v>
      </c>
      <c r="P349" s="31">
        <v>0</v>
      </c>
      <c r="Q349" s="31">
        <v>171</v>
      </c>
      <c r="R349" s="150">
        <v>1</v>
      </c>
      <c r="S349" s="88">
        <v>4</v>
      </c>
      <c r="U349" s="31">
        <v>83072.030000000013</v>
      </c>
      <c r="V349" s="31">
        <v>113334.77</v>
      </c>
      <c r="W349" s="31">
        <v>683942.41</v>
      </c>
      <c r="X349" s="31">
        <v>171681.97999999998</v>
      </c>
      <c r="Y349" s="31">
        <v>26085.9</v>
      </c>
      <c r="Z349" s="31">
        <v>82892.09</v>
      </c>
      <c r="AA349" s="31">
        <v>41056.409999999996</v>
      </c>
      <c r="AB349" s="31">
        <v>26659.91</v>
      </c>
      <c r="AC349" s="31">
        <v>184410.53999999998</v>
      </c>
      <c r="AD349" s="31">
        <v>179444.06810365233</v>
      </c>
      <c r="AE349" s="31">
        <v>48234.76</v>
      </c>
      <c r="AF349" s="31">
        <v>1640814.868103652</v>
      </c>
      <c r="AH349" s="276"/>
      <c r="AI349" s="276"/>
      <c r="AJ349" s="276"/>
      <c r="AK349" s="276"/>
      <c r="AL349" s="276"/>
      <c r="AM349" s="276"/>
      <c r="AN349" s="276"/>
      <c r="AO349" s="276"/>
      <c r="AP349" s="276"/>
      <c r="AQ349" s="276"/>
      <c r="AR349" s="276"/>
      <c r="AS349" s="276"/>
      <c r="AT349" s="276"/>
      <c r="AU349" s="276"/>
      <c r="AV349" s="276"/>
      <c r="AW349" s="394"/>
    </row>
    <row r="350" spans="1:49">
      <c r="A350" s="88">
        <v>341</v>
      </c>
      <c r="B350" s="88" t="s">
        <v>2046</v>
      </c>
      <c r="C350" s="31">
        <v>10</v>
      </c>
      <c r="D350" s="31">
        <v>0</v>
      </c>
      <c r="E350" s="31">
        <v>43</v>
      </c>
      <c r="F350" s="31">
        <v>292</v>
      </c>
      <c r="G350" s="31">
        <v>54</v>
      </c>
      <c r="H350" s="31">
        <v>0</v>
      </c>
      <c r="I350" s="31">
        <v>15</v>
      </c>
      <c r="J350" s="31">
        <v>4</v>
      </c>
      <c r="K350" s="31">
        <v>0</v>
      </c>
      <c r="L350" s="31">
        <v>0</v>
      </c>
      <c r="M350" s="31">
        <v>0</v>
      </c>
      <c r="N350" s="31">
        <v>0</v>
      </c>
      <c r="O350" s="31">
        <v>87</v>
      </c>
      <c r="P350" s="31">
        <v>0</v>
      </c>
      <c r="Q350" s="31">
        <v>394</v>
      </c>
      <c r="R350" s="150">
        <v>1</v>
      </c>
      <c r="S350" s="88">
        <v>5</v>
      </c>
      <c r="U350" s="31">
        <v>193270.71000000002</v>
      </c>
      <c r="V350" s="31">
        <v>261899.78000000003</v>
      </c>
      <c r="W350" s="31">
        <v>1577721.82</v>
      </c>
      <c r="X350" s="31">
        <v>413724.45999999996</v>
      </c>
      <c r="Y350" s="31">
        <v>60096.92</v>
      </c>
      <c r="Z350" s="31">
        <v>179106.94999999998</v>
      </c>
      <c r="AA350" s="31">
        <v>91350.87</v>
      </c>
      <c r="AB350" s="31">
        <v>54555.24</v>
      </c>
      <c r="AC350" s="31">
        <v>421713.42</v>
      </c>
      <c r="AD350" s="31">
        <v>416908.47257029609</v>
      </c>
      <c r="AE350" s="31">
        <v>96469.52</v>
      </c>
      <c r="AF350" s="31">
        <v>3766818.1625702963</v>
      </c>
      <c r="AH350" s="276"/>
      <c r="AI350" s="276"/>
      <c r="AJ350" s="276"/>
      <c r="AK350" s="276"/>
      <c r="AL350" s="276"/>
      <c r="AM350" s="276"/>
      <c r="AN350" s="276"/>
      <c r="AO350" s="276"/>
      <c r="AP350" s="276"/>
      <c r="AQ350" s="276"/>
      <c r="AR350" s="276"/>
      <c r="AS350" s="276"/>
      <c r="AT350" s="276"/>
      <c r="AU350" s="276"/>
      <c r="AV350" s="276"/>
      <c r="AW350" s="394"/>
    </row>
    <row r="351" spans="1:49">
      <c r="A351" s="88">
        <v>342</v>
      </c>
      <c r="B351" s="88" t="s">
        <v>2047</v>
      </c>
      <c r="C351" s="31">
        <v>83</v>
      </c>
      <c r="D351" s="31">
        <v>0</v>
      </c>
      <c r="E351" s="31">
        <v>253</v>
      </c>
      <c r="F351" s="31">
        <v>1293</v>
      </c>
      <c r="G351" s="31">
        <v>881</v>
      </c>
      <c r="H351" s="31">
        <v>940</v>
      </c>
      <c r="I351" s="31">
        <v>127</v>
      </c>
      <c r="J351" s="31">
        <v>34</v>
      </c>
      <c r="K351" s="31">
        <v>0</v>
      </c>
      <c r="L351" s="31">
        <v>0</v>
      </c>
      <c r="M351" s="31">
        <v>26</v>
      </c>
      <c r="N351" s="31">
        <v>4</v>
      </c>
      <c r="O351" s="31">
        <v>388</v>
      </c>
      <c r="P351" s="31">
        <v>0</v>
      </c>
      <c r="Q351" s="31">
        <v>3439</v>
      </c>
      <c r="R351" s="150">
        <v>1.069</v>
      </c>
      <c r="S351" s="88">
        <v>2</v>
      </c>
      <c r="U351" s="31">
        <v>1790008.9858800003</v>
      </c>
      <c r="V351" s="31">
        <v>2443349.7479500002</v>
      </c>
      <c r="W351" s="31">
        <v>14208223.400519997</v>
      </c>
      <c r="X351" s="31">
        <v>3410642.1802700004</v>
      </c>
      <c r="Y351" s="31">
        <v>543113.84164999996</v>
      </c>
      <c r="Z351" s="31">
        <v>1813709.8099999998</v>
      </c>
      <c r="AA351" s="31">
        <v>1036095.6561899999</v>
      </c>
      <c r="AB351" s="31">
        <v>921043.18424999993</v>
      </c>
      <c r="AC351" s="31">
        <v>3812083.9106199997</v>
      </c>
      <c r="AD351" s="31">
        <v>3441692.5582607253</v>
      </c>
      <c r="AE351" s="31">
        <v>819990.92</v>
      </c>
      <c r="AF351" s="31">
        <v>34239954.195590727</v>
      </c>
      <c r="AH351" s="276"/>
      <c r="AI351" s="276"/>
      <c r="AJ351" s="276"/>
      <c r="AK351" s="276"/>
      <c r="AL351" s="276"/>
      <c r="AM351" s="276"/>
      <c r="AN351" s="276"/>
      <c r="AO351" s="276"/>
      <c r="AP351" s="276"/>
      <c r="AQ351" s="276"/>
      <c r="AR351" s="276"/>
      <c r="AS351" s="276"/>
      <c r="AT351" s="276"/>
      <c r="AU351" s="276"/>
      <c r="AV351" s="276"/>
      <c r="AW351" s="394"/>
    </row>
    <row r="352" spans="1:49">
      <c r="A352" s="88">
        <v>343</v>
      </c>
      <c r="B352" s="88" t="s">
        <v>2048</v>
      </c>
      <c r="C352" s="31">
        <v>83</v>
      </c>
      <c r="D352" s="31">
        <v>0</v>
      </c>
      <c r="E352" s="31">
        <v>104</v>
      </c>
      <c r="F352" s="31">
        <v>476</v>
      </c>
      <c r="G352" s="31">
        <v>337</v>
      </c>
      <c r="H352" s="31">
        <v>398</v>
      </c>
      <c r="I352" s="31">
        <v>50</v>
      </c>
      <c r="J352" s="31">
        <v>13</v>
      </c>
      <c r="K352" s="31">
        <v>0</v>
      </c>
      <c r="L352" s="31">
        <v>0</v>
      </c>
      <c r="M352" s="31">
        <v>16</v>
      </c>
      <c r="N352" s="31">
        <v>0</v>
      </c>
      <c r="O352" s="31">
        <v>539</v>
      </c>
      <c r="P352" s="31">
        <v>0</v>
      </c>
      <c r="Q352" s="31">
        <v>1373</v>
      </c>
      <c r="R352" s="150">
        <v>1</v>
      </c>
      <c r="S352" s="88">
        <v>9</v>
      </c>
      <c r="U352" s="31">
        <v>665165.18000000005</v>
      </c>
      <c r="V352" s="31">
        <v>912329.03</v>
      </c>
      <c r="W352" s="31">
        <v>6606901.8399999999</v>
      </c>
      <c r="X352" s="31">
        <v>1263752.4400000002</v>
      </c>
      <c r="Y352" s="31">
        <v>230744.34999999998</v>
      </c>
      <c r="Z352" s="31">
        <v>728475.39</v>
      </c>
      <c r="AA352" s="31">
        <v>389349.26999999996</v>
      </c>
      <c r="AB352" s="31">
        <v>349209.12</v>
      </c>
      <c r="AC352" s="31">
        <v>1619265.7100000002</v>
      </c>
      <c r="AD352" s="31">
        <v>1500211.3234964642</v>
      </c>
      <c r="AE352" s="31">
        <v>313525.94</v>
      </c>
      <c r="AF352" s="31">
        <v>14578929.593496464</v>
      </c>
      <c r="AH352" s="276"/>
      <c r="AI352" s="276"/>
      <c r="AJ352" s="276"/>
      <c r="AK352" s="276"/>
      <c r="AL352" s="276"/>
      <c r="AM352" s="276"/>
      <c r="AN352" s="276"/>
      <c r="AO352" s="276"/>
      <c r="AP352" s="276"/>
      <c r="AQ352" s="276"/>
      <c r="AR352" s="276"/>
      <c r="AS352" s="276"/>
      <c r="AT352" s="276"/>
      <c r="AU352" s="276"/>
      <c r="AV352" s="276"/>
      <c r="AW352" s="394"/>
    </row>
    <row r="353" spans="1:49">
      <c r="A353" s="88">
        <v>344</v>
      </c>
      <c r="B353" s="88" t="s">
        <v>2049</v>
      </c>
      <c r="C353" s="31">
        <v>79</v>
      </c>
      <c r="D353" s="31">
        <v>297</v>
      </c>
      <c r="E353" s="31">
        <v>2</v>
      </c>
      <c r="F353" s="31">
        <v>1723</v>
      </c>
      <c r="G353" s="31">
        <v>1132</v>
      </c>
      <c r="H353" s="31">
        <v>1277</v>
      </c>
      <c r="I353" s="31">
        <v>166</v>
      </c>
      <c r="J353" s="31">
        <v>44</v>
      </c>
      <c r="K353" s="31">
        <v>9</v>
      </c>
      <c r="L353" s="31">
        <v>13</v>
      </c>
      <c r="M353" s="31">
        <v>144</v>
      </c>
      <c r="N353" s="31">
        <v>5</v>
      </c>
      <c r="O353" s="31">
        <v>259</v>
      </c>
      <c r="P353" s="31">
        <v>0</v>
      </c>
      <c r="Q353" s="31">
        <v>4484</v>
      </c>
      <c r="R353" s="150">
        <v>1.046</v>
      </c>
      <c r="S353" s="88">
        <v>1</v>
      </c>
      <c r="U353" s="31">
        <v>2283408.5650800001</v>
      </c>
      <c r="V353" s="31">
        <v>3116325.8549200008</v>
      </c>
      <c r="W353" s="31">
        <v>17587349.828619998</v>
      </c>
      <c r="X353" s="31">
        <v>4320796.8632399999</v>
      </c>
      <c r="Y353" s="31">
        <v>681100.45236</v>
      </c>
      <c r="Z353" s="31">
        <v>2377813.2600000007</v>
      </c>
      <c r="AA353" s="31">
        <v>1337501.23602</v>
      </c>
      <c r="AB353" s="31">
        <v>1201962.81538</v>
      </c>
      <c r="AC353" s="31">
        <v>4780641.5693799993</v>
      </c>
      <c r="AD353" s="31">
        <v>4427475.835589448</v>
      </c>
      <c r="AE353" s="31">
        <v>1061164.72</v>
      </c>
      <c r="AF353" s="31">
        <v>43175541.000589445</v>
      </c>
      <c r="AH353" s="276"/>
      <c r="AI353" s="276"/>
      <c r="AJ353" s="276"/>
      <c r="AK353" s="276"/>
      <c r="AL353" s="276"/>
      <c r="AM353" s="276"/>
      <c r="AN353" s="276"/>
      <c r="AO353" s="276"/>
      <c r="AP353" s="276"/>
      <c r="AQ353" s="276"/>
      <c r="AR353" s="276"/>
      <c r="AS353" s="276"/>
      <c r="AT353" s="276"/>
      <c r="AU353" s="276"/>
      <c r="AV353" s="276"/>
      <c r="AW353" s="394"/>
    </row>
    <row r="354" spans="1:49">
      <c r="A354" s="88">
        <v>345</v>
      </c>
      <c r="B354" s="88" t="s">
        <v>2050</v>
      </c>
      <c r="C354" s="31">
        <v>0</v>
      </c>
      <c r="D354" s="31">
        <v>0</v>
      </c>
      <c r="E354" s="31">
        <v>0</v>
      </c>
      <c r="F354" s="31">
        <v>0</v>
      </c>
      <c r="G354" s="31">
        <v>0</v>
      </c>
      <c r="H354" s="31">
        <v>0</v>
      </c>
      <c r="I354" s="31">
        <v>0</v>
      </c>
      <c r="J354" s="31">
        <v>0</v>
      </c>
      <c r="K354" s="31">
        <v>0</v>
      </c>
      <c r="L354" s="31">
        <v>0</v>
      </c>
      <c r="M354" s="31">
        <v>0</v>
      </c>
      <c r="N354" s="31">
        <v>2</v>
      </c>
      <c r="O354" s="31">
        <v>0</v>
      </c>
      <c r="P354" s="31">
        <v>0</v>
      </c>
      <c r="Q354" s="31">
        <v>2</v>
      </c>
      <c r="R354" s="150">
        <v>1</v>
      </c>
      <c r="S354" s="88">
        <v>0</v>
      </c>
      <c r="U354" s="31">
        <v>736.08</v>
      </c>
      <c r="V354" s="31">
        <v>1329.44</v>
      </c>
      <c r="W354" s="31">
        <v>13411</v>
      </c>
      <c r="X354" s="31">
        <v>936.96</v>
      </c>
      <c r="Y354" s="31">
        <v>419.22</v>
      </c>
      <c r="Z354" s="31">
        <v>2470.44</v>
      </c>
      <c r="AA354" s="31">
        <v>740.16</v>
      </c>
      <c r="AB354" s="31">
        <v>997</v>
      </c>
      <c r="AC354" s="31">
        <v>3330.2</v>
      </c>
      <c r="AD354" s="31">
        <v>2463.1666871790949</v>
      </c>
      <c r="AE354" s="31">
        <v>0</v>
      </c>
      <c r="AF354" s="31">
        <v>26833.666687179095</v>
      </c>
      <c r="AH354" s="276"/>
      <c r="AI354" s="276"/>
      <c r="AJ354" s="276"/>
      <c r="AK354" s="276"/>
      <c r="AL354" s="276"/>
      <c r="AM354" s="276"/>
      <c r="AN354" s="276"/>
      <c r="AO354" s="276"/>
      <c r="AP354" s="276"/>
      <c r="AQ354" s="276"/>
      <c r="AR354" s="276"/>
      <c r="AS354" s="276"/>
      <c r="AT354" s="276"/>
      <c r="AU354" s="276"/>
      <c r="AV354" s="276"/>
      <c r="AW354" s="394"/>
    </row>
    <row r="355" spans="1:49">
      <c r="A355" s="88">
        <v>346</v>
      </c>
      <c r="B355" s="88" t="s">
        <v>2051</v>
      </c>
      <c r="C355" s="31">
        <v>54</v>
      </c>
      <c r="D355" s="31">
        <v>0</v>
      </c>
      <c r="E355" s="31">
        <v>128</v>
      </c>
      <c r="F355" s="31">
        <v>669</v>
      </c>
      <c r="G355" s="31">
        <v>454</v>
      </c>
      <c r="H355" s="31">
        <v>547</v>
      </c>
      <c r="I355" s="31">
        <v>73</v>
      </c>
      <c r="J355" s="31">
        <v>19</v>
      </c>
      <c r="K355" s="31">
        <v>0</v>
      </c>
      <c r="L355" s="31">
        <v>0</v>
      </c>
      <c r="M355" s="31">
        <v>141</v>
      </c>
      <c r="N355" s="31">
        <v>2</v>
      </c>
      <c r="O355" s="31">
        <v>599</v>
      </c>
      <c r="P355" s="31">
        <v>0</v>
      </c>
      <c r="Q355" s="31">
        <v>1968</v>
      </c>
      <c r="R355" s="150">
        <v>1.028</v>
      </c>
      <c r="S355" s="88">
        <v>7</v>
      </c>
      <c r="U355" s="31">
        <v>984820.97768000001</v>
      </c>
      <c r="V355" s="31">
        <v>1344798.246</v>
      </c>
      <c r="W355" s="31">
        <v>9315839.7354800012</v>
      </c>
      <c r="X355" s="31">
        <v>1867877.3261200001</v>
      </c>
      <c r="Y355" s="31">
        <v>331973.73620000004</v>
      </c>
      <c r="Z355" s="31">
        <v>1040325.6699999999</v>
      </c>
      <c r="AA355" s="31">
        <v>577314.43776</v>
      </c>
      <c r="AB355" s="31">
        <v>506497.49151999998</v>
      </c>
      <c r="AC355" s="31">
        <v>2330033.4768399997</v>
      </c>
      <c r="AD355" s="31">
        <v>2116076.3890565136</v>
      </c>
      <c r="AE355" s="31">
        <v>458230.22000000003</v>
      </c>
      <c r="AF355" s="31">
        <v>20873787.706656512</v>
      </c>
      <c r="AH355" s="276"/>
      <c r="AI355" s="276"/>
      <c r="AJ355" s="276"/>
      <c r="AK355" s="276"/>
      <c r="AL355" s="276"/>
      <c r="AM355" s="276"/>
      <c r="AN355" s="276"/>
      <c r="AO355" s="276"/>
      <c r="AP355" s="276"/>
      <c r="AQ355" s="276"/>
      <c r="AR355" s="276"/>
      <c r="AS355" s="276"/>
      <c r="AT355" s="276"/>
      <c r="AU355" s="276"/>
      <c r="AV355" s="276"/>
      <c r="AW355" s="394"/>
    </row>
    <row r="356" spans="1:49">
      <c r="A356" s="88">
        <v>347</v>
      </c>
      <c r="B356" s="88" t="s">
        <v>1613</v>
      </c>
      <c r="C356" s="31">
        <v>126</v>
      </c>
      <c r="D356" s="31">
        <v>0</v>
      </c>
      <c r="E356" s="31">
        <v>322</v>
      </c>
      <c r="F356" s="31">
        <v>1701</v>
      </c>
      <c r="G356" s="31">
        <v>986</v>
      </c>
      <c r="H356" s="31">
        <v>1340</v>
      </c>
      <c r="I356" s="31">
        <v>173</v>
      </c>
      <c r="J356" s="31">
        <v>46</v>
      </c>
      <c r="K356" s="31">
        <v>19</v>
      </c>
      <c r="L356" s="31">
        <v>0</v>
      </c>
      <c r="M356" s="31">
        <v>242</v>
      </c>
      <c r="N356" s="31">
        <v>21</v>
      </c>
      <c r="O356" s="31">
        <v>1308</v>
      </c>
      <c r="P356" s="31">
        <v>0</v>
      </c>
      <c r="Q356" s="31">
        <v>4685</v>
      </c>
      <c r="R356" s="150">
        <v>1.0589999999999999</v>
      </c>
      <c r="S356" s="88">
        <v>6</v>
      </c>
      <c r="U356" s="31">
        <v>2414920.1643300001</v>
      </c>
      <c r="V356" s="31">
        <v>3297601.3451100006</v>
      </c>
      <c r="W356" s="31">
        <v>22394745.26616</v>
      </c>
      <c r="X356" s="31">
        <v>4591883.0710199997</v>
      </c>
      <c r="Y356" s="31">
        <v>800980.98281999992</v>
      </c>
      <c r="Z356" s="31">
        <v>2498996.5299999998</v>
      </c>
      <c r="AA356" s="31">
        <v>1410246.7584299997</v>
      </c>
      <c r="AB356" s="31">
        <v>1253850.8532599998</v>
      </c>
      <c r="AC356" s="31">
        <v>5625218.9261399973</v>
      </c>
      <c r="AD356" s="31">
        <v>4983119.6822925285</v>
      </c>
      <c r="AE356" s="31">
        <v>1109399.48</v>
      </c>
      <c r="AF356" s="31">
        <v>50380963.059562519</v>
      </c>
      <c r="AH356" s="276"/>
      <c r="AI356" s="276"/>
      <c r="AJ356" s="276"/>
      <c r="AK356" s="276"/>
      <c r="AL356" s="276"/>
      <c r="AM356" s="276"/>
      <c r="AN356" s="276"/>
      <c r="AO356" s="276"/>
      <c r="AP356" s="276"/>
      <c r="AQ356" s="276"/>
      <c r="AR356" s="276"/>
      <c r="AS356" s="276"/>
      <c r="AT356" s="276"/>
      <c r="AU356" s="276"/>
      <c r="AV356" s="276"/>
      <c r="AW356" s="394"/>
    </row>
    <row r="357" spans="1:49">
      <c r="A357" s="88">
        <v>348</v>
      </c>
      <c r="B357" s="88" t="s">
        <v>2052</v>
      </c>
      <c r="C357" s="31">
        <v>555</v>
      </c>
      <c r="D357" s="31">
        <v>1</v>
      </c>
      <c r="E357" s="31">
        <v>1317</v>
      </c>
      <c r="F357" s="31">
        <v>6745</v>
      </c>
      <c r="G357" s="31">
        <v>4449</v>
      </c>
      <c r="H357" s="31">
        <v>4505</v>
      </c>
      <c r="I357" s="31">
        <v>1035</v>
      </c>
      <c r="J357" s="31">
        <v>252</v>
      </c>
      <c r="K357" s="31">
        <v>744</v>
      </c>
      <c r="L357" s="31">
        <v>0</v>
      </c>
      <c r="M357" s="31">
        <v>8218</v>
      </c>
      <c r="N357" s="31">
        <v>1866</v>
      </c>
      <c r="O357" s="31">
        <v>16619</v>
      </c>
      <c r="P357" s="31">
        <v>0</v>
      </c>
      <c r="Q357" s="31">
        <v>27751</v>
      </c>
      <c r="R357" s="150">
        <v>1</v>
      </c>
      <c r="S357" s="88">
        <v>10</v>
      </c>
      <c r="U357" s="31">
        <v>13482303.490000002</v>
      </c>
      <c r="V357" s="31">
        <v>18445993</v>
      </c>
      <c r="W357" s="31">
        <v>170110734.40000001</v>
      </c>
      <c r="X357" s="31">
        <v>25487125.910000004</v>
      </c>
      <c r="Y357" s="31">
        <v>5567427.7999999998</v>
      </c>
      <c r="Z357" s="31">
        <v>15281399.319999997</v>
      </c>
      <c r="AA357" s="31">
        <v>8056992.7500000009</v>
      </c>
      <c r="AB357" s="31">
        <v>6308043.5300000003</v>
      </c>
      <c r="AC357" s="31">
        <v>39432737.850000009</v>
      </c>
      <c r="AD357" s="31">
        <v>34636243.039770655</v>
      </c>
      <c r="AE357" s="31">
        <v>6077579.7600000007</v>
      </c>
      <c r="AF357" s="31">
        <v>342886580.84977067</v>
      </c>
      <c r="AH357" s="276"/>
      <c r="AI357" s="276"/>
      <c r="AJ357" s="276"/>
      <c r="AK357" s="276"/>
      <c r="AL357" s="276"/>
      <c r="AM357" s="276"/>
      <c r="AN357" s="276"/>
      <c r="AO357" s="276"/>
      <c r="AP357" s="276"/>
      <c r="AQ357" s="276"/>
      <c r="AR357" s="276"/>
      <c r="AS357" s="276"/>
      <c r="AT357" s="276"/>
      <c r="AU357" s="276"/>
      <c r="AV357" s="276"/>
      <c r="AW357" s="394"/>
    </row>
    <row r="358" spans="1:49">
      <c r="A358" s="88">
        <v>349</v>
      </c>
      <c r="B358" s="88" t="s">
        <v>2053</v>
      </c>
      <c r="C358" s="31">
        <v>1</v>
      </c>
      <c r="D358" s="31">
        <v>0</v>
      </c>
      <c r="E358" s="31">
        <v>7</v>
      </c>
      <c r="F358" s="31">
        <v>34</v>
      </c>
      <c r="G358" s="31">
        <v>28</v>
      </c>
      <c r="H358" s="31">
        <v>25</v>
      </c>
      <c r="I358" s="31">
        <v>5</v>
      </c>
      <c r="J358" s="31">
        <v>1</v>
      </c>
      <c r="K358" s="31">
        <v>0</v>
      </c>
      <c r="L358" s="31">
        <v>0</v>
      </c>
      <c r="M358" s="31">
        <v>0</v>
      </c>
      <c r="N358" s="31">
        <v>14</v>
      </c>
      <c r="O358" s="31">
        <v>22</v>
      </c>
      <c r="P358" s="31">
        <v>0</v>
      </c>
      <c r="Q358" s="31">
        <v>109</v>
      </c>
      <c r="R358" s="150">
        <v>1</v>
      </c>
      <c r="S358" s="88">
        <v>4</v>
      </c>
      <c r="U358" s="31">
        <v>55173.25</v>
      </c>
      <c r="V358" s="31">
        <v>72122.13</v>
      </c>
      <c r="W358" s="31">
        <v>503783.3</v>
      </c>
      <c r="X358" s="31">
        <v>105638.27</v>
      </c>
      <c r="Y358" s="31">
        <v>18284.61</v>
      </c>
      <c r="Z358" s="31">
        <v>67363.86</v>
      </c>
      <c r="AA358" s="31">
        <v>31903.829999999998</v>
      </c>
      <c r="AB358" s="31">
        <v>30656.22</v>
      </c>
      <c r="AC358" s="31">
        <v>131029.22999999998</v>
      </c>
      <c r="AD358" s="31">
        <v>120274.19897604431</v>
      </c>
      <c r="AE358" s="31">
        <v>24117.38</v>
      </c>
      <c r="AF358" s="31">
        <v>1160346.2789760442</v>
      </c>
      <c r="AH358" s="276"/>
      <c r="AI358" s="276"/>
      <c r="AJ358" s="276"/>
      <c r="AK358" s="276"/>
      <c r="AL358" s="276"/>
      <c r="AM358" s="276"/>
      <c r="AN358" s="276"/>
      <c r="AO358" s="276"/>
      <c r="AP358" s="276"/>
      <c r="AQ358" s="276"/>
      <c r="AR358" s="276"/>
      <c r="AS358" s="276"/>
      <c r="AT358" s="276"/>
      <c r="AU358" s="276"/>
      <c r="AV358" s="276"/>
      <c r="AW358" s="394"/>
    </row>
    <row r="359" spans="1:49">
      <c r="A359" s="88">
        <v>350</v>
      </c>
      <c r="B359" s="88" t="s">
        <v>2054</v>
      </c>
      <c r="C359" s="31">
        <v>14</v>
      </c>
      <c r="D359" s="31">
        <v>97</v>
      </c>
      <c r="E359" s="31">
        <v>22</v>
      </c>
      <c r="F359" s="31">
        <v>686</v>
      </c>
      <c r="G359" s="31">
        <v>145</v>
      </c>
      <c r="H359" s="31">
        <v>0</v>
      </c>
      <c r="I359" s="31">
        <v>34</v>
      </c>
      <c r="J359" s="31">
        <v>9</v>
      </c>
      <c r="K359" s="31">
        <v>0</v>
      </c>
      <c r="L359" s="31">
        <v>0</v>
      </c>
      <c r="M359" s="31">
        <v>14</v>
      </c>
      <c r="N359" s="31">
        <v>0</v>
      </c>
      <c r="O359" s="31">
        <v>116</v>
      </c>
      <c r="P359" s="31">
        <v>0</v>
      </c>
      <c r="Q359" s="31">
        <v>923</v>
      </c>
      <c r="R359" s="150">
        <v>1.022</v>
      </c>
      <c r="S359" s="88">
        <v>3</v>
      </c>
      <c r="U359" s="31">
        <v>458616.83812000003</v>
      </c>
      <c r="V359" s="31">
        <v>626695.82682000007</v>
      </c>
      <c r="W359" s="31">
        <v>3494284.1540600001</v>
      </c>
      <c r="X359" s="31">
        <v>974618.36303999997</v>
      </c>
      <c r="Y359" s="31">
        <v>137836.08734</v>
      </c>
      <c r="Z359" s="31">
        <v>418960.70999999996</v>
      </c>
      <c r="AA359" s="31">
        <v>221034.65454000002</v>
      </c>
      <c r="AB359" s="31">
        <v>133705.68455999999</v>
      </c>
      <c r="AC359" s="31">
        <v>967241.14802000008</v>
      </c>
      <c r="AD359" s="31">
        <v>946068.9735556884</v>
      </c>
      <c r="AE359" s="31">
        <v>217056.42</v>
      </c>
      <c r="AF359" s="31">
        <v>8596118.8600556906</v>
      </c>
      <c r="AH359" s="276"/>
      <c r="AI359" s="276"/>
      <c r="AJ359" s="276"/>
      <c r="AK359" s="276"/>
      <c r="AL359" s="276"/>
      <c r="AM359" s="276"/>
      <c r="AN359" s="276"/>
      <c r="AO359" s="276"/>
      <c r="AP359" s="276"/>
      <c r="AQ359" s="276"/>
      <c r="AR359" s="276"/>
      <c r="AS359" s="276"/>
      <c r="AT359" s="276"/>
      <c r="AU359" s="276"/>
      <c r="AV359" s="276"/>
      <c r="AW359" s="394"/>
    </row>
    <row r="360" spans="1:49">
      <c r="A360" s="88">
        <v>351</v>
      </c>
      <c r="B360" s="88" t="s">
        <v>2055</v>
      </c>
      <c r="C360" s="31">
        <v>0</v>
      </c>
      <c r="D360" s="31">
        <v>0</v>
      </c>
      <c r="E360" s="31">
        <v>0</v>
      </c>
      <c r="F360" s="31">
        <v>0</v>
      </c>
      <c r="G360" s="31">
        <v>0</v>
      </c>
      <c r="H360" s="31">
        <v>0</v>
      </c>
      <c r="I360" s="31">
        <v>0</v>
      </c>
      <c r="J360" s="31">
        <v>0</v>
      </c>
      <c r="K360" s="31">
        <v>0</v>
      </c>
      <c r="L360" s="31">
        <v>0</v>
      </c>
      <c r="M360" s="31">
        <v>0</v>
      </c>
      <c r="N360" s="31">
        <v>0</v>
      </c>
      <c r="O360" s="31">
        <v>0</v>
      </c>
      <c r="P360" s="31">
        <v>0</v>
      </c>
      <c r="Q360" s="31">
        <v>0</v>
      </c>
      <c r="R360" s="150">
        <v>1</v>
      </c>
      <c r="S360" s="88">
        <v>0</v>
      </c>
      <c r="U360" s="31">
        <v>0</v>
      </c>
      <c r="V360" s="31">
        <v>0</v>
      </c>
      <c r="W360" s="31">
        <v>0</v>
      </c>
      <c r="X360" s="31">
        <v>0</v>
      </c>
      <c r="Y360" s="31">
        <v>0</v>
      </c>
      <c r="Z360" s="31">
        <v>0</v>
      </c>
      <c r="AA360" s="31">
        <v>0</v>
      </c>
      <c r="AB360" s="31">
        <v>0</v>
      </c>
      <c r="AC360" s="31">
        <v>0</v>
      </c>
      <c r="AD360" s="31">
        <v>0</v>
      </c>
      <c r="AE360" s="31">
        <v>0</v>
      </c>
      <c r="AF360" s="31">
        <v>0</v>
      </c>
      <c r="AH360" s="276"/>
      <c r="AI360" s="276"/>
      <c r="AJ360" s="276"/>
      <c r="AK360" s="276"/>
      <c r="AL360" s="276"/>
      <c r="AM360" s="276"/>
      <c r="AN360" s="276"/>
      <c r="AO360" s="276"/>
      <c r="AP360" s="276"/>
      <c r="AQ360" s="276"/>
      <c r="AR360" s="276"/>
      <c r="AS360" s="276"/>
      <c r="AT360" s="276"/>
      <c r="AU360" s="276"/>
      <c r="AV360" s="276"/>
      <c r="AW360" s="394"/>
    </row>
    <row r="361" spans="1:49">
      <c r="A361" s="88">
        <v>406</v>
      </c>
      <c r="B361" s="88" t="s">
        <v>2056</v>
      </c>
      <c r="C361" s="31">
        <v>0</v>
      </c>
      <c r="D361" s="31">
        <v>0</v>
      </c>
      <c r="E361" s="31">
        <v>0</v>
      </c>
      <c r="F361" s="31">
        <v>0</v>
      </c>
      <c r="G361" s="31">
        <v>0</v>
      </c>
      <c r="H361" s="31">
        <v>0</v>
      </c>
      <c r="I361" s="31">
        <v>5</v>
      </c>
      <c r="J361" s="31">
        <v>0</v>
      </c>
      <c r="K361" s="31">
        <v>0</v>
      </c>
      <c r="L361" s="31">
        <v>0</v>
      </c>
      <c r="M361" s="31">
        <v>0</v>
      </c>
      <c r="N361" s="31">
        <v>106</v>
      </c>
      <c r="O361" s="31">
        <v>167</v>
      </c>
      <c r="P361" s="31">
        <v>0</v>
      </c>
      <c r="Q361" s="31">
        <v>106</v>
      </c>
      <c r="R361" s="150">
        <v>1</v>
      </c>
      <c r="S361" s="277">
        <v>10</v>
      </c>
      <c r="U361" s="31">
        <v>51712.990000000005</v>
      </c>
      <c r="V361" s="31">
        <v>70460.320000000007</v>
      </c>
      <c r="W361" s="31">
        <v>1299039.4300000002</v>
      </c>
      <c r="X361" s="31">
        <v>88788.98000000001</v>
      </c>
      <c r="Y361" s="31">
        <v>36264.36</v>
      </c>
      <c r="Z361" s="31">
        <v>132697.92000000001</v>
      </c>
      <c r="AA361" s="31">
        <v>39228.479999999996</v>
      </c>
      <c r="AB361" s="31">
        <v>52841</v>
      </c>
      <c r="AC361" s="31">
        <v>275068.03999999998</v>
      </c>
      <c r="AD361" s="31">
        <v>202453.1971424885</v>
      </c>
      <c r="AE361" s="31">
        <v>0</v>
      </c>
      <c r="AF361" s="31">
        <v>2248554.7171424888</v>
      </c>
      <c r="AH361" s="276"/>
      <c r="AI361" s="276"/>
      <c r="AJ361" s="276"/>
      <c r="AK361" s="276"/>
      <c r="AL361" s="276"/>
      <c r="AM361" s="276"/>
      <c r="AN361" s="276"/>
      <c r="AO361" s="276"/>
      <c r="AP361" s="276"/>
      <c r="AQ361" s="276"/>
      <c r="AR361" s="276"/>
      <c r="AS361" s="276"/>
      <c r="AT361" s="276"/>
      <c r="AU361" s="276"/>
      <c r="AV361" s="276"/>
      <c r="AW361" s="394"/>
    </row>
    <row r="362" spans="1:49">
      <c r="A362" s="88">
        <v>600</v>
      </c>
      <c r="B362" s="88" t="s">
        <v>2057</v>
      </c>
      <c r="C362" s="31">
        <v>35</v>
      </c>
      <c r="D362" s="31">
        <v>288</v>
      </c>
      <c r="E362" s="31">
        <v>7</v>
      </c>
      <c r="F362" s="31">
        <v>1764</v>
      </c>
      <c r="G362" s="31">
        <v>1379</v>
      </c>
      <c r="H362" s="31">
        <v>1909</v>
      </c>
      <c r="I362" s="31">
        <v>203</v>
      </c>
      <c r="J362" s="31">
        <v>54</v>
      </c>
      <c r="K362" s="31">
        <v>0</v>
      </c>
      <c r="L362" s="31">
        <v>37</v>
      </c>
      <c r="M362" s="31">
        <v>203</v>
      </c>
      <c r="N362" s="31">
        <v>0</v>
      </c>
      <c r="O362" s="31">
        <v>397</v>
      </c>
      <c r="P362" s="31">
        <v>0</v>
      </c>
      <c r="Q362" s="31">
        <v>5443</v>
      </c>
      <c r="R362" s="150">
        <v>1.048</v>
      </c>
      <c r="S362" s="277">
        <v>1</v>
      </c>
      <c r="U362" s="31">
        <v>2783169.6176000005</v>
      </c>
      <c r="V362" s="31">
        <v>3791045.5123200007</v>
      </c>
      <c r="W362" s="31">
        <v>22031816.282080002</v>
      </c>
      <c r="X362" s="31">
        <v>5145968.5458400026</v>
      </c>
      <c r="Y362" s="31">
        <v>838153.5208800002</v>
      </c>
      <c r="Z362" s="31">
        <v>2977695.16</v>
      </c>
      <c r="AA362" s="31">
        <v>1684767.01128</v>
      </c>
      <c r="AB362" s="31">
        <v>1600706.2291200003</v>
      </c>
      <c r="AC362" s="31">
        <v>5881747.9666400012</v>
      </c>
      <c r="AD362" s="31">
        <v>5384158.5422317777</v>
      </c>
      <c r="AE362" s="31">
        <v>1302338.52</v>
      </c>
      <c r="AF362" s="31">
        <v>53421566.907991789</v>
      </c>
      <c r="AH362" s="276"/>
      <c r="AI362" s="276"/>
      <c r="AJ362" s="276"/>
      <c r="AK362" s="276"/>
      <c r="AL362" s="276"/>
      <c r="AM362" s="276"/>
      <c r="AN362" s="276"/>
      <c r="AO362" s="276"/>
      <c r="AP362" s="276"/>
      <c r="AQ362" s="276"/>
      <c r="AR362" s="276"/>
      <c r="AS362" s="276"/>
      <c r="AT362" s="276"/>
      <c r="AU362" s="276"/>
      <c r="AV362" s="276"/>
      <c r="AW362" s="394"/>
    </row>
    <row r="363" spans="1:49">
      <c r="A363" s="88">
        <v>603</v>
      </c>
      <c r="B363" s="88" t="s">
        <v>2058</v>
      </c>
      <c r="C363" s="31">
        <v>62</v>
      </c>
      <c r="D363" s="31">
        <v>0</v>
      </c>
      <c r="E363" s="31">
        <v>100</v>
      </c>
      <c r="F363" s="31">
        <v>553</v>
      </c>
      <c r="G363" s="31">
        <v>341</v>
      </c>
      <c r="H363" s="31">
        <v>343</v>
      </c>
      <c r="I363" s="31">
        <v>50</v>
      </c>
      <c r="J363" s="31">
        <v>13</v>
      </c>
      <c r="K363" s="31">
        <v>1</v>
      </c>
      <c r="L363" s="31">
        <v>0</v>
      </c>
      <c r="M363" s="31">
        <v>8</v>
      </c>
      <c r="N363" s="31">
        <v>0</v>
      </c>
      <c r="O363" s="31">
        <v>662</v>
      </c>
      <c r="P363" s="31">
        <v>0</v>
      </c>
      <c r="Q363" s="31">
        <v>1377</v>
      </c>
      <c r="R363" s="150">
        <v>1</v>
      </c>
      <c r="S363" s="277">
        <v>10</v>
      </c>
      <c r="U363" s="31">
        <v>666637.15</v>
      </c>
      <c r="V363" s="31">
        <v>914987.71000000008</v>
      </c>
      <c r="W363" s="31">
        <v>6976215.4399999995</v>
      </c>
      <c r="X363" s="31">
        <v>1284407.8199999998</v>
      </c>
      <c r="Y363" s="31">
        <v>239843.03</v>
      </c>
      <c r="Z363" s="31">
        <v>715681.3899999999</v>
      </c>
      <c r="AA363" s="31">
        <v>381823.74</v>
      </c>
      <c r="AB363" s="31">
        <v>330575.59999999998</v>
      </c>
      <c r="AC363" s="31">
        <v>1683091.48</v>
      </c>
      <c r="AD363" s="31">
        <v>1548783.2151875237</v>
      </c>
      <c r="AE363" s="31">
        <v>313525.94</v>
      </c>
      <c r="AF363" s="31">
        <v>15055572.515187522</v>
      </c>
      <c r="AH363" s="276"/>
      <c r="AI363" s="276"/>
      <c r="AJ363" s="276"/>
      <c r="AK363" s="276"/>
      <c r="AL363" s="276"/>
      <c r="AM363" s="276"/>
      <c r="AN363" s="276"/>
      <c r="AO363" s="276"/>
      <c r="AP363" s="276"/>
      <c r="AQ363" s="276"/>
      <c r="AR363" s="276"/>
      <c r="AS363" s="276"/>
      <c r="AT363" s="276"/>
      <c r="AU363" s="276"/>
      <c r="AV363" s="276"/>
      <c r="AW363" s="394"/>
    </row>
    <row r="364" spans="1:49">
      <c r="A364" s="88">
        <v>605</v>
      </c>
      <c r="B364" s="88" t="s">
        <v>2059</v>
      </c>
      <c r="C364" s="31">
        <v>0</v>
      </c>
      <c r="D364" s="31">
        <v>0</v>
      </c>
      <c r="E364" s="31">
        <v>0</v>
      </c>
      <c r="F364" s="31">
        <v>0</v>
      </c>
      <c r="G364" s="31">
        <v>458</v>
      </c>
      <c r="H364" s="31">
        <v>920</v>
      </c>
      <c r="I364" s="31">
        <v>56</v>
      </c>
      <c r="J364" s="31">
        <v>14</v>
      </c>
      <c r="K364" s="31">
        <v>0</v>
      </c>
      <c r="L364" s="31">
        <v>0</v>
      </c>
      <c r="M364" s="31">
        <v>60</v>
      </c>
      <c r="N364" s="31">
        <v>52</v>
      </c>
      <c r="O364" s="31">
        <v>347</v>
      </c>
      <c r="P364" s="31">
        <v>0</v>
      </c>
      <c r="Q364" s="31">
        <v>1490</v>
      </c>
      <c r="R364" s="150">
        <v>1</v>
      </c>
      <c r="S364" s="277">
        <v>5</v>
      </c>
      <c r="U364" s="31">
        <v>726190.1</v>
      </c>
      <c r="V364" s="31">
        <v>990432.8</v>
      </c>
      <c r="W364" s="31">
        <v>7031090.8999999985</v>
      </c>
      <c r="X364" s="31">
        <v>1189398.1600000001</v>
      </c>
      <c r="Y364" s="31">
        <v>243640.48</v>
      </c>
      <c r="Z364" s="31">
        <v>961892.65999999992</v>
      </c>
      <c r="AA364" s="31">
        <v>512646.89999999991</v>
      </c>
      <c r="AB364" s="31">
        <v>591493.43999999994</v>
      </c>
      <c r="AC364" s="31">
        <v>1719860.35</v>
      </c>
      <c r="AD364" s="31">
        <v>1543127.7269121315</v>
      </c>
      <c r="AE364" s="31">
        <v>337643.32</v>
      </c>
      <c r="AF364" s="31">
        <v>15847416.836912131</v>
      </c>
      <c r="AH364" s="276"/>
      <c r="AI364" s="276"/>
      <c r="AJ364" s="276"/>
      <c r="AK364" s="276"/>
      <c r="AL364" s="276"/>
      <c r="AM364" s="276"/>
      <c r="AN364" s="276"/>
      <c r="AO364" s="276"/>
      <c r="AP364" s="276"/>
      <c r="AQ364" s="276"/>
      <c r="AR364" s="276"/>
      <c r="AS364" s="276"/>
      <c r="AT364" s="276"/>
      <c r="AU364" s="276"/>
      <c r="AV364" s="276"/>
      <c r="AW364" s="394"/>
    </row>
    <row r="365" spans="1:49">
      <c r="A365" s="88">
        <v>610</v>
      </c>
      <c r="B365" s="88" t="s">
        <v>2060</v>
      </c>
      <c r="C365" s="31">
        <v>57</v>
      </c>
      <c r="D365" s="31">
        <v>0</v>
      </c>
      <c r="E365" s="31">
        <v>136</v>
      </c>
      <c r="F365" s="31">
        <v>821</v>
      </c>
      <c r="G365" s="31">
        <v>542</v>
      </c>
      <c r="H365" s="31">
        <v>630</v>
      </c>
      <c r="I365" s="31">
        <v>82</v>
      </c>
      <c r="J365" s="31">
        <v>22</v>
      </c>
      <c r="K365" s="31">
        <v>0</v>
      </c>
      <c r="L365" s="31">
        <v>0</v>
      </c>
      <c r="M365" s="31">
        <v>50</v>
      </c>
      <c r="N365" s="31">
        <v>0</v>
      </c>
      <c r="O365" s="31">
        <v>414</v>
      </c>
      <c r="P365" s="31">
        <v>0</v>
      </c>
      <c r="Q365" s="31">
        <v>2208</v>
      </c>
      <c r="R365" s="150">
        <v>1</v>
      </c>
      <c r="S365" s="277">
        <v>4</v>
      </c>
      <c r="U365" s="31">
        <v>1076624.4700000002</v>
      </c>
      <c r="V365" s="31">
        <v>1467369.97</v>
      </c>
      <c r="W365" s="31">
        <v>9135091.2799999993</v>
      </c>
      <c r="X365" s="31">
        <v>2044387.7200000004</v>
      </c>
      <c r="Y365" s="31">
        <v>339005.68999999994</v>
      </c>
      <c r="Z365" s="31">
        <v>1169539.3499999999</v>
      </c>
      <c r="AA365" s="31">
        <v>626499.75</v>
      </c>
      <c r="AB365" s="31">
        <v>561015.75</v>
      </c>
      <c r="AC365" s="31">
        <v>2378955.04</v>
      </c>
      <c r="AD365" s="31">
        <v>2267111.4488534816</v>
      </c>
      <c r="AE365" s="31">
        <v>530582.36</v>
      </c>
      <c r="AF365" s="31">
        <v>21596182.828853481</v>
      </c>
      <c r="AH365" s="276"/>
      <c r="AI365" s="276"/>
      <c r="AJ365" s="276"/>
      <c r="AK365" s="276"/>
      <c r="AL365" s="276"/>
      <c r="AM365" s="276"/>
      <c r="AN365" s="276"/>
      <c r="AO365" s="276"/>
      <c r="AP365" s="276"/>
      <c r="AQ365" s="276"/>
      <c r="AR365" s="276"/>
      <c r="AS365" s="276"/>
      <c r="AT365" s="276"/>
      <c r="AU365" s="276"/>
      <c r="AV365" s="276"/>
      <c r="AW365" s="394"/>
    </row>
    <row r="366" spans="1:49">
      <c r="A366" s="88">
        <v>615</v>
      </c>
      <c r="B366" s="88" t="s">
        <v>2061</v>
      </c>
      <c r="C366" s="31">
        <v>86</v>
      </c>
      <c r="D366" s="31">
        <v>0</v>
      </c>
      <c r="E366" s="31">
        <v>125</v>
      </c>
      <c r="F366" s="31">
        <v>651</v>
      </c>
      <c r="G366" s="31">
        <v>411</v>
      </c>
      <c r="H366" s="31">
        <v>462</v>
      </c>
      <c r="I366" s="31">
        <v>63</v>
      </c>
      <c r="J366" s="31">
        <v>17</v>
      </c>
      <c r="K366" s="31">
        <v>3</v>
      </c>
      <c r="L366" s="31">
        <v>0</v>
      </c>
      <c r="M366" s="31">
        <v>35</v>
      </c>
      <c r="N366" s="31">
        <v>0</v>
      </c>
      <c r="O366" s="31">
        <v>737</v>
      </c>
      <c r="P366" s="31">
        <v>0</v>
      </c>
      <c r="Q366" s="31">
        <v>1729</v>
      </c>
      <c r="R366" s="150">
        <v>1</v>
      </c>
      <c r="S366" s="277">
        <v>9</v>
      </c>
      <c r="U366" s="31">
        <v>839370.06</v>
      </c>
      <c r="V366" s="31">
        <v>1148969.4100000001</v>
      </c>
      <c r="W366" s="31">
        <v>8504356.7699999996</v>
      </c>
      <c r="X366" s="31">
        <v>1604478.4400000002</v>
      </c>
      <c r="Y366" s="31">
        <v>295077.13</v>
      </c>
      <c r="Z366" s="31">
        <v>907053.57999999984</v>
      </c>
      <c r="AA366" s="31">
        <v>484737.05999999994</v>
      </c>
      <c r="AB366" s="31">
        <v>424970.19</v>
      </c>
      <c r="AC366" s="31">
        <v>2070719.7800000003</v>
      </c>
      <c r="AD366" s="31">
        <v>1914058.892762484</v>
      </c>
      <c r="AE366" s="31">
        <v>409995.46</v>
      </c>
      <c r="AF366" s="31">
        <v>18603786.772762485</v>
      </c>
      <c r="AH366" s="276"/>
      <c r="AI366" s="276"/>
      <c r="AJ366" s="276"/>
      <c r="AK366" s="276"/>
      <c r="AL366" s="276"/>
      <c r="AM366" s="276"/>
      <c r="AN366" s="276"/>
      <c r="AO366" s="276"/>
      <c r="AP366" s="276"/>
      <c r="AQ366" s="276"/>
      <c r="AR366" s="276"/>
      <c r="AS366" s="276"/>
      <c r="AT366" s="276"/>
      <c r="AU366" s="276"/>
      <c r="AV366" s="276"/>
      <c r="AW366" s="394"/>
    </row>
    <row r="367" spans="1:49">
      <c r="A367" s="88">
        <v>616</v>
      </c>
      <c r="B367" s="88" t="s">
        <v>1626</v>
      </c>
      <c r="C367" s="31">
        <v>37</v>
      </c>
      <c r="D367" s="31">
        <v>4</v>
      </c>
      <c r="E367" s="31">
        <v>136</v>
      </c>
      <c r="F367" s="31">
        <v>656</v>
      </c>
      <c r="G367" s="31">
        <v>425</v>
      </c>
      <c r="H367" s="31">
        <v>478</v>
      </c>
      <c r="I367" s="31">
        <v>66</v>
      </c>
      <c r="J367" s="31">
        <v>18</v>
      </c>
      <c r="K367" s="31">
        <v>2</v>
      </c>
      <c r="L367" s="31">
        <v>1</v>
      </c>
      <c r="M367" s="31">
        <v>53</v>
      </c>
      <c r="N367" s="31">
        <v>0</v>
      </c>
      <c r="O367" s="31">
        <v>458</v>
      </c>
      <c r="P367" s="31">
        <v>0</v>
      </c>
      <c r="Q367" s="31">
        <v>1771</v>
      </c>
      <c r="R367" s="150">
        <v>1</v>
      </c>
      <c r="S367" s="277">
        <v>6</v>
      </c>
      <c r="U367" s="31">
        <v>864803.87</v>
      </c>
      <c r="V367" s="31">
        <v>1176554.8400000001</v>
      </c>
      <c r="W367" s="31">
        <v>7745565.2399999993</v>
      </c>
      <c r="X367" s="31">
        <v>1649539.7900000003</v>
      </c>
      <c r="Y367" s="31">
        <v>281455.57999999996</v>
      </c>
      <c r="Z367" s="31">
        <v>930655.0399999998</v>
      </c>
      <c r="AA367" s="31">
        <v>498664.74</v>
      </c>
      <c r="AB367" s="31">
        <v>438002.89999999997</v>
      </c>
      <c r="AC367" s="31">
        <v>1975111.4300000002</v>
      </c>
      <c r="AD367" s="31">
        <v>1865298.464966865</v>
      </c>
      <c r="AE367" s="31">
        <v>434112.84</v>
      </c>
      <c r="AF367" s="31">
        <v>17859764.734966863</v>
      </c>
      <c r="AH367" s="276"/>
      <c r="AI367" s="276"/>
      <c r="AJ367" s="276"/>
      <c r="AK367" s="276"/>
      <c r="AL367" s="276"/>
      <c r="AM367" s="276"/>
      <c r="AN367" s="276"/>
      <c r="AO367" s="276"/>
      <c r="AP367" s="276"/>
      <c r="AQ367" s="276"/>
      <c r="AR367" s="276"/>
      <c r="AS367" s="276"/>
      <c r="AT367" s="276"/>
      <c r="AU367" s="276"/>
      <c r="AV367" s="276"/>
      <c r="AW367" s="394"/>
    </row>
    <row r="368" spans="1:49">
      <c r="A368" s="88">
        <v>618</v>
      </c>
      <c r="B368" s="88" t="s">
        <v>2062</v>
      </c>
      <c r="C368" s="31">
        <v>17</v>
      </c>
      <c r="D368" s="31">
        <v>0</v>
      </c>
      <c r="E368" s="31">
        <v>72</v>
      </c>
      <c r="F368" s="31">
        <v>313</v>
      </c>
      <c r="G368" s="31">
        <v>267</v>
      </c>
      <c r="H368" s="31">
        <v>344</v>
      </c>
      <c r="I368" s="31">
        <v>41</v>
      </c>
      <c r="J368" s="31">
        <v>10</v>
      </c>
      <c r="K368" s="31">
        <v>0</v>
      </c>
      <c r="L368" s="31">
        <v>0</v>
      </c>
      <c r="M368" s="31">
        <v>37</v>
      </c>
      <c r="N368" s="31">
        <v>37</v>
      </c>
      <c r="O368" s="31">
        <v>376</v>
      </c>
      <c r="P368" s="31">
        <v>0</v>
      </c>
      <c r="Q368" s="31">
        <v>1079</v>
      </c>
      <c r="R368" s="150">
        <v>1</v>
      </c>
      <c r="S368" s="277">
        <v>8</v>
      </c>
      <c r="U368" s="31">
        <v>526478.96000000008</v>
      </c>
      <c r="V368" s="31">
        <v>716900.69000000006</v>
      </c>
      <c r="W368" s="31">
        <v>5240281.12</v>
      </c>
      <c r="X368" s="31">
        <v>980737.19000000006</v>
      </c>
      <c r="Y368" s="31">
        <v>182910.58000000002</v>
      </c>
      <c r="Z368" s="31">
        <v>610687.47</v>
      </c>
      <c r="AA368" s="31">
        <v>318024.51000000007</v>
      </c>
      <c r="AB368" s="31">
        <v>301074.03999999998</v>
      </c>
      <c r="AC368" s="31">
        <v>1290748.21</v>
      </c>
      <c r="AD368" s="31">
        <v>1182995.8190380349</v>
      </c>
      <c r="AE368" s="31">
        <v>241173.80000000002</v>
      </c>
      <c r="AF368" s="31">
        <v>11592012.389038036</v>
      </c>
      <c r="AH368" s="276"/>
      <c r="AI368" s="276"/>
      <c r="AJ368" s="276"/>
      <c r="AK368" s="276"/>
      <c r="AL368" s="276"/>
      <c r="AM368" s="276"/>
      <c r="AN368" s="276"/>
      <c r="AO368" s="276"/>
      <c r="AP368" s="276"/>
      <c r="AQ368" s="276"/>
      <c r="AR368" s="276"/>
      <c r="AS368" s="276"/>
      <c r="AT368" s="276"/>
      <c r="AU368" s="276"/>
      <c r="AV368" s="276"/>
      <c r="AW368" s="394"/>
    </row>
    <row r="369" spans="1:49">
      <c r="A369" s="88">
        <v>620</v>
      </c>
      <c r="B369" s="88" t="s">
        <v>2063</v>
      </c>
      <c r="C369" s="31">
        <v>0</v>
      </c>
      <c r="D369" s="31">
        <v>0</v>
      </c>
      <c r="E369" s="31">
        <v>0</v>
      </c>
      <c r="F369" s="31">
        <v>0</v>
      </c>
      <c r="G369" s="31">
        <v>243</v>
      </c>
      <c r="H369" s="31">
        <v>294</v>
      </c>
      <c r="I369" s="31">
        <v>20</v>
      </c>
      <c r="J369" s="31">
        <v>5</v>
      </c>
      <c r="K369" s="31">
        <v>0</v>
      </c>
      <c r="L369" s="31">
        <v>0</v>
      </c>
      <c r="M369" s="31">
        <v>3</v>
      </c>
      <c r="N369" s="31">
        <v>0</v>
      </c>
      <c r="O369" s="31">
        <v>63</v>
      </c>
      <c r="P369" s="31">
        <v>0</v>
      </c>
      <c r="Q369" s="31">
        <v>540</v>
      </c>
      <c r="R369" s="150">
        <v>1</v>
      </c>
      <c r="S369" s="277">
        <v>2</v>
      </c>
      <c r="U369" s="31">
        <v>262245.35000000003</v>
      </c>
      <c r="V369" s="31">
        <v>358948.8</v>
      </c>
      <c r="W369" s="31">
        <v>2182989.9299999997</v>
      </c>
      <c r="X369" s="31">
        <v>433066.2</v>
      </c>
      <c r="Y369" s="31">
        <v>81809.67</v>
      </c>
      <c r="Z369" s="31">
        <v>323101.2</v>
      </c>
      <c r="AA369" s="31">
        <v>181430.09999999998</v>
      </c>
      <c r="AB369" s="31">
        <v>199487.78999999998</v>
      </c>
      <c r="AC369" s="31">
        <v>574101.71000000008</v>
      </c>
      <c r="AD369" s="31">
        <v>529848.40295607969</v>
      </c>
      <c r="AE369" s="31">
        <v>120586.90000000001</v>
      </c>
      <c r="AF369" s="31">
        <v>5247616.0529560801</v>
      </c>
      <c r="AH369" s="276"/>
      <c r="AI369" s="276"/>
      <c r="AJ369" s="276"/>
      <c r="AK369" s="276"/>
      <c r="AL369" s="276"/>
      <c r="AM369" s="276"/>
      <c r="AN369" s="276"/>
      <c r="AO369" s="276"/>
      <c r="AP369" s="276"/>
      <c r="AQ369" s="276"/>
      <c r="AR369" s="276"/>
      <c r="AS369" s="276"/>
      <c r="AT369" s="276"/>
      <c r="AU369" s="276"/>
      <c r="AV369" s="276"/>
      <c r="AW369" s="394"/>
    </row>
    <row r="370" spans="1:49">
      <c r="A370" s="88">
        <v>622</v>
      </c>
      <c r="B370" s="88" t="s">
        <v>2064</v>
      </c>
      <c r="C370" s="31">
        <v>70</v>
      </c>
      <c r="D370" s="31">
        <v>0</v>
      </c>
      <c r="E370" s="31">
        <v>113</v>
      </c>
      <c r="F370" s="31">
        <v>666</v>
      </c>
      <c r="G370" s="31">
        <v>433</v>
      </c>
      <c r="H370" s="31">
        <v>467</v>
      </c>
      <c r="I370" s="31">
        <v>66</v>
      </c>
      <c r="J370" s="31">
        <v>17</v>
      </c>
      <c r="K370" s="31">
        <v>0</v>
      </c>
      <c r="L370" s="31">
        <v>0</v>
      </c>
      <c r="M370" s="31">
        <v>69</v>
      </c>
      <c r="N370" s="31">
        <v>0</v>
      </c>
      <c r="O370" s="31">
        <v>409</v>
      </c>
      <c r="P370" s="31">
        <v>0</v>
      </c>
      <c r="Q370" s="31">
        <v>1783</v>
      </c>
      <c r="R370" s="150">
        <v>1</v>
      </c>
      <c r="S370" s="277">
        <v>5</v>
      </c>
      <c r="U370" s="31">
        <v>867048.47000000009</v>
      </c>
      <c r="V370" s="31">
        <v>1185196.46</v>
      </c>
      <c r="W370" s="31">
        <v>7627718.5899999989</v>
      </c>
      <c r="X370" s="31">
        <v>1659085.52</v>
      </c>
      <c r="Y370" s="31">
        <v>279981.02</v>
      </c>
      <c r="Z370" s="31">
        <v>933478.41999999981</v>
      </c>
      <c r="AA370" s="31">
        <v>501568.82999999996</v>
      </c>
      <c r="AB370" s="31">
        <v>436740.81</v>
      </c>
      <c r="AC370" s="31">
        <v>1964753.77</v>
      </c>
      <c r="AD370" s="31">
        <v>1862575.242629227</v>
      </c>
      <c r="AE370" s="31">
        <v>409995.46</v>
      </c>
      <c r="AF370" s="31">
        <v>17728142.592629228</v>
      </c>
      <c r="AH370" s="276"/>
      <c r="AI370" s="276"/>
      <c r="AJ370" s="276"/>
      <c r="AK370" s="276"/>
      <c r="AL370" s="276"/>
      <c r="AM370" s="276"/>
      <c r="AN370" s="276"/>
      <c r="AO370" s="276"/>
      <c r="AP370" s="276"/>
      <c r="AQ370" s="276"/>
      <c r="AR370" s="276"/>
      <c r="AS370" s="276"/>
      <c r="AT370" s="276"/>
      <c r="AU370" s="276"/>
      <c r="AV370" s="276"/>
      <c r="AW370" s="394"/>
    </row>
    <row r="371" spans="1:49">
      <c r="A371" s="88">
        <v>625</v>
      </c>
      <c r="B371" s="88" t="s">
        <v>2065</v>
      </c>
      <c r="C371" s="31">
        <v>127</v>
      </c>
      <c r="D371" s="31">
        <v>0</v>
      </c>
      <c r="E371" s="31">
        <v>377</v>
      </c>
      <c r="F371" s="31">
        <v>1992</v>
      </c>
      <c r="G371" s="31">
        <v>1357</v>
      </c>
      <c r="H371" s="31">
        <v>1592</v>
      </c>
      <c r="I371" s="31">
        <v>202</v>
      </c>
      <c r="J371" s="31">
        <v>54</v>
      </c>
      <c r="K371" s="31">
        <v>1</v>
      </c>
      <c r="L371" s="31">
        <v>0</v>
      </c>
      <c r="M371" s="31">
        <v>62</v>
      </c>
      <c r="N371" s="31">
        <v>0</v>
      </c>
      <c r="O371" s="31">
        <v>944</v>
      </c>
      <c r="P371" s="31">
        <v>0</v>
      </c>
      <c r="Q371" s="31">
        <v>5445</v>
      </c>
      <c r="R371" s="150">
        <v>1</v>
      </c>
      <c r="S371" s="277">
        <v>4</v>
      </c>
      <c r="U371" s="31">
        <v>2653889.4500000002</v>
      </c>
      <c r="V371" s="31">
        <v>3618736.9600000004</v>
      </c>
      <c r="W371" s="31">
        <v>22222429.199999999</v>
      </c>
      <c r="X371" s="31">
        <v>5033045.33</v>
      </c>
      <c r="Y371" s="31">
        <v>828573.14</v>
      </c>
      <c r="Z371" s="31">
        <v>2894313.4799999995</v>
      </c>
      <c r="AA371" s="31">
        <v>1547748.6000000003</v>
      </c>
      <c r="AB371" s="31">
        <v>1397748.51</v>
      </c>
      <c r="AC371" s="31">
        <v>5814462.0999999996</v>
      </c>
      <c r="AD371" s="31">
        <v>5553563.9718702864</v>
      </c>
      <c r="AE371" s="31">
        <v>1302338.52</v>
      </c>
      <c r="AF371" s="31">
        <v>52866849.261870287</v>
      </c>
      <c r="AH371" s="276"/>
      <c r="AI371" s="276"/>
      <c r="AJ371" s="276"/>
      <c r="AK371" s="276"/>
      <c r="AL371" s="276"/>
      <c r="AM371" s="276"/>
      <c r="AN371" s="276"/>
      <c r="AO371" s="276"/>
      <c r="AP371" s="276"/>
      <c r="AQ371" s="276"/>
      <c r="AR371" s="276"/>
      <c r="AS371" s="276"/>
      <c r="AT371" s="276"/>
      <c r="AU371" s="276"/>
      <c r="AV371" s="276"/>
      <c r="AW371" s="394"/>
    </row>
    <row r="372" spans="1:49">
      <c r="A372" s="88">
        <v>632</v>
      </c>
      <c r="B372" s="88" t="s">
        <v>1631</v>
      </c>
      <c r="C372" s="31">
        <v>5</v>
      </c>
      <c r="D372" s="31">
        <v>0</v>
      </c>
      <c r="E372" s="31">
        <v>18</v>
      </c>
      <c r="F372" s="31">
        <v>81</v>
      </c>
      <c r="G372" s="31">
        <v>20</v>
      </c>
      <c r="H372" s="31">
        <v>0</v>
      </c>
      <c r="I372" s="31">
        <v>4</v>
      </c>
      <c r="J372" s="31">
        <v>1</v>
      </c>
      <c r="K372" s="31">
        <v>0</v>
      </c>
      <c r="L372" s="31">
        <v>0</v>
      </c>
      <c r="M372" s="31">
        <v>0</v>
      </c>
      <c r="N372" s="31">
        <v>0</v>
      </c>
      <c r="O372" s="31">
        <v>40</v>
      </c>
      <c r="P372" s="31">
        <v>0</v>
      </c>
      <c r="Q372" s="31">
        <v>122</v>
      </c>
      <c r="R372" s="150">
        <v>1</v>
      </c>
      <c r="S372" s="277">
        <v>8</v>
      </c>
      <c r="U372" s="31">
        <v>57417.66</v>
      </c>
      <c r="V372" s="31">
        <v>80763.53</v>
      </c>
      <c r="W372" s="31">
        <v>524866.74</v>
      </c>
      <c r="X372" s="31">
        <v>121944.05</v>
      </c>
      <c r="Y372" s="31">
        <v>19299.330000000002</v>
      </c>
      <c r="Z372" s="31">
        <v>55011.43</v>
      </c>
      <c r="AA372" s="31">
        <v>28416.21</v>
      </c>
      <c r="AB372" s="31">
        <v>16852.77</v>
      </c>
      <c r="AC372" s="31">
        <v>135428.9</v>
      </c>
      <c r="AD372" s="31">
        <v>131021.81271515532</v>
      </c>
      <c r="AE372" s="31">
        <v>24117.38</v>
      </c>
      <c r="AF372" s="31">
        <v>1195139.8127151553</v>
      </c>
      <c r="AH372" s="276"/>
      <c r="AI372" s="276"/>
      <c r="AJ372" s="276"/>
      <c r="AK372" s="276"/>
      <c r="AL372" s="276"/>
      <c r="AM372" s="276"/>
      <c r="AN372" s="276"/>
      <c r="AO372" s="276"/>
      <c r="AP372" s="276"/>
      <c r="AQ372" s="276"/>
      <c r="AR372" s="276"/>
      <c r="AS372" s="276"/>
      <c r="AT372" s="276"/>
      <c r="AU372" s="276"/>
      <c r="AV372" s="276"/>
      <c r="AW372" s="394"/>
    </row>
    <row r="373" spans="1:49">
      <c r="A373" s="88">
        <v>635</v>
      </c>
      <c r="B373" s="88" t="s">
        <v>2066</v>
      </c>
      <c r="C373" s="31">
        <v>51</v>
      </c>
      <c r="D373" s="31">
        <v>0</v>
      </c>
      <c r="E373" s="31">
        <v>114</v>
      </c>
      <c r="F373" s="31">
        <v>519</v>
      </c>
      <c r="G373" s="31">
        <v>413</v>
      </c>
      <c r="H373" s="31">
        <v>543</v>
      </c>
      <c r="I373" s="31">
        <v>60</v>
      </c>
      <c r="J373" s="31">
        <v>16</v>
      </c>
      <c r="K373" s="31">
        <v>0</v>
      </c>
      <c r="L373" s="31">
        <v>0</v>
      </c>
      <c r="M373" s="31">
        <v>8</v>
      </c>
      <c r="N373" s="31">
        <v>0</v>
      </c>
      <c r="O373" s="31">
        <v>508</v>
      </c>
      <c r="P373" s="31">
        <v>0</v>
      </c>
      <c r="Q373" s="31">
        <v>1623</v>
      </c>
      <c r="R373" s="150">
        <v>1</v>
      </c>
      <c r="S373" s="277">
        <v>7</v>
      </c>
      <c r="U373" s="31">
        <v>790196.80999999994</v>
      </c>
      <c r="V373" s="31">
        <v>1078508.71</v>
      </c>
      <c r="W373" s="31">
        <v>7409961.4699999988</v>
      </c>
      <c r="X373" s="31">
        <v>1476750.21</v>
      </c>
      <c r="Y373" s="31">
        <v>263350.13</v>
      </c>
      <c r="Z373" s="31">
        <v>880673.42999999993</v>
      </c>
      <c r="AA373" s="31">
        <v>471293.22000000003</v>
      </c>
      <c r="AB373" s="31">
        <v>442024.74999999994</v>
      </c>
      <c r="AC373" s="31">
        <v>1848058.0699999998</v>
      </c>
      <c r="AD373" s="31">
        <v>1723783.6485734438</v>
      </c>
      <c r="AE373" s="31">
        <v>385878.08</v>
      </c>
      <c r="AF373" s="31">
        <v>16770478.528573444</v>
      </c>
      <c r="AH373" s="276"/>
      <c r="AI373" s="276"/>
      <c r="AJ373" s="276"/>
      <c r="AK373" s="276"/>
      <c r="AL373" s="276"/>
      <c r="AM373" s="276"/>
      <c r="AN373" s="276"/>
      <c r="AO373" s="276"/>
      <c r="AP373" s="276"/>
      <c r="AQ373" s="276"/>
      <c r="AR373" s="276"/>
      <c r="AS373" s="276"/>
      <c r="AT373" s="276"/>
      <c r="AU373" s="276"/>
      <c r="AV373" s="276"/>
      <c r="AW373" s="394"/>
    </row>
    <row r="374" spans="1:49">
      <c r="A374" s="88">
        <v>640</v>
      </c>
      <c r="B374" s="88" t="s">
        <v>2067</v>
      </c>
      <c r="C374" s="31">
        <v>0</v>
      </c>
      <c r="D374" s="31">
        <v>0</v>
      </c>
      <c r="E374" s="31">
        <v>0</v>
      </c>
      <c r="F374" s="31">
        <v>0</v>
      </c>
      <c r="G374" s="31">
        <v>0</v>
      </c>
      <c r="H374" s="31">
        <v>1316</v>
      </c>
      <c r="I374" s="31">
        <v>50</v>
      </c>
      <c r="J374" s="31">
        <v>13</v>
      </c>
      <c r="K374" s="31">
        <v>0</v>
      </c>
      <c r="L374" s="31">
        <v>0</v>
      </c>
      <c r="M374" s="31">
        <v>5</v>
      </c>
      <c r="N374" s="31">
        <v>0</v>
      </c>
      <c r="O374" s="31">
        <v>85</v>
      </c>
      <c r="P374" s="31">
        <v>0</v>
      </c>
      <c r="Q374" s="31">
        <v>1321</v>
      </c>
      <c r="R374" s="150">
        <v>1.0549999999999999</v>
      </c>
      <c r="S374" s="277">
        <v>1</v>
      </c>
      <c r="U374" s="31">
        <v>681751.85594999988</v>
      </c>
      <c r="V374" s="31">
        <v>926390.35159999994</v>
      </c>
      <c r="W374" s="31">
        <v>6210501.9857000001</v>
      </c>
      <c r="X374" s="31">
        <v>1067080.3935500002</v>
      </c>
      <c r="Y374" s="31">
        <v>204103.28564999998</v>
      </c>
      <c r="Z374" s="31">
        <v>948750.35</v>
      </c>
      <c r="AA374" s="31">
        <v>515369.00864999997</v>
      </c>
      <c r="AB374" s="31">
        <v>692805.57624999993</v>
      </c>
      <c r="AC374" s="31">
        <v>1432326.7634999999</v>
      </c>
      <c r="AD374" s="31">
        <v>1242780.6777784491</v>
      </c>
      <c r="AE374" s="31">
        <v>313525.94</v>
      </c>
      <c r="AF374" s="31">
        <v>14235386.188628448</v>
      </c>
      <c r="AH374" s="276"/>
      <c r="AI374" s="276"/>
      <c r="AJ374" s="276"/>
      <c r="AK374" s="276"/>
      <c r="AL374" s="276"/>
      <c r="AM374" s="276"/>
      <c r="AN374" s="276"/>
      <c r="AO374" s="276"/>
      <c r="AP374" s="276"/>
      <c r="AQ374" s="276"/>
      <c r="AR374" s="276"/>
      <c r="AS374" s="276"/>
      <c r="AT374" s="276"/>
      <c r="AU374" s="276"/>
      <c r="AV374" s="276"/>
      <c r="AW374" s="394"/>
    </row>
    <row r="375" spans="1:49">
      <c r="A375" s="88">
        <v>645</v>
      </c>
      <c r="B375" s="88" t="s">
        <v>2068</v>
      </c>
      <c r="C375" s="31">
        <v>47</v>
      </c>
      <c r="D375" s="31">
        <v>0</v>
      </c>
      <c r="E375" s="31">
        <v>199</v>
      </c>
      <c r="F375" s="31">
        <v>1208</v>
      </c>
      <c r="G375" s="31">
        <v>742</v>
      </c>
      <c r="H375" s="31">
        <v>978</v>
      </c>
      <c r="I375" s="31">
        <v>126</v>
      </c>
      <c r="J375" s="31">
        <v>34</v>
      </c>
      <c r="K375" s="31">
        <v>2</v>
      </c>
      <c r="L375" s="31">
        <v>0</v>
      </c>
      <c r="M375" s="31">
        <v>243</v>
      </c>
      <c r="N375" s="31">
        <v>0</v>
      </c>
      <c r="O375" s="31">
        <v>1390</v>
      </c>
      <c r="P375" s="31">
        <v>0</v>
      </c>
      <c r="Q375" s="31">
        <v>3395</v>
      </c>
      <c r="R375" s="150">
        <v>1</v>
      </c>
      <c r="S375" s="277">
        <v>9</v>
      </c>
      <c r="U375" s="31">
        <v>1655736.2900000003</v>
      </c>
      <c r="V375" s="31">
        <v>2256392.5300000003</v>
      </c>
      <c r="W375" s="31">
        <v>16887479.57</v>
      </c>
      <c r="X375" s="31">
        <v>3133915.2800000003</v>
      </c>
      <c r="Y375" s="31">
        <v>583445.12999999989</v>
      </c>
      <c r="Z375" s="31">
        <v>1800828.4399999997</v>
      </c>
      <c r="AA375" s="31">
        <v>970304.88</v>
      </c>
      <c r="AB375" s="31">
        <v>859743.21</v>
      </c>
      <c r="AC375" s="31">
        <v>4094352.55</v>
      </c>
      <c r="AD375" s="31">
        <v>3771100.0571107147</v>
      </c>
      <c r="AE375" s="31">
        <v>819990.92</v>
      </c>
      <c r="AF375" s="31">
        <v>36833288.857110716</v>
      </c>
      <c r="AH375" s="276"/>
      <c r="AI375" s="276"/>
      <c r="AJ375" s="276"/>
      <c r="AK375" s="276"/>
      <c r="AL375" s="276"/>
      <c r="AM375" s="276"/>
      <c r="AN375" s="276"/>
      <c r="AO375" s="276"/>
      <c r="AP375" s="276"/>
      <c r="AQ375" s="276"/>
      <c r="AR375" s="276"/>
      <c r="AS375" s="276"/>
      <c r="AT375" s="276"/>
      <c r="AU375" s="276"/>
      <c r="AV375" s="276"/>
      <c r="AW375" s="394"/>
    </row>
    <row r="376" spans="1:49">
      <c r="A376" s="88">
        <v>650</v>
      </c>
      <c r="B376" s="88" t="s">
        <v>2069</v>
      </c>
      <c r="C376" s="31">
        <v>84</v>
      </c>
      <c r="D376" s="31">
        <v>0</v>
      </c>
      <c r="E376" s="31">
        <v>174</v>
      </c>
      <c r="F376" s="31">
        <v>1067</v>
      </c>
      <c r="G376" s="31">
        <v>738</v>
      </c>
      <c r="H376" s="31">
        <v>599</v>
      </c>
      <c r="I376" s="31">
        <v>109</v>
      </c>
      <c r="J376" s="31">
        <v>26</v>
      </c>
      <c r="K376" s="31">
        <v>0</v>
      </c>
      <c r="L376" s="31">
        <v>0</v>
      </c>
      <c r="M376" s="31">
        <v>4</v>
      </c>
      <c r="N376" s="31">
        <v>253</v>
      </c>
      <c r="O376" s="31">
        <v>438</v>
      </c>
      <c r="P376" s="31">
        <v>0</v>
      </c>
      <c r="Q376" s="31">
        <v>2877</v>
      </c>
      <c r="R376" s="150">
        <v>1</v>
      </c>
      <c r="S376" s="277">
        <v>3</v>
      </c>
      <c r="U376" s="31">
        <v>1401772.1700000002</v>
      </c>
      <c r="V376" s="31">
        <v>1912400.2799999998</v>
      </c>
      <c r="W376" s="31">
        <v>12217030.93</v>
      </c>
      <c r="X376" s="31">
        <v>2673956.84</v>
      </c>
      <c r="Y376" s="31">
        <v>454351.08999999997</v>
      </c>
      <c r="Z376" s="31">
        <v>1667112.2600000002</v>
      </c>
      <c r="AA376" s="31">
        <v>818924.13</v>
      </c>
      <c r="AB376" s="31">
        <v>745067.85</v>
      </c>
      <c r="AC376" s="31">
        <v>3237475.7699999996</v>
      </c>
      <c r="AD376" s="31">
        <v>3026448.4155313298</v>
      </c>
      <c r="AE376" s="31">
        <v>627051.88</v>
      </c>
      <c r="AF376" s="31">
        <v>28781591.615531329</v>
      </c>
      <c r="AH376" s="276"/>
      <c r="AI376" s="276"/>
      <c r="AJ376" s="276"/>
      <c r="AK376" s="276"/>
      <c r="AL376" s="276"/>
      <c r="AM376" s="276"/>
      <c r="AN376" s="276"/>
      <c r="AO376" s="276"/>
      <c r="AP376" s="276"/>
      <c r="AQ376" s="276"/>
      <c r="AR376" s="276"/>
      <c r="AS376" s="276"/>
      <c r="AT376" s="276"/>
      <c r="AU376" s="276"/>
      <c r="AV376" s="276"/>
      <c r="AW376" s="394"/>
    </row>
    <row r="377" spans="1:49">
      <c r="A377" s="88">
        <v>655</v>
      </c>
      <c r="B377" s="88" t="s">
        <v>2070</v>
      </c>
      <c r="C377" s="31">
        <v>0</v>
      </c>
      <c r="D377" s="31">
        <v>0</v>
      </c>
      <c r="E377" s="31">
        <v>0</v>
      </c>
      <c r="F377" s="31">
        <v>0</v>
      </c>
      <c r="G377" s="31">
        <v>531</v>
      </c>
      <c r="H377" s="31">
        <v>670</v>
      </c>
      <c r="I377" s="31">
        <v>45</v>
      </c>
      <c r="J377" s="31">
        <v>12</v>
      </c>
      <c r="K377" s="31">
        <v>0</v>
      </c>
      <c r="L377" s="31">
        <v>0</v>
      </c>
      <c r="M377" s="31">
        <v>6</v>
      </c>
      <c r="N377" s="31">
        <v>0</v>
      </c>
      <c r="O377" s="31">
        <v>49</v>
      </c>
      <c r="P377" s="31">
        <v>0</v>
      </c>
      <c r="Q377" s="31">
        <v>1207</v>
      </c>
      <c r="R377" s="150">
        <v>1.046</v>
      </c>
      <c r="S377" s="277">
        <v>1</v>
      </c>
      <c r="U377" s="31">
        <v>616107.42018000013</v>
      </c>
      <c r="V377" s="31">
        <v>839223.6238399999</v>
      </c>
      <c r="W377" s="31">
        <v>4830494.4419200011</v>
      </c>
      <c r="X377" s="31">
        <v>1013655.9331800001</v>
      </c>
      <c r="Y377" s="31">
        <v>184903.29233999999</v>
      </c>
      <c r="Z377" s="31">
        <v>725698.45000000007</v>
      </c>
      <c r="AA377" s="31">
        <v>425190.74706000002</v>
      </c>
      <c r="AB377" s="31">
        <v>470261.39128000004</v>
      </c>
      <c r="AC377" s="31">
        <v>1297565.64638</v>
      </c>
      <c r="AD377" s="31">
        <v>1156118.655973136</v>
      </c>
      <c r="AE377" s="31">
        <v>289408.56</v>
      </c>
      <c r="AF377" s="31">
        <v>11848628.162153138</v>
      </c>
      <c r="AH377" s="276"/>
      <c r="AI377" s="276"/>
      <c r="AJ377" s="276"/>
      <c r="AK377" s="276"/>
      <c r="AL377" s="276"/>
      <c r="AM377" s="276"/>
      <c r="AN377" s="276"/>
      <c r="AO377" s="276"/>
      <c r="AP377" s="276"/>
      <c r="AQ377" s="276"/>
      <c r="AR377" s="276"/>
      <c r="AS377" s="276"/>
      <c r="AT377" s="276"/>
      <c r="AU377" s="276"/>
      <c r="AV377" s="276"/>
      <c r="AW377" s="394"/>
    </row>
    <row r="378" spans="1:49">
      <c r="A378" s="88">
        <v>658</v>
      </c>
      <c r="B378" s="88" t="s">
        <v>2071</v>
      </c>
      <c r="C378" s="31">
        <v>37</v>
      </c>
      <c r="D378" s="31">
        <v>0</v>
      </c>
      <c r="E378" s="31">
        <v>236</v>
      </c>
      <c r="F378" s="31">
        <v>1386</v>
      </c>
      <c r="G378" s="31">
        <v>1019</v>
      </c>
      <c r="H378" s="31">
        <v>1080</v>
      </c>
      <c r="I378" s="31">
        <v>142</v>
      </c>
      <c r="J378" s="31">
        <v>38</v>
      </c>
      <c r="K378" s="31">
        <v>4</v>
      </c>
      <c r="L378" s="31">
        <v>0</v>
      </c>
      <c r="M378" s="31">
        <v>60</v>
      </c>
      <c r="N378" s="31">
        <v>0</v>
      </c>
      <c r="O378" s="31">
        <v>854</v>
      </c>
      <c r="P378" s="31">
        <v>0</v>
      </c>
      <c r="Q378" s="31">
        <v>3802</v>
      </c>
      <c r="R378" s="150">
        <v>1</v>
      </c>
      <c r="S378" s="277">
        <v>5</v>
      </c>
      <c r="U378" s="31">
        <v>1856331.5099999998</v>
      </c>
      <c r="V378" s="31">
        <v>2526933.4900000002</v>
      </c>
      <c r="W378" s="31">
        <v>16126823.949999999</v>
      </c>
      <c r="X378" s="31">
        <v>3513348.9499999997</v>
      </c>
      <c r="Y378" s="31">
        <v>594092.30999999994</v>
      </c>
      <c r="Z378" s="31">
        <v>2013022.5699999998</v>
      </c>
      <c r="AA378" s="31">
        <v>1082675.9099999999</v>
      </c>
      <c r="AB378" s="31">
        <v>972766.54</v>
      </c>
      <c r="AC378" s="31">
        <v>4168976.85</v>
      </c>
      <c r="AD378" s="31">
        <v>3949263.011619404</v>
      </c>
      <c r="AE378" s="31">
        <v>916460.44000000006</v>
      </c>
      <c r="AF378" s="31">
        <v>37720695.5316194</v>
      </c>
      <c r="AH378" s="276"/>
      <c r="AI378" s="276"/>
      <c r="AJ378" s="276"/>
      <c r="AK378" s="276"/>
      <c r="AL378" s="276"/>
      <c r="AM378" s="276"/>
      <c r="AN378" s="276"/>
      <c r="AO378" s="276"/>
      <c r="AP378" s="276"/>
      <c r="AQ378" s="276"/>
      <c r="AR378" s="276"/>
      <c r="AS378" s="276"/>
      <c r="AT378" s="276"/>
      <c r="AU378" s="276"/>
      <c r="AV378" s="276"/>
      <c r="AW378" s="394"/>
    </row>
    <row r="379" spans="1:49">
      <c r="A379" s="88">
        <v>660</v>
      </c>
      <c r="B379" s="88" t="s">
        <v>2072</v>
      </c>
      <c r="C379" s="31">
        <v>0</v>
      </c>
      <c r="D379" s="31">
        <v>0</v>
      </c>
      <c r="E379" s="31">
        <v>0</v>
      </c>
      <c r="F379" s="31">
        <v>2</v>
      </c>
      <c r="G379" s="31">
        <v>504</v>
      </c>
      <c r="H379" s="31">
        <v>665</v>
      </c>
      <c r="I379" s="31">
        <v>44</v>
      </c>
      <c r="J379" s="31">
        <v>12</v>
      </c>
      <c r="K379" s="31">
        <v>0</v>
      </c>
      <c r="L379" s="31">
        <v>0</v>
      </c>
      <c r="M379" s="31">
        <v>12</v>
      </c>
      <c r="N379" s="31">
        <v>0</v>
      </c>
      <c r="O379" s="31">
        <v>356</v>
      </c>
      <c r="P379" s="31">
        <v>0</v>
      </c>
      <c r="Q379" s="31">
        <v>1183</v>
      </c>
      <c r="R379" s="150">
        <v>1</v>
      </c>
      <c r="S379" s="277">
        <v>7</v>
      </c>
      <c r="U379" s="31">
        <v>577639.72</v>
      </c>
      <c r="V379" s="31">
        <v>786363.76000000013</v>
      </c>
      <c r="W379" s="31">
        <v>5535695.4100000001</v>
      </c>
      <c r="X379" s="31">
        <v>949030.15999999992</v>
      </c>
      <c r="Y379" s="31">
        <v>195091.01999999996</v>
      </c>
      <c r="Z379" s="31">
        <v>713434.42999999993</v>
      </c>
      <c r="AA379" s="31">
        <v>398885.45999999996</v>
      </c>
      <c r="AB379" s="31">
        <v>442310.12</v>
      </c>
      <c r="AC379" s="31">
        <v>1369064.18</v>
      </c>
      <c r="AD379" s="31">
        <v>1233593.7818544873</v>
      </c>
      <c r="AE379" s="31">
        <v>289408.56</v>
      </c>
      <c r="AF379" s="31">
        <v>12490516.601854488</v>
      </c>
      <c r="AH379" s="276"/>
      <c r="AI379" s="276"/>
      <c r="AJ379" s="276"/>
      <c r="AK379" s="276"/>
      <c r="AL379" s="276"/>
      <c r="AM379" s="276"/>
      <c r="AN379" s="276"/>
      <c r="AO379" s="276"/>
      <c r="AP379" s="276"/>
      <c r="AQ379" s="276"/>
      <c r="AR379" s="276"/>
      <c r="AS379" s="276"/>
      <c r="AT379" s="276"/>
      <c r="AU379" s="276"/>
      <c r="AV379" s="276"/>
      <c r="AW379" s="394"/>
    </row>
    <row r="380" spans="1:49">
      <c r="A380" s="88">
        <v>662</v>
      </c>
      <c r="B380" s="88" t="s">
        <v>1639</v>
      </c>
      <c r="C380" s="31">
        <v>9</v>
      </c>
      <c r="D380" s="31">
        <v>0</v>
      </c>
      <c r="E380" s="31">
        <v>9</v>
      </c>
      <c r="F380" s="31">
        <v>80</v>
      </c>
      <c r="G380" s="31">
        <v>58</v>
      </c>
      <c r="H380" s="31">
        <v>75</v>
      </c>
      <c r="I380" s="31">
        <v>9</v>
      </c>
      <c r="J380" s="31">
        <v>2</v>
      </c>
      <c r="K380" s="31">
        <v>0</v>
      </c>
      <c r="L380" s="31">
        <v>0</v>
      </c>
      <c r="M380" s="31">
        <v>0</v>
      </c>
      <c r="N380" s="31">
        <v>11</v>
      </c>
      <c r="O380" s="31">
        <v>41</v>
      </c>
      <c r="P380" s="31">
        <v>0</v>
      </c>
      <c r="Q380" s="31">
        <v>238</v>
      </c>
      <c r="R380" s="150">
        <v>1</v>
      </c>
      <c r="S380" s="277">
        <v>4</v>
      </c>
      <c r="U380" s="31">
        <v>115351.24</v>
      </c>
      <c r="V380" s="31">
        <v>157871.09000000003</v>
      </c>
      <c r="W380" s="31">
        <v>1011923.69</v>
      </c>
      <c r="X380" s="31">
        <v>216532.02</v>
      </c>
      <c r="Y380" s="31">
        <v>37095.400000000009</v>
      </c>
      <c r="Z380" s="31">
        <v>136536.72</v>
      </c>
      <c r="AA380" s="31">
        <v>69687.450000000012</v>
      </c>
      <c r="AB380" s="31">
        <v>67188.5</v>
      </c>
      <c r="AC380" s="31">
        <v>262451.21000000002</v>
      </c>
      <c r="AD380" s="31">
        <v>246068.93106705984</v>
      </c>
      <c r="AE380" s="31">
        <v>48234.76</v>
      </c>
      <c r="AF380" s="31">
        <v>2368941.0110670594</v>
      </c>
      <c r="AH380" s="276"/>
      <c r="AI380" s="276"/>
      <c r="AJ380" s="276"/>
      <c r="AK380" s="276"/>
      <c r="AL380" s="276"/>
      <c r="AM380" s="276"/>
      <c r="AN380" s="276"/>
      <c r="AO380" s="276"/>
      <c r="AP380" s="276"/>
      <c r="AQ380" s="276"/>
      <c r="AR380" s="276"/>
      <c r="AS380" s="276"/>
      <c r="AT380" s="276"/>
      <c r="AU380" s="276"/>
      <c r="AV380" s="276"/>
      <c r="AW380" s="394"/>
    </row>
    <row r="381" spans="1:49">
      <c r="A381" s="88">
        <v>665</v>
      </c>
      <c r="B381" s="88" t="s">
        <v>2073</v>
      </c>
      <c r="C381" s="31">
        <v>22</v>
      </c>
      <c r="D381" s="31">
        <v>0</v>
      </c>
      <c r="E381" s="31">
        <v>178</v>
      </c>
      <c r="F381" s="31">
        <v>1075</v>
      </c>
      <c r="G381" s="31">
        <v>745</v>
      </c>
      <c r="H381" s="31">
        <v>759</v>
      </c>
      <c r="I381" s="31">
        <v>104</v>
      </c>
      <c r="J381" s="31">
        <v>28</v>
      </c>
      <c r="K381" s="31">
        <v>0</v>
      </c>
      <c r="L381" s="31">
        <v>0</v>
      </c>
      <c r="M381" s="31">
        <v>20</v>
      </c>
      <c r="N381" s="31">
        <v>0</v>
      </c>
      <c r="O381" s="31">
        <v>475</v>
      </c>
      <c r="P381" s="31">
        <v>0</v>
      </c>
      <c r="Q381" s="31">
        <v>2788</v>
      </c>
      <c r="R381" s="150">
        <v>1</v>
      </c>
      <c r="S381" s="277">
        <v>4</v>
      </c>
      <c r="U381" s="31">
        <v>1361395.5400000003</v>
      </c>
      <c r="V381" s="31">
        <v>1853239.58</v>
      </c>
      <c r="W381" s="31">
        <v>11271924.949999999</v>
      </c>
      <c r="X381" s="31">
        <v>2590423.6700000004</v>
      </c>
      <c r="Y381" s="31">
        <v>423632.52</v>
      </c>
      <c r="Z381" s="31">
        <v>1467537.2899999998</v>
      </c>
      <c r="AA381" s="31">
        <v>787083.89999999991</v>
      </c>
      <c r="AB381" s="31">
        <v>701015.77</v>
      </c>
      <c r="AC381" s="31">
        <v>2972795.97</v>
      </c>
      <c r="AD381" s="31">
        <v>2844711.2989187827</v>
      </c>
      <c r="AE381" s="31">
        <v>675286.64</v>
      </c>
      <c r="AF381" s="31">
        <v>26949047.128918782</v>
      </c>
      <c r="AH381" s="276"/>
      <c r="AI381" s="276"/>
      <c r="AJ381" s="276"/>
      <c r="AK381" s="276"/>
      <c r="AL381" s="276"/>
      <c r="AM381" s="276"/>
      <c r="AN381" s="276"/>
      <c r="AO381" s="276"/>
      <c r="AP381" s="276"/>
      <c r="AQ381" s="276"/>
      <c r="AR381" s="276"/>
      <c r="AS381" s="276"/>
      <c r="AT381" s="276"/>
      <c r="AU381" s="276"/>
      <c r="AV381" s="276"/>
      <c r="AW381" s="394"/>
    </row>
    <row r="382" spans="1:49">
      <c r="A382" s="88">
        <v>670</v>
      </c>
      <c r="B382" s="88" t="s">
        <v>2074</v>
      </c>
      <c r="C382" s="31">
        <v>0</v>
      </c>
      <c r="D382" s="31">
        <v>0</v>
      </c>
      <c r="E382" s="31">
        <v>0</v>
      </c>
      <c r="F382" s="31">
        <v>0</v>
      </c>
      <c r="G382" s="31">
        <v>207</v>
      </c>
      <c r="H382" s="31">
        <v>335</v>
      </c>
      <c r="I382" s="31">
        <v>21</v>
      </c>
      <c r="J382" s="31">
        <v>6</v>
      </c>
      <c r="K382" s="31">
        <v>0</v>
      </c>
      <c r="L382" s="31">
        <v>0</v>
      </c>
      <c r="M382" s="31">
        <v>9</v>
      </c>
      <c r="N382" s="31">
        <v>0</v>
      </c>
      <c r="O382" s="31">
        <v>129</v>
      </c>
      <c r="P382" s="31">
        <v>0</v>
      </c>
      <c r="Q382" s="31">
        <v>551</v>
      </c>
      <c r="R382" s="150">
        <v>1</v>
      </c>
      <c r="S382" s="277">
        <v>5</v>
      </c>
      <c r="U382" s="31">
        <v>271374.08999999997</v>
      </c>
      <c r="V382" s="31">
        <v>366260.72</v>
      </c>
      <c r="W382" s="31">
        <v>2495533.5699999998</v>
      </c>
      <c r="X382" s="31">
        <v>443630.91000000003</v>
      </c>
      <c r="Y382" s="31">
        <v>88338.18</v>
      </c>
      <c r="Z382" s="31">
        <v>339159.47</v>
      </c>
      <c r="AA382" s="31">
        <v>187746.47999999998</v>
      </c>
      <c r="AB382" s="31">
        <v>212937.91</v>
      </c>
      <c r="AC382" s="31">
        <v>619916.86</v>
      </c>
      <c r="AD382" s="31">
        <v>562621.61897185259</v>
      </c>
      <c r="AE382" s="31">
        <v>144704.28</v>
      </c>
      <c r="AF382" s="31">
        <v>5732224.0889718533</v>
      </c>
      <c r="AH382" s="276"/>
      <c r="AI382" s="276"/>
      <c r="AJ382" s="276"/>
      <c r="AK382" s="276"/>
      <c r="AL382" s="276"/>
      <c r="AM382" s="276"/>
      <c r="AN382" s="276"/>
      <c r="AO382" s="276"/>
      <c r="AP382" s="276"/>
      <c r="AQ382" s="276"/>
      <c r="AR382" s="276"/>
      <c r="AS382" s="276"/>
      <c r="AT382" s="276"/>
      <c r="AU382" s="276"/>
      <c r="AV382" s="276"/>
      <c r="AW382" s="394"/>
    </row>
    <row r="383" spans="1:49">
      <c r="A383" s="88">
        <v>672</v>
      </c>
      <c r="B383" s="88" t="s">
        <v>2075</v>
      </c>
      <c r="C383" s="31">
        <v>38</v>
      </c>
      <c r="D383" s="31">
        <v>0</v>
      </c>
      <c r="E383" s="31">
        <v>55</v>
      </c>
      <c r="F383" s="31">
        <v>321</v>
      </c>
      <c r="G383" s="31">
        <v>224</v>
      </c>
      <c r="H383" s="31">
        <v>210</v>
      </c>
      <c r="I383" s="31">
        <v>32</v>
      </c>
      <c r="J383" s="31">
        <v>8</v>
      </c>
      <c r="K383" s="31">
        <v>1</v>
      </c>
      <c r="L383" s="31">
        <v>0</v>
      </c>
      <c r="M383" s="31">
        <v>19</v>
      </c>
      <c r="N383" s="31">
        <v>31</v>
      </c>
      <c r="O383" s="31">
        <v>282</v>
      </c>
      <c r="P383" s="31">
        <v>0</v>
      </c>
      <c r="Q383" s="31">
        <v>880</v>
      </c>
      <c r="R383" s="150">
        <v>1</v>
      </c>
      <c r="S383" s="277">
        <v>7</v>
      </c>
      <c r="U383" s="31">
        <v>425297.58</v>
      </c>
      <c r="V383" s="31">
        <v>584621.63</v>
      </c>
      <c r="W383" s="31">
        <v>4094469.73</v>
      </c>
      <c r="X383" s="31">
        <v>810674.3</v>
      </c>
      <c r="Y383" s="31">
        <v>145891.32</v>
      </c>
      <c r="Z383" s="31">
        <v>479488.23</v>
      </c>
      <c r="AA383" s="31">
        <v>248684.25</v>
      </c>
      <c r="AB383" s="31">
        <v>220156.99</v>
      </c>
      <c r="AC383" s="31">
        <v>1029810.1200000001</v>
      </c>
      <c r="AD383" s="31">
        <v>954432.73573883588</v>
      </c>
      <c r="AE383" s="31">
        <v>192939.04</v>
      </c>
      <c r="AF383" s="31">
        <v>9186465.9257388338</v>
      </c>
      <c r="AH383" s="276"/>
      <c r="AI383" s="276"/>
      <c r="AJ383" s="276"/>
      <c r="AK383" s="276"/>
      <c r="AL383" s="276"/>
      <c r="AM383" s="276"/>
      <c r="AN383" s="276"/>
      <c r="AO383" s="276"/>
      <c r="AP383" s="276"/>
      <c r="AQ383" s="276"/>
      <c r="AR383" s="276"/>
      <c r="AS383" s="276"/>
      <c r="AT383" s="276"/>
      <c r="AU383" s="276"/>
      <c r="AV383" s="276"/>
      <c r="AW383" s="394"/>
    </row>
    <row r="384" spans="1:49">
      <c r="A384" s="88">
        <v>673</v>
      </c>
      <c r="B384" s="88" t="s">
        <v>2076</v>
      </c>
      <c r="C384" s="31">
        <v>64</v>
      </c>
      <c r="D384" s="31">
        <v>129</v>
      </c>
      <c r="E384" s="31">
        <v>10</v>
      </c>
      <c r="F384" s="31">
        <v>812</v>
      </c>
      <c r="G384" s="31">
        <v>598</v>
      </c>
      <c r="H384" s="31">
        <v>848</v>
      </c>
      <c r="I384" s="31">
        <v>88</v>
      </c>
      <c r="J384" s="31">
        <v>24</v>
      </c>
      <c r="K384" s="31">
        <v>0</v>
      </c>
      <c r="L384" s="31">
        <v>1</v>
      </c>
      <c r="M384" s="31">
        <v>19</v>
      </c>
      <c r="N384" s="31">
        <v>0</v>
      </c>
      <c r="O384" s="31">
        <v>174</v>
      </c>
      <c r="P384" s="31">
        <v>0</v>
      </c>
      <c r="Q384" s="31">
        <v>2385</v>
      </c>
      <c r="R384" s="150">
        <v>1</v>
      </c>
      <c r="S384" s="277">
        <v>1</v>
      </c>
      <c r="U384" s="31">
        <v>1161906.1100000003</v>
      </c>
      <c r="V384" s="31">
        <v>1584694.4200000002</v>
      </c>
      <c r="W384" s="31">
        <v>9095129.0399999972</v>
      </c>
      <c r="X384" s="31">
        <v>2153620.1</v>
      </c>
      <c r="Y384" s="31">
        <v>346688</v>
      </c>
      <c r="Z384" s="31">
        <v>1307225.1300000001</v>
      </c>
      <c r="AA384" s="31">
        <v>699843.57</v>
      </c>
      <c r="AB384" s="31">
        <v>671446.3600000001</v>
      </c>
      <c r="AC384" s="31">
        <v>2432888.0400000005</v>
      </c>
      <c r="AD384" s="31">
        <v>2342271.8349432568</v>
      </c>
      <c r="AE384" s="31">
        <v>578817.12</v>
      </c>
      <c r="AF384" s="31">
        <v>22374529.724943254</v>
      </c>
      <c r="AH384" s="276"/>
      <c r="AI384" s="276"/>
      <c r="AJ384" s="276"/>
      <c r="AK384" s="276"/>
      <c r="AL384" s="276"/>
      <c r="AM384" s="276"/>
      <c r="AN384" s="276"/>
      <c r="AO384" s="276"/>
      <c r="AP384" s="276"/>
      <c r="AQ384" s="276"/>
      <c r="AR384" s="276"/>
      <c r="AS384" s="276"/>
      <c r="AT384" s="276"/>
      <c r="AU384" s="276"/>
      <c r="AV384" s="276"/>
      <c r="AW384" s="394"/>
    </row>
    <row r="385" spans="1:49">
      <c r="A385" s="88">
        <v>674</v>
      </c>
      <c r="B385" s="88" t="s">
        <v>2077</v>
      </c>
      <c r="C385" s="31">
        <v>26</v>
      </c>
      <c r="D385" s="31">
        <v>0</v>
      </c>
      <c r="E385" s="31">
        <v>76</v>
      </c>
      <c r="F385" s="31">
        <v>399</v>
      </c>
      <c r="G385" s="31">
        <v>274</v>
      </c>
      <c r="H385" s="31">
        <v>253</v>
      </c>
      <c r="I385" s="31">
        <v>40</v>
      </c>
      <c r="J385" s="31">
        <v>11</v>
      </c>
      <c r="K385" s="31">
        <v>10</v>
      </c>
      <c r="L385" s="31">
        <v>0</v>
      </c>
      <c r="M385" s="31">
        <v>58</v>
      </c>
      <c r="N385" s="31">
        <v>0</v>
      </c>
      <c r="O385" s="31">
        <v>447</v>
      </c>
      <c r="P385" s="31">
        <v>0</v>
      </c>
      <c r="Q385" s="31">
        <v>1078</v>
      </c>
      <c r="R385" s="150">
        <v>1</v>
      </c>
      <c r="S385" s="277">
        <v>9</v>
      </c>
      <c r="U385" s="31">
        <v>526295.2300000001</v>
      </c>
      <c r="V385" s="31">
        <v>716568.52</v>
      </c>
      <c r="W385" s="31">
        <v>5292942.7699999996</v>
      </c>
      <c r="X385" s="31">
        <v>1007050.0700000002</v>
      </c>
      <c r="Y385" s="31">
        <v>185093.86</v>
      </c>
      <c r="Z385" s="31">
        <v>556645.78</v>
      </c>
      <c r="AA385" s="31">
        <v>301355.73000000004</v>
      </c>
      <c r="AB385" s="31">
        <v>254352.31</v>
      </c>
      <c r="AC385" s="31">
        <v>1298902.3999999999</v>
      </c>
      <c r="AD385" s="31">
        <v>1200686.4633275005</v>
      </c>
      <c r="AE385" s="31">
        <v>265291.18</v>
      </c>
      <c r="AF385" s="31">
        <v>11605184.313327502</v>
      </c>
      <c r="AH385" s="276"/>
      <c r="AI385" s="276"/>
      <c r="AJ385" s="276"/>
      <c r="AK385" s="276"/>
      <c r="AL385" s="276"/>
      <c r="AM385" s="276"/>
      <c r="AN385" s="276"/>
      <c r="AO385" s="276"/>
      <c r="AP385" s="276"/>
      <c r="AQ385" s="276"/>
      <c r="AR385" s="276"/>
      <c r="AS385" s="276"/>
      <c r="AT385" s="276"/>
      <c r="AU385" s="276"/>
      <c r="AV385" s="276"/>
      <c r="AW385" s="394"/>
    </row>
    <row r="386" spans="1:49">
      <c r="A386" s="88">
        <v>675</v>
      </c>
      <c r="B386" s="88" t="s">
        <v>2078</v>
      </c>
      <c r="C386" s="31">
        <v>14</v>
      </c>
      <c r="D386" s="31">
        <v>0</v>
      </c>
      <c r="E386" s="31">
        <v>122</v>
      </c>
      <c r="F386" s="31">
        <v>651</v>
      </c>
      <c r="G386" s="31">
        <v>412</v>
      </c>
      <c r="H386" s="31">
        <v>535</v>
      </c>
      <c r="I386" s="31">
        <v>65</v>
      </c>
      <c r="J386" s="31">
        <v>17</v>
      </c>
      <c r="K386" s="31">
        <v>0</v>
      </c>
      <c r="L386" s="31">
        <v>0</v>
      </c>
      <c r="M386" s="31">
        <v>8</v>
      </c>
      <c r="N386" s="31">
        <v>0</v>
      </c>
      <c r="O386" s="31">
        <v>138</v>
      </c>
      <c r="P386" s="31">
        <v>0</v>
      </c>
      <c r="Q386" s="31">
        <v>1735</v>
      </c>
      <c r="R386" s="150">
        <v>1.036</v>
      </c>
      <c r="S386" s="277">
        <v>1</v>
      </c>
      <c r="U386" s="31">
        <v>877328.14624000015</v>
      </c>
      <c r="V386" s="31">
        <v>1194807.75624</v>
      </c>
      <c r="W386" s="31">
        <v>6823525.4737999989</v>
      </c>
      <c r="X386" s="31">
        <v>1664427.58188</v>
      </c>
      <c r="Y386" s="31">
        <v>261527.77784000002</v>
      </c>
      <c r="Z386" s="31">
        <v>929949.61999999988</v>
      </c>
      <c r="AA386" s="31">
        <v>512804.86404000001</v>
      </c>
      <c r="AB386" s="31">
        <v>470722.12964</v>
      </c>
      <c r="AC386" s="31">
        <v>1835243.3447600002</v>
      </c>
      <c r="AD386" s="31">
        <v>1716076.7805153504</v>
      </c>
      <c r="AE386" s="31">
        <v>409995.46</v>
      </c>
      <c r="AF386" s="31">
        <v>16696408.934955349</v>
      </c>
      <c r="AH386" s="276"/>
      <c r="AI386" s="276"/>
      <c r="AJ386" s="276"/>
      <c r="AK386" s="276"/>
      <c r="AL386" s="276"/>
      <c r="AM386" s="276"/>
      <c r="AN386" s="276"/>
      <c r="AO386" s="276"/>
      <c r="AP386" s="276"/>
      <c r="AQ386" s="276"/>
      <c r="AR386" s="276"/>
      <c r="AS386" s="276"/>
      <c r="AT386" s="276"/>
      <c r="AU386" s="276"/>
      <c r="AV386" s="276"/>
      <c r="AW386" s="394"/>
    </row>
    <row r="387" spans="1:49">
      <c r="A387" s="88">
        <v>680</v>
      </c>
      <c r="B387" s="88" t="s">
        <v>2079</v>
      </c>
      <c r="C387" s="31">
        <v>59</v>
      </c>
      <c r="D387" s="31">
        <v>0</v>
      </c>
      <c r="E387" s="31">
        <v>177</v>
      </c>
      <c r="F387" s="31">
        <v>996</v>
      </c>
      <c r="G387" s="31">
        <v>701</v>
      </c>
      <c r="H387" s="31">
        <v>1056</v>
      </c>
      <c r="I387" s="31">
        <v>112</v>
      </c>
      <c r="J387" s="31">
        <v>30</v>
      </c>
      <c r="K387" s="31">
        <v>5</v>
      </c>
      <c r="L387" s="31">
        <v>0</v>
      </c>
      <c r="M387" s="31">
        <v>23</v>
      </c>
      <c r="N387" s="31">
        <v>30</v>
      </c>
      <c r="O387" s="31">
        <v>519</v>
      </c>
      <c r="P387" s="31">
        <v>0</v>
      </c>
      <c r="Q387" s="31">
        <v>3016</v>
      </c>
      <c r="R387" s="150">
        <v>1</v>
      </c>
      <c r="S387" s="277">
        <v>4</v>
      </c>
      <c r="U387" s="31">
        <v>1470342.59</v>
      </c>
      <c r="V387" s="31">
        <v>2004131.4400000004</v>
      </c>
      <c r="W387" s="31">
        <v>12567004.459999999</v>
      </c>
      <c r="X387" s="31">
        <v>2736902.85</v>
      </c>
      <c r="Y387" s="31">
        <v>461518.27999999997</v>
      </c>
      <c r="Z387" s="31">
        <v>1672939.91</v>
      </c>
      <c r="AA387" s="31">
        <v>883092.99</v>
      </c>
      <c r="AB387" s="31">
        <v>846329.06</v>
      </c>
      <c r="AC387" s="31">
        <v>3244507.11</v>
      </c>
      <c r="AD387" s="31">
        <v>3073027.7530476577</v>
      </c>
      <c r="AE387" s="31">
        <v>723521.4</v>
      </c>
      <c r="AF387" s="31">
        <v>29683317.843047652</v>
      </c>
      <c r="AH387" s="276"/>
      <c r="AI387" s="276"/>
      <c r="AJ387" s="276"/>
      <c r="AK387" s="276"/>
      <c r="AL387" s="276"/>
      <c r="AM387" s="276"/>
      <c r="AN387" s="276"/>
      <c r="AO387" s="276"/>
      <c r="AP387" s="276"/>
      <c r="AQ387" s="276"/>
      <c r="AR387" s="276"/>
      <c r="AS387" s="276"/>
      <c r="AT387" s="276"/>
      <c r="AU387" s="276"/>
      <c r="AV387" s="276"/>
      <c r="AW387" s="394"/>
    </row>
    <row r="388" spans="1:49">
      <c r="A388" s="88">
        <v>683</v>
      </c>
      <c r="B388" s="88" t="s">
        <v>2080</v>
      </c>
      <c r="C388" s="31">
        <v>0</v>
      </c>
      <c r="D388" s="31">
        <v>0</v>
      </c>
      <c r="E388" s="31">
        <v>0</v>
      </c>
      <c r="F388" s="31">
        <v>0</v>
      </c>
      <c r="G388" s="31">
        <v>266</v>
      </c>
      <c r="H388" s="31">
        <v>432</v>
      </c>
      <c r="I388" s="31">
        <v>26</v>
      </c>
      <c r="J388" s="31">
        <v>7</v>
      </c>
      <c r="K388" s="31">
        <v>0</v>
      </c>
      <c r="L388" s="31">
        <v>0</v>
      </c>
      <c r="M388" s="31">
        <v>6</v>
      </c>
      <c r="N388" s="31">
        <v>0</v>
      </c>
      <c r="O388" s="31">
        <v>130</v>
      </c>
      <c r="P388" s="31">
        <v>0</v>
      </c>
      <c r="Q388" s="31">
        <v>704</v>
      </c>
      <c r="R388" s="150">
        <v>1</v>
      </c>
      <c r="S388" s="277">
        <v>4</v>
      </c>
      <c r="U388" s="31">
        <v>342925.11</v>
      </c>
      <c r="V388" s="31">
        <v>467962.88000000006</v>
      </c>
      <c r="W388" s="31">
        <v>3063526.26</v>
      </c>
      <c r="X388" s="31">
        <v>559568.21000000008</v>
      </c>
      <c r="Y388" s="31">
        <v>109860.12</v>
      </c>
      <c r="Z388" s="31">
        <v>434095.92</v>
      </c>
      <c r="AA388" s="31">
        <v>240177.12</v>
      </c>
      <c r="AB388" s="31">
        <v>273649.98</v>
      </c>
      <c r="AC388" s="31">
        <v>770950.62</v>
      </c>
      <c r="AD388" s="31">
        <v>703517.25707262359</v>
      </c>
      <c r="AE388" s="31">
        <v>168821.66</v>
      </c>
      <c r="AF388" s="31">
        <v>7135055.1370726237</v>
      </c>
      <c r="AH388" s="276"/>
      <c r="AI388" s="276"/>
      <c r="AJ388" s="276"/>
      <c r="AK388" s="276"/>
      <c r="AL388" s="276"/>
      <c r="AM388" s="276"/>
      <c r="AN388" s="276"/>
      <c r="AO388" s="276"/>
      <c r="AP388" s="276"/>
      <c r="AQ388" s="276"/>
      <c r="AR388" s="276"/>
      <c r="AS388" s="276"/>
      <c r="AT388" s="276"/>
      <c r="AU388" s="276"/>
      <c r="AV388" s="276"/>
      <c r="AW388" s="394"/>
    </row>
    <row r="389" spans="1:49">
      <c r="A389" s="88">
        <v>685</v>
      </c>
      <c r="B389" s="88" t="s">
        <v>2081</v>
      </c>
      <c r="C389" s="31">
        <v>9</v>
      </c>
      <c r="D389" s="31">
        <v>0</v>
      </c>
      <c r="E389" s="31">
        <v>14</v>
      </c>
      <c r="F389" s="31">
        <v>55</v>
      </c>
      <c r="G389" s="31">
        <v>8</v>
      </c>
      <c r="H389" s="31">
        <v>0</v>
      </c>
      <c r="I389" s="31">
        <v>3</v>
      </c>
      <c r="J389" s="31">
        <v>1</v>
      </c>
      <c r="K389" s="31">
        <v>0</v>
      </c>
      <c r="L389" s="31">
        <v>0</v>
      </c>
      <c r="M389" s="31">
        <v>0</v>
      </c>
      <c r="N389" s="31">
        <v>0</v>
      </c>
      <c r="O389" s="31">
        <v>57</v>
      </c>
      <c r="P389" s="31">
        <v>0</v>
      </c>
      <c r="Q389" s="31">
        <v>82</v>
      </c>
      <c r="R389" s="150">
        <v>1</v>
      </c>
      <c r="S389" s="277">
        <v>10</v>
      </c>
      <c r="U389" s="31">
        <v>40155.950000000004</v>
      </c>
      <c r="V389" s="31">
        <v>54174.77</v>
      </c>
      <c r="W389" s="31">
        <v>457104.56999999995</v>
      </c>
      <c r="X389" s="31">
        <v>85476.51</v>
      </c>
      <c r="Y389" s="31">
        <v>15228.03</v>
      </c>
      <c r="Z389" s="31">
        <v>37012.53</v>
      </c>
      <c r="AA389" s="31">
        <v>18663.269999999997</v>
      </c>
      <c r="AB389" s="31">
        <v>10640.95</v>
      </c>
      <c r="AC389" s="31">
        <v>106862.54000000001</v>
      </c>
      <c r="AD389" s="31">
        <v>99173.796812594155</v>
      </c>
      <c r="AE389" s="31">
        <v>24117.38</v>
      </c>
      <c r="AF389" s="31">
        <v>948610.29681259417</v>
      </c>
      <c r="AH389" s="276"/>
      <c r="AI389" s="276"/>
      <c r="AJ389" s="276"/>
      <c r="AK389" s="276"/>
      <c r="AL389" s="276"/>
      <c r="AM389" s="276"/>
      <c r="AN389" s="276"/>
      <c r="AO389" s="276"/>
      <c r="AP389" s="276"/>
      <c r="AQ389" s="276"/>
      <c r="AR389" s="276"/>
      <c r="AS389" s="276"/>
      <c r="AT389" s="276"/>
      <c r="AU389" s="276"/>
      <c r="AV389" s="276"/>
      <c r="AW389" s="394"/>
    </row>
    <row r="390" spans="1:49">
      <c r="A390" s="88">
        <v>690</v>
      </c>
      <c r="B390" s="88" t="s">
        <v>2082</v>
      </c>
      <c r="C390" s="31">
        <v>0</v>
      </c>
      <c r="D390" s="31">
        <v>0</v>
      </c>
      <c r="E390" s="31">
        <v>0</v>
      </c>
      <c r="F390" s="31">
        <v>0</v>
      </c>
      <c r="G390" s="31">
        <v>790</v>
      </c>
      <c r="H390" s="31">
        <v>1381</v>
      </c>
      <c r="I390" s="31">
        <v>82</v>
      </c>
      <c r="J390" s="31">
        <v>22</v>
      </c>
      <c r="K390" s="31">
        <v>0</v>
      </c>
      <c r="L390" s="31">
        <v>0</v>
      </c>
      <c r="M390" s="31">
        <v>5</v>
      </c>
      <c r="N390" s="31">
        <v>0</v>
      </c>
      <c r="O390" s="31">
        <v>191</v>
      </c>
      <c r="P390" s="31">
        <v>0</v>
      </c>
      <c r="Q390" s="31">
        <v>2176</v>
      </c>
      <c r="R390" s="150">
        <v>1.022</v>
      </c>
      <c r="S390" s="277">
        <v>2</v>
      </c>
      <c r="U390" s="31">
        <v>1088461.3140800002</v>
      </c>
      <c r="V390" s="31">
        <v>1478252.1958400002</v>
      </c>
      <c r="W390" s="31">
        <v>9047674.7354000006</v>
      </c>
      <c r="X390" s="31">
        <v>1775459.7296800001</v>
      </c>
      <c r="Y390" s="31">
        <v>332194.85557999997</v>
      </c>
      <c r="Z390" s="31">
        <v>1354432.54</v>
      </c>
      <c r="AA390" s="31">
        <v>762195.67325999995</v>
      </c>
      <c r="AB390" s="31">
        <v>878789.64390000002</v>
      </c>
      <c r="AC390" s="31">
        <v>2331194.1209200001</v>
      </c>
      <c r="AD390" s="31">
        <v>2107712.6951599852</v>
      </c>
      <c r="AE390" s="31">
        <v>530582.36</v>
      </c>
      <c r="AF390" s="31">
        <v>21686949.863819983</v>
      </c>
      <c r="AH390" s="276"/>
      <c r="AI390" s="276"/>
      <c r="AJ390" s="276"/>
      <c r="AK390" s="276"/>
      <c r="AL390" s="276"/>
      <c r="AM390" s="276"/>
      <c r="AN390" s="276"/>
      <c r="AO390" s="276"/>
      <c r="AP390" s="276"/>
      <c r="AQ390" s="276"/>
      <c r="AR390" s="276"/>
      <c r="AS390" s="276"/>
      <c r="AT390" s="276"/>
      <c r="AU390" s="276"/>
      <c r="AV390" s="276"/>
      <c r="AW390" s="394"/>
    </row>
    <row r="391" spans="1:49">
      <c r="A391" s="88">
        <v>695</v>
      </c>
      <c r="B391" s="88" t="s">
        <v>2083</v>
      </c>
      <c r="C391" s="31">
        <v>0</v>
      </c>
      <c r="D391" s="31">
        <v>0</v>
      </c>
      <c r="E391" s="31">
        <v>0</v>
      </c>
      <c r="F391" s="31">
        <v>0</v>
      </c>
      <c r="G391" s="31">
        <v>0</v>
      </c>
      <c r="H391" s="31">
        <v>1629</v>
      </c>
      <c r="I391" s="31">
        <v>61</v>
      </c>
      <c r="J391" s="31">
        <v>16</v>
      </c>
      <c r="K391" s="31">
        <v>0</v>
      </c>
      <c r="L391" s="31">
        <v>0</v>
      </c>
      <c r="M391" s="31">
        <v>4</v>
      </c>
      <c r="N391" s="31">
        <v>0</v>
      </c>
      <c r="O391" s="31">
        <v>106</v>
      </c>
      <c r="P391" s="31">
        <v>0</v>
      </c>
      <c r="Q391" s="31">
        <v>1633</v>
      </c>
      <c r="R391" s="150">
        <v>1.036</v>
      </c>
      <c r="S391" s="277">
        <v>1</v>
      </c>
      <c r="U391" s="31">
        <v>825278.50132000016</v>
      </c>
      <c r="V391" s="31">
        <v>1124565.3193600001</v>
      </c>
      <c r="W391" s="31">
        <v>7533436.3826399995</v>
      </c>
      <c r="X391" s="31">
        <v>1288434.2671200002</v>
      </c>
      <c r="Y391" s="31">
        <v>247406.93208</v>
      </c>
      <c r="Z391" s="31">
        <v>1173122.3700000003</v>
      </c>
      <c r="AA391" s="31">
        <v>625786.72464000003</v>
      </c>
      <c r="AB391" s="31">
        <v>841838.9924000001</v>
      </c>
      <c r="AC391" s="31">
        <v>1736216.6838800001</v>
      </c>
      <c r="AD391" s="31">
        <v>1533423.8379809468</v>
      </c>
      <c r="AE391" s="31">
        <v>385878.08</v>
      </c>
      <c r="AF391" s="31">
        <v>17315388.091420949</v>
      </c>
      <c r="AH391" s="276"/>
      <c r="AI391" s="276"/>
      <c r="AJ391" s="276"/>
      <c r="AK391" s="276"/>
      <c r="AL391" s="276"/>
      <c r="AM391" s="276"/>
      <c r="AN391" s="276"/>
      <c r="AO391" s="276"/>
      <c r="AP391" s="276"/>
      <c r="AQ391" s="276"/>
      <c r="AR391" s="276"/>
      <c r="AS391" s="276"/>
      <c r="AT391" s="276"/>
      <c r="AU391" s="276"/>
      <c r="AV391" s="276"/>
      <c r="AW391" s="394"/>
    </row>
    <row r="392" spans="1:49">
      <c r="A392" s="88">
        <v>698</v>
      </c>
      <c r="B392" s="88" t="s">
        <v>1651</v>
      </c>
      <c r="C392" s="31">
        <v>12</v>
      </c>
      <c r="D392" s="31">
        <v>0</v>
      </c>
      <c r="E392" s="31">
        <v>67</v>
      </c>
      <c r="F392" s="31">
        <v>504</v>
      </c>
      <c r="G392" s="31">
        <v>378</v>
      </c>
      <c r="H392" s="31">
        <v>386</v>
      </c>
      <c r="I392" s="31">
        <v>50</v>
      </c>
      <c r="J392" s="31">
        <v>13</v>
      </c>
      <c r="K392" s="31">
        <v>0</v>
      </c>
      <c r="L392" s="31">
        <v>0</v>
      </c>
      <c r="M392" s="31">
        <v>10</v>
      </c>
      <c r="N392" s="31">
        <v>0</v>
      </c>
      <c r="O392" s="31">
        <v>134</v>
      </c>
      <c r="P392" s="31">
        <v>0</v>
      </c>
      <c r="Q392" s="31">
        <v>1351</v>
      </c>
      <c r="R392" s="150">
        <v>1.0369999999999999</v>
      </c>
      <c r="S392" s="277">
        <v>2</v>
      </c>
      <c r="U392" s="31">
        <v>681569.91956999991</v>
      </c>
      <c r="V392" s="31">
        <v>931264.20307999989</v>
      </c>
      <c r="W392" s="31">
        <v>5355608.0384900002</v>
      </c>
      <c r="X392" s="31">
        <v>1288644.0301700002</v>
      </c>
      <c r="Y392" s="31">
        <v>206063.82549999998</v>
      </c>
      <c r="Z392" s="31">
        <v>715813.90999999992</v>
      </c>
      <c r="AA392" s="31">
        <v>399631.56248999992</v>
      </c>
      <c r="AB392" s="31">
        <v>361504.65013999993</v>
      </c>
      <c r="AC392" s="31">
        <v>1446027.0002600001</v>
      </c>
      <c r="AD392" s="31">
        <v>1344869.5549906157</v>
      </c>
      <c r="AE392" s="31">
        <v>313525.94</v>
      </c>
      <c r="AF392" s="31">
        <v>13044522.634690614</v>
      </c>
      <c r="AH392" s="276"/>
      <c r="AI392" s="276"/>
      <c r="AJ392" s="276"/>
      <c r="AK392" s="276"/>
      <c r="AL392" s="276"/>
      <c r="AM392" s="276"/>
      <c r="AN392" s="276"/>
      <c r="AO392" s="276"/>
      <c r="AP392" s="276"/>
      <c r="AQ392" s="276"/>
      <c r="AR392" s="276"/>
      <c r="AS392" s="276"/>
      <c r="AT392" s="276"/>
      <c r="AU392" s="276"/>
      <c r="AV392" s="276"/>
      <c r="AW392" s="394"/>
    </row>
    <row r="393" spans="1:49">
      <c r="A393" s="88">
        <v>700</v>
      </c>
      <c r="B393" s="88" t="s">
        <v>2084</v>
      </c>
      <c r="C393" s="31">
        <v>0</v>
      </c>
      <c r="D393" s="31">
        <v>0</v>
      </c>
      <c r="E393" s="31">
        <v>0</v>
      </c>
      <c r="F393" s="31">
        <v>0</v>
      </c>
      <c r="G393" s="31">
        <v>0</v>
      </c>
      <c r="H393" s="31">
        <v>456</v>
      </c>
      <c r="I393" s="31">
        <v>28</v>
      </c>
      <c r="J393" s="31">
        <v>5</v>
      </c>
      <c r="K393" s="31">
        <v>0</v>
      </c>
      <c r="L393" s="31">
        <v>0</v>
      </c>
      <c r="M393" s="31">
        <v>27</v>
      </c>
      <c r="N393" s="31">
        <v>221</v>
      </c>
      <c r="O393" s="31">
        <v>170</v>
      </c>
      <c r="P393" s="31">
        <v>0</v>
      </c>
      <c r="Q393" s="31">
        <v>704</v>
      </c>
      <c r="R393" s="150">
        <v>1</v>
      </c>
      <c r="S393" s="277">
        <v>5</v>
      </c>
      <c r="U393" s="31">
        <v>342925.11</v>
      </c>
      <c r="V393" s="31">
        <v>467962.88</v>
      </c>
      <c r="W393" s="31">
        <v>4168449.05</v>
      </c>
      <c r="X393" s="31">
        <v>553360.73</v>
      </c>
      <c r="Y393" s="31">
        <v>131513.43</v>
      </c>
      <c r="Z393" s="31">
        <v>616644.03</v>
      </c>
      <c r="AA393" s="31">
        <v>258515.36999999997</v>
      </c>
      <c r="AB393" s="31">
        <v>341057.95</v>
      </c>
      <c r="AC393" s="31">
        <v>965817.42999999993</v>
      </c>
      <c r="AD393" s="31">
        <v>808632.6054839954</v>
      </c>
      <c r="AE393" s="31">
        <v>120586.90000000001</v>
      </c>
      <c r="AF393" s="31">
        <v>8775465.4854839947</v>
      </c>
      <c r="AH393" s="276"/>
      <c r="AI393" s="276"/>
      <c r="AJ393" s="276"/>
      <c r="AK393" s="276"/>
      <c r="AL393" s="276"/>
      <c r="AM393" s="276"/>
      <c r="AN393" s="276"/>
      <c r="AO393" s="276"/>
      <c r="AP393" s="276"/>
      <c r="AQ393" s="276"/>
      <c r="AR393" s="276"/>
      <c r="AS393" s="276"/>
      <c r="AT393" s="276"/>
      <c r="AU393" s="276"/>
      <c r="AV393" s="276"/>
      <c r="AW393" s="394"/>
    </row>
    <row r="394" spans="1:49">
      <c r="A394" s="88">
        <v>705</v>
      </c>
      <c r="B394" s="88" t="s">
        <v>2085</v>
      </c>
      <c r="C394" s="31">
        <v>0</v>
      </c>
      <c r="D394" s="31">
        <v>0</v>
      </c>
      <c r="E394" s="31">
        <v>0</v>
      </c>
      <c r="F394" s="31">
        <v>0</v>
      </c>
      <c r="G394" s="31">
        <v>649</v>
      </c>
      <c r="H394" s="31">
        <v>1228</v>
      </c>
      <c r="I394" s="31">
        <v>71</v>
      </c>
      <c r="J394" s="31">
        <v>19</v>
      </c>
      <c r="K394" s="31">
        <v>0</v>
      </c>
      <c r="L394" s="31">
        <v>0</v>
      </c>
      <c r="M394" s="31">
        <v>5</v>
      </c>
      <c r="N394" s="31">
        <v>0</v>
      </c>
      <c r="O394" s="31">
        <v>134</v>
      </c>
      <c r="P394" s="31">
        <v>0</v>
      </c>
      <c r="Q394" s="31">
        <v>1882</v>
      </c>
      <c r="R394" s="150">
        <v>1.042</v>
      </c>
      <c r="S394" s="277">
        <v>1</v>
      </c>
      <c r="U394" s="31">
        <v>959957.90076000011</v>
      </c>
      <c r="V394" s="31">
        <v>1303545.1676800002</v>
      </c>
      <c r="W394" s="31">
        <v>7922055.9761199998</v>
      </c>
      <c r="X394" s="31">
        <v>1563016.06764</v>
      </c>
      <c r="Y394" s="31">
        <v>290594.35627999995</v>
      </c>
      <c r="Z394" s="31">
        <v>1180353.22</v>
      </c>
      <c r="AA394" s="31">
        <v>674735.28372000006</v>
      </c>
      <c r="AB394" s="31">
        <v>784751.63394000009</v>
      </c>
      <c r="AC394" s="31">
        <v>2039263.9286200004</v>
      </c>
      <c r="AD394" s="31">
        <v>1811353.2818084173</v>
      </c>
      <c r="AE394" s="31">
        <v>458230.22000000003</v>
      </c>
      <c r="AF394" s="31">
        <v>18987857.036568414</v>
      </c>
      <c r="AH394" s="276"/>
      <c r="AI394" s="276"/>
      <c r="AJ394" s="276"/>
      <c r="AK394" s="276"/>
      <c r="AL394" s="276"/>
      <c r="AM394" s="276"/>
      <c r="AN394" s="276"/>
      <c r="AO394" s="276"/>
      <c r="AP394" s="276"/>
      <c r="AQ394" s="276"/>
      <c r="AR394" s="276"/>
      <c r="AS394" s="276"/>
      <c r="AT394" s="276"/>
      <c r="AU394" s="276"/>
      <c r="AV394" s="276"/>
      <c r="AW394" s="394"/>
    </row>
    <row r="395" spans="1:49">
      <c r="A395" s="88">
        <v>710</v>
      </c>
      <c r="B395" s="88" t="s">
        <v>2086</v>
      </c>
      <c r="C395" s="31">
        <v>53</v>
      </c>
      <c r="D395" s="31">
        <v>0</v>
      </c>
      <c r="E395" s="31">
        <v>119</v>
      </c>
      <c r="F395" s="31">
        <v>805</v>
      </c>
      <c r="G395" s="31">
        <v>583</v>
      </c>
      <c r="H395" s="31">
        <v>584</v>
      </c>
      <c r="I395" s="31">
        <v>79</v>
      </c>
      <c r="J395" s="31">
        <v>21</v>
      </c>
      <c r="K395" s="31">
        <v>0</v>
      </c>
      <c r="L395" s="31">
        <v>0</v>
      </c>
      <c r="M395" s="31">
        <v>25</v>
      </c>
      <c r="N395" s="31">
        <v>0</v>
      </c>
      <c r="O395" s="31">
        <v>248</v>
      </c>
      <c r="P395" s="31">
        <v>0</v>
      </c>
      <c r="Q395" s="31">
        <v>2143</v>
      </c>
      <c r="R395" s="150">
        <v>1</v>
      </c>
      <c r="S395" s="277">
        <v>2</v>
      </c>
      <c r="U395" s="31">
        <v>1042541.2300000001</v>
      </c>
      <c r="V395" s="31">
        <v>1424163.1300000001</v>
      </c>
      <c r="W395" s="31">
        <v>8289787.5899999999</v>
      </c>
      <c r="X395" s="31">
        <v>1979404.84</v>
      </c>
      <c r="Y395" s="31">
        <v>317416.41000000003</v>
      </c>
      <c r="Z395" s="31">
        <v>1127629.6199999999</v>
      </c>
      <c r="AA395" s="31">
        <v>606437.15999999992</v>
      </c>
      <c r="AB395" s="31">
        <v>539845.30000000005</v>
      </c>
      <c r="AC395" s="31">
        <v>2227440.0300000003</v>
      </c>
      <c r="AD395" s="31">
        <v>2146254.0666219783</v>
      </c>
      <c r="AE395" s="31">
        <v>506464.98000000004</v>
      </c>
      <c r="AF395" s="31">
        <v>20207384.356621977</v>
      </c>
      <c r="AH395" s="276"/>
      <c r="AI395" s="276"/>
      <c r="AJ395" s="276"/>
      <c r="AK395" s="276"/>
      <c r="AL395" s="276"/>
      <c r="AM395" s="276"/>
      <c r="AN395" s="276"/>
      <c r="AO395" s="276"/>
      <c r="AP395" s="276"/>
      <c r="AQ395" s="276"/>
      <c r="AR395" s="276"/>
      <c r="AS395" s="276"/>
      <c r="AT395" s="276"/>
      <c r="AU395" s="276"/>
      <c r="AV395" s="276"/>
      <c r="AW395" s="394"/>
    </row>
    <row r="396" spans="1:49">
      <c r="A396" s="88">
        <v>712</v>
      </c>
      <c r="B396" s="88" t="s">
        <v>1655</v>
      </c>
      <c r="C396" s="31">
        <v>25</v>
      </c>
      <c r="D396" s="31">
        <v>0</v>
      </c>
      <c r="E396" s="31">
        <v>129</v>
      </c>
      <c r="F396" s="31">
        <v>659</v>
      </c>
      <c r="G396" s="31">
        <v>436</v>
      </c>
      <c r="H396" s="31">
        <v>564</v>
      </c>
      <c r="I396" s="31">
        <v>70</v>
      </c>
      <c r="J396" s="31">
        <v>19</v>
      </c>
      <c r="K396" s="31">
        <v>0</v>
      </c>
      <c r="L396" s="31">
        <v>0</v>
      </c>
      <c r="M396" s="31">
        <v>66</v>
      </c>
      <c r="N396" s="31">
        <v>0</v>
      </c>
      <c r="O396" s="31">
        <v>561</v>
      </c>
      <c r="P396" s="31">
        <v>0</v>
      </c>
      <c r="Q396" s="31">
        <v>1867</v>
      </c>
      <c r="R396" s="150">
        <v>1</v>
      </c>
      <c r="S396" s="277">
        <v>7</v>
      </c>
      <c r="U396" s="31">
        <v>913020.26</v>
      </c>
      <c r="V396" s="31">
        <v>1240700.1300000001</v>
      </c>
      <c r="W396" s="31">
        <v>8505707.1799999997</v>
      </c>
      <c r="X396" s="31">
        <v>1725169.69</v>
      </c>
      <c r="Y396" s="31">
        <v>303366.48</v>
      </c>
      <c r="Z396" s="31">
        <v>997401.8</v>
      </c>
      <c r="AA396" s="31">
        <v>534473.1</v>
      </c>
      <c r="AB396" s="31">
        <v>483847.68999999994</v>
      </c>
      <c r="AC396" s="31">
        <v>2128866.0500000003</v>
      </c>
      <c r="AD396" s="31">
        <v>1992389.3496031037</v>
      </c>
      <c r="AE396" s="31">
        <v>458230.22000000003</v>
      </c>
      <c r="AF396" s="31">
        <v>19283171.949603103</v>
      </c>
      <c r="AH396" s="276"/>
      <c r="AI396" s="276"/>
      <c r="AJ396" s="276"/>
      <c r="AK396" s="276"/>
      <c r="AL396" s="276"/>
      <c r="AM396" s="276"/>
      <c r="AN396" s="276"/>
      <c r="AO396" s="276"/>
      <c r="AP396" s="276"/>
      <c r="AQ396" s="276"/>
      <c r="AR396" s="276"/>
      <c r="AS396" s="276"/>
      <c r="AT396" s="276"/>
      <c r="AU396" s="276"/>
      <c r="AV396" s="276"/>
      <c r="AW396" s="394"/>
    </row>
    <row r="397" spans="1:49">
      <c r="A397" s="88">
        <v>715</v>
      </c>
      <c r="B397" s="88" t="s">
        <v>2087</v>
      </c>
      <c r="C397" s="31">
        <v>0</v>
      </c>
      <c r="D397" s="31">
        <v>0</v>
      </c>
      <c r="E397" s="31">
        <v>0</v>
      </c>
      <c r="F397" s="31">
        <v>0</v>
      </c>
      <c r="G397" s="31">
        <v>176</v>
      </c>
      <c r="H397" s="31">
        <v>323</v>
      </c>
      <c r="I397" s="31">
        <v>19</v>
      </c>
      <c r="J397" s="31">
        <v>5</v>
      </c>
      <c r="K397" s="31">
        <v>0</v>
      </c>
      <c r="L397" s="31">
        <v>0</v>
      </c>
      <c r="M397" s="31">
        <v>1</v>
      </c>
      <c r="N397" s="31">
        <v>0</v>
      </c>
      <c r="O397" s="31">
        <v>110</v>
      </c>
      <c r="P397" s="31">
        <v>0</v>
      </c>
      <c r="Q397" s="31">
        <v>500</v>
      </c>
      <c r="R397" s="150">
        <v>1</v>
      </c>
      <c r="S397" s="277">
        <v>5</v>
      </c>
      <c r="U397" s="31">
        <v>244983.60000000003</v>
      </c>
      <c r="V397" s="31">
        <v>332360</v>
      </c>
      <c r="W397" s="31">
        <v>2252413.65</v>
      </c>
      <c r="X397" s="31">
        <v>399873.03</v>
      </c>
      <c r="Y397" s="31">
        <v>79346.62</v>
      </c>
      <c r="Z397" s="31">
        <v>312778.58</v>
      </c>
      <c r="AA397" s="31">
        <v>171791.55000000002</v>
      </c>
      <c r="AB397" s="31">
        <v>199195.53</v>
      </c>
      <c r="AC397" s="31">
        <v>556817.9800000001</v>
      </c>
      <c r="AD397" s="31">
        <v>505786.49154824973</v>
      </c>
      <c r="AE397" s="31">
        <v>120586.90000000001</v>
      </c>
      <c r="AF397" s="31">
        <v>5175933.9315482499</v>
      </c>
      <c r="AH397" s="276"/>
      <c r="AI397" s="276"/>
      <c r="AJ397" s="276"/>
      <c r="AK397" s="276"/>
      <c r="AL397" s="276"/>
      <c r="AM397" s="276"/>
      <c r="AN397" s="276"/>
      <c r="AO397" s="276"/>
      <c r="AP397" s="276"/>
      <c r="AQ397" s="276"/>
      <c r="AR397" s="276"/>
      <c r="AS397" s="276"/>
      <c r="AT397" s="276"/>
      <c r="AU397" s="276"/>
      <c r="AV397" s="276"/>
      <c r="AW397" s="394"/>
    </row>
    <row r="398" spans="1:49">
      <c r="A398" s="88">
        <v>717</v>
      </c>
      <c r="B398" s="88" t="s">
        <v>2088</v>
      </c>
      <c r="C398" s="31">
        <v>54</v>
      </c>
      <c r="D398" s="31">
        <v>0</v>
      </c>
      <c r="E398" s="31">
        <v>75</v>
      </c>
      <c r="F398" s="31">
        <v>323</v>
      </c>
      <c r="G398" s="31">
        <v>234</v>
      </c>
      <c r="H398" s="31">
        <v>274</v>
      </c>
      <c r="I398" s="31">
        <v>34</v>
      </c>
      <c r="J398" s="31">
        <v>9</v>
      </c>
      <c r="K398" s="31">
        <v>0</v>
      </c>
      <c r="L398" s="31">
        <v>0</v>
      </c>
      <c r="M398" s="31">
        <v>1</v>
      </c>
      <c r="N398" s="31">
        <v>0</v>
      </c>
      <c r="O398" s="31">
        <v>350</v>
      </c>
      <c r="P398" s="31">
        <v>0</v>
      </c>
      <c r="Q398" s="31">
        <v>934</v>
      </c>
      <c r="R398" s="150">
        <v>1</v>
      </c>
      <c r="S398" s="277">
        <v>9</v>
      </c>
      <c r="U398" s="31">
        <v>452976.35000000003</v>
      </c>
      <c r="V398" s="31">
        <v>620849.02</v>
      </c>
      <c r="W398" s="31">
        <v>4427306.99</v>
      </c>
      <c r="X398" s="31">
        <v>859340.35</v>
      </c>
      <c r="Y398" s="31">
        <v>155461.21999999997</v>
      </c>
      <c r="Z398" s="31">
        <v>496561.45000000007</v>
      </c>
      <c r="AA398" s="31">
        <v>265040.90999999997</v>
      </c>
      <c r="AB398" s="31">
        <v>239055.92</v>
      </c>
      <c r="AC398" s="31">
        <v>1090958.69</v>
      </c>
      <c r="AD398" s="31">
        <v>1013444.030932731</v>
      </c>
      <c r="AE398" s="31">
        <v>217056.42</v>
      </c>
      <c r="AF398" s="31">
        <v>9838051.3509327304</v>
      </c>
      <c r="AH398" s="276"/>
      <c r="AI398" s="276"/>
      <c r="AJ398" s="276"/>
      <c r="AK398" s="276"/>
      <c r="AL398" s="276"/>
      <c r="AM398" s="276"/>
      <c r="AN398" s="276"/>
      <c r="AO398" s="276"/>
      <c r="AP398" s="276"/>
      <c r="AQ398" s="276"/>
      <c r="AR398" s="276"/>
      <c r="AS398" s="276"/>
      <c r="AT398" s="276"/>
      <c r="AU398" s="276"/>
      <c r="AV398" s="276"/>
      <c r="AW398" s="394"/>
    </row>
    <row r="399" spans="1:49">
      <c r="A399" s="88">
        <v>720</v>
      </c>
      <c r="B399" s="88" t="s">
        <v>2089</v>
      </c>
      <c r="C399" s="31">
        <v>26</v>
      </c>
      <c r="D399" s="31">
        <v>0</v>
      </c>
      <c r="E399" s="31">
        <v>98</v>
      </c>
      <c r="F399" s="31">
        <v>503</v>
      </c>
      <c r="G399" s="31">
        <v>293</v>
      </c>
      <c r="H399" s="31">
        <v>367</v>
      </c>
      <c r="I399" s="31">
        <v>48</v>
      </c>
      <c r="J399" s="31">
        <v>13</v>
      </c>
      <c r="K399" s="31">
        <v>0</v>
      </c>
      <c r="L399" s="31">
        <v>0</v>
      </c>
      <c r="M399" s="31">
        <v>1</v>
      </c>
      <c r="N399" s="31">
        <v>29</v>
      </c>
      <c r="O399" s="31">
        <v>395</v>
      </c>
      <c r="P399" s="31">
        <v>0</v>
      </c>
      <c r="Q399" s="31">
        <v>1304</v>
      </c>
      <c r="R399" s="150">
        <v>1</v>
      </c>
      <c r="S399" s="277">
        <v>7</v>
      </c>
      <c r="U399" s="31">
        <v>634873.57000000007</v>
      </c>
      <c r="V399" s="31">
        <v>866795.14</v>
      </c>
      <c r="W399" s="31">
        <v>5961041</v>
      </c>
      <c r="X399" s="31">
        <v>1207164.6400000001</v>
      </c>
      <c r="Y399" s="31">
        <v>212163.34000000003</v>
      </c>
      <c r="Z399" s="31">
        <v>712372.82000000007</v>
      </c>
      <c r="AA399" s="31">
        <v>369527.97</v>
      </c>
      <c r="AB399" s="31">
        <v>337245.26</v>
      </c>
      <c r="AC399" s="31">
        <v>1494474.57</v>
      </c>
      <c r="AD399" s="31">
        <v>1395301.0996515853</v>
      </c>
      <c r="AE399" s="31">
        <v>313525.94</v>
      </c>
      <c r="AF399" s="31">
        <v>13504485.349651584</v>
      </c>
      <c r="AH399" s="276"/>
      <c r="AI399" s="276"/>
      <c r="AJ399" s="276"/>
      <c r="AK399" s="276"/>
      <c r="AL399" s="276"/>
      <c r="AM399" s="276"/>
      <c r="AN399" s="276"/>
      <c r="AO399" s="276"/>
      <c r="AP399" s="276"/>
      <c r="AQ399" s="276"/>
      <c r="AR399" s="276"/>
      <c r="AS399" s="276"/>
      <c r="AT399" s="276"/>
      <c r="AU399" s="276"/>
      <c r="AV399" s="276"/>
      <c r="AW399" s="394"/>
    </row>
    <row r="400" spans="1:49">
      <c r="A400" s="88">
        <v>725</v>
      </c>
      <c r="B400" s="88" t="s">
        <v>2090</v>
      </c>
      <c r="C400" s="31">
        <v>29</v>
      </c>
      <c r="D400" s="31">
        <v>196</v>
      </c>
      <c r="E400" s="31">
        <v>13</v>
      </c>
      <c r="F400" s="31">
        <v>1224</v>
      </c>
      <c r="G400" s="31">
        <v>805</v>
      </c>
      <c r="H400" s="31">
        <v>1005</v>
      </c>
      <c r="I400" s="31">
        <v>120</v>
      </c>
      <c r="J400" s="31">
        <v>32</v>
      </c>
      <c r="K400" s="31">
        <v>0</v>
      </c>
      <c r="L400" s="31">
        <v>2</v>
      </c>
      <c r="M400" s="31">
        <v>42</v>
      </c>
      <c r="N400" s="31">
        <v>0</v>
      </c>
      <c r="O400" s="31">
        <v>272</v>
      </c>
      <c r="P400" s="31">
        <v>0</v>
      </c>
      <c r="Q400" s="31">
        <v>3203</v>
      </c>
      <c r="R400" s="150">
        <v>1.04</v>
      </c>
      <c r="S400" s="277">
        <v>2</v>
      </c>
      <c r="U400" s="31">
        <v>1627343.3176000002</v>
      </c>
      <c r="V400" s="31">
        <v>2213918.7928000004</v>
      </c>
      <c r="W400" s="31">
        <v>12751097.600799998</v>
      </c>
      <c r="X400" s="31">
        <v>3063859.4375999994</v>
      </c>
      <c r="Y400" s="31">
        <v>487815.23440000002</v>
      </c>
      <c r="Z400" s="31">
        <v>1721157.9099999997</v>
      </c>
      <c r="AA400" s="31">
        <v>958451.14560000005</v>
      </c>
      <c r="AB400" s="31">
        <v>887925.43839999987</v>
      </c>
      <c r="AC400" s="31">
        <v>3423227.6312000002</v>
      </c>
      <c r="AD400" s="31">
        <v>3176693.111154492</v>
      </c>
      <c r="AE400" s="31">
        <v>771756.16</v>
      </c>
      <c r="AF400" s="31">
        <v>31083245.77955449</v>
      </c>
      <c r="AH400" s="276"/>
      <c r="AI400" s="276"/>
      <c r="AJ400" s="276"/>
      <c r="AK400" s="276"/>
      <c r="AL400" s="276"/>
      <c r="AM400" s="276"/>
      <c r="AN400" s="276"/>
      <c r="AO400" s="276"/>
      <c r="AP400" s="276"/>
      <c r="AQ400" s="276"/>
      <c r="AR400" s="276"/>
      <c r="AS400" s="276"/>
      <c r="AT400" s="276"/>
      <c r="AU400" s="276"/>
      <c r="AV400" s="276"/>
      <c r="AW400" s="394"/>
    </row>
    <row r="401" spans="1:49">
      <c r="A401" s="88">
        <v>728</v>
      </c>
      <c r="B401" s="88" t="s">
        <v>2091</v>
      </c>
      <c r="C401" s="31">
        <v>29</v>
      </c>
      <c r="D401" s="31">
        <v>0</v>
      </c>
      <c r="E401" s="31">
        <v>18</v>
      </c>
      <c r="F401" s="31">
        <v>83</v>
      </c>
      <c r="G401" s="31">
        <v>21</v>
      </c>
      <c r="H401" s="31">
        <v>0</v>
      </c>
      <c r="I401" s="31">
        <v>5</v>
      </c>
      <c r="J401" s="31">
        <v>1</v>
      </c>
      <c r="K401" s="31">
        <v>0</v>
      </c>
      <c r="L401" s="31">
        <v>0</v>
      </c>
      <c r="M401" s="31">
        <v>0</v>
      </c>
      <c r="N401" s="31">
        <v>0</v>
      </c>
      <c r="O401" s="31">
        <v>62</v>
      </c>
      <c r="P401" s="31">
        <v>0</v>
      </c>
      <c r="Q401" s="31">
        <v>137</v>
      </c>
      <c r="R401" s="150">
        <v>1</v>
      </c>
      <c r="S401" s="277">
        <v>9</v>
      </c>
      <c r="U401" s="31">
        <v>65478.65</v>
      </c>
      <c r="V401" s="31">
        <v>90734.57</v>
      </c>
      <c r="W401" s="31">
        <v>651145.99</v>
      </c>
      <c r="X401" s="31">
        <v>141276.91999999998</v>
      </c>
      <c r="Y401" s="31">
        <v>23118.35</v>
      </c>
      <c r="Z401" s="31">
        <v>61981.72</v>
      </c>
      <c r="AA401" s="31">
        <v>31816.14</v>
      </c>
      <c r="AB401" s="31">
        <v>18392.05</v>
      </c>
      <c r="AC401" s="31">
        <v>162237.47999999998</v>
      </c>
      <c r="AD401" s="31">
        <v>154631.93697357626</v>
      </c>
      <c r="AE401" s="31">
        <v>24117.38</v>
      </c>
      <c r="AF401" s="31">
        <v>1424931.186973576</v>
      </c>
      <c r="AH401" s="276"/>
      <c r="AI401" s="276"/>
      <c r="AJ401" s="276"/>
      <c r="AK401" s="276"/>
      <c r="AL401" s="276"/>
      <c r="AM401" s="276"/>
      <c r="AN401" s="276"/>
      <c r="AO401" s="276"/>
      <c r="AP401" s="276"/>
      <c r="AQ401" s="276"/>
      <c r="AR401" s="276"/>
      <c r="AS401" s="276"/>
      <c r="AT401" s="276"/>
      <c r="AU401" s="276"/>
      <c r="AV401" s="276"/>
      <c r="AW401" s="394"/>
    </row>
    <row r="402" spans="1:49">
      <c r="A402" s="88">
        <v>730</v>
      </c>
      <c r="B402" s="88" t="s">
        <v>2092</v>
      </c>
      <c r="C402" s="31">
        <v>0</v>
      </c>
      <c r="D402" s="31">
        <v>0</v>
      </c>
      <c r="E402" s="31">
        <v>0</v>
      </c>
      <c r="F402" s="31">
        <v>0</v>
      </c>
      <c r="G402" s="31">
        <v>0</v>
      </c>
      <c r="H402" s="31">
        <v>1456</v>
      </c>
      <c r="I402" s="31">
        <v>55</v>
      </c>
      <c r="J402" s="31">
        <v>15</v>
      </c>
      <c r="K402" s="31">
        <v>0</v>
      </c>
      <c r="L402" s="31">
        <v>0</v>
      </c>
      <c r="M402" s="31">
        <v>17</v>
      </c>
      <c r="N402" s="31">
        <v>0</v>
      </c>
      <c r="O402" s="31">
        <v>110</v>
      </c>
      <c r="P402" s="31">
        <v>0</v>
      </c>
      <c r="Q402" s="31">
        <v>1473</v>
      </c>
      <c r="R402" s="150">
        <v>1</v>
      </c>
      <c r="S402" s="277">
        <v>1</v>
      </c>
      <c r="U402" s="31">
        <v>719933.42</v>
      </c>
      <c r="V402" s="31">
        <v>979132.56</v>
      </c>
      <c r="W402" s="31">
        <v>6610607.2999999998</v>
      </c>
      <c r="X402" s="31">
        <v>1123746.49</v>
      </c>
      <c r="Y402" s="31">
        <v>216836.1</v>
      </c>
      <c r="Z402" s="31">
        <v>1054627.75</v>
      </c>
      <c r="AA402" s="31">
        <v>543855.39</v>
      </c>
      <c r="AB402" s="31">
        <v>728065.95</v>
      </c>
      <c r="AC402" s="31">
        <v>1521682.5199999998</v>
      </c>
      <c r="AD402" s="31">
        <v>1390543.6505388257</v>
      </c>
      <c r="AE402" s="31">
        <v>361760.7</v>
      </c>
      <c r="AF402" s="31">
        <v>15250791.830538824</v>
      </c>
      <c r="AH402" s="276"/>
      <c r="AI402" s="276"/>
      <c r="AJ402" s="276"/>
      <c r="AK402" s="276"/>
      <c r="AL402" s="276"/>
      <c r="AM402" s="276"/>
      <c r="AN402" s="276"/>
      <c r="AO402" s="276"/>
      <c r="AP402" s="276"/>
      <c r="AQ402" s="276"/>
      <c r="AR402" s="276"/>
      <c r="AS402" s="276"/>
      <c r="AT402" s="276"/>
      <c r="AU402" s="276"/>
      <c r="AV402" s="276"/>
      <c r="AW402" s="394"/>
    </row>
    <row r="403" spans="1:49">
      <c r="A403" s="88">
        <v>735</v>
      </c>
      <c r="B403" s="88" t="s">
        <v>2093</v>
      </c>
      <c r="C403" s="31">
        <v>78</v>
      </c>
      <c r="D403" s="31">
        <v>0</v>
      </c>
      <c r="E403" s="31">
        <v>205</v>
      </c>
      <c r="F403" s="31">
        <v>1232</v>
      </c>
      <c r="G403" s="31">
        <v>801</v>
      </c>
      <c r="H403" s="31">
        <v>907</v>
      </c>
      <c r="I403" s="31">
        <v>119</v>
      </c>
      <c r="J403" s="31">
        <v>32</v>
      </c>
      <c r="K403" s="31">
        <v>0</v>
      </c>
      <c r="L403" s="31">
        <v>0</v>
      </c>
      <c r="M403" s="31">
        <v>24</v>
      </c>
      <c r="N403" s="31">
        <v>0</v>
      </c>
      <c r="O403" s="31">
        <v>644</v>
      </c>
      <c r="P403" s="31">
        <v>0</v>
      </c>
      <c r="Q403" s="31">
        <v>3208</v>
      </c>
      <c r="R403" s="150">
        <v>1</v>
      </c>
      <c r="S403" s="277">
        <v>4</v>
      </c>
      <c r="U403" s="31">
        <v>1564235.7500000002</v>
      </c>
      <c r="V403" s="31">
        <v>2132422.5399999996</v>
      </c>
      <c r="W403" s="31">
        <v>13316949.43</v>
      </c>
      <c r="X403" s="31">
        <v>2977045.77</v>
      </c>
      <c r="Y403" s="31">
        <v>493466.9</v>
      </c>
      <c r="Z403" s="31">
        <v>1697289.9700000002</v>
      </c>
      <c r="AA403" s="31">
        <v>906588.17999999993</v>
      </c>
      <c r="AB403" s="31">
        <v>813060.28</v>
      </c>
      <c r="AC403" s="31">
        <v>3462868.88</v>
      </c>
      <c r="AD403" s="31">
        <v>3299943.9664631318</v>
      </c>
      <c r="AE403" s="31">
        <v>771756.16</v>
      </c>
      <c r="AF403" s="31">
        <v>31435627.826463129</v>
      </c>
      <c r="AH403" s="276"/>
      <c r="AI403" s="276"/>
      <c r="AJ403" s="276"/>
      <c r="AK403" s="276"/>
      <c r="AL403" s="276"/>
      <c r="AM403" s="276"/>
      <c r="AN403" s="276"/>
      <c r="AO403" s="276"/>
      <c r="AP403" s="276"/>
      <c r="AQ403" s="276"/>
      <c r="AR403" s="276"/>
      <c r="AS403" s="276"/>
      <c r="AT403" s="276"/>
      <c r="AU403" s="276"/>
      <c r="AV403" s="276"/>
      <c r="AW403" s="394"/>
    </row>
    <row r="404" spans="1:49">
      <c r="A404" s="88">
        <v>740</v>
      </c>
      <c r="B404" s="88" t="s">
        <v>2094</v>
      </c>
      <c r="C404" s="31">
        <v>0</v>
      </c>
      <c r="D404" s="31">
        <v>0</v>
      </c>
      <c r="E404" s="31">
        <v>0</v>
      </c>
      <c r="F404" s="31">
        <v>0</v>
      </c>
      <c r="G404" s="31">
        <v>482</v>
      </c>
      <c r="H404" s="31">
        <v>698</v>
      </c>
      <c r="I404" s="31">
        <v>44</v>
      </c>
      <c r="J404" s="31">
        <v>12</v>
      </c>
      <c r="K404" s="31">
        <v>0</v>
      </c>
      <c r="L404" s="31">
        <v>0</v>
      </c>
      <c r="M404" s="31">
        <v>0</v>
      </c>
      <c r="N404" s="31">
        <v>0</v>
      </c>
      <c r="O404" s="31">
        <v>151</v>
      </c>
      <c r="P404" s="31">
        <v>0</v>
      </c>
      <c r="Q404" s="31">
        <v>1180</v>
      </c>
      <c r="R404" s="150">
        <v>1</v>
      </c>
      <c r="S404" s="277">
        <v>3</v>
      </c>
      <c r="U404" s="31">
        <v>576535.60000000009</v>
      </c>
      <c r="V404" s="31">
        <v>784369.60000000009</v>
      </c>
      <c r="W404" s="31">
        <v>4875356.0199999996</v>
      </c>
      <c r="X404" s="31">
        <v>943045.5</v>
      </c>
      <c r="Y404" s="31">
        <v>179446.35</v>
      </c>
      <c r="Z404" s="31">
        <v>720846.08</v>
      </c>
      <c r="AA404" s="31">
        <v>400616.7</v>
      </c>
      <c r="AB404" s="31">
        <v>452151.76</v>
      </c>
      <c r="AC404" s="31">
        <v>1259266.21</v>
      </c>
      <c r="AD404" s="31">
        <v>1158975.0043085236</v>
      </c>
      <c r="AE404" s="31">
        <v>289408.56</v>
      </c>
      <c r="AF404" s="31">
        <v>11640017.384308524</v>
      </c>
      <c r="AH404" s="276"/>
      <c r="AI404" s="276"/>
      <c r="AJ404" s="276"/>
      <c r="AK404" s="276"/>
      <c r="AL404" s="276"/>
      <c r="AM404" s="276"/>
      <c r="AN404" s="276"/>
      <c r="AO404" s="276"/>
      <c r="AP404" s="276"/>
      <c r="AQ404" s="276"/>
      <c r="AR404" s="276"/>
      <c r="AS404" s="276"/>
      <c r="AT404" s="276"/>
      <c r="AU404" s="276"/>
      <c r="AV404" s="276"/>
      <c r="AW404" s="394"/>
    </row>
    <row r="405" spans="1:49">
      <c r="A405" s="88">
        <v>745</v>
      </c>
      <c r="B405" s="88" t="s">
        <v>2095</v>
      </c>
      <c r="C405" s="31">
        <v>81</v>
      </c>
      <c r="D405" s="31">
        <v>138</v>
      </c>
      <c r="E405" s="31">
        <v>18</v>
      </c>
      <c r="F405" s="31">
        <v>881</v>
      </c>
      <c r="G405" s="31">
        <v>645</v>
      </c>
      <c r="H405" s="31">
        <v>736</v>
      </c>
      <c r="I405" s="31">
        <v>88</v>
      </c>
      <c r="J405" s="31">
        <v>24</v>
      </c>
      <c r="K405" s="31">
        <v>0</v>
      </c>
      <c r="L405" s="31">
        <v>0</v>
      </c>
      <c r="M405" s="31">
        <v>4</v>
      </c>
      <c r="N405" s="31">
        <v>0</v>
      </c>
      <c r="O405" s="31">
        <v>297</v>
      </c>
      <c r="P405" s="31">
        <v>0</v>
      </c>
      <c r="Q405" s="31">
        <v>2394</v>
      </c>
      <c r="R405" s="150">
        <v>1</v>
      </c>
      <c r="S405" s="277">
        <v>3</v>
      </c>
      <c r="U405" s="31">
        <v>1165402.73</v>
      </c>
      <c r="V405" s="31">
        <v>1591009.5099999998</v>
      </c>
      <c r="W405" s="31">
        <v>9368747.7599999998</v>
      </c>
      <c r="X405" s="31">
        <v>2188266.25</v>
      </c>
      <c r="Y405" s="31">
        <v>355458.99999999994</v>
      </c>
      <c r="Z405" s="31">
        <v>1281769.78</v>
      </c>
      <c r="AA405" s="31">
        <v>687655.08000000007</v>
      </c>
      <c r="AB405" s="31">
        <v>634708.06999999995</v>
      </c>
      <c r="AC405" s="31">
        <v>2494423.6200000006</v>
      </c>
      <c r="AD405" s="31">
        <v>2394393.6156648509</v>
      </c>
      <c r="AE405" s="31">
        <v>578817.12</v>
      </c>
      <c r="AF405" s="31">
        <v>22740652.535664853</v>
      </c>
      <c r="AH405" s="276"/>
      <c r="AI405" s="276"/>
      <c r="AJ405" s="276"/>
      <c r="AK405" s="276"/>
      <c r="AL405" s="276"/>
      <c r="AM405" s="276"/>
      <c r="AN405" s="276"/>
      <c r="AO405" s="276"/>
      <c r="AP405" s="276"/>
      <c r="AQ405" s="276"/>
      <c r="AR405" s="276"/>
      <c r="AS405" s="276"/>
      <c r="AT405" s="276"/>
      <c r="AU405" s="276"/>
      <c r="AV405" s="276"/>
      <c r="AW405" s="394"/>
    </row>
    <row r="406" spans="1:49">
      <c r="A406" s="88">
        <v>750</v>
      </c>
      <c r="B406" s="88" t="s">
        <v>2096</v>
      </c>
      <c r="C406" s="31">
        <v>13</v>
      </c>
      <c r="D406" s="31">
        <v>0</v>
      </c>
      <c r="E406" s="31">
        <v>41</v>
      </c>
      <c r="F406" s="31">
        <v>265</v>
      </c>
      <c r="G406" s="31">
        <v>206</v>
      </c>
      <c r="H406" s="31">
        <v>205</v>
      </c>
      <c r="I406" s="31">
        <v>27</v>
      </c>
      <c r="J406" s="31">
        <v>7</v>
      </c>
      <c r="K406" s="31">
        <v>0</v>
      </c>
      <c r="L406" s="31">
        <v>0</v>
      </c>
      <c r="M406" s="31">
        <v>0</v>
      </c>
      <c r="N406" s="31">
        <v>0</v>
      </c>
      <c r="O406" s="31">
        <v>224</v>
      </c>
      <c r="P406" s="31">
        <v>0</v>
      </c>
      <c r="Q406" s="31">
        <v>724</v>
      </c>
      <c r="R406" s="150">
        <v>1</v>
      </c>
      <c r="S406" s="277">
        <v>7</v>
      </c>
      <c r="U406" s="31">
        <v>352642.17</v>
      </c>
      <c r="V406" s="31">
        <v>480925.05000000005</v>
      </c>
      <c r="W406" s="31">
        <v>3251479.3500000006</v>
      </c>
      <c r="X406" s="31">
        <v>667828.6100000001</v>
      </c>
      <c r="Y406" s="31">
        <v>117195.88999999998</v>
      </c>
      <c r="Z406" s="31">
        <v>382964.43</v>
      </c>
      <c r="AA406" s="31">
        <v>205992.95999999999</v>
      </c>
      <c r="AB406" s="31">
        <v>185989.47</v>
      </c>
      <c r="AC406" s="31">
        <v>822414.25</v>
      </c>
      <c r="AD406" s="31">
        <v>770412.57667966548</v>
      </c>
      <c r="AE406" s="31">
        <v>168821.66</v>
      </c>
      <c r="AF406" s="31">
        <v>7406666.4166796654</v>
      </c>
      <c r="AH406" s="276"/>
      <c r="AI406" s="276"/>
      <c r="AJ406" s="276"/>
      <c r="AK406" s="276"/>
      <c r="AL406" s="276"/>
      <c r="AM406" s="276"/>
      <c r="AN406" s="276"/>
      <c r="AO406" s="276"/>
      <c r="AP406" s="276"/>
      <c r="AQ406" s="276"/>
      <c r="AR406" s="276"/>
      <c r="AS406" s="276"/>
      <c r="AT406" s="276"/>
      <c r="AU406" s="276"/>
      <c r="AV406" s="276"/>
      <c r="AW406" s="394"/>
    </row>
    <row r="407" spans="1:49">
      <c r="A407" s="88">
        <v>753</v>
      </c>
      <c r="B407" s="88" t="s">
        <v>2097</v>
      </c>
      <c r="C407" s="31">
        <v>66</v>
      </c>
      <c r="D407" s="31">
        <v>0</v>
      </c>
      <c r="E407" s="31">
        <v>111</v>
      </c>
      <c r="F407" s="31">
        <v>738</v>
      </c>
      <c r="G407" s="31">
        <v>555</v>
      </c>
      <c r="H407" s="31">
        <v>631</v>
      </c>
      <c r="I407" s="31">
        <v>77</v>
      </c>
      <c r="J407" s="31">
        <v>20</v>
      </c>
      <c r="K407" s="31">
        <v>0</v>
      </c>
      <c r="L407" s="31">
        <v>0</v>
      </c>
      <c r="M407" s="31">
        <v>6</v>
      </c>
      <c r="N407" s="31">
        <v>0</v>
      </c>
      <c r="O407" s="31">
        <v>618</v>
      </c>
      <c r="P407" s="31">
        <v>0</v>
      </c>
      <c r="Q407" s="31">
        <v>2074</v>
      </c>
      <c r="R407" s="150">
        <v>1</v>
      </c>
      <c r="S407" s="277">
        <v>7</v>
      </c>
      <c r="U407" s="31">
        <v>1009710.17</v>
      </c>
      <c r="V407" s="31">
        <v>1378629.9400000002</v>
      </c>
      <c r="W407" s="31">
        <v>9301888.4900000002</v>
      </c>
      <c r="X407" s="31">
        <v>1904550.27</v>
      </c>
      <c r="Y407" s="31">
        <v>334270.07999999996</v>
      </c>
      <c r="Z407" s="31">
        <v>1109145.97</v>
      </c>
      <c r="AA407" s="31">
        <v>594762.29999999993</v>
      </c>
      <c r="AB407" s="31">
        <v>545707.03999999992</v>
      </c>
      <c r="AC407" s="31">
        <v>2345728</v>
      </c>
      <c r="AD407" s="31">
        <v>2197734.8422609805</v>
      </c>
      <c r="AE407" s="31">
        <v>482347.60000000003</v>
      </c>
      <c r="AF407" s="31">
        <v>21204474.702260982</v>
      </c>
      <c r="AH407" s="276"/>
      <c r="AI407" s="276"/>
      <c r="AJ407" s="276"/>
      <c r="AK407" s="276"/>
      <c r="AL407" s="276"/>
      <c r="AM407" s="276"/>
      <c r="AN407" s="276"/>
      <c r="AO407" s="276"/>
      <c r="AP407" s="276"/>
      <c r="AQ407" s="276"/>
      <c r="AR407" s="276"/>
      <c r="AS407" s="276"/>
      <c r="AT407" s="276"/>
      <c r="AU407" s="276"/>
      <c r="AV407" s="276"/>
      <c r="AW407" s="394"/>
    </row>
    <row r="408" spans="1:49">
      <c r="A408" s="88">
        <v>755</v>
      </c>
      <c r="B408" s="88" t="s">
        <v>2098</v>
      </c>
      <c r="C408" s="31">
        <v>0</v>
      </c>
      <c r="D408" s="31">
        <v>0</v>
      </c>
      <c r="E408" s="31">
        <v>0</v>
      </c>
      <c r="F408" s="31">
        <v>0</v>
      </c>
      <c r="G408" s="31">
        <v>217</v>
      </c>
      <c r="H408" s="31">
        <v>412</v>
      </c>
      <c r="I408" s="31">
        <v>24</v>
      </c>
      <c r="J408" s="31">
        <v>6</v>
      </c>
      <c r="K408" s="31">
        <v>0</v>
      </c>
      <c r="L408" s="31">
        <v>0</v>
      </c>
      <c r="M408" s="31">
        <v>8</v>
      </c>
      <c r="N408" s="31">
        <v>0</v>
      </c>
      <c r="O408" s="31">
        <v>305</v>
      </c>
      <c r="P408" s="31">
        <v>0</v>
      </c>
      <c r="Q408" s="31">
        <v>637</v>
      </c>
      <c r="R408" s="150">
        <v>1</v>
      </c>
      <c r="S408" s="277">
        <v>10</v>
      </c>
      <c r="U408" s="31">
        <v>310645.98000000004</v>
      </c>
      <c r="V408" s="31">
        <v>423426.64</v>
      </c>
      <c r="W408" s="31">
        <v>3442832.8200000003</v>
      </c>
      <c r="X408" s="31">
        <v>508184.15</v>
      </c>
      <c r="Y408" s="31">
        <v>113578.52</v>
      </c>
      <c r="Z408" s="31">
        <v>398539.03</v>
      </c>
      <c r="AA408" s="31">
        <v>218899.71</v>
      </c>
      <c r="AB408" s="31">
        <v>253351.86</v>
      </c>
      <c r="AC408" s="31">
        <v>797046.54</v>
      </c>
      <c r="AD408" s="31">
        <v>701818.17247838026</v>
      </c>
      <c r="AE408" s="31">
        <v>144704.28</v>
      </c>
      <c r="AF408" s="31">
        <v>7313027.7024783818</v>
      </c>
      <c r="AH408" s="276"/>
      <c r="AI408" s="276"/>
      <c r="AJ408" s="276"/>
      <c r="AK408" s="276"/>
      <c r="AL408" s="276"/>
      <c r="AM408" s="276"/>
      <c r="AN408" s="276"/>
      <c r="AO408" s="276"/>
      <c r="AP408" s="276"/>
      <c r="AQ408" s="276"/>
      <c r="AR408" s="276"/>
      <c r="AS408" s="276"/>
      <c r="AT408" s="276"/>
      <c r="AU408" s="276"/>
      <c r="AV408" s="276"/>
      <c r="AW408" s="394"/>
    </row>
    <row r="409" spans="1:49">
      <c r="A409" s="88">
        <v>760</v>
      </c>
      <c r="B409" s="88" t="s">
        <v>2099</v>
      </c>
      <c r="C409" s="31">
        <v>84</v>
      </c>
      <c r="D409" s="31">
        <v>0</v>
      </c>
      <c r="E409" s="31">
        <v>0</v>
      </c>
      <c r="F409" s="31">
        <v>0</v>
      </c>
      <c r="G409" s="31">
        <v>586</v>
      </c>
      <c r="H409" s="31">
        <v>958</v>
      </c>
      <c r="I409" s="31">
        <v>70</v>
      </c>
      <c r="J409" s="31">
        <v>15</v>
      </c>
      <c r="K409" s="31">
        <v>0</v>
      </c>
      <c r="L409" s="31">
        <v>0</v>
      </c>
      <c r="M409" s="31">
        <v>2</v>
      </c>
      <c r="N409" s="31">
        <v>245</v>
      </c>
      <c r="O409" s="31">
        <v>317</v>
      </c>
      <c r="P409" s="31">
        <v>0</v>
      </c>
      <c r="Q409" s="31">
        <v>1833</v>
      </c>
      <c r="R409" s="150">
        <v>1.0269999999999999</v>
      </c>
      <c r="S409" s="277">
        <v>4</v>
      </c>
      <c r="U409" s="31">
        <v>914575.24456999998</v>
      </c>
      <c r="V409" s="31">
        <v>1251330.2801999997</v>
      </c>
      <c r="W409" s="31">
        <v>8928892.7586299982</v>
      </c>
      <c r="X409" s="31">
        <v>1515674.5035900001</v>
      </c>
      <c r="Y409" s="31">
        <v>312851.91872999998</v>
      </c>
      <c r="Z409" s="31">
        <v>1281462.52</v>
      </c>
      <c r="AA409" s="31">
        <v>645074.51579999982</v>
      </c>
      <c r="AB409" s="31">
        <v>750065.42415999994</v>
      </c>
      <c r="AC409" s="31">
        <v>2244329.9457799997</v>
      </c>
      <c r="AD409" s="31">
        <v>1932823.2915351943</v>
      </c>
      <c r="AE409" s="31">
        <v>361760.7</v>
      </c>
      <c r="AF409" s="31">
        <v>20138841.102995191</v>
      </c>
      <c r="AH409" s="276"/>
      <c r="AI409" s="276"/>
      <c r="AJ409" s="276"/>
      <c r="AK409" s="276"/>
      <c r="AL409" s="276"/>
      <c r="AM409" s="276"/>
      <c r="AN409" s="276"/>
      <c r="AO409" s="276"/>
      <c r="AP409" s="276"/>
      <c r="AQ409" s="276"/>
      <c r="AR409" s="276"/>
      <c r="AS409" s="276"/>
      <c r="AT409" s="276"/>
      <c r="AU409" s="276"/>
      <c r="AV409" s="276"/>
      <c r="AW409" s="394"/>
    </row>
    <row r="410" spans="1:49">
      <c r="A410" s="88">
        <v>763</v>
      </c>
      <c r="B410" s="88" t="s">
        <v>1669</v>
      </c>
      <c r="C410" s="31">
        <v>0</v>
      </c>
      <c r="D410" s="31">
        <v>0</v>
      </c>
      <c r="E410" s="31">
        <v>0</v>
      </c>
      <c r="F410" s="31">
        <v>0</v>
      </c>
      <c r="G410" s="31">
        <v>0</v>
      </c>
      <c r="H410" s="31">
        <v>936</v>
      </c>
      <c r="I410" s="31">
        <v>37</v>
      </c>
      <c r="J410" s="31">
        <v>9</v>
      </c>
      <c r="K410" s="31">
        <v>0</v>
      </c>
      <c r="L410" s="31">
        <v>0</v>
      </c>
      <c r="M410" s="31">
        <v>3</v>
      </c>
      <c r="N410" s="31">
        <v>40</v>
      </c>
      <c r="O410" s="31">
        <v>157</v>
      </c>
      <c r="P410" s="31">
        <v>0</v>
      </c>
      <c r="Q410" s="31">
        <v>979</v>
      </c>
      <c r="R410" s="150">
        <v>1</v>
      </c>
      <c r="S410" s="277">
        <v>3</v>
      </c>
      <c r="U410" s="31">
        <v>477158.05999999994</v>
      </c>
      <c r="V410" s="31">
        <v>650760.88000000012</v>
      </c>
      <c r="W410" s="31">
        <v>4762918.4800000004</v>
      </c>
      <c r="X410" s="31">
        <v>749023.75</v>
      </c>
      <c r="Y410" s="31">
        <v>153040.25</v>
      </c>
      <c r="Z410" s="31">
        <v>724465.89</v>
      </c>
      <c r="AA410" s="31">
        <v>362083.77</v>
      </c>
      <c r="AB410" s="31">
        <v>486933.05</v>
      </c>
      <c r="AC410" s="31">
        <v>1081741.8700000001</v>
      </c>
      <c r="AD410" s="31">
        <v>967622.42551491642</v>
      </c>
      <c r="AE410" s="31">
        <v>217056.42</v>
      </c>
      <c r="AF410" s="31">
        <v>10632804.845514916</v>
      </c>
      <c r="AH410" s="276"/>
      <c r="AI410" s="276"/>
      <c r="AJ410" s="276"/>
      <c r="AK410" s="276"/>
      <c r="AL410" s="276"/>
      <c r="AM410" s="276"/>
      <c r="AN410" s="276"/>
      <c r="AO410" s="276"/>
      <c r="AP410" s="276"/>
      <c r="AQ410" s="276"/>
      <c r="AR410" s="276"/>
      <c r="AS410" s="276"/>
      <c r="AT410" s="276"/>
      <c r="AU410" s="276"/>
      <c r="AV410" s="276"/>
      <c r="AW410" s="394"/>
    </row>
    <row r="411" spans="1:49">
      <c r="A411" s="88">
        <v>765</v>
      </c>
      <c r="B411" s="88" t="s">
        <v>2100</v>
      </c>
      <c r="C411" s="31">
        <v>34</v>
      </c>
      <c r="D411" s="31">
        <v>0</v>
      </c>
      <c r="E411" s="31">
        <v>46</v>
      </c>
      <c r="F411" s="31">
        <v>235</v>
      </c>
      <c r="G411" s="31">
        <v>148</v>
      </c>
      <c r="H411" s="31">
        <v>202</v>
      </c>
      <c r="I411" s="31">
        <v>24</v>
      </c>
      <c r="J411" s="31">
        <v>6</v>
      </c>
      <c r="K411" s="31">
        <v>2</v>
      </c>
      <c r="L411" s="31">
        <v>0</v>
      </c>
      <c r="M411" s="31">
        <v>9</v>
      </c>
      <c r="N411" s="31">
        <v>4</v>
      </c>
      <c r="O411" s="31">
        <v>253</v>
      </c>
      <c r="P411" s="31">
        <v>0</v>
      </c>
      <c r="Q411" s="31">
        <v>662</v>
      </c>
      <c r="R411" s="150">
        <v>1</v>
      </c>
      <c r="S411" s="277">
        <v>9</v>
      </c>
      <c r="U411" s="31">
        <v>319847.36</v>
      </c>
      <c r="V411" s="31">
        <v>440045</v>
      </c>
      <c r="W411" s="31">
        <v>3195600.11</v>
      </c>
      <c r="X411" s="31">
        <v>607057.24</v>
      </c>
      <c r="Y411" s="31">
        <v>111118.66</v>
      </c>
      <c r="Z411" s="31">
        <v>357157.24</v>
      </c>
      <c r="AA411" s="31">
        <v>188975.70000000004</v>
      </c>
      <c r="AB411" s="31">
        <v>172669.82</v>
      </c>
      <c r="AC411" s="31">
        <v>780558.27000000014</v>
      </c>
      <c r="AD411" s="31">
        <v>722227.15801612276</v>
      </c>
      <c r="AE411" s="31">
        <v>144704.28</v>
      </c>
      <c r="AF411" s="31">
        <v>7039960.8380161244</v>
      </c>
      <c r="AH411" s="276"/>
      <c r="AI411" s="276"/>
      <c r="AJ411" s="276"/>
      <c r="AK411" s="276"/>
      <c r="AL411" s="276"/>
      <c r="AM411" s="276"/>
      <c r="AN411" s="276"/>
      <c r="AO411" s="276"/>
      <c r="AP411" s="276"/>
      <c r="AQ411" s="276"/>
      <c r="AR411" s="276"/>
      <c r="AS411" s="276"/>
      <c r="AT411" s="276"/>
      <c r="AU411" s="276"/>
      <c r="AV411" s="276"/>
      <c r="AW411" s="394"/>
    </row>
    <row r="412" spans="1:49">
      <c r="A412" s="88">
        <v>766</v>
      </c>
      <c r="B412" s="88" t="s">
        <v>1671</v>
      </c>
      <c r="C412" s="31">
        <v>33</v>
      </c>
      <c r="D412" s="31">
        <v>0</v>
      </c>
      <c r="E412" s="31">
        <v>81</v>
      </c>
      <c r="F412" s="31">
        <v>476</v>
      </c>
      <c r="G412" s="31">
        <v>334</v>
      </c>
      <c r="H412" s="31">
        <v>418</v>
      </c>
      <c r="I412" s="31">
        <v>56</v>
      </c>
      <c r="J412" s="31">
        <v>13</v>
      </c>
      <c r="K412" s="31">
        <v>0</v>
      </c>
      <c r="L412" s="31">
        <v>0</v>
      </c>
      <c r="M412" s="31">
        <v>31</v>
      </c>
      <c r="N412" s="31">
        <v>127</v>
      </c>
      <c r="O412" s="31">
        <v>373</v>
      </c>
      <c r="P412" s="31">
        <v>0</v>
      </c>
      <c r="Q412" s="31">
        <v>1484</v>
      </c>
      <c r="R412" s="150">
        <v>1</v>
      </c>
      <c r="S412" s="277">
        <v>6</v>
      </c>
      <c r="U412" s="31">
        <v>721258.0199999999</v>
      </c>
      <c r="V412" s="31">
        <v>986112.45</v>
      </c>
      <c r="W412" s="31">
        <v>6928950.4199999999</v>
      </c>
      <c r="X412" s="31">
        <v>1349740.11</v>
      </c>
      <c r="Y412" s="31">
        <v>245980.41</v>
      </c>
      <c r="Z412" s="31">
        <v>885701.20000000019</v>
      </c>
      <c r="AA412" s="31">
        <v>436648.62</v>
      </c>
      <c r="AB412" s="31">
        <v>419590.80999999994</v>
      </c>
      <c r="AC412" s="31">
        <v>1750824.8800000004</v>
      </c>
      <c r="AD412" s="31">
        <v>1605413.1566521032</v>
      </c>
      <c r="AE412" s="31">
        <v>313525.94</v>
      </c>
      <c r="AF412" s="31">
        <v>15643746.016652102</v>
      </c>
      <c r="AH412" s="276"/>
      <c r="AI412" s="276"/>
      <c r="AJ412" s="276"/>
      <c r="AK412" s="276"/>
      <c r="AL412" s="276"/>
      <c r="AM412" s="276"/>
      <c r="AN412" s="276"/>
      <c r="AO412" s="276"/>
      <c r="AP412" s="276"/>
      <c r="AQ412" s="276"/>
      <c r="AR412" s="276"/>
      <c r="AS412" s="276"/>
      <c r="AT412" s="276"/>
      <c r="AU412" s="276"/>
      <c r="AV412" s="276"/>
      <c r="AW412" s="394"/>
    </row>
    <row r="413" spans="1:49">
      <c r="A413" s="88">
        <v>767</v>
      </c>
      <c r="B413" s="88" t="s">
        <v>2101</v>
      </c>
      <c r="C413" s="31">
        <v>44</v>
      </c>
      <c r="D413" s="31">
        <v>0</v>
      </c>
      <c r="E413" s="31">
        <v>82</v>
      </c>
      <c r="F413" s="31">
        <v>639</v>
      </c>
      <c r="G413" s="31">
        <v>397</v>
      </c>
      <c r="H413" s="31">
        <v>142</v>
      </c>
      <c r="I413" s="31">
        <v>62</v>
      </c>
      <c r="J413" s="31">
        <v>13</v>
      </c>
      <c r="K413" s="31">
        <v>0</v>
      </c>
      <c r="L413" s="31">
        <v>0</v>
      </c>
      <c r="M413" s="31">
        <v>16</v>
      </c>
      <c r="N413" s="31">
        <v>294</v>
      </c>
      <c r="O413" s="31">
        <v>530</v>
      </c>
      <c r="P413" s="31">
        <v>0</v>
      </c>
      <c r="Q413" s="31">
        <v>1592</v>
      </c>
      <c r="R413" s="150">
        <v>1</v>
      </c>
      <c r="S413" s="277">
        <v>8</v>
      </c>
      <c r="U413" s="31">
        <v>776431.37</v>
      </c>
      <c r="V413" s="31">
        <v>1058234.68</v>
      </c>
      <c r="W413" s="31">
        <v>8154457.3300000001</v>
      </c>
      <c r="X413" s="31">
        <v>1504212.52</v>
      </c>
      <c r="Y413" s="31">
        <v>286261.62</v>
      </c>
      <c r="Z413" s="31">
        <v>995236.04</v>
      </c>
      <c r="AA413" s="31">
        <v>448074.17999999993</v>
      </c>
      <c r="AB413" s="31">
        <v>399034.79000000004</v>
      </c>
      <c r="AC413" s="31">
        <v>2065886.6099999996</v>
      </c>
      <c r="AD413" s="31">
        <v>1849665.169539988</v>
      </c>
      <c r="AE413" s="31">
        <v>313525.94</v>
      </c>
      <c r="AF413" s="31">
        <v>17851020.249539986</v>
      </c>
      <c r="AH413" s="276"/>
      <c r="AI413" s="276"/>
      <c r="AJ413" s="276"/>
      <c r="AK413" s="276"/>
      <c r="AL413" s="276"/>
      <c r="AM413" s="276"/>
      <c r="AN413" s="276"/>
      <c r="AO413" s="276"/>
      <c r="AP413" s="276"/>
      <c r="AQ413" s="276"/>
      <c r="AR413" s="276"/>
      <c r="AS413" s="276"/>
      <c r="AT413" s="276"/>
      <c r="AU413" s="276"/>
      <c r="AV413" s="276"/>
      <c r="AW413" s="394"/>
    </row>
    <row r="414" spans="1:49">
      <c r="A414" s="88">
        <v>770</v>
      </c>
      <c r="B414" s="88" t="s">
        <v>2102</v>
      </c>
      <c r="C414" s="31">
        <v>0</v>
      </c>
      <c r="D414" s="31">
        <v>0</v>
      </c>
      <c r="E414" s="31">
        <v>0</v>
      </c>
      <c r="F414" s="31">
        <v>0</v>
      </c>
      <c r="G414" s="31">
        <v>531</v>
      </c>
      <c r="H414" s="31">
        <v>723</v>
      </c>
      <c r="I414" s="31">
        <v>65</v>
      </c>
      <c r="J414" s="31">
        <v>13</v>
      </c>
      <c r="K414" s="31">
        <v>0</v>
      </c>
      <c r="L414" s="31">
        <v>0</v>
      </c>
      <c r="M414" s="31">
        <v>1</v>
      </c>
      <c r="N414" s="31">
        <v>376</v>
      </c>
      <c r="O414" s="31">
        <v>390</v>
      </c>
      <c r="P414" s="31">
        <v>0</v>
      </c>
      <c r="Q414" s="31">
        <v>1631</v>
      </c>
      <c r="R414" s="150">
        <v>1</v>
      </c>
      <c r="S414" s="277">
        <v>5</v>
      </c>
      <c r="U414" s="31">
        <v>798404.94000000006</v>
      </c>
      <c r="V414" s="31">
        <v>1084158.32</v>
      </c>
      <c r="W414" s="31">
        <v>8560907.75</v>
      </c>
      <c r="X414" s="31">
        <v>1323490.0600000003</v>
      </c>
      <c r="Y414" s="31">
        <v>293077.02</v>
      </c>
      <c r="Z414" s="31">
        <v>1232403.8700000001</v>
      </c>
      <c r="AA414" s="31">
        <v>563780.27999999991</v>
      </c>
      <c r="AB414" s="31">
        <v>662775.42999999993</v>
      </c>
      <c r="AC414" s="31">
        <v>2129676.0500000003</v>
      </c>
      <c r="AD414" s="31">
        <v>1830423.4548772841</v>
      </c>
      <c r="AE414" s="31">
        <v>313525.94</v>
      </c>
      <c r="AF414" s="31">
        <v>18792623.114877287</v>
      </c>
      <c r="AH414" s="276"/>
      <c r="AI414" s="276"/>
      <c r="AJ414" s="276"/>
      <c r="AK414" s="276"/>
      <c r="AL414" s="276"/>
      <c r="AM414" s="276"/>
      <c r="AN414" s="276"/>
      <c r="AO414" s="276"/>
      <c r="AP414" s="276"/>
      <c r="AQ414" s="276"/>
      <c r="AR414" s="276"/>
      <c r="AS414" s="276"/>
      <c r="AT414" s="276"/>
      <c r="AU414" s="276"/>
      <c r="AV414" s="276"/>
      <c r="AW414" s="394"/>
    </row>
    <row r="415" spans="1:49">
      <c r="A415" s="88">
        <v>773</v>
      </c>
      <c r="B415" s="88" t="s">
        <v>2103</v>
      </c>
      <c r="C415" s="31">
        <v>39</v>
      </c>
      <c r="D415" s="31">
        <v>151</v>
      </c>
      <c r="E415" s="31">
        <v>22</v>
      </c>
      <c r="F415" s="31">
        <v>914</v>
      </c>
      <c r="G415" s="31">
        <v>592</v>
      </c>
      <c r="H415" s="31">
        <v>752</v>
      </c>
      <c r="I415" s="31">
        <v>89</v>
      </c>
      <c r="J415" s="31">
        <v>24</v>
      </c>
      <c r="K415" s="31">
        <v>0</v>
      </c>
      <c r="L415" s="31">
        <v>1</v>
      </c>
      <c r="M415" s="31">
        <v>13</v>
      </c>
      <c r="N415" s="31">
        <v>0</v>
      </c>
      <c r="O415" s="31">
        <v>534</v>
      </c>
      <c r="P415" s="31">
        <v>0</v>
      </c>
      <c r="Q415" s="31">
        <v>2390</v>
      </c>
      <c r="R415" s="150">
        <v>1.032</v>
      </c>
      <c r="S415" s="277">
        <v>5</v>
      </c>
      <c r="U415" s="31">
        <v>1203417.6871200004</v>
      </c>
      <c r="V415" s="31">
        <v>1638491.5701600001</v>
      </c>
      <c r="W415" s="31">
        <v>10492262.946719997</v>
      </c>
      <c r="X415" s="31">
        <v>2267604.2707200004</v>
      </c>
      <c r="Y415" s="31">
        <v>383779.7781600001</v>
      </c>
      <c r="Z415" s="31">
        <v>1284152.01</v>
      </c>
      <c r="AA415" s="31">
        <v>707667.7355999999</v>
      </c>
      <c r="AB415" s="31">
        <v>656275.07472000015</v>
      </c>
      <c r="AC415" s="31">
        <v>2693162.7938400004</v>
      </c>
      <c r="AD415" s="31">
        <v>2471131.3250330957</v>
      </c>
      <c r="AE415" s="31">
        <v>578817.12</v>
      </c>
      <c r="AF415" s="31">
        <v>24376762.312073089</v>
      </c>
      <c r="AH415" s="276"/>
      <c r="AI415" s="276"/>
      <c r="AJ415" s="276"/>
      <c r="AK415" s="276"/>
      <c r="AL415" s="276"/>
      <c r="AM415" s="276"/>
      <c r="AN415" s="276"/>
      <c r="AO415" s="276"/>
      <c r="AP415" s="276"/>
      <c r="AQ415" s="276"/>
      <c r="AR415" s="276"/>
      <c r="AS415" s="276"/>
      <c r="AT415" s="276"/>
      <c r="AU415" s="276"/>
      <c r="AV415" s="276"/>
      <c r="AW415" s="394"/>
    </row>
    <row r="416" spans="1:49">
      <c r="A416" s="88">
        <v>774</v>
      </c>
      <c r="B416" s="88" t="s">
        <v>1675</v>
      </c>
      <c r="C416" s="31">
        <v>9</v>
      </c>
      <c r="D416" s="31">
        <v>0</v>
      </c>
      <c r="E416" s="31">
        <v>36</v>
      </c>
      <c r="F416" s="31">
        <v>210</v>
      </c>
      <c r="G416" s="31">
        <v>118</v>
      </c>
      <c r="H416" s="31">
        <v>0</v>
      </c>
      <c r="I416" s="31">
        <v>15</v>
      </c>
      <c r="J416" s="31">
        <v>4</v>
      </c>
      <c r="K416" s="31">
        <v>0</v>
      </c>
      <c r="L416" s="31">
        <v>0</v>
      </c>
      <c r="M416" s="31">
        <v>23</v>
      </c>
      <c r="N416" s="31">
        <v>0</v>
      </c>
      <c r="O416" s="31">
        <v>104</v>
      </c>
      <c r="P416" s="31">
        <v>0</v>
      </c>
      <c r="Q416" s="31">
        <v>392</v>
      </c>
      <c r="R416" s="150">
        <v>1</v>
      </c>
      <c r="S416" s="277">
        <v>6</v>
      </c>
      <c r="U416" s="31">
        <v>192350.60000000003</v>
      </c>
      <c r="V416" s="31">
        <v>260237.97000000003</v>
      </c>
      <c r="W416" s="31">
        <v>1638387.87</v>
      </c>
      <c r="X416" s="31">
        <v>394150.3</v>
      </c>
      <c r="Y416" s="31">
        <v>62661.829999999987</v>
      </c>
      <c r="Z416" s="31">
        <v>178004.07</v>
      </c>
      <c r="AA416" s="31">
        <v>97185.69</v>
      </c>
      <c r="AB416" s="31">
        <v>59920.33</v>
      </c>
      <c r="AC416" s="31">
        <v>439723.42000000004</v>
      </c>
      <c r="AD416" s="31">
        <v>423535.88148482447</v>
      </c>
      <c r="AE416" s="31">
        <v>96469.52</v>
      </c>
      <c r="AF416" s="31">
        <v>3842627.4814848243</v>
      </c>
      <c r="AH416" s="276"/>
      <c r="AI416" s="276"/>
      <c r="AJ416" s="276"/>
      <c r="AK416" s="276"/>
      <c r="AL416" s="276"/>
      <c r="AM416" s="276"/>
      <c r="AN416" s="276"/>
      <c r="AO416" s="276"/>
      <c r="AP416" s="276"/>
      <c r="AQ416" s="276"/>
      <c r="AR416" s="276"/>
      <c r="AS416" s="276"/>
      <c r="AT416" s="276"/>
      <c r="AU416" s="276"/>
      <c r="AV416" s="276"/>
      <c r="AW416" s="394"/>
    </row>
    <row r="417" spans="1:49">
      <c r="A417" s="88">
        <v>775</v>
      </c>
      <c r="B417" s="88" t="s">
        <v>2104</v>
      </c>
      <c r="C417" s="31">
        <v>71</v>
      </c>
      <c r="D417" s="31">
        <v>358</v>
      </c>
      <c r="E417" s="31">
        <v>80</v>
      </c>
      <c r="F417" s="31">
        <v>2659</v>
      </c>
      <c r="G417" s="31">
        <v>1791</v>
      </c>
      <c r="H417" s="31">
        <v>2199</v>
      </c>
      <c r="I417" s="31">
        <v>264</v>
      </c>
      <c r="J417" s="31">
        <v>70</v>
      </c>
      <c r="K417" s="31">
        <v>0</v>
      </c>
      <c r="L417" s="31">
        <v>18</v>
      </c>
      <c r="M417" s="31">
        <v>113</v>
      </c>
      <c r="N417" s="31">
        <v>0</v>
      </c>
      <c r="O417" s="31">
        <v>838</v>
      </c>
      <c r="P417" s="31">
        <v>0</v>
      </c>
      <c r="Q417" s="31">
        <v>7066</v>
      </c>
      <c r="R417" s="150">
        <v>1</v>
      </c>
      <c r="S417" s="277">
        <v>2</v>
      </c>
      <c r="U417" s="31">
        <v>3448801.3700000006</v>
      </c>
      <c r="V417" s="31">
        <v>4696583.6300000008</v>
      </c>
      <c r="W417" s="31">
        <v>27781823.599999994</v>
      </c>
      <c r="X417" s="31">
        <v>6491947.4900000002</v>
      </c>
      <c r="Y417" s="31">
        <v>1051544.97</v>
      </c>
      <c r="Z417" s="31">
        <v>3792193.7399999998</v>
      </c>
      <c r="AA417" s="31">
        <v>2033630.97</v>
      </c>
      <c r="AB417" s="31">
        <v>1877423.24</v>
      </c>
      <c r="AC417" s="31">
        <v>7379173.4200000009</v>
      </c>
      <c r="AD417" s="31">
        <v>7084567.7485819003</v>
      </c>
      <c r="AE417" s="31">
        <v>1688216.6</v>
      </c>
      <c r="AF417" s="31">
        <v>67325906.778581902</v>
      </c>
      <c r="AH417" s="276"/>
      <c r="AI417" s="276"/>
      <c r="AJ417" s="276"/>
      <c r="AK417" s="276"/>
      <c r="AL417" s="276"/>
      <c r="AM417" s="276"/>
      <c r="AN417" s="276"/>
      <c r="AO417" s="276"/>
      <c r="AP417" s="276"/>
      <c r="AQ417" s="276"/>
      <c r="AR417" s="276"/>
      <c r="AS417" s="276"/>
      <c r="AT417" s="276"/>
      <c r="AU417" s="276"/>
      <c r="AV417" s="276"/>
      <c r="AW417" s="394"/>
    </row>
    <row r="418" spans="1:49">
      <c r="A418" s="88">
        <v>778</v>
      </c>
      <c r="B418" s="88" t="s">
        <v>1677</v>
      </c>
      <c r="C418" s="31">
        <v>60</v>
      </c>
      <c r="D418" s="31">
        <v>0</v>
      </c>
      <c r="E418" s="31">
        <v>77</v>
      </c>
      <c r="F418" s="31">
        <v>458</v>
      </c>
      <c r="G418" s="31">
        <v>357</v>
      </c>
      <c r="H418" s="31">
        <v>353</v>
      </c>
      <c r="I418" s="31">
        <v>48</v>
      </c>
      <c r="J418" s="31">
        <v>13</v>
      </c>
      <c r="K418" s="31">
        <v>2</v>
      </c>
      <c r="L418" s="31">
        <v>0</v>
      </c>
      <c r="M418" s="31">
        <v>31</v>
      </c>
      <c r="N418" s="31">
        <v>0</v>
      </c>
      <c r="O418" s="31">
        <v>579</v>
      </c>
      <c r="P418" s="31">
        <v>0</v>
      </c>
      <c r="Q418" s="31">
        <v>1307</v>
      </c>
      <c r="R418" s="150">
        <v>1</v>
      </c>
      <c r="S418" s="277">
        <v>9</v>
      </c>
      <c r="U418" s="31">
        <v>635978.06999999995</v>
      </c>
      <c r="V418" s="31">
        <v>868789.66</v>
      </c>
      <c r="W418" s="31">
        <v>6497115.7999999998</v>
      </c>
      <c r="X418" s="31">
        <v>1204106.6000000001</v>
      </c>
      <c r="Y418" s="31">
        <v>225496.39999999997</v>
      </c>
      <c r="Z418" s="31">
        <v>686962.62000000011</v>
      </c>
      <c r="AA418" s="31">
        <v>370793.13</v>
      </c>
      <c r="AB418" s="31">
        <v>327438.73000000004</v>
      </c>
      <c r="AC418" s="31">
        <v>1582433.5800000003</v>
      </c>
      <c r="AD418" s="31">
        <v>1455650.1803922681</v>
      </c>
      <c r="AE418" s="31">
        <v>313525.94</v>
      </c>
      <c r="AF418" s="31">
        <v>14168290.710392268</v>
      </c>
      <c r="AH418" s="276"/>
      <c r="AI418" s="276"/>
      <c r="AJ418" s="276"/>
      <c r="AK418" s="276"/>
      <c r="AL418" s="276"/>
      <c r="AM418" s="276"/>
      <c r="AN418" s="276"/>
      <c r="AO418" s="276"/>
      <c r="AP418" s="276"/>
      <c r="AQ418" s="276"/>
      <c r="AR418" s="276"/>
      <c r="AS418" s="276"/>
      <c r="AT418" s="276"/>
      <c r="AU418" s="276"/>
      <c r="AV418" s="276"/>
      <c r="AW418" s="394"/>
    </row>
    <row r="419" spans="1:49">
      <c r="A419" s="88">
        <v>780</v>
      </c>
      <c r="B419" s="88" t="s">
        <v>2105</v>
      </c>
      <c r="C419" s="31">
        <v>114</v>
      </c>
      <c r="D419" s="31">
        <v>246</v>
      </c>
      <c r="E419" s="31">
        <v>10</v>
      </c>
      <c r="F419" s="31">
        <v>1468</v>
      </c>
      <c r="G419" s="31">
        <v>1013</v>
      </c>
      <c r="H419" s="31">
        <v>1164</v>
      </c>
      <c r="I419" s="31">
        <v>143</v>
      </c>
      <c r="J419" s="31">
        <v>38</v>
      </c>
      <c r="K419" s="31">
        <v>0</v>
      </c>
      <c r="L419" s="31">
        <v>2</v>
      </c>
      <c r="M419" s="31">
        <v>24</v>
      </c>
      <c r="N419" s="31">
        <v>0</v>
      </c>
      <c r="O419" s="31">
        <v>855</v>
      </c>
      <c r="P419" s="31">
        <v>0</v>
      </c>
      <c r="Q419" s="31">
        <v>3860</v>
      </c>
      <c r="R419" s="150">
        <v>1</v>
      </c>
      <c r="S419" s="277">
        <v>5</v>
      </c>
      <c r="U419" s="31">
        <v>1880405.19</v>
      </c>
      <c r="V419" s="31">
        <v>2565822.8200000003</v>
      </c>
      <c r="W419" s="31">
        <v>16337050.229999999</v>
      </c>
      <c r="X419" s="31">
        <v>3547700.1700000004</v>
      </c>
      <c r="Y419" s="31">
        <v>600491.92000000004</v>
      </c>
      <c r="Z419" s="31">
        <v>2061419.1700000002</v>
      </c>
      <c r="AA419" s="31">
        <v>1104944.2499999998</v>
      </c>
      <c r="AB419" s="31">
        <v>1013601.28</v>
      </c>
      <c r="AC419" s="31">
        <v>4213944.2700000005</v>
      </c>
      <c r="AD419" s="31">
        <v>3991764.1125144749</v>
      </c>
      <c r="AE419" s="31">
        <v>916460.44000000006</v>
      </c>
      <c r="AF419" s="31">
        <v>38233603.852514476</v>
      </c>
      <c r="AH419" s="276"/>
      <c r="AI419" s="276"/>
      <c r="AJ419" s="276"/>
      <c r="AK419" s="276"/>
      <c r="AL419" s="276"/>
      <c r="AM419" s="276"/>
      <c r="AN419" s="276"/>
      <c r="AO419" s="276"/>
      <c r="AP419" s="276"/>
      <c r="AQ419" s="276"/>
      <c r="AR419" s="276"/>
      <c r="AS419" s="276"/>
      <c r="AT419" s="276"/>
      <c r="AU419" s="276"/>
      <c r="AV419" s="276"/>
      <c r="AW419" s="394"/>
    </row>
    <row r="420" spans="1:49">
      <c r="A420" s="88">
        <v>801</v>
      </c>
      <c r="B420" s="88" t="s">
        <v>2106</v>
      </c>
      <c r="C420" s="31">
        <v>0</v>
      </c>
      <c r="D420" s="31">
        <v>0</v>
      </c>
      <c r="E420" s="31">
        <v>0</v>
      </c>
      <c r="F420" s="31">
        <v>0</v>
      </c>
      <c r="G420" s="31">
        <v>0</v>
      </c>
      <c r="H420" s="31">
        <v>0</v>
      </c>
      <c r="I420" s="31">
        <v>38</v>
      </c>
      <c r="J420" s="31">
        <v>0</v>
      </c>
      <c r="K420" s="31">
        <v>0</v>
      </c>
      <c r="L420" s="31">
        <v>0</v>
      </c>
      <c r="M420" s="31">
        <v>0</v>
      </c>
      <c r="N420" s="31">
        <v>799</v>
      </c>
      <c r="O420" s="31">
        <v>298</v>
      </c>
      <c r="P420" s="31">
        <v>0</v>
      </c>
      <c r="Q420" s="31">
        <v>799</v>
      </c>
      <c r="R420" s="150">
        <v>1.0529999999999999</v>
      </c>
      <c r="S420" s="277">
        <v>8</v>
      </c>
      <c r="U420" s="31">
        <v>411290.91198000003</v>
      </c>
      <c r="V420" s="31">
        <v>559260.17784000002</v>
      </c>
      <c r="W420" s="31">
        <v>6983770.1169599993</v>
      </c>
      <c r="X420" s="31">
        <v>707304.60684000002</v>
      </c>
      <c r="Y420" s="31">
        <v>214690.99976999999</v>
      </c>
      <c r="Z420" s="31">
        <v>1000351.74</v>
      </c>
      <c r="AA420" s="31">
        <v>311365.69775999995</v>
      </c>
      <c r="AB420" s="31">
        <v>419411.47949999996</v>
      </c>
      <c r="AC420" s="31">
        <v>1669947.2033399998</v>
      </c>
      <c r="AD420" s="31">
        <v>1206064.1882152215</v>
      </c>
      <c r="AE420" s="31">
        <v>0</v>
      </c>
      <c r="AF420" s="31">
        <v>13483457.122205222</v>
      </c>
      <c r="AH420" s="276"/>
      <c r="AI420" s="276"/>
      <c r="AJ420" s="276"/>
      <c r="AK420" s="276"/>
      <c r="AL420" s="276"/>
      <c r="AM420" s="276"/>
      <c r="AN420" s="276"/>
      <c r="AO420" s="276"/>
      <c r="AP420" s="276"/>
      <c r="AQ420" s="276"/>
      <c r="AR420" s="276"/>
      <c r="AS420" s="276"/>
      <c r="AT420" s="276"/>
      <c r="AU420" s="276"/>
      <c r="AV420" s="276"/>
      <c r="AW420" s="394"/>
    </row>
    <row r="421" spans="1:49">
      <c r="A421" s="88">
        <v>805</v>
      </c>
      <c r="B421" s="88" t="s">
        <v>2107</v>
      </c>
      <c r="C421" s="31">
        <v>0</v>
      </c>
      <c r="D421" s="31">
        <v>0</v>
      </c>
      <c r="E421" s="31">
        <v>0</v>
      </c>
      <c r="F421" s="31">
        <v>0</v>
      </c>
      <c r="G421" s="31">
        <v>0</v>
      </c>
      <c r="H421" s="31">
        <v>0</v>
      </c>
      <c r="I421" s="31">
        <v>58</v>
      </c>
      <c r="J421" s="31">
        <v>0</v>
      </c>
      <c r="K421" s="31">
        <v>0</v>
      </c>
      <c r="L421" s="31">
        <v>0</v>
      </c>
      <c r="M421" s="31">
        <v>0</v>
      </c>
      <c r="N421" s="31">
        <v>1227</v>
      </c>
      <c r="O421" s="31">
        <v>150</v>
      </c>
      <c r="P421" s="31">
        <v>0</v>
      </c>
      <c r="Q421" s="31">
        <v>1227</v>
      </c>
      <c r="R421" s="150">
        <v>1</v>
      </c>
      <c r="S421" s="277">
        <v>2</v>
      </c>
      <c r="U421" s="31">
        <v>598913.78</v>
      </c>
      <c r="V421" s="31">
        <v>815611.44000000006</v>
      </c>
      <c r="W421" s="31">
        <v>9166549.8000000007</v>
      </c>
      <c r="X421" s="31">
        <v>1028734.1200000001</v>
      </c>
      <c r="Y421" s="31">
        <v>290607.69</v>
      </c>
      <c r="Z421" s="31">
        <v>1536084.3</v>
      </c>
      <c r="AA421" s="31">
        <v>454088.16</v>
      </c>
      <c r="AB421" s="31">
        <v>611659.5</v>
      </c>
      <c r="AC421" s="31">
        <v>2277576.46</v>
      </c>
      <c r="AD421" s="31">
        <v>1747869.3501595338</v>
      </c>
      <c r="AE421" s="31">
        <v>0</v>
      </c>
      <c r="AF421" s="31">
        <v>18527694.600159533</v>
      </c>
      <c r="AH421" s="276"/>
      <c r="AI421" s="276"/>
      <c r="AJ421" s="276"/>
      <c r="AK421" s="276"/>
      <c r="AL421" s="276"/>
      <c r="AM421" s="276"/>
      <c r="AN421" s="276"/>
      <c r="AO421" s="276"/>
      <c r="AP421" s="276"/>
      <c r="AQ421" s="276"/>
      <c r="AR421" s="276"/>
      <c r="AS421" s="276"/>
      <c r="AT421" s="276"/>
      <c r="AU421" s="276"/>
      <c r="AV421" s="276"/>
      <c r="AW421" s="394"/>
    </row>
    <row r="422" spans="1:49">
      <c r="A422" s="88">
        <v>806</v>
      </c>
      <c r="B422" s="88" t="s">
        <v>2108</v>
      </c>
      <c r="C422" s="31">
        <v>0</v>
      </c>
      <c r="D422" s="31">
        <v>0</v>
      </c>
      <c r="E422" s="31">
        <v>0</v>
      </c>
      <c r="F422" s="31">
        <v>0</v>
      </c>
      <c r="G422" s="31">
        <v>0</v>
      </c>
      <c r="H422" s="31">
        <v>0</v>
      </c>
      <c r="I422" s="31">
        <v>42</v>
      </c>
      <c r="J422" s="31">
        <v>0</v>
      </c>
      <c r="K422" s="31">
        <v>0</v>
      </c>
      <c r="L422" s="31">
        <v>0</v>
      </c>
      <c r="M422" s="31">
        <v>0</v>
      </c>
      <c r="N422" s="31">
        <v>881</v>
      </c>
      <c r="O422" s="31">
        <v>226</v>
      </c>
      <c r="P422" s="31">
        <v>0</v>
      </c>
      <c r="Q422" s="31">
        <v>881</v>
      </c>
      <c r="R422" s="150">
        <v>1.0620000000000001</v>
      </c>
      <c r="S422" s="277">
        <v>6</v>
      </c>
      <c r="U422" s="31">
        <v>457647.17148000002</v>
      </c>
      <c r="V422" s="31">
        <v>621926.65584000014</v>
      </c>
      <c r="W422" s="31">
        <v>7402503.0978000006</v>
      </c>
      <c r="X422" s="31">
        <v>787391.99063999997</v>
      </c>
      <c r="Y422" s="31">
        <v>230762.13930000001</v>
      </c>
      <c r="Z422" s="31">
        <v>1103051.46</v>
      </c>
      <c r="AA422" s="31">
        <v>346254.98976000003</v>
      </c>
      <c r="AB422" s="31">
        <v>466407.56700000004</v>
      </c>
      <c r="AC422" s="31">
        <v>1801042.9325999999</v>
      </c>
      <c r="AD422" s="31">
        <v>1295308.3325671616</v>
      </c>
      <c r="AE422" s="31">
        <v>0</v>
      </c>
      <c r="AF422" s="31">
        <v>14512296.336987162</v>
      </c>
      <c r="AH422" s="276"/>
      <c r="AI422" s="276"/>
      <c r="AJ422" s="276"/>
      <c r="AK422" s="276"/>
      <c r="AL422" s="276"/>
      <c r="AM422" s="276"/>
      <c r="AN422" s="276"/>
      <c r="AO422" s="276"/>
      <c r="AP422" s="276"/>
      <c r="AQ422" s="276"/>
      <c r="AR422" s="276"/>
      <c r="AS422" s="276"/>
      <c r="AT422" s="276"/>
      <c r="AU422" s="276"/>
      <c r="AV422" s="276"/>
      <c r="AW422" s="394"/>
    </row>
    <row r="423" spans="1:49">
      <c r="A423" s="88">
        <v>810</v>
      </c>
      <c r="B423" s="88" t="s">
        <v>2109</v>
      </c>
      <c r="C423" s="31">
        <v>0</v>
      </c>
      <c r="D423" s="31">
        <v>0</v>
      </c>
      <c r="E423" s="31">
        <v>0</v>
      </c>
      <c r="F423" s="31">
        <v>0</v>
      </c>
      <c r="G423" s="31">
        <v>0</v>
      </c>
      <c r="H423" s="31">
        <v>0</v>
      </c>
      <c r="I423" s="31">
        <v>64</v>
      </c>
      <c r="J423" s="31">
        <v>0</v>
      </c>
      <c r="K423" s="31">
        <v>0</v>
      </c>
      <c r="L423" s="31">
        <v>0</v>
      </c>
      <c r="M423" s="31">
        <v>0</v>
      </c>
      <c r="N423" s="31">
        <v>1341</v>
      </c>
      <c r="O423" s="31">
        <v>393</v>
      </c>
      <c r="P423" s="31">
        <v>0</v>
      </c>
      <c r="Q423" s="31">
        <v>1341</v>
      </c>
      <c r="R423" s="150">
        <v>1</v>
      </c>
      <c r="S423" s="277">
        <v>6</v>
      </c>
      <c r="U423" s="31">
        <v>656111.24</v>
      </c>
      <c r="V423" s="31">
        <v>891389.52</v>
      </c>
      <c r="W423" s="31">
        <v>10764479.25</v>
      </c>
      <c r="X423" s="31">
        <v>1129096.96</v>
      </c>
      <c r="Y423" s="31">
        <v>334164.30000000005</v>
      </c>
      <c r="Z423" s="31">
        <v>1679016.9</v>
      </c>
      <c r="AA423" s="31">
        <v>496277.27999999997</v>
      </c>
      <c r="AB423" s="31">
        <v>668488.5</v>
      </c>
      <c r="AC423" s="31">
        <v>2605381.21</v>
      </c>
      <c r="AD423" s="31">
        <v>1987506.266595138</v>
      </c>
      <c r="AE423" s="31">
        <v>0</v>
      </c>
      <c r="AF423" s="31">
        <v>21211911.426595137</v>
      </c>
      <c r="AH423" s="276"/>
      <c r="AI423" s="276"/>
      <c r="AJ423" s="276"/>
      <c r="AK423" s="276"/>
      <c r="AL423" s="276"/>
      <c r="AM423" s="276"/>
      <c r="AN423" s="276"/>
      <c r="AO423" s="276"/>
      <c r="AP423" s="276"/>
      <c r="AQ423" s="276"/>
      <c r="AR423" s="276"/>
      <c r="AS423" s="276"/>
      <c r="AT423" s="276"/>
      <c r="AU423" s="276"/>
      <c r="AV423" s="276"/>
      <c r="AW423" s="394"/>
    </row>
    <row r="424" spans="1:49">
      <c r="A424" s="88">
        <v>815</v>
      </c>
      <c r="B424" s="88" t="s">
        <v>2110</v>
      </c>
      <c r="C424" s="31">
        <v>0</v>
      </c>
      <c r="D424" s="31">
        <v>0</v>
      </c>
      <c r="E424" s="31">
        <v>0</v>
      </c>
      <c r="F424" s="31">
        <v>0</v>
      </c>
      <c r="G424" s="31">
        <v>0</v>
      </c>
      <c r="H424" s="31">
        <v>0</v>
      </c>
      <c r="I424" s="31">
        <v>30</v>
      </c>
      <c r="J424" s="31">
        <v>0</v>
      </c>
      <c r="K424" s="31">
        <v>0</v>
      </c>
      <c r="L424" s="31">
        <v>0</v>
      </c>
      <c r="M424" s="31">
        <v>0</v>
      </c>
      <c r="N424" s="31">
        <v>623</v>
      </c>
      <c r="O424" s="31">
        <v>263</v>
      </c>
      <c r="P424" s="31">
        <v>0</v>
      </c>
      <c r="Q424" s="31">
        <v>623</v>
      </c>
      <c r="R424" s="150">
        <v>1</v>
      </c>
      <c r="S424" s="277">
        <v>9</v>
      </c>
      <c r="U424" s="31">
        <v>305493.42000000004</v>
      </c>
      <c r="V424" s="31">
        <v>414120.56</v>
      </c>
      <c r="W424" s="31">
        <v>5281073.07</v>
      </c>
      <c r="X424" s="31">
        <v>526643.64</v>
      </c>
      <c r="Y424" s="31">
        <v>161469.13</v>
      </c>
      <c r="Z424" s="31">
        <v>780129.66</v>
      </c>
      <c r="AA424" s="31">
        <v>230559.84</v>
      </c>
      <c r="AB424" s="31">
        <v>310565.5</v>
      </c>
      <c r="AC424" s="31">
        <v>1254081.3399999999</v>
      </c>
      <c r="AD424" s="31">
        <v>952439.8393882669</v>
      </c>
      <c r="AE424" s="31">
        <v>0</v>
      </c>
      <c r="AF424" s="31">
        <v>10216575.999388266</v>
      </c>
      <c r="AH424" s="276"/>
      <c r="AI424" s="276"/>
      <c r="AJ424" s="276"/>
      <c r="AK424" s="276"/>
      <c r="AL424" s="276"/>
      <c r="AM424" s="276"/>
      <c r="AN424" s="276"/>
      <c r="AO424" s="276"/>
      <c r="AP424" s="276"/>
      <c r="AQ424" s="276"/>
      <c r="AR424" s="276"/>
      <c r="AS424" s="276"/>
      <c r="AT424" s="276"/>
      <c r="AU424" s="276"/>
      <c r="AV424" s="276"/>
      <c r="AW424" s="394"/>
    </row>
    <row r="425" spans="1:49">
      <c r="A425" s="88">
        <v>817</v>
      </c>
      <c r="B425" s="88" t="s">
        <v>1684</v>
      </c>
      <c r="C425" s="31">
        <v>0</v>
      </c>
      <c r="D425" s="31">
        <v>0</v>
      </c>
      <c r="E425" s="31">
        <v>0</v>
      </c>
      <c r="F425" s="31">
        <v>0</v>
      </c>
      <c r="G425" s="31">
        <v>0</v>
      </c>
      <c r="H425" s="31">
        <v>0</v>
      </c>
      <c r="I425" s="31">
        <v>48</v>
      </c>
      <c r="J425" s="31">
        <v>0</v>
      </c>
      <c r="K425" s="31">
        <v>0</v>
      </c>
      <c r="L425" s="31">
        <v>0</v>
      </c>
      <c r="M425" s="31">
        <v>0</v>
      </c>
      <c r="N425" s="31">
        <v>1014</v>
      </c>
      <c r="O425" s="31">
        <v>319</v>
      </c>
      <c r="P425" s="31">
        <v>0</v>
      </c>
      <c r="Q425" s="31">
        <v>1014</v>
      </c>
      <c r="R425" s="150">
        <v>1</v>
      </c>
      <c r="S425" s="277">
        <v>7</v>
      </c>
      <c r="U425" s="31">
        <v>495119.76</v>
      </c>
      <c r="V425" s="31">
        <v>674026.08000000007</v>
      </c>
      <c r="W425" s="31">
        <v>8215038.0099999998</v>
      </c>
      <c r="X425" s="31">
        <v>850687.68</v>
      </c>
      <c r="Y425" s="31">
        <v>254254.15000000002</v>
      </c>
      <c r="Z425" s="31">
        <v>1269453.24</v>
      </c>
      <c r="AA425" s="31">
        <v>375261.12</v>
      </c>
      <c r="AB425" s="31">
        <v>505479</v>
      </c>
      <c r="AC425" s="31">
        <v>1981114.55</v>
      </c>
      <c r="AD425" s="31">
        <v>1509555.8225309674</v>
      </c>
      <c r="AE425" s="31">
        <v>0</v>
      </c>
      <c r="AF425" s="31">
        <v>16129989.412530968</v>
      </c>
      <c r="AH425" s="276"/>
      <c r="AI425" s="276"/>
      <c r="AJ425" s="276"/>
      <c r="AK425" s="276"/>
      <c r="AL425" s="276"/>
      <c r="AM425" s="276"/>
      <c r="AN425" s="276"/>
      <c r="AO425" s="276"/>
      <c r="AP425" s="276"/>
      <c r="AQ425" s="276"/>
      <c r="AR425" s="276"/>
      <c r="AS425" s="276"/>
      <c r="AT425" s="276"/>
      <c r="AU425" s="276"/>
      <c r="AV425" s="276"/>
      <c r="AW425" s="394"/>
    </row>
    <row r="426" spans="1:49">
      <c r="A426" s="88">
        <v>818</v>
      </c>
      <c r="B426" s="88" t="s">
        <v>2111</v>
      </c>
      <c r="C426" s="31">
        <v>0</v>
      </c>
      <c r="D426" s="31">
        <v>0</v>
      </c>
      <c r="E426" s="31">
        <v>0</v>
      </c>
      <c r="F426" s="31">
        <v>0</v>
      </c>
      <c r="G426" s="31">
        <v>0</v>
      </c>
      <c r="H426" s="31">
        <v>0</v>
      </c>
      <c r="I426" s="31">
        <v>21</v>
      </c>
      <c r="J426" s="31">
        <v>0</v>
      </c>
      <c r="K426" s="31">
        <v>0</v>
      </c>
      <c r="L426" s="31">
        <v>0</v>
      </c>
      <c r="M426" s="31">
        <v>0</v>
      </c>
      <c r="N426" s="31">
        <v>437</v>
      </c>
      <c r="O426" s="31">
        <v>203</v>
      </c>
      <c r="P426" s="31">
        <v>0</v>
      </c>
      <c r="Q426" s="31">
        <v>437</v>
      </c>
      <c r="R426" s="150">
        <v>1</v>
      </c>
      <c r="S426" s="277">
        <v>9</v>
      </c>
      <c r="U426" s="31">
        <v>214176.63</v>
      </c>
      <c r="V426" s="31">
        <v>290482.64</v>
      </c>
      <c r="W426" s="31">
        <v>3764020.02</v>
      </c>
      <c r="X426" s="31">
        <v>369072.18000000005</v>
      </c>
      <c r="Y426" s="31">
        <v>114564.61</v>
      </c>
      <c r="Z426" s="31">
        <v>547202.46</v>
      </c>
      <c r="AA426" s="31">
        <v>161724.96</v>
      </c>
      <c r="AB426" s="31">
        <v>217844.5</v>
      </c>
      <c r="AC426" s="31">
        <v>888812.71</v>
      </c>
      <c r="AD426" s="31">
        <v>674032.14458101743</v>
      </c>
      <c r="AE426" s="31">
        <v>0</v>
      </c>
      <c r="AF426" s="31">
        <v>7241932.854581017</v>
      </c>
      <c r="AH426" s="276"/>
      <c r="AI426" s="276"/>
      <c r="AJ426" s="276"/>
      <c r="AK426" s="276"/>
      <c r="AL426" s="276"/>
      <c r="AM426" s="276"/>
      <c r="AN426" s="276"/>
      <c r="AO426" s="276"/>
      <c r="AP426" s="276"/>
      <c r="AQ426" s="276"/>
      <c r="AR426" s="276"/>
      <c r="AS426" s="276"/>
      <c r="AT426" s="276"/>
      <c r="AU426" s="276"/>
      <c r="AV426" s="276"/>
      <c r="AW426" s="394"/>
    </row>
    <row r="427" spans="1:49">
      <c r="A427" s="88">
        <v>821</v>
      </c>
      <c r="B427" s="88" t="s">
        <v>2112</v>
      </c>
      <c r="C427" s="31">
        <v>0</v>
      </c>
      <c r="D427" s="31">
        <v>0</v>
      </c>
      <c r="E427" s="31">
        <v>0</v>
      </c>
      <c r="F427" s="31">
        <v>0</v>
      </c>
      <c r="G427" s="31">
        <v>0</v>
      </c>
      <c r="H427" s="31">
        <v>14</v>
      </c>
      <c r="I427" s="31">
        <v>69</v>
      </c>
      <c r="J427" s="31">
        <v>0</v>
      </c>
      <c r="K427" s="31">
        <v>0</v>
      </c>
      <c r="L427" s="31">
        <v>0</v>
      </c>
      <c r="M427" s="31">
        <v>0</v>
      </c>
      <c r="N427" s="31">
        <v>1433</v>
      </c>
      <c r="O427" s="31">
        <v>561</v>
      </c>
      <c r="P427" s="31">
        <v>0</v>
      </c>
      <c r="Q427" s="31">
        <v>1447</v>
      </c>
      <c r="R427" s="150">
        <v>1</v>
      </c>
      <c r="S427" s="277">
        <v>9</v>
      </c>
      <c r="U427" s="31">
        <v>707824.2300000001</v>
      </c>
      <c r="V427" s="31">
        <v>961849.84</v>
      </c>
      <c r="W427" s="31">
        <v>12060128.899999999</v>
      </c>
      <c r="X427" s="31">
        <v>1217885.94</v>
      </c>
      <c r="Y427" s="31">
        <v>370044.81</v>
      </c>
      <c r="Z427" s="31">
        <v>1804303.64</v>
      </c>
      <c r="AA427" s="31">
        <v>535505.76</v>
      </c>
      <c r="AB427" s="31">
        <v>721329.5</v>
      </c>
      <c r="AC427" s="31">
        <v>2875042.71</v>
      </c>
      <c r="AD427" s="31">
        <v>2187439.8798925956</v>
      </c>
      <c r="AE427" s="31">
        <v>0</v>
      </c>
      <c r="AF427" s="31">
        <v>23441355.209892597</v>
      </c>
      <c r="AH427" s="276"/>
      <c r="AI427" s="276"/>
      <c r="AJ427" s="276"/>
      <c r="AK427" s="276"/>
      <c r="AL427" s="276"/>
      <c r="AM427" s="276"/>
      <c r="AN427" s="276"/>
      <c r="AO427" s="276"/>
      <c r="AP427" s="276"/>
      <c r="AQ427" s="276"/>
      <c r="AR427" s="276"/>
      <c r="AS427" s="276"/>
      <c r="AT427" s="276"/>
      <c r="AU427" s="276"/>
      <c r="AV427" s="276"/>
      <c r="AW427" s="394"/>
    </row>
    <row r="428" spans="1:49">
      <c r="A428" s="88">
        <v>823</v>
      </c>
      <c r="B428" s="88" t="s">
        <v>2113</v>
      </c>
      <c r="C428" s="31">
        <v>0</v>
      </c>
      <c r="D428" s="31">
        <v>0</v>
      </c>
      <c r="E428" s="31">
        <v>0</v>
      </c>
      <c r="F428" s="31">
        <v>0</v>
      </c>
      <c r="G428" s="31">
        <v>0</v>
      </c>
      <c r="H428" s="31">
        <v>0</v>
      </c>
      <c r="I428" s="31">
        <v>74</v>
      </c>
      <c r="J428" s="31">
        <v>0</v>
      </c>
      <c r="K428" s="31">
        <v>0</v>
      </c>
      <c r="L428" s="31">
        <v>0</v>
      </c>
      <c r="M428" s="31">
        <v>0</v>
      </c>
      <c r="N428" s="31">
        <v>1555</v>
      </c>
      <c r="O428" s="31">
        <v>884</v>
      </c>
      <c r="P428" s="31">
        <v>0</v>
      </c>
      <c r="Q428" s="31">
        <v>1555</v>
      </c>
      <c r="R428" s="150">
        <v>1.079</v>
      </c>
      <c r="S428" s="277">
        <v>10</v>
      </c>
      <c r="U428" s="31">
        <v>820334.89069999999</v>
      </c>
      <c r="V428" s="31">
        <v>1115297.1284</v>
      </c>
      <c r="W428" s="31">
        <v>15040559.470039999</v>
      </c>
      <c r="X428" s="31">
        <v>1410913.2185199999</v>
      </c>
      <c r="Y428" s="31">
        <v>452654.21409000002</v>
      </c>
      <c r="Z428" s="31">
        <v>1946883.1800000002</v>
      </c>
      <c r="AA428" s="31">
        <v>620936.87760000001</v>
      </c>
      <c r="AB428" s="31">
        <v>836405.73249999993</v>
      </c>
      <c r="AC428" s="31">
        <v>3502285.0548399999</v>
      </c>
      <c r="AD428" s="31">
        <v>2452069.5075672939</v>
      </c>
      <c r="AE428" s="31">
        <v>0</v>
      </c>
      <c r="AF428" s="31">
        <v>28198339.274257295</v>
      </c>
      <c r="AH428" s="276"/>
      <c r="AI428" s="276"/>
      <c r="AJ428" s="276"/>
      <c r="AK428" s="276"/>
      <c r="AL428" s="276"/>
      <c r="AM428" s="276"/>
      <c r="AN428" s="276"/>
      <c r="AO428" s="276"/>
      <c r="AP428" s="276"/>
      <c r="AQ428" s="276"/>
      <c r="AR428" s="276"/>
      <c r="AS428" s="276"/>
      <c r="AT428" s="276"/>
      <c r="AU428" s="276"/>
      <c r="AV428" s="276"/>
      <c r="AW428" s="394"/>
    </row>
    <row r="429" spans="1:49">
      <c r="A429" s="88">
        <v>825</v>
      </c>
      <c r="B429" s="88" t="s">
        <v>2114</v>
      </c>
      <c r="C429" s="31">
        <v>0</v>
      </c>
      <c r="D429" s="31">
        <v>0</v>
      </c>
      <c r="E429" s="31">
        <v>0</v>
      </c>
      <c r="F429" s="31">
        <v>0</v>
      </c>
      <c r="G429" s="31">
        <v>0</v>
      </c>
      <c r="H429" s="31">
        <v>0</v>
      </c>
      <c r="I429" s="31">
        <v>102</v>
      </c>
      <c r="J429" s="31">
        <v>0</v>
      </c>
      <c r="K429" s="31">
        <v>0</v>
      </c>
      <c r="L429" s="31">
        <v>0</v>
      </c>
      <c r="M429" s="31">
        <v>0</v>
      </c>
      <c r="N429" s="31">
        <v>2157</v>
      </c>
      <c r="O429" s="31">
        <v>913</v>
      </c>
      <c r="P429" s="31">
        <v>0</v>
      </c>
      <c r="Q429" s="31">
        <v>2157</v>
      </c>
      <c r="R429" s="150">
        <v>1</v>
      </c>
      <c r="S429" s="277">
        <v>9</v>
      </c>
      <c r="U429" s="31">
        <v>1052957.58</v>
      </c>
      <c r="V429" s="31">
        <v>1433801.04</v>
      </c>
      <c r="W429" s="31">
        <v>18276731.77</v>
      </c>
      <c r="X429" s="31">
        <v>1808765.4</v>
      </c>
      <c r="Y429" s="31">
        <v>558468.35</v>
      </c>
      <c r="Z429" s="31">
        <v>2700367.38</v>
      </c>
      <c r="AA429" s="31">
        <v>798262.55999999994</v>
      </c>
      <c r="AB429" s="31">
        <v>1075264.5</v>
      </c>
      <c r="AC429" s="31">
        <v>4337889.58</v>
      </c>
      <c r="AD429" s="31">
        <v>3292263.8316513817</v>
      </c>
      <c r="AE429" s="31">
        <v>0</v>
      </c>
      <c r="AF429" s="31">
        <v>35334771.991651379</v>
      </c>
      <c r="AH429" s="276"/>
      <c r="AI429" s="276"/>
      <c r="AJ429" s="276"/>
      <c r="AK429" s="276"/>
      <c r="AL429" s="276"/>
      <c r="AM429" s="276"/>
      <c r="AN429" s="276"/>
      <c r="AO429" s="276"/>
      <c r="AP429" s="276"/>
      <c r="AQ429" s="276"/>
      <c r="AR429" s="276"/>
      <c r="AS429" s="276"/>
      <c r="AT429" s="276"/>
      <c r="AU429" s="276"/>
      <c r="AV429" s="276"/>
      <c r="AW429" s="394"/>
    </row>
    <row r="430" spans="1:49">
      <c r="A430" s="88">
        <v>828</v>
      </c>
      <c r="B430" s="88" t="s">
        <v>2115</v>
      </c>
      <c r="C430" s="31">
        <v>0</v>
      </c>
      <c r="D430" s="31">
        <v>0</v>
      </c>
      <c r="E430" s="31">
        <v>0</v>
      </c>
      <c r="F430" s="31">
        <v>0</v>
      </c>
      <c r="G430" s="31">
        <v>0</v>
      </c>
      <c r="H430" s="31">
        <v>2</v>
      </c>
      <c r="I430" s="31">
        <v>107</v>
      </c>
      <c r="J430" s="31">
        <v>0</v>
      </c>
      <c r="K430" s="31">
        <v>0</v>
      </c>
      <c r="L430" s="31">
        <v>0</v>
      </c>
      <c r="M430" s="31">
        <v>0</v>
      </c>
      <c r="N430" s="31">
        <v>2250</v>
      </c>
      <c r="O430" s="31">
        <v>1091</v>
      </c>
      <c r="P430" s="31">
        <v>0</v>
      </c>
      <c r="Q430" s="31">
        <v>2252</v>
      </c>
      <c r="R430" s="150">
        <v>1</v>
      </c>
      <c r="S430" s="277">
        <v>10</v>
      </c>
      <c r="U430" s="31">
        <v>1100622.1299999999</v>
      </c>
      <c r="V430" s="31">
        <v>1496949.44</v>
      </c>
      <c r="W430" s="31">
        <v>19561371.870000001</v>
      </c>
      <c r="X430" s="31">
        <v>1892401.1</v>
      </c>
      <c r="Y430" s="31">
        <v>593692.44000000006</v>
      </c>
      <c r="Z430" s="31">
        <v>2818419.14</v>
      </c>
      <c r="AA430" s="31">
        <v>833420.16</v>
      </c>
      <c r="AB430" s="31">
        <v>1122622</v>
      </c>
      <c r="AC430" s="31">
        <v>4603113.26</v>
      </c>
      <c r="AD430" s="31">
        <v>3486891.2514650952</v>
      </c>
      <c r="AE430" s="31">
        <v>0</v>
      </c>
      <c r="AF430" s="31">
        <v>37509502.791465104</v>
      </c>
      <c r="AH430" s="276"/>
      <c r="AI430" s="276"/>
      <c r="AJ430" s="276"/>
      <c r="AK430" s="276"/>
      <c r="AL430" s="276"/>
      <c r="AM430" s="276"/>
      <c r="AN430" s="276"/>
      <c r="AO430" s="276"/>
      <c r="AP430" s="276"/>
      <c r="AQ430" s="276"/>
      <c r="AR430" s="276"/>
      <c r="AS430" s="276"/>
      <c r="AT430" s="276"/>
      <c r="AU430" s="276"/>
      <c r="AV430" s="276"/>
      <c r="AW430" s="394"/>
    </row>
    <row r="431" spans="1:49">
      <c r="A431" s="88">
        <v>829</v>
      </c>
      <c r="B431" s="88" t="s">
        <v>2116</v>
      </c>
      <c r="C431" s="31">
        <v>0</v>
      </c>
      <c r="D431" s="31">
        <v>0</v>
      </c>
      <c r="E431" s="31">
        <v>0</v>
      </c>
      <c r="F431" s="31">
        <v>0</v>
      </c>
      <c r="G431" s="31">
        <v>0</v>
      </c>
      <c r="H431" s="31">
        <v>10</v>
      </c>
      <c r="I431" s="31">
        <v>34</v>
      </c>
      <c r="J431" s="31">
        <v>0</v>
      </c>
      <c r="K431" s="31">
        <v>0</v>
      </c>
      <c r="L431" s="31">
        <v>0</v>
      </c>
      <c r="M431" s="31">
        <v>0</v>
      </c>
      <c r="N431" s="31">
        <v>706</v>
      </c>
      <c r="O431" s="31">
        <v>323</v>
      </c>
      <c r="P431" s="31">
        <v>0</v>
      </c>
      <c r="Q431" s="31">
        <v>716</v>
      </c>
      <c r="R431" s="150">
        <v>1.0409999999999999</v>
      </c>
      <c r="S431" s="277">
        <v>9</v>
      </c>
      <c r="U431" s="31">
        <v>364226.89133999997</v>
      </c>
      <c r="V431" s="31">
        <v>495453.04031999997</v>
      </c>
      <c r="W431" s="31">
        <v>6355299.0350699993</v>
      </c>
      <c r="X431" s="31">
        <v>626178.53075999999</v>
      </c>
      <c r="Y431" s="31">
        <v>193657.14671999996</v>
      </c>
      <c r="Z431" s="31">
        <v>891123.10000000009</v>
      </c>
      <c r="AA431" s="31">
        <v>275841.34847999993</v>
      </c>
      <c r="AB431" s="31">
        <v>371559.96599999996</v>
      </c>
      <c r="AC431" s="31">
        <v>1501699.0471199998</v>
      </c>
      <c r="AD431" s="31">
        <v>1095509.0177732413</v>
      </c>
      <c r="AE431" s="31">
        <v>0</v>
      </c>
      <c r="AF431" s="31">
        <v>12170547.123583239</v>
      </c>
      <c r="AH431" s="276"/>
      <c r="AI431" s="276"/>
      <c r="AJ431" s="276"/>
      <c r="AK431" s="276"/>
      <c r="AL431" s="276"/>
      <c r="AM431" s="276"/>
      <c r="AN431" s="276"/>
      <c r="AO431" s="276"/>
      <c r="AP431" s="276"/>
      <c r="AQ431" s="276"/>
      <c r="AR431" s="276"/>
      <c r="AS431" s="276"/>
      <c r="AT431" s="276"/>
      <c r="AU431" s="276"/>
      <c r="AV431" s="276"/>
      <c r="AW431" s="394"/>
    </row>
    <row r="432" spans="1:49">
      <c r="A432" s="88">
        <v>830</v>
      </c>
      <c r="B432" s="88" t="s">
        <v>2117</v>
      </c>
      <c r="C432" s="31">
        <v>0</v>
      </c>
      <c r="D432" s="31">
        <v>0</v>
      </c>
      <c r="E432" s="31">
        <v>0</v>
      </c>
      <c r="F432" s="31">
        <v>0</v>
      </c>
      <c r="G432" s="31">
        <v>0</v>
      </c>
      <c r="H432" s="31">
        <v>0</v>
      </c>
      <c r="I432" s="31">
        <v>16</v>
      </c>
      <c r="J432" s="31">
        <v>0</v>
      </c>
      <c r="K432" s="31">
        <v>0</v>
      </c>
      <c r="L432" s="31">
        <v>0</v>
      </c>
      <c r="M432" s="31">
        <v>0</v>
      </c>
      <c r="N432" s="31">
        <v>346</v>
      </c>
      <c r="O432" s="31">
        <v>163</v>
      </c>
      <c r="P432" s="31">
        <v>0</v>
      </c>
      <c r="Q432" s="31">
        <v>346</v>
      </c>
      <c r="R432" s="150">
        <v>1.127</v>
      </c>
      <c r="S432" s="277">
        <v>9</v>
      </c>
      <c r="U432" s="31">
        <v>189318.23848000003</v>
      </c>
      <c r="V432" s="31">
        <v>259202.24624000001</v>
      </c>
      <c r="W432" s="31">
        <v>3361068.6330900001</v>
      </c>
      <c r="X432" s="31">
        <v>323798.82080000004</v>
      </c>
      <c r="Y432" s="31">
        <v>102124.6828</v>
      </c>
      <c r="Z432" s="31">
        <v>433032.83999999997</v>
      </c>
      <c r="AA432" s="31">
        <v>144309.73535999999</v>
      </c>
      <c r="AB432" s="31">
        <v>194386.087</v>
      </c>
      <c r="AC432" s="31">
        <v>792377.98962000001</v>
      </c>
      <c r="AD432" s="31">
        <v>532358.19759237207</v>
      </c>
      <c r="AE432" s="31">
        <v>0</v>
      </c>
      <c r="AF432" s="31">
        <v>6331977.4709823728</v>
      </c>
      <c r="AH432" s="276"/>
      <c r="AI432" s="276"/>
      <c r="AJ432" s="276"/>
      <c r="AK432" s="276"/>
      <c r="AL432" s="276"/>
      <c r="AM432" s="276"/>
      <c r="AN432" s="276"/>
      <c r="AO432" s="276"/>
      <c r="AP432" s="276"/>
      <c r="AQ432" s="276"/>
      <c r="AR432" s="276"/>
      <c r="AS432" s="276"/>
      <c r="AT432" s="276"/>
      <c r="AU432" s="276"/>
      <c r="AV432" s="276"/>
      <c r="AW432" s="394"/>
    </row>
    <row r="433" spans="1:49">
      <c r="A433" s="88">
        <v>832</v>
      </c>
      <c r="B433" s="88" t="s">
        <v>2118</v>
      </c>
      <c r="C433" s="31">
        <v>0</v>
      </c>
      <c r="D433" s="31">
        <v>0</v>
      </c>
      <c r="E433" s="31">
        <v>0</v>
      </c>
      <c r="F433" s="31">
        <v>0</v>
      </c>
      <c r="G433" s="31">
        <v>0</v>
      </c>
      <c r="H433" s="31">
        <v>0</v>
      </c>
      <c r="I433" s="31">
        <v>71</v>
      </c>
      <c r="J433" s="31">
        <v>0</v>
      </c>
      <c r="K433" s="31">
        <v>0</v>
      </c>
      <c r="L433" s="31">
        <v>0</v>
      </c>
      <c r="M433" s="31">
        <v>0</v>
      </c>
      <c r="N433" s="31">
        <v>1496</v>
      </c>
      <c r="O433" s="31">
        <v>364</v>
      </c>
      <c r="P433" s="31">
        <v>0</v>
      </c>
      <c r="Q433" s="31">
        <v>1496</v>
      </c>
      <c r="R433" s="150">
        <v>1</v>
      </c>
      <c r="S433" s="277">
        <v>5</v>
      </c>
      <c r="U433" s="31">
        <v>730938.49000000011</v>
      </c>
      <c r="V433" s="31">
        <v>994421.12</v>
      </c>
      <c r="W433" s="31">
        <v>11759780.549999999</v>
      </c>
      <c r="X433" s="31">
        <v>1256493.5</v>
      </c>
      <c r="Y433" s="31">
        <v>367225.98</v>
      </c>
      <c r="Z433" s="31">
        <v>1872946.4400000002</v>
      </c>
      <c r="AA433" s="31">
        <v>553639.67999999993</v>
      </c>
      <c r="AB433" s="31">
        <v>745756</v>
      </c>
      <c r="AC433" s="31">
        <v>2867472.0900000003</v>
      </c>
      <c r="AD433" s="31">
        <v>2190997.8126623128</v>
      </c>
      <c r="AE433" s="31">
        <v>0</v>
      </c>
      <c r="AF433" s="31">
        <v>23339671.662662312</v>
      </c>
      <c r="AH433" s="276"/>
      <c r="AI433" s="276"/>
      <c r="AJ433" s="276"/>
      <c r="AK433" s="276"/>
      <c r="AL433" s="276"/>
      <c r="AM433" s="276"/>
      <c r="AN433" s="276"/>
      <c r="AO433" s="276"/>
      <c r="AP433" s="276"/>
      <c r="AQ433" s="276"/>
      <c r="AR433" s="276"/>
      <c r="AS433" s="276"/>
      <c r="AT433" s="276"/>
      <c r="AU433" s="276"/>
      <c r="AV433" s="276"/>
      <c r="AW433" s="394"/>
    </row>
    <row r="434" spans="1:49">
      <c r="A434" s="88">
        <v>851</v>
      </c>
      <c r="B434" s="88" t="s">
        <v>2119</v>
      </c>
      <c r="C434" s="31">
        <v>0</v>
      </c>
      <c r="D434" s="31">
        <v>0</v>
      </c>
      <c r="E434" s="31">
        <v>0</v>
      </c>
      <c r="F434" s="31">
        <v>0</v>
      </c>
      <c r="G434" s="31">
        <v>0</v>
      </c>
      <c r="H434" s="31">
        <v>0</v>
      </c>
      <c r="I434" s="31">
        <v>22</v>
      </c>
      <c r="J434" s="31">
        <v>0</v>
      </c>
      <c r="K434" s="31">
        <v>0</v>
      </c>
      <c r="L434" s="31">
        <v>0</v>
      </c>
      <c r="M434" s="31">
        <v>0</v>
      </c>
      <c r="N434" s="31">
        <v>456</v>
      </c>
      <c r="O434" s="31">
        <v>159</v>
      </c>
      <c r="P434" s="31">
        <v>0</v>
      </c>
      <c r="Q434" s="31">
        <v>456</v>
      </c>
      <c r="R434" s="150">
        <v>1</v>
      </c>
      <c r="S434" s="277">
        <v>8</v>
      </c>
      <c r="U434" s="31">
        <v>223709.54000000004</v>
      </c>
      <c r="V434" s="31">
        <v>303112.32000000001</v>
      </c>
      <c r="W434" s="31">
        <v>3752218.8600000003</v>
      </c>
      <c r="X434" s="31">
        <v>385799.32</v>
      </c>
      <c r="Y434" s="31">
        <v>115704.63</v>
      </c>
      <c r="Z434" s="31">
        <v>571024.56000000006</v>
      </c>
      <c r="AA434" s="31">
        <v>168756.47999999998</v>
      </c>
      <c r="AB434" s="31">
        <v>227316</v>
      </c>
      <c r="AC434" s="31">
        <v>900492.85</v>
      </c>
      <c r="AD434" s="31">
        <v>685740.05065361818</v>
      </c>
      <c r="AE434" s="31">
        <v>0</v>
      </c>
      <c r="AF434" s="31">
        <v>7333874.6106536184</v>
      </c>
      <c r="AH434" s="276"/>
      <c r="AI434" s="276"/>
      <c r="AJ434" s="276"/>
      <c r="AK434" s="276"/>
      <c r="AL434" s="276"/>
      <c r="AM434" s="276"/>
      <c r="AN434" s="276"/>
      <c r="AO434" s="276"/>
      <c r="AP434" s="276"/>
      <c r="AQ434" s="276"/>
      <c r="AR434" s="276"/>
      <c r="AS434" s="276"/>
      <c r="AT434" s="276"/>
      <c r="AU434" s="276"/>
      <c r="AV434" s="276"/>
      <c r="AW434" s="394"/>
    </row>
    <row r="435" spans="1:49">
      <c r="A435" s="88">
        <v>852</v>
      </c>
      <c r="B435" s="88" t="s">
        <v>2120</v>
      </c>
      <c r="C435" s="31">
        <v>0</v>
      </c>
      <c r="D435" s="31">
        <v>0</v>
      </c>
      <c r="E435" s="31">
        <v>0</v>
      </c>
      <c r="F435" s="31">
        <v>0</v>
      </c>
      <c r="G435" s="31">
        <v>0</v>
      </c>
      <c r="H435" s="31">
        <v>0</v>
      </c>
      <c r="I435" s="31">
        <v>32</v>
      </c>
      <c r="J435" s="31">
        <v>0</v>
      </c>
      <c r="K435" s="31">
        <v>0</v>
      </c>
      <c r="L435" s="31">
        <v>0</v>
      </c>
      <c r="M435" s="31">
        <v>0</v>
      </c>
      <c r="N435" s="31">
        <v>675</v>
      </c>
      <c r="O435" s="31">
        <v>184</v>
      </c>
      <c r="P435" s="31">
        <v>0</v>
      </c>
      <c r="Q435" s="31">
        <v>675</v>
      </c>
      <c r="R435" s="150">
        <v>1.0169999999999999</v>
      </c>
      <c r="S435" s="277">
        <v>6</v>
      </c>
      <c r="U435" s="31">
        <v>335316.90059999994</v>
      </c>
      <c r="V435" s="31">
        <v>456313.66199999995</v>
      </c>
      <c r="W435" s="31">
        <v>5464445.2424999997</v>
      </c>
      <c r="X435" s="31">
        <v>576289.80287999997</v>
      </c>
      <c r="Y435" s="31">
        <v>170001.99459000002</v>
      </c>
      <c r="Z435" s="31">
        <v>845066.94</v>
      </c>
      <c r="AA435" s="31">
        <v>254050.66799999998</v>
      </c>
      <c r="AB435" s="31">
        <v>342207.78749999998</v>
      </c>
      <c r="AC435" s="31">
        <v>1326282.0870599998</v>
      </c>
      <c r="AD435" s="31">
        <v>995304.75834372209</v>
      </c>
      <c r="AE435" s="31">
        <v>0</v>
      </c>
      <c r="AF435" s="31">
        <v>10765279.843473721</v>
      </c>
      <c r="AH435" s="276"/>
      <c r="AI435" s="276"/>
      <c r="AJ435" s="276"/>
      <c r="AK435" s="276"/>
      <c r="AL435" s="276"/>
      <c r="AM435" s="276"/>
      <c r="AN435" s="276"/>
      <c r="AO435" s="276"/>
      <c r="AP435" s="276"/>
      <c r="AQ435" s="276"/>
      <c r="AR435" s="276"/>
      <c r="AS435" s="276"/>
      <c r="AT435" s="276"/>
      <c r="AU435" s="276"/>
      <c r="AV435" s="276"/>
      <c r="AW435" s="394"/>
    </row>
    <row r="436" spans="1:49">
      <c r="A436" s="88">
        <v>853</v>
      </c>
      <c r="B436" s="88" t="s">
        <v>2121</v>
      </c>
      <c r="C436" s="31">
        <v>0</v>
      </c>
      <c r="D436" s="31">
        <v>0</v>
      </c>
      <c r="E436" s="31">
        <v>0</v>
      </c>
      <c r="F436" s="31">
        <v>0</v>
      </c>
      <c r="G436" s="31">
        <v>0</v>
      </c>
      <c r="H436" s="31">
        <v>0</v>
      </c>
      <c r="I436" s="31">
        <v>59</v>
      </c>
      <c r="J436" s="31">
        <v>0</v>
      </c>
      <c r="K436" s="31">
        <v>0</v>
      </c>
      <c r="L436" s="31">
        <v>0</v>
      </c>
      <c r="M436" s="31">
        <v>0</v>
      </c>
      <c r="N436" s="31">
        <v>1239</v>
      </c>
      <c r="O436" s="31">
        <v>464</v>
      </c>
      <c r="P436" s="31">
        <v>0</v>
      </c>
      <c r="Q436" s="31">
        <v>1239</v>
      </c>
      <c r="R436" s="150">
        <v>1.0580000000000001</v>
      </c>
      <c r="S436" s="277">
        <v>8</v>
      </c>
      <c r="U436" s="31">
        <v>641010.89378000004</v>
      </c>
      <c r="V436" s="31">
        <v>871356.18864000007</v>
      </c>
      <c r="W436" s="31">
        <v>10888160.496580001</v>
      </c>
      <c r="X436" s="31">
        <v>1102628.4502000001</v>
      </c>
      <c r="Y436" s="31">
        <v>334672.79161999997</v>
      </c>
      <c r="Z436" s="31">
        <v>1551259.86</v>
      </c>
      <c r="AA436" s="31">
        <v>485123.80895999999</v>
      </c>
      <c r="AB436" s="31">
        <v>653464.70700000005</v>
      </c>
      <c r="AC436" s="31">
        <v>2603078.8554199999</v>
      </c>
      <c r="AD436" s="31">
        <v>1871089.6628270075</v>
      </c>
      <c r="AE436" s="31">
        <v>0</v>
      </c>
      <c r="AF436" s="31">
        <v>21001845.715027008</v>
      </c>
      <c r="AH436" s="276"/>
      <c r="AI436" s="276"/>
      <c r="AJ436" s="276"/>
      <c r="AK436" s="276"/>
      <c r="AL436" s="276"/>
      <c r="AM436" s="276"/>
      <c r="AN436" s="276"/>
      <c r="AO436" s="276"/>
      <c r="AP436" s="276"/>
      <c r="AQ436" s="276"/>
      <c r="AR436" s="276"/>
      <c r="AS436" s="276"/>
      <c r="AT436" s="276"/>
      <c r="AU436" s="276"/>
      <c r="AV436" s="276"/>
      <c r="AW436" s="394"/>
    </row>
    <row r="437" spans="1:49">
      <c r="A437" s="88">
        <v>855</v>
      </c>
      <c r="B437" s="88" t="s">
        <v>2122</v>
      </c>
      <c r="C437" s="31">
        <v>0</v>
      </c>
      <c r="D437" s="31">
        <v>0</v>
      </c>
      <c r="E437" s="31">
        <v>0</v>
      </c>
      <c r="F437" s="31">
        <v>0</v>
      </c>
      <c r="G437" s="31">
        <v>0</v>
      </c>
      <c r="H437" s="31">
        <v>0</v>
      </c>
      <c r="I437" s="31">
        <v>22</v>
      </c>
      <c r="J437" s="31">
        <v>0</v>
      </c>
      <c r="K437" s="31">
        <v>0</v>
      </c>
      <c r="L437" s="31">
        <v>0</v>
      </c>
      <c r="M437" s="31">
        <v>0</v>
      </c>
      <c r="N437" s="31">
        <v>459</v>
      </c>
      <c r="O437" s="31">
        <v>103</v>
      </c>
      <c r="P437" s="31">
        <v>0</v>
      </c>
      <c r="Q437" s="31">
        <v>459</v>
      </c>
      <c r="R437" s="150">
        <v>1</v>
      </c>
      <c r="S437" s="277">
        <v>5</v>
      </c>
      <c r="U437" s="31">
        <v>224813.66000000003</v>
      </c>
      <c r="V437" s="31">
        <v>305106.48000000004</v>
      </c>
      <c r="W437" s="31">
        <v>3582895.1</v>
      </c>
      <c r="X437" s="31">
        <v>387204.76</v>
      </c>
      <c r="Y437" s="31">
        <v>112164.03</v>
      </c>
      <c r="Z437" s="31">
        <v>574730.22</v>
      </c>
      <c r="AA437" s="31">
        <v>169866.72</v>
      </c>
      <c r="AB437" s="31">
        <v>228811.5</v>
      </c>
      <c r="AC437" s="31">
        <v>876230.72999999986</v>
      </c>
      <c r="AD437" s="31">
        <v>670204.3606843868</v>
      </c>
      <c r="AE437" s="31">
        <v>0</v>
      </c>
      <c r="AF437" s="31">
        <v>7132027.5606843857</v>
      </c>
      <c r="AH437" s="276"/>
      <c r="AI437" s="276"/>
      <c r="AJ437" s="276"/>
      <c r="AK437" s="276"/>
      <c r="AL437" s="276"/>
      <c r="AM437" s="276"/>
      <c r="AN437" s="276"/>
      <c r="AO437" s="276"/>
      <c r="AP437" s="276"/>
      <c r="AQ437" s="276"/>
      <c r="AR437" s="276"/>
      <c r="AS437" s="276"/>
      <c r="AT437" s="276"/>
      <c r="AU437" s="276"/>
      <c r="AV437" s="276"/>
      <c r="AW437" s="394"/>
    </row>
    <row r="438" spans="1:49">
      <c r="A438" s="88">
        <v>860</v>
      </c>
      <c r="B438" s="88" t="s">
        <v>2123</v>
      </c>
      <c r="C438" s="31">
        <v>0</v>
      </c>
      <c r="D438" s="31">
        <v>0</v>
      </c>
      <c r="E438" s="31">
        <v>0</v>
      </c>
      <c r="F438" s="31">
        <v>0</v>
      </c>
      <c r="G438" s="31">
        <v>0</v>
      </c>
      <c r="H438" s="31">
        <v>0</v>
      </c>
      <c r="I438" s="31">
        <v>27</v>
      </c>
      <c r="J438" s="31">
        <v>0</v>
      </c>
      <c r="K438" s="31">
        <v>0</v>
      </c>
      <c r="L438" s="31">
        <v>0</v>
      </c>
      <c r="M438" s="31">
        <v>0</v>
      </c>
      <c r="N438" s="31">
        <v>577</v>
      </c>
      <c r="O438" s="31">
        <v>264</v>
      </c>
      <c r="P438" s="31">
        <v>0</v>
      </c>
      <c r="Q438" s="31">
        <v>577</v>
      </c>
      <c r="R438" s="150">
        <v>1</v>
      </c>
      <c r="S438" s="277">
        <v>9</v>
      </c>
      <c r="U438" s="31">
        <v>280943.13</v>
      </c>
      <c r="V438" s="31">
        <v>383543.44</v>
      </c>
      <c r="W438" s="31">
        <v>4950714.41</v>
      </c>
      <c r="X438" s="31">
        <v>481615.5</v>
      </c>
      <c r="Y438" s="31">
        <v>150685.35</v>
      </c>
      <c r="Z438" s="31">
        <v>722250.78</v>
      </c>
      <c r="AA438" s="31">
        <v>213536.16</v>
      </c>
      <c r="AB438" s="31">
        <v>287634.5</v>
      </c>
      <c r="AC438" s="31">
        <v>1169474.71</v>
      </c>
      <c r="AD438" s="31">
        <v>886249.08794994978</v>
      </c>
      <c r="AE438" s="31">
        <v>0</v>
      </c>
      <c r="AF438" s="31">
        <v>9526647.0679499507</v>
      </c>
      <c r="AH438" s="276"/>
      <c r="AI438" s="276"/>
      <c r="AJ438" s="276"/>
      <c r="AK438" s="276"/>
      <c r="AL438" s="276"/>
      <c r="AM438" s="276"/>
      <c r="AN438" s="276"/>
      <c r="AO438" s="276"/>
      <c r="AP438" s="276"/>
      <c r="AQ438" s="276"/>
      <c r="AR438" s="276"/>
      <c r="AS438" s="276"/>
      <c r="AT438" s="276"/>
      <c r="AU438" s="276"/>
      <c r="AV438" s="276"/>
      <c r="AW438" s="394"/>
    </row>
    <row r="439" spans="1:49">
      <c r="A439" s="88">
        <v>871</v>
      </c>
      <c r="B439" s="88" t="s">
        <v>2124</v>
      </c>
      <c r="C439" s="31">
        <v>0</v>
      </c>
      <c r="D439" s="31">
        <v>0</v>
      </c>
      <c r="E439" s="31">
        <v>0</v>
      </c>
      <c r="F439" s="31">
        <v>0</v>
      </c>
      <c r="G439" s="31">
        <v>0</v>
      </c>
      <c r="H439" s="31">
        <v>0</v>
      </c>
      <c r="I439" s="31">
        <v>64</v>
      </c>
      <c r="J439" s="31">
        <v>0</v>
      </c>
      <c r="K439" s="31">
        <v>0</v>
      </c>
      <c r="L439" s="31">
        <v>0</v>
      </c>
      <c r="M439" s="31">
        <v>0</v>
      </c>
      <c r="N439" s="31">
        <v>1352</v>
      </c>
      <c r="O439" s="31">
        <v>213</v>
      </c>
      <c r="P439" s="31">
        <v>0</v>
      </c>
      <c r="Q439" s="31">
        <v>1352</v>
      </c>
      <c r="R439" s="150">
        <v>1.01</v>
      </c>
      <c r="S439" s="277">
        <v>3</v>
      </c>
      <c r="U439" s="31">
        <v>666761.27680000011</v>
      </c>
      <c r="V439" s="31">
        <v>907688.45440000005</v>
      </c>
      <c r="W439" s="31">
        <v>10354443.644000001</v>
      </c>
      <c r="X439" s="31">
        <v>1145592.7424000003</v>
      </c>
      <c r="Y439" s="31">
        <v>326804.86170000007</v>
      </c>
      <c r="Z439" s="31">
        <v>1692604.3199999998</v>
      </c>
      <c r="AA439" s="31">
        <v>505351.64159999997</v>
      </c>
      <c r="AB439" s="31">
        <v>680711.72</v>
      </c>
      <c r="AC439" s="31">
        <v>2558478.3992999997</v>
      </c>
      <c r="AD439" s="31">
        <v>1941537.1633746231</v>
      </c>
      <c r="AE439" s="31">
        <v>0</v>
      </c>
      <c r="AF439" s="31">
        <v>20779974.223574623</v>
      </c>
      <c r="AH439" s="276"/>
      <c r="AI439" s="276"/>
      <c r="AJ439" s="276"/>
      <c r="AK439" s="276"/>
      <c r="AL439" s="276"/>
      <c r="AM439" s="276"/>
      <c r="AN439" s="276"/>
      <c r="AO439" s="276"/>
      <c r="AP439" s="276"/>
      <c r="AQ439" s="276"/>
      <c r="AR439" s="276"/>
      <c r="AS439" s="276"/>
      <c r="AT439" s="276"/>
      <c r="AU439" s="276"/>
      <c r="AV439" s="276"/>
      <c r="AW439" s="394"/>
    </row>
    <row r="440" spans="1:49">
      <c r="A440" s="88">
        <v>872</v>
      </c>
      <c r="B440" s="88" t="s">
        <v>2125</v>
      </c>
      <c r="C440" s="31">
        <v>0</v>
      </c>
      <c r="D440" s="31">
        <v>0</v>
      </c>
      <c r="E440" s="31">
        <v>0</v>
      </c>
      <c r="F440" s="31">
        <v>0</v>
      </c>
      <c r="G440" s="31">
        <v>0</v>
      </c>
      <c r="H440" s="31">
        <v>0</v>
      </c>
      <c r="I440" s="31">
        <v>72</v>
      </c>
      <c r="J440" s="31">
        <v>0</v>
      </c>
      <c r="K440" s="31">
        <v>0</v>
      </c>
      <c r="L440" s="31">
        <v>0</v>
      </c>
      <c r="M440" s="31">
        <v>0</v>
      </c>
      <c r="N440" s="31">
        <v>1509</v>
      </c>
      <c r="O440" s="31">
        <v>620</v>
      </c>
      <c r="P440" s="31">
        <v>0</v>
      </c>
      <c r="Q440" s="31">
        <v>1509</v>
      </c>
      <c r="R440" s="150">
        <v>1</v>
      </c>
      <c r="S440" s="277">
        <v>9</v>
      </c>
      <c r="U440" s="31">
        <v>738263.16</v>
      </c>
      <c r="V440" s="31">
        <v>1003062.4800000001</v>
      </c>
      <c r="W440" s="31">
        <v>12730824.5</v>
      </c>
      <c r="X440" s="31">
        <v>1270409.7600000002</v>
      </c>
      <c r="Y440" s="31">
        <v>389619.97000000003</v>
      </c>
      <c r="Z440" s="31">
        <v>1889357.22</v>
      </c>
      <c r="AA440" s="31">
        <v>558450.72</v>
      </c>
      <c r="AB440" s="31">
        <v>752236.5</v>
      </c>
      <c r="AC440" s="31">
        <v>3027169.34</v>
      </c>
      <c r="AD440" s="31">
        <v>2299168.0086733764</v>
      </c>
      <c r="AE440" s="31">
        <v>0</v>
      </c>
      <c r="AF440" s="31">
        <v>24658561.658673376</v>
      </c>
      <c r="AH440" s="276"/>
      <c r="AI440" s="276"/>
      <c r="AJ440" s="276"/>
      <c r="AK440" s="276"/>
      <c r="AL440" s="276"/>
      <c r="AM440" s="276"/>
      <c r="AN440" s="276"/>
      <c r="AO440" s="276"/>
      <c r="AP440" s="276"/>
      <c r="AQ440" s="276"/>
      <c r="AR440" s="276"/>
      <c r="AS440" s="276"/>
      <c r="AT440" s="276"/>
      <c r="AU440" s="276"/>
      <c r="AV440" s="276"/>
      <c r="AW440" s="394"/>
    </row>
    <row r="441" spans="1:49">
      <c r="A441" s="88">
        <v>873</v>
      </c>
      <c r="B441" s="88" t="s">
        <v>2126</v>
      </c>
      <c r="C441" s="31">
        <v>0</v>
      </c>
      <c r="D441" s="31">
        <v>0</v>
      </c>
      <c r="E441" s="31">
        <v>0</v>
      </c>
      <c r="F441" s="31">
        <v>0</v>
      </c>
      <c r="G441" s="31">
        <v>0</v>
      </c>
      <c r="H441" s="31">
        <v>0</v>
      </c>
      <c r="I441" s="31">
        <v>29</v>
      </c>
      <c r="J441" s="31">
        <v>0</v>
      </c>
      <c r="K441" s="31">
        <v>0</v>
      </c>
      <c r="L441" s="31">
        <v>0</v>
      </c>
      <c r="M441" s="31">
        <v>0</v>
      </c>
      <c r="N441" s="31">
        <v>620</v>
      </c>
      <c r="O441" s="31">
        <v>188</v>
      </c>
      <c r="P441" s="31">
        <v>0</v>
      </c>
      <c r="Q441" s="31">
        <v>620</v>
      </c>
      <c r="R441" s="150">
        <v>1.032</v>
      </c>
      <c r="S441" s="277">
        <v>7</v>
      </c>
      <c r="U441" s="31">
        <v>311508.32280000002</v>
      </c>
      <c r="V441" s="31">
        <v>425314.44480000006</v>
      </c>
      <c r="W441" s="31">
        <v>5157608.4122400004</v>
      </c>
      <c r="X441" s="31">
        <v>533969.36976000003</v>
      </c>
      <c r="Y441" s="31">
        <v>159781.60848</v>
      </c>
      <c r="Z441" s="31">
        <v>776071.08000000007</v>
      </c>
      <c r="AA441" s="31">
        <v>236791.98719999997</v>
      </c>
      <c r="AB441" s="31">
        <v>318960.24</v>
      </c>
      <c r="AC441" s="31">
        <v>1245503.5759199997</v>
      </c>
      <c r="AD441" s="31">
        <v>919581.31681309885</v>
      </c>
      <c r="AE441" s="31">
        <v>0</v>
      </c>
      <c r="AF441" s="31">
        <v>10085090.358013099</v>
      </c>
      <c r="AH441" s="276"/>
      <c r="AI441" s="276"/>
      <c r="AJ441" s="276"/>
      <c r="AK441" s="276"/>
      <c r="AL441" s="276"/>
      <c r="AM441" s="276"/>
      <c r="AN441" s="276"/>
      <c r="AO441" s="276"/>
      <c r="AP441" s="276"/>
      <c r="AQ441" s="276"/>
      <c r="AR441" s="276"/>
      <c r="AS441" s="276"/>
      <c r="AT441" s="276"/>
      <c r="AU441" s="276"/>
      <c r="AV441" s="276"/>
      <c r="AW441" s="394"/>
    </row>
    <row r="442" spans="1:49">
      <c r="A442" s="88">
        <v>876</v>
      </c>
      <c r="B442" s="88" t="s">
        <v>2127</v>
      </c>
      <c r="C442" s="31">
        <v>0</v>
      </c>
      <c r="D442" s="31">
        <v>0</v>
      </c>
      <c r="E442" s="31">
        <v>0</v>
      </c>
      <c r="F442" s="31">
        <v>0</v>
      </c>
      <c r="G442" s="31">
        <v>0</v>
      </c>
      <c r="H442" s="31">
        <v>0</v>
      </c>
      <c r="I442" s="31">
        <v>54</v>
      </c>
      <c r="J442" s="31">
        <v>0</v>
      </c>
      <c r="K442" s="31">
        <v>0</v>
      </c>
      <c r="L442" s="31">
        <v>0</v>
      </c>
      <c r="M442" s="31">
        <v>0</v>
      </c>
      <c r="N442" s="31">
        <v>1145</v>
      </c>
      <c r="O442" s="31">
        <v>342</v>
      </c>
      <c r="P442" s="31">
        <v>0</v>
      </c>
      <c r="Q442" s="31">
        <v>1145</v>
      </c>
      <c r="R442" s="150">
        <v>1</v>
      </c>
      <c r="S442" s="277">
        <v>7</v>
      </c>
      <c r="U442" s="31">
        <v>558573.9</v>
      </c>
      <c r="V442" s="31">
        <v>761104.4</v>
      </c>
      <c r="W442" s="31">
        <v>9216811.1799999997</v>
      </c>
      <c r="X442" s="31">
        <v>959014.67999999993</v>
      </c>
      <c r="Y442" s="31">
        <v>285747.02999999997</v>
      </c>
      <c r="Z442" s="31">
        <v>1433384.58</v>
      </c>
      <c r="AA442" s="31">
        <v>423741.6</v>
      </c>
      <c r="AB442" s="31">
        <v>570782.5</v>
      </c>
      <c r="AC442" s="31">
        <v>2227551.5</v>
      </c>
      <c r="AD442" s="31">
        <v>1698043.1858075936</v>
      </c>
      <c r="AE442" s="31">
        <v>0</v>
      </c>
      <c r="AF442" s="31">
        <v>18134754.555807594</v>
      </c>
      <c r="AH442" s="276"/>
      <c r="AI442" s="276"/>
      <c r="AJ442" s="276"/>
      <c r="AK442" s="276"/>
      <c r="AL442" s="276"/>
      <c r="AM442" s="276"/>
      <c r="AN442" s="276"/>
      <c r="AO442" s="276"/>
      <c r="AP442" s="276"/>
      <c r="AQ442" s="276"/>
      <c r="AR442" s="276"/>
      <c r="AS442" s="276"/>
      <c r="AT442" s="276"/>
      <c r="AU442" s="276"/>
      <c r="AV442" s="276"/>
      <c r="AW442" s="394"/>
    </row>
    <row r="443" spans="1:49">
      <c r="A443" s="88">
        <v>878</v>
      </c>
      <c r="B443" s="88" t="s">
        <v>2128</v>
      </c>
      <c r="C443" s="31">
        <v>0</v>
      </c>
      <c r="D443" s="31">
        <v>0</v>
      </c>
      <c r="E443" s="31">
        <v>0</v>
      </c>
      <c r="F443" s="31">
        <v>0</v>
      </c>
      <c r="G443" s="31">
        <v>0</v>
      </c>
      <c r="H443" s="31">
        <v>0</v>
      </c>
      <c r="I443" s="31">
        <v>46</v>
      </c>
      <c r="J443" s="31">
        <v>0</v>
      </c>
      <c r="K443" s="31">
        <v>0</v>
      </c>
      <c r="L443" s="31">
        <v>0</v>
      </c>
      <c r="M443" s="31">
        <v>0</v>
      </c>
      <c r="N443" s="31">
        <v>963</v>
      </c>
      <c r="O443" s="31">
        <v>255</v>
      </c>
      <c r="P443" s="31">
        <v>0</v>
      </c>
      <c r="Q443" s="31">
        <v>963</v>
      </c>
      <c r="R443" s="150">
        <v>1.0549999999999999</v>
      </c>
      <c r="S443" s="277">
        <v>6</v>
      </c>
      <c r="U443" s="31">
        <v>497189.23810000002</v>
      </c>
      <c r="V443" s="31">
        <v>675332.2548</v>
      </c>
      <c r="W443" s="31">
        <v>8065394.661749999</v>
      </c>
      <c r="X443" s="31">
        <v>855756.03379999998</v>
      </c>
      <c r="Y443" s="31">
        <v>251198.26409999997</v>
      </c>
      <c r="Z443" s="31">
        <v>1205751.1800000002</v>
      </c>
      <c r="AA443" s="31">
        <v>375988.32719999994</v>
      </c>
      <c r="AB443" s="31">
        <v>506458.55249999999</v>
      </c>
      <c r="AC443" s="31">
        <v>1960053.8733499998</v>
      </c>
      <c r="AD443" s="31">
        <v>1418711.8569191017</v>
      </c>
      <c r="AE443" s="31">
        <v>0</v>
      </c>
      <c r="AF443" s="31">
        <v>15811834.242519101</v>
      </c>
      <c r="AH443" s="276"/>
      <c r="AI443" s="276"/>
      <c r="AJ443" s="276"/>
      <c r="AK443" s="276"/>
      <c r="AL443" s="276"/>
      <c r="AM443" s="276"/>
      <c r="AN443" s="276"/>
      <c r="AO443" s="276"/>
      <c r="AP443" s="276"/>
      <c r="AQ443" s="276"/>
      <c r="AR443" s="276"/>
      <c r="AS443" s="276"/>
      <c r="AT443" s="276"/>
      <c r="AU443" s="276"/>
      <c r="AV443" s="276"/>
      <c r="AW443" s="394"/>
    </row>
    <row r="444" spans="1:49">
      <c r="A444" s="88">
        <v>879</v>
      </c>
      <c r="B444" s="88" t="s">
        <v>2129</v>
      </c>
      <c r="C444" s="31">
        <v>0</v>
      </c>
      <c r="D444" s="31">
        <v>0</v>
      </c>
      <c r="E444" s="31">
        <v>0</v>
      </c>
      <c r="F444" s="31">
        <v>0</v>
      </c>
      <c r="G444" s="31">
        <v>0</v>
      </c>
      <c r="H444" s="31">
        <v>0</v>
      </c>
      <c r="I444" s="31">
        <v>35</v>
      </c>
      <c r="J444" s="31">
        <v>0</v>
      </c>
      <c r="K444" s="31">
        <v>0</v>
      </c>
      <c r="L444" s="31">
        <v>0</v>
      </c>
      <c r="M444" s="31">
        <v>0</v>
      </c>
      <c r="N444" s="31">
        <v>739</v>
      </c>
      <c r="O444" s="31">
        <v>205</v>
      </c>
      <c r="P444" s="31">
        <v>0</v>
      </c>
      <c r="Q444" s="31">
        <v>739</v>
      </c>
      <c r="R444" s="150">
        <v>1</v>
      </c>
      <c r="S444" s="277">
        <v>6</v>
      </c>
      <c r="U444" s="31">
        <v>360886.81</v>
      </c>
      <c r="V444" s="31">
        <v>491228.08</v>
      </c>
      <c r="W444" s="31">
        <v>5893444</v>
      </c>
      <c r="X444" s="31">
        <v>620117.42000000004</v>
      </c>
      <c r="Y444" s="31">
        <v>183241.74</v>
      </c>
      <c r="Z444" s="31">
        <v>925179.78</v>
      </c>
      <c r="AA444" s="31">
        <v>273489.12</v>
      </c>
      <c r="AB444" s="31">
        <v>368391.5</v>
      </c>
      <c r="AC444" s="31">
        <v>1429390.9</v>
      </c>
      <c r="AD444" s="31">
        <v>1090696.9299666509</v>
      </c>
      <c r="AE444" s="31">
        <v>0</v>
      </c>
      <c r="AF444" s="31">
        <v>11636066.279966651</v>
      </c>
      <c r="AH444" s="276"/>
      <c r="AI444" s="276"/>
      <c r="AJ444" s="276"/>
      <c r="AK444" s="276"/>
      <c r="AL444" s="276"/>
      <c r="AM444" s="276"/>
      <c r="AN444" s="276"/>
      <c r="AO444" s="276"/>
      <c r="AP444" s="276"/>
      <c r="AQ444" s="276"/>
      <c r="AR444" s="276"/>
      <c r="AS444" s="276"/>
      <c r="AT444" s="276"/>
      <c r="AU444" s="276"/>
      <c r="AV444" s="276"/>
      <c r="AW444" s="394"/>
    </row>
    <row r="445" spans="1:49">
      <c r="A445" s="88">
        <v>885</v>
      </c>
      <c r="B445" s="88" t="s">
        <v>2130</v>
      </c>
      <c r="C445" s="31">
        <v>0</v>
      </c>
      <c r="D445" s="31">
        <v>0</v>
      </c>
      <c r="E445" s="31">
        <v>0</v>
      </c>
      <c r="F445" s="31">
        <v>0</v>
      </c>
      <c r="G445" s="31">
        <v>0</v>
      </c>
      <c r="H445" s="31">
        <v>0</v>
      </c>
      <c r="I445" s="31">
        <v>58</v>
      </c>
      <c r="J445" s="31">
        <v>0</v>
      </c>
      <c r="K445" s="31">
        <v>0</v>
      </c>
      <c r="L445" s="31">
        <v>0</v>
      </c>
      <c r="M445" s="31">
        <v>0</v>
      </c>
      <c r="N445" s="31">
        <v>1228</v>
      </c>
      <c r="O445" s="31">
        <v>439</v>
      </c>
      <c r="P445" s="31">
        <v>0</v>
      </c>
      <c r="Q445" s="31">
        <v>1228</v>
      </c>
      <c r="R445" s="150">
        <v>1</v>
      </c>
      <c r="S445" s="277">
        <v>8</v>
      </c>
      <c r="U445" s="31">
        <v>599281.82000000007</v>
      </c>
      <c r="V445" s="31">
        <v>816276.16</v>
      </c>
      <c r="W445" s="31">
        <v>10128918.66</v>
      </c>
      <c r="X445" s="31">
        <v>1029202.6000000001</v>
      </c>
      <c r="Y445" s="31">
        <v>311850.58999999997</v>
      </c>
      <c r="Z445" s="31">
        <v>1537319.5200000003</v>
      </c>
      <c r="AA445" s="31">
        <v>454458.24</v>
      </c>
      <c r="AB445" s="31">
        <v>612158</v>
      </c>
      <c r="AC445" s="31">
        <v>2426836.1699999995</v>
      </c>
      <c r="AD445" s="31">
        <v>1846111.5635031234</v>
      </c>
      <c r="AE445" s="31">
        <v>0</v>
      </c>
      <c r="AF445" s="31">
        <v>19762413.323503122</v>
      </c>
      <c r="AH445" s="276"/>
      <c r="AI445" s="276"/>
      <c r="AJ445" s="276"/>
      <c r="AK445" s="276"/>
      <c r="AL445" s="276"/>
      <c r="AM445" s="276"/>
      <c r="AN445" s="276"/>
      <c r="AO445" s="276"/>
      <c r="AP445" s="276"/>
      <c r="AQ445" s="276"/>
      <c r="AR445" s="276"/>
      <c r="AS445" s="276"/>
      <c r="AT445" s="276"/>
      <c r="AU445" s="276"/>
      <c r="AV445" s="276"/>
      <c r="AW445" s="394"/>
    </row>
    <row r="446" spans="1:49">
      <c r="A446" s="88">
        <v>910</v>
      </c>
      <c r="B446" s="88" t="s">
        <v>2131</v>
      </c>
      <c r="C446" s="31">
        <v>0</v>
      </c>
      <c r="D446" s="31">
        <v>0</v>
      </c>
      <c r="E446" s="31">
        <v>0</v>
      </c>
      <c r="F446" s="31">
        <v>0</v>
      </c>
      <c r="G446" s="31">
        <v>0</v>
      </c>
      <c r="H446" s="31">
        <v>0</v>
      </c>
      <c r="I446" s="31">
        <v>20</v>
      </c>
      <c r="J446" s="31">
        <v>0</v>
      </c>
      <c r="K446" s="31">
        <v>0</v>
      </c>
      <c r="L446" s="31">
        <v>0</v>
      </c>
      <c r="M446" s="31">
        <v>0</v>
      </c>
      <c r="N446" s="31">
        <v>412</v>
      </c>
      <c r="O446" s="31">
        <v>99</v>
      </c>
      <c r="P446" s="31">
        <v>0</v>
      </c>
      <c r="Q446" s="31">
        <v>412</v>
      </c>
      <c r="R446" s="150">
        <v>1</v>
      </c>
      <c r="S446" s="277">
        <v>5</v>
      </c>
      <c r="U446" s="31">
        <v>202435.48</v>
      </c>
      <c r="V446" s="31">
        <v>273864.64</v>
      </c>
      <c r="W446" s="31">
        <v>3238519.7</v>
      </c>
      <c r="X446" s="31">
        <v>349534.16000000003</v>
      </c>
      <c r="Y446" s="31">
        <v>101229.6</v>
      </c>
      <c r="Z446" s="31">
        <v>515969.04000000004</v>
      </c>
      <c r="AA446" s="31">
        <v>152472.95999999999</v>
      </c>
      <c r="AB446" s="31">
        <v>205382</v>
      </c>
      <c r="AC446" s="31">
        <v>790372.77</v>
      </c>
      <c r="AD446" s="31">
        <v>604477.95844687941</v>
      </c>
      <c r="AE446" s="31">
        <v>0</v>
      </c>
      <c r="AF446" s="31">
        <v>6434258.3084468804</v>
      </c>
      <c r="AH446" s="276"/>
      <c r="AI446" s="276"/>
      <c r="AJ446" s="276"/>
      <c r="AK446" s="276"/>
      <c r="AL446" s="276"/>
      <c r="AM446" s="276"/>
      <c r="AN446" s="276"/>
      <c r="AO446" s="276"/>
      <c r="AP446" s="276"/>
      <c r="AQ446" s="276"/>
      <c r="AR446" s="276"/>
      <c r="AS446" s="276"/>
      <c r="AT446" s="276"/>
      <c r="AU446" s="276"/>
      <c r="AV446" s="276"/>
      <c r="AW446" s="394"/>
    </row>
    <row r="447" spans="1:49">
      <c r="A447" s="88">
        <v>915</v>
      </c>
      <c r="B447" s="88" t="s">
        <v>2132</v>
      </c>
      <c r="C447" s="31">
        <v>0</v>
      </c>
      <c r="D447" s="31">
        <v>0</v>
      </c>
      <c r="E447" s="31">
        <v>0</v>
      </c>
      <c r="F447" s="31">
        <v>0</v>
      </c>
      <c r="G447" s="31">
        <v>0</v>
      </c>
      <c r="H447" s="31">
        <v>0</v>
      </c>
      <c r="I447" s="31">
        <v>13</v>
      </c>
      <c r="J447" s="31">
        <v>0</v>
      </c>
      <c r="K447" s="31">
        <v>0</v>
      </c>
      <c r="L447" s="31">
        <v>0</v>
      </c>
      <c r="M447" s="31">
        <v>0</v>
      </c>
      <c r="N447" s="31">
        <v>279</v>
      </c>
      <c r="O447" s="31">
        <v>89</v>
      </c>
      <c r="P447" s="31">
        <v>0</v>
      </c>
      <c r="Q447" s="31">
        <v>279</v>
      </c>
      <c r="R447" s="150">
        <v>1.0429999999999999</v>
      </c>
      <c r="S447" s="277">
        <v>7</v>
      </c>
      <c r="U447" s="31">
        <v>141540.42973</v>
      </c>
      <c r="V447" s="31">
        <v>193431.52583999999</v>
      </c>
      <c r="W447" s="31">
        <v>2359803.2075799997</v>
      </c>
      <c r="X447" s="31">
        <v>242439.27973999997</v>
      </c>
      <c r="Y447" s="31">
        <v>72967.862800000003</v>
      </c>
      <c r="Z447" s="31">
        <v>349214.34</v>
      </c>
      <c r="AA447" s="31">
        <v>107692.16975999999</v>
      </c>
      <c r="AB447" s="31">
        <v>145062.00449999998</v>
      </c>
      <c r="AC447" s="31">
        <v>568554.2148999999</v>
      </c>
      <c r="AD447" s="31">
        <v>415065.92593867454</v>
      </c>
      <c r="AE447" s="31">
        <v>0</v>
      </c>
      <c r="AF447" s="31">
        <v>4595770.9607886737</v>
      </c>
      <c r="AH447" s="276"/>
      <c r="AI447" s="276"/>
      <c r="AJ447" s="276"/>
      <c r="AK447" s="276"/>
      <c r="AL447" s="276"/>
      <c r="AM447" s="276"/>
      <c r="AN447" s="276"/>
      <c r="AO447" s="276"/>
      <c r="AP447" s="276"/>
      <c r="AQ447" s="276"/>
      <c r="AR447" s="276"/>
      <c r="AS447" s="276"/>
      <c r="AT447" s="276"/>
      <c r="AU447" s="276"/>
      <c r="AV447" s="276"/>
      <c r="AW447" s="394"/>
    </row>
    <row r="448" spans="1:49" s="72" customFormat="1">
      <c r="A448" s="86">
        <v>999</v>
      </c>
      <c r="B448" s="86" t="s">
        <v>868</v>
      </c>
      <c r="C448" s="91">
        <v>20367</v>
      </c>
      <c r="D448" s="91">
        <v>10899</v>
      </c>
      <c r="E448" s="91">
        <v>45687</v>
      </c>
      <c r="F448" s="91">
        <v>310005</v>
      </c>
      <c r="G448" s="91">
        <v>201417</v>
      </c>
      <c r="H448" s="91">
        <v>232801</v>
      </c>
      <c r="I448" s="91">
        <v>35328</v>
      </c>
      <c r="J448" s="91">
        <v>8802</v>
      </c>
      <c r="K448" s="91">
        <v>3408</v>
      </c>
      <c r="L448" s="91">
        <v>544</v>
      </c>
      <c r="M448" s="91">
        <v>84375</v>
      </c>
      <c r="N448" s="91">
        <v>49280</v>
      </c>
      <c r="O448" s="91">
        <v>314776</v>
      </c>
      <c r="P448" s="91">
        <v>0</v>
      </c>
      <c r="Q448" s="91">
        <v>941303</v>
      </c>
      <c r="R448" s="92">
        <v>1</v>
      </c>
      <c r="S448" s="93"/>
      <c r="T448" s="89"/>
      <c r="U448" s="91">
        <v>458486890.15999997</v>
      </c>
      <c r="V448" s="91">
        <v>625617533.45999992</v>
      </c>
      <c r="W448" s="91">
        <v>3613214512.0799999</v>
      </c>
      <c r="X448" s="91">
        <v>866567511.38999999</v>
      </c>
      <c r="Y448" s="91">
        <v>139350702.44</v>
      </c>
      <c r="Z448" s="91">
        <v>528421238.25</v>
      </c>
      <c r="AA448" s="91">
        <v>271705926.60000002</v>
      </c>
      <c r="AB448" s="91">
        <v>242027653.88000003</v>
      </c>
      <c r="AC448" s="91">
        <v>987463847.16000009</v>
      </c>
      <c r="AD448" s="91">
        <v>943937492.83368945</v>
      </c>
      <c r="AE448" s="91">
        <v>212281178.76000002</v>
      </c>
      <c r="AF448" s="91">
        <v>10379173843.167171</v>
      </c>
      <c r="AH448" s="395"/>
      <c r="AI448" s="395"/>
      <c r="AJ448" s="395"/>
      <c r="AK448" s="395"/>
      <c r="AL448" s="395"/>
      <c r="AM448" s="395"/>
      <c r="AN448" s="395"/>
      <c r="AO448" s="395"/>
      <c r="AP448" s="395"/>
      <c r="AQ448" s="395"/>
      <c r="AR448" s="395"/>
      <c r="AS448" s="395"/>
      <c r="AT448" s="395"/>
      <c r="AU448" s="395"/>
      <c r="AV448" s="395"/>
      <c r="AW448" s="396"/>
    </row>
    <row r="449" spans="3:32">
      <c r="C449" s="276"/>
      <c r="D449" s="276"/>
      <c r="E449" s="276"/>
      <c r="F449" s="276"/>
      <c r="G449" s="276"/>
      <c r="H449" s="276"/>
      <c r="I449" s="276"/>
      <c r="J449" s="276"/>
      <c r="K449" s="276"/>
      <c r="L449" s="276"/>
      <c r="M449" s="276"/>
      <c r="N449" s="276"/>
      <c r="O449" s="276"/>
      <c r="P449" s="276"/>
      <c r="Q449" s="276"/>
      <c r="U449" s="276"/>
      <c r="V449" s="276"/>
      <c r="W449" s="276"/>
      <c r="X449" s="276"/>
      <c r="Y449" s="276"/>
      <c r="Z449" s="276"/>
      <c r="AA449" s="276"/>
      <c r="AB449" s="276"/>
      <c r="AC449" s="276"/>
      <c r="AD449" s="276"/>
      <c r="AE449" s="276"/>
      <c r="AF449" s="276"/>
    </row>
    <row r="450" spans="3:32">
      <c r="C450" s="276"/>
      <c r="D450" s="276"/>
      <c r="E450" s="276"/>
      <c r="F450" s="276"/>
      <c r="G450" s="276"/>
      <c r="H450" s="276"/>
      <c r="I450" s="276"/>
      <c r="J450" s="276"/>
      <c r="K450" s="276"/>
      <c r="L450" s="276"/>
      <c r="M450" s="276"/>
      <c r="N450" s="276"/>
      <c r="O450" s="276"/>
      <c r="P450" s="276"/>
      <c r="Q450" s="276"/>
      <c r="U450" s="278"/>
      <c r="V450" s="278"/>
      <c r="W450" s="278"/>
      <c r="X450" s="278"/>
      <c r="Y450" s="278"/>
      <c r="Z450" s="278"/>
      <c r="AA450" s="278"/>
      <c r="AB450" s="278"/>
      <c r="AC450" s="278"/>
      <c r="AD450" s="278"/>
      <c r="AE450" s="278"/>
      <c r="AF450" s="278"/>
    </row>
  </sheetData>
  <autoFilter ref="A9:AF448"/>
  <sortState ref="A10:R448">
    <sortCondition ref="A10:A448"/>
  </sortState>
  <phoneticPr fontId="10" type="noConversion"/>
  <pageMargins left="0.75" right="0.75" top="1" bottom="1" header="0.5" footer="0.5"/>
  <headerFooter alignWithMargins="0">
    <oddHeader>&amp;A</oddHeader>
    <oddFooter>Page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P465"/>
  <sheetViews>
    <sheetView workbookViewId="0">
      <selection activeCell="E31" sqref="E31"/>
    </sheetView>
  </sheetViews>
  <sheetFormatPr defaultColWidth="9" defaultRowHeight="12.75"/>
  <cols>
    <col min="1" max="2" width="7.875" style="585" customWidth="1"/>
    <col min="3" max="3" width="32.625" style="586" customWidth="1"/>
    <col min="4" max="4" width="4.625" style="585" customWidth="1"/>
    <col min="5" max="5" width="27.625" style="586" customWidth="1"/>
    <col min="6" max="16384" width="9" style="586"/>
  </cols>
  <sheetData>
    <row r="1" spans="1:16" ht="11.25" customHeight="1"/>
    <row r="2" spans="1:16" s="240" customFormat="1">
      <c r="A2" s="620" t="s">
        <v>1185</v>
      </c>
      <c r="B2" s="620"/>
      <c r="C2" s="620"/>
      <c r="D2" s="620"/>
      <c r="E2" s="620"/>
      <c r="K2" s="620" t="s">
        <v>2338</v>
      </c>
      <c r="L2" s="620"/>
      <c r="M2" s="620"/>
      <c r="N2" s="620"/>
      <c r="O2" s="620"/>
      <c r="P2" s="620"/>
    </row>
    <row r="3" spans="1:16" s="242" customFormat="1">
      <c r="A3" s="241">
        <v>316</v>
      </c>
      <c r="B3" s="241">
        <v>81</v>
      </c>
      <c r="D3" s="243"/>
    </row>
    <row r="4" spans="1:16" s="240" customFormat="1">
      <c r="A4" s="244" t="s">
        <v>1209</v>
      </c>
      <c r="B4" s="244" t="s">
        <v>1210</v>
      </c>
      <c r="C4" s="245" t="s">
        <v>1248</v>
      </c>
      <c r="D4" s="246" t="s">
        <v>58</v>
      </c>
      <c r="E4" s="240" t="s">
        <v>1133</v>
      </c>
      <c r="F4" s="240" t="s">
        <v>2339</v>
      </c>
      <c r="H4" s="15" t="s">
        <v>1195</v>
      </c>
      <c r="I4" s="7"/>
      <c r="K4" s="7"/>
      <c r="L4" s="582" t="s">
        <v>62</v>
      </c>
      <c r="M4" s="7"/>
      <c r="N4" s="582"/>
      <c r="O4" s="582"/>
      <c r="P4" s="582"/>
    </row>
    <row r="5" spans="1:16" s="242" customFormat="1">
      <c r="A5" s="243">
        <v>1</v>
      </c>
      <c r="B5" s="243"/>
      <c r="C5" s="242" t="str">
        <f>PROPER(D5&amp;" "&amp;E5)</f>
        <v>1 Abington</v>
      </c>
      <c r="D5" s="247">
        <v>1</v>
      </c>
      <c r="E5" s="248" t="s">
        <v>1267</v>
      </c>
      <c r="F5" s="248" t="s">
        <v>2340</v>
      </c>
      <c r="H5" s="7">
        <v>406</v>
      </c>
      <c r="I5" s="7">
        <v>1</v>
      </c>
      <c r="K5" s="582" t="s">
        <v>89</v>
      </c>
      <c r="L5" s="582" t="s">
        <v>63</v>
      </c>
      <c r="M5" s="582" t="s">
        <v>1136</v>
      </c>
      <c r="N5" s="582" t="s">
        <v>1133</v>
      </c>
      <c r="O5" s="582" t="s">
        <v>1135</v>
      </c>
      <c r="P5" s="582" t="s">
        <v>59</v>
      </c>
    </row>
    <row r="6" spans="1:16" s="242" customFormat="1">
      <c r="A6" s="243">
        <v>2</v>
      </c>
      <c r="B6" s="243"/>
      <c r="C6" s="242" t="str">
        <f t="shared" ref="C6:C69" si="0">PROPER(D6&amp;" "&amp;E6)</f>
        <v>2 Acton</v>
      </c>
      <c r="D6" s="247">
        <v>2</v>
      </c>
      <c r="E6" s="248" t="s">
        <v>1268</v>
      </c>
      <c r="F6" s="248" t="s">
        <v>2341</v>
      </c>
      <c r="H6" s="7">
        <v>600</v>
      </c>
      <c r="I6" s="7">
        <v>2</v>
      </c>
      <c r="K6" s="421">
        <v>40601</v>
      </c>
      <c r="L6" s="421">
        <v>1</v>
      </c>
      <c r="M6" s="421">
        <v>406</v>
      </c>
      <c r="N6" s="421" t="s">
        <v>567</v>
      </c>
      <c r="O6" s="421">
        <v>210</v>
      </c>
      <c r="P6" s="421" t="s">
        <v>954</v>
      </c>
    </row>
    <row r="7" spans="1:16" s="242" customFormat="1">
      <c r="A7" s="243">
        <v>3</v>
      </c>
      <c r="B7" s="243"/>
      <c r="C7" s="242" t="str">
        <f t="shared" si="0"/>
        <v>3 Acushnet</v>
      </c>
      <c r="D7" s="247">
        <v>3</v>
      </c>
      <c r="E7" s="248" t="s">
        <v>1269</v>
      </c>
      <c r="F7" s="248" t="s">
        <v>2342</v>
      </c>
      <c r="H7" s="7">
        <v>603</v>
      </c>
      <c r="I7" s="7">
        <v>2</v>
      </c>
      <c r="K7" s="421">
        <v>60001</v>
      </c>
      <c r="L7" s="421">
        <v>1</v>
      </c>
      <c r="M7" s="421">
        <v>600</v>
      </c>
      <c r="N7" s="421" t="s">
        <v>1156</v>
      </c>
      <c r="O7" s="421">
        <v>2</v>
      </c>
      <c r="P7" s="421" t="s">
        <v>1163</v>
      </c>
    </row>
    <row r="8" spans="1:16" s="242" customFormat="1">
      <c r="A8" s="243">
        <v>4</v>
      </c>
      <c r="B8" s="243"/>
      <c r="C8" s="242" t="str">
        <f t="shared" si="0"/>
        <v>4 Adams</v>
      </c>
      <c r="D8" s="247">
        <v>4</v>
      </c>
      <c r="E8" s="248" t="s">
        <v>1270</v>
      </c>
      <c r="F8" s="248" t="s">
        <v>2343</v>
      </c>
      <c r="H8" s="7">
        <v>605</v>
      </c>
      <c r="I8" s="7">
        <v>4</v>
      </c>
      <c r="K8" s="421">
        <v>60002</v>
      </c>
      <c r="L8" s="421">
        <v>2</v>
      </c>
      <c r="M8" s="421">
        <v>600</v>
      </c>
      <c r="N8" s="421" t="s">
        <v>1156</v>
      </c>
      <c r="O8" s="421">
        <v>37</v>
      </c>
      <c r="P8" s="421" t="s">
        <v>690</v>
      </c>
    </row>
    <row r="9" spans="1:16" s="242" customFormat="1">
      <c r="A9" s="243">
        <v>5</v>
      </c>
      <c r="B9" s="243"/>
      <c r="C9" s="242" t="str">
        <f t="shared" si="0"/>
        <v>5 Agawam</v>
      </c>
      <c r="D9" s="247">
        <v>5</v>
      </c>
      <c r="E9" s="248" t="s">
        <v>1271</v>
      </c>
      <c r="F9" s="248" t="s">
        <v>2344</v>
      </c>
      <c r="H9" s="7">
        <v>610</v>
      </c>
      <c r="I9" s="7">
        <v>2</v>
      </c>
      <c r="K9" s="421">
        <v>60301</v>
      </c>
      <c r="L9" s="421">
        <v>1</v>
      </c>
      <c r="M9" s="421">
        <v>603</v>
      </c>
      <c r="N9" s="421" t="s">
        <v>568</v>
      </c>
      <c r="O9" s="421">
        <v>4</v>
      </c>
      <c r="P9" s="421" t="s">
        <v>1169</v>
      </c>
    </row>
    <row r="10" spans="1:16" s="242" customFormat="1">
      <c r="A10" s="243">
        <v>6</v>
      </c>
      <c r="B10" s="243"/>
      <c r="C10" s="242" t="str">
        <f t="shared" si="0"/>
        <v>6 Alford</v>
      </c>
      <c r="D10" s="247">
        <v>6</v>
      </c>
      <c r="E10" s="248" t="s">
        <v>1272</v>
      </c>
      <c r="F10" s="248" t="s">
        <v>2345</v>
      </c>
      <c r="H10" s="7">
        <v>615</v>
      </c>
      <c r="I10" s="7">
        <v>2</v>
      </c>
      <c r="K10" s="421">
        <v>60302</v>
      </c>
      <c r="L10" s="421">
        <v>2</v>
      </c>
      <c r="M10" s="421">
        <v>603</v>
      </c>
      <c r="N10" s="421" t="s">
        <v>568</v>
      </c>
      <c r="O10" s="421">
        <v>58</v>
      </c>
      <c r="P10" s="421" t="s">
        <v>722</v>
      </c>
    </row>
    <row r="11" spans="1:16" s="242" customFormat="1">
      <c r="A11" s="243">
        <v>7</v>
      </c>
      <c r="B11" s="243"/>
      <c r="C11" s="242" t="str">
        <f t="shared" si="0"/>
        <v>7 Amesbury</v>
      </c>
      <c r="D11" s="247">
        <v>7</v>
      </c>
      <c r="E11" s="248" t="s">
        <v>1273</v>
      </c>
      <c r="F11" s="248" t="s">
        <v>2346</v>
      </c>
      <c r="H11" s="7">
        <v>616</v>
      </c>
      <c r="I11" s="7">
        <v>2</v>
      </c>
      <c r="K11" s="421">
        <v>60501</v>
      </c>
      <c r="L11" s="421">
        <v>1</v>
      </c>
      <c r="M11" s="421">
        <v>605</v>
      </c>
      <c r="N11" s="421" t="s">
        <v>569</v>
      </c>
      <c r="O11" s="421">
        <v>8</v>
      </c>
      <c r="P11" s="421" t="s">
        <v>3</v>
      </c>
    </row>
    <row r="12" spans="1:16" s="242" customFormat="1">
      <c r="A12" s="243">
        <v>8</v>
      </c>
      <c r="B12" s="243"/>
      <c r="C12" s="242" t="str">
        <f t="shared" si="0"/>
        <v>8 Amherst</v>
      </c>
      <c r="D12" s="247">
        <v>8</v>
      </c>
      <c r="E12" s="248" t="s">
        <v>1274</v>
      </c>
      <c r="F12" s="248" t="s">
        <v>2347</v>
      </c>
      <c r="H12" s="7">
        <v>618</v>
      </c>
      <c r="I12" s="7">
        <v>3</v>
      </c>
      <c r="K12" s="421">
        <v>60502</v>
      </c>
      <c r="L12" s="421">
        <v>2</v>
      </c>
      <c r="M12" s="421">
        <v>605</v>
      </c>
      <c r="N12" s="421" t="s">
        <v>569</v>
      </c>
      <c r="O12" s="421">
        <v>154</v>
      </c>
      <c r="P12" s="421" t="s">
        <v>852</v>
      </c>
    </row>
    <row r="13" spans="1:16" s="242" customFormat="1">
      <c r="A13" s="243">
        <v>9</v>
      </c>
      <c r="B13" s="243"/>
      <c r="C13" s="242" t="str">
        <f t="shared" si="0"/>
        <v>9 Andover</v>
      </c>
      <c r="D13" s="247">
        <v>9</v>
      </c>
      <c r="E13" s="248" t="s">
        <v>1275</v>
      </c>
      <c r="F13" s="248" t="s">
        <v>2348</v>
      </c>
      <c r="H13" s="7">
        <v>620</v>
      </c>
      <c r="I13" s="7">
        <v>2</v>
      </c>
      <c r="K13" s="421">
        <v>60503</v>
      </c>
      <c r="L13" s="421">
        <v>3</v>
      </c>
      <c r="M13" s="421">
        <v>605</v>
      </c>
      <c r="N13" s="421" t="s">
        <v>569</v>
      </c>
      <c r="O13" s="421">
        <v>230</v>
      </c>
      <c r="P13" s="421" t="s">
        <v>991</v>
      </c>
    </row>
    <row r="14" spans="1:16" s="242" customFormat="1">
      <c r="A14" s="243">
        <v>10</v>
      </c>
      <c r="B14" s="243"/>
      <c r="C14" s="242" t="str">
        <f t="shared" si="0"/>
        <v>10 Arlington</v>
      </c>
      <c r="D14" s="247">
        <v>10</v>
      </c>
      <c r="E14" s="248" t="s">
        <v>1276</v>
      </c>
      <c r="F14" s="248" t="s">
        <v>2349</v>
      </c>
      <c r="H14" s="7">
        <v>622</v>
      </c>
      <c r="I14" s="7">
        <v>2</v>
      </c>
      <c r="K14" s="421">
        <v>60504</v>
      </c>
      <c r="L14" s="421">
        <v>4</v>
      </c>
      <c r="M14" s="421">
        <v>605</v>
      </c>
      <c r="N14" s="421" t="s">
        <v>569</v>
      </c>
      <c r="O14" s="421">
        <v>272</v>
      </c>
      <c r="P14" s="421" t="s">
        <v>1042</v>
      </c>
    </row>
    <row r="15" spans="1:16" s="242" customFormat="1">
      <c r="A15" s="243">
        <v>11</v>
      </c>
      <c r="B15" s="243"/>
      <c r="C15" s="242" t="str">
        <f t="shared" si="0"/>
        <v>11 Ashburnham</v>
      </c>
      <c r="D15" s="247">
        <v>11</v>
      </c>
      <c r="E15" s="248" t="s">
        <v>1277</v>
      </c>
      <c r="F15" s="248" t="s">
        <v>2350</v>
      </c>
      <c r="H15" s="7">
        <v>625</v>
      </c>
      <c r="I15" s="7">
        <v>2</v>
      </c>
      <c r="K15" s="421">
        <v>61001</v>
      </c>
      <c r="L15" s="421">
        <v>1</v>
      </c>
      <c r="M15" s="421">
        <v>610</v>
      </c>
      <c r="N15" s="421" t="s">
        <v>570</v>
      </c>
      <c r="O15" s="421">
        <v>11</v>
      </c>
      <c r="P15" s="421" t="s">
        <v>8</v>
      </c>
    </row>
    <row r="16" spans="1:16" s="242" customFormat="1">
      <c r="A16" s="243">
        <v>12</v>
      </c>
      <c r="B16" s="243"/>
      <c r="C16" s="242" t="str">
        <f t="shared" si="0"/>
        <v>12 Ashby</v>
      </c>
      <c r="D16" s="247">
        <v>12</v>
      </c>
      <c r="E16" s="248" t="s">
        <v>1278</v>
      </c>
      <c r="F16" s="248" t="s">
        <v>2351</v>
      </c>
      <c r="H16" s="7">
        <v>632</v>
      </c>
      <c r="I16" s="7">
        <v>2</v>
      </c>
      <c r="K16" s="421">
        <v>61002</v>
      </c>
      <c r="L16" s="421">
        <v>2</v>
      </c>
      <c r="M16" s="421">
        <v>610</v>
      </c>
      <c r="N16" s="421" t="s">
        <v>570</v>
      </c>
      <c r="O16" s="421">
        <v>328</v>
      </c>
      <c r="P16" s="421" t="s">
        <v>1106</v>
      </c>
    </row>
    <row r="17" spans="1:16" s="242" customFormat="1">
      <c r="A17" s="243">
        <v>13</v>
      </c>
      <c r="B17" s="243"/>
      <c r="C17" s="242" t="str">
        <f t="shared" si="0"/>
        <v>13 Ashfield</v>
      </c>
      <c r="D17" s="247">
        <v>13</v>
      </c>
      <c r="E17" s="248" t="s">
        <v>1279</v>
      </c>
      <c r="F17" s="248" t="s">
        <v>2352</v>
      </c>
      <c r="H17" s="7">
        <v>635</v>
      </c>
      <c r="I17" s="7">
        <v>7</v>
      </c>
      <c r="K17" s="421">
        <v>61501</v>
      </c>
      <c r="L17" s="421">
        <v>1</v>
      </c>
      <c r="M17" s="421">
        <v>615</v>
      </c>
      <c r="N17" s="421" t="s">
        <v>571</v>
      </c>
      <c r="O17" s="421">
        <v>15</v>
      </c>
      <c r="P17" s="421" t="s">
        <v>17</v>
      </c>
    </row>
    <row r="18" spans="1:16" s="242" customFormat="1">
      <c r="A18" s="243">
        <v>14</v>
      </c>
      <c r="B18" s="243"/>
      <c r="C18" s="242" t="str">
        <f t="shared" si="0"/>
        <v>14 Ashland</v>
      </c>
      <c r="D18" s="247">
        <v>14</v>
      </c>
      <c r="E18" s="248" t="s">
        <v>1280</v>
      </c>
      <c r="F18" s="248" t="s">
        <v>2353</v>
      </c>
      <c r="H18" s="7">
        <v>640</v>
      </c>
      <c r="I18" s="7">
        <v>2</v>
      </c>
      <c r="K18" s="421">
        <v>61502</v>
      </c>
      <c r="L18" s="421">
        <v>2</v>
      </c>
      <c r="M18" s="421">
        <v>615</v>
      </c>
      <c r="N18" s="421" t="s">
        <v>571</v>
      </c>
      <c r="O18" s="421">
        <v>255</v>
      </c>
      <c r="P18" s="421" t="s">
        <v>1025</v>
      </c>
    </row>
    <row r="19" spans="1:16" s="242" customFormat="1">
      <c r="A19" s="243">
        <v>15</v>
      </c>
      <c r="B19" s="243"/>
      <c r="C19" s="242" t="str">
        <f t="shared" si="0"/>
        <v>15 Athol</v>
      </c>
      <c r="D19" s="247">
        <v>15</v>
      </c>
      <c r="E19" s="248" t="s">
        <v>1281</v>
      </c>
      <c r="F19" s="248" t="s">
        <v>2354</v>
      </c>
      <c r="H19" s="7">
        <v>645</v>
      </c>
      <c r="I19" s="7">
        <v>2</v>
      </c>
      <c r="K19" s="421">
        <v>61601</v>
      </c>
      <c r="L19" s="421">
        <v>1</v>
      </c>
      <c r="M19" s="421">
        <v>616</v>
      </c>
      <c r="N19" s="421" t="s">
        <v>687</v>
      </c>
      <c r="O19" s="421">
        <v>19</v>
      </c>
      <c r="P19" s="421" t="s">
        <v>25</v>
      </c>
    </row>
    <row r="20" spans="1:16" s="242" customFormat="1">
      <c r="A20" s="243">
        <v>16</v>
      </c>
      <c r="B20" s="243"/>
      <c r="C20" s="242" t="str">
        <f t="shared" si="0"/>
        <v>16 Attleboro</v>
      </c>
      <c r="D20" s="247">
        <v>16</v>
      </c>
      <c r="E20" s="248" t="s">
        <v>1282</v>
      </c>
      <c r="F20" s="248" t="s">
        <v>2355</v>
      </c>
      <c r="H20" s="7">
        <v>650</v>
      </c>
      <c r="I20" s="7">
        <v>2</v>
      </c>
      <c r="K20" s="421">
        <v>61602</v>
      </c>
      <c r="L20" s="421">
        <v>2</v>
      </c>
      <c r="M20" s="421">
        <v>616</v>
      </c>
      <c r="N20" s="421" t="s">
        <v>687</v>
      </c>
      <c r="O20" s="421">
        <v>270</v>
      </c>
      <c r="P20" s="421" t="s">
        <v>1040</v>
      </c>
    </row>
    <row r="21" spans="1:16" s="242" customFormat="1">
      <c r="A21" s="243">
        <v>17</v>
      </c>
      <c r="B21" s="243"/>
      <c r="C21" s="242" t="str">
        <f t="shared" si="0"/>
        <v>17 Auburn</v>
      </c>
      <c r="D21" s="247">
        <v>17</v>
      </c>
      <c r="E21" s="248" t="s">
        <v>1283</v>
      </c>
      <c r="F21" s="248" t="s">
        <v>2356</v>
      </c>
      <c r="H21" s="7">
        <v>655</v>
      </c>
      <c r="I21" s="7">
        <v>2</v>
      </c>
      <c r="K21" s="421">
        <v>61801</v>
      </c>
      <c r="L21" s="421">
        <v>1</v>
      </c>
      <c r="M21" s="421">
        <v>618</v>
      </c>
      <c r="N21" s="421" t="s">
        <v>572</v>
      </c>
      <c r="O21" s="421">
        <v>113</v>
      </c>
      <c r="P21" s="421" t="s">
        <v>803</v>
      </c>
    </row>
    <row r="22" spans="1:16" s="242" customFormat="1">
      <c r="A22" s="243">
        <v>18</v>
      </c>
      <c r="B22" s="243"/>
      <c r="C22" s="242" t="str">
        <f t="shared" si="0"/>
        <v>18 Avon</v>
      </c>
      <c r="D22" s="247">
        <v>18</v>
      </c>
      <c r="E22" s="248" t="s">
        <v>1284</v>
      </c>
      <c r="F22" s="248" t="s">
        <v>2357</v>
      </c>
      <c r="H22" s="7">
        <v>658</v>
      </c>
      <c r="I22" s="7">
        <v>2</v>
      </c>
      <c r="K22" s="421">
        <v>61802</v>
      </c>
      <c r="L22" s="421">
        <v>2</v>
      </c>
      <c r="M22" s="421">
        <v>618</v>
      </c>
      <c r="N22" s="421" t="s">
        <v>572</v>
      </c>
      <c r="O22" s="421">
        <v>283</v>
      </c>
      <c r="P22" s="421" t="s">
        <v>1060</v>
      </c>
    </row>
    <row r="23" spans="1:16" s="242" customFormat="1">
      <c r="A23" s="243">
        <v>19</v>
      </c>
      <c r="B23" s="243"/>
      <c r="C23" s="242" t="str">
        <f t="shared" si="0"/>
        <v>19 Ayer</v>
      </c>
      <c r="D23" s="247">
        <v>19</v>
      </c>
      <c r="E23" s="248" t="s">
        <v>1285</v>
      </c>
      <c r="F23" s="248" t="s">
        <v>2358</v>
      </c>
      <c r="H23" s="7">
        <v>660</v>
      </c>
      <c r="I23" s="7">
        <v>4</v>
      </c>
      <c r="K23" s="421">
        <v>61803</v>
      </c>
      <c r="L23" s="421">
        <v>3</v>
      </c>
      <c r="M23" s="421">
        <v>618</v>
      </c>
      <c r="N23" s="421" t="s">
        <v>572</v>
      </c>
      <c r="O23" s="421">
        <v>333</v>
      </c>
      <c r="P23" s="421" t="s">
        <v>1111</v>
      </c>
    </row>
    <row r="24" spans="1:16" s="242" customFormat="1">
      <c r="A24" s="243">
        <v>20</v>
      </c>
      <c r="B24" s="243"/>
      <c r="C24" s="242" t="str">
        <f t="shared" si="0"/>
        <v>20 Barnstable</v>
      </c>
      <c r="D24" s="247">
        <v>20</v>
      </c>
      <c r="E24" s="248" t="s">
        <v>1286</v>
      </c>
      <c r="F24" s="248" t="s">
        <v>2359</v>
      </c>
      <c r="H24" s="7">
        <v>662</v>
      </c>
      <c r="I24" s="7">
        <v>2</v>
      </c>
      <c r="K24" s="421">
        <v>62001</v>
      </c>
      <c r="L24" s="421">
        <v>1</v>
      </c>
      <c r="M24" s="421">
        <v>620</v>
      </c>
      <c r="N24" s="421" t="s">
        <v>573</v>
      </c>
      <c r="O24" s="421">
        <v>28</v>
      </c>
      <c r="P24" s="421" t="s">
        <v>41</v>
      </c>
    </row>
    <row r="25" spans="1:16" s="242" customFormat="1">
      <c r="A25" s="243">
        <v>21</v>
      </c>
      <c r="B25" s="243"/>
      <c r="C25" s="242" t="str">
        <f t="shared" si="0"/>
        <v>21 Barre</v>
      </c>
      <c r="D25" s="247">
        <v>21</v>
      </c>
      <c r="E25" s="248" t="s">
        <v>1287</v>
      </c>
      <c r="F25" s="248" t="s">
        <v>2360</v>
      </c>
      <c r="H25" s="7">
        <v>665</v>
      </c>
      <c r="I25" s="7">
        <v>2</v>
      </c>
      <c r="K25" s="421">
        <v>62002</v>
      </c>
      <c r="L25" s="421">
        <v>2</v>
      </c>
      <c r="M25" s="421">
        <v>620</v>
      </c>
      <c r="N25" s="421" t="s">
        <v>573</v>
      </c>
      <c r="O25" s="421">
        <v>39</v>
      </c>
      <c r="P25" s="421" t="s">
        <v>693</v>
      </c>
    </row>
    <row r="26" spans="1:16" s="242" customFormat="1">
      <c r="A26" s="243">
        <v>22</v>
      </c>
      <c r="B26" s="243"/>
      <c r="C26" s="242" t="str">
        <f t="shared" si="0"/>
        <v>22 Becket</v>
      </c>
      <c r="D26" s="247">
        <v>22</v>
      </c>
      <c r="E26" s="248" t="s">
        <v>1288</v>
      </c>
      <c r="F26" s="248" t="s">
        <v>2361</v>
      </c>
      <c r="H26" s="7">
        <v>670</v>
      </c>
      <c r="I26" s="7">
        <v>4</v>
      </c>
      <c r="K26" s="421">
        <v>62201</v>
      </c>
      <c r="L26" s="421">
        <v>1</v>
      </c>
      <c r="M26" s="421">
        <v>622</v>
      </c>
      <c r="N26" s="421" t="s">
        <v>574</v>
      </c>
      <c r="O26" s="421">
        <v>32</v>
      </c>
      <c r="P26" s="421" t="s">
        <v>49</v>
      </c>
    </row>
    <row r="27" spans="1:16" s="242" customFormat="1">
      <c r="A27" s="243">
        <v>23</v>
      </c>
      <c r="B27" s="243"/>
      <c r="C27" s="242" t="str">
        <f t="shared" si="0"/>
        <v>23 Bedford</v>
      </c>
      <c r="D27" s="247">
        <v>23</v>
      </c>
      <c r="E27" s="248" t="s">
        <v>1289</v>
      </c>
      <c r="F27" s="248" t="s">
        <v>2362</v>
      </c>
      <c r="H27" s="7">
        <v>672</v>
      </c>
      <c r="I27" s="7">
        <v>6</v>
      </c>
      <c r="K27" s="421">
        <v>62202</v>
      </c>
      <c r="L27" s="421">
        <v>2</v>
      </c>
      <c r="M27" s="421">
        <v>622</v>
      </c>
      <c r="N27" s="421" t="s">
        <v>574</v>
      </c>
      <c r="O27" s="421">
        <v>188</v>
      </c>
      <c r="P27" s="421" t="s">
        <v>927</v>
      </c>
    </row>
    <row r="28" spans="1:16" s="242" customFormat="1">
      <c r="A28" s="243">
        <v>24</v>
      </c>
      <c r="B28" s="243"/>
      <c r="C28" s="242" t="str">
        <f t="shared" si="0"/>
        <v>24 Belchertown</v>
      </c>
      <c r="D28" s="247">
        <v>24</v>
      </c>
      <c r="E28" s="248" t="s">
        <v>1290</v>
      </c>
      <c r="F28" s="248" t="s">
        <v>2363</v>
      </c>
      <c r="H28" s="7">
        <v>673</v>
      </c>
      <c r="I28" s="7">
        <v>2</v>
      </c>
      <c r="K28" s="421">
        <v>62501</v>
      </c>
      <c r="L28" s="421">
        <v>1</v>
      </c>
      <c r="M28" s="421">
        <v>625</v>
      </c>
      <c r="N28" s="421" t="s">
        <v>575</v>
      </c>
      <c r="O28" s="421">
        <v>42</v>
      </c>
      <c r="P28" s="421" t="s">
        <v>697</v>
      </c>
    </row>
    <row r="29" spans="1:16" s="242" customFormat="1">
      <c r="A29" s="243">
        <v>25</v>
      </c>
      <c r="B29" s="243"/>
      <c r="C29" s="242" t="str">
        <f t="shared" si="0"/>
        <v>25 Bellingham</v>
      </c>
      <c r="D29" s="247">
        <v>25</v>
      </c>
      <c r="E29" s="248" t="s">
        <v>1291</v>
      </c>
      <c r="F29" s="248" t="s">
        <v>2364</v>
      </c>
      <c r="H29" s="7">
        <v>674</v>
      </c>
      <c r="I29" s="7">
        <v>2</v>
      </c>
      <c r="K29" s="421">
        <v>62502</v>
      </c>
      <c r="L29" s="421">
        <v>2</v>
      </c>
      <c r="M29" s="421">
        <v>625</v>
      </c>
      <c r="N29" s="421" t="s">
        <v>575</v>
      </c>
      <c r="O29" s="421">
        <v>245</v>
      </c>
      <c r="P29" s="421" t="s">
        <v>1015</v>
      </c>
    </row>
    <row r="30" spans="1:16" s="242" customFormat="1">
      <c r="A30" s="243">
        <v>26</v>
      </c>
      <c r="B30" s="243"/>
      <c r="C30" s="242" t="str">
        <f t="shared" si="0"/>
        <v>26 Belmont</v>
      </c>
      <c r="D30" s="247">
        <v>26</v>
      </c>
      <c r="E30" s="248" t="s">
        <v>1292</v>
      </c>
      <c r="F30" s="248" t="s">
        <v>2365</v>
      </c>
      <c r="H30" s="7">
        <v>675</v>
      </c>
      <c r="I30" s="7">
        <v>2</v>
      </c>
      <c r="K30" s="421">
        <v>63201</v>
      </c>
      <c r="L30" s="421">
        <v>1</v>
      </c>
      <c r="M30" s="421">
        <v>632</v>
      </c>
      <c r="N30" s="421" t="s">
        <v>725</v>
      </c>
      <c r="O30" s="421">
        <v>60</v>
      </c>
      <c r="P30" s="421" t="s">
        <v>724</v>
      </c>
    </row>
    <row r="31" spans="1:16" s="242" customFormat="1">
      <c r="A31" s="243">
        <v>27</v>
      </c>
      <c r="B31" s="243"/>
      <c r="C31" s="242" t="str">
        <f t="shared" si="0"/>
        <v>27 Berkley</v>
      </c>
      <c r="D31" s="247">
        <v>27</v>
      </c>
      <c r="E31" s="248" t="s">
        <v>1293</v>
      </c>
      <c r="F31" s="248" t="s">
        <v>2366</v>
      </c>
      <c r="H31" s="7">
        <v>680</v>
      </c>
      <c r="I31" s="7">
        <v>2</v>
      </c>
      <c r="K31" s="421">
        <v>63202</v>
      </c>
      <c r="L31" s="421">
        <v>2</v>
      </c>
      <c r="M31" s="421">
        <v>632</v>
      </c>
      <c r="N31" s="421" t="s">
        <v>725</v>
      </c>
      <c r="O31" s="421">
        <v>108</v>
      </c>
      <c r="P31" s="421" t="s">
        <v>798</v>
      </c>
    </row>
    <row r="32" spans="1:16" s="242" customFormat="1">
      <c r="A32" s="243">
        <v>28</v>
      </c>
      <c r="B32" s="243"/>
      <c r="C32" s="242" t="str">
        <f t="shared" si="0"/>
        <v>28 Berlin</v>
      </c>
      <c r="D32" s="247">
        <v>28</v>
      </c>
      <c r="E32" s="248" t="s">
        <v>1294</v>
      </c>
      <c r="F32" s="248" t="s">
        <v>2367</v>
      </c>
      <c r="H32" s="7">
        <v>683</v>
      </c>
      <c r="I32" s="7">
        <v>5</v>
      </c>
      <c r="K32" s="421">
        <v>63501</v>
      </c>
      <c r="L32" s="421">
        <v>1</v>
      </c>
      <c r="M32" s="421">
        <v>635</v>
      </c>
      <c r="N32" s="421" t="s">
        <v>576</v>
      </c>
      <c r="O32" s="421">
        <v>22</v>
      </c>
      <c r="P32" s="421" t="s">
        <v>30</v>
      </c>
    </row>
    <row r="33" spans="1:16" s="242" customFormat="1">
      <c r="A33" s="243">
        <v>29</v>
      </c>
      <c r="B33" s="243"/>
      <c r="C33" s="242" t="str">
        <f t="shared" si="0"/>
        <v>29 Bernardston</v>
      </c>
      <c r="D33" s="247">
        <v>29</v>
      </c>
      <c r="E33" s="248" t="s">
        <v>1295</v>
      </c>
      <c r="F33" s="248" t="s">
        <v>2368</v>
      </c>
      <c r="H33" s="7">
        <v>685</v>
      </c>
      <c r="I33" s="7">
        <v>2</v>
      </c>
      <c r="K33" s="421">
        <v>63502</v>
      </c>
      <c r="L33" s="421">
        <v>2</v>
      </c>
      <c r="M33" s="421">
        <v>635</v>
      </c>
      <c r="N33" s="421" t="s">
        <v>576</v>
      </c>
      <c r="O33" s="421">
        <v>69</v>
      </c>
      <c r="P33" s="421" t="s">
        <v>741</v>
      </c>
    </row>
    <row r="34" spans="1:16" s="242" customFormat="1">
      <c r="A34" s="243">
        <v>30</v>
      </c>
      <c r="B34" s="243"/>
      <c r="C34" s="242" t="str">
        <f t="shared" si="0"/>
        <v>30 Beverly</v>
      </c>
      <c r="D34" s="247">
        <v>30</v>
      </c>
      <c r="E34" s="248" t="s">
        <v>1296</v>
      </c>
      <c r="F34" s="248" t="s">
        <v>2369</v>
      </c>
      <c r="H34" s="7">
        <v>690</v>
      </c>
      <c r="I34" s="7">
        <v>3</v>
      </c>
      <c r="K34" s="421">
        <v>63503</v>
      </c>
      <c r="L34" s="421">
        <v>3</v>
      </c>
      <c r="M34" s="421">
        <v>635</v>
      </c>
      <c r="N34" s="421" t="s">
        <v>576</v>
      </c>
      <c r="O34" s="421">
        <v>70</v>
      </c>
      <c r="P34" s="421" t="s">
        <v>742</v>
      </c>
    </row>
    <row r="35" spans="1:16" s="242" customFormat="1">
      <c r="A35" s="243">
        <v>31</v>
      </c>
      <c r="B35" s="243"/>
      <c r="C35" s="242" t="str">
        <f t="shared" si="0"/>
        <v>31 Billerica</v>
      </c>
      <c r="D35" s="247">
        <v>31</v>
      </c>
      <c r="E35" s="248" t="s">
        <v>1297</v>
      </c>
      <c r="F35" s="248" t="s">
        <v>2370</v>
      </c>
      <c r="H35" s="7">
        <v>695</v>
      </c>
      <c r="I35" s="7">
        <v>2</v>
      </c>
      <c r="K35" s="421">
        <v>63504</v>
      </c>
      <c r="L35" s="421">
        <v>4</v>
      </c>
      <c r="M35" s="421">
        <v>635</v>
      </c>
      <c r="N35" s="421" t="s">
        <v>576</v>
      </c>
      <c r="O35" s="421">
        <v>132</v>
      </c>
      <c r="P35" s="421" t="s">
        <v>828</v>
      </c>
    </row>
    <row r="36" spans="1:16" s="242" customFormat="1">
      <c r="A36" s="243">
        <v>32</v>
      </c>
      <c r="B36" s="243"/>
      <c r="C36" s="242" t="str">
        <f t="shared" si="0"/>
        <v>32 Blackstone</v>
      </c>
      <c r="D36" s="247">
        <v>32</v>
      </c>
      <c r="E36" s="248" t="s">
        <v>1298</v>
      </c>
      <c r="F36" s="248" t="s">
        <v>2371</v>
      </c>
      <c r="H36" s="7">
        <v>698</v>
      </c>
      <c r="I36" s="7">
        <v>2</v>
      </c>
      <c r="K36" s="421">
        <v>63505</v>
      </c>
      <c r="L36" s="421">
        <v>5</v>
      </c>
      <c r="M36" s="421">
        <v>635</v>
      </c>
      <c r="N36" s="421" t="s">
        <v>576</v>
      </c>
      <c r="O36" s="421">
        <v>233</v>
      </c>
      <c r="P36" s="421" t="s">
        <v>1002</v>
      </c>
    </row>
    <row r="37" spans="1:16" s="242" customFormat="1">
      <c r="A37" s="243">
        <v>33</v>
      </c>
      <c r="B37" s="243"/>
      <c r="C37" s="242" t="str">
        <f t="shared" si="0"/>
        <v>33 Blandford</v>
      </c>
      <c r="D37" s="247">
        <v>33</v>
      </c>
      <c r="E37" s="248" t="s">
        <v>1299</v>
      </c>
      <c r="F37" s="248" t="s">
        <v>2372</v>
      </c>
      <c r="H37" s="7">
        <v>700</v>
      </c>
      <c r="I37" s="7">
        <v>6</v>
      </c>
      <c r="K37" s="421">
        <v>63506</v>
      </c>
      <c r="L37" s="421">
        <v>6</v>
      </c>
      <c r="M37" s="421">
        <v>635</v>
      </c>
      <c r="N37" s="421" t="s">
        <v>576</v>
      </c>
      <c r="O37" s="421">
        <v>313</v>
      </c>
      <c r="P37" s="421" t="s">
        <v>1091</v>
      </c>
    </row>
    <row r="38" spans="1:16" s="242" customFormat="1">
      <c r="A38" s="243">
        <v>34</v>
      </c>
      <c r="B38" s="243"/>
      <c r="C38" s="242" t="str">
        <f t="shared" si="0"/>
        <v>34 Bolton</v>
      </c>
      <c r="D38" s="247">
        <v>34</v>
      </c>
      <c r="E38" s="248" t="s">
        <v>1300</v>
      </c>
      <c r="F38" s="248" t="s">
        <v>2373</v>
      </c>
      <c r="H38" s="7">
        <v>705</v>
      </c>
      <c r="I38" s="7">
        <v>3</v>
      </c>
      <c r="K38" s="421">
        <v>63507</v>
      </c>
      <c r="L38" s="421">
        <v>7</v>
      </c>
      <c r="M38" s="421">
        <v>635</v>
      </c>
      <c r="N38" s="421" t="s">
        <v>576</v>
      </c>
      <c r="O38" s="421">
        <v>345</v>
      </c>
      <c r="P38" s="421" t="s">
        <v>1123</v>
      </c>
    </row>
    <row r="39" spans="1:16" s="242" customFormat="1">
      <c r="A39" s="243">
        <v>35</v>
      </c>
      <c r="B39" s="243"/>
      <c r="C39" s="242" t="str">
        <f t="shared" si="0"/>
        <v>35 Boston</v>
      </c>
      <c r="D39" s="247">
        <v>35</v>
      </c>
      <c r="E39" s="248" t="s">
        <v>1301</v>
      </c>
      <c r="F39" s="248" t="s">
        <v>2374</v>
      </c>
      <c r="H39" s="7">
        <v>710</v>
      </c>
      <c r="I39" s="7">
        <v>2</v>
      </c>
      <c r="K39" s="421">
        <v>64001</v>
      </c>
      <c r="L39" s="421">
        <v>1</v>
      </c>
      <c r="M39" s="421">
        <v>640</v>
      </c>
      <c r="N39" s="421" t="s">
        <v>577</v>
      </c>
      <c r="O39" s="421">
        <v>51</v>
      </c>
      <c r="P39" s="421" t="s">
        <v>709</v>
      </c>
    </row>
    <row r="40" spans="1:16" s="242" customFormat="1">
      <c r="A40" s="243">
        <v>36</v>
      </c>
      <c r="B40" s="243"/>
      <c r="C40" s="242" t="str">
        <f t="shared" si="0"/>
        <v>36 Bourne</v>
      </c>
      <c r="D40" s="247">
        <v>36</v>
      </c>
      <c r="E40" s="248" t="s">
        <v>1302</v>
      </c>
      <c r="F40" s="248" t="s">
        <v>2375</v>
      </c>
      <c r="H40" s="7">
        <v>712</v>
      </c>
      <c r="I40" s="7">
        <v>2</v>
      </c>
      <c r="K40" s="421">
        <v>64002</v>
      </c>
      <c r="L40" s="421">
        <v>2</v>
      </c>
      <c r="M40" s="421">
        <v>640</v>
      </c>
      <c r="N40" s="421" t="s">
        <v>577</v>
      </c>
      <c r="O40" s="421">
        <v>67</v>
      </c>
      <c r="P40" s="421" t="s">
        <v>738</v>
      </c>
    </row>
    <row r="41" spans="1:16" s="242" customFormat="1">
      <c r="A41" s="243">
        <v>37</v>
      </c>
      <c r="B41" s="243"/>
      <c r="C41" s="242" t="str">
        <f t="shared" si="0"/>
        <v>37 Boxborough</v>
      </c>
      <c r="D41" s="247">
        <v>37</v>
      </c>
      <c r="E41" s="248" t="s">
        <v>1303</v>
      </c>
      <c r="F41" s="248" t="s">
        <v>2376</v>
      </c>
      <c r="H41" s="7">
        <v>715</v>
      </c>
      <c r="I41" s="7">
        <v>2</v>
      </c>
      <c r="K41" s="421">
        <v>64501</v>
      </c>
      <c r="L41" s="421">
        <v>1</v>
      </c>
      <c r="M41" s="421">
        <v>645</v>
      </c>
      <c r="N41" s="421" t="s">
        <v>578</v>
      </c>
      <c r="O41" s="421">
        <v>75</v>
      </c>
      <c r="P41" s="421" t="s">
        <v>752</v>
      </c>
    </row>
    <row r="42" spans="1:16" s="242" customFormat="1">
      <c r="A42" s="243">
        <v>38</v>
      </c>
      <c r="B42" s="243"/>
      <c r="C42" s="242" t="str">
        <f t="shared" si="0"/>
        <v>38 Boxford</v>
      </c>
      <c r="D42" s="247">
        <v>38</v>
      </c>
      <c r="E42" s="248" t="s">
        <v>1304</v>
      </c>
      <c r="F42" s="248" t="s">
        <v>2377</v>
      </c>
      <c r="H42" s="7">
        <v>717</v>
      </c>
      <c r="I42" s="7">
        <v>8</v>
      </c>
      <c r="K42" s="421">
        <v>64502</v>
      </c>
      <c r="L42" s="421">
        <v>2</v>
      </c>
      <c r="M42" s="421">
        <v>645</v>
      </c>
      <c r="N42" s="421" t="s">
        <v>578</v>
      </c>
      <c r="O42" s="421">
        <v>351</v>
      </c>
      <c r="P42" s="421" t="s">
        <v>1129</v>
      </c>
    </row>
    <row r="43" spans="1:16" s="242" customFormat="1">
      <c r="A43" s="243">
        <v>39</v>
      </c>
      <c r="B43" s="243"/>
      <c r="C43" s="242" t="str">
        <f t="shared" si="0"/>
        <v>39 Boylston</v>
      </c>
      <c r="D43" s="247">
        <v>39</v>
      </c>
      <c r="E43" s="248" t="s">
        <v>1305</v>
      </c>
      <c r="F43" s="248" t="s">
        <v>2378</v>
      </c>
      <c r="H43" s="7">
        <v>720</v>
      </c>
      <c r="I43" s="7">
        <v>2</v>
      </c>
      <c r="K43" s="421">
        <v>65001</v>
      </c>
      <c r="L43" s="421">
        <v>1</v>
      </c>
      <c r="M43" s="421">
        <v>650</v>
      </c>
      <c r="N43" s="421" t="s">
        <v>579</v>
      </c>
      <c r="O43" s="421">
        <v>76</v>
      </c>
      <c r="P43" s="421" t="s">
        <v>754</v>
      </c>
    </row>
    <row r="44" spans="1:16" s="242" customFormat="1">
      <c r="A44" s="243">
        <v>40</v>
      </c>
      <c r="B44" s="243"/>
      <c r="C44" s="242" t="str">
        <f t="shared" si="0"/>
        <v>40 Braintree</v>
      </c>
      <c r="D44" s="247">
        <v>40</v>
      </c>
      <c r="E44" s="248" t="s">
        <v>1306</v>
      </c>
      <c r="F44" s="248" t="s">
        <v>2379</v>
      </c>
      <c r="H44" s="7">
        <v>725</v>
      </c>
      <c r="I44" s="7">
        <v>3</v>
      </c>
      <c r="K44" s="421">
        <v>65002</v>
      </c>
      <c r="L44" s="421">
        <v>2</v>
      </c>
      <c r="M44" s="421">
        <v>650</v>
      </c>
      <c r="N44" s="421" t="s">
        <v>579</v>
      </c>
      <c r="O44" s="421">
        <v>247</v>
      </c>
      <c r="P44" s="421" t="s">
        <v>1017</v>
      </c>
    </row>
    <row r="45" spans="1:16" s="242" customFormat="1">
      <c r="A45" s="243">
        <v>41</v>
      </c>
      <c r="B45" s="243"/>
      <c r="C45" s="242" t="str">
        <f t="shared" si="0"/>
        <v>41 Brewster</v>
      </c>
      <c r="D45" s="247">
        <v>41</v>
      </c>
      <c r="E45" s="248" t="s">
        <v>1307</v>
      </c>
      <c r="F45" s="248" t="s">
        <v>2380</v>
      </c>
      <c r="H45" s="7">
        <v>728</v>
      </c>
      <c r="I45" s="7">
        <v>2</v>
      </c>
      <c r="K45" s="421">
        <v>65501</v>
      </c>
      <c r="L45" s="421">
        <v>1</v>
      </c>
      <c r="M45" s="421">
        <v>655</v>
      </c>
      <c r="N45" s="421" t="s">
        <v>580</v>
      </c>
      <c r="O45" s="421">
        <v>78</v>
      </c>
      <c r="P45" s="421" t="s">
        <v>757</v>
      </c>
    </row>
    <row r="46" spans="1:16" s="242" customFormat="1">
      <c r="A46" s="243">
        <v>42</v>
      </c>
      <c r="B46" s="243"/>
      <c r="C46" s="242" t="str">
        <f t="shared" si="0"/>
        <v>42 Bridgewater</v>
      </c>
      <c r="D46" s="247">
        <v>42</v>
      </c>
      <c r="E46" s="248" t="s">
        <v>1308</v>
      </c>
      <c r="F46" s="248" t="s">
        <v>2381</v>
      </c>
      <c r="H46" s="7">
        <v>730</v>
      </c>
      <c r="I46" s="7">
        <v>2</v>
      </c>
      <c r="K46" s="421">
        <v>65502</v>
      </c>
      <c r="L46" s="421">
        <v>2</v>
      </c>
      <c r="M46" s="421">
        <v>655</v>
      </c>
      <c r="N46" s="421" t="s">
        <v>580</v>
      </c>
      <c r="O46" s="421">
        <v>269</v>
      </c>
      <c r="P46" s="421" t="s">
        <v>1039</v>
      </c>
    </row>
    <row r="47" spans="1:16" s="242" customFormat="1">
      <c r="A47" s="243">
        <v>43</v>
      </c>
      <c r="B47" s="243"/>
      <c r="C47" s="242" t="str">
        <f t="shared" si="0"/>
        <v>43 Brimfield</v>
      </c>
      <c r="D47" s="247">
        <v>43</v>
      </c>
      <c r="E47" s="248" t="s">
        <v>1309</v>
      </c>
      <c r="F47" s="248" t="s">
        <v>2382</v>
      </c>
      <c r="H47" s="7">
        <v>735</v>
      </c>
      <c r="I47" s="7">
        <v>3</v>
      </c>
      <c r="K47" s="421">
        <v>65801</v>
      </c>
      <c r="L47" s="421">
        <v>1</v>
      </c>
      <c r="M47" s="421">
        <v>658</v>
      </c>
      <c r="N47" s="421" t="s">
        <v>581</v>
      </c>
      <c r="O47" s="421">
        <v>54</v>
      </c>
      <c r="P47" s="421" t="s">
        <v>714</v>
      </c>
    </row>
    <row r="48" spans="1:16" s="242" customFormat="1">
      <c r="A48" s="243">
        <v>44</v>
      </c>
      <c r="B48" s="243"/>
      <c r="C48" s="242" t="str">
        <f t="shared" si="0"/>
        <v>44 Brockton</v>
      </c>
      <c r="D48" s="247">
        <v>44</v>
      </c>
      <c r="E48" s="248" t="s">
        <v>1310</v>
      </c>
      <c r="F48" s="248" t="s">
        <v>2383</v>
      </c>
      <c r="H48" s="7">
        <v>740</v>
      </c>
      <c r="I48" s="7">
        <v>3</v>
      </c>
      <c r="K48" s="421">
        <v>65802</v>
      </c>
      <c r="L48" s="421">
        <v>2</v>
      </c>
      <c r="M48" s="421">
        <v>658</v>
      </c>
      <c r="N48" s="421" t="s">
        <v>581</v>
      </c>
      <c r="O48" s="421">
        <v>80</v>
      </c>
      <c r="P48" s="421" t="s">
        <v>763</v>
      </c>
    </row>
    <row r="49" spans="1:16" s="242" customFormat="1">
      <c r="A49" s="243">
        <v>45</v>
      </c>
      <c r="B49" s="243"/>
      <c r="C49" s="242" t="str">
        <f t="shared" si="0"/>
        <v>45 Brookfield</v>
      </c>
      <c r="D49" s="247">
        <v>45</v>
      </c>
      <c r="E49" s="248" t="s">
        <v>1311</v>
      </c>
      <c r="F49" s="248" t="s">
        <v>2384</v>
      </c>
      <c r="H49" s="7">
        <v>745</v>
      </c>
      <c r="I49" s="7">
        <v>3</v>
      </c>
      <c r="K49" s="421">
        <v>66001</v>
      </c>
      <c r="L49" s="421">
        <v>1</v>
      </c>
      <c r="M49" s="421">
        <v>660</v>
      </c>
      <c r="N49" s="421" t="s">
        <v>582</v>
      </c>
      <c r="O49" s="421">
        <v>41</v>
      </c>
      <c r="P49" s="421" t="s">
        <v>695</v>
      </c>
    </row>
    <row r="50" spans="1:16" s="242" customFormat="1">
      <c r="A50" s="243">
        <v>46</v>
      </c>
      <c r="B50" s="243"/>
      <c r="C50" s="242" t="str">
        <f t="shared" si="0"/>
        <v>46 Brookline</v>
      </c>
      <c r="D50" s="247">
        <v>46</v>
      </c>
      <c r="E50" s="248" t="s">
        <v>1312</v>
      </c>
      <c r="F50" s="248" t="s">
        <v>2385</v>
      </c>
      <c r="H50" s="7">
        <v>750</v>
      </c>
      <c r="I50" s="7">
        <v>4</v>
      </c>
      <c r="K50" s="421">
        <v>66002</v>
      </c>
      <c r="L50" s="421">
        <v>2</v>
      </c>
      <c r="M50" s="421">
        <v>660</v>
      </c>
      <c r="N50" s="421" t="s">
        <v>582</v>
      </c>
      <c r="O50" s="421">
        <v>85</v>
      </c>
      <c r="P50" s="421" t="s">
        <v>770</v>
      </c>
    </row>
    <row r="51" spans="1:16" s="242" customFormat="1">
      <c r="A51" s="243">
        <v>47</v>
      </c>
      <c r="B51" s="243"/>
      <c r="C51" s="242" t="str">
        <f t="shared" si="0"/>
        <v>47 Buckland</v>
      </c>
      <c r="D51" s="247">
        <v>47</v>
      </c>
      <c r="E51" s="248" t="s">
        <v>1313</v>
      </c>
      <c r="F51" s="248" t="s">
        <v>2386</v>
      </c>
      <c r="H51" s="7">
        <v>753</v>
      </c>
      <c r="I51" s="7">
        <v>5</v>
      </c>
      <c r="K51" s="421">
        <v>66003</v>
      </c>
      <c r="L51" s="421">
        <v>3</v>
      </c>
      <c r="M51" s="421">
        <v>660</v>
      </c>
      <c r="N51" s="421" t="s">
        <v>582</v>
      </c>
      <c r="O51" s="421">
        <v>224</v>
      </c>
      <c r="P51" s="421" t="s">
        <v>973</v>
      </c>
    </row>
    <row r="52" spans="1:16" s="242" customFormat="1">
      <c r="A52" s="243">
        <v>48</v>
      </c>
      <c r="B52" s="243"/>
      <c r="C52" s="242" t="str">
        <f t="shared" si="0"/>
        <v>48 Burlington</v>
      </c>
      <c r="D52" s="247">
        <v>48</v>
      </c>
      <c r="E52" s="248" t="s">
        <v>1314</v>
      </c>
      <c r="F52" s="248" t="s">
        <v>2387</v>
      </c>
      <c r="H52" s="7">
        <v>755</v>
      </c>
      <c r="I52" s="7">
        <v>4</v>
      </c>
      <c r="K52" s="421">
        <v>66004</v>
      </c>
      <c r="L52" s="421">
        <v>4</v>
      </c>
      <c r="M52" s="421">
        <v>660</v>
      </c>
      <c r="N52" s="421" t="s">
        <v>582</v>
      </c>
      <c r="O52" s="421">
        <v>318</v>
      </c>
      <c r="P52" s="421" t="s">
        <v>1096</v>
      </c>
    </row>
    <row r="53" spans="1:16" s="242" customFormat="1">
      <c r="A53" s="243">
        <v>49</v>
      </c>
      <c r="B53" s="243"/>
      <c r="C53" s="242" t="str">
        <f t="shared" si="0"/>
        <v>49 Cambridge</v>
      </c>
      <c r="D53" s="247">
        <v>49</v>
      </c>
      <c r="E53" s="248" t="s">
        <v>1315</v>
      </c>
      <c r="F53" s="248" t="s">
        <v>2388</v>
      </c>
      <c r="H53" s="7">
        <v>760</v>
      </c>
      <c r="I53" s="7">
        <v>3</v>
      </c>
      <c r="K53" s="421">
        <v>66201</v>
      </c>
      <c r="L53" s="421">
        <v>1</v>
      </c>
      <c r="M53" s="421">
        <v>662</v>
      </c>
      <c r="N53" s="421" t="s">
        <v>984</v>
      </c>
      <c r="O53" s="421">
        <v>225</v>
      </c>
      <c r="P53" s="421" t="s">
        <v>983</v>
      </c>
    </row>
    <row r="54" spans="1:16" s="242" customFormat="1">
      <c r="A54" s="243">
        <v>50</v>
      </c>
      <c r="B54" s="243"/>
      <c r="C54" s="242" t="str">
        <f t="shared" si="0"/>
        <v>50 Canton</v>
      </c>
      <c r="D54" s="247">
        <v>50</v>
      </c>
      <c r="E54" s="248" t="s">
        <v>1316</v>
      </c>
      <c r="F54" s="248" t="s">
        <v>2389</v>
      </c>
      <c r="H54" s="7">
        <v>763</v>
      </c>
      <c r="I54" s="7">
        <v>2</v>
      </c>
      <c r="K54" s="421">
        <v>66202</v>
      </c>
      <c r="L54" s="421">
        <v>2</v>
      </c>
      <c r="M54" s="421">
        <v>662</v>
      </c>
      <c r="N54" s="421" t="s">
        <v>984</v>
      </c>
      <c r="O54" s="421">
        <v>260</v>
      </c>
      <c r="P54" s="421" t="s">
        <v>1030</v>
      </c>
    </row>
    <row r="55" spans="1:16" s="242" customFormat="1">
      <c r="A55" s="243">
        <v>51</v>
      </c>
      <c r="B55" s="243"/>
      <c r="C55" s="242" t="str">
        <f t="shared" si="0"/>
        <v>51 Carlisle</v>
      </c>
      <c r="D55" s="247">
        <v>51</v>
      </c>
      <c r="E55" s="248" t="s">
        <v>1317</v>
      </c>
      <c r="F55" s="248" t="s">
        <v>2390</v>
      </c>
      <c r="H55" s="7">
        <v>765</v>
      </c>
      <c r="I55" s="7">
        <v>5</v>
      </c>
      <c r="K55" s="421">
        <v>66501</v>
      </c>
      <c r="L55" s="421">
        <v>1</v>
      </c>
      <c r="M55" s="421">
        <v>665</v>
      </c>
      <c r="N55" s="421" t="s">
        <v>583</v>
      </c>
      <c r="O55" s="421">
        <v>102</v>
      </c>
      <c r="P55" s="421" t="s">
        <v>790</v>
      </c>
    </row>
    <row r="56" spans="1:16" s="242" customFormat="1">
      <c r="A56" s="243">
        <v>52</v>
      </c>
      <c r="B56" s="243"/>
      <c r="C56" s="242" t="str">
        <f t="shared" si="0"/>
        <v>52 Carver</v>
      </c>
      <c r="D56" s="247">
        <v>52</v>
      </c>
      <c r="E56" s="248" t="s">
        <v>1318</v>
      </c>
      <c r="F56" s="248" t="s">
        <v>2391</v>
      </c>
      <c r="H56" s="7">
        <v>766</v>
      </c>
      <c r="I56" s="7">
        <v>3</v>
      </c>
      <c r="K56" s="421">
        <v>66502</v>
      </c>
      <c r="L56" s="421">
        <v>2</v>
      </c>
      <c r="M56" s="421">
        <v>665</v>
      </c>
      <c r="N56" s="421" t="s">
        <v>583</v>
      </c>
      <c r="O56" s="421">
        <v>146</v>
      </c>
      <c r="P56" s="421" t="s">
        <v>843</v>
      </c>
    </row>
    <row r="57" spans="1:16" s="242" customFormat="1">
      <c r="A57" s="243">
        <v>53</v>
      </c>
      <c r="B57" s="243"/>
      <c r="C57" s="242" t="str">
        <f t="shared" si="0"/>
        <v>53 Charlemont</v>
      </c>
      <c r="D57" s="247">
        <v>53</v>
      </c>
      <c r="E57" s="248" t="s">
        <v>1319</v>
      </c>
      <c r="F57" s="248" t="s">
        <v>2392</v>
      </c>
      <c r="H57" s="7">
        <v>767</v>
      </c>
      <c r="I57" s="7">
        <v>2</v>
      </c>
      <c r="K57" s="421">
        <v>67001</v>
      </c>
      <c r="L57" s="421">
        <v>1</v>
      </c>
      <c r="M57" s="421">
        <v>670</v>
      </c>
      <c r="N57" s="421" t="s">
        <v>584</v>
      </c>
      <c r="O57" s="421">
        <v>68</v>
      </c>
      <c r="P57" s="421" t="s">
        <v>739</v>
      </c>
    </row>
    <row r="58" spans="1:16" s="242" customFormat="1">
      <c r="A58" s="243">
        <v>54</v>
      </c>
      <c r="B58" s="243"/>
      <c r="C58" s="242" t="str">
        <f t="shared" si="0"/>
        <v>54 Charlton</v>
      </c>
      <c r="D58" s="247">
        <v>54</v>
      </c>
      <c r="E58" s="248" t="s">
        <v>1320</v>
      </c>
      <c r="F58" s="248" t="s">
        <v>2393</v>
      </c>
      <c r="H58" s="7">
        <v>770</v>
      </c>
      <c r="I58" s="7">
        <v>5</v>
      </c>
      <c r="K58" s="421">
        <v>67002</v>
      </c>
      <c r="L58" s="421">
        <v>2</v>
      </c>
      <c r="M58" s="421">
        <v>670</v>
      </c>
      <c r="N58" s="421" t="s">
        <v>584</v>
      </c>
      <c r="O58" s="421">
        <v>74</v>
      </c>
      <c r="P58" s="421" t="s">
        <v>751</v>
      </c>
    </row>
    <row r="59" spans="1:16" s="242" customFormat="1">
      <c r="A59" s="243">
        <v>55</v>
      </c>
      <c r="B59" s="243"/>
      <c r="C59" s="242" t="str">
        <f t="shared" si="0"/>
        <v>55 Chatham</v>
      </c>
      <c r="D59" s="247">
        <v>55</v>
      </c>
      <c r="E59" s="248" t="s">
        <v>1321</v>
      </c>
      <c r="F59" s="248" t="s">
        <v>2394</v>
      </c>
      <c r="H59" s="7">
        <v>773</v>
      </c>
      <c r="I59" s="7">
        <v>3</v>
      </c>
      <c r="K59" s="421">
        <v>67003</v>
      </c>
      <c r="L59" s="421">
        <v>3</v>
      </c>
      <c r="M59" s="421">
        <v>670</v>
      </c>
      <c r="N59" s="421" t="s">
        <v>584</v>
      </c>
      <c r="O59" s="421">
        <v>289</v>
      </c>
      <c r="P59" s="421" t="s">
        <v>1066</v>
      </c>
    </row>
    <row r="60" spans="1:16" s="242" customFormat="1">
      <c r="A60" s="243">
        <v>56</v>
      </c>
      <c r="B60" s="243"/>
      <c r="C60" s="242" t="str">
        <f t="shared" si="0"/>
        <v>56 Chelmsford</v>
      </c>
      <c r="D60" s="247">
        <v>56</v>
      </c>
      <c r="E60" s="248" t="s">
        <v>1322</v>
      </c>
      <c r="F60" s="248" t="s">
        <v>2395</v>
      </c>
      <c r="H60" s="7">
        <v>774</v>
      </c>
      <c r="I60" s="7">
        <v>3</v>
      </c>
      <c r="K60" s="421">
        <v>67004</v>
      </c>
      <c r="L60" s="421">
        <v>4</v>
      </c>
      <c r="M60" s="421">
        <v>670</v>
      </c>
      <c r="N60" s="421" t="s">
        <v>584</v>
      </c>
      <c r="O60" s="421">
        <v>337</v>
      </c>
      <c r="P60" s="421" t="s">
        <v>1115</v>
      </c>
    </row>
    <row r="61" spans="1:16" s="242" customFormat="1">
      <c r="A61" s="243">
        <v>57</v>
      </c>
      <c r="B61" s="243"/>
      <c r="C61" s="242" t="str">
        <f t="shared" si="0"/>
        <v>57 Chelsea</v>
      </c>
      <c r="D61" s="247">
        <v>57</v>
      </c>
      <c r="E61" s="248" t="s">
        <v>1323</v>
      </c>
      <c r="F61" s="248" t="s">
        <v>2396</v>
      </c>
      <c r="H61" s="7">
        <v>775</v>
      </c>
      <c r="I61" s="7">
        <v>5</v>
      </c>
      <c r="K61" s="421">
        <v>67201</v>
      </c>
      <c r="L61" s="421">
        <v>1</v>
      </c>
      <c r="M61" s="421">
        <v>672</v>
      </c>
      <c r="N61" s="421" t="s">
        <v>585</v>
      </c>
      <c r="O61" s="421">
        <v>33</v>
      </c>
      <c r="P61" s="421" t="s">
        <v>55</v>
      </c>
    </row>
    <row r="62" spans="1:16" s="242" customFormat="1">
      <c r="A62" s="243">
        <v>58</v>
      </c>
      <c r="B62" s="243"/>
      <c r="C62" s="242" t="str">
        <f t="shared" si="0"/>
        <v>58 Cheshire</v>
      </c>
      <c r="D62" s="247">
        <v>58</v>
      </c>
      <c r="E62" s="248" t="s">
        <v>1324</v>
      </c>
      <c r="F62" s="248" t="s">
        <v>2397</v>
      </c>
      <c r="H62" s="7">
        <v>778</v>
      </c>
      <c r="I62" s="7">
        <v>2</v>
      </c>
      <c r="K62" s="421">
        <v>67202</v>
      </c>
      <c r="L62" s="421">
        <v>2</v>
      </c>
      <c r="M62" s="421">
        <v>672</v>
      </c>
      <c r="N62" s="421" t="s">
        <v>585</v>
      </c>
      <c r="O62" s="421">
        <v>59</v>
      </c>
      <c r="P62" s="421" t="s">
        <v>723</v>
      </c>
    </row>
    <row r="63" spans="1:16" s="242" customFormat="1">
      <c r="A63" s="243">
        <v>59</v>
      </c>
      <c r="B63" s="243"/>
      <c r="C63" s="242" t="str">
        <f t="shared" si="0"/>
        <v>59 Chester</v>
      </c>
      <c r="D63" s="247">
        <v>59</v>
      </c>
      <c r="E63" s="248" t="s">
        <v>1325</v>
      </c>
      <c r="F63" s="248" t="s">
        <v>2398</v>
      </c>
      <c r="H63" s="7">
        <v>780</v>
      </c>
      <c r="I63" s="7">
        <v>2</v>
      </c>
      <c r="K63" s="421">
        <v>67203</v>
      </c>
      <c r="L63" s="421">
        <v>3</v>
      </c>
      <c r="M63" s="421">
        <v>672</v>
      </c>
      <c r="N63" s="421" t="s">
        <v>585</v>
      </c>
      <c r="O63" s="421">
        <v>143</v>
      </c>
      <c r="P63" s="421" t="s">
        <v>840</v>
      </c>
    </row>
    <row r="64" spans="1:16" s="242" customFormat="1">
      <c r="A64" s="243">
        <v>60</v>
      </c>
      <c r="B64" s="243"/>
      <c r="C64" s="242" t="str">
        <f t="shared" si="0"/>
        <v>60 Chesterfield</v>
      </c>
      <c r="D64" s="247">
        <v>60</v>
      </c>
      <c r="E64" s="248" t="s">
        <v>1326</v>
      </c>
      <c r="F64" s="248" t="s">
        <v>2399</v>
      </c>
      <c r="H64" s="7">
        <v>801</v>
      </c>
      <c r="I64" s="7">
        <v>7</v>
      </c>
      <c r="K64" s="421">
        <v>67204</v>
      </c>
      <c r="L64" s="421">
        <v>4</v>
      </c>
      <c r="M64" s="421">
        <v>672</v>
      </c>
      <c r="N64" s="421" t="s">
        <v>585</v>
      </c>
      <c r="O64" s="421">
        <v>183</v>
      </c>
      <c r="P64" s="421" t="s">
        <v>922</v>
      </c>
    </row>
    <row r="65" spans="1:16" s="242" customFormat="1">
      <c r="A65" s="243">
        <v>61</v>
      </c>
      <c r="B65" s="243"/>
      <c r="C65" s="242" t="str">
        <f t="shared" si="0"/>
        <v>61 Chicopee</v>
      </c>
      <c r="D65" s="247">
        <v>61</v>
      </c>
      <c r="E65" s="248" t="s">
        <v>1327</v>
      </c>
      <c r="F65" s="248" t="s">
        <v>2400</v>
      </c>
      <c r="H65" s="7">
        <v>805</v>
      </c>
      <c r="I65" s="7">
        <v>13</v>
      </c>
      <c r="K65" s="421">
        <v>67205</v>
      </c>
      <c r="L65" s="421">
        <v>5</v>
      </c>
      <c r="M65" s="421">
        <v>672</v>
      </c>
      <c r="N65" s="421" t="s">
        <v>585</v>
      </c>
      <c r="O65" s="421">
        <v>194</v>
      </c>
      <c r="P65" s="421" t="s">
        <v>933</v>
      </c>
    </row>
    <row r="66" spans="1:16" s="242" customFormat="1">
      <c r="A66" s="243">
        <v>62</v>
      </c>
      <c r="B66" s="243"/>
      <c r="C66" s="242" t="str">
        <f t="shared" si="0"/>
        <v>62 Chilmark</v>
      </c>
      <c r="D66" s="247">
        <v>62</v>
      </c>
      <c r="E66" s="248" t="s">
        <v>1328</v>
      </c>
      <c r="F66" s="248" t="s">
        <v>2401</v>
      </c>
      <c r="H66" s="7">
        <v>806</v>
      </c>
      <c r="I66" s="7">
        <v>9</v>
      </c>
      <c r="K66" s="421">
        <v>67206</v>
      </c>
      <c r="L66" s="421">
        <v>6</v>
      </c>
      <c r="M66" s="421">
        <v>672</v>
      </c>
      <c r="N66" s="421" t="s">
        <v>585</v>
      </c>
      <c r="O66" s="421">
        <v>256</v>
      </c>
      <c r="P66" s="421" t="s">
        <v>1026</v>
      </c>
    </row>
    <row r="67" spans="1:16" s="242" customFormat="1">
      <c r="A67" s="243">
        <v>63</v>
      </c>
      <c r="B67" s="243"/>
      <c r="C67" s="242" t="str">
        <f t="shared" si="0"/>
        <v>63 Clarksburg</v>
      </c>
      <c r="D67" s="247">
        <v>63</v>
      </c>
      <c r="E67" s="248" t="s">
        <v>1329</v>
      </c>
      <c r="F67" s="248" t="s">
        <v>2402</v>
      </c>
      <c r="H67" s="7">
        <v>810</v>
      </c>
      <c r="I67" s="7">
        <v>7</v>
      </c>
      <c r="K67" s="421">
        <v>67301</v>
      </c>
      <c r="L67" s="421">
        <v>1</v>
      </c>
      <c r="M67" s="421">
        <v>673</v>
      </c>
      <c r="N67" s="421" t="s">
        <v>586</v>
      </c>
      <c r="O67" s="421">
        <v>81</v>
      </c>
      <c r="P67" s="421" t="s">
        <v>764</v>
      </c>
    </row>
    <row r="68" spans="1:16" s="242" customFormat="1">
      <c r="A68" s="243">
        <v>64</v>
      </c>
      <c r="B68" s="243"/>
      <c r="C68" s="242" t="str">
        <f t="shared" si="0"/>
        <v>64 Clinton</v>
      </c>
      <c r="D68" s="247">
        <v>64</v>
      </c>
      <c r="E68" s="248" t="s">
        <v>1330</v>
      </c>
      <c r="F68" s="248" t="s">
        <v>2403</v>
      </c>
      <c r="H68" s="7">
        <v>815</v>
      </c>
      <c r="I68" s="7">
        <v>12</v>
      </c>
      <c r="K68" s="421">
        <v>67302</v>
      </c>
      <c r="L68" s="421">
        <v>2</v>
      </c>
      <c r="M68" s="421">
        <v>673</v>
      </c>
      <c r="N68" s="421" t="s">
        <v>586</v>
      </c>
      <c r="O68" s="421">
        <v>115</v>
      </c>
      <c r="P68" s="421" t="s">
        <v>806</v>
      </c>
    </row>
    <row r="69" spans="1:16" s="242" customFormat="1">
      <c r="A69" s="243">
        <v>65</v>
      </c>
      <c r="B69" s="243"/>
      <c r="C69" s="242" t="str">
        <f t="shared" si="0"/>
        <v>65 Cohasset</v>
      </c>
      <c r="D69" s="247">
        <v>65</v>
      </c>
      <c r="E69" s="248" t="s">
        <v>1331</v>
      </c>
      <c r="F69" s="248" t="s">
        <v>2404</v>
      </c>
      <c r="H69" s="7">
        <v>817</v>
      </c>
      <c r="I69" s="7">
        <v>17</v>
      </c>
      <c r="K69" s="421">
        <v>67401</v>
      </c>
      <c r="L69" s="421">
        <v>1</v>
      </c>
      <c r="M69" s="421">
        <v>674</v>
      </c>
      <c r="N69" s="421" t="s">
        <v>587</v>
      </c>
      <c r="O69" s="421">
        <v>106</v>
      </c>
      <c r="P69" s="421" t="s">
        <v>795</v>
      </c>
    </row>
    <row r="70" spans="1:16" s="242" customFormat="1">
      <c r="A70" s="243">
        <v>66</v>
      </c>
      <c r="B70" s="243"/>
      <c r="C70" s="242" t="str">
        <f t="shared" ref="C70:C133" si="1">PROPER(D70&amp;" "&amp;E70)</f>
        <v>66 Colrain</v>
      </c>
      <c r="D70" s="247">
        <v>66</v>
      </c>
      <c r="E70" s="248" t="s">
        <v>1332</v>
      </c>
      <c r="F70" s="248" t="s">
        <v>2405</v>
      </c>
      <c r="H70" s="7">
        <v>818</v>
      </c>
      <c r="I70" s="7">
        <v>19</v>
      </c>
      <c r="K70" s="421">
        <v>67402</v>
      </c>
      <c r="L70" s="421">
        <v>2</v>
      </c>
      <c r="M70" s="421">
        <v>674</v>
      </c>
      <c r="N70" s="421" t="s">
        <v>587</v>
      </c>
      <c r="O70" s="421">
        <v>192</v>
      </c>
      <c r="P70" s="421" t="s">
        <v>931</v>
      </c>
    </row>
    <row r="71" spans="1:16" s="242" customFormat="1">
      <c r="A71" s="243">
        <v>67</v>
      </c>
      <c r="B71" s="243"/>
      <c r="C71" s="242" t="str">
        <f t="shared" si="1"/>
        <v>67 Concord</v>
      </c>
      <c r="D71" s="247">
        <v>67</v>
      </c>
      <c r="E71" s="248" t="s">
        <v>1333</v>
      </c>
      <c r="F71" s="248" t="s">
        <v>2406</v>
      </c>
      <c r="H71" s="7">
        <v>821</v>
      </c>
      <c r="I71" s="7">
        <v>4</v>
      </c>
      <c r="K71" s="421">
        <v>67501</v>
      </c>
      <c r="L71" s="421">
        <v>1</v>
      </c>
      <c r="M71" s="421">
        <v>675</v>
      </c>
      <c r="N71" s="421" t="s">
        <v>588</v>
      </c>
      <c r="O71" s="421">
        <v>119</v>
      </c>
      <c r="P71" s="421" t="s">
        <v>812</v>
      </c>
    </row>
    <row r="72" spans="1:16" s="242" customFormat="1">
      <c r="A72" s="243">
        <v>68</v>
      </c>
      <c r="B72" s="243"/>
      <c r="C72" s="242" t="str">
        <f t="shared" si="1"/>
        <v>68 Conway</v>
      </c>
      <c r="D72" s="247">
        <v>68</v>
      </c>
      <c r="E72" s="248" t="s">
        <v>1334</v>
      </c>
      <c r="F72" s="248" t="s">
        <v>2407</v>
      </c>
      <c r="H72" s="7">
        <v>823</v>
      </c>
      <c r="I72" s="7">
        <v>4</v>
      </c>
      <c r="K72" s="421">
        <v>67502</v>
      </c>
      <c r="L72" s="421">
        <v>2</v>
      </c>
      <c r="M72" s="421">
        <v>675</v>
      </c>
      <c r="N72" s="421" t="s">
        <v>588</v>
      </c>
      <c r="O72" s="421">
        <v>320</v>
      </c>
      <c r="P72" s="421" t="s">
        <v>1098</v>
      </c>
    </row>
    <row r="73" spans="1:16" s="242" customFormat="1">
      <c r="A73" s="243">
        <v>69</v>
      </c>
      <c r="B73" s="243"/>
      <c r="C73" s="242" t="str">
        <f t="shared" si="1"/>
        <v>69 Cummington</v>
      </c>
      <c r="D73" s="247">
        <v>69</v>
      </c>
      <c r="E73" s="248" t="s">
        <v>1335</v>
      </c>
      <c r="F73" s="248" t="s">
        <v>2408</v>
      </c>
      <c r="H73" s="7">
        <v>825</v>
      </c>
      <c r="I73" s="7">
        <v>3</v>
      </c>
      <c r="K73" s="421">
        <v>68001</v>
      </c>
      <c r="L73" s="421">
        <v>1</v>
      </c>
      <c r="M73" s="421">
        <v>680</v>
      </c>
      <c r="N73" s="421" t="s">
        <v>589</v>
      </c>
      <c r="O73" s="421">
        <v>120</v>
      </c>
      <c r="P73" s="421" t="s">
        <v>814</v>
      </c>
    </row>
    <row r="74" spans="1:16" s="242" customFormat="1">
      <c r="A74" s="243">
        <v>70</v>
      </c>
      <c r="B74" s="243"/>
      <c r="C74" s="242" t="str">
        <f t="shared" si="1"/>
        <v>70 Dalton</v>
      </c>
      <c r="D74" s="247">
        <v>70</v>
      </c>
      <c r="E74" s="248" t="s">
        <v>1336</v>
      </c>
      <c r="F74" s="248" t="s">
        <v>2409</v>
      </c>
      <c r="H74" s="7">
        <v>828</v>
      </c>
      <c r="I74" s="7">
        <v>4</v>
      </c>
      <c r="K74" s="421">
        <v>68002</v>
      </c>
      <c r="L74" s="421">
        <v>2</v>
      </c>
      <c r="M74" s="421">
        <v>680</v>
      </c>
      <c r="N74" s="421" t="s">
        <v>589</v>
      </c>
      <c r="O74" s="421">
        <v>339</v>
      </c>
      <c r="P74" s="421" t="s">
        <v>1117</v>
      </c>
    </row>
    <row r="75" spans="1:16" s="242" customFormat="1">
      <c r="A75" s="243">
        <v>71</v>
      </c>
      <c r="B75" s="243"/>
      <c r="C75" s="242" t="str">
        <f t="shared" si="1"/>
        <v>71 Danvers</v>
      </c>
      <c r="D75" s="247">
        <v>71</v>
      </c>
      <c r="E75" s="248" t="s">
        <v>1337</v>
      </c>
      <c r="F75" s="248" t="s">
        <v>2410</v>
      </c>
      <c r="H75" s="7">
        <v>829</v>
      </c>
      <c r="I75" s="7">
        <v>5</v>
      </c>
      <c r="K75" s="421">
        <v>68301</v>
      </c>
      <c r="L75" s="421">
        <v>1</v>
      </c>
      <c r="M75" s="421">
        <v>683</v>
      </c>
      <c r="N75" s="421" t="s">
        <v>590</v>
      </c>
      <c r="O75" s="421">
        <v>60</v>
      </c>
      <c r="P75" s="421" t="s">
        <v>724</v>
      </c>
    </row>
    <row r="76" spans="1:16" s="242" customFormat="1">
      <c r="A76" s="243">
        <v>72</v>
      </c>
      <c r="B76" s="243"/>
      <c r="C76" s="242" t="str">
        <f t="shared" si="1"/>
        <v>72 Dartmouth</v>
      </c>
      <c r="D76" s="247">
        <v>72</v>
      </c>
      <c r="E76" s="248" t="s">
        <v>1338</v>
      </c>
      <c r="F76" s="248" t="s">
        <v>2411</v>
      </c>
      <c r="H76" s="7">
        <v>830</v>
      </c>
      <c r="I76" s="7">
        <v>16</v>
      </c>
      <c r="K76" s="421">
        <v>68302</v>
      </c>
      <c r="L76" s="421">
        <v>2</v>
      </c>
      <c r="M76" s="421">
        <v>683</v>
      </c>
      <c r="N76" s="421" t="s">
        <v>590</v>
      </c>
      <c r="O76" s="421">
        <v>108</v>
      </c>
      <c r="P76" s="421" t="s">
        <v>798</v>
      </c>
    </row>
    <row r="77" spans="1:16" s="242" customFormat="1">
      <c r="A77" s="243">
        <v>73</v>
      </c>
      <c r="B77" s="243"/>
      <c r="C77" s="242" t="str">
        <f t="shared" si="1"/>
        <v>73 Dedham</v>
      </c>
      <c r="D77" s="247">
        <v>73</v>
      </c>
      <c r="E77" s="248" t="s">
        <v>1339</v>
      </c>
      <c r="F77" s="248" t="s">
        <v>2412</v>
      </c>
      <c r="H77" s="7">
        <v>832</v>
      </c>
      <c r="I77" s="7">
        <v>18</v>
      </c>
      <c r="K77" s="421">
        <v>68303</v>
      </c>
      <c r="L77" s="421">
        <v>3</v>
      </c>
      <c r="M77" s="421">
        <v>683</v>
      </c>
      <c r="N77" s="421" t="s">
        <v>590</v>
      </c>
      <c r="O77" s="421">
        <v>275</v>
      </c>
      <c r="P77" s="421" t="s">
        <v>1045</v>
      </c>
    </row>
    <row r="78" spans="1:16" s="242" customFormat="1">
      <c r="A78" s="243">
        <v>74</v>
      </c>
      <c r="B78" s="243"/>
      <c r="C78" s="242" t="str">
        <f t="shared" si="1"/>
        <v>74 Deerfield</v>
      </c>
      <c r="D78" s="247">
        <v>74</v>
      </c>
      <c r="E78" s="248" t="s">
        <v>1340</v>
      </c>
      <c r="F78" s="248" t="s">
        <v>2413</v>
      </c>
      <c r="H78" s="7">
        <v>851</v>
      </c>
      <c r="I78" s="7">
        <v>9</v>
      </c>
      <c r="K78" s="421">
        <v>68304</v>
      </c>
      <c r="L78" s="421">
        <v>4</v>
      </c>
      <c r="M78" s="421">
        <v>683</v>
      </c>
      <c r="N78" s="421" t="s">
        <v>590</v>
      </c>
      <c r="O78" s="421">
        <v>327</v>
      </c>
      <c r="P78" s="421" t="s">
        <v>1105</v>
      </c>
    </row>
    <row r="79" spans="1:16" s="242" customFormat="1">
      <c r="A79" s="243">
        <v>75</v>
      </c>
      <c r="B79" s="243"/>
      <c r="C79" s="242" t="str">
        <f t="shared" si="1"/>
        <v>75 Dennis</v>
      </c>
      <c r="D79" s="247">
        <v>75</v>
      </c>
      <c r="E79" s="248" t="s">
        <v>1341</v>
      </c>
      <c r="F79" s="248" t="s">
        <v>2414</v>
      </c>
      <c r="H79" s="7">
        <v>852</v>
      </c>
      <c r="I79" s="7">
        <v>8</v>
      </c>
      <c r="K79" s="421">
        <v>68305</v>
      </c>
      <c r="L79" s="421">
        <v>5</v>
      </c>
      <c r="M79" s="421">
        <v>683</v>
      </c>
      <c r="N79" s="421" t="s">
        <v>590</v>
      </c>
      <c r="O79" s="421">
        <v>340</v>
      </c>
      <c r="P79" s="421" t="s">
        <v>1118</v>
      </c>
    </row>
    <row r="80" spans="1:16" s="242" customFormat="1">
      <c r="A80" s="243">
        <v>76</v>
      </c>
      <c r="B80" s="243"/>
      <c r="C80" s="242" t="str">
        <f t="shared" si="1"/>
        <v>76 Dighton</v>
      </c>
      <c r="D80" s="247">
        <v>76</v>
      </c>
      <c r="E80" s="248" t="s">
        <v>1342</v>
      </c>
      <c r="F80" s="248" t="s">
        <v>2415</v>
      </c>
      <c r="H80" s="7">
        <v>853</v>
      </c>
      <c r="I80" s="7">
        <v>12</v>
      </c>
      <c r="K80" s="421">
        <v>68501</v>
      </c>
      <c r="L80" s="421">
        <v>1</v>
      </c>
      <c r="M80" s="421">
        <v>685</v>
      </c>
      <c r="N80" s="421" t="s">
        <v>591</v>
      </c>
      <c r="O80" s="421">
        <v>53</v>
      </c>
      <c r="P80" s="421" t="s">
        <v>712</v>
      </c>
    </row>
    <row r="81" spans="1:16" s="242" customFormat="1">
      <c r="A81" s="243">
        <v>77</v>
      </c>
      <c r="B81" s="243"/>
      <c r="C81" s="242" t="str">
        <f t="shared" si="1"/>
        <v>77 Douglas</v>
      </c>
      <c r="D81" s="247">
        <v>77</v>
      </c>
      <c r="E81" s="248" t="s">
        <v>1343</v>
      </c>
      <c r="F81" s="248" t="s">
        <v>2416</v>
      </c>
      <c r="H81" s="7">
        <v>855</v>
      </c>
      <c r="I81" s="7">
        <v>5</v>
      </c>
      <c r="K81" s="421">
        <v>68502</v>
      </c>
      <c r="L81" s="421">
        <v>2</v>
      </c>
      <c r="M81" s="421">
        <v>685</v>
      </c>
      <c r="N81" s="421" t="s">
        <v>591</v>
      </c>
      <c r="O81" s="421">
        <v>129</v>
      </c>
      <c r="P81" s="421" t="s">
        <v>825</v>
      </c>
    </row>
    <row r="82" spans="1:16" s="242" customFormat="1">
      <c r="A82" s="243">
        <v>78</v>
      </c>
      <c r="B82" s="243"/>
      <c r="C82" s="242" t="str">
        <f t="shared" si="1"/>
        <v>78 Dover</v>
      </c>
      <c r="D82" s="247">
        <v>78</v>
      </c>
      <c r="E82" s="248" t="s">
        <v>1344</v>
      </c>
      <c r="F82" s="248" t="s">
        <v>2417</v>
      </c>
      <c r="H82" s="7">
        <v>860</v>
      </c>
      <c r="I82" s="7">
        <v>9</v>
      </c>
      <c r="K82" s="421">
        <v>69001</v>
      </c>
      <c r="L82" s="421">
        <v>1</v>
      </c>
      <c r="M82" s="421">
        <v>690</v>
      </c>
      <c r="N82" s="421" t="s">
        <v>592</v>
      </c>
      <c r="O82" s="421">
        <v>208</v>
      </c>
      <c r="P82" s="421" t="s">
        <v>951</v>
      </c>
    </row>
    <row r="83" spans="1:16" s="242" customFormat="1">
      <c r="A83" s="243">
        <v>79</v>
      </c>
      <c r="B83" s="243"/>
      <c r="C83" s="242" t="str">
        <f t="shared" si="1"/>
        <v>79 Dracut</v>
      </c>
      <c r="D83" s="247">
        <v>79</v>
      </c>
      <c r="E83" s="248" t="s">
        <v>1345</v>
      </c>
      <c r="F83" s="248" t="s">
        <v>2418</v>
      </c>
      <c r="H83" s="7">
        <v>871</v>
      </c>
      <c r="I83" s="7">
        <v>5</v>
      </c>
      <c r="K83" s="421">
        <v>69002</v>
      </c>
      <c r="L83" s="421">
        <v>2</v>
      </c>
      <c r="M83" s="421">
        <v>690</v>
      </c>
      <c r="N83" s="421" t="s">
        <v>592</v>
      </c>
      <c r="O83" s="421">
        <v>238</v>
      </c>
      <c r="P83" s="421" t="s">
        <v>1008</v>
      </c>
    </row>
    <row r="84" spans="1:16" s="242" customFormat="1">
      <c r="A84" s="243">
        <v>80</v>
      </c>
      <c r="B84" s="243"/>
      <c r="C84" s="242" t="str">
        <f t="shared" si="1"/>
        <v>80 Dudley</v>
      </c>
      <c r="D84" s="247">
        <v>80</v>
      </c>
      <c r="E84" s="248" t="s">
        <v>1346</v>
      </c>
      <c r="F84" s="248" t="s">
        <v>2419</v>
      </c>
      <c r="H84" s="7">
        <v>872</v>
      </c>
      <c r="I84" s="7">
        <v>9</v>
      </c>
      <c r="K84" s="421">
        <v>69003</v>
      </c>
      <c r="L84" s="421">
        <v>3</v>
      </c>
      <c r="M84" s="421">
        <v>690</v>
      </c>
      <c r="N84" s="421" t="s">
        <v>592</v>
      </c>
      <c r="O84" s="421">
        <v>350</v>
      </c>
      <c r="P84" s="421" t="s">
        <v>1128</v>
      </c>
    </row>
    <row r="85" spans="1:16" s="242" customFormat="1">
      <c r="A85" s="243">
        <v>81</v>
      </c>
      <c r="B85" s="243"/>
      <c r="C85" s="242" t="str">
        <f t="shared" si="1"/>
        <v>81 Dunstable</v>
      </c>
      <c r="D85" s="247">
        <v>81</v>
      </c>
      <c r="E85" s="248" t="s">
        <v>1347</v>
      </c>
      <c r="F85" s="248" t="s">
        <v>2420</v>
      </c>
      <c r="H85" s="7">
        <v>873</v>
      </c>
      <c r="I85" s="7">
        <v>8</v>
      </c>
      <c r="K85" s="421">
        <v>69501</v>
      </c>
      <c r="L85" s="421">
        <v>1</v>
      </c>
      <c r="M85" s="421">
        <v>695</v>
      </c>
      <c r="N85" s="421" t="s">
        <v>593</v>
      </c>
      <c r="O85" s="421">
        <v>157</v>
      </c>
      <c r="P85" s="421" t="s">
        <v>855</v>
      </c>
    </row>
    <row r="86" spans="1:16" s="242" customFormat="1">
      <c r="A86" s="243">
        <v>82</v>
      </c>
      <c r="B86" s="243"/>
      <c r="C86" s="242" t="str">
        <f t="shared" si="1"/>
        <v>82 Duxbury</v>
      </c>
      <c r="D86" s="247">
        <v>82</v>
      </c>
      <c r="E86" s="248" t="s">
        <v>1348</v>
      </c>
      <c r="F86" s="248" t="s">
        <v>2421</v>
      </c>
      <c r="H86" s="7">
        <v>876</v>
      </c>
      <c r="I86" s="7">
        <v>10</v>
      </c>
      <c r="K86" s="421">
        <v>69502</v>
      </c>
      <c r="L86" s="421">
        <v>2</v>
      </c>
      <c r="M86" s="421">
        <v>695</v>
      </c>
      <c r="N86" s="421" t="s">
        <v>593</v>
      </c>
      <c r="O86" s="421">
        <v>288</v>
      </c>
      <c r="P86" s="421" t="s">
        <v>1065</v>
      </c>
    </row>
    <row r="87" spans="1:16" s="242" customFormat="1">
      <c r="A87" s="243">
        <v>83</v>
      </c>
      <c r="B87" s="243"/>
      <c r="C87" s="242" t="str">
        <f t="shared" si="1"/>
        <v>83 East Bridgewater</v>
      </c>
      <c r="D87" s="247">
        <v>83</v>
      </c>
      <c r="E87" s="248" t="s">
        <v>1349</v>
      </c>
      <c r="F87" s="248" t="s">
        <v>2422</v>
      </c>
      <c r="H87" s="7">
        <v>878</v>
      </c>
      <c r="I87" s="7">
        <v>11</v>
      </c>
      <c r="K87" s="421">
        <v>69801</v>
      </c>
      <c r="L87" s="421">
        <v>1</v>
      </c>
      <c r="M87" s="421">
        <v>698</v>
      </c>
      <c r="N87" s="421" t="s">
        <v>1134</v>
      </c>
      <c r="O87" s="421">
        <v>92</v>
      </c>
      <c r="P87" s="421" t="s">
        <v>778</v>
      </c>
    </row>
    <row r="88" spans="1:16" s="242" customFormat="1">
      <c r="A88" s="243">
        <v>84</v>
      </c>
      <c r="B88" s="243"/>
      <c r="C88" s="242" t="str">
        <f t="shared" si="1"/>
        <v>84 East Brookfield</v>
      </c>
      <c r="D88" s="247">
        <v>84</v>
      </c>
      <c r="E88" s="248" t="s">
        <v>1350</v>
      </c>
      <c r="F88" s="248" t="s">
        <v>2423</v>
      </c>
      <c r="H88" s="7">
        <v>879</v>
      </c>
      <c r="I88" s="7">
        <v>5</v>
      </c>
      <c r="K88" s="421">
        <v>69802</v>
      </c>
      <c r="L88" s="421">
        <v>2</v>
      </c>
      <c r="M88" s="421">
        <v>698</v>
      </c>
      <c r="N88" s="421" t="s">
        <v>1134</v>
      </c>
      <c r="O88" s="421">
        <v>166</v>
      </c>
      <c r="P88" s="421" t="s">
        <v>901</v>
      </c>
    </row>
    <row r="89" spans="1:16" s="242" customFormat="1">
      <c r="A89" s="243">
        <v>85</v>
      </c>
      <c r="B89" s="243"/>
      <c r="C89" s="242" t="str">
        <f t="shared" si="1"/>
        <v>85 Eastham</v>
      </c>
      <c r="D89" s="247">
        <v>85</v>
      </c>
      <c r="E89" s="248" t="s">
        <v>1351</v>
      </c>
      <c r="F89" s="248" t="s">
        <v>2424</v>
      </c>
      <c r="H89" s="7">
        <v>885</v>
      </c>
      <c r="I89" s="7">
        <v>11</v>
      </c>
      <c r="K89" s="421">
        <v>70001</v>
      </c>
      <c r="L89" s="421">
        <v>1</v>
      </c>
      <c r="M89" s="421">
        <v>700</v>
      </c>
      <c r="N89" s="421" t="s">
        <v>594</v>
      </c>
      <c r="O89" s="421">
        <v>62</v>
      </c>
      <c r="P89" s="421" t="s">
        <v>728</v>
      </c>
    </row>
    <row r="90" spans="1:16" s="242" customFormat="1">
      <c r="A90" s="243">
        <v>86</v>
      </c>
      <c r="B90" s="243"/>
      <c r="C90" s="242" t="str">
        <f t="shared" si="1"/>
        <v>86 Easthampton</v>
      </c>
      <c r="D90" s="247">
        <v>86</v>
      </c>
      <c r="E90" s="248" t="s">
        <v>1352</v>
      </c>
      <c r="F90" s="248" t="s">
        <v>2425</v>
      </c>
      <c r="H90" s="7">
        <v>910</v>
      </c>
      <c r="I90" s="7">
        <v>20</v>
      </c>
      <c r="K90" s="421">
        <v>70002</v>
      </c>
      <c r="L90" s="421">
        <v>2</v>
      </c>
      <c r="M90" s="421">
        <v>700</v>
      </c>
      <c r="N90" s="421" t="s">
        <v>594</v>
      </c>
      <c r="O90" s="421">
        <v>89</v>
      </c>
      <c r="P90" s="421" t="s">
        <v>774</v>
      </c>
    </row>
    <row r="91" spans="1:16" s="242" customFormat="1">
      <c r="A91" s="243">
        <v>87</v>
      </c>
      <c r="B91" s="243"/>
      <c r="C91" s="242" t="str">
        <f t="shared" si="1"/>
        <v>87 East Longmeadow</v>
      </c>
      <c r="D91" s="247">
        <v>87</v>
      </c>
      <c r="E91" s="248" t="s">
        <v>1353</v>
      </c>
      <c r="F91" s="248" t="s">
        <v>2426</v>
      </c>
      <c r="H91" s="7">
        <v>915</v>
      </c>
      <c r="I91" s="7">
        <v>28</v>
      </c>
      <c r="K91" s="421">
        <v>70003</v>
      </c>
      <c r="L91" s="421">
        <v>3</v>
      </c>
      <c r="M91" s="421">
        <v>700</v>
      </c>
      <c r="N91" s="421" t="s">
        <v>594</v>
      </c>
      <c r="O91" s="421">
        <v>104</v>
      </c>
      <c r="P91" s="421" t="s">
        <v>1131</v>
      </c>
    </row>
    <row r="92" spans="1:16" s="242" customFormat="1">
      <c r="A92" s="243">
        <v>88</v>
      </c>
      <c r="B92" s="243"/>
      <c r="C92" s="242" t="str">
        <f t="shared" si="1"/>
        <v>88 Easton</v>
      </c>
      <c r="D92" s="247">
        <v>88</v>
      </c>
      <c r="E92" s="248" t="s">
        <v>1354</v>
      </c>
      <c r="F92" s="248" t="s">
        <v>2427</v>
      </c>
      <c r="K92" s="242">
        <v>70004</v>
      </c>
      <c r="L92" s="242">
        <v>4</v>
      </c>
      <c r="M92" s="242">
        <v>700</v>
      </c>
      <c r="N92" s="242" t="s">
        <v>594</v>
      </c>
      <c r="O92" s="242">
        <v>221</v>
      </c>
      <c r="P92" s="242" t="s">
        <v>969</v>
      </c>
    </row>
    <row r="93" spans="1:16" s="242" customFormat="1">
      <c r="A93" s="243">
        <v>89</v>
      </c>
      <c r="B93" s="243"/>
      <c r="C93" s="242" t="str">
        <f t="shared" si="1"/>
        <v>89 Edgartown</v>
      </c>
      <c r="D93" s="247">
        <v>89</v>
      </c>
      <c r="E93" s="248" t="s">
        <v>1355</v>
      </c>
      <c r="F93" s="248" t="s">
        <v>2428</v>
      </c>
      <c r="K93" s="242">
        <v>70005</v>
      </c>
      <c r="L93" s="242">
        <v>5</v>
      </c>
      <c r="M93" s="242">
        <v>700</v>
      </c>
      <c r="N93" s="242" t="s">
        <v>594</v>
      </c>
      <c r="O93" s="242">
        <v>296</v>
      </c>
      <c r="P93" s="242" t="s">
        <v>1073</v>
      </c>
    </row>
    <row r="94" spans="1:16" s="242" customFormat="1">
      <c r="A94" s="243">
        <v>90</v>
      </c>
      <c r="B94" s="243"/>
      <c r="C94" s="242" t="str">
        <f t="shared" si="1"/>
        <v>90 Egremont</v>
      </c>
      <c r="D94" s="247">
        <v>90</v>
      </c>
      <c r="E94" s="248" t="s">
        <v>1356</v>
      </c>
      <c r="F94" s="248" t="s">
        <v>2429</v>
      </c>
      <c r="K94" s="242">
        <v>70006</v>
      </c>
      <c r="L94" s="242">
        <v>6</v>
      </c>
      <c r="M94" s="242">
        <v>700</v>
      </c>
      <c r="N94" s="242" t="s">
        <v>594</v>
      </c>
      <c r="O94" s="242">
        <v>334</v>
      </c>
      <c r="P94" s="242" t="s">
        <v>1112</v>
      </c>
    </row>
    <row r="95" spans="1:16" s="242" customFormat="1">
      <c r="A95" s="243">
        <v>91</v>
      </c>
      <c r="B95" s="243"/>
      <c r="C95" s="242" t="str">
        <f t="shared" si="1"/>
        <v>91 Erving</v>
      </c>
      <c r="D95" s="247">
        <v>91</v>
      </c>
      <c r="E95" s="248" t="s">
        <v>1357</v>
      </c>
      <c r="F95" s="248" t="s">
        <v>2430</v>
      </c>
      <c r="K95" s="242">
        <v>70501</v>
      </c>
      <c r="L95" s="242">
        <v>1</v>
      </c>
      <c r="M95" s="242">
        <v>705</v>
      </c>
      <c r="N95" s="242" t="s">
        <v>595</v>
      </c>
      <c r="O95" s="242">
        <v>38</v>
      </c>
      <c r="P95" s="242" t="s">
        <v>691</v>
      </c>
    </row>
    <row r="96" spans="1:16" s="242" customFormat="1">
      <c r="A96" s="243">
        <v>92</v>
      </c>
      <c r="B96" s="243"/>
      <c r="C96" s="242" t="str">
        <f t="shared" si="1"/>
        <v>92 Essex</v>
      </c>
      <c r="D96" s="247">
        <v>92</v>
      </c>
      <c r="E96" s="248" t="s">
        <v>1358</v>
      </c>
      <c r="F96" s="248" t="s">
        <v>2431</v>
      </c>
      <c r="K96" s="242">
        <v>70502</v>
      </c>
      <c r="L96" s="242">
        <v>2</v>
      </c>
      <c r="M96" s="242">
        <v>705</v>
      </c>
      <c r="N96" s="242" t="s">
        <v>595</v>
      </c>
      <c r="O96" s="242">
        <v>184</v>
      </c>
      <c r="P96" s="242" t="s">
        <v>923</v>
      </c>
    </row>
    <row r="97" spans="1:16" s="242" customFormat="1">
      <c r="A97" s="243">
        <v>93</v>
      </c>
      <c r="B97" s="243"/>
      <c r="C97" s="242" t="str">
        <f t="shared" si="1"/>
        <v>93 Everett</v>
      </c>
      <c r="D97" s="247">
        <v>93</v>
      </c>
      <c r="E97" s="248" t="s">
        <v>1359</v>
      </c>
      <c r="F97" s="248" t="s">
        <v>2432</v>
      </c>
      <c r="K97" s="242">
        <v>70503</v>
      </c>
      <c r="L97" s="242">
        <v>3</v>
      </c>
      <c r="M97" s="242">
        <v>705</v>
      </c>
      <c r="N97" s="242" t="s">
        <v>595</v>
      </c>
      <c r="O97" s="242">
        <v>298</v>
      </c>
      <c r="P97" s="242" t="s">
        <v>1075</v>
      </c>
    </row>
    <row r="98" spans="1:16" s="242" customFormat="1">
      <c r="A98" s="243">
        <v>94</v>
      </c>
      <c r="B98" s="243"/>
      <c r="C98" s="242" t="str">
        <f t="shared" si="1"/>
        <v>94 Fairhaven</v>
      </c>
      <c r="D98" s="247">
        <v>94</v>
      </c>
      <c r="E98" s="248" t="s">
        <v>1360</v>
      </c>
      <c r="F98" s="248" t="s">
        <v>2433</v>
      </c>
      <c r="K98" s="242">
        <v>71001</v>
      </c>
      <c r="L98" s="242">
        <v>1</v>
      </c>
      <c r="M98" s="242">
        <v>710</v>
      </c>
      <c r="N98" s="242" t="s">
        <v>596</v>
      </c>
      <c r="O98" s="242">
        <v>179</v>
      </c>
      <c r="P98" s="242" t="s">
        <v>917</v>
      </c>
    </row>
    <row r="99" spans="1:16" s="242" customFormat="1">
      <c r="A99" s="243">
        <v>95</v>
      </c>
      <c r="B99" s="243"/>
      <c r="C99" s="242" t="str">
        <f t="shared" si="1"/>
        <v>95 Fall River</v>
      </c>
      <c r="D99" s="247">
        <v>95</v>
      </c>
      <c r="E99" s="248" t="s">
        <v>1361</v>
      </c>
      <c r="F99" s="248" t="s">
        <v>2434</v>
      </c>
      <c r="K99" s="242">
        <v>71002</v>
      </c>
      <c r="L99" s="242">
        <v>2</v>
      </c>
      <c r="M99" s="242">
        <v>710</v>
      </c>
      <c r="N99" s="242" t="s">
        <v>596</v>
      </c>
      <c r="O99" s="242">
        <v>303</v>
      </c>
      <c r="P99" s="242" t="s">
        <v>1080</v>
      </c>
    </row>
    <row r="100" spans="1:16" s="242" customFormat="1">
      <c r="A100" s="243">
        <v>96</v>
      </c>
      <c r="B100" s="243"/>
      <c r="C100" s="242" t="str">
        <f t="shared" si="1"/>
        <v>96 Falmouth</v>
      </c>
      <c r="D100" s="247">
        <v>96</v>
      </c>
      <c r="E100" s="248" t="s">
        <v>1362</v>
      </c>
      <c r="F100" s="248" t="s">
        <v>2435</v>
      </c>
      <c r="K100" s="242">
        <v>71201</v>
      </c>
      <c r="L100" s="242">
        <v>1</v>
      </c>
      <c r="M100" s="242">
        <v>712</v>
      </c>
      <c r="N100" s="242" t="s">
        <v>96</v>
      </c>
      <c r="O100" s="242">
        <v>55</v>
      </c>
      <c r="P100" s="242" t="s">
        <v>716</v>
      </c>
    </row>
    <row r="101" spans="1:16" s="242" customFormat="1">
      <c r="A101" s="243">
        <v>97</v>
      </c>
      <c r="B101" s="243"/>
      <c r="C101" s="242" t="str">
        <f t="shared" si="1"/>
        <v>97 Fitchburg</v>
      </c>
      <c r="D101" s="247">
        <v>97</v>
      </c>
      <c r="E101" s="248" t="s">
        <v>1363</v>
      </c>
      <c r="F101" s="248" t="s">
        <v>2436</v>
      </c>
      <c r="K101" s="242">
        <v>71202</v>
      </c>
      <c r="L101" s="242">
        <v>2</v>
      </c>
      <c r="M101" s="242">
        <v>712</v>
      </c>
      <c r="N101" s="242" t="s">
        <v>96</v>
      </c>
      <c r="O101" s="242">
        <v>126</v>
      </c>
      <c r="P101" s="242" t="s">
        <v>822</v>
      </c>
    </row>
    <row r="102" spans="1:16" s="242" customFormat="1">
      <c r="A102" s="243">
        <v>98</v>
      </c>
      <c r="B102" s="243"/>
      <c r="C102" s="242" t="str">
        <f t="shared" si="1"/>
        <v>98 Florida</v>
      </c>
      <c r="D102" s="247">
        <v>98</v>
      </c>
      <c r="E102" s="248" t="s">
        <v>1364</v>
      </c>
      <c r="F102" s="248" t="s">
        <v>2437</v>
      </c>
      <c r="K102" s="242">
        <v>71501</v>
      </c>
      <c r="L102" s="242">
        <v>1</v>
      </c>
      <c r="M102" s="242">
        <v>715</v>
      </c>
      <c r="N102" s="242" t="s">
        <v>600</v>
      </c>
      <c r="O102" s="242">
        <v>148</v>
      </c>
      <c r="P102" s="242" t="s">
        <v>845</v>
      </c>
    </row>
    <row r="103" spans="1:16" s="242" customFormat="1">
      <c r="A103" s="243">
        <v>99</v>
      </c>
      <c r="B103" s="243"/>
      <c r="C103" s="242" t="str">
        <f t="shared" si="1"/>
        <v>99 Foxborough</v>
      </c>
      <c r="D103" s="247">
        <v>99</v>
      </c>
      <c r="E103" s="248" t="s">
        <v>1365</v>
      </c>
      <c r="F103" s="248" t="s">
        <v>2438</v>
      </c>
      <c r="K103" s="242">
        <v>71502</v>
      </c>
      <c r="L103" s="242">
        <v>2</v>
      </c>
      <c r="M103" s="242">
        <v>715</v>
      </c>
      <c r="N103" s="242" t="s">
        <v>600</v>
      </c>
      <c r="O103" s="242">
        <v>341</v>
      </c>
      <c r="P103" s="242" t="s">
        <v>1119</v>
      </c>
    </row>
    <row r="104" spans="1:16" s="242" customFormat="1">
      <c r="A104" s="243">
        <v>100</v>
      </c>
      <c r="B104" s="243"/>
      <c r="C104" s="242" t="str">
        <f t="shared" si="1"/>
        <v>100 Framingham</v>
      </c>
      <c r="D104" s="247">
        <v>100</v>
      </c>
      <c r="E104" s="248" t="s">
        <v>1366</v>
      </c>
      <c r="F104" s="248" t="s">
        <v>2439</v>
      </c>
      <c r="K104" s="242">
        <v>71701</v>
      </c>
      <c r="L104" s="242">
        <v>1</v>
      </c>
      <c r="M104" s="242">
        <v>717</v>
      </c>
      <c r="N104" s="242" t="s">
        <v>601</v>
      </c>
      <c r="O104" s="242">
        <v>13</v>
      </c>
      <c r="P104" s="242" t="s">
        <v>13</v>
      </c>
    </row>
    <row r="105" spans="1:16" s="242" customFormat="1">
      <c r="A105" s="243">
        <v>101</v>
      </c>
      <c r="B105" s="243"/>
      <c r="C105" s="242" t="str">
        <f t="shared" si="1"/>
        <v>101 Franklin</v>
      </c>
      <c r="D105" s="247">
        <v>101</v>
      </c>
      <c r="E105" s="248" t="s">
        <v>1367</v>
      </c>
      <c r="F105" s="248" t="s">
        <v>2440</v>
      </c>
      <c r="K105" s="242">
        <v>71702</v>
      </c>
      <c r="L105" s="242">
        <v>2</v>
      </c>
      <c r="M105" s="242">
        <v>717</v>
      </c>
      <c r="N105" s="242" t="s">
        <v>601</v>
      </c>
      <c r="O105" s="242">
        <v>47</v>
      </c>
      <c r="P105" s="242" t="s">
        <v>705</v>
      </c>
    </row>
    <row r="106" spans="1:16" s="242" customFormat="1">
      <c r="A106" s="243">
        <v>102</v>
      </c>
      <c r="B106" s="243"/>
      <c r="C106" s="242" t="str">
        <f t="shared" si="1"/>
        <v>102 Freetown</v>
      </c>
      <c r="D106" s="247">
        <v>102</v>
      </c>
      <c r="E106" s="248" t="s">
        <v>1368</v>
      </c>
      <c r="F106" s="248" t="s">
        <v>2441</v>
      </c>
      <c r="K106" s="242">
        <v>71703</v>
      </c>
      <c r="L106" s="242">
        <v>3</v>
      </c>
      <c r="M106" s="242">
        <v>717</v>
      </c>
      <c r="N106" s="242" t="s">
        <v>601</v>
      </c>
      <c r="O106" s="242">
        <v>53</v>
      </c>
      <c r="P106" s="242" t="s">
        <v>712</v>
      </c>
    </row>
    <row r="107" spans="1:16" s="242" customFormat="1">
      <c r="A107" s="243">
        <v>103</v>
      </c>
      <c r="B107" s="243"/>
      <c r="C107" s="242" t="str">
        <f t="shared" si="1"/>
        <v>103 Gardner</v>
      </c>
      <c r="D107" s="247">
        <v>103</v>
      </c>
      <c r="E107" s="248" t="s">
        <v>1369</v>
      </c>
      <c r="F107" s="248" t="s">
        <v>2442</v>
      </c>
      <c r="K107" s="242">
        <v>71704</v>
      </c>
      <c r="L107" s="242">
        <v>4</v>
      </c>
      <c r="M107" s="242">
        <v>717</v>
      </c>
      <c r="N107" s="242" t="s">
        <v>601</v>
      </c>
      <c r="O107" s="242">
        <v>66</v>
      </c>
      <c r="P107" s="242" t="s">
        <v>737</v>
      </c>
    </row>
    <row r="108" spans="1:16" s="242" customFormat="1">
      <c r="A108" s="243">
        <v>104</v>
      </c>
      <c r="B108" s="243"/>
      <c r="C108" s="242" t="str">
        <f t="shared" si="1"/>
        <v>104 Aquinnah</v>
      </c>
      <c r="D108" s="247">
        <v>104</v>
      </c>
      <c r="E108" s="248" t="s">
        <v>1370</v>
      </c>
      <c r="F108" s="248" t="s">
        <v>2443</v>
      </c>
      <c r="K108" s="242">
        <v>71705</v>
      </c>
      <c r="L108" s="242">
        <v>5</v>
      </c>
      <c r="M108" s="242">
        <v>717</v>
      </c>
      <c r="N108" s="242" t="s">
        <v>601</v>
      </c>
      <c r="O108" s="242">
        <v>129</v>
      </c>
      <c r="P108" s="242" t="s">
        <v>825</v>
      </c>
    </row>
    <row r="109" spans="1:16" s="242" customFormat="1">
      <c r="A109" s="243">
        <v>105</v>
      </c>
      <c r="B109" s="243"/>
      <c r="C109" s="242" t="str">
        <f t="shared" si="1"/>
        <v>105 Georgetown</v>
      </c>
      <c r="D109" s="247">
        <v>105</v>
      </c>
      <c r="E109" s="248" t="s">
        <v>1371</v>
      </c>
      <c r="F109" s="248" t="s">
        <v>2444</v>
      </c>
      <c r="K109" s="242">
        <v>71706</v>
      </c>
      <c r="L109" s="242">
        <v>6</v>
      </c>
      <c r="M109" s="242">
        <v>717</v>
      </c>
      <c r="N109" s="242" t="s">
        <v>601</v>
      </c>
      <c r="O109" s="242">
        <v>130</v>
      </c>
      <c r="P109" s="242" t="s">
        <v>826</v>
      </c>
    </row>
    <row r="110" spans="1:16" s="242" customFormat="1">
      <c r="A110" s="243">
        <v>106</v>
      </c>
      <c r="B110" s="243"/>
      <c r="C110" s="242" t="str">
        <f t="shared" si="1"/>
        <v>106 Gill</v>
      </c>
      <c r="D110" s="247">
        <v>106</v>
      </c>
      <c r="E110" s="248" t="s">
        <v>1372</v>
      </c>
      <c r="F110" s="248" t="s">
        <v>2445</v>
      </c>
      <c r="K110" s="242">
        <v>71707</v>
      </c>
      <c r="L110" s="242">
        <v>7</v>
      </c>
      <c r="M110" s="242">
        <v>717</v>
      </c>
      <c r="N110" s="242" t="s">
        <v>601</v>
      </c>
      <c r="O110" s="242">
        <v>237</v>
      </c>
      <c r="P110" s="242" t="s">
        <v>1007</v>
      </c>
    </row>
    <row r="111" spans="1:16" s="242" customFormat="1">
      <c r="A111" s="243">
        <v>107</v>
      </c>
      <c r="B111" s="243"/>
      <c r="C111" s="242" t="str">
        <f t="shared" si="1"/>
        <v>107 Gloucester</v>
      </c>
      <c r="D111" s="247">
        <v>107</v>
      </c>
      <c r="E111" s="248" t="s">
        <v>1373</v>
      </c>
      <c r="F111" s="248" t="s">
        <v>2446</v>
      </c>
      <c r="K111" s="242">
        <v>71708</v>
      </c>
      <c r="L111" s="242">
        <v>8</v>
      </c>
      <c r="M111" s="242">
        <v>717</v>
      </c>
      <c r="N111" s="242" t="s">
        <v>601</v>
      </c>
      <c r="O111" s="242">
        <v>268</v>
      </c>
      <c r="P111" s="242" t="s">
        <v>1038</v>
      </c>
    </row>
    <row r="112" spans="1:16" s="242" customFormat="1">
      <c r="A112" s="243">
        <v>108</v>
      </c>
      <c r="B112" s="243"/>
      <c r="C112" s="242" t="str">
        <f t="shared" si="1"/>
        <v>108 Goshen</v>
      </c>
      <c r="D112" s="247">
        <v>108</v>
      </c>
      <c r="E112" s="248" t="s">
        <v>1374</v>
      </c>
      <c r="F112" s="248" t="s">
        <v>2447</v>
      </c>
      <c r="K112" s="242">
        <v>72001</v>
      </c>
      <c r="L112" s="242">
        <v>1</v>
      </c>
      <c r="M112" s="242">
        <v>720</v>
      </c>
      <c r="N112" s="242" t="s">
        <v>605</v>
      </c>
      <c r="O112" s="242">
        <v>235</v>
      </c>
      <c r="P112" s="242" t="s">
        <v>1004</v>
      </c>
    </row>
    <row r="113" spans="1:16" s="242" customFormat="1">
      <c r="A113" s="243">
        <v>109</v>
      </c>
      <c r="B113" s="243"/>
      <c r="C113" s="242" t="str">
        <f t="shared" si="1"/>
        <v>109 Gosnold</v>
      </c>
      <c r="D113" s="247">
        <v>109</v>
      </c>
      <c r="E113" s="248" t="s">
        <v>1375</v>
      </c>
      <c r="F113" s="248" t="s">
        <v>2448</v>
      </c>
      <c r="K113" s="242">
        <v>72002</v>
      </c>
      <c r="L113" s="242">
        <v>2</v>
      </c>
      <c r="M113" s="242">
        <v>720</v>
      </c>
      <c r="N113" s="242" t="s">
        <v>605</v>
      </c>
      <c r="O113" s="242">
        <v>294</v>
      </c>
      <c r="P113" s="242" t="s">
        <v>1071</v>
      </c>
    </row>
    <row r="114" spans="1:16" s="242" customFormat="1">
      <c r="A114" s="243">
        <v>110</v>
      </c>
      <c r="B114" s="243"/>
      <c r="C114" s="242" t="str">
        <f t="shared" si="1"/>
        <v>110 Grafton</v>
      </c>
      <c r="D114" s="247">
        <v>110</v>
      </c>
      <c r="E114" s="248" t="s">
        <v>1376</v>
      </c>
      <c r="F114" s="248" t="s">
        <v>2449</v>
      </c>
      <c r="K114" s="242">
        <v>72501</v>
      </c>
      <c r="L114" s="242">
        <v>1</v>
      </c>
      <c r="M114" s="242">
        <v>725</v>
      </c>
      <c r="N114" s="242" t="s">
        <v>606</v>
      </c>
      <c r="O114" s="242">
        <v>34</v>
      </c>
      <c r="P114" s="242" t="s">
        <v>57</v>
      </c>
    </row>
    <row r="115" spans="1:16" s="242" customFormat="1">
      <c r="A115" s="243">
        <v>111</v>
      </c>
      <c r="B115" s="243"/>
      <c r="C115" s="242" t="str">
        <f t="shared" si="1"/>
        <v>111 Granby</v>
      </c>
      <c r="D115" s="247">
        <v>111</v>
      </c>
      <c r="E115" s="248" t="s">
        <v>1377</v>
      </c>
      <c r="F115" s="248" t="s">
        <v>2450</v>
      </c>
      <c r="K115" s="242">
        <v>72502</v>
      </c>
      <c r="L115" s="242">
        <v>2</v>
      </c>
      <c r="M115" s="242">
        <v>725</v>
      </c>
      <c r="N115" s="242" t="s">
        <v>606</v>
      </c>
      <c r="O115" s="242">
        <v>147</v>
      </c>
      <c r="P115" s="242" t="s">
        <v>844</v>
      </c>
    </row>
    <row r="116" spans="1:16" s="242" customFormat="1">
      <c r="A116" s="243">
        <v>112</v>
      </c>
      <c r="B116" s="243"/>
      <c r="C116" s="242" t="str">
        <f t="shared" si="1"/>
        <v>112 Granville</v>
      </c>
      <c r="D116" s="247">
        <v>112</v>
      </c>
      <c r="E116" s="248" t="s">
        <v>1378</v>
      </c>
      <c r="F116" s="248" t="s">
        <v>2451</v>
      </c>
      <c r="K116" s="242">
        <v>72503</v>
      </c>
      <c r="L116" s="242">
        <v>3</v>
      </c>
      <c r="M116" s="242">
        <v>725</v>
      </c>
      <c r="N116" s="242" t="s">
        <v>606</v>
      </c>
      <c r="O116" s="242">
        <v>286</v>
      </c>
      <c r="P116" s="242" t="s">
        <v>1063</v>
      </c>
    </row>
    <row r="117" spans="1:16" s="242" customFormat="1">
      <c r="A117" s="243">
        <v>113</v>
      </c>
      <c r="B117" s="243"/>
      <c r="C117" s="242" t="str">
        <f t="shared" si="1"/>
        <v>113 Great Barrington</v>
      </c>
      <c r="D117" s="247">
        <v>113</v>
      </c>
      <c r="E117" s="248" t="s">
        <v>1379</v>
      </c>
      <c r="F117" s="248" t="s">
        <v>2452</v>
      </c>
      <c r="K117" s="242">
        <v>72801</v>
      </c>
      <c r="L117" s="242">
        <v>1</v>
      </c>
      <c r="M117" s="242">
        <v>728</v>
      </c>
      <c r="N117" s="242" t="s">
        <v>607</v>
      </c>
      <c r="O117" s="242">
        <v>206</v>
      </c>
      <c r="P117" s="242" t="s">
        <v>947</v>
      </c>
    </row>
    <row r="118" spans="1:16" s="242" customFormat="1">
      <c r="A118" s="243">
        <v>114</v>
      </c>
      <c r="B118" s="243"/>
      <c r="C118" s="242" t="str">
        <f t="shared" si="1"/>
        <v>114 Greenfield</v>
      </c>
      <c r="D118" s="247">
        <v>114</v>
      </c>
      <c r="E118" s="248" t="s">
        <v>1380</v>
      </c>
      <c r="F118" s="248" t="s">
        <v>2453</v>
      </c>
      <c r="K118" s="242">
        <v>72802</v>
      </c>
      <c r="L118" s="242">
        <v>2</v>
      </c>
      <c r="M118" s="242">
        <v>728</v>
      </c>
      <c r="N118" s="242" t="s">
        <v>607</v>
      </c>
      <c r="O118" s="242">
        <v>319</v>
      </c>
      <c r="P118" s="242" t="s">
        <v>1097</v>
      </c>
    </row>
    <row r="119" spans="1:16" s="242" customFormat="1">
      <c r="A119" s="243">
        <v>115</v>
      </c>
      <c r="B119" s="243"/>
      <c r="C119" s="242" t="str">
        <f t="shared" si="1"/>
        <v>115 Groton</v>
      </c>
      <c r="D119" s="247">
        <v>115</v>
      </c>
      <c r="E119" s="248" t="s">
        <v>1381</v>
      </c>
      <c r="F119" s="248" t="s">
        <v>2454</v>
      </c>
      <c r="K119" s="242">
        <v>73001</v>
      </c>
      <c r="L119" s="242">
        <v>1</v>
      </c>
      <c r="M119" s="242">
        <v>730</v>
      </c>
      <c r="N119" s="242" t="s">
        <v>608</v>
      </c>
      <c r="O119" s="242">
        <v>213</v>
      </c>
      <c r="P119" s="242" t="s">
        <v>959</v>
      </c>
    </row>
    <row r="120" spans="1:16" s="242" customFormat="1">
      <c r="A120" s="243">
        <v>116</v>
      </c>
      <c r="B120" s="243"/>
      <c r="C120" s="242" t="str">
        <f t="shared" si="1"/>
        <v>116 Groveland</v>
      </c>
      <c r="D120" s="247">
        <v>116</v>
      </c>
      <c r="E120" s="248" t="s">
        <v>1382</v>
      </c>
      <c r="F120" s="248" t="s">
        <v>2455</v>
      </c>
      <c r="K120" s="242">
        <v>73002</v>
      </c>
      <c r="L120" s="242">
        <v>2</v>
      </c>
      <c r="M120" s="242">
        <v>730</v>
      </c>
      <c r="N120" s="242" t="s">
        <v>608</v>
      </c>
      <c r="O120" s="242">
        <v>276</v>
      </c>
      <c r="P120" s="242" t="s">
        <v>1046</v>
      </c>
    </row>
    <row r="121" spans="1:16" s="242" customFormat="1">
      <c r="A121" s="243">
        <v>117</v>
      </c>
      <c r="B121" s="243"/>
      <c r="C121" s="242" t="str">
        <f t="shared" si="1"/>
        <v>117 Hadley</v>
      </c>
      <c r="D121" s="247">
        <v>117</v>
      </c>
      <c r="E121" s="248" t="s">
        <v>1383</v>
      </c>
      <c r="F121" s="248" t="s">
        <v>2456</v>
      </c>
      <c r="K121" s="242">
        <v>73501</v>
      </c>
      <c r="L121" s="242">
        <v>1</v>
      </c>
      <c r="M121" s="242">
        <v>735</v>
      </c>
      <c r="N121" s="242" t="s">
        <v>609</v>
      </c>
      <c r="O121" s="242">
        <v>12</v>
      </c>
      <c r="P121" s="242" t="s">
        <v>11</v>
      </c>
    </row>
    <row r="122" spans="1:16" s="242" customFormat="1">
      <c r="A122" s="243">
        <v>118</v>
      </c>
      <c r="B122" s="243"/>
      <c r="C122" s="242" t="str">
        <f t="shared" si="1"/>
        <v>118 Halifax</v>
      </c>
      <c r="D122" s="247">
        <v>118</v>
      </c>
      <c r="E122" s="248" t="s">
        <v>1384</v>
      </c>
      <c r="F122" s="248" t="s">
        <v>2457</v>
      </c>
      <c r="K122" s="242">
        <v>73502</v>
      </c>
      <c r="L122" s="242">
        <v>2</v>
      </c>
      <c r="M122" s="242">
        <v>735</v>
      </c>
      <c r="N122" s="242" t="s">
        <v>609</v>
      </c>
      <c r="O122" s="242">
        <v>232</v>
      </c>
      <c r="P122" s="242" t="s">
        <v>1001</v>
      </c>
    </row>
    <row r="123" spans="1:16" s="242" customFormat="1">
      <c r="A123" s="243">
        <v>119</v>
      </c>
      <c r="B123" s="243"/>
      <c r="C123" s="242" t="str">
        <f t="shared" si="1"/>
        <v>119 Hamilton</v>
      </c>
      <c r="D123" s="247">
        <v>119</v>
      </c>
      <c r="E123" s="248" t="s">
        <v>1385</v>
      </c>
      <c r="F123" s="248" t="s">
        <v>2458</v>
      </c>
      <c r="K123" s="242">
        <v>73503</v>
      </c>
      <c r="L123" s="242">
        <v>3</v>
      </c>
      <c r="M123" s="242">
        <v>735</v>
      </c>
      <c r="N123" s="242" t="s">
        <v>609</v>
      </c>
      <c r="O123" s="242">
        <v>299</v>
      </c>
      <c r="P123" s="242" t="s">
        <v>1076</v>
      </c>
    </row>
    <row r="124" spans="1:16" s="242" customFormat="1">
      <c r="A124" s="243">
        <v>120</v>
      </c>
      <c r="B124" s="243"/>
      <c r="C124" s="242" t="str">
        <f t="shared" si="1"/>
        <v>120 Hampden</v>
      </c>
      <c r="D124" s="247">
        <v>120</v>
      </c>
      <c r="E124" s="248" t="s">
        <v>1386</v>
      </c>
      <c r="F124" s="248" t="s">
        <v>2459</v>
      </c>
      <c r="K124" s="242">
        <v>74001</v>
      </c>
      <c r="L124" s="242">
        <v>1</v>
      </c>
      <c r="M124" s="242">
        <v>740</v>
      </c>
      <c r="N124" s="242" t="s">
        <v>610</v>
      </c>
      <c r="O124" s="242">
        <v>169</v>
      </c>
      <c r="P124" s="242" t="s">
        <v>904</v>
      </c>
    </row>
    <row r="125" spans="1:16" s="242" customFormat="1">
      <c r="A125" s="243">
        <v>121</v>
      </c>
      <c r="B125" s="243"/>
      <c r="C125" s="242" t="str">
        <f t="shared" si="1"/>
        <v>121 Hancock</v>
      </c>
      <c r="D125" s="247">
        <v>121</v>
      </c>
      <c r="E125" s="248" t="s">
        <v>1387</v>
      </c>
      <c r="F125" s="248" t="s">
        <v>2460</v>
      </c>
      <c r="K125" s="242">
        <v>74002</v>
      </c>
      <c r="L125" s="242">
        <v>2</v>
      </c>
      <c r="M125" s="242">
        <v>740</v>
      </c>
      <c r="N125" s="242" t="s">
        <v>610</v>
      </c>
      <c r="O125" s="242">
        <v>173</v>
      </c>
      <c r="P125" s="242" t="s">
        <v>909</v>
      </c>
    </row>
    <row r="126" spans="1:16" s="242" customFormat="1">
      <c r="A126" s="243">
        <v>122</v>
      </c>
      <c r="B126" s="243"/>
      <c r="C126" s="242" t="str">
        <f t="shared" si="1"/>
        <v>122 Hanover</v>
      </c>
      <c r="D126" s="247">
        <v>122</v>
      </c>
      <c r="E126" s="248" t="s">
        <v>1388</v>
      </c>
      <c r="F126" s="248" t="s">
        <v>2461</v>
      </c>
      <c r="K126" s="242">
        <v>74003</v>
      </c>
      <c r="L126" s="242">
        <v>3</v>
      </c>
      <c r="M126" s="242">
        <v>740</v>
      </c>
      <c r="N126" s="242" t="s">
        <v>610</v>
      </c>
      <c r="O126" s="242">
        <v>250</v>
      </c>
      <c r="P126" s="242" t="s">
        <v>1020</v>
      </c>
    </row>
    <row r="127" spans="1:16" s="242" customFormat="1">
      <c r="A127" s="243">
        <v>123</v>
      </c>
      <c r="B127" s="243"/>
      <c r="C127" s="242" t="str">
        <f t="shared" si="1"/>
        <v>123 Hanson</v>
      </c>
      <c r="D127" s="247">
        <v>123</v>
      </c>
      <c r="E127" s="248" t="s">
        <v>1389</v>
      </c>
      <c r="F127" s="248" t="s">
        <v>2462</v>
      </c>
      <c r="K127" s="242">
        <v>74501</v>
      </c>
      <c r="L127" s="242">
        <v>1</v>
      </c>
      <c r="M127" s="242">
        <v>745</v>
      </c>
      <c r="N127" s="242" t="s">
        <v>611</v>
      </c>
      <c r="O127" s="242">
        <v>116</v>
      </c>
      <c r="P127" s="242" t="s">
        <v>807</v>
      </c>
    </row>
    <row r="128" spans="1:16" s="242" customFormat="1">
      <c r="A128" s="243">
        <v>124</v>
      </c>
      <c r="B128" s="243"/>
      <c r="C128" s="242" t="str">
        <f t="shared" si="1"/>
        <v>124 Hardwick</v>
      </c>
      <c r="D128" s="247">
        <v>124</v>
      </c>
      <c r="E128" s="248" t="s">
        <v>1390</v>
      </c>
      <c r="F128" s="248" t="s">
        <v>2463</v>
      </c>
      <c r="K128" s="242">
        <v>74502</v>
      </c>
      <c r="L128" s="242">
        <v>2</v>
      </c>
      <c r="M128" s="242">
        <v>745</v>
      </c>
      <c r="N128" s="242" t="s">
        <v>611</v>
      </c>
      <c r="O128" s="242">
        <v>180</v>
      </c>
      <c r="P128" s="242" t="s">
        <v>919</v>
      </c>
    </row>
    <row r="129" spans="1:16" s="242" customFormat="1">
      <c r="A129" s="243">
        <v>125</v>
      </c>
      <c r="B129" s="243"/>
      <c r="C129" s="242" t="str">
        <f t="shared" si="1"/>
        <v>125 Harvard</v>
      </c>
      <c r="D129" s="247">
        <v>125</v>
      </c>
      <c r="E129" s="248" t="s">
        <v>1391</v>
      </c>
      <c r="F129" s="248" t="s">
        <v>2464</v>
      </c>
      <c r="K129" s="242">
        <v>74503</v>
      </c>
      <c r="L129" s="242">
        <v>3</v>
      </c>
      <c r="M129" s="242">
        <v>745</v>
      </c>
      <c r="N129" s="242" t="s">
        <v>611</v>
      </c>
      <c r="O129" s="242">
        <v>329</v>
      </c>
      <c r="P129" s="242" t="s">
        <v>1107</v>
      </c>
    </row>
    <row r="130" spans="1:16" s="242" customFormat="1">
      <c r="A130" s="243">
        <v>126</v>
      </c>
      <c r="B130" s="243"/>
      <c r="C130" s="242" t="str">
        <f t="shared" si="1"/>
        <v>126 Harwich</v>
      </c>
      <c r="D130" s="247">
        <v>126</v>
      </c>
      <c r="E130" s="248" t="s">
        <v>1392</v>
      </c>
      <c r="F130" s="248" t="s">
        <v>2465</v>
      </c>
      <c r="K130" s="242">
        <v>75001</v>
      </c>
      <c r="L130" s="242">
        <v>1</v>
      </c>
      <c r="M130" s="242">
        <v>750</v>
      </c>
      <c r="N130" s="242" t="s">
        <v>612</v>
      </c>
      <c r="O130" s="242">
        <v>29</v>
      </c>
      <c r="P130" s="242" t="s">
        <v>44</v>
      </c>
    </row>
    <row r="131" spans="1:16" s="242" customFormat="1">
      <c r="A131" s="243">
        <v>127</v>
      </c>
      <c r="B131" s="243"/>
      <c r="C131" s="242" t="str">
        <f t="shared" si="1"/>
        <v>127 Hatfield</v>
      </c>
      <c r="D131" s="247">
        <v>127</v>
      </c>
      <c r="E131" s="248" t="s">
        <v>1393</v>
      </c>
      <c r="F131" s="248" t="s">
        <v>2466</v>
      </c>
      <c r="K131" s="242">
        <v>75002</v>
      </c>
      <c r="L131" s="242">
        <v>2</v>
      </c>
      <c r="M131" s="242">
        <v>750</v>
      </c>
      <c r="N131" s="242" t="s">
        <v>612</v>
      </c>
      <c r="O131" s="242">
        <v>156</v>
      </c>
      <c r="P131" s="242" t="s">
        <v>854</v>
      </c>
    </row>
    <row r="132" spans="1:16" s="242" customFormat="1">
      <c r="A132" s="243">
        <v>128</v>
      </c>
      <c r="B132" s="243"/>
      <c r="C132" s="242" t="str">
        <f t="shared" si="1"/>
        <v>128 Haverhill</v>
      </c>
      <c r="D132" s="247">
        <v>128</v>
      </c>
      <c r="E132" s="248" t="s">
        <v>1394</v>
      </c>
      <c r="F132" s="248" t="s">
        <v>2467</v>
      </c>
      <c r="K132" s="242">
        <v>75003</v>
      </c>
      <c r="L132" s="242">
        <v>3</v>
      </c>
      <c r="M132" s="242">
        <v>750</v>
      </c>
      <c r="N132" s="242" t="s">
        <v>612</v>
      </c>
      <c r="O132" s="242">
        <v>216</v>
      </c>
      <c r="P132" s="242" t="s">
        <v>963</v>
      </c>
    </row>
    <row r="133" spans="1:16" s="242" customFormat="1">
      <c r="A133" s="243">
        <v>129</v>
      </c>
      <c r="B133" s="243"/>
      <c r="C133" s="242" t="str">
        <f t="shared" si="1"/>
        <v>129 Hawley</v>
      </c>
      <c r="D133" s="247">
        <v>129</v>
      </c>
      <c r="E133" s="248" t="s">
        <v>1395</v>
      </c>
      <c r="F133" s="248" t="s">
        <v>2468</v>
      </c>
      <c r="K133" s="242">
        <v>75004</v>
      </c>
      <c r="L133" s="242">
        <v>4</v>
      </c>
      <c r="M133" s="242">
        <v>750</v>
      </c>
      <c r="N133" s="242" t="s">
        <v>612</v>
      </c>
      <c r="O133" s="242">
        <v>312</v>
      </c>
      <c r="P133" s="242" t="s">
        <v>1090</v>
      </c>
    </row>
    <row r="134" spans="1:16" s="242" customFormat="1">
      <c r="A134" s="243">
        <v>130</v>
      </c>
      <c r="B134" s="243"/>
      <c r="C134" s="242" t="str">
        <f t="shared" ref="C134:C197" si="2">PROPER(D134&amp;" "&amp;E134)</f>
        <v>130 Heath</v>
      </c>
      <c r="D134" s="247">
        <v>130</v>
      </c>
      <c r="E134" s="248" t="s">
        <v>1396</v>
      </c>
      <c r="F134" s="248" t="s">
        <v>2469</v>
      </c>
      <c r="K134" s="242">
        <v>75301</v>
      </c>
      <c r="L134" s="242">
        <v>1</v>
      </c>
      <c r="M134" s="242">
        <v>753</v>
      </c>
      <c r="N134" s="242" t="s">
        <v>613</v>
      </c>
      <c r="O134" s="242">
        <v>21</v>
      </c>
      <c r="P134" s="242" t="s">
        <v>28</v>
      </c>
    </row>
    <row r="135" spans="1:16" s="242" customFormat="1">
      <c r="A135" s="243">
        <v>131</v>
      </c>
      <c r="B135" s="243"/>
      <c r="C135" s="242" t="str">
        <f t="shared" si="2"/>
        <v>131 Hingham</v>
      </c>
      <c r="D135" s="247">
        <v>131</v>
      </c>
      <c r="E135" s="248" t="s">
        <v>1397</v>
      </c>
      <c r="F135" s="248" t="s">
        <v>2470</v>
      </c>
      <c r="K135" s="242">
        <v>75302</v>
      </c>
      <c r="L135" s="242">
        <v>2</v>
      </c>
      <c r="M135" s="242">
        <v>753</v>
      </c>
      <c r="N135" s="242" t="s">
        <v>613</v>
      </c>
      <c r="O135" s="242">
        <v>124</v>
      </c>
      <c r="P135" s="242" t="s">
        <v>820</v>
      </c>
    </row>
    <row r="136" spans="1:16" s="242" customFormat="1">
      <c r="A136" s="243">
        <v>132</v>
      </c>
      <c r="B136" s="243"/>
      <c r="C136" s="242" t="str">
        <f t="shared" si="2"/>
        <v>132 Hinsdale</v>
      </c>
      <c r="D136" s="247">
        <v>132</v>
      </c>
      <c r="E136" s="248" t="s">
        <v>1398</v>
      </c>
      <c r="F136" s="248" t="s">
        <v>2471</v>
      </c>
      <c r="K136" s="242">
        <v>75303</v>
      </c>
      <c r="L136" s="242">
        <v>3</v>
      </c>
      <c r="M136" s="242">
        <v>753</v>
      </c>
      <c r="N136" s="242" t="s">
        <v>613</v>
      </c>
      <c r="O136" s="242">
        <v>140</v>
      </c>
      <c r="P136" s="242" t="s">
        <v>837</v>
      </c>
    </row>
    <row r="137" spans="1:16" s="242" customFormat="1">
      <c r="A137" s="243">
        <v>133</v>
      </c>
      <c r="B137" s="243"/>
      <c r="C137" s="242" t="str">
        <f t="shared" si="2"/>
        <v>133 Holbrook</v>
      </c>
      <c r="D137" s="247">
        <v>133</v>
      </c>
      <c r="E137" s="248" t="s">
        <v>1399</v>
      </c>
      <c r="F137" s="248" t="s">
        <v>2472</v>
      </c>
      <c r="K137" s="242">
        <v>75304</v>
      </c>
      <c r="L137" s="242">
        <v>4</v>
      </c>
      <c r="M137" s="242">
        <v>753</v>
      </c>
      <c r="N137" s="242" t="s">
        <v>613</v>
      </c>
      <c r="O137" s="242">
        <v>202</v>
      </c>
      <c r="P137" s="242" t="s">
        <v>942</v>
      </c>
    </row>
    <row r="138" spans="1:16" s="242" customFormat="1">
      <c r="A138" s="243">
        <v>134</v>
      </c>
      <c r="B138" s="243"/>
      <c r="C138" s="242" t="str">
        <f t="shared" si="2"/>
        <v>134 Holden</v>
      </c>
      <c r="D138" s="247">
        <v>134</v>
      </c>
      <c r="E138" s="248" t="s">
        <v>1400</v>
      </c>
      <c r="F138" s="248" t="s">
        <v>2473</v>
      </c>
      <c r="K138" s="242">
        <v>75305</v>
      </c>
      <c r="L138" s="242">
        <v>5</v>
      </c>
      <c r="M138" s="242">
        <v>753</v>
      </c>
      <c r="N138" s="242" t="s">
        <v>613</v>
      </c>
      <c r="O138" s="242">
        <v>222</v>
      </c>
      <c r="P138" s="242" t="s">
        <v>971</v>
      </c>
    </row>
    <row r="139" spans="1:16" s="242" customFormat="1">
      <c r="A139" s="243">
        <v>135</v>
      </c>
      <c r="B139" s="243"/>
      <c r="C139" s="242" t="str">
        <f t="shared" si="2"/>
        <v>135 Holland</v>
      </c>
      <c r="D139" s="247">
        <v>135</v>
      </c>
      <c r="E139" s="248" t="s">
        <v>1401</v>
      </c>
      <c r="F139" s="248" t="s">
        <v>2474</v>
      </c>
      <c r="K139" s="242">
        <v>75501</v>
      </c>
      <c r="L139" s="242">
        <v>1</v>
      </c>
      <c r="M139" s="242">
        <v>755</v>
      </c>
      <c r="N139" s="242" t="s">
        <v>614</v>
      </c>
      <c r="O139" s="242">
        <v>206</v>
      </c>
      <c r="P139" s="242" t="s">
        <v>947</v>
      </c>
    </row>
    <row r="140" spans="1:16" s="242" customFormat="1">
      <c r="A140" s="243">
        <v>136</v>
      </c>
      <c r="B140" s="243"/>
      <c r="C140" s="242" t="str">
        <f t="shared" si="2"/>
        <v>136 Holliston</v>
      </c>
      <c r="D140" s="247">
        <v>136</v>
      </c>
      <c r="E140" s="248" t="s">
        <v>1402</v>
      </c>
      <c r="F140" s="248" t="s">
        <v>2475</v>
      </c>
      <c r="K140" s="242">
        <v>75502</v>
      </c>
      <c r="L140" s="242">
        <v>2</v>
      </c>
      <c r="M140" s="242">
        <v>755</v>
      </c>
      <c r="N140" s="242" t="s">
        <v>614</v>
      </c>
      <c r="O140" s="242">
        <v>223</v>
      </c>
      <c r="P140" s="242" t="s">
        <v>972</v>
      </c>
    </row>
    <row r="141" spans="1:16" s="242" customFormat="1">
      <c r="A141" s="243">
        <v>137</v>
      </c>
      <c r="B141" s="243"/>
      <c r="C141" s="242" t="str">
        <f t="shared" si="2"/>
        <v>137 Holyoke</v>
      </c>
      <c r="D141" s="247">
        <v>137</v>
      </c>
      <c r="E141" s="248" t="s">
        <v>1403</v>
      </c>
      <c r="F141" s="248" t="s">
        <v>2476</v>
      </c>
      <c r="K141" s="242">
        <v>75503</v>
      </c>
      <c r="L141" s="242">
        <v>3</v>
      </c>
      <c r="M141" s="242">
        <v>755</v>
      </c>
      <c r="N141" s="242" t="s">
        <v>614</v>
      </c>
      <c r="O141" s="242">
        <v>234</v>
      </c>
      <c r="P141" s="242" t="s">
        <v>1003</v>
      </c>
    </row>
    <row r="142" spans="1:16" s="242" customFormat="1">
      <c r="A142" s="243">
        <v>138</v>
      </c>
      <c r="B142" s="243"/>
      <c r="C142" s="242" t="str">
        <f t="shared" si="2"/>
        <v>138 Hopedale</v>
      </c>
      <c r="D142" s="247">
        <v>138</v>
      </c>
      <c r="E142" s="248" t="s">
        <v>1404</v>
      </c>
      <c r="F142" s="248" t="s">
        <v>2477</v>
      </c>
      <c r="K142" s="242">
        <v>75504</v>
      </c>
      <c r="L142" s="242">
        <v>4</v>
      </c>
      <c r="M142" s="242">
        <v>755</v>
      </c>
      <c r="N142" s="242" t="s">
        <v>614</v>
      </c>
      <c r="O142" s="242">
        <v>319</v>
      </c>
      <c r="P142" s="242" t="s">
        <v>1097</v>
      </c>
    </row>
    <row r="143" spans="1:16" s="242" customFormat="1">
      <c r="A143" s="243">
        <v>139</v>
      </c>
      <c r="B143" s="243"/>
      <c r="C143" s="242" t="str">
        <f t="shared" si="2"/>
        <v>139 Hopkinton</v>
      </c>
      <c r="D143" s="247">
        <v>139</v>
      </c>
      <c r="E143" s="248" t="s">
        <v>1405</v>
      </c>
      <c r="F143" s="248" t="s">
        <v>2478</v>
      </c>
      <c r="K143" s="242">
        <v>76001</v>
      </c>
      <c r="L143" s="242">
        <v>1</v>
      </c>
      <c r="M143" s="242">
        <v>760</v>
      </c>
      <c r="N143" s="242" t="s">
        <v>615</v>
      </c>
      <c r="O143" s="242">
        <v>118</v>
      </c>
      <c r="P143" s="242" t="s">
        <v>810</v>
      </c>
    </row>
    <row r="144" spans="1:16" s="242" customFormat="1">
      <c r="A144" s="243">
        <v>140</v>
      </c>
      <c r="B144" s="243"/>
      <c r="C144" s="242" t="str">
        <f t="shared" si="2"/>
        <v>140 Hubbardston</v>
      </c>
      <c r="D144" s="247">
        <v>140</v>
      </c>
      <c r="E144" s="248" t="s">
        <v>1406</v>
      </c>
      <c r="F144" s="248" t="s">
        <v>2479</v>
      </c>
      <c r="K144" s="242">
        <v>76002</v>
      </c>
      <c r="L144" s="242">
        <v>2</v>
      </c>
      <c r="M144" s="242">
        <v>760</v>
      </c>
      <c r="N144" s="242" t="s">
        <v>615</v>
      </c>
      <c r="O144" s="242">
        <v>145</v>
      </c>
      <c r="P144" s="242" t="s">
        <v>842</v>
      </c>
    </row>
    <row r="145" spans="1:16" s="242" customFormat="1">
      <c r="A145" s="243">
        <v>141</v>
      </c>
      <c r="B145" s="243"/>
      <c r="C145" s="242" t="str">
        <f t="shared" si="2"/>
        <v>141 Hudson</v>
      </c>
      <c r="D145" s="247">
        <v>141</v>
      </c>
      <c r="E145" s="248" t="s">
        <v>1407</v>
      </c>
      <c r="F145" s="248" t="s">
        <v>2480</v>
      </c>
      <c r="K145" s="242">
        <v>76003</v>
      </c>
      <c r="L145" s="242">
        <v>3</v>
      </c>
      <c r="M145" s="242">
        <v>760</v>
      </c>
      <c r="N145" s="242" t="s">
        <v>615</v>
      </c>
      <c r="O145" s="242">
        <v>240</v>
      </c>
      <c r="P145" s="242" t="s">
        <v>1010</v>
      </c>
    </row>
    <row r="146" spans="1:16" s="242" customFormat="1">
      <c r="A146" s="243">
        <v>142</v>
      </c>
      <c r="B146" s="243"/>
      <c r="C146" s="242" t="str">
        <f t="shared" si="2"/>
        <v>142 Hull</v>
      </c>
      <c r="D146" s="247">
        <v>142</v>
      </c>
      <c r="E146" s="248" t="s">
        <v>1408</v>
      </c>
      <c r="F146" s="248" t="s">
        <v>2481</v>
      </c>
      <c r="K146" s="242">
        <v>76301</v>
      </c>
      <c r="L146" s="242">
        <v>1</v>
      </c>
      <c r="M146" s="242">
        <v>763</v>
      </c>
      <c r="N146" s="242" t="s">
        <v>688</v>
      </c>
      <c r="O146" s="242">
        <v>27</v>
      </c>
      <c r="P146" s="242" t="s">
        <v>39</v>
      </c>
    </row>
    <row r="147" spans="1:16" s="242" customFormat="1">
      <c r="A147" s="243">
        <v>143</v>
      </c>
      <c r="B147" s="243"/>
      <c r="C147" s="242" t="str">
        <f t="shared" si="2"/>
        <v>143 Huntington</v>
      </c>
      <c r="D147" s="247">
        <v>143</v>
      </c>
      <c r="E147" s="248" t="s">
        <v>1409</v>
      </c>
      <c r="F147" s="248" t="s">
        <v>2482</v>
      </c>
      <c r="K147" s="242">
        <v>76302</v>
      </c>
      <c r="L147" s="242">
        <v>2</v>
      </c>
      <c r="M147" s="242">
        <v>763</v>
      </c>
      <c r="N147" s="242" t="s">
        <v>688</v>
      </c>
      <c r="O147" s="242">
        <v>273</v>
      </c>
      <c r="P147" s="242" t="s">
        <v>1043</v>
      </c>
    </row>
    <row r="148" spans="1:16" s="242" customFormat="1">
      <c r="A148" s="243">
        <v>144</v>
      </c>
      <c r="B148" s="243"/>
      <c r="C148" s="242" t="str">
        <f t="shared" si="2"/>
        <v>144 Ipswich</v>
      </c>
      <c r="D148" s="247">
        <v>144</v>
      </c>
      <c r="E148" s="248" t="s">
        <v>1410</v>
      </c>
      <c r="F148" s="248" t="s">
        <v>2483</v>
      </c>
      <c r="K148" s="242">
        <v>76501</v>
      </c>
      <c r="L148" s="242">
        <v>1</v>
      </c>
      <c r="M148" s="242">
        <v>765</v>
      </c>
      <c r="N148" s="242" t="s">
        <v>616</v>
      </c>
      <c r="O148" s="242">
        <v>6</v>
      </c>
      <c r="P148" s="242" t="s">
        <v>1173</v>
      </c>
    </row>
    <row r="149" spans="1:16" s="242" customFormat="1">
      <c r="A149" s="243">
        <v>145</v>
      </c>
      <c r="B149" s="243"/>
      <c r="C149" s="242" t="str">
        <f t="shared" si="2"/>
        <v>145 Kingston</v>
      </c>
      <c r="D149" s="247">
        <v>145</v>
      </c>
      <c r="E149" s="248" t="s">
        <v>1411</v>
      </c>
      <c r="F149" s="248" t="s">
        <v>2484</v>
      </c>
      <c r="K149" s="242">
        <v>76502</v>
      </c>
      <c r="L149" s="242">
        <v>2</v>
      </c>
      <c r="M149" s="242">
        <v>765</v>
      </c>
      <c r="N149" s="242" t="s">
        <v>616</v>
      </c>
      <c r="O149" s="242">
        <v>90</v>
      </c>
      <c r="P149" s="242" t="s">
        <v>776</v>
      </c>
    </row>
    <row r="150" spans="1:16" s="242" customFormat="1">
      <c r="A150" s="243">
        <v>146</v>
      </c>
      <c r="B150" s="243"/>
      <c r="C150" s="242" t="str">
        <f t="shared" si="2"/>
        <v>146 Lakeville</v>
      </c>
      <c r="D150" s="247">
        <v>146</v>
      </c>
      <c r="E150" s="248" t="s">
        <v>1412</v>
      </c>
      <c r="F150" s="248" t="s">
        <v>2485</v>
      </c>
      <c r="K150" s="242">
        <v>76503</v>
      </c>
      <c r="L150" s="242">
        <v>3</v>
      </c>
      <c r="M150" s="242">
        <v>765</v>
      </c>
      <c r="N150" s="242" t="s">
        <v>616</v>
      </c>
      <c r="O150" s="242">
        <v>193</v>
      </c>
      <c r="P150" s="242" t="s">
        <v>932</v>
      </c>
    </row>
    <row r="151" spans="1:16" s="242" customFormat="1">
      <c r="A151" s="243">
        <v>147</v>
      </c>
      <c r="B151" s="243"/>
      <c r="C151" s="242" t="str">
        <f t="shared" si="2"/>
        <v>147 Lancaster</v>
      </c>
      <c r="D151" s="247">
        <v>147</v>
      </c>
      <c r="E151" s="248" t="s">
        <v>1413</v>
      </c>
      <c r="F151" s="248" t="s">
        <v>2486</v>
      </c>
      <c r="K151" s="242">
        <v>76504</v>
      </c>
      <c r="L151" s="242">
        <v>4</v>
      </c>
      <c r="M151" s="242">
        <v>765</v>
      </c>
      <c r="N151" s="242" t="s">
        <v>616</v>
      </c>
      <c r="O151" s="242">
        <v>205</v>
      </c>
      <c r="P151" s="242" t="s">
        <v>946</v>
      </c>
    </row>
    <row r="152" spans="1:16" s="242" customFormat="1">
      <c r="A152" s="243">
        <v>148</v>
      </c>
      <c r="B152" s="243"/>
      <c r="C152" s="242" t="str">
        <f t="shared" si="2"/>
        <v>148 Lanesborough</v>
      </c>
      <c r="D152" s="247">
        <v>148</v>
      </c>
      <c r="E152" s="248" t="s">
        <v>1414</v>
      </c>
      <c r="F152" s="248" t="s">
        <v>2487</v>
      </c>
      <c r="K152" s="242">
        <v>76505</v>
      </c>
      <c r="L152" s="242">
        <v>5</v>
      </c>
      <c r="M152" s="242">
        <v>765</v>
      </c>
      <c r="N152" s="242" t="s">
        <v>616</v>
      </c>
      <c r="O152" s="242">
        <v>267</v>
      </c>
      <c r="P152" s="242" t="s">
        <v>1037</v>
      </c>
    </row>
    <row r="153" spans="1:16" s="242" customFormat="1">
      <c r="A153" s="243">
        <v>149</v>
      </c>
      <c r="B153" s="243"/>
      <c r="C153" s="242" t="str">
        <f t="shared" si="2"/>
        <v>149 Lawrence</v>
      </c>
      <c r="D153" s="247">
        <v>149</v>
      </c>
      <c r="E153" s="248" t="s">
        <v>1415</v>
      </c>
      <c r="F153" s="248" t="s">
        <v>2488</v>
      </c>
      <c r="K153" s="242">
        <v>76601</v>
      </c>
      <c r="L153" s="242">
        <v>1</v>
      </c>
      <c r="M153" s="242">
        <v>766</v>
      </c>
      <c r="N153" s="242" t="s">
        <v>98</v>
      </c>
      <c r="O153" s="242">
        <v>112</v>
      </c>
      <c r="P153" s="242" t="s">
        <v>802</v>
      </c>
    </row>
    <row r="154" spans="1:16" s="242" customFormat="1">
      <c r="A154" s="243">
        <v>150</v>
      </c>
      <c r="B154" s="243"/>
      <c r="C154" s="242" t="str">
        <f t="shared" si="2"/>
        <v>150 Lee</v>
      </c>
      <c r="D154" s="247">
        <v>150</v>
      </c>
      <c r="E154" s="248" t="s">
        <v>1416</v>
      </c>
      <c r="F154" s="248" t="s">
        <v>2489</v>
      </c>
      <c r="K154" s="242">
        <v>76602</v>
      </c>
      <c r="L154" s="242">
        <v>2</v>
      </c>
      <c r="M154" s="242">
        <v>766</v>
      </c>
      <c r="N154" s="242" t="s">
        <v>98</v>
      </c>
      <c r="O154" s="242">
        <v>279</v>
      </c>
      <c r="P154" s="242" t="s">
        <v>1055</v>
      </c>
    </row>
    <row r="155" spans="1:16" s="242" customFormat="1">
      <c r="A155" s="243">
        <v>151</v>
      </c>
      <c r="B155" s="243"/>
      <c r="C155" s="242" t="str">
        <f t="shared" si="2"/>
        <v>151 Leicester</v>
      </c>
      <c r="D155" s="247">
        <v>151</v>
      </c>
      <c r="E155" s="248" t="s">
        <v>1417</v>
      </c>
      <c r="F155" s="248" t="s">
        <v>2490</v>
      </c>
      <c r="K155" s="242">
        <v>76603</v>
      </c>
      <c r="L155" s="242">
        <v>3</v>
      </c>
      <c r="M155" s="242">
        <v>766</v>
      </c>
      <c r="N155" s="242" t="s">
        <v>98</v>
      </c>
      <c r="O155" s="242">
        <v>297</v>
      </c>
      <c r="P155" s="242" t="s">
        <v>1074</v>
      </c>
    </row>
    <row r="156" spans="1:16" s="242" customFormat="1">
      <c r="A156" s="243">
        <v>152</v>
      </c>
      <c r="B156" s="243"/>
      <c r="C156" s="242" t="str">
        <f t="shared" si="2"/>
        <v>152 Lenox</v>
      </c>
      <c r="D156" s="247">
        <v>152</v>
      </c>
      <c r="E156" s="248" t="s">
        <v>1418</v>
      </c>
      <c r="F156" s="248" t="s">
        <v>2491</v>
      </c>
      <c r="K156" s="242">
        <v>76701</v>
      </c>
      <c r="L156" s="242">
        <v>1</v>
      </c>
      <c r="M156" s="242">
        <v>767</v>
      </c>
      <c r="N156" s="242" t="s">
        <v>617</v>
      </c>
      <c r="O156" s="242">
        <v>84</v>
      </c>
      <c r="P156" s="242" t="s">
        <v>768</v>
      </c>
    </row>
    <row r="157" spans="1:16" s="242" customFormat="1">
      <c r="A157" s="243">
        <v>153</v>
      </c>
      <c r="B157" s="243"/>
      <c r="C157" s="242" t="str">
        <f t="shared" si="2"/>
        <v>153 Leominster</v>
      </c>
      <c r="D157" s="247">
        <v>153</v>
      </c>
      <c r="E157" s="248" t="s">
        <v>1419</v>
      </c>
      <c r="F157" s="248" t="s">
        <v>2492</v>
      </c>
      <c r="K157" s="242">
        <v>76702</v>
      </c>
      <c r="L157" s="242">
        <v>2</v>
      </c>
      <c r="M157" s="242">
        <v>767</v>
      </c>
      <c r="N157" s="242" t="s">
        <v>617</v>
      </c>
      <c r="O157" s="242">
        <v>280</v>
      </c>
      <c r="P157" s="242" t="s">
        <v>1057</v>
      </c>
    </row>
    <row r="158" spans="1:16" s="242" customFormat="1">
      <c r="A158" s="243">
        <v>154</v>
      </c>
      <c r="B158" s="243"/>
      <c r="C158" s="242" t="str">
        <f t="shared" si="2"/>
        <v>154 Leverett</v>
      </c>
      <c r="D158" s="247">
        <v>154</v>
      </c>
      <c r="E158" s="248" t="s">
        <v>1420</v>
      </c>
      <c r="F158" s="248" t="s">
        <v>2493</v>
      </c>
      <c r="K158" s="242">
        <v>77001</v>
      </c>
      <c r="L158" s="242">
        <v>1</v>
      </c>
      <c r="M158" s="242">
        <v>770</v>
      </c>
      <c r="N158" s="242" t="s">
        <v>618</v>
      </c>
      <c r="O158" s="242">
        <v>43</v>
      </c>
      <c r="P158" s="242" t="s">
        <v>699</v>
      </c>
    </row>
    <row r="159" spans="1:16" s="242" customFormat="1">
      <c r="A159" s="243">
        <v>155</v>
      </c>
      <c r="B159" s="243"/>
      <c r="C159" s="242" t="str">
        <f t="shared" si="2"/>
        <v>155 Lexington</v>
      </c>
      <c r="D159" s="247">
        <v>155</v>
      </c>
      <c r="E159" s="248" t="s">
        <v>1421</v>
      </c>
      <c r="F159" s="248" t="s">
        <v>2494</v>
      </c>
      <c r="K159" s="242">
        <v>77002</v>
      </c>
      <c r="L159" s="242">
        <v>2</v>
      </c>
      <c r="M159" s="242">
        <v>770</v>
      </c>
      <c r="N159" s="242" t="s">
        <v>618</v>
      </c>
      <c r="O159" s="242">
        <v>45</v>
      </c>
      <c r="P159" s="242" t="s">
        <v>703</v>
      </c>
    </row>
    <row r="160" spans="1:16" s="242" customFormat="1">
      <c r="A160" s="243">
        <v>156</v>
      </c>
      <c r="B160" s="243"/>
      <c r="C160" s="242" t="str">
        <f t="shared" si="2"/>
        <v>156 Leyden</v>
      </c>
      <c r="D160" s="247">
        <v>156</v>
      </c>
      <c r="E160" s="248" t="s">
        <v>1422</v>
      </c>
      <c r="F160" s="248" t="s">
        <v>2495</v>
      </c>
      <c r="K160" s="242">
        <v>77003</v>
      </c>
      <c r="L160" s="242">
        <v>3</v>
      </c>
      <c r="M160" s="242">
        <v>770</v>
      </c>
      <c r="N160" s="242" t="s">
        <v>618</v>
      </c>
      <c r="O160" s="242">
        <v>135</v>
      </c>
      <c r="P160" s="242" t="s">
        <v>832</v>
      </c>
    </row>
    <row r="161" spans="1:16" s="242" customFormat="1">
      <c r="A161" s="243">
        <v>157</v>
      </c>
      <c r="B161" s="243"/>
      <c r="C161" s="242" t="str">
        <f t="shared" si="2"/>
        <v>157 Lincoln</v>
      </c>
      <c r="D161" s="247">
        <v>157</v>
      </c>
      <c r="E161" s="248" t="s">
        <v>1423</v>
      </c>
      <c r="F161" s="248" t="s">
        <v>2496</v>
      </c>
      <c r="K161" s="242">
        <v>77004</v>
      </c>
      <c r="L161" s="242">
        <v>4</v>
      </c>
      <c r="M161" s="242">
        <v>770</v>
      </c>
      <c r="N161" s="242" t="s">
        <v>618</v>
      </c>
      <c r="O161" s="242">
        <v>287</v>
      </c>
      <c r="P161" s="242" t="s">
        <v>1064</v>
      </c>
    </row>
    <row r="162" spans="1:16" s="242" customFormat="1">
      <c r="A162" s="243">
        <v>158</v>
      </c>
      <c r="B162" s="243"/>
      <c r="C162" s="242" t="str">
        <f t="shared" si="2"/>
        <v>158 Littleton</v>
      </c>
      <c r="D162" s="247">
        <v>158</v>
      </c>
      <c r="E162" s="248" t="s">
        <v>1424</v>
      </c>
      <c r="F162" s="248" t="s">
        <v>2497</v>
      </c>
      <c r="K162" s="242">
        <v>77005</v>
      </c>
      <c r="L162" s="242">
        <v>5</v>
      </c>
      <c r="M162" s="242">
        <v>770</v>
      </c>
      <c r="N162" s="242" t="s">
        <v>618</v>
      </c>
      <c r="O162" s="242">
        <v>306</v>
      </c>
      <c r="P162" s="242" t="s">
        <v>1083</v>
      </c>
    </row>
    <row r="163" spans="1:16" s="242" customFormat="1">
      <c r="A163" s="243">
        <v>159</v>
      </c>
      <c r="B163" s="243"/>
      <c r="C163" s="242" t="str">
        <f t="shared" si="2"/>
        <v>159 Longmeadow</v>
      </c>
      <c r="D163" s="247">
        <v>159</v>
      </c>
      <c r="E163" s="248" t="s">
        <v>1425</v>
      </c>
      <c r="F163" s="248" t="s">
        <v>2498</v>
      </c>
      <c r="K163" s="242">
        <v>77301</v>
      </c>
      <c r="L163" s="242">
        <v>1</v>
      </c>
      <c r="M163" s="242">
        <v>773</v>
      </c>
      <c r="N163" s="242" t="s">
        <v>619</v>
      </c>
      <c r="O163" s="242">
        <v>203</v>
      </c>
      <c r="P163" s="242" t="s">
        <v>943</v>
      </c>
    </row>
    <row r="164" spans="1:16" s="242" customFormat="1">
      <c r="A164" s="243">
        <v>160</v>
      </c>
      <c r="B164" s="243"/>
      <c r="C164" s="242" t="str">
        <f t="shared" si="2"/>
        <v>160 Lowell</v>
      </c>
      <c r="D164" s="247">
        <v>160</v>
      </c>
      <c r="E164" s="248" t="s">
        <v>1426</v>
      </c>
      <c r="F164" s="248" t="s">
        <v>2499</v>
      </c>
      <c r="K164" s="242">
        <v>77302</v>
      </c>
      <c r="L164" s="242">
        <v>2</v>
      </c>
      <c r="M164" s="242">
        <v>773</v>
      </c>
      <c r="N164" s="242" t="s">
        <v>619</v>
      </c>
      <c r="O164" s="242">
        <v>254</v>
      </c>
      <c r="P164" s="242" t="s">
        <v>1024</v>
      </c>
    </row>
    <row r="165" spans="1:16" s="242" customFormat="1">
      <c r="A165" s="243">
        <v>161</v>
      </c>
      <c r="B165" s="243"/>
      <c r="C165" s="242" t="str">
        <f t="shared" si="2"/>
        <v>161 Ludlow</v>
      </c>
      <c r="D165" s="247">
        <v>161</v>
      </c>
      <c r="E165" s="248" t="s">
        <v>1427</v>
      </c>
      <c r="F165" s="248" t="s">
        <v>2500</v>
      </c>
      <c r="K165" s="242">
        <v>77303</v>
      </c>
      <c r="L165" s="242">
        <v>3</v>
      </c>
      <c r="M165" s="242">
        <v>773</v>
      </c>
      <c r="N165" s="242" t="s">
        <v>619</v>
      </c>
      <c r="O165" s="242">
        <v>259</v>
      </c>
      <c r="P165" s="242" t="s">
        <v>1029</v>
      </c>
    </row>
    <row r="166" spans="1:16" s="242" customFormat="1">
      <c r="A166" s="243">
        <v>162</v>
      </c>
      <c r="B166" s="243"/>
      <c r="C166" s="242" t="str">
        <f t="shared" si="2"/>
        <v>162 Lunenburg</v>
      </c>
      <c r="D166" s="247">
        <v>162</v>
      </c>
      <c r="E166" s="248" t="s">
        <v>1428</v>
      </c>
      <c r="F166" s="248" t="s">
        <v>2501</v>
      </c>
      <c r="K166" s="242">
        <v>77401</v>
      </c>
      <c r="L166" s="242">
        <v>1</v>
      </c>
      <c r="M166" s="242">
        <v>774</v>
      </c>
      <c r="N166" s="242" t="s">
        <v>733</v>
      </c>
      <c r="O166" s="242">
        <v>62</v>
      </c>
      <c r="P166" s="242" t="s">
        <v>728</v>
      </c>
    </row>
    <row r="167" spans="1:16" s="242" customFormat="1">
      <c r="A167" s="243">
        <v>163</v>
      </c>
      <c r="B167" s="243"/>
      <c r="C167" s="242" t="str">
        <f t="shared" si="2"/>
        <v>163 Lynn</v>
      </c>
      <c r="D167" s="247">
        <v>163</v>
      </c>
      <c r="E167" s="248" t="s">
        <v>1429</v>
      </c>
      <c r="F167" s="248" t="s">
        <v>2502</v>
      </c>
      <c r="K167" s="242">
        <v>77402</v>
      </c>
      <c r="L167" s="242">
        <v>2</v>
      </c>
      <c r="M167" s="242">
        <v>774</v>
      </c>
      <c r="N167" s="242" t="s">
        <v>733</v>
      </c>
      <c r="O167" s="242">
        <v>104</v>
      </c>
      <c r="P167" s="242" t="s">
        <v>1131</v>
      </c>
    </row>
    <row r="168" spans="1:16" s="242" customFormat="1">
      <c r="A168" s="243">
        <v>164</v>
      </c>
      <c r="B168" s="243"/>
      <c r="C168" s="242" t="str">
        <f t="shared" si="2"/>
        <v>164 Lynnfield</v>
      </c>
      <c r="D168" s="247">
        <v>164</v>
      </c>
      <c r="E168" s="248" t="s">
        <v>1430</v>
      </c>
      <c r="F168" s="248" t="s">
        <v>2503</v>
      </c>
      <c r="K168" s="242">
        <v>77403</v>
      </c>
      <c r="L168" s="242">
        <v>3</v>
      </c>
      <c r="M168" s="242">
        <v>774</v>
      </c>
      <c r="N168" s="242" t="s">
        <v>733</v>
      </c>
      <c r="O168" s="242">
        <v>334</v>
      </c>
      <c r="P168" s="242" t="s">
        <v>1112</v>
      </c>
    </row>
    <row r="169" spans="1:16" s="242" customFormat="1">
      <c r="A169" s="243">
        <v>165</v>
      </c>
      <c r="B169" s="243"/>
      <c r="C169" s="242" t="str">
        <f t="shared" si="2"/>
        <v>165 Malden</v>
      </c>
      <c r="D169" s="247">
        <v>165</v>
      </c>
      <c r="E169" s="248" t="s">
        <v>1431</v>
      </c>
      <c r="F169" s="248" t="s">
        <v>2504</v>
      </c>
      <c r="K169" s="242">
        <v>77501</v>
      </c>
      <c r="L169" s="242">
        <v>1</v>
      </c>
      <c r="M169" s="242">
        <v>775</v>
      </c>
      <c r="N169" s="242" t="s">
        <v>620</v>
      </c>
      <c r="O169" s="242">
        <v>134</v>
      </c>
      <c r="P169" s="242" t="s">
        <v>830</v>
      </c>
    </row>
    <row r="170" spans="1:16" s="242" customFormat="1">
      <c r="A170" s="243">
        <v>166</v>
      </c>
      <c r="B170" s="243"/>
      <c r="C170" s="242" t="str">
        <f t="shared" si="2"/>
        <v>166 Manchester</v>
      </c>
      <c r="D170" s="247">
        <v>166</v>
      </c>
      <c r="E170" s="248" t="s">
        <v>1432</v>
      </c>
      <c r="F170" s="248" t="s">
        <v>2505</v>
      </c>
      <c r="K170" s="242">
        <v>77502</v>
      </c>
      <c r="L170" s="242">
        <v>2</v>
      </c>
      <c r="M170" s="242">
        <v>775</v>
      </c>
      <c r="N170" s="242" t="s">
        <v>620</v>
      </c>
      <c r="O170" s="242">
        <v>228</v>
      </c>
      <c r="P170" s="242" t="s">
        <v>987</v>
      </c>
    </row>
    <row r="171" spans="1:16" s="242" customFormat="1">
      <c r="A171" s="243">
        <v>167</v>
      </c>
      <c r="B171" s="243"/>
      <c r="C171" s="242" t="str">
        <f t="shared" si="2"/>
        <v>167 Mansfield</v>
      </c>
      <c r="D171" s="247">
        <v>167</v>
      </c>
      <c r="E171" s="248" t="s">
        <v>1433</v>
      </c>
      <c r="F171" s="248" t="s">
        <v>2506</v>
      </c>
      <c r="K171" s="242">
        <v>77503</v>
      </c>
      <c r="L171" s="242">
        <v>3</v>
      </c>
      <c r="M171" s="242">
        <v>775</v>
      </c>
      <c r="N171" s="242" t="s">
        <v>620</v>
      </c>
      <c r="O171" s="242">
        <v>241</v>
      </c>
      <c r="P171" s="242" t="s">
        <v>1011</v>
      </c>
    </row>
    <row r="172" spans="1:16" s="242" customFormat="1">
      <c r="A172" s="243">
        <v>168</v>
      </c>
      <c r="B172" s="243"/>
      <c r="C172" s="242" t="str">
        <f t="shared" si="2"/>
        <v>168 Marblehead</v>
      </c>
      <c r="D172" s="247">
        <v>168</v>
      </c>
      <c r="E172" s="248" t="s">
        <v>1434</v>
      </c>
      <c r="F172" s="248" t="s">
        <v>2507</v>
      </c>
      <c r="K172" s="242">
        <v>77504</v>
      </c>
      <c r="L172" s="242">
        <v>4</v>
      </c>
      <c r="M172" s="242">
        <v>775</v>
      </c>
      <c r="N172" s="242" t="s">
        <v>620</v>
      </c>
      <c r="O172" s="242">
        <v>257</v>
      </c>
      <c r="P172" s="242" t="s">
        <v>1027</v>
      </c>
    </row>
    <row r="173" spans="1:16" s="242" customFormat="1">
      <c r="A173" s="243">
        <v>169</v>
      </c>
      <c r="B173" s="243"/>
      <c r="C173" s="242" t="str">
        <f t="shared" si="2"/>
        <v>169 Marion</v>
      </c>
      <c r="D173" s="247">
        <v>169</v>
      </c>
      <c r="E173" s="248" t="s">
        <v>1435</v>
      </c>
      <c r="F173" s="248" t="s">
        <v>2508</v>
      </c>
      <c r="K173" s="242">
        <v>77505</v>
      </c>
      <c r="L173" s="242">
        <v>5</v>
      </c>
      <c r="M173" s="242">
        <v>775</v>
      </c>
      <c r="N173" s="242" t="s">
        <v>620</v>
      </c>
      <c r="O173" s="242">
        <v>282</v>
      </c>
      <c r="P173" s="242" t="s">
        <v>1059</v>
      </c>
    </row>
    <row r="174" spans="1:16" s="242" customFormat="1">
      <c r="A174" s="243">
        <v>170</v>
      </c>
      <c r="B174" s="243"/>
      <c r="C174" s="242" t="str">
        <f t="shared" si="2"/>
        <v>170 Marlborough</v>
      </c>
      <c r="D174" s="247">
        <v>170</v>
      </c>
      <c r="E174" s="248" t="s">
        <v>1436</v>
      </c>
      <c r="F174" s="248" t="s">
        <v>2509</v>
      </c>
      <c r="K174" s="242">
        <v>77801</v>
      </c>
      <c r="L174" s="242">
        <v>1</v>
      </c>
      <c r="M174" s="242">
        <v>778</v>
      </c>
      <c r="N174" s="242" t="s">
        <v>1089</v>
      </c>
      <c r="O174" s="242">
        <v>311</v>
      </c>
      <c r="P174" s="242" t="s">
        <v>1088</v>
      </c>
    </row>
    <row r="175" spans="1:16" s="242" customFormat="1">
      <c r="A175" s="243">
        <v>171</v>
      </c>
      <c r="B175" s="243"/>
      <c r="C175" s="242" t="str">
        <f t="shared" si="2"/>
        <v>171 Marshfield</v>
      </c>
      <c r="D175" s="247">
        <v>171</v>
      </c>
      <c r="E175" s="248" t="s">
        <v>1437</v>
      </c>
      <c r="F175" s="248" t="s">
        <v>2510</v>
      </c>
      <c r="K175" s="242">
        <v>77802</v>
      </c>
      <c r="L175" s="242">
        <v>2</v>
      </c>
      <c r="M175" s="242">
        <v>778</v>
      </c>
      <c r="N175" s="242" t="s">
        <v>1089</v>
      </c>
      <c r="O175" s="242">
        <v>324</v>
      </c>
      <c r="P175" s="242" t="s">
        <v>1102</v>
      </c>
    </row>
    <row r="176" spans="1:16" s="242" customFormat="1">
      <c r="A176" s="243">
        <v>172</v>
      </c>
      <c r="B176" s="243"/>
      <c r="C176" s="242" t="str">
        <f t="shared" si="2"/>
        <v>172 Mashpee</v>
      </c>
      <c r="D176" s="247">
        <v>172</v>
      </c>
      <c r="E176" s="248" t="s">
        <v>1438</v>
      </c>
      <c r="F176" s="248" t="s">
        <v>2511</v>
      </c>
      <c r="K176" s="242">
        <v>78001</v>
      </c>
      <c r="L176" s="242">
        <v>1</v>
      </c>
      <c r="M176" s="242">
        <v>780</v>
      </c>
      <c r="N176" s="242" t="s">
        <v>621</v>
      </c>
      <c r="O176" s="242">
        <v>123</v>
      </c>
      <c r="P176" s="242" t="s">
        <v>818</v>
      </c>
    </row>
    <row r="177" spans="1:16" s="242" customFormat="1">
      <c r="A177" s="243">
        <v>173</v>
      </c>
      <c r="B177" s="243"/>
      <c r="C177" s="242" t="str">
        <f t="shared" si="2"/>
        <v>173 Mattapoisett</v>
      </c>
      <c r="D177" s="247">
        <v>173</v>
      </c>
      <c r="E177" s="248" t="s">
        <v>1439</v>
      </c>
      <c r="F177" s="248" t="s">
        <v>2512</v>
      </c>
      <c r="K177" s="242">
        <v>78002</v>
      </c>
      <c r="L177" s="242">
        <v>2</v>
      </c>
      <c r="M177" s="242">
        <v>780</v>
      </c>
      <c r="N177" s="242" t="s">
        <v>621</v>
      </c>
      <c r="O177" s="242">
        <v>338</v>
      </c>
      <c r="P177" s="242" t="s">
        <v>1116</v>
      </c>
    </row>
    <row r="178" spans="1:16" s="242" customFormat="1">
      <c r="A178" s="243">
        <v>174</v>
      </c>
      <c r="B178" s="243"/>
      <c r="C178" s="242" t="str">
        <f t="shared" si="2"/>
        <v>174 Maynard</v>
      </c>
      <c r="D178" s="247">
        <v>174</v>
      </c>
      <c r="E178" s="248" t="s">
        <v>1440</v>
      </c>
      <c r="F178" s="248" t="s">
        <v>2513</v>
      </c>
      <c r="K178" s="242">
        <v>80101</v>
      </c>
      <c r="L178" s="242">
        <v>1</v>
      </c>
      <c r="M178" s="242">
        <v>801</v>
      </c>
      <c r="N178" s="242" t="s">
        <v>622</v>
      </c>
      <c r="O178" s="242">
        <v>28</v>
      </c>
      <c r="P178" s="242" t="s">
        <v>41</v>
      </c>
    </row>
    <row r="179" spans="1:16" s="242" customFormat="1">
      <c r="A179" s="243">
        <v>175</v>
      </c>
      <c r="B179" s="243"/>
      <c r="C179" s="242" t="str">
        <f t="shared" si="2"/>
        <v>175 Medfield</v>
      </c>
      <c r="D179" s="247">
        <v>175</v>
      </c>
      <c r="E179" s="248" t="s">
        <v>1441</v>
      </c>
      <c r="F179" s="248" t="s">
        <v>2514</v>
      </c>
      <c r="K179" s="242">
        <v>80102</v>
      </c>
      <c r="L179" s="242">
        <v>2</v>
      </c>
      <c r="M179" s="242">
        <v>801</v>
      </c>
      <c r="N179" s="242" t="s">
        <v>622</v>
      </c>
      <c r="O179" s="242">
        <v>141</v>
      </c>
      <c r="P179" s="242" t="s">
        <v>838</v>
      </c>
    </row>
    <row r="180" spans="1:16" s="242" customFormat="1">
      <c r="A180" s="243">
        <v>176</v>
      </c>
      <c r="B180" s="243"/>
      <c r="C180" s="242" t="str">
        <f t="shared" si="2"/>
        <v>176 Medford</v>
      </c>
      <c r="D180" s="247">
        <v>176</v>
      </c>
      <c r="E180" s="248" t="s">
        <v>1442</v>
      </c>
      <c r="F180" s="248" t="s">
        <v>2515</v>
      </c>
      <c r="K180" s="242">
        <v>80103</v>
      </c>
      <c r="L180" s="242">
        <v>3</v>
      </c>
      <c r="M180" s="242">
        <v>801</v>
      </c>
      <c r="N180" s="242" t="s">
        <v>622</v>
      </c>
      <c r="O180" s="242">
        <v>170</v>
      </c>
      <c r="P180" s="242" t="s">
        <v>906</v>
      </c>
    </row>
    <row r="181" spans="1:16" s="242" customFormat="1">
      <c r="A181" s="243">
        <v>177</v>
      </c>
      <c r="B181" s="243"/>
      <c r="C181" s="242" t="str">
        <f t="shared" si="2"/>
        <v>177 Medway</v>
      </c>
      <c r="D181" s="247">
        <v>177</v>
      </c>
      <c r="E181" s="248" t="s">
        <v>1443</v>
      </c>
      <c r="F181" s="248" t="s">
        <v>2516</v>
      </c>
      <c r="K181" s="242">
        <v>80104</v>
      </c>
      <c r="L181" s="242">
        <v>4</v>
      </c>
      <c r="M181" s="242">
        <v>801</v>
      </c>
      <c r="N181" s="242" t="s">
        <v>622</v>
      </c>
      <c r="O181" s="242">
        <v>174</v>
      </c>
      <c r="P181" s="242" t="s">
        <v>910</v>
      </c>
    </row>
    <row r="182" spans="1:16" s="242" customFormat="1">
      <c r="A182" s="243">
        <v>178</v>
      </c>
      <c r="B182" s="243"/>
      <c r="C182" s="242" t="str">
        <f t="shared" si="2"/>
        <v>178 Melrose</v>
      </c>
      <c r="D182" s="247">
        <v>178</v>
      </c>
      <c r="E182" s="248" t="s">
        <v>1444</v>
      </c>
      <c r="F182" s="248" t="s">
        <v>2517</v>
      </c>
      <c r="K182" s="242">
        <v>80105</v>
      </c>
      <c r="L182" s="242">
        <v>5</v>
      </c>
      <c r="M182" s="242">
        <v>801</v>
      </c>
      <c r="N182" s="242" t="s">
        <v>622</v>
      </c>
      <c r="O182" s="242">
        <v>213</v>
      </c>
      <c r="P182" s="242" t="s">
        <v>959</v>
      </c>
    </row>
    <row r="183" spans="1:16" s="242" customFormat="1">
      <c r="A183" s="243">
        <v>179</v>
      </c>
      <c r="B183" s="243"/>
      <c r="C183" s="242" t="str">
        <f t="shared" si="2"/>
        <v>179 Mendon</v>
      </c>
      <c r="D183" s="247">
        <v>179</v>
      </c>
      <c r="E183" s="248" t="s">
        <v>1445</v>
      </c>
      <c r="F183" s="248" t="s">
        <v>2518</v>
      </c>
      <c r="K183" s="242">
        <v>80106</v>
      </c>
      <c r="L183" s="242">
        <v>6</v>
      </c>
      <c r="M183" s="242">
        <v>801</v>
      </c>
      <c r="N183" s="242" t="s">
        <v>622</v>
      </c>
      <c r="O183" s="242">
        <v>276</v>
      </c>
      <c r="P183" s="242" t="s">
        <v>1046</v>
      </c>
    </row>
    <row r="184" spans="1:16" s="242" customFormat="1">
      <c r="A184" s="243">
        <v>180</v>
      </c>
      <c r="B184" s="243"/>
      <c r="C184" s="242" t="str">
        <f t="shared" si="2"/>
        <v>180 Merrimac</v>
      </c>
      <c r="D184" s="247">
        <v>180</v>
      </c>
      <c r="E184" s="248" t="s">
        <v>1446</v>
      </c>
      <c r="F184" s="248" t="s">
        <v>2519</v>
      </c>
      <c r="K184" s="242">
        <v>80107</v>
      </c>
      <c r="L184" s="242">
        <v>7</v>
      </c>
      <c r="M184" s="242">
        <v>801</v>
      </c>
      <c r="N184" s="242" t="s">
        <v>622</v>
      </c>
      <c r="O184" s="242">
        <v>321</v>
      </c>
      <c r="P184" s="242" t="s">
        <v>1099</v>
      </c>
    </row>
    <row r="185" spans="1:16" s="242" customFormat="1">
      <c r="A185" s="243">
        <v>181</v>
      </c>
      <c r="B185" s="243"/>
      <c r="C185" s="242" t="str">
        <f t="shared" si="2"/>
        <v>181 Methuen</v>
      </c>
      <c r="D185" s="247">
        <v>181</v>
      </c>
      <c r="E185" s="248" t="s">
        <v>1447</v>
      </c>
      <c r="F185" s="248" t="s">
        <v>2520</v>
      </c>
      <c r="K185" s="242">
        <v>80501</v>
      </c>
      <c r="L185" s="242">
        <v>1</v>
      </c>
      <c r="M185" s="242">
        <v>805</v>
      </c>
      <c r="N185" s="242" t="s">
        <v>623</v>
      </c>
      <c r="O185" s="242">
        <v>25</v>
      </c>
      <c r="P185" s="242" t="s">
        <v>36</v>
      </c>
    </row>
    <row r="186" spans="1:16" s="242" customFormat="1">
      <c r="A186" s="243">
        <v>182</v>
      </c>
      <c r="B186" s="243"/>
      <c r="C186" s="242" t="str">
        <f t="shared" si="2"/>
        <v>182 Middleborough</v>
      </c>
      <c r="D186" s="247">
        <v>182</v>
      </c>
      <c r="E186" s="248" t="s">
        <v>1448</v>
      </c>
      <c r="F186" s="248" t="s">
        <v>2521</v>
      </c>
      <c r="K186" s="242">
        <v>80502</v>
      </c>
      <c r="L186" s="242">
        <v>2</v>
      </c>
      <c r="M186" s="242">
        <v>805</v>
      </c>
      <c r="N186" s="242" t="s">
        <v>623</v>
      </c>
      <c r="O186" s="242">
        <v>32</v>
      </c>
      <c r="P186" s="242" t="s">
        <v>49</v>
      </c>
    </row>
    <row r="187" spans="1:16" s="242" customFormat="1">
      <c r="A187" s="243">
        <v>183</v>
      </c>
      <c r="B187" s="243"/>
      <c r="C187" s="242" t="str">
        <f t="shared" si="2"/>
        <v>183 Middlefield</v>
      </c>
      <c r="D187" s="247">
        <v>183</v>
      </c>
      <c r="E187" s="248" t="s">
        <v>1449</v>
      </c>
      <c r="F187" s="248" t="s">
        <v>2522</v>
      </c>
      <c r="K187" s="242">
        <v>80503</v>
      </c>
      <c r="L187" s="242">
        <v>3</v>
      </c>
      <c r="M187" s="242">
        <v>805</v>
      </c>
      <c r="N187" s="242" t="s">
        <v>623</v>
      </c>
      <c r="O187" s="242">
        <v>77</v>
      </c>
      <c r="P187" s="242" t="s">
        <v>756</v>
      </c>
    </row>
    <row r="188" spans="1:16" s="242" customFormat="1">
      <c r="A188" s="243">
        <v>184</v>
      </c>
      <c r="B188" s="243"/>
      <c r="C188" s="242" t="str">
        <f t="shared" si="2"/>
        <v>184 Middleton</v>
      </c>
      <c r="D188" s="247">
        <v>184</v>
      </c>
      <c r="E188" s="248" t="s">
        <v>1450</v>
      </c>
      <c r="F188" s="248" t="s">
        <v>2523</v>
      </c>
      <c r="K188" s="242">
        <v>80504</v>
      </c>
      <c r="L188" s="242">
        <v>4</v>
      </c>
      <c r="M188" s="242">
        <v>805</v>
      </c>
      <c r="N188" s="242" t="s">
        <v>623</v>
      </c>
      <c r="O188" s="242">
        <v>110</v>
      </c>
      <c r="P188" s="242" t="s">
        <v>800</v>
      </c>
    </row>
    <row r="189" spans="1:16" s="242" customFormat="1">
      <c r="A189" s="243">
        <v>185</v>
      </c>
      <c r="B189" s="243"/>
      <c r="C189" s="242" t="str">
        <f t="shared" si="2"/>
        <v>185 Milford</v>
      </c>
      <c r="D189" s="247">
        <v>185</v>
      </c>
      <c r="E189" s="248" t="s">
        <v>1451</v>
      </c>
      <c r="F189" s="248" t="s">
        <v>2524</v>
      </c>
      <c r="K189" s="242">
        <v>80505</v>
      </c>
      <c r="L189" s="242">
        <v>5</v>
      </c>
      <c r="M189" s="242">
        <v>805</v>
      </c>
      <c r="N189" s="242" t="s">
        <v>623</v>
      </c>
      <c r="O189" s="242">
        <v>138</v>
      </c>
      <c r="P189" s="242" t="s">
        <v>835</v>
      </c>
    </row>
    <row r="190" spans="1:16" s="242" customFormat="1">
      <c r="A190" s="243">
        <v>186</v>
      </c>
      <c r="B190" s="243"/>
      <c r="C190" s="242" t="str">
        <f t="shared" si="2"/>
        <v>186 Millbury</v>
      </c>
      <c r="D190" s="247">
        <v>186</v>
      </c>
      <c r="E190" s="248" t="s">
        <v>1452</v>
      </c>
      <c r="F190" s="248" t="s">
        <v>2525</v>
      </c>
      <c r="K190" s="242">
        <v>80506</v>
      </c>
      <c r="L190" s="242">
        <v>6</v>
      </c>
      <c r="M190" s="242">
        <v>805</v>
      </c>
      <c r="N190" s="242" t="s">
        <v>623</v>
      </c>
      <c r="O190" s="242">
        <v>179</v>
      </c>
      <c r="P190" s="242" t="s">
        <v>917</v>
      </c>
    </row>
    <row r="191" spans="1:16" s="242" customFormat="1">
      <c r="A191" s="243">
        <v>187</v>
      </c>
      <c r="B191" s="243"/>
      <c r="C191" s="242" t="str">
        <f t="shared" si="2"/>
        <v>187 Millis</v>
      </c>
      <c r="D191" s="247">
        <v>187</v>
      </c>
      <c r="E191" s="248" t="s">
        <v>1453</v>
      </c>
      <c r="F191" s="248" t="s">
        <v>2526</v>
      </c>
      <c r="K191" s="242">
        <v>80507</v>
      </c>
      <c r="L191" s="242">
        <v>7</v>
      </c>
      <c r="M191" s="242">
        <v>805</v>
      </c>
      <c r="N191" s="242" t="s">
        <v>623</v>
      </c>
      <c r="O191" s="242">
        <v>185</v>
      </c>
      <c r="P191" s="242" t="s">
        <v>924</v>
      </c>
    </row>
    <row r="192" spans="1:16" s="242" customFormat="1">
      <c r="A192" s="243">
        <v>188</v>
      </c>
      <c r="B192" s="243"/>
      <c r="C192" s="242" t="str">
        <f t="shared" si="2"/>
        <v>188 Millville</v>
      </c>
      <c r="D192" s="247">
        <v>188</v>
      </c>
      <c r="E192" s="248" t="s">
        <v>1454</v>
      </c>
      <c r="F192" s="248" t="s">
        <v>2527</v>
      </c>
      <c r="K192" s="242">
        <v>80508</v>
      </c>
      <c r="L192" s="242">
        <v>8</v>
      </c>
      <c r="M192" s="242">
        <v>805</v>
      </c>
      <c r="N192" s="242" t="s">
        <v>623</v>
      </c>
      <c r="O192" s="242">
        <v>186</v>
      </c>
      <c r="P192" s="242" t="s">
        <v>925</v>
      </c>
    </row>
    <row r="193" spans="1:16" s="242" customFormat="1">
      <c r="A193" s="243">
        <v>189</v>
      </c>
      <c r="B193" s="243"/>
      <c r="C193" s="242" t="str">
        <f t="shared" si="2"/>
        <v>189 Milton</v>
      </c>
      <c r="D193" s="247">
        <v>189</v>
      </c>
      <c r="E193" s="248" t="s">
        <v>1455</v>
      </c>
      <c r="F193" s="248" t="s">
        <v>2528</v>
      </c>
      <c r="K193" s="242">
        <v>80509</v>
      </c>
      <c r="L193" s="242">
        <v>9</v>
      </c>
      <c r="M193" s="242">
        <v>805</v>
      </c>
      <c r="N193" s="242" t="s">
        <v>623</v>
      </c>
      <c r="O193" s="242">
        <v>188</v>
      </c>
      <c r="P193" s="242" t="s">
        <v>927</v>
      </c>
    </row>
    <row r="194" spans="1:16" s="242" customFormat="1">
      <c r="A194" s="243">
        <v>190</v>
      </c>
      <c r="B194" s="243"/>
      <c r="C194" s="242" t="str">
        <f t="shared" si="2"/>
        <v>190 Monroe</v>
      </c>
      <c r="D194" s="247">
        <v>190</v>
      </c>
      <c r="E194" s="248" t="s">
        <v>1456</v>
      </c>
      <c r="F194" s="248" t="s">
        <v>2529</v>
      </c>
      <c r="K194" s="242">
        <v>80510</v>
      </c>
      <c r="L194" s="242">
        <v>10</v>
      </c>
      <c r="M194" s="242">
        <v>805</v>
      </c>
      <c r="N194" s="242" t="s">
        <v>623</v>
      </c>
      <c r="O194" s="242">
        <v>214</v>
      </c>
      <c r="P194" s="242" t="s">
        <v>961</v>
      </c>
    </row>
    <row r="195" spans="1:16" s="242" customFormat="1">
      <c r="A195" s="243">
        <v>191</v>
      </c>
      <c r="B195" s="243"/>
      <c r="C195" s="242" t="str">
        <f t="shared" si="2"/>
        <v>191 Monson</v>
      </c>
      <c r="D195" s="247">
        <v>191</v>
      </c>
      <c r="E195" s="248" t="s">
        <v>1457</v>
      </c>
      <c r="F195" s="248" t="s">
        <v>2530</v>
      </c>
      <c r="K195" s="242">
        <v>80511</v>
      </c>
      <c r="L195" s="242">
        <v>11</v>
      </c>
      <c r="M195" s="242">
        <v>805</v>
      </c>
      <c r="N195" s="242" t="s">
        <v>623</v>
      </c>
      <c r="O195" s="242">
        <v>290</v>
      </c>
      <c r="P195" s="242" t="s">
        <v>1067</v>
      </c>
    </row>
    <row r="196" spans="1:16" s="242" customFormat="1">
      <c r="A196" s="243">
        <v>192</v>
      </c>
      <c r="B196" s="243"/>
      <c r="C196" s="242" t="str">
        <f t="shared" si="2"/>
        <v>192 Montague</v>
      </c>
      <c r="D196" s="247">
        <v>192</v>
      </c>
      <c r="E196" s="248" t="s">
        <v>1458</v>
      </c>
      <c r="F196" s="248" t="s">
        <v>2531</v>
      </c>
      <c r="K196" s="242">
        <v>80512</v>
      </c>
      <c r="L196" s="242">
        <v>12</v>
      </c>
      <c r="M196" s="242">
        <v>805</v>
      </c>
      <c r="N196" s="242" t="s">
        <v>623</v>
      </c>
      <c r="O196" s="242">
        <v>303</v>
      </c>
      <c r="P196" s="242" t="s">
        <v>1080</v>
      </c>
    </row>
    <row r="197" spans="1:16" s="242" customFormat="1">
      <c r="A197" s="243">
        <v>193</v>
      </c>
      <c r="B197" s="243"/>
      <c r="C197" s="242" t="str">
        <f t="shared" si="2"/>
        <v>193 Monterey</v>
      </c>
      <c r="D197" s="247">
        <v>193</v>
      </c>
      <c r="E197" s="248" t="s">
        <v>1459</v>
      </c>
      <c r="F197" s="248" t="s">
        <v>2532</v>
      </c>
      <c r="K197" s="242">
        <v>80513</v>
      </c>
      <c r="L197" s="242">
        <v>13</v>
      </c>
      <c r="M197" s="242">
        <v>805</v>
      </c>
      <c r="N197" s="242" t="s">
        <v>623</v>
      </c>
      <c r="O197" s="242">
        <v>304</v>
      </c>
      <c r="P197" s="242" t="s">
        <v>1081</v>
      </c>
    </row>
    <row r="198" spans="1:16" s="242" customFormat="1">
      <c r="A198" s="243">
        <v>194</v>
      </c>
      <c r="B198" s="243"/>
      <c r="C198" s="242" t="str">
        <f t="shared" ref="C198:C261" si="3">PROPER(D198&amp;" "&amp;E198)</f>
        <v>194 Montgomery</v>
      </c>
      <c r="D198" s="247">
        <v>194</v>
      </c>
      <c r="E198" s="248" t="s">
        <v>1460</v>
      </c>
      <c r="F198" s="248" t="s">
        <v>2533</v>
      </c>
      <c r="K198" s="242">
        <v>80601</v>
      </c>
      <c r="L198" s="242">
        <v>1</v>
      </c>
      <c r="M198" s="242">
        <v>806</v>
      </c>
      <c r="N198" s="242" t="s">
        <v>624</v>
      </c>
      <c r="O198" s="242">
        <v>18</v>
      </c>
      <c r="P198" s="242" t="s">
        <v>22</v>
      </c>
    </row>
    <row r="199" spans="1:16" s="242" customFormat="1">
      <c r="A199" s="243">
        <v>195</v>
      </c>
      <c r="B199" s="243"/>
      <c r="C199" s="242" t="str">
        <f t="shared" si="3"/>
        <v>195 Mount Washington</v>
      </c>
      <c r="D199" s="247">
        <v>195</v>
      </c>
      <c r="E199" s="248" t="s">
        <v>1461</v>
      </c>
      <c r="F199" s="248" t="s">
        <v>2534</v>
      </c>
      <c r="K199" s="242">
        <v>80602</v>
      </c>
      <c r="L199" s="242">
        <v>2</v>
      </c>
      <c r="M199" s="242">
        <v>806</v>
      </c>
      <c r="N199" s="242" t="s">
        <v>624</v>
      </c>
      <c r="O199" s="242">
        <v>40</v>
      </c>
      <c r="P199" s="242" t="s">
        <v>694</v>
      </c>
    </row>
    <row r="200" spans="1:16" s="242" customFormat="1">
      <c r="A200" s="243">
        <v>196</v>
      </c>
      <c r="B200" s="243"/>
      <c r="C200" s="242" t="str">
        <f t="shared" si="3"/>
        <v>196 Nahant</v>
      </c>
      <c r="D200" s="247">
        <v>196</v>
      </c>
      <c r="E200" s="248" t="s">
        <v>1462</v>
      </c>
      <c r="F200" s="248" t="s">
        <v>2535</v>
      </c>
      <c r="K200" s="242">
        <v>80603</v>
      </c>
      <c r="L200" s="242">
        <v>3</v>
      </c>
      <c r="M200" s="242">
        <v>806</v>
      </c>
      <c r="N200" s="242" t="s">
        <v>624</v>
      </c>
      <c r="O200" s="242">
        <v>50</v>
      </c>
      <c r="P200" s="242" t="s">
        <v>708</v>
      </c>
    </row>
    <row r="201" spans="1:16" s="242" customFormat="1">
      <c r="A201" s="243">
        <v>197</v>
      </c>
      <c r="B201" s="243"/>
      <c r="C201" s="242" t="str">
        <f t="shared" si="3"/>
        <v>197 Nantucket</v>
      </c>
      <c r="D201" s="247">
        <v>197</v>
      </c>
      <c r="E201" s="248" t="s">
        <v>1463</v>
      </c>
      <c r="F201" s="248" t="s">
        <v>2536</v>
      </c>
      <c r="K201" s="242">
        <v>80604</v>
      </c>
      <c r="L201" s="242">
        <v>4</v>
      </c>
      <c r="M201" s="242">
        <v>806</v>
      </c>
      <c r="N201" s="242" t="s">
        <v>624</v>
      </c>
      <c r="O201" s="242">
        <v>73</v>
      </c>
      <c r="P201" s="242" t="s">
        <v>746</v>
      </c>
    </row>
    <row r="202" spans="1:16" s="242" customFormat="1">
      <c r="A202" s="243">
        <v>198</v>
      </c>
      <c r="B202" s="243"/>
      <c r="C202" s="242" t="str">
        <f t="shared" si="3"/>
        <v>198 Natick</v>
      </c>
      <c r="D202" s="247">
        <v>198</v>
      </c>
      <c r="E202" s="248" t="s">
        <v>1464</v>
      </c>
      <c r="F202" s="248" t="s">
        <v>2537</v>
      </c>
      <c r="K202" s="242">
        <v>80605</v>
      </c>
      <c r="L202" s="242">
        <v>5</v>
      </c>
      <c r="M202" s="242">
        <v>806</v>
      </c>
      <c r="N202" s="242" t="s">
        <v>624</v>
      </c>
      <c r="O202" s="242">
        <v>133</v>
      </c>
      <c r="P202" s="242" t="s">
        <v>829</v>
      </c>
    </row>
    <row r="203" spans="1:16" s="242" customFormat="1">
      <c r="A203" s="243">
        <v>199</v>
      </c>
      <c r="B203" s="243"/>
      <c r="C203" s="242" t="str">
        <f t="shared" si="3"/>
        <v>199 Needham</v>
      </c>
      <c r="D203" s="247">
        <v>199</v>
      </c>
      <c r="E203" s="248" t="s">
        <v>1465</v>
      </c>
      <c r="F203" s="248" t="s">
        <v>2538</v>
      </c>
      <c r="K203" s="242">
        <v>80606</v>
      </c>
      <c r="L203" s="242">
        <v>6</v>
      </c>
      <c r="M203" s="242">
        <v>806</v>
      </c>
      <c r="N203" s="242" t="s">
        <v>624</v>
      </c>
      <c r="O203" s="242">
        <v>189</v>
      </c>
      <c r="P203" s="242" t="s">
        <v>928</v>
      </c>
    </row>
    <row r="204" spans="1:16" s="242" customFormat="1">
      <c r="A204" s="243">
        <v>200</v>
      </c>
      <c r="B204" s="243"/>
      <c r="C204" s="242" t="str">
        <f t="shared" si="3"/>
        <v>200 New Ashford</v>
      </c>
      <c r="D204" s="247">
        <v>200</v>
      </c>
      <c r="E204" s="248" t="s">
        <v>1466</v>
      </c>
      <c r="F204" s="248" t="s">
        <v>2539</v>
      </c>
      <c r="K204" s="242">
        <v>80607</v>
      </c>
      <c r="L204" s="242">
        <v>7</v>
      </c>
      <c r="M204" s="242">
        <v>806</v>
      </c>
      <c r="N204" s="242" t="s">
        <v>624</v>
      </c>
      <c r="O204" s="242">
        <v>220</v>
      </c>
      <c r="P204" s="242" t="s">
        <v>968</v>
      </c>
    </row>
    <row r="205" spans="1:16" s="242" customFormat="1">
      <c r="A205" s="243">
        <v>201</v>
      </c>
      <c r="B205" s="243"/>
      <c r="C205" s="242" t="str">
        <f t="shared" si="3"/>
        <v>201 New Bedford</v>
      </c>
      <c r="D205" s="247">
        <v>201</v>
      </c>
      <c r="E205" s="248" t="s">
        <v>1467</v>
      </c>
      <c r="F205" s="248" t="s">
        <v>2540</v>
      </c>
      <c r="K205" s="242">
        <v>80608</v>
      </c>
      <c r="L205" s="242">
        <v>8</v>
      </c>
      <c r="M205" s="242">
        <v>806</v>
      </c>
      <c r="N205" s="242" t="s">
        <v>624</v>
      </c>
      <c r="O205" s="242">
        <v>244</v>
      </c>
      <c r="P205" s="242" t="s">
        <v>1014</v>
      </c>
    </row>
    <row r="206" spans="1:16" s="242" customFormat="1">
      <c r="A206" s="243">
        <v>202</v>
      </c>
      <c r="B206" s="243"/>
      <c r="C206" s="242" t="str">
        <f t="shared" si="3"/>
        <v>202 New Braintree</v>
      </c>
      <c r="D206" s="247">
        <v>202</v>
      </c>
      <c r="E206" s="248" t="s">
        <v>1468</v>
      </c>
      <c r="F206" s="248" t="s">
        <v>2541</v>
      </c>
      <c r="K206" s="242">
        <v>80609</v>
      </c>
      <c r="L206" s="242">
        <v>9</v>
      </c>
      <c r="M206" s="242">
        <v>806</v>
      </c>
      <c r="N206" s="242" t="s">
        <v>624</v>
      </c>
      <c r="O206" s="242">
        <v>335</v>
      </c>
      <c r="P206" s="242" t="s">
        <v>1113</v>
      </c>
    </row>
    <row r="207" spans="1:16" s="242" customFormat="1">
      <c r="A207" s="243">
        <v>203</v>
      </c>
      <c r="B207" s="243"/>
      <c r="C207" s="242" t="str">
        <f t="shared" si="3"/>
        <v>203 Newbury</v>
      </c>
      <c r="D207" s="247">
        <v>203</v>
      </c>
      <c r="E207" s="248" t="s">
        <v>1469</v>
      </c>
      <c r="F207" s="248" t="s">
        <v>2542</v>
      </c>
      <c r="K207" s="242">
        <v>81001</v>
      </c>
      <c r="L207" s="242">
        <v>1</v>
      </c>
      <c r="M207" s="242">
        <v>810</v>
      </c>
      <c r="N207" s="242" t="s">
        <v>625</v>
      </c>
      <c r="O207" s="242">
        <v>27</v>
      </c>
      <c r="P207" s="242" t="s">
        <v>39</v>
      </c>
    </row>
    <row r="208" spans="1:16" s="242" customFormat="1">
      <c r="A208" s="243">
        <v>204</v>
      </c>
      <c r="B208" s="243"/>
      <c r="C208" s="242" t="str">
        <f t="shared" si="3"/>
        <v>204 Newburyport</v>
      </c>
      <c r="D208" s="247">
        <v>204</v>
      </c>
      <c r="E208" s="248" t="s">
        <v>1470</v>
      </c>
      <c r="F208" s="248" t="s">
        <v>2543</v>
      </c>
      <c r="K208" s="242">
        <v>81002</v>
      </c>
      <c r="L208" s="242">
        <v>2</v>
      </c>
      <c r="M208" s="242">
        <v>810</v>
      </c>
      <c r="N208" s="242" t="s">
        <v>625</v>
      </c>
      <c r="O208" s="242">
        <v>42</v>
      </c>
      <c r="P208" s="242" t="s">
        <v>697</v>
      </c>
    </row>
    <row r="209" spans="1:16" s="242" customFormat="1">
      <c r="A209" s="243">
        <v>205</v>
      </c>
      <c r="B209" s="243"/>
      <c r="C209" s="242" t="str">
        <f t="shared" si="3"/>
        <v>205 New Marlborough</v>
      </c>
      <c r="D209" s="247">
        <v>205</v>
      </c>
      <c r="E209" s="248" t="s">
        <v>1471</v>
      </c>
      <c r="F209" s="248" t="s">
        <v>2544</v>
      </c>
      <c r="K209" s="242">
        <v>81003</v>
      </c>
      <c r="L209" s="242">
        <v>3</v>
      </c>
      <c r="M209" s="242">
        <v>810</v>
      </c>
      <c r="N209" s="242" t="s">
        <v>625</v>
      </c>
      <c r="O209" s="242">
        <v>76</v>
      </c>
      <c r="P209" s="242" t="s">
        <v>754</v>
      </c>
    </row>
    <row r="210" spans="1:16" s="242" customFormat="1">
      <c r="A210" s="243">
        <v>206</v>
      </c>
      <c r="B210" s="243"/>
      <c r="C210" s="242" t="str">
        <f t="shared" si="3"/>
        <v>206 New Salem</v>
      </c>
      <c r="D210" s="247">
        <v>206</v>
      </c>
      <c r="E210" s="248" t="s">
        <v>1472</v>
      </c>
      <c r="F210" s="248" t="s">
        <v>2545</v>
      </c>
      <c r="K210" s="242">
        <v>81004</v>
      </c>
      <c r="L210" s="242">
        <v>4</v>
      </c>
      <c r="M210" s="242">
        <v>810</v>
      </c>
      <c r="N210" s="242" t="s">
        <v>625</v>
      </c>
      <c r="O210" s="242">
        <v>182</v>
      </c>
      <c r="P210" s="242" t="s">
        <v>921</v>
      </c>
    </row>
    <row r="211" spans="1:16" s="242" customFormat="1">
      <c r="A211" s="243">
        <v>207</v>
      </c>
      <c r="B211" s="243"/>
      <c r="C211" s="242" t="str">
        <f t="shared" si="3"/>
        <v>207 Newton</v>
      </c>
      <c r="D211" s="247">
        <v>207</v>
      </c>
      <c r="E211" s="248" t="s">
        <v>1473</v>
      </c>
      <c r="F211" s="248" t="s">
        <v>2546</v>
      </c>
      <c r="K211" s="242">
        <v>81005</v>
      </c>
      <c r="L211" s="242">
        <v>5</v>
      </c>
      <c r="M211" s="242">
        <v>810</v>
      </c>
      <c r="N211" s="242" t="s">
        <v>625</v>
      </c>
      <c r="O211" s="242">
        <v>245</v>
      </c>
      <c r="P211" s="242" t="s">
        <v>1015</v>
      </c>
    </row>
    <row r="212" spans="1:16" s="242" customFormat="1">
      <c r="A212" s="243">
        <v>208</v>
      </c>
      <c r="B212" s="243"/>
      <c r="C212" s="242" t="str">
        <f t="shared" si="3"/>
        <v>208 Norfolk</v>
      </c>
      <c r="D212" s="247">
        <v>208</v>
      </c>
      <c r="E212" s="248" t="s">
        <v>1474</v>
      </c>
      <c r="F212" s="248" t="s">
        <v>2547</v>
      </c>
      <c r="K212" s="242">
        <v>81006</v>
      </c>
      <c r="L212" s="242">
        <v>6</v>
      </c>
      <c r="M212" s="242">
        <v>810</v>
      </c>
      <c r="N212" s="242" t="s">
        <v>625</v>
      </c>
      <c r="O212" s="242">
        <v>247</v>
      </c>
      <c r="P212" s="242" t="s">
        <v>1017</v>
      </c>
    </row>
    <row r="213" spans="1:16" s="242" customFormat="1">
      <c r="A213" s="243">
        <v>209</v>
      </c>
      <c r="B213" s="243"/>
      <c r="C213" s="242" t="str">
        <f t="shared" si="3"/>
        <v>209 North Adams</v>
      </c>
      <c r="D213" s="247">
        <v>209</v>
      </c>
      <c r="E213" s="248" t="s">
        <v>1475</v>
      </c>
      <c r="F213" s="248" t="s">
        <v>2548</v>
      </c>
      <c r="K213" s="242">
        <v>81007</v>
      </c>
      <c r="L213" s="242">
        <v>7</v>
      </c>
      <c r="M213" s="242">
        <v>810</v>
      </c>
      <c r="N213" s="242" t="s">
        <v>625</v>
      </c>
      <c r="O213" s="242">
        <v>293</v>
      </c>
      <c r="P213" s="242" t="s">
        <v>1070</v>
      </c>
    </row>
    <row r="214" spans="1:16" s="242" customFormat="1">
      <c r="A214" s="243">
        <v>210</v>
      </c>
      <c r="B214" s="243"/>
      <c r="C214" s="242" t="str">
        <f t="shared" si="3"/>
        <v>210 Northampton</v>
      </c>
      <c r="D214" s="247">
        <v>210</v>
      </c>
      <c r="E214" s="248" t="s">
        <v>1476</v>
      </c>
      <c r="F214" s="248" t="s">
        <v>2549</v>
      </c>
      <c r="K214" s="242">
        <v>81501</v>
      </c>
      <c r="L214" s="242">
        <v>1</v>
      </c>
      <c r="M214" s="242">
        <v>815</v>
      </c>
      <c r="N214" s="242" t="s">
        <v>626</v>
      </c>
      <c r="O214" s="242">
        <v>20</v>
      </c>
      <c r="P214" s="242" t="s">
        <v>26</v>
      </c>
    </row>
    <row r="215" spans="1:16" s="242" customFormat="1">
      <c r="A215" s="243">
        <v>211</v>
      </c>
      <c r="B215" s="243"/>
      <c r="C215" s="242" t="str">
        <f t="shared" si="3"/>
        <v>211 North Andover</v>
      </c>
      <c r="D215" s="247">
        <v>211</v>
      </c>
      <c r="E215" s="248" t="s">
        <v>1477</v>
      </c>
      <c r="F215" s="248" t="s">
        <v>2550</v>
      </c>
      <c r="K215" s="242">
        <v>81502</v>
      </c>
      <c r="L215" s="242">
        <v>2</v>
      </c>
      <c r="M215" s="242">
        <v>815</v>
      </c>
      <c r="N215" s="242" t="s">
        <v>626</v>
      </c>
      <c r="O215" s="242">
        <v>41</v>
      </c>
      <c r="P215" s="242" t="s">
        <v>695</v>
      </c>
    </row>
    <row r="216" spans="1:16" s="242" customFormat="1">
      <c r="A216" s="243">
        <v>212</v>
      </c>
      <c r="B216" s="243"/>
      <c r="C216" s="242" t="str">
        <f t="shared" si="3"/>
        <v>212 North Attleborough</v>
      </c>
      <c r="D216" s="247">
        <v>212</v>
      </c>
      <c r="E216" s="248" t="s">
        <v>1478</v>
      </c>
      <c r="F216" s="248" t="s">
        <v>2551</v>
      </c>
      <c r="K216" s="242">
        <v>81503</v>
      </c>
      <c r="L216" s="242">
        <v>3</v>
      </c>
      <c r="M216" s="242">
        <v>815</v>
      </c>
      <c r="N216" s="242" t="s">
        <v>626</v>
      </c>
      <c r="O216" s="242">
        <v>55</v>
      </c>
      <c r="P216" s="242" t="s">
        <v>716</v>
      </c>
    </row>
    <row r="217" spans="1:16" s="242" customFormat="1">
      <c r="A217" s="243">
        <v>213</v>
      </c>
      <c r="B217" s="243"/>
      <c r="C217" s="242" t="str">
        <f t="shared" si="3"/>
        <v>213 Northborough</v>
      </c>
      <c r="D217" s="247">
        <v>213</v>
      </c>
      <c r="E217" s="248" t="s">
        <v>1479</v>
      </c>
      <c r="F217" s="248" t="s">
        <v>2552</v>
      </c>
      <c r="K217" s="242">
        <v>81504</v>
      </c>
      <c r="L217" s="242">
        <v>4</v>
      </c>
      <c r="M217" s="242">
        <v>815</v>
      </c>
      <c r="N217" s="242" t="s">
        <v>626</v>
      </c>
      <c r="O217" s="242">
        <v>75</v>
      </c>
      <c r="P217" s="242" t="s">
        <v>752</v>
      </c>
    </row>
    <row r="218" spans="1:16" s="242" customFormat="1">
      <c r="A218" s="243">
        <v>214</v>
      </c>
      <c r="B218" s="243"/>
      <c r="C218" s="242" t="str">
        <f t="shared" si="3"/>
        <v>214 Northbridge</v>
      </c>
      <c r="D218" s="247">
        <v>214</v>
      </c>
      <c r="E218" s="248" t="s">
        <v>1480</v>
      </c>
      <c r="F218" s="248" t="s">
        <v>2553</v>
      </c>
      <c r="K218" s="242">
        <v>81505</v>
      </c>
      <c r="L218" s="242">
        <v>5</v>
      </c>
      <c r="M218" s="242">
        <v>815</v>
      </c>
      <c r="N218" s="242" t="s">
        <v>626</v>
      </c>
      <c r="O218" s="242">
        <v>85</v>
      </c>
      <c r="P218" s="242" t="s">
        <v>770</v>
      </c>
    </row>
    <row r="219" spans="1:16" s="242" customFormat="1">
      <c r="A219" s="243">
        <v>215</v>
      </c>
      <c r="B219" s="243"/>
      <c r="C219" s="242" t="str">
        <f t="shared" si="3"/>
        <v>215 North Brookfield</v>
      </c>
      <c r="D219" s="247">
        <v>215</v>
      </c>
      <c r="E219" s="248" t="s">
        <v>1481</v>
      </c>
      <c r="F219" s="248" t="s">
        <v>2554</v>
      </c>
      <c r="K219" s="242">
        <v>81506</v>
      </c>
      <c r="L219" s="242">
        <v>6</v>
      </c>
      <c r="M219" s="242">
        <v>815</v>
      </c>
      <c r="N219" s="242" t="s">
        <v>626</v>
      </c>
      <c r="O219" s="242">
        <v>126</v>
      </c>
      <c r="P219" s="242" t="s">
        <v>822</v>
      </c>
    </row>
    <row r="220" spans="1:16" s="242" customFormat="1">
      <c r="A220" s="243">
        <v>216</v>
      </c>
      <c r="B220" s="243"/>
      <c r="C220" s="242" t="str">
        <f t="shared" si="3"/>
        <v>216 Northfield</v>
      </c>
      <c r="D220" s="247">
        <v>216</v>
      </c>
      <c r="E220" s="248" t="s">
        <v>1482</v>
      </c>
      <c r="F220" s="248" t="s">
        <v>2555</v>
      </c>
      <c r="K220" s="242">
        <v>81507</v>
      </c>
      <c r="L220" s="242">
        <v>7</v>
      </c>
      <c r="M220" s="242">
        <v>815</v>
      </c>
      <c r="N220" s="242" t="s">
        <v>626</v>
      </c>
      <c r="O220" s="242">
        <v>172</v>
      </c>
      <c r="P220" s="242" t="s">
        <v>908</v>
      </c>
    </row>
    <row r="221" spans="1:16" s="242" customFormat="1">
      <c r="A221" s="243">
        <v>217</v>
      </c>
      <c r="B221" s="243"/>
      <c r="C221" s="242" t="str">
        <f t="shared" si="3"/>
        <v>217 North Reading</v>
      </c>
      <c r="D221" s="247">
        <v>217</v>
      </c>
      <c r="E221" s="248" t="s">
        <v>1483</v>
      </c>
      <c r="F221" s="248" t="s">
        <v>2556</v>
      </c>
      <c r="K221" s="242">
        <v>81508</v>
      </c>
      <c r="L221" s="242">
        <v>8</v>
      </c>
      <c r="M221" s="242">
        <v>815</v>
      </c>
      <c r="N221" s="242" t="s">
        <v>626</v>
      </c>
      <c r="O221" s="242">
        <v>224</v>
      </c>
      <c r="P221" s="242" t="s">
        <v>973</v>
      </c>
    </row>
    <row r="222" spans="1:16" s="242" customFormat="1">
      <c r="A222" s="243">
        <v>218</v>
      </c>
      <c r="B222" s="243"/>
      <c r="C222" s="242" t="str">
        <f t="shared" si="3"/>
        <v>218 Norton</v>
      </c>
      <c r="D222" s="247">
        <v>218</v>
      </c>
      <c r="E222" s="248" t="s">
        <v>1484</v>
      </c>
      <c r="F222" s="248" t="s">
        <v>2557</v>
      </c>
      <c r="K222" s="242">
        <v>81509</v>
      </c>
      <c r="L222" s="242">
        <v>9</v>
      </c>
      <c r="M222" s="242">
        <v>815</v>
      </c>
      <c r="N222" s="242" t="s">
        <v>626</v>
      </c>
      <c r="O222" s="242">
        <v>242</v>
      </c>
      <c r="P222" s="242" t="s">
        <v>1012</v>
      </c>
    </row>
    <row r="223" spans="1:16" s="242" customFormat="1">
      <c r="A223" s="243">
        <v>219</v>
      </c>
      <c r="B223" s="243"/>
      <c r="C223" s="242" t="str">
        <f t="shared" si="3"/>
        <v>219 Norwell</v>
      </c>
      <c r="D223" s="247">
        <v>219</v>
      </c>
      <c r="E223" s="248" t="s">
        <v>1485</v>
      </c>
      <c r="F223" s="248" t="s">
        <v>2558</v>
      </c>
      <c r="K223" s="242">
        <v>81510</v>
      </c>
      <c r="L223" s="242">
        <v>10</v>
      </c>
      <c r="M223" s="242">
        <v>815</v>
      </c>
      <c r="N223" s="242" t="s">
        <v>626</v>
      </c>
      <c r="O223" s="242">
        <v>300</v>
      </c>
      <c r="P223" s="242" t="s">
        <v>1077</v>
      </c>
    </row>
    <row r="224" spans="1:16" s="242" customFormat="1">
      <c r="A224" s="243">
        <v>220</v>
      </c>
      <c r="B224" s="243"/>
      <c r="C224" s="242" t="str">
        <f t="shared" si="3"/>
        <v>220 Norwood</v>
      </c>
      <c r="D224" s="247">
        <v>220</v>
      </c>
      <c r="E224" s="248" t="s">
        <v>1486</v>
      </c>
      <c r="F224" s="248" t="s">
        <v>2559</v>
      </c>
      <c r="K224" s="242">
        <v>81511</v>
      </c>
      <c r="L224" s="242">
        <v>11</v>
      </c>
      <c r="M224" s="242">
        <v>815</v>
      </c>
      <c r="N224" s="242" t="s">
        <v>626</v>
      </c>
      <c r="O224" s="242">
        <v>318</v>
      </c>
      <c r="P224" s="242" t="s">
        <v>1096</v>
      </c>
    </row>
    <row r="225" spans="1:16" s="242" customFormat="1">
      <c r="A225" s="243">
        <v>221</v>
      </c>
      <c r="B225" s="243"/>
      <c r="C225" s="242" t="str">
        <f t="shared" si="3"/>
        <v>221 Oak Bluffs</v>
      </c>
      <c r="D225" s="247">
        <v>221</v>
      </c>
      <c r="E225" s="248" t="s">
        <v>1487</v>
      </c>
      <c r="F225" s="248" t="s">
        <v>2560</v>
      </c>
      <c r="K225" s="242">
        <v>81512</v>
      </c>
      <c r="L225" s="242">
        <v>12</v>
      </c>
      <c r="M225" s="242">
        <v>815</v>
      </c>
      <c r="N225" s="242" t="s">
        <v>626</v>
      </c>
      <c r="O225" s="242">
        <v>351</v>
      </c>
      <c r="P225" s="242" t="s">
        <v>1129</v>
      </c>
    </row>
    <row r="226" spans="1:16" s="242" customFormat="1">
      <c r="A226" s="243">
        <v>222</v>
      </c>
      <c r="B226" s="243"/>
      <c r="C226" s="242" t="str">
        <f t="shared" si="3"/>
        <v>222 Oakham</v>
      </c>
      <c r="D226" s="247">
        <v>222</v>
      </c>
      <c r="E226" s="248" t="s">
        <v>1488</v>
      </c>
      <c r="F226" s="248" t="s">
        <v>2561</v>
      </c>
      <c r="K226" s="242">
        <v>81701</v>
      </c>
      <c r="L226" s="242">
        <v>1</v>
      </c>
      <c r="M226" s="242">
        <v>817</v>
      </c>
      <c r="N226" s="242" t="s">
        <v>1247</v>
      </c>
      <c r="O226" s="242">
        <v>30</v>
      </c>
      <c r="P226" s="242" t="s">
        <v>47</v>
      </c>
    </row>
    <row r="227" spans="1:16" s="242" customFormat="1">
      <c r="A227" s="243">
        <v>223</v>
      </c>
      <c r="B227" s="243"/>
      <c r="C227" s="242" t="str">
        <f t="shared" si="3"/>
        <v>223 Orange</v>
      </c>
      <c r="D227" s="247">
        <v>223</v>
      </c>
      <c r="E227" s="248" t="s">
        <v>1489</v>
      </c>
      <c r="F227" s="248" t="s">
        <v>2562</v>
      </c>
      <c r="K227" s="242">
        <v>81702</v>
      </c>
      <c r="L227" s="242">
        <v>2</v>
      </c>
      <c r="M227" s="242">
        <v>817</v>
      </c>
      <c r="N227" s="242" t="s">
        <v>1247</v>
      </c>
      <c r="O227" s="242">
        <v>38</v>
      </c>
      <c r="P227" s="242" t="s">
        <v>691</v>
      </c>
    </row>
    <row r="228" spans="1:16" s="242" customFormat="1">
      <c r="A228" s="243">
        <v>224</v>
      </c>
      <c r="B228" s="243"/>
      <c r="C228" s="242" t="str">
        <f t="shared" si="3"/>
        <v>224 Orleans</v>
      </c>
      <c r="D228" s="247">
        <v>224</v>
      </c>
      <c r="E228" s="248" t="s">
        <v>1490</v>
      </c>
      <c r="F228" s="248" t="s">
        <v>2563</v>
      </c>
      <c r="K228" s="242">
        <v>81703</v>
      </c>
      <c r="L228" s="242">
        <v>3</v>
      </c>
      <c r="M228" s="242">
        <v>817</v>
      </c>
      <c r="N228" s="242" t="s">
        <v>1247</v>
      </c>
      <c r="O228" s="242">
        <v>71</v>
      </c>
      <c r="P228" s="242" t="s">
        <v>743</v>
      </c>
    </row>
    <row r="229" spans="1:16" s="242" customFormat="1">
      <c r="A229" s="243">
        <v>225</v>
      </c>
      <c r="B229" s="243"/>
      <c r="C229" s="242" t="str">
        <f t="shared" si="3"/>
        <v>225 Otis</v>
      </c>
      <c r="D229" s="247">
        <v>225</v>
      </c>
      <c r="E229" s="248" t="s">
        <v>1491</v>
      </c>
      <c r="F229" s="248" t="s">
        <v>2564</v>
      </c>
      <c r="K229" s="242">
        <v>81704</v>
      </c>
      <c r="L229" s="242">
        <v>4</v>
      </c>
      <c r="M229" s="242">
        <v>817</v>
      </c>
      <c r="N229" s="242" t="s">
        <v>1247</v>
      </c>
      <c r="O229" s="242">
        <v>92</v>
      </c>
      <c r="P229" s="242" t="s">
        <v>778</v>
      </c>
    </row>
    <row r="230" spans="1:16" s="242" customFormat="1">
      <c r="A230" s="243">
        <v>226</v>
      </c>
      <c r="B230" s="243"/>
      <c r="C230" s="242" t="str">
        <f t="shared" si="3"/>
        <v>226 Oxford</v>
      </c>
      <c r="D230" s="247">
        <v>226</v>
      </c>
      <c r="E230" s="248" t="s">
        <v>1492</v>
      </c>
      <c r="F230" s="248" t="s">
        <v>2565</v>
      </c>
      <c r="K230" s="242">
        <v>81705</v>
      </c>
      <c r="L230" s="242">
        <v>5</v>
      </c>
      <c r="M230" s="242">
        <v>817</v>
      </c>
      <c r="N230" s="242" t="s">
        <v>1247</v>
      </c>
      <c r="O230" s="242">
        <v>107</v>
      </c>
      <c r="P230" s="242" t="s">
        <v>797</v>
      </c>
    </row>
    <row r="231" spans="1:16" s="242" customFormat="1">
      <c r="A231" s="243">
        <v>227</v>
      </c>
      <c r="B231" s="243"/>
      <c r="C231" s="242" t="str">
        <f t="shared" si="3"/>
        <v>227 Palmer</v>
      </c>
      <c r="D231" s="247">
        <v>227</v>
      </c>
      <c r="E231" s="248" t="s">
        <v>1493</v>
      </c>
      <c r="F231" s="248" t="s">
        <v>2566</v>
      </c>
      <c r="K231" s="242">
        <v>81706</v>
      </c>
      <c r="L231" s="242">
        <v>6</v>
      </c>
      <c r="M231" s="242">
        <v>817</v>
      </c>
      <c r="N231" s="242" t="s">
        <v>1247</v>
      </c>
      <c r="O231" s="242">
        <v>119</v>
      </c>
      <c r="P231" s="242" t="s">
        <v>812</v>
      </c>
    </row>
    <row r="232" spans="1:16" s="242" customFormat="1">
      <c r="A232" s="243">
        <v>228</v>
      </c>
      <c r="B232" s="243"/>
      <c r="C232" s="242" t="str">
        <f t="shared" si="3"/>
        <v>228 Paxton</v>
      </c>
      <c r="D232" s="247">
        <v>228</v>
      </c>
      <c r="E232" s="248" t="s">
        <v>1494</v>
      </c>
      <c r="F232" s="248" t="s">
        <v>2567</v>
      </c>
      <c r="K232" s="242">
        <v>81707</v>
      </c>
      <c r="L232" s="242">
        <v>7</v>
      </c>
      <c r="M232" s="242">
        <v>817</v>
      </c>
      <c r="N232" s="242" t="s">
        <v>1247</v>
      </c>
      <c r="O232" s="242">
        <v>164</v>
      </c>
      <c r="P232" s="242" t="s">
        <v>899</v>
      </c>
    </row>
    <row r="233" spans="1:16" s="242" customFormat="1">
      <c r="A233" s="243">
        <v>229</v>
      </c>
      <c r="B233" s="243"/>
      <c r="C233" s="242" t="str">
        <f t="shared" si="3"/>
        <v>229 Peabody</v>
      </c>
      <c r="D233" s="247">
        <v>229</v>
      </c>
      <c r="E233" s="248" t="s">
        <v>1495</v>
      </c>
      <c r="F233" s="248" t="s">
        <v>2568</v>
      </c>
      <c r="K233" s="242">
        <v>81708</v>
      </c>
      <c r="L233" s="242">
        <v>8</v>
      </c>
      <c r="M233" s="242">
        <v>817</v>
      </c>
      <c r="N233" s="242" t="s">
        <v>1247</v>
      </c>
      <c r="O233" s="242">
        <v>166</v>
      </c>
      <c r="P233" s="242" t="s">
        <v>901</v>
      </c>
    </row>
    <row r="234" spans="1:16" s="242" customFormat="1">
      <c r="A234" s="243">
        <v>230</v>
      </c>
      <c r="B234" s="243"/>
      <c r="C234" s="242" t="str">
        <f t="shared" si="3"/>
        <v>230 Pelham</v>
      </c>
      <c r="D234" s="247">
        <v>230</v>
      </c>
      <c r="E234" s="248" t="s">
        <v>1496</v>
      </c>
      <c r="F234" s="248" t="s">
        <v>2569</v>
      </c>
      <c r="K234" s="242">
        <v>81709</v>
      </c>
      <c r="L234" s="242">
        <v>9</v>
      </c>
      <c r="M234" s="242">
        <v>817</v>
      </c>
      <c r="N234" s="242" t="s">
        <v>1247</v>
      </c>
      <c r="O234" s="242">
        <v>168</v>
      </c>
      <c r="P234" s="242" t="s">
        <v>903</v>
      </c>
    </row>
    <row r="235" spans="1:16" s="242" customFormat="1">
      <c r="A235" s="243">
        <v>231</v>
      </c>
      <c r="B235" s="243"/>
      <c r="C235" s="242" t="str">
        <f t="shared" si="3"/>
        <v>231 Pembroke</v>
      </c>
      <c r="D235" s="247">
        <v>231</v>
      </c>
      <c r="E235" s="248" t="s">
        <v>1497</v>
      </c>
      <c r="F235" s="248" t="s">
        <v>2570</v>
      </c>
      <c r="K235" s="242">
        <v>81710</v>
      </c>
      <c r="L235" s="242">
        <v>10</v>
      </c>
      <c r="M235" s="242">
        <v>817</v>
      </c>
      <c r="N235" s="242" t="s">
        <v>1247</v>
      </c>
      <c r="O235" s="242">
        <v>184</v>
      </c>
      <c r="P235" s="242" t="s">
        <v>923</v>
      </c>
    </row>
    <row r="236" spans="1:16" s="242" customFormat="1">
      <c r="A236" s="243">
        <v>232</v>
      </c>
      <c r="B236" s="243"/>
      <c r="C236" s="242" t="str">
        <f t="shared" si="3"/>
        <v>232 Pepperell</v>
      </c>
      <c r="D236" s="247">
        <v>232</v>
      </c>
      <c r="E236" s="248" t="s">
        <v>1498</v>
      </c>
      <c r="F236" s="248" t="s">
        <v>2571</v>
      </c>
      <c r="K236" s="242">
        <v>81711</v>
      </c>
      <c r="L236" s="242">
        <v>11</v>
      </c>
      <c r="M236" s="242">
        <v>817</v>
      </c>
      <c r="N236" s="242" t="s">
        <v>1247</v>
      </c>
      <c r="O236" s="242">
        <v>196</v>
      </c>
      <c r="P236" s="242" t="s">
        <v>935</v>
      </c>
    </row>
    <row r="237" spans="1:16" s="242" customFormat="1">
      <c r="A237" s="243">
        <v>233</v>
      </c>
      <c r="B237" s="243"/>
      <c r="C237" s="242" t="str">
        <f t="shared" si="3"/>
        <v>233 Peru</v>
      </c>
      <c r="D237" s="247">
        <v>233</v>
      </c>
      <c r="E237" s="248" t="s">
        <v>1499</v>
      </c>
      <c r="F237" s="248" t="s">
        <v>2572</v>
      </c>
      <c r="K237" s="242">
        <v>81712</v>
      </c>
      <c r="L237" s="242">
        <v>12</v>
      </c>
      <c r="M237" s="242">
        <v>817</v>
      </c>
      <c r="N237" s="242" t="s">
        <v>1247</v>
      </c>
      <c r="O237" s="242">
        <v>229</v>
      </c>
      <c r="P237" s="242" t="s">
        <v>393</v>
      </c>
    </row>
    <row r="238" spans="1:16" s="242" customFormat="1">
      <c r="A238" s="243">
        <v>234</v>
      </c>
      <c r="B238" s="243"/>
      <c r="C238" s="242" t="str">
        <f t="shared" si="3"/>
        <v>234 Petersham</v>
      </c>
      <c r="D238" s="247">
        <v>234</v>
      </c>
      <c r="E238" s="248" t="s">
        <v>1500</v>
      </c>
      <c r="F238" s="248" t="s">
        <v>2573</v>
      </c>
      <c r="K238" s="242">
        <v>81713</v>
      </c>
      <c r="L238" s="242">
        <v>13</v>
      </c>
      <c r="M238" s="242">
        <v>817</v>
      </c>
      <c r="N238" s="242" t="s">
        <v>1247</v>
      </c>
      <c r="O238" s="242">
        <v>252</v>
      </c>
      <c r="P238" s="242" t="s">
        <v>1022</v>
      </c>
    </row>
    <row r="239" spans="1:16" s="242" customFormat="1">
      <c r="A239" s="243">
        <v>235</v>
      </c>
      <c r="B239" s="243"/>
      <c r="C239" s="242" t="str">
        <f t="shared" si="3"/>
        <v>235 Phillipston</v>
      </c>
      <c r="D239" s="247">
        <v>235</v>
      </c>
      <c r="E239" s="248" t="s">
        <v>1501</v>
      </c>
      <c r="F239" s="248" t="s">
        <v>2574</v>
      </c>
      <c r="K239" s="242">
        <v>81714</v>
      </c>
      <c r="L239" s="242">
        <v>14</v>
      </c>
      <c r="M239" s="242">
        <v>817</v>
      </c>
      <c r="N239" s="242" t="s">
        <v>1247</v>
      </c>
      <c r="O239" s="242">
        <v>258</v>
      </c>
      <c r="P239" s="242" t="s">
        <v>1028</v>
      </c>
    </row>
    <row r="240" spans="1:16" s="242" customFormat="1">
      <c r="A240" s="243">
        <v>236</v>
      </c>
      <c r="B240" s="243"/>
      <c r="C240" s="242" t="str">
        <f t="shared" si="3"/>
        <v>236 Pittsfield</v>
      </c>
      <c r="D240" s="247">
        <v>236</v>
      </c>
      <c r="E240" s="248" t="s">
        <v>1502</v>
      </c>
      <c r="F240" s="248" t="s">
        <v>2575</v>
      </c>
      <c r="K240" s="242">
        <v>81715</v>
      </c>
      <c r="L240" s="242">
        <v>15</v>
      </c>
      <c r="M240" s="242">
        <v>817</v>
      </c>
      <c r="N240" s="242" t="s">
        <v>1247</v>
      </c>
      <c r="O240" s="242">
        <v>291</v>
      </c>
      <c r="P240" s="242" t="s">
        <v>1068</v>
      </c>
    </row>
    <row r="241" spans="1:16" s="242" customFormat="1">
      <c r="A241" s="243">
        <v>237</v>
      </c>
      <c r="B241" s="243"/>
      <c r="C241" s="242" t="str">
        <f t="shared" si="3"/>
        <v>237 Plainfield</v>
      </c>
      <c r="D241" s="247">
        <v>237</v>
      </c>
      <c r="E241" s="248" t="s">
        <v>1503</v>
      </c>
      <c r="F241" s="248" t="s">
        <v>2576</v>
      </c>
      <c r="K241" s="242">
        <v>81716</v>
      </c>
      <c r="L241" s="242">
        <v>16</v>
      </c>
      <c r="M241" s="242">
        <v>817</v>
      </c>
      <c r="N241" s="242" t="s">
        <v>1247</v>
      </c>
      <c r="O241" s="242">
        <v>298</v>
      </c>
      <c r="P241" s="242" t="s">
        <v>1075</v>
      </c>
    </row>
    <row r="242" spans="1:16" s="242" customFormat="1">
      <c r="A242" s="243">
        <v>238</v>
      </c>
      <c r="B242" s="243"/>
      <c r="C242" s="242" t="str">
        <f t="shared" si="3"/>
        <v>238 Plainville</v>
      </c>
      <c r="D242" s="247">
        <v>238</v>
      </c>
      <c r="E242" s="248" t="s">
        <v>1504</v>
      </c>
      <c r="F242" s="248" t="s">
        <v>2577</v>
      </c>
      <c r="K242" s="242">
        <v>81717</v>
      </c>
      <c r="L242" s="242">
        <v>17</v>
      </c>
      <c r="M242" s="242">
        <v>817</v>
      </c>
      <c r="N242" s="242" t="s">
        <v>1247</v>
      </c>
      <c r="O242" s="242">
        <v>320</v>
      </c>
      <c r="P242" s="242" t="s">
        <v>1098</v>
      </c>
    </row>
    <row r="243" spans="1:16" s="242" customFormat="1">
      <c r="A243" s="243">
        <v>239</v>
      </c>
      <c r="B243" s="243"/>
      <c r="C243" s="242" t="str">
        <f t="shared" si="3"/>
        <v>239 Plymouth</v>
      </c>
      <c r="D243" s="247">
        <v>239</v>
      </c>
      <c r="E243" s="248" t="s">
        <v>1505</v>
      </c>
      <c r="F243" s="248" t="s">
        <v>2578</v>
      </c>
      <c r="K243" s="242">
        <v>81801</v>
      </c>
      <c r="L243" s="242">
        <v>1</v>
      </c>
      <c r="M243" s="242">
        <v>818</v>
      </c>
      <c r="N243" s="242" t="s">
        <v>627</v>
      </c>
      <c r="O243" s="242">
        <v>29</v>
      </c>
      <c r="P243" s="242" t="s">
        <v>44</v>
      </c>
    </row>
    <row r="244" spans="1:16" s="242" customFormat="1">
      <c r="A244" s="243">
        <v>240</v>
      </c>
      <c r="B244" s="243"/>
      <c r="C244" s="242" t="str">
        <f t="shared" si="3"/>
        <v>240 Plympton</v>
      </c>
      <c r="D244" s="247">
        <v>240</v>
      </c>
      <c r="E244" s="248" t="s">
        <v>1506</v>
      </c>
      <c r="F244" s="248" t="s">
        <v>2579</v>
      </c>
      <c r="K244" s="242">
        <v>81802</v>
      </c>
      <c r="L244" s="242">
        <v>2</v>
      </c>
      <c r="M244" s="242">
        <v>818</v>
      </c>
      <c r="N244" s="242" t="s">
        <v>627</v>
      </c>
      <c r="O244" s="242">
        <v>47</v>
      </c>
      <c r="P244" s="242" t="s">
        <v>705</v>
      </c>
    </row>
    <row r="245" spans="1:16" s="242" customFormat="1">
      <c r="A245" s="243">
        <v>241</v>
      </c>
      <c r="B245" s="243"/>
      <c r="C245" s="242" t="str">
        <f t="shared" si="3"/>
        <v>241 Princeton</v>
      </c>
      <c r="D245" s="247">
        <v>241</v>
      </c>
      <c r="E245" s="248" t="s">
        <v>1507</v>
      </c>
      <c r="F245" s="248" t="s">
        <v>2580</v>
      </c>
      <c r="K245" s="242">
        <v>81803</v>
      </c>
      <c r="L245" s="242">
        <v>3</v>
      </c>
      <c r="M245" s="242">
        <v>818</v>
      </c>
      <c r="N245" s="242" t="s">
        <v>627</v>
      </c>
      <c r="O245" s="242">
        <v>66</v>
      </c>
      <c r="P245" s="242" t="s">
        <v>737</v>
      </c>
    </row>
    <row r="246" spans="1:16" s="242" customFormat="1">
      <c r="A246" s="243">
        <v>242</v>
      </c>
      <c r="B246" s="243"/>
      <c r="C246" s="242" t="str">
        <f t="shared" si="3"/>
        <v>242 Provincetown</v>
      </c>
      <c r="D246" s="247">
        <v>242</v>
      </c>
      <c r="E246" s="248" t="s">
        <v>1508</v>
      </c>
      <c r="F246" s="248" t="s">
        <v>2581</v>
      </c>
      <c r="K246" s="242">
        <v>81804</v>
      </c>
      <c r="L246" s="242">
        <v>4</v>
      </c>
      <c r="M246" s="242">
        <v>818</v>
      </c>
      <c r="N246" s="242" t="s">
        <v>627</v>
      </c>
      <c r="O246" s="242">
        <v>68</v>
      </c>
      <c r="P246" s="242" t="s">
        <v>739</v>
      </c>
    </row>
    <row r="247" spans="1:16" s="242" customFormat="1">
      <c r="A247" s="243">
        <v>243</v>
      </c>
      <c r="B247" s="243"/>
      <c r="C247" s="242" t="str">
        <f t="shared" si="3"/>
        <v>243 Quincy</v>
      </c>
      <c r="D247" s="247">
        <v>243</v>
      </c>
      <c r="E247" s="248" t="s">
        <v>1509</v>
      </c>
      <c r="F247" s="248" t="s">
        <v>2582</v>
      </c>
      <c r="K247" s="242">
        <v>81805</v>
      </c>
      <c r="L247" s="242">
        <v>5</v>
      </c>
      <c r="M247" s="242">
        <v>818</v>
      </c>
      <c r="N247" s="242" t="s">
        <v>627</v>
      </c>
      <c r="O247" s="242">
        <v>74</v>
      </c>
      <c r="P247" s="242" t="s">
        <v>751</v>
      </c>
    </row>
    <row r="248" spans="1:16" s="242" customFormat="1">
      <c r="A248" s="243">
        <v>244</v>
      </c>
      <c r="B248" s="243"/>
      <c r="C248" s="242" t="str">
        <f t="shared" si="3"/>
        <v>244 Randolph</v>
      </c>
      <c r="D248" s="247">
        <v>244</v>
      </c>
      <c r="E248" s="248" t="s">
        <v>1510</v>
      </c>
      <c r="F248" s="248" t="s">
        <v>2583</v>
      </c>
      <c r="K248" s="242">
        <v>81806</v>
      </c>
      <c r="L248" s="242">
        <v>6</v>
      </c>
      <c r="M248" s="242">
        <v>818</v>
      </c>
      <c r="N248" s="242" t="s">
        <v>627</v>
      </c>
      <c r="O248" s="242">
        <v>91</v>
      </c>
      <c r="P248" s="242" t="s">
        <v>777</v>
      </c>
    </row>
    <row r="249" spans="1:16" s="242" customFormat="1">
      <c r="A249" s="243">
        <v>245</v>
      </c>
      <c r="B249" s="243"/>
      <c r="C249" s="242" t="str">
        <f t="shared" si="3"/>
        <v>245 Raynham</v>
      </c>
      <c r="D249" s="247">
        <v>245</v>
      </c>
      <c r="E249" s="248" t="s">
        <v>1511</v>
      </c>
      <c r="F249" s="248" t="s">
        <v>2584</v>
      </c>
      <c r="K249" s="242">
        <v>81807</v>
      </c>
      <c r="L249" s="242">
        <v>7</v>
      </c>
      <c r="M249" s="242">
        <v>818</v>
      </c>
      <c r="N249" s="242" t="s">
        <v>627</v>
      </c>
      <c r="O249" s="242">
        <v>106</v>
      </c>
      <c r="P249" s="242" t="s">
        <v>795</v>
      </c>
    </row>
    <row r="250" spans="1:16" s="242" customFormat="1">
      <c r="A250" s="243">
        <v>246</v>
      </c>
      <c r="B250" s="243"/>
      <c r="C250" s="242" t="str">
        <f t="shared" si="3"/>
        <v>246 Reading</v>
      </c>
      <c r="D250" s="247">
        <v>246</v>
      </c>
      <c r="E250" s="248" t="s">
        <v>1512</v>
      </c>
      <c r="F250" s="248" t="s">
        <v>2585</v>
      </c>
      <c r="K250" s="242">
        <v>81808</v>
      </c>
      <c r="L250" s="242">
        <v>8</v>
      </c>
      <c r="M250" s="242">
        <v>818</v>
      </c>
      <c r="N250" s="242" t="s">
        <v>627</v>
      </c>
      <c r="O250" s="242">
        <v>114</v>
      </c>
      <c r="P250" s="242" t="s">
        <v>805</v>
      </c>
    </row>
    <row r="251" spans="1:16" s="242" customFormat="1">
      <c r="A251" s="243">
        <v>247</v>
      </c>
      <c r="B251" s="243"/>
      <c r="C251" s="242" t="str">
        <f t="shared" si="3"/>
        <v>247 Rehoboth</v>
      </c>
      <c r="D251" s="247">
        <v>247</v>
      </c>
      <c r="E251" s="248" t="s">
        <v>1513</v>
      </c>
      <c r="F251" s="248" t="s">
        <v>2586</v>
      </c>
      <c r="K251" s="242">
        <v>81809</v>
      </c>
      <c r="L251" s="242">
        <v>9</v>
      </c>
      <c r="M251" s="242">
        <v>818</v>
      </c>
      <c r="N251" s="242" t="s">
        <v>627</v>
      </c>
      <c r="O251" s="242">
        <v>130</v>
      </c>
      <c r="P251" s="242" t="s">
        <v>826</v>
      </c>
    </row>
    <row r="252" spans="1:16" s="242" customFormat="1">
      <c r="A252" s="243">
        <v>248</v>
      </c>
      <c r="B252" s="243"/>
      <c r="C252" s="242" t="str">
        <f t="shared" si="3"/>
        <v>248 Revere</v>
      </c>
      <c r="D252" s="247">
        <v>248</v>
      </c>
      <c r="E252" s="248" t="s">
        <v>1514</v>
      </c>
      <c r="F252" s="248" t="s">
        <v>2587</v>
      </c>
      <c r="K252" s="242">
        <v>81810</v>
      </c>
      <c r="L252" s="242">
        <v>10</v>
      </c>
      <c r="M252" s="242">
        <v>818</v>
      </c>
      <c r="N252" s="242" t="s">
        <v>627</v>
      </c>
      <c r="O252" s="242">
        <v>156</v>
      </c>
      <c r="P252" s="242" t="s">
        <v>854</v>
      </c>
    </row>
    <row r="253" spans="1:16" s="242" customFormat="1">
      <c r="A253" s="243">
        <v>249</v>
      </c>
      <c r="B253" s="243"/>
      <c r="C253" s="242" t="str">
        <f t="shared" si="3"/>
        <v>249 Richmond</v>
      </c>
      <c r="D253" s="247">
        <v>249</v>
      </c>
      <c r="E253" s="248" t="s">
        <v>1515</v>
      </c>
      <c r="F253" s="248" t="s">
        <v>2588</v>
      </c>
      <c r="K253" s="242">
        <v>81811</v>
      </c>
      <c r="L253" s="242">
        <v>11</v>
      </c>
      <c r="M253" s="242">
        <v>818</v>
      </c>
      <c r="N253" s="242" t="s">
        <v>627</v>
      </c>
      <c r="O253" s="242">
        <v>192</v>
      </c>
      <c r="P253" s="242" t="s">
        <v>931</v>
      </c>
    </row>
    <row r="254" spans="1:16" s="242" customFormat="1">
      <c r="A254" s="243">
        <v>250</v>
      </c>
      <c r="B254" s="243"/>
      <c r="C254" s="242" t="str">
        <f t="shared" si="3"/>
        <v>250 Rochester</v>
      </c>
      <c r="D254" s="247">
        <v>250</v>
      </c>
      <c r="E254" s="248" t="s">
        <v>1516</v>
      </c>
      <c r="F254" s="248" t="s">
        <v>2589</v>
      </c>
      <c r="K254" s="242">
        <v>81812</v>
      </c>
      <c r="L254" s="242">
        <v>12</v>
      </c>
      <c r="M254" s="242">
        <v>818</v>
      </c>
      <c r="N254" s="242" t="s">
        <v>627</v>
      </c>
      <c r="O254" s="242">
        <v>206</v>
      </c>
      <c r="P254" s="242" t="s">
        <v>947</v>
      </c>
    </row>
    <row r="255" spans="1:16" s="242" customFormat="1">
      <c r="A255" s="243">
        <v>251</v>
      </c>
      <c r="B255" s="243"/>
      <c r="C255" s="242" t="str">
        <f t="shared" si="3"/>
        <v>251 Rockland</v>
      </c>
      <c r="D255" s="247">
        <v>251</v>
      </c>
      <c r="E255" s="248" t="s">
        <v>1517</v>
      </c>
      <c r="F255" s="248" t="s">
        <v>2590</v>
      </c>
      <c r="K255" s="242">
        <v>81813</v>
      </c>
      <c r="L255" s="242">
        <v>13</v>
      </c>
      <c r="M255" s="242">
        <v>818</v>
      </c>
      <c r="N255" s="242" t="s">
        <v>627</v>
      </c>
      <c r="O255" s="242">
        <v>216</v>
      </c>
      <c r="P255" s="242" t="s">
        <v>963</v>
      </c>
    </row>
    <row r="256" spans="1:16" s="242" customFormat="1">
      <c r="A256" s="243">
        <v>252</v>
      </c>
      <c r="B256" s="243"/>
      <c r="C256" s="242" t="str">
        <f t="shared" si="3"/>
        <v>252 Rockport</v>
      </c>
      <c r="D256" s="247">
        <v>252</v>
      </c>
      <c r="E256" s="248" t="s">
        <v>1518</v>
      </c>
      <c r="F256" s="248" t="s">
        <v>2591</v>
      </c>
      <c r="K256" s="242">
        <v>81814</v>
      </c>
      <c r="L256" s="242">
        <v>14</v>
      </c>
      <c r="M256" s="242">
        <v>818</v>
      </c>
      <c r="N256" s="242" t="s">
        <v>627</v>
      </c>
      <c r="O256" s="242">
        <v>223</v>
      </c>
      <c r="P256" s="242" t="s">
        <v>972</v>
      </c>
    </row>
    <row r="257" spans="1:16" s="242" customFormat="1">
      <c r="A257" s="243">
        <v>253</v>
      </c>
      <c r="B257" s="243"/>
      <c r="C257" s="242" t="str">
        <f t="shared" si="3"/>
        <v>253 Rowe</v>
      </c>
      <c r="D257" s="247">
        <v>253</v>
      </c>
      <c r="E257" s="248" t="s">
        <v>1519</v>
      </c>
      <c r="F257" s="248" t="s">
        <v>2592</v>
      </c>
      <c r="K257" s="242">
        <v>81815</v>
      </c>
      <c r="L257" s="242">
        <v>15</v>
      </c>
      <c r="M257" s="242">
        <v>818</v>
      </c>
      <c r="N257" s="242" t="s">
        <v>627</v>
      </c>
      <c r="O257" s="242">
        <v>268</v>
      </c>
      <c r="P257" s="242" t="s">
        <v>1038</v>
      </c>
    </row>
    <row r="258" spans="1:16" s="242" customFormat="1">
      <c r="A258" s="243">
        <v>254</v>
      </c>
      <c r="B258" s="243"/>
      <c r="C258" s="242" t="str">
        <f t="shared" si="3"/>
        <v>254 Rowley</v>
      </c>
      <c r="D258" s="247">
        <v>254</v>
      </c>
      <c r="E258" s="248" t="s">
        <v>1520</v>
      </c>
      <c r="F258" s="248" t="s">
        <v>2593</v>
      </c>
      <c r="K258" s="242">
        <v>81816</v>
      </c>
      <c r="L258" s="242">
        <v>16</v>
      </c>
      <c r="M258" s="242">
        <v>818</v>
      </c>
      <c r="N258" s="242" t="s">
        <v>627</v>
      </c>
      <c r="O258" s="242">
        <v>289</v>
      </c>
      <c r="P258" s="242" t="s">
        <v>1066</v>
      </c>
    </row>
    <row r="259" spans="1:16" s="242" customFormat="1">
      <c r="A259" s="243">
        <v>255</v>
      </c>
      <c r="B259" s="243"/>
      <c r="C259" s="242" t="str">
        <f t="shared" si="3"/>
        <v>255 Royalston</v>
      </c>
      <c r="D259" s="247">
        <v>255</v>
      </c>
      <c r="E259" s="248" t="s">
        <v>1521</v>
      </c>
      <c r="F259" s="248" t="s">
        <v>2594</v>
      </c>
      <c r="K259" s="242">
        <v>81817</v>
      </c>
      <c r="L259" s="242">
        <v>17</v>
      </c>
      <c r="M259" s="242">
        <v>818</v>
      </c>
      <c r="N259" s="242" t="s">
        <v>627</v>
      </c>
      <c r="O259" s="242">
        <v>312</v>
      </c>
      <c r="P259" s="242" t="s">
        <v>1090</v>
      </c>
    </row>
    <row r="260" spans="1:16" s="242" customFormat="1">
      <c r="A260" s="243">
        <v>256</v>
      </c>
      <c r="B260" s="243"/>
      <c r="C260" s="242" t="str">
        <f t="shared" si="3"/>
        <v>256 Russell</v>
      </c>
      <c r="D260" s="247">
        <v>256</v>
      </c>
      <c r="E260" s="248" t="s">
        <v>1522</v>
      </c>
      <c r="F260" s="248" t="s">
        <v>2595</v>
      </c>
      <c r="K260" s="242">
        <v>81818</v>
      </c>
      <c r="L260" s="242">
        <v>18</v>
      </c>
      <c r="M260" s="242">
        <v>818</v>
      </c>
      <c r="N260" s="242" t="s">
        <v>627</v>
      </c>
      <c r="O260" s="242">
        <v>319</v>
      </c>
      <c r="P260" s="242" t="s">
        <v>1097</v>
      </c>
    </row>
    <row r="261" spans="1:16" s="242" customFormat="1">
      <c r="A261" s="243">
        <v>257</v>
      </c>
      <c r="B261" s="243"/>
      <c r="C261" s="242" t="str">
        <f t="shared" si="3"/>
        <v>257 Rutland</v>
      </c>
      <c r="D261" s="247">
        <v>257</v>
      </c>
      <c r="E261" s="248" t="s">
        <v>1523</v>
      </c>
      <c r="F261" s="248" t="s">
        <v>2596</v>
      </c>
      <c r="K261" s="242">
        <v>81819</v>
      </c>
      <c r="L261" s="242">
        <v>19</v>
      </c>
      <c r="M261" s="242">
        <v>818</v>
      </c>
      <c r="N261" s="242" t="s">
        <v>627</v>
      </c>
      <c r="O261" s="242">
        <v>337</v>
      </c>
      <c r="P261" s="242" t="s">
        <v>1115</v>
      </c>
    </row>
    <row r="262" spans="1:16" s="242" customFormat="1">
      <c r="A262" s="243">
        <v>258</v>
      </c>
      <c r="B262" s="243"/>
      <c r="C262" s="242" t="str">
        <f t="shared" ref="C262:C325" si="4">PROPER(D262&amp;" "&amp;E262)</f>
        <v>258 Salem</v>
      </c>
      <c r="D262" s="247">
        <v>258</v>
      </c>
      <c r="E262" s="248" t="s">
        <v>1524</v>
      </c>
      <c r="F262" s="248" t="s">
        <v>2597</v>
      </c>
      <c r="K262" s="242">
        <v>82101</v>
      </c>
      <c r="L262" s="242">
        <v>1</v>
      </c>
      <c r="M262" s="242">
        <v>821</v>
      </c>
      <c r="N262" s="242" t="s">
        <v>628</v>
      </c>
      <c r="O262" s="242">
        <v>95</v>
      </c>
      <c r="P262" s="242" t="s">
        <v>781</v>
      </c>
    </row>
    <row r="263" spans="1:16" s="242" customFormat="1">
      <c r="A263" s="243">
        <v>259</v>
      </c>
      <c r="B263" s="243"/>
      <c r="C263" s="242" t="str">
        <f t="shared" si="4"/>
        <v>259 Salisbury</v>
      </c>
      <c r="D263" s="247">
        <v>259</v>
      </c>
      <c r="E263" s="248" t="s">
        <v>1525</v>
      </c>
      <c r="F263" s="248" t="s">
        <v>2598</v>
      </c>
      <c r="K263" s="242">
        <v>82102</v>
      </c>
      <c r="L263" s="242">
        <v>2</v>
      </c>
      <c r="M263" s="242">
        <v>821</v>
      </c>
      <c r="N263" s="242" t="s">
        <v>628</v>
      </c>
      <c r="O263" s="242">
        <v>273</v>
      </c>
      <c r="P263" s="242" t="s">
        <v>1043</v>
      </c>
    </row>
    <row r="264" spans="1:16" s="242" customFormat="1">
      <c r="A264" s="243">
        <v>260</v>
      </c>
      <c r="B264" s="243"/>
      <c r="C264" s="242" t="str">
        <f t="shared" si="4"/>
        <v>260 Sandisfield</v>
      </c>
      <c r="D264" s="247">
        <v>260</v>
      </c>
      <c r="E264" s="248" t="s">
        <v>1526</v>
      </c>
      <c r="F264" s="248" t="s">
        <v>2599</v>
      </c>
      <c r="K264" s="242">
        <v>82103</v>
      </c>
      <c r="L264" s="242">
        <v>3</v>
      </c>
      <c r="M264" s="242">
        <v>821</v>
      </c>
      <c r="N264" s="242" t="s">
        <v>628</v>
      </c>
      <c r="O264" s="242">
        <v>292</v>
      </c>
      <c r="P264" s="242" t="s">
        <v>1069</v>
      </c>
    </row>
    <row r="265" spans="1:16" s="242" customFormat="1">
      <c r="A265" s="243">
        <v>261</v>
      </c>
      <c r="B265" s="243"/>
      <c r="C265" s="242" t="str">
        <f t="shared" si="4"/>
        <v>261 Sandwich</v>
      </c>
      <c r="D265" s="247">
        <v>261</v>
      </c>
      <c r="E265" s="248" t="s">
        <v>1527</v>
      </c>
      <c r="F265" s="248" t="s">
        <v>2600</v>
      </c>
      <c r="K265" s="242">
        <v>82104</v>
      </c>
      <c r="L265" s="242">
        <v>4</v>
      </c>
      <c r="M265" s="242">
        <v>821</v>
      </c>
      <c r="N265" s="242" t="s">
        <v>628</v>
      </c>
      <c r="O265" s="242">
        <v>331</v>
      </c>
      <c r="P265" s="242" t="s">
        <v>1109</v>
      </c>
    </row>
    <row r="266" spans="1:16" s="242" customFormat="1">
      <c r="A266" s="243">
        <v>262</v>
      </c>
      <c r="B266" s="243"/>
      <c r="C266" s="242" t="str">
        <f t="shared" si="4"/>
        <v>262 Saugus</v>
      </c>
      <c r="D266" s="247">
        <v>262</v>
      </c>
      <c r="E266" s="248" t="s">
        <v>1528</v>
      </c>
      <c r="F266" s="248" t="s">
        <v>2601</v>
      </c>
      <c r="K266" s="242">
        <v>82301</v>
      </c>
      <c r="L266" s="242">
        <v>1</v>
      </c>
      <c r="M266" s="242">
        <v>823</v>
      </c>
      <c r="N266" s="242" t="s">
        <v>629</v>
      </c>
      <c r="O266" s="242">
        <v>9</v>
      </c>
      <c r="P266" s="242" t="s">
        <v>5</v>
      </c>
    </row>
    <row r="267" spans="1:16" s="242" customFormat="1">
      <c r="A267" s="243">
        <v>263</v>
      </c>
      <c r="B267" s="243"/>
      <c r="C267" s="242" t="str">
        <f t="shared" si="4"/>
        <v>263 Savoy</v>
      </c>
      <c r="D267" s="247">
        <v>263</v>
      </c>
      <c r="E267" s="248" t="s">
        <v>1529</v>
      </c>
      <c r="F267" s="248" t="s">
        <v>2602</v>
      </c>
      <c r="K267" s="242">
        <v>82302</v>
      </c>
      <c r="L267" s="242">
        <v>2</v>
      </c>
      <c r="M267" s="242">
        <v>823</v>
      </c>
      <c r="N267" s="242" t="s">
        <v>629</v>
      </c>
      <c r="O267" s="242">
        <v>149</v>
      </c>
      <c r="P267" s="242" t="s">
        <v>847</v>
      </c>
    </row>
    <row r="268" spans="1:16" s="242" customFormat="1">
      <c r="A268" s="243">
        <v>264</v>
      </c>
      <c r="B268" s="243"/>
      <c r="C268" s="242" t="str">
        <f t="shared" si="4"/>
        <v>264 Scituate</v>
      </c>
      <c r="D268" s="247">
        <v>264</v>
      </c>
      <c r="E268" s="248" t="s">
        <v>1530</v>
      </c>
      <c r="F268" s="248" t="s">
        <v>2603</v>
      </c>
      <c r="K268" s="242">
        <v>82303</v>
      </c>
      <c r="L268" s="242">
        <v>3</v>
      </c>
      <c r="M268" s="242">
        <v>823</v>
      </c>
      <c r="N268" s="242" t="s">
        <v>629</v>
      </c>
      <c r="O268" s="242">
        <v>181</v>
      </c>
      <c r="P268" s="242" t="s">
        <v>920</v>
      </c>
    </row>
    <row r="269" spans="1:16" s="242" customFormat="1">
      <c r="A269" s="243">
        <v>265</v>
      </c>
      <c r="B269" s="243"/>
      <c r="C269" s="242" t="str">
        <f t="shared" si="4"/>
        <v>265 Seekonk</v>
      </c>
      <c r="D269" s="247">
        <v>265</v>
      </c>
      <c r="E269" s="248" t="s">
        <v>1531</v>
      </c>
      <c r="F269" s="248" t="s">
        <v>2604</v>
      </c>
      <c r="K269" s="242">
        <v>82304</v>
      </c>
      <c r="L269" s="242">
        <v>4</v>
      </c>
      <c r="M269" s="242">
        <v>823</v>
      </c>
      <c r="N269" s="242" t="s">
        <v>629</v>
      </c>
      <c r="O269" s="242">
        <v>211</v>
      </c>
      <c r="P269" s="242" t="s">
        <v>957</v>
      </c>
    </row>
    <row r="270" spans="1:16" s="242" customFormat="1">
      <c r="A270" s="243">
        <v>266</v>
      </c>
      <c r="B270" s="243"/>
      <c r="C270" s="242" t="str">
        <f t="shared" si="4"/>
        <v>266 Sharon</v>
      </c>
      <c r="D270" s="247">
        <v>266</v>
      </c>
      <c r="E270" s="248" t="s">
        <v>1532</v>
      </c>
      <c r="F270" s="248" t="s">
        <v>2605</v>
      </c>
      <c r="K270" s="242">
        <v>82501</v>
      </c>
      <c r="L270" s="242">
        <v>1</v>
      </c>
      <c r="M270" s="242">
        <v>825</v>
      </c>
      <c r="N270" s="242" t="s">
        <v>630</v>
      </c>
      <c r="O270" s="242">
        <v>72</v>
      </c>
      <c r="P270" s="242" t="s">
        <v>744</v>
      </c>
    </row>
    <row r="271" spans="1:16" s="242" customFormat="1">
      <c r="A271" s="243">
        <v>267</v>
      </c>
      <c r="B271" s="243"/>
      <c r="C271" s="242" t="str">
        <f t="shared" si="4"/>
        <v>267 Sheffield</v>
      </c>
      <c r="D271" s="247">
        <v>267</v>
      </c>
      <c r="E271" s="248" t="s">
        <v>1533</v>
      </c>
      <c r="F271" s="248" t="s">
        <v>2606</v>
      </c>
      <c r="K271" s="242">
        <v>82502</v>
      </c>
      <c r="L271" s="242">
        <v>2</v>
      </c>
      <c r="M271" s="242">
        <v>825</v>
      </c>
      <c r="N271" s="242" t="s">
        <v>630</v>
      </c>
      <c r="O271" s="242">
        <v>94</v>
      </c>
      <c r="P271" s="242" t="s">
        <v>780</v>
      </c>
    </row>
    <row r="272" spans="1:16" s="242" customFormat="1">
      <c r="A272" s="243">
        <v>268</v>
      </c>
      <c r="B272" s="243"/>
      <c r="C272" s="242" t="str">
        <f t="shared" si="4"/>
        <v>268 Shelburne</v>
      </c>
      <c r="D272" s="247">
        <v>268</v>
      </c>
      <c r="E272" s="248" t="s">
        <v>1534</v>
      </c>
      <c r="F272" s="248" t="s">
        <v>2607</v>
      </c>
      <c r="K272" s="242">
        <v>82503</v>
      </c>
      <c r="L272" s="242">
        <v>3</v>
      </c>
      <c r="M272" s="242">
        <v>825</v>
      </c>
      <c r="N272" s="242" t="s">
        <v>630</v>
      </c>
      <c r="O272" s="242">
        <v>201</v>
      </c>
      <c r="P272" s="242" t="s">
        <v>941</v>
      </c>
    </row>
    <row r="273" spans="1:16" s="242" customFormat="1">
      <c r="A273" s="243">
        <v>269</v>
      </c>
      <c r="B273" s="243"/>
      <c r="C273" s="242" t="str">
        <f t="shared" si="4"/>
        <v>269 Sherborn</v>
      </c>
      <c r="D273" s="247">
        <v>269</v>
      </c>
      <c r="E273" s="248" t="s">
        <v>1535</v>
      </c>
      <c r="F273" s="248" t="s">
        <v>2608</v>
      </c>
      <c r="K273" s="242">
        <v>82801</v>
      </c>
      <c r="L273" s="242">
        <v>1</v>
      </c>
      <c r="M273" s="242">
        <v>828</v>
      </c>
      <c r="N273" s="242" t="s">
        <v>631</v>
      </c>
      <c r="O273" s="242">
        <v>79</v>
      </c>
      <c r="P273" s="242" t="s">
        <v>759</v>
      </c>
    </row>
    <row r="274" spans="1:16" s="242" customFormat="1">
      <c r="A274" s="243">
        <v>270</v>
      </c>
      <c r="B274" s="243"/>
      <c r="C274" s="242" t="str">
        <f t="shared" si="4"/>
        <v>270 Shirley</v>
      </c>
      <c r="D274" s="247">
        <v>270</v>
      </c>
      <c r="E274" s="248" t="s">
        <v>1536</v>
      </c>
      <c r="F274" s="248" t="s">
        <v>2609</v>
      </c>
      <c r="K274" s="242">
        <v>82802</v>
      </c>
      <c r="L274" s="242">
        <v>2</v>
      </c>
      <c r="M274" s="242">
        <v>828</v>
      </c>
      <c r="N274" s="242" t="s">
        <v>631</v>
      </c>
      <c r="O274" s="242">
        <v>81</v>
      </c>
      <c r="P274" s="242" t="s">
        <v>764</v>
      </c>
    </row>
    <row r="275" spans="1:16" s="242" customFormat="1">
      <c r="A275" s="243">
        <v>271</v>
      </c>
      <c r="B275" s="243"/>
      <c r="C275" s="242" t="str">
        <f t="shared" si="4"/>
        <v>271 Shrewsbury</v>
      </c>
      <c r="D275" s="247">
        <v>271</v>
      </c>
      <c r="E275" s="248" t="s">
        <v>1537</v>
      </c>
      <c r="F275" s="248" t="s">
        <v>2610</v>
      </c>
      <c r="K275" s="242">
        <v>82803</v>
      </c>
      <c r="L275" s="242">
        <v>3</v>
      </c>
      <c r="M275" s="242">
        <v>828</v>
      </c>
      <c r="N275" s="242" t="s">
        <v>631</v>
      </c>
      <c r="O275" s="242">
        <v>160</v>
      </c>
      <c r="P275" s="242" t="s">
        <v>859</v>
      </c>
    </row>
    <row r="276" spans="1:16" s="242" customFormat="1">
      <c r="A276" s="243">
        <v>272</v>
      </c>
      <c r="B276" s="243"/>
      <c r="C276" s="242" t="str">
        <f t="shared" si="4"/>
        <v>272 Shutesbury</v>
      </c>
      <c r="D276" s="247">
        <v>272</v>
      </c>
      <c r="E276" s="248" t="s">
        <v>1538</v>
      </c>
      <c r="F276" s="248" t="s">
        <v>2611</v>
      </c>
      <c r="K276" s="242">
        <v>82804</v>
      </c>
      <c r="L276" s="242">
        <v>4</v>
      </c>
      <c r="M276" s="242">
        <v>828</v>
      </c>
      <c r="N276" s="242" t="s">
        <v>631</v>
      </c>
      <c r="O276" s="242">
        <v>301</v>
      </c>
      <c r="P276" s="242" t="s">
        <v>1078</v>
      </c>
    </row>
    <row r="277" spans="1:16" s="242" customFormat="1">
      <c r="A277" s="243">
        <v>273</v>
      </c>
      <c r="B277" s="243"/>
      <c r="C277" s="242" t="str">
        <f t="shared" si="4"/>
        <v>273 Somerset</v>
      </c>
      <c r="D277" s="247">
        <v>273</v>
      </c>
      <c r="E277" s="248" t="s">
        <v>1539</v>
      </c>
      <c r="F277" s="248" t="s">
        <v>2612</v>
      </c>
      <c r="K277" s="242">
        <v>82901</v>
      </c>
      <c r="L277" s="242">
        <v>1</v>
      </c>
      <c r="M277" s="242">
        <v>829</v>
      </c>
      <c r="N277" s="242" t="s">
        <v>632</v>
      </c>
      <c r="O277" s="242">
        <v>14</v>
      </c>
      <c r="P277" s="242" t="s">
        <v>15</v>
      </c>
    </row>
    <row r="278" spans="1:16" s="242" customFormat="1">
      <c r="A278" s="243">
        <v>274</v>
      </c>
      <c r="B278" s="243"/>
      <c r="C278" s="242" t="str">
        <f t="shared" si="4"/>
        <v>274 Somerville</v>
      </c>
      <c r="D278" s="247">
        <v>274</v>
      </c>
      <c r="E278" s="248" t="s">
        <v>1540</v>
      </c>
      <c r="F278" s="248" t="s">
        <v>2613</v>
      </c>
      <c r="K278" s="242">
        <v>82902</v>
      </c>
      <c r="L278" s="242">
        <v>2</v>
      </c>
      <c r="M278" s="242">
        <v>829</v>
      </c>
      <c r="N278" s="242" t="s">
        <v>632</v>
      </c>
      <c r="O278" s="242">
        <v>100</v>
      </c>
      <c r="P278" s="242" t="s">
        <v>787</v>
      </c>
    </row>
    <row r="279" spans="1:16" s="242" customFormat="1">
      <c r="A279" s="243">
        <v>275</v>
      </c>
      <c r="B279" s="243"/>
      <c r="C279" s="242" t="str">
        <f t="shared" si="4"/>
        <v>275 Southampton</v>
      </c>
      <c r="D279" s="247">
        <v>275</v>
      </c>
      <c r="E279" s="248" t="s">
        <v>1541</v>
      </c>
      <c r="F279" s="248" t="s">
        <v>2614</v>
      </c>
      <c r="K279" s="242">
        <v>82903</v>
      </c>
      <c r="L279" s="242">
        <v>3</v>
      </c>
      <c r="M279" s="242">
        <v>829</v>
      </c>
      <c r="N279" s="242" t="s">
        <v>632</v>
      </c>
      <c r="O279" s="242">
        <v>136</v>
      </c>
      <c r="P279" s="242" t="s">
        <v>833</v>
      </c>
    </row>
    <row r="280" spans="1:16" s="242" customFormat="1">
      <c r="A280" s="243">
        <v>276</v>
      </c>
      <c r="B280" s="243"/>
      <c r="C280" s="242" t="str">
        <f t="shared" si="4"/>
        <v>276 Southborough</v>
      </c>
      <c r="D280" s="247">
        <v>276</v>
      </c>
      <c r="E280" s="248" t="s">
        <v>1542</v>
      </c>
      <c r="F280" s="248" t="s">
        <v>2615</v>
      </c>
      <c r="K280" s="242">
        <v>82904</v>
      </c>
      <c r="L280" s="242">
        <v>4</v>
      </c>
      <c r="M280" s="242">
        <v>829</v>
      </c>
      <c r="N280" s="242" t="s">
        <v>632</v>
      </c>
      <c r="O280" s="242">
        <v>139</v>
      </c>
      <c r="P280" s="242" t="s">
        <v>836</v>
      </c>
    </row>
    <row r="281" spans="1:16" s="242" customFormat="1">
      <c r="A281" s="243">
        <v>277</v>
      </c>
      <c r="B281" s="243"/>
      <c r="C281" s="242" t="str">
        <f t="shared" si="4"/>
        <v>277 Southbridge</v>
      </c>
      <c r="D281" s="247">
        <v>277</v>
      </c>
      <c r="E281" s="248" t="s">
        <v>1543</v>
      </c>
      <c r="F281" s="248" t="s">
        <v>2616</v>
      </c>
      <c r="K281" s="242">
        <v>82905</v>
      </c>
      <c r="L281" s="242">
        <v>5</v>
      </c>
      <c r="M281" s="242">
        <v>829</v>
      </c>
      <c r="N281" s="242" t="s">
        <v>632</v>
      </c>
      <c r="O281" s="242">
        <v>198</v>
      </c>
      <c r="P281" s="242" t="s">
        <v>937</v>
      </c>
    </row>
    <row r="282" spans="1:16" s="242" customFormat="1">
      <c r="A282" s="243">
        <v>278</v>
      </c>
      <c r="B282" s="243"/>
      <c r="C282" s="242" t="str">
        <f t="shared" si="4"/>
        <v>278 South Hadley</v>
      </c>
      <c r="D282" s="247">
        <v>278</v>
      </c>
      <c r="E282" s="248" t="s">
        <v>1544</v>
      </c>
      <c r="F282" s="248" t="s">
        <v>2617</v>
      </c>
      <c r="K282" s="242">
        <v>83001</v>
      </c>
      <c r="L282" s="242">
        <v>1</v>
      </c>
      <c r="M282" s="242">
        <v>830</v>
      </c>
      <c r="N282" s="242" t="s">
        <v>633</v>
      </c>
      <c r="O282" s="242">
        <v>2</v>
      </c>
      <c r="P282" s="242" t="s">
        <v>1163</v>
      </c>
    </row>
    <row r="283" spans="1:16" s="242" customFormat="1">
      <c r="A283" s="243">
        <v>279</v>
      </c>
      <c r="B283" s="243"/>
      <c r="C283" s="242" t="str">
        <f t="shared" si="4"/>
        <v>279 Southwick</v>
      </c>
      <c r="D283" s="247">
        <v>279</v>
      </c>
      <c r="E283" s="248" t="s">
        <v>1545</v>
      </c>
      <c r="F283" s="248" t="s">
        <v>2618</v>
      </c>
      <c r="K283" s="242">
        <v>83002</v>
      </c>
      <c r="L283" s="242">
        <v>2</v>
      </c>
      <c r="M283" s="242">
        <v>830</v>
      </c>
      <c r="N283" s="242" t="s">
        <v>633</v>
      </c>
      <c r="O283" s="242">
        <v>10</v>
      </c>
      <c r="P283" s="242" t="s">
        <v>7</v>
      </c>
    </row>
    <row r="284" spans="1:16" s="242" customFormat="1">
      <c r="A284" s="243">
        <v>280</v>
      </c>
      <c r="B284" s="243"/>
      <c r="C284" s="242" t="str">
        <f t="shared" si="4"/>
        <v>280 Spencer</v>
      </c>
      <c r="D284" s="247">
        <v>280</v>
      </c>
      <c r="E284" s="248" t="s">
        <v>1546</v>
      </c>
      <c r="F284" s="248" t="s">
        <v>2619</v>
      </c>
      <c r="K284" s="242">
        <v>83003</v>
      </c>
      <c r="L284" s="242">
        <v>3</v>
      </c>
      <c r="M284" s="242">
        <v>830</v>
      </c>
      <c r="N284" s="242" t="s">
        <v>633</v>
      </c>
      <c r="O284" s="242">
        <v>26</v>
      </c>
      <c r="P284" s="242" t="s">
        <v>38</v>
      </c>
    </row>
    <row r="285" spans="1:16" s="242" customFormat="1">
      <c r="A285" s="243">
        <v>281</v>
      </c>
      <c r="B285" s="243"/>
      <c r="C285" s="242" t="str">
        <f t="shared" si="4"/>
        <v>281 Springfield</v>
      </c>
      <c r="D285" s="247">
        <v>281</v>
      </c>
      <c r="E285" s="248" t="s">
        <v>1547</v>
      </c>
      <c r="F285" s="248" t="s">
        <v>2620</v>
      </c>
      <c r="K285" s="242">
        <v>83004</v>
      </c>
      <c r="L285" s="242">
        <v>4</v>
      </c>
      <c r="M285" s="242">
        <v>830</v>
      </c>
      <c r="N285" s="242" t="s">
        <v>633</v>
      </c>
      <c r="O285" s="242">
        <v>34</v>
      </c>
      <c r="P285" s="242" t="s">
        <v>57</v>
      </c>
    </row>
    <row r="286" spans="1:16" s="242" customFormat="1">
      <c r="A286" s="243">
        <v>282</v>
      </c>
      <c r="B286" s="243"/>
      <c r="C286" s="242" t="str">
        <f t="shared" si="4"/>
        <v>282 Sterling</v>
      </c>
      <c r="D286" s="247">
        <v>282</v>
      </c>
      <c r="E286" s="248" t="s">
        <v>1548</v>
      </c>
      <c r="F286" s="248" t="s">
        <v>2621</v>
      </c>
      <c r="K286" s="242">
        <v>83005</v>
      </c>
      <c r="L286" s="242">
        <v>5</v>
      </c>
      <c r="M286" s="242">
        <v>830</v>
      </c>
      <c r="N286" s="242" t="s">
        <v>633</v>
      </c>
      <c r="O286" s="242">
        <v>37</v>
      </c>
      <c r="P286" s="242" t="s">
        <v>690</v>
      </c>
    </row>
    <row r="287" spans="1:16" s="242" customFormat="1">
      <c r="A287" s="243">
        <v>283</v>
      </c>
      <c r="B287" s="243"/>
      <c r="C287" s="242" t="str">
        <f t="shared" si="4"/>
        <v>283 Stockbridge</v>
      </c>
      <c r="D287" s="247">
        <v>283</v>
      </c>
      <c r="E287" s="248" t="s">
        <v>1549</v>
      </c>
      <c r="F287" s="248" t="s">
        <v>2622</v>
      </c>
      <c r="K287" s="242">
        <v>83006</v>
      </c>
      <c r="L287" s="242">
        <v>6</v>
      </c>
      <c r="M287" s="242">
        <v>830</v>
      </c>
      <c r="N287" s="242" t="s">
        <v>633</v>
      </c>
      <c r="O287" s="242">
        <v>51</v>
      </c>
      <c r="P287" s="242" t="s">
        <v>709</v>
      </c>
    </row>
    <row r="288" spans="1:16" s="242" customFormat="1">
      <c r="A288" s="243">
        <v>284</v>
      </c>
      <c r="B288" s="243"/>
      <c r="C288" s="242" t="str">
        <f t="shared" si="4"/>
        <v>284 Stoneham</v>
      </c>
      <c r="D288" s="247">
        <v>284</v>
      </c>
      <c r="E288" s="248" t="s">
        <v>1550</v>
      </c>
      <c r="F288" s="248" t="s">
        <v>2623</v>
      </c>
      <c r="K288" s="242">
        <v>83007</v>
      </c>
      <c r="L288" s="242">
        <v>7</v>
      </c>
      <c r="M288" s="242">
        <v>830</v>
      </c>
      <c r="N288" s="242" t="s">
        <v>633</v>
      </c>
      <c r="O288" s="242">
        <v>67</v>
      </c>
      <c r="P288" s="242" t="s">
        <v>738</v>
      </c>
    </row>
    <row r="289" spans="1:16" s="242" customFormat="1">
      <c r="A289" s="243">
        <v>285</v>
      </c>
      <c r="B289" s="243"/>
      <c r="C289" s="242" t="str">
        <f t="shared" si="4"/>
        <v>285 Stoughton</v>
      </c>
      <c r="D289" s="247">
        <v>285</v>
      </c>
      <c r="E289" s="248" t="s">
        <v>1551</v>
      </c>
      <c r="F289" s="248" t="s">
        <v>2624</v>
      </c>
      <c r="K289" s="242">
        <v>83008</v>
      </c>
      <c r="L289" s="242">
        <v>8</v>
      </c>
      <c r="M289" s="242">
        <v>830</v>
      </c>
      <c r="N289" s="242" t="s">
        <v>633</v>
      </c>
      <c r="O289" s="242">
        <v>78</v>
      </c>
      <c r="P289" s="242" t="s">
        <v>757</v>
      </c>
    </row>
    <row r="290" spans="1:16" s="242" customFormat="1">
      <c r="A290" s="243">
        <v>286</v>
      </c>
      <c r="B290" s="243"/>
      <c r="C290" s="242" t="str">
        <f t="shared" si="4"/>
        <v>286 Stow</v>
      </c>
      <c r="D290" s="247">
        <v>286</v>
      </c>
      <c r="E290" s="248" t="s">
        <v>1552</v>
      </c>
      <c r="F290" s="248" t="s">
        <v>2625</v>
      </c>
      <c r="K290" s="242">
        <v>83009</v>
      </c>
      <c r="L290" s="242">
        <v>9</v>
      </c>
      <c r="M290" s="242">
        <v>830</v>
      </c>
      <c r="N290" s="242" t="s">
        <v>633</v>
      </c>
      <c r="O290" s="242">
        <v>147</v>
      </c>
      <c r="P290" s="242" t="s">
        <v>844</v>
      </c>
    </row>
    <row r="291" spans="1:16" s="242" customFormat="1">
      <c r="A291" s="243">
        <v>287</v>
      </c>
      <c r="B291" s="243"/>
      <c r="C291" s="242" t="str">
        <f t="shared" si="4"/>
        <v>287 Sturbridge</v>
      </c>
      <c r="D291" s="247">
        <v>287</v>
      </c>
      <c r="E291" s="248" t="s">
        <v>1553</v>
      </c>
      <c r="F291" s="248" t="s">
        <v>2626</v>
      </c>
      <c r="K291" s="242">
        <v>83010</v>
      </c>
      <c r="L291" s="242">
        <v>10</v>
      </c>
      <c r="M291" s="242">
        <v>830</v>
      </c>
      <c r="N291" s="242" t="s">
        <v>633</v>
      </c>
      <c r="O291" s="242">
        <v>155</v>
      </c>
      <c r="P291" s="242" t="s">
        <v>853</v>
      </c>
    </row>
    <row r="292" spans="1:16" s="242" customFormat="1">
      <c r="A292" s="243">
        <v>288</v>
      </c>
      <c r="B292" s="243"/>
      <c r="C292" s="242" t="str">
        <f t="shared" si="4"/>
        <v>288 Sudbury</v>
      </c>
      <c r="D292" s="247">
        <v>288</v>
      </c>
      <c r="E292" s="248" t="s">
        <v>1554</v>
      </c>
      <c r="F292" s="248" t="s">
        <v>2627</v>
      </c>
      <c r="K292" s="242">
        <v>83011</v>
      </c>
      <c r="L292" s="242">
        <v>11</v>
      </c>
      <c r="M292" s="242">
        <v>830</v>
      </c>
      <c r="N292" s="242" t="s">
        <v>633</v>
      </c>
      <c r="O292" s="242">
        <v>157</v>
      </c>
      <c r="P292" s="242" t="s">
        <v>855</v>
      </c>
    </row>
    <row r="293" spans="1:16" s="242" customFormat="1">
      <c r="A293" s="243">
        <v>289</v>
      </c>
      <c r="B293" s="243"/>
      <c r="C293" s="242" t="str">
        <f t="shared" si="4"/>
        <v>289 Sunderland</v>
      </c>
      <c r="D293" s="247">
        <v>289</v>
      </c>
      <c r="E293" s="248" t="s">
        <v>1555</v>
      </c>
      <c r="F293" s="248" t="s">
        <v>2628</v>
      </c>
      <c r="K293" s="242">
        <v>83012</v>
      </c>
      <c r="L293" s="242">
        <v>12</v>
      </c>
      <c r="M293" s="242">
        <v>830</v>
      </c>
      <c r="N293" s="242" t="s">
        <v>633</v>
      </c>
      <c r="O293" s="242">
        <v>199</v>
      </c>
      <c r="P293" s="242" t="s">
        <v>939</v>
      </c>
    </row>
    <row r="294" spans="1:16" s="242" customFormat="1">
      <c r="A294" s="243">
        <v>290</v>
      </c>
      <c r="B294" s="243"/>
      <c r="C294" s="242" t="str">
        <f t="shared" si="4"/>
        <v>290 Sutton</v>
      </c>
      <c r="D294" s="247">
        <v>290</v>
      </c>
      <c r="E294" s="248" t="s">
        <v>1556</v>
      </c>
      <c r="F294" s="248" t="s">
        <v>2629</v>
      </c>
      <c r="K294" s="242">
        <v>83013</v>
      </c>
      <c r="L294" s="242">
        <v>13</v>
      </c>
      <c r="M294" s="242">
        <v>830</v>
      </c>
      <c r="N294" s="242" t="s">
        <v>633</v>
      </c>
      <c r="O294" s="242">
        <v>286</v>
      </c>
      <c r="P294" s="242" t="s">
        <v>1063</v>
      </c>
    </row>
    <row r="295" spans="1:16" s="242" customFormat="1">
      <c r="A295" s="243">
        <v>291</v>
      </c>
      <c r="B295" s="243"/>
      <c r="C295" s="242" t="str">
        <f t="shared" si="4"/>
        <v>291 Swampscott</v>
      </c>
      <c r="D295" s="247">
        <v>291</v>
      </c>
      <c r="E295" s="248" t="s">
        <v>1557</v>
      </c>
      <c r="F295" s="248" t="s">
        <v>2630</v>
      </c>
      <c r="K295" s="242">
        <v>83014</v>
      </c>
      <c r="L295" s="242">
        <v>14</v>
      </c>
      <c r="M295" s="242">
        <v>830</v>
      </c>
      <c r="N295" s="242" t="s">
        <v>633</v>
      </c>
      <c r="O295" s="242">
        <v>288</v>
      </c>
      <c r="P295" s="242" t="s">
        <v>1065</v>
      </c>
    </row>
    <row r="296" spans="1:16" s="242" customFormat="1">
      <c r="A296" s="243">
        <v>292</v>
      </c>
      <c r="B296" s="243"/>
      <c r="C296" s="242" t="str">
        <f t="shared" si="4"/>
        <v>292 Swansea</v>
      </c>
      <c r="D296" s="247">
        <v>292</v>
      </c>
      <c r="E296" s="248" t="s">
        <v>1558</v>
      </c>
      <c r="F296" s="248" t="s">
        <v>2631</v>
      </c>
      <c r="K296" s="242">
        <v>83015</v>
      </c>
      <c r="L296" s="242">
        <v>15</v>
      </c>
      <c r="M296" s="242">
        <v>830</v>
      </c>
      <c r="N296" s="242" t="s">
        <v>633</v>
      </c>
      <c r="O296" s="242">
        <v>315</v>
      </c>
      <c r="P296" s="242" t="s">
        <v>1093</v>
      </c>
    </row>
    <row r="297" spans="1:16" s="242" customFormat="1">
      <c r="A297" s="243">
        <v>293</v>
      </c>
      <c r="B297" s="243"/>
      <c r="C297" s="242" t="str">
        <f t="shared" si="4"/>
        <v>293 Taunton</v>
      </c>
      <c r="D297" s="247">
        <v>293</v>
      </c>
      <c r="E297" s="248" t="s">
        <v>1559</v>
      </c>
      <c r="F297" s="248" t="s">
        <v>2632</v>
      </c>
      <c r="K297" s="242">
        <v>83016</v>
      </c>
      <c r="L297" s="242">
        <v>16</v>
      </c>
      <c r="M297" s="242">
        <v>830</v>
      </c>
      <c r="N297" s="242" t="s">
        <v>633</v>
      </c>
      <c r="O297" s="242">
        <v>330</v>
      </c>
      <c r="P297" s="242" t="s">
        <v>1108</v>
      </c>
    </row>
    <row r="298" spans="1:16" s="242" customFormat="1">
      <c r="A298" s="243">
        <v>294</v>
      </c>
      <c r="B298" s="243"/>
      <c r="C298" s="242" t="str">
        <f t="shared" si="4"/>
        <v>294 Templeton</v>
      </c>
      <c r="D298" s="247">
        <v>294</v>
      </c>
      <c r="E298" s="248" t="s">
        <v>1560</v>
      </c>
      <c r="F298" s="248" t="s">
        <v>2633</v>
      </c>
      <c r="K298" s="242">
        <v>83201</v>
      </c>
      <c r="L298" s="242">
        <v>1</v>
      </c>
      <c r="M298" s="242">
        <v>832</v>
      </c>
      <c r="N298" s="242" t="s">
        <v>634</v>
      </c>
      <c r="O298" s="242">
        <v>11</v>
      </c>
      <c r="P298" s="242" t="s">
        <v>8</v>
      </c>
    </row>
    <row r="299" spans="1:16" s="242" customFormat="1">
      <c r="A299" s="243">
        <v>295</v>
      </c>
      <c r="B299" s="243"/>
      <c r="C299" s="242" t="str">
        <f t="shared" si="4"/>
        <v>295 Tewksbury</v>
      </c>
      <c r="D299" s="247">
        <v>295</v>
      </c>
      <c r="E299" s="248" t="s">
        <v>1561</v>
      </c>
      <c r="F299" s="248" t="s">
        <v>2634</v>
      </c>
      <c r="K299" s="242">
        <v>83202</v>
      </c>
      <c r="L299" s="242">
        <v>2</v>
      </c>
      <c r="M299" s="242">
        <v>832</v>
      </c>
      <c r="N299" s="242" t="s">
        <v>634</v>
      </c>
      <c r="O299" s="242">
        <v>12</v>
      </c>
      <c r="P299" s="242" t="s">
        <v>11</v>
      </c>
    </row>
    <row r="300" spans="1:16" s="242" customFormat="1">
      <c r="A300" s="243">
        <v>296</v>
      </c>
      <c r="B300" s="243"/>
      <c r="C300" s="242" t="str">
        <f t="shared" si="4"/>
        <v>296 Tisbury</v>
      </c>
      <c r="D300" s="247">
        <v>296</v>
      </c>
      <c r="E300" s="248" t="s">
        <v>1562</v>
      </c>
      <c r="F300" s="248" t="s">
        <v>2635</v>
      </c>
      <c r="K300" s="242">
        <v>83203</v>
      </c>
      <c r="L300" s="242">
        <v>3</v>
      </c>
      <c r="M300" s="242">
        <v>832</v>
      </c>
      <c r="N300" s="242" t="s">
        <v>634</v>
      </c>
      <c r="O300" s="242">
        <v>15</v>
      </c>
      <c r="P300" s="242" t="s">
        <v>17</v>
      </c>
    </row>
    <row r="301" spans="1:16" s="242" customFormat="1">
      <c r="A301" s="243">
        <v>297</v>
      </c>
      <c r="B301" s="243"/>
      <c r="C301" s="242" t="str">
        <f t="shared" si="4"/>
        <v>297 Tolland</v>
      </c>
      <c r="D301" s="247">
        <v>297</v>
      </c>
      <c r="E301" s="248" t="s">
        <v>1563</v>
      </c>
      <c r="F301" s="248" t="s">
        <v>2636</v>
      </c>
      <c r="K301" s="242">
        <v>83204</v>
      </c>
      <c r="L301" s="242">
        <v>4</v>
      </c>
      <c r="M301" s="242">
        <v>832</v>
      </c>
      <c r="N301" s="242" t="s">
        <v>634</v>
      </c>
      <c r="O301" s="242">
        <v>21</v>
      </c>
      <c r="P301" s="242" t="s">
        <v>28</v>
      </c>
    </row>
    <row r="302" spans="1:16" s="242" customFormat="1">
      <c r="A302" s="243">
        <v>298</v>
      </c>
      <c r="B302" s="243"/>
      <c r="C302" s="242" t="str">
        <f t="shared" si="4"/>
        <v>298 Topsfield</v>
      </c>
      <c r="D302" s="247">
        <v>298</v>
      </c>
      <c r="E302" s="248" t="s">
        <v>1564</v>
      </c>
      <c r="F302" s="248" t="s">
        <v>2637</v>
      </c>
      <c r="K302" s="242">
        <v>83205</v>
      </c>
      <c r="L302" s="242">
        <v>5</v>
      </c>
      <c r="M302" s="242">
        <v>832</v>
      </c>
      <c r="N302" s="242" t="s">
        <v>634</v>
      </c>
      <c r="O302" s="242">
        <v>97</v>
      </c>
      <c r="P302" s="242" t="s">
        <v>784</v>
      </c>
    </row>
    <row r="303" spans="1:16" s="242" customFormat="1">
      <c r="A303" s="243">
        <v>299</v>
      </c>
      <c r="B303" s="243"/>
      <c r="C303" s="242" t="str">
        <f t="shared" si="4"/>
        <v>299 Townsend</v>
      </c>
      <c r="D303" s="247">
        <v>299</v>
      </c>
      <c r="E303" s="248" t="s">
        <v>1565</v>
      </c>
      <c r="F303" s="248" t="s">
        <v>2638</v>
      </c>
      <c r="K303" s="242">
        <v>83206</v>
      </c>
      <c r="L303" s="242">
        <v>6</v>
      </c>
      <c r="M303" s="242">
        <v>832</v>
      </c>
      <c r="N303" s="242" t="s">
        <v>634</v>
      </c>
      <c r="O303" s="242">
        <v>103</v>
      </c>
      <c r="P303" s="242" t="s">
        <v>792</v>
      </c>
    </row>
    <row r="304" spans="1:16" s="242" customFormat="1">
      <c r="A304" s="243">
        <v>300</v>
      </c>
      <c r="B304" s="243"/>
      <c r="C304" s="242" t="str">
        <f t="shared" si="4"/>
        <v>300 Truro</v>
      </c>
      <c r="D304" s="247">
        <v>300</v>
      </c>
      <c r="E304" s="248" t="s">
        <v>1566</v>
      </c>
      <c r="F304" s="248" t="s">
        <v>2639</v>
      </c>
      <c r="K304" s="242">
        <v>83207</v>
      </c>
      <c r="L304" s="242">
        <v>7</v>
      </c>
      <c r="M304" s="242">
        <v>832</v>
      </c>
      <c r="N304" s="242" t="s">
        <v>634</v>
      </c>
      <c r="O304" s="242">
        <v>125</v>
      </c>
      <c r="P304" s="242" t="s">
        <v>821</v>
      </c>
    </row>
    <row r="305" spans="1:16" s="242" customFormat="1">
      <c r="A305" s="243">
        <v>301</v>
      </c>
      <c r="B305" s="243"/>
      <c r="C305" s="242" t="str">
        <f t="shared" si="4"/>
        <v>301 Tyngsborough</v>
      </c>
      <c r="D305" s="247">
        <v>301</v>
      </c>
      <c r="E305" s="248" t="s">
        <v>1567</v>
      </c>
      <c r="F305" s="248" t="s">
        <v>2640</v>
      </c>
      <c r="K305" s="242">
        <v>83208</v>
      </c>
      <c r="L305" s="242">
        <v>8</v>
      </c>
      <c r="M305" s="242">
        <v>832</v>
      </c>
      <c r="N305" s="242" t="s">
        <v>634</v>
      </c>
      <c r="O305" s="242">
        <v>134</v>
      </c>
      <c r="P305" s="242" t="s">
        <v>830</v>
      </c>
    </row>
    <row r="306" spans="1:16" s="242" customFormat="1">
      <c r="A306" s="243">
        <v>302</v>
      </c>
      <c r="B306" s="243"/>
      <c r="C306" s="242" t="str">
        <f t="shared" si="4"/>
        <v>302 Tyringham</v>
      </c>
      <c r="D306" s="247">
        <v>302</v>
      </c>
      <c r="E306" s="248" t="s">
        <v>1568</v>
      </c>
      <c r="F306" s="248" t="s">
        <v>2641</v>
      </c>
      <c r="K306" s="242">
        <v>83209</v>
      </c>
      <c r="L306" s="242">
        <v>9</v>
      </c>
      <c r="M306" s="242">
        <v>832</v>
      </c>
      <c r="N306" s="242" t="s">
        <v>634</v>
      </c>
      <c r="O306" s="242">
        <v>140</v>
      </c>
      <c r="P306" s="242" t="s">
        <v>837</v>
      </c>
    </row>
    <row r="307" spans="1:16" s="242" customFormat="1">
      <c r="A307" s="243">
        <v>303</v>
      </c>
      <c r="B307" s="243"/>
      <c r="C307" s="242" t="str">
        <f t="shared" si="4"/>
        <v>303 Upton</v>
      </c>
      <c r="D307" s="247">
        <v>303</v>
      </c>
      <c r="E307" s="248" t="s">
        <v>1569</v>
      </c>
      <c r="F307" s="248" t="s">
        <v>2642</v>
      </c>
      <c r="K307" s="242">
        <v>83210</v>
      </c>
      <c r="L307" s="242">
        <v>10</v>
      </c>
      <c r="M307" s="242">
        <v>832</v>
      </c>
      <c r="N307" s="242" t="s">
        <v>634</v>
      </c>
      <c r="O307" s="242">
        <v>162</v>
      </c>
      <c r="P307" s="242" t="s">
        <v>897</v>
      </c>
    </row>
    <row r="308" spans="1:16" s="242" customFormat="1">
      <c r="A308" s="243">
        <v>304</v>
      </c>
      <c r="B308" s="243"/>
      <c r="C308" s="242" t="str">
        <f t="shared" si="4"/>
        <v>304 Uxbridge</v>
      </c>
      <c r="D308" s="247">
        <v>304</v>
      </c>
      <c r="E308" s="248" t="s">
        <v>1570</v>
      </c>
      <c r="F308" s="248" t="s">
        <v>2643</v>
      </c>
      <c r="K308" s="242">
        <v>83211</v>
      </c>
      <c r="L308" s="242">
        <v>11</v>
      </c>
      <c r="M308" s="242">
        <v>832</v>
      </c>
      <c r="N308" s="242" t="s">
        <v>634</v>
      </c>
      <c r="O308" s="242">
        <v>234</v>
      </c>
      <c r="P308" s="242" t="s">
        <v>1003</v>
      </c>
    </row>
    <row r="309" spans="1:16" s="242" customFormat="1">
      <c r="A309" s="243">
        <v>305</v>
      </c>
      <c r="B309" s="243"/>
      <c r="C309" s="242" t="str">
        <f t="shared" si="4"/>
        <v>305 Wakefield</v>
      </c>
      <c r="D309" s="247">
        <v>305</v>
      </c>
      <c r="E309" s="248" t="s">
        <v>1571</v>
      </c>
      <c r="F309" s="248" t="s">
        <v>2644</v>
      </c>
      <c r="K309" s="242">
        <v>83212</v>
      </c>
      <c r="L309" s="242">
        <v>12</v>
      </c>
      <c r="M309" s="242">
        <v>832</v>
      </c>
      <c r="N309" s="242" t="s">
        <v>634</v>
      </c>
      <c r="O309" s="242">
        <v>235</v>
      </c>
      <c r="P309" s="242" t="s">
        <v>1004</v>
      </c>
    </row>
    <row r="310" spans="1:16" s="242" customFormat="1">
      <c r="A310" s="243">
        <v>306</v>
      </c>
      <c r="B310" s="243"/>
      <c r="C310" s="242" t="str">
        <f t="shared" si="4"/>
        <v>306 Wales</v>
      </c>
      <c r="D310" s="247">
        <v>306</v>
      </c>
      <c r="E310" s="248" t="s">
        <v>1572</v>
      </c>
      <c r="F310" s="248" t="s">
        <v>2645</v>
      </c>
      <c r="K310" s="242">
        <v>83213</v>
      </c>
      <c r="L310" s="242">
        <v>13</v>
      </c>
      <c r="M310" s="242">
        <v>832</v>
      </c>
      <c r="N310" s="242" t="s">
        <v>634</v>
      </c>
      <c r="O310" s="242">
        <v>241</v>
      </c>
      <c r="P310" s="242" t="s">
        <v>1011</v>
      </c>
    </row>
    <row r="311" spans="1:16" s="242" customFormat="1">
      <c r="A311" s="243">
        <v>307</v>
      </c>
      <c r="B311" s="243"/>
      <c r="C311" s="242" t="str">
        <f t="shared" si="4"/>
        <v>307 Walpole</v>
      </c>
      <c r="D311" s="247">
        <v>307</v>
      </c>
      <c r="E311" s="248" t="s">
        <v>1573</v>
      </c>
      <c r="F311" s="248" t="s">
        <v>2646</v>
      </c>
      <c r="K311" s="242">
        <v>83214</v>
      </c>
      <c r="L311" s="242">
        <v>14</v>
      </c>
      <c r="M311" s="242">
        <v>832</v>
      </c>
      <c r="N311" s="242" t="s">
        <v>634</v>
      </c>
      <c r="O311" s="242">
        <v>255</v>
      </c>
      <c r="P311" s="242" t="s">
        <v>1025</v>
      </c>
    </row>
    <row r="312" spans="1:16" s="242" customFormat="1">
      <c r="A312" s="243">
        <v>308</v>
      </c>
      <c r="B312" s="243"/>
      <c r="C312" s="242" t="str">
        <f t="shared" si="4"/>
        <v>308 Waltham</v>
      </c>
      <c r="D312" s="247">
        <v>308</v>
      </c>
      <c r="E312" s="248" t="s">
        <v>1574</v>
      </c>
      <c r="F312" s="248" t="s">
        <v>2647</v>
      </c>
      <c r="K312" s="242">
        <v>83215</v>
      </c>
      <c r="L312" s="242">
        <v>15</v>
      </c>
      <c r="M312" s="242">
        <v>832</v>
      </c>
      <c r="N312" s="242" t="s">
        <v>634</v>
      </c>
      <c r="O312" s="242">
        <v>282</v>
      </c>
      <c r="P312" s="242" t="s">
        <v>1059</v>
      </c>
    </row>
    <row r="313" spans="1:16" s="242" customFormat="1">
      <c r="A313" s="243">
        <v>309</v>
      </c>
      <c r="B313" s="243"/>
      <c r="C313" s="242" t="str">
        <f t="shared" si="4"/>
        <v>309 Ware</v>
      </c>
      <c r="D313" s="247">
        <v>309</v>
      </c>
      <c r="E313" s="248" t="s">
        <v>1575</v>
      </c>
      <c r="F313" s="248" t="s">
        <v>2648</v>
      </c>
      <c r="K313" s="242">
        <v>83216</v>
      </c>
      <c r="L313" s="242">
        <v>16</v>
      </c>
      <c r="M313" s="242">
        <v>832</v>
      </c>
      <c r="N313" s="242" t="s">
        <v>634</v>
      </c>
      <c r="O313" s="242">
        <v>294</v>
      </c>
      <c r="P313" s="242" t="s">
        <v>1071</v>
      </c>
    </row>
    <row r="314" spans="1:16" s="242" customFormat="1">
      <c r="A314" s="243">
        <v>310</v>
      </c>
      <c r="B314" s="243"/>
      <c r="C314" s="242" t="str">
        <f t="shared" si="4"/>
        <v>310 Wareham</v>
      </c>
      <c r="D314" s="247">
        <v>310</v>
      </c>
      <c r="E314" s="248" t="s">
        <v>1576</v>
      </c>
      <c r="F314" s="248" t="s">
        <v>2649</v>
      </c>
      <c r="K314" s="242">
        <v>83217</v>
      </c>
      <c r="L314" s="242">
        <v>17</v>
      </c>
      <c r="M314" s="242">
        <v>832</v>
      </c>
      <c r="N314" s="242" t="s">
        <v>634</v>
      </c>
      <c r="O314" s="242">
        <v>328</v>
      </c>
      <c r="P314" s="242" t="s">
        <v>1106</v>
      </c>
    </row>
    <row r="315" spans="1:16" s="242" customFormat="1">
      <c r="A315" s="243">
        <v>311</v>
      </c>
      <c r="B315" s="243"/>
      <c r="C315" s="242" t="str">
        <f t="shared" si="4"/>
        <v>311 Warren</v>
      </c>
      <c r="D315" s="247">
        <v>311</v>
      </c>
      <c r="E315" s="248" t="s">
        <v>1577</v>
      </c>
      <c r="F315" s="248" t="s">
        <v>2650</v>
      </c>
      <c r="K315" s="242">
        <v>83218</v>
      </c>
      <c r="L315" s="242">
        <v>18</v>
      </c>
      <c r="M315" s="242">
        <v>832</v>
      </c>
      <c r="N315" s="242" t="s">
        <v>634</v>
      </c>
      <c r="O315" s="242">
        <v>343</v>
      </c>
      <c r="P315" s="242" t="s">
        <v>1121</v>
      </c>
    </row>
    <row r="316" spans="1:16" s="242" customFormat="1">
      <c r="A316" s="243">
        <v>312</v>
      </c>
      <c r="B316" s="243"/>
      <c r="C316" s="242" t="str">
        <f t="shared" si="4"/>
        <v>312 Warwick</v>
      </c>
      <c r="D316" s="247">
        <v>312</v>
      </c>
      <c r="E316" s="248" t="s">
        <v>1578</v>
      </c>
      <c r="F316" s="248" t="s">
        <v>2651</v>
      </c>
      <c r="K316" s="242">
        <v>85101</v>
      </c>
      <c r="L316" s="242">
        <v>1</v>
      </c>
      <c r="M316" s="242">
        <v>851</v>
      </c>
      <c r="N316" s="242" t="s">
        <v>635</v>
      </c>
      <c r="O316" s="242">
        <v>4</v>
      </c>
      <c r="P316" s="242" t="s">
        <v>1169</v>
      </c>
    </row>
    <row r="317" spans="1:16" s="242" customFormat="1">
      <c r="A317" s="243">
        <v>313</v>
      </c>
      <c r="B317" s="243"/>
      <c r="C317" s="242" t="str">
        <f t="shared" si="4"/>
        <v>313 Washington</v>
      </c>
      <c r="D317" s="247">
        <v>313</v>
      </c>
      <c r="E317" s="248" t="s">
        <v>1579</v>
      </c>
      <c r="F317" s="248" t="s">
        <v>2652</v>
      </c>
      <c r="K317" s="242">
        <v>85102</v>
      </c>
      <c r="L317" s="242">
        <v>2</v>
      </c>
      <c r="M317" s="242">
        <v>851</v>
      </c>
      <c r="N317" s="242" t="s">
        <v>635</v>
      </c>
      <c r="O317" s="242">
        <v>58</v>
      </c>
      <c r="P317" s="242" t="s">
        <v>1186</v>
      </c>
    </row>
    <row r="318" spans="1:16" s="242" customFormat="1">
      <c r="A318" s="243">
        <v>314</v>
      </c>
      <c r="B318" s="243"/>
      <c r="C318" s="242" t="str">
        <f t="shared" si="4"/>
        <v>314 Watertown</v>
      </c>
      <c r="D318" s="247">
        <v>314</v>
      </c>
      <c r="E318" s="248" t="s">
        <v>1580</v>
      </c>
      <c r="F318" s="248" t="s">
        <v>2653</v>
      </c>
      <c r="K318" s="242">
        <v>85103</v>
      </c>
      <c r="L318" s="242">
        <v>3</v>
      </c>
      <c r="M318" s="242">
        <v>851</v>
      </c>
      <c r="N318" s="242" t="s">
        <v>635</v>
      </c>
      <c r="O318" s="242">
        <v>63</v>
      </c>
      <c r="P318" s="242" t="s">
        <v>734</v>
      </c>
    </row>
    <row r="319" spans="1:16" s="242" customFormat="1">
      <c r="A319" s="243">
        <v>315</v>
      </c>
      <c r="B319" s="243"/>
      <c r="C319" s="242" t="str">
        <f t="shared" si="4"/>
        <v>315 Wayland</v>
      </c>
      <c r="D319" s="247">
        <v>315</v>
      </c>
      <c r="E319" s="248" t="s">
        <v>1581</v>
      </c>
      <c r="F319" s="248" t="s">
        <v>2654</v>
      </c>
      <c r="K319" s="242">
        <v>85104</v>
      </c>
      <c r="L319" s="242">
        <v>4</v>
      </c>
      <c r="M319" s="242">
        <v>851</v>
      </c>
      <c r="N319" s="242" t="s">
        <v>635</v>
      </c>
      <c r="O319" s="242">
        <v>98</v>
      </c>
      <c r="P319" s="242" t="s">
        <v>785</v>
      </c>
    </row>
    <row r="320" spans="1:16" s="242" customFormat="1">
      <c r="A320" s="243">
        <v>316</v>
      </c>
      <c r="B320" s="243"/>
      <c r="C320" s="242" t="str">
        <f t="shared" si="4"/>
        <v>316 Webster</v>
      </c>
      <c r="D320" s="247">
        <v>316</v>
      </c>
      <c r="E320" s="248" t="s">
        <v>1582</v>
      </c>
      <c r="F320" s="248" t="s">
        <v>2655</v>
      </c>
      <c r="K320" s="242">
        <v>85105</v>
      </c>
      <c r="L320" s="242">
        <v>5</v>
      </c>
      <c r="M320" s="242">
        <v>851</v>
      </c>
      <c r="N320" s="242" t="s">
        <v>635</v>
      </c>
      <c r="O320" s="242">
        <v>148</v>
      </c>
      <c r="P320" s="242" t="s">
        <v>845</v>
      </c>
    </row>
    <row r="321" spans="1:16" s="242" customFormat="1">
      <c r="A321" s="243">
        <v>317</v>
      </c>
      <c r="B321" s="243"/>
      <c r="C321" s="242" t="str">
        <f t="shared" si="4"/>
        <v>317 Wellesley</v>
      </c>
      <c r="D321" s="247">
        <v>317</v>
      </c>
      <c r="E321" s="248" t="s">
        <v>1583</v>
      </c>
      <c r="F321" s="248" t="s">
        <v>2656</v>
      </c>
      <c r="K321" s="242">
        <v>85106</v>
      </c>
      <c r="L321" s="242">
        <v>6</v>
      </c>
      <c r="M321" s="242">
        <v>851</v>
      </c>
      <c r="N321" s="242" t="s">
        <v>635</v>
      </c>
      <c r="O321" s="242">
        <v>190</v>
      </c>
      <c r="P321" s="242" t="s">
        <v>929</v>
      </c>
    </row>
    <row r="322" spans="1:16" s="242" customFormat="1">
      <c r="A322" s="243">
        <v>318</v>
      </c>
      <c r="B322" s="243"/>
      <c r="C322" s="242" t="str">
        <f t="shared" si="4"/>
        <v>318 Wellfleet</v>
      </c>
      <c r="D322" s="247">
        <v>318</v>
      </c>
      <c r="E322" s="248" t="s">
        <v>1584</v>
      </c>
      <c r="F322" s="248" t="s">
        <v>2657</v>
      </c>
      <c r="K322" s="242">
        <v>85107</v>
      </c>
      <c r="L322" s="242">
        <v>7</v>
      </c>
      <c r="M322" s="242">
        <v>851</v>
      </c>
      <c r="N322" s="242" t="s">
        <v>635</v>
      </c>
      <c r="O322" s="242">
        <v>209</v>
      </c>
      <c r="P322" s="242" t="s">
        <v>953</v>
      </c>
    </row>
    <row r="323" spans="1:16" s="242" customFormat="1">
      <c r="A323" s="243">
        <v>319</v>
      </c>
      <c r="B323" s="243"/>
      <c r="C323" s="242" t="str">
        <f t="shared" si="4"/>
        <v>319 Wendell</v>
      </c>
      <c r="D323" s="247">
        <v>319</v>
      </c>
      <c r="E323" s="248" t="s">
        <v>1585</v>
      </c>
      <c r="F323" s="248" t="s">
        <v>2658</v>
      </c>
      <c r="K323" s="242">
        <v>85108</v>
      </c>
      <c r="L323" s="242">
        <v>8</v>
      </c>
      <c r="M323" s="242">
        <v>851</v>
      </c>
      <c r="N323" s="242" t="s">
        <v>635</v>
      </c>
      <c r="O323" s="242">
        <v>263</v>
      </c>
      <c r="P323" s="242" t="s">
        <v>1033</v>
      </c>
    </row>
    <row r="324" spans="1:16" s="242" customFormat="1">
      <c r="A324" s="243">
        <v>320</v>
      </c>
      <c r="B324" s="243"/>
      <c r="C324" s="242" t="str">
        <f t="shared" si="4"/>
        <v>320 Wenham</v>
      </c>
      <c r="D324" s="247">
        <v>320</v>
      </c>
      <c r="E324" s="248" t="s">
        <v>1586</v>
      </c>
      <c r="F324" s="248" t="s">
        <v>2659</v>
      </c>
      <c r="K324" s="242">
        <v>85109</v>
      </c>
      <c r="L324" s="242">
        <v>9</v>
      </c>
      <c r="M324" s="242">
        <v>851</v>
      </c>
      <c r="N324" s="242" t="s">
        <v>635</v>
      </c>
      <c r="O324" s="242">
        <v>341</v>
      </c>
      <c r="P324" s="242" t="s">
        <v>1119</v>
      </c>
    </row>
    <row r="325" spans="1:16" s="242" customFormat="1">
      <c r="A325" s="243">
        <v>321</v>
      </c>
      <c r="B325" s="243"/>
      <c r="C325" s="242" t="str">
        <f t="shared" si="4"/>
        <v>321 Westborough</v>
      </c>
      <c r="D325" s="247">
        <v>321</v>
      </c>
      <c r="E325" s="248" t="s">
        <v>1587</v>
      </c>
      <c r="F325" s="248" t="s">
        <v>2660</v>
      </c>
      <c r="K325" s="242">
        <v>85201</v>
      </c>
      <c r="L325" s="242">
        <v>1</v>
      </c>
      <c r="M325" s="242">
        <v>852</v>
      </c>
      <c r="N325" s="242" t="s">
        <v>636</v>
      </c>
      <c r="O325" s="242">
        <v>19</v>
      </c>
      <c r="P325" s="242" t="s">
        <v>127</v>
      </c>
    </row>
    <row r="326" spans="1:16" s="242" customFormat="1">
      <c r="A326" s="243">
        <v>322</v>
      </c>
      <c r="B326" s="243"/>
      <c r="C326" s="242" t="str">
        <f t="shared" ref="C326:C389" si="5">PROPER(D326&amp;" "&amp;E326)</f>
        <v>322 West Boylston</v>
      </c>
      <c r="D326" s="247">
        <v>322</v>
      </c>
      <c r="E326" s="248" t="s">
        <v>1588</v>
      </c>
      <c r="F326" s="248" t="s">
        <v>2661</v>
      </c>
      <c r="K326" s="242">
        <v>85202</v>
      </c>
      <c r="L326" s="242">
        <v>2</v>
      </c>
      <c r="M326" s="242">
        <v>852</v>
      </c>
      <c r="N326" s="242" t="s">
        <v>636</v>
      </c>
      <c r="O326" s="242">
        <v>56</v>
      </c>
      <c r="P326" s="242" t="s">
        <v>718</v>
      </c>
    </row>
    <row r="327" spans="1:16" s="242" customFormat="1">
      <c r="A327" s="243">
        <v>323</v>
      </c>
      <c r="B327" s="243"/>
      <c r="C327" s="242" t="str">
        <f t="shared" si="5"/>
        <v>323 West Bridgewater</v>
      </c>
      <c r="D327" s="247">
        <v>323</v>
      </c>
      <c r="E327" s="248" t="s">
        <v>1589</v>
      </c>
      <c r="F327" s="248" t="s">
        <v>2662</v>
      </c>
      <c r="K327" s="242">
        <v>85203</v>
      </c>
      <c r="L327" s="242">
        <v>3</v>
      </c>
      <c r="M327" s="242">
        <v>852</v>
      </c>
      <c r="N327" s="242" t="s">
        <v>636</v>
      </c>
      <c r="O327" s="242">
        <v>115</v>
      </c>
      <c r="P327" s="242" t="s">
        <v>806</v>
      </c>
    </row>
    <row r="328" spans="1:16" s="242" customFormat="1">
      <c r="A328" s="243">
        <v>324</v>
      </c>
      <c r="B328" s="243"/>
      <c r="C328" s="242" t="str">
        <f t="shared" si="5"/>
        <v>324 West Brookfield</v>
      </c>
      <c r="D328" s="247">
        <v>324</v>
      </c>
      <c r="E328" s="248" t="s">
        <v>1590</v>
      </c>
      <c r="F328" s="248" t="s">
        <v>2663</v>
      </c>
      <c r="K328" s="242">
        <v>85204</v>
      </c>
      <c r="L328" s="242">
        <v>4</v>
      </c>
      <c r="M328" s="242">
        <v>852</v>
      </c>
      <c r="N328" s="242" t="s">
        <v>636</v>
      </c>
      <c r="O328" s="242">
        <v>158</v>
      </c>
      <c r="P328" s="242" t="s">
        <v>857</v>
      </c>
    </row>
    <row r="329" spans="1:16" s="242" customFormat="1">
      <c r="A329" s="243">
        <v>325</v>
      </c>
      <c r="B329" s="243"/>
      <c r="C329" s="242" t="str">
        <f t="shared" si="5"/>
        <v>325 Westfield</v>
      </c>
      <c r="D329" s="247">
        <v>325</v>
      </c>
      <c r="E329" s="248" t="s">
        <v>1591</v>
      </c>
      <c r="F329" s="248" t="s">
        <v>2664</v>
      </c>
      <c r="K329" s="242">
        <v>85205</v>
      </c>
      <c r="L329" s="242">
        <v>5</v>
      </c>
      <c r="M329" s="242">
        <v>852</v>
      </c>
      <c r="N329" s="242" t="s">
        <v>636</v>
      </c>
      <c r="O329" s="242">
        <v>232</v>
      </c>
      <c r="P329" s="242" t="s">
        <v>1001</v>
      </c>
    </row>
    <row r="330" spans="1:16" s="242" customFormat="1">
      <c r="A330" s="243">
        <v>326</v>
      </c>
      <c r="B330" s="243"/>
      <c r="C330" s="242" t="str">
        <f t="shared" si="5"/>
        <v>326 Westford</v>
      </c>
      <c r="D330" s="247">
        <v>326</v>
      </c>
      <c r="E330" s="248" t="s">
        <v>1592</v>
      </c>
      <c r="F330" s="248" t="s">
        <v>2665</v>
      </c>
      <c r="K330" s="242">
        <v>85206</v>
      </c>
      <c r="L330" s="242">
        <v>6</v>
      </c>
      <c r="M330" s="242">
        <v>852</v>
      </c>
      <c r="N330" s="242" t="s">
        <v>636</v>
      </c>
      <c r="O330" s="242">
        <v>270</v>
      </c>
      <c r="P330" s="242" t="s">
        <v>1040</v>
      </c>
    </row>
    <row r="331" spans="1:16" s="242" customFormat="1">
      <c r="A331" s="243">
        <v>327</v>
      </c>
      <c r="B331" s="243"/>
      <c r="C331" s="242" t="str">
        <f t="shared" si="5"/>
        <v>327 Westhampton</v>
      </c>
      <c r="D331" s="247">
        <v>327</v>
      </c>
      <c r="E331" s="248" t="s">
        <v>1593</v>
      </c>
      <c r="F331" s="248" t="s">
        <v>2666</v>
      </c>
      <c r="K331" s="242">
        <v>85207</v>
      </c>
      <c r="L331" s="242">
        <v>7</v>
      </c>
      <c r="M331" s="242">
        <v>852</v>
      </c>
      <c r="N331" s="242" t="s">
        <v>636</v>
      </c>
      <c r="O331" s="242">
        <v>299</v>
      </c>
      <c r="P331" s="242" t="s">
        <v>1076</v>
      </c>
    </row>
    <row r="332" spans="1:16" s="242" customFormat="1">
      <c r="A332" s="243">
        <v>328</v>
      </c>
      <c r="B332" s="243"/>
      <c r="C332" s="242" t="str">
        <f t="shared" si="5"/>
        <v>328 Westminster</v>
      </c>
      <c r="D332" s="247">
        <v>328</v>
      </c>
      <c r="E332" s="248" t="s">
        <v>1594</v>
      </c>
      <c r="F332" s="248" t="s">
        <v>2667</v>
      </c>
      <c r="K332" s="242">
        <v>85208</v>
      </c>
      <c r="L332" s="242">
        <v>8</v>
      </c>
      <c r="M332" s="242">
        <v>852</v>
      </c>
      <c r="N332" s="242" t="s">
        <v>636</v>
      </c>
      <c r="O332" s="242">
        <v>326</v>
      </c>
      <c r="P332" s="242" t="s">
        <v>1104</v>
      </c>
    </row>
    <row r="333" spans="1:16" s="242" customFormat="1">
      <c r="A333" s="243">
        <v>329</v>
      </c>
      <c r="B333" s="243"/>
      <c r="C333" s="242" t="str">
        <f t="shared" si="5"/>
        <v>329 West Newbury</v>
      </c>
      <c r="D333" s="247">
        <v>329</v>
      </c>
      <c r="E333" s="248" t="s">
        <v>1595</v>
      </c>
      <c r="F333" s="248" t="s">
        <v>2668</v>
      </c>
      <c r="K333" s="242">
        <v>85301</v>
      </c>
      <c r="L333" s="242">
        <v>1</v>
      </c>
      <c r="M333" s="242">
        <v>853</v>
      </c>
      <c r="N333" s="242" t="s">
        <v>637</v>
      </c>
      <c r="O333" s="242">
        <v>57</v>
      </c>
      <c r="P333" s="242" t="s">
        <v>720</v>
      </c>
    </row>
    <row r="334" spans="1:16" s="242" customFormat="1">
      <c r="A334" s="243">
        <v>330</v>
      </c>
      <c r="B334" s="243"/>
      <c r="C334" s="242" t="str">
        <f t="shared" si="5"/>
        <v>330 Weston</v>
      </c>
      <c r="D334" s="247">
        <v>330</v>
      </c>
      <c r="E334" s="248" t="s">
        <v>1596</v>
      </c>
      <c r="F334" s="248" t="s">
        <v>2669</v>
      </c>
      <c r="K334" s="242">
        <v>85302</v>
      </c>
      <c r="L334" s="242">
        <v>2</v>
      </c>
      <c r="M334" s="242">
        <v>853</v>
      </c>
      <c r="N334" s="242" t="s">
        <v>637</v>
      </c>
      <c r="O334" s="242">
        <v>165</v>
      </c>
      <c r="P334" s="242" t="s">
        <v>900</v>
      </c>
    </row>
    <row r="335" spans="1:16" s="242" customFormat="1">
      <c r="A335" s="243">
        <v>331</v>
      </c>
      <c r="B335" s="243"/>
      <c r="C335" s="242" t="str">
        <f t="shared" si="5"/>
        <v>331 Westport</v>
      </c>
      <c r="D335" s="247">
        <v>331</v>
      </c>
      <c r="E335" s="248" t="s">
        <v>1597</v>
      </c>
      <c r="F335" s="248" t="s">
        <v>2670</v>
      </c>
      <c r="K335" s="242">
        <v>85303</v>
      </c>
      <c r="L335" s="242">
        <v>3</v>
      </c>
      <c r="M335" s="242">
        <v>853</v>
      </c>
      <c r="N335" s="242" t="s">
        <v>637</v>
      </c>
      <c r="O335" s="242">
        <v>178</v>
      </c>
      <c r="P335" s="242" t="s">
        <v>916</v>
      </c>
    </row>
    <row r="336" spans="1:16" s="242" customFormat="1">
      <c r="A336" s="243">
        <v>332</v>
      </c>
      <c r="B336" s="243"/>
      <c r="C336" s="242" t="str">
        <f t="shared" si="5"/>
        <v>332 West Springfield</v>
      </c>
      <c r="D336" s="247">
        <v>332</v>
      </c>
      <c r="E336" s="248" t="s">
        <v>1598</v>
      </c>
      <c r="F336" s="248" t="s">
        <v>2671</v>
      </c>
      <c r="K336" s="242">
        <v>85304</v>
      </c>
      <c r="L336" s="242">
        <v>4</v>
      </c>
      <c r="M336" s="242">
        <v>853</v>
      </c>
      <c r="N336" s="242" t="s">
        <v>637</v>
      </c>
      <c r="O336" s="242">
        <v>217</v>
      </c>
      <c r="P336" s="242" t="s">
        <v>964</v>
      </c>
    </row>
    <row r="337" spans="1:16" s="242" customFormat="1">
      <c r="A337" s="243">
        <v>333</v>
      </c>
      <c r="B337" s="243"/>
      <c r="C337" s="242" t="str">
        <f t="shared" si="5"/>
        <v>333 West Stockbridge</v>
      </c>
      <c r="D337" s="247">
        <v>333</v>
      </c>
      <c r="E337" s="248" t="s">
        <v>1599</v>
      </c>
      <c r="F337" s="248" t="s">
        <v>2672</v>
      </c>
      <c r="K337" s="242">
        <v>85305</v>
      </c>
      <c r="L337" s="242">
        <v>5</v>
      </c>
      <c r="M337" s="242">
        <v>853</v>
      </c>
      <c r="N337" s="242" t="s">
        <v>637</v>
      </c>
      <c r="O337" s="242">
        <v>246</v>
      </c>
      <c r="P337" s="242" t="s">
        <v>1016</v>
      </c>
    </row>
    <row r="338" spans="1:16" s="242" customFormat="1">
      <c r="A338" s="243">
        <v>334</v>
      </c>
      <c r="B338" s="243"/>
      <c r="C338" s="242" t="str">
        <f t="shared" si="5"/>
        <v>334 West Tisbury</v>
      </c>
      <c r="D338" s="247">
        <v>334</v>
      </c>
      <c r="E338" s="248" t="s">
        <v>1600</v>
      </c>
      <c r="F338" s="248" t="s">
        <v>2673</v>
      </c>
      <c r="K338" s="242">
        <v>85306</v>
      </c>
      <c r="L338" s="242">
        <v>6</v>
      </c>
      <c r="M338" s="242">
        <v>853</v>
      </c>
      <c r="N338" s="242" t="s">
        <v>637</v>
      </c>
      <c r="O338" s="242">
        <v>248</v>
      </c>
      <c r="P338" s="242" t="s">
        <v>1018</v>
      </c>
    </row>
    <row r="339" spans="1:16" s="242" customFormat="1">
      <c r="A339" s="243">
        <v>335</v>
      </c>
      <c r="B339" s="243"/>
      <c r="C339" s="242" t="str">
        <f t="shared" si="5"/>
        <v>335 Westwood</v>
      </c>
      <c r="D339" s="247">
        <v>335</v>
      </c>
      <c r="E339" s="248" t="s">
        <v>1601</v>
      </c>
      <c r="F339" s="248" t="s">
        <v>2674</v>
      </c>
      <c r="K339" s="242">
        <v>85307</v>
      </c>
      <c r="L339" s="242">
        <v>7</v>
      </c>
      <c r="M339" s="242">
        <v>853</v>
      </c>
      <c r="N339" s="242" t="s">
        <v>637</v>
      </c>
      <c r="O339" s="242">
        <v>262</v>
      </c>
      <c r="P339" s="242" t="s">
        <v>1032</v>
      </c>
    </row>
    <row r="340" spans="1:16" s="242" customFormat="1">
      <c r="A340" s="243">
        <v>336</v>
      </c>
      <c r="B340" s="243"/>
      <c r="C340" s="242" t="str">
        <f t="shared" si="5"/>
        <v>336 Weymouth</v>
      </c>
      <c r="D340" s="247">
        <v>336</v>
      </c>
      <c r="E340" s="248" t="s">
        <v>1602</v>
      </c>
      <c r="F340" s="248" t="s">
        <v>2675</v>
      </c>
      <c r="K340" s="242">
        <v>85308</v>
      </c>
      <c r="L340" s="242">
        <v>8</v>
      </c>
      <c r="M340" s="242">
        <v>853</v>
      </c>
      <c r="N340" s="242" t="s">
        <v>637</v>
      </c>
      <c r="O340" s="242">
        <v>284</v>
      </c>
      <c r="P340" s="242" t="s">
        <v>1061</v>
      </c>
    </row>
    <row r="341" spans="1:16" s="242" customFormat="1">
      <c r="A341" s="243">
        <v>337</v>
      </c>
      <c r="B341" s="243"/>
      <c r="C341" s="242" t="str">
        <f t="shared" si="5"/>
        <v>337 Whately</v>
      </c>
      <c r="D341" s="247">
        <v>337</v>
      </c>
      <c r="E341" s="248" t="s">
        <v>1603</v>
      </c>
      <c r="F341" s="248" t="s">
        <v>2676</v>
      </c>
      <c r="K341" s="242">
        <v>85309</v>
      </c>
      <c r="L341" s="242">
        <v>9</v>
      </c>
      <c r="M341" s="242">
        <v>853</v>
      </c>
      <c r="N341" s="242" t="s">
        <v>637</v>
      </c>
      <c r="O341" s="242">
        <v>305</v>
      </c>
      <c r="P341" s="242" t="s">
        <v>1082</v>
      </c>
    </row>
    <row r="342" spans="1:16" s="242" customFormat="1">
      <c r="A342" s="243">
        <v>338</v>
      </c>
      <c r="B342" s="243"/>
      <c r="C342" s="242" t="str">
        <f t="shared" si="5"/>
        <v>338 Whitman</v>
      </c>
      <c r="D342" s="247">
        <v>338</v>
      </c>
      <c r="E342" s="248" t="s">
        <v>1604</v>
      </c>
      <c r="F342" s="248" t="s">
        <v>2677</v>
      </c>
      <c r="K342" s="242">
        <v>85310</v>
      </c>
      <c r="L342" s="242">
        <v>10</v>
      </c>
      <c r="M342" s="242">
        <v>853</v>
      </c>
      <c r="N342" s="242" t="s">
        <v>637</v>
      </c>
      <c r="O342" s="242">
        <v>344</v>
      </c>
      <c r="P342" s="242" t="s">
        <v>1122</v>
      </c>
    </row>
    <row r="343" spans="1:16" s="242" customFormat="1">
      <c r="A343" s="243">
        <v>339</v>
      </c>
      <c r="B343" s="243"/>
      <c r="C343" s="242" t="str">
        <f t="shared" si="5"/>
        <v>339 Wilbraham</v>
      </c>
      <c r="D343" s="247">
        <v>339</v>
      </c>
      <c r="E343" s="248" t="s">
        <v>1605</v>
      </c>
      <c r="F343" s="248" t="s">
        <v>2678</v>
      </c>
      <c r="K343" s="242">
        <v>85311</v>
      </c>
      <c r="L343" s="242">
        <v>11</v>
      </c>
      <c r="M343" s="242">
        <v>853</v>
      </c>
      <c r="N343" s="242" t="s">
        <v>637</v>
      </c>
      <c r="O343" s="242">
        <v>346</v>
      </c>
      <c r="P343" s="242" t="s">
        <v>1124</v>
      </c>
    </row>
    <row r="344" spans="1:16" s="242" customFormat="1">
      <c r="A344" s="243">
        <v>340</v>
      </c>
      <c r="B344" s="243"/>
      <c r="C344" s="242" t="str">
        <f t="shared" si="5"/>
        <v>340 Williamsburg</v>
      </c>
      <c r="D344" s="247">
        <v>340</v>
      </c>
      <c r="E344" s="248" t="s">
        <v>1606</v>
      </c>
      <c r="F344" s="248" t="s">
        <v>2679</v>
      </c>
      <c r="K344" s="242">
        <v>85312</v>
      </c>
      <c r="L344" s="242">
        <v>12</v>
      </c>
      <c r="M344" s="242">
        <v>853</v>
      </c>
      <c r="N344" s="242" t="s">
        <v>637</v>
      </c>
      <c r="O344" s="242">
        <v>347</v>
      </c>
      <c r="P344" s="242" t="s">
        <v>1125</v>
      </c>
    </row>
    <row r="345" spans="1:16" s="242" customFormat="1">
      <c r="A345" s="243">
        <v>341</v>
      </c>
      <c r="B345" s="243"/>
      <c r="C345" s="242" t="str">
        <f t="shared" si="5"/>
        <v>341 Williamstown</v>
      </c>
      <c r="D345" s="247">
        <v>341</v>
      </c>
      <c r="E345" s="248" t="s">
        <v>1607</v>
      </c>
      <c r="F345" s="248" t="s">
        <v>2680</v>
      </c>
      <c r="K345" s="242">
        <v>85501</v>
      </c>
      <c r="L345" s="242">
        <v>1</v>
      </c>
      <c r="M345" s="242">
        <v>855</v>
      </c>
      <c r="N345" s="242" t="s">
        <v>638</v>
      </c>
      <c r="O345" s="242">
        <v>3</v>
      </c>
      <c r="P345" s="242" t="s">
        <v>1166</v>
      </c>
    </row>
    <row r="346" spans="1:16" s="242" customFormat="1">
      <c r="A346" s="243">
        <v>342</v>
      </c>
      <c r="B346" s="243"/>
      <c r="C346" s="242" t="str">
        <f t="shared" si="5"/>
        <v>342 Wilmington</v>
      </c>
      <c r="D346" s="247">
        <v>342</v>
      </c>
      <c r="E346" s="248" t="s">
        <v>1608</v>
      </c>
      <c r="F346" s="248" t="s">
        <v>2681</v>
      </c>
      <c r="K346" s="242">
        <v>85502</v>
      </c>
      <c r="L346" s="242">
        <v>2</v>
      </c>
      <c r="M346" s="242">
        <v>855</v>
      </c>
      <c r="N346" s="242" t="s">
        <v>638</v>
      </c>
      <c r="O346" s="242">
        <v>52</v>
      </c>
      <c r="P346" s="242" t="s">
        <v>711</v>
      </c>
    </row>
    <row r="347" spans="1:16" s="242" customFormat="1">
      <c r="A347" s="243">
        <v>343</v>
      </c>
      <c r="B347" s="243"/>
      <c r="C347" s="242" t="str">
        <f t="shared" si="5"/>
        <v>343 Winchendon</v>
      </c>
      <c r="D347" s="247">
        <v>343</v>
      </c>
      <c r="E347" s="248" t="s">
        <v>1609</v>
      </c>
      <c r="F347" s="248" t="s">
        <v>2682</v>
      </c>
      <c r="K347" s="242">
        <v>85503</v>
      </c>
      <c r="L347" s="242">
        <v>3</v>
      </c>
      <c r="M347" s="242">
        <v>855</v>
      </c>
      <c r="N347" s="242" t="s">
        <v>638</v>
      </c>
      <c r="O347" s="242">
        <v>146</v>
      </c>
      <c r="P347" s="242" t="s">
        <v>843</v>
      </c>
    </row>
    <row r="348" spans="1:16" s="242" customFormat="1">
      <c r="A348" s="243">
        <v>344</v>
      </c>
      <c r="B348" s="243"/>
      <c r="C348" s="242" t="str">
        <f t="shared" si="5"/>
        <v>344 Winchester</v>
      </c>
      <c r="D348" s="247">
        <v>344</v>
      </c>
      <c r="E348" s="248" t="s">
        <v>1610</v>
      </c>
      <c r="F348" s="248" t="s">
        <v>2683</v>
      </c>
      <c r="K348" s="242">
        <v>85504</v>
      </c>
      <c r="L348" s="242">
        <v>4</v>
      </c>
      <c r="M348" s="242">
        <v>855</v>
      </c>
      <c r="N348" s="242" t="s">
        <v>638</v>
      </c>
      <c r="O348" s="242">
        <v>173</v>
      </c>
      <c r="P348" s="242" t="s">
        <v>909</v>
      </c>
    </row>
    <row r="349" spans="1:16" s="242" customFormat="1">
      <c r="A349" s="243">
        <v>345</v>
      </c>
      <c r="B349" s="243"/>
      <c r="C349" s="242" t="str">
        <f t="shared" si="5"/>
        <v>345 Windsor</v>
      </c>
      <c r="D349" s="247">
        <v>345</v>
      </c>
      <c r="E349" s="248" t="s">
        <v>1611</v>
      </c>
      <c r="F349" s="248" t="s">
        <v>2684</v>
      </c>
      <c r="K349" s="242">
        <v>85505</v>
      </c>
      <c r="L349" s="242">
        <v>5</v>
      </c>
      <c r="M349" s="242">
        <v>855</v>
      </c>
      <c r="N349" s="242" t="s">
        <v>638</v>
      </c>
      <c r="O349" s="242">
        <v>250</v>
      </c>
      <c r="P349" s="242" t="s">
        <v>1020</v>
      </c>
    </row>
    <row r="350" spans="1:16" s="242" customFormat="1">
      <c r="A350" s="243">
        <v>346</v>
      </c>
      <c r="B350" s="243"/>
      <c r="C350" s="242" t="str">
        <f t="shared" si="5"/>
        <v>346 Winthrop</v>
      </c>
      <c r="D350" s="247">
        <v>346</v>
      </c>
      <c r="E350" s="248" t="s">
        <v>1612</v>
      </c>
      <c r="F350" s="248" t="s">
        <v>2685</v>
      </c>
      <c r="K350" s="242">
        <v>86001</v>
      </c>
      <c r="L350" s="242">
        <v>1</v>
      </c>
      <c r="M350" s="242">
        <v>860</v>
      </c>
      <c r="N350" s="242" t="s">
        <v>1141</v>
      </c>
      <c r="O350" s="242">
        <v>24</v>
      </c>
      <c r="P350" s="242" t="s">
        <v>34</v>
      </c>
    </row>
    <row r="351" spans="1:16" s="242" customFormat="1">
      <c r="A351" s="243">
        <v>347</v>
      </c>
      <c r="B351" s="243"/>
      <c r="C351" s="242" t="str">
        <f t="shared" si="5"/>
        <v>347 Woburn</v>
      </c>
      <c r="D351" s="247">
        <v>347</v>
      </c>
      <c r="E351" s="248" t="s">
        <v>1613</v>
      </c>
      <c r="F351" s="248" t="s">
        <v>2686</v>
      </c>
      <c r="K351" s="242">
        <v>86002</v>
      </c>
      <c r="L351" s="242">
        <v>2</v>
      </c>
      <c r="M351" s="242">
        <v>860</v>
      </c>
      <c r="N351" s="242" t="s">
        <v>1141</v>
      </c>
      <c r="O351" s="242">
        <v>111</v>
      </c>
      <c r="P351" s="242" t="s">
        <v>801</v>
      </c>
    </row>
    <row r="352" spans="1:16" s="242" customFormat="1">
      <c r="A352" s="243">
        <v>348</v>
      </c>
      <c r="B352" s="243"/>
      <c r="C352" s="242" t="str">
        <f t="shared" si="5"/>
        <v>348 Worcester</v>
      </c>
      <c r="D352" s="247">
        <v>348</v>
      </c>
      <c r="E352" s="248" t="s">
        <v>1614</v>
      </c>
      <c r="F352" s="248" t="s">
        <v>2687</v>
      </c>
      <c r="K352" s="242">
        <v>86003</v>
      </c>
      <c r="L352" s="242">
        <v>3</v>
      </c>
      <c r="M352" s="242">
        <v>860</v>
      </c>
      <c r="N352" s="242" t="s">
        <v>1141</v>
      </c>
      <c r="O352" s="242">
        <v>124</v>
      </c>
      <c r="P352" s="242" t="s">
        <v>820</v>
      </c>
    </row>
    <row r="353" spans="1:16" s="242" customFormat="1">
      <c r="A353" s="243">
        <v>349</v>
      </c>
      <c r="B353" s="243"/>
      <c r="C353" s="242" t="str">
        <f t="shared" si="5"/>
        <v>349 Worthington</v>
      </c>
      <c r="D353" s="247">
        <v>349</v>
      </c>
      <c r="E353" s="248" t="s">
        <v>1615</v>
      </c>
      <c r="F353" s="248" t="s">
        <v>2688</v>
      </c>
      <c r="K353" s="242">
        <v>86004</v>
      </c>
      <c r="L353" s="242">
        <v>4</v>
      </c>
      <c r="M353" s="242">
        <v>860</v>
      </c>
      <c r="N353" s="242" t="s">
        <v>1141</v>
      </c>
      <c r="O353" s="242">
        <v>191</v>
      </c>
      <c r="P353" s="242" t="s">
        <v>930</v>
      </c>
    </row>
    <row r="354" spans="1:16" s="242" customFormat="1">
      <c r="A354" s="243">
        <v>350</v>
      </c>
      <c r="B354" s="243"/>
      <c r="C354" s="242" t="str">
        <f t="shared" si="5"/>
        <v>350 Wrentham</v>
      </c>
      <c r="D354" s="247">
        <v>350</v>
      </c>
      <c r="E354" s="248" t="s">
        <v>1616</v>
      </c>
      <c r="F354" s="248" t="s">
        <v>2689</v>
      </c>
      <c r="K354" s="242">
        <v>86005</v>
      </c>
      <c r="L354" s="242">
        <v>5</v>
      </c>
      <c r="M354" s="242">
        <v>860</v>
      </c>
      <c r="N354" s="242" t="s">
        <v>1141</v>
      </c>
      <c r="O354" s="242">
        <v>202</v>
      </c>
      <c r="P354" s="242" t="s">
        <v>942</v>
      </c>
    </row>
    <row r="355" spans="1:16" s="242" customFormat="1">
      <c r="A355" s="243">
        <v>351</v>
      </c>
      <c r="B355" s="243"/>
      <c r="C355" s="242" t="str">
        <f t="shared" si="5"/>
        <v>351 Yarmouth</v>
      </c>
      <c r="D355" s="247">
        <v>351</v>
      </c>
      <c r="E355" s="248" t="s">
        <v>1617</v>
      </c>
      <c r="F355" s="248" t="s">
        <v>2690</v>
      </c>
      <c r="K355" s="242">
        <v>86006</v>
      </c>
      <c r="L355" s="242">
        <v>6</v>
      </c>
      <c r="M355" s="242">
        <v>860</v>
      </c>
      <c r="N355" s="242" t="s">
        <v>1141</v>
      </c>
      <c r="O355" s="242">
        <v>222</v>
      </c>
      <c r="P355" s="242" t="s">
        <v>971</v>
      </c>
    </row>
    <row r="356" spans="1:16" s="242" customFormat="1">
      <c r="A356" s="243">
        <v>352</v>
      </c>
      <c r="B356" s="243"/>
      <c r="C356" s="242" t="str">
        <f t="shared" si="5"/>
        <v>352 Devens</v>
      </c>
      <c r="D356" s="247">
        <v>352</v>
      </c>
      <c r="E356" s="248" t="s">
        <v>1618</v>
      </c>
      <c r="F356" s="248" t="s">
        <v>2691</v>
      </c>
      <c r="K356" s="242">
        <v>86007</v>
      </c>
      <c r="L356" s="242">
        <v>7</v>
      </c>
      <c r="M356" s="242">
        <v>860</v>
      </c>
      <c r="N356" s="242" t="s">
        <v>1141</v>
      </c>
      <c r="O356" s="242">
        <v>227</v>
      </c>
      <c r="P356" s="242" t="s">
        <v>986</v>
      </c>
    </row>
    <row r="357" spans="1:16" s="242" customFormat="1" ht="13.5" thickBot="1">
      <c r="A357" s="243">
        <v>353</v>
      </c>
      <c r="B357" s="243"/>
      <c r="C357" s="242" t="str">
        <f t="shared" si="5"/>
        <v>353 Southfield</v>
      </c>
      <c r="D357" s="247">
        <v>353</v>
      </c>
      <c r="E357" s="248" t="s">
        <v>1619</v>
      </c>
      <c r="F357" s="248" t="s">
        <v>2692</v>
      </c>
      <c r="K357" s="242">
        <v>86008</v>
      </c>
      <c r="L357" s="242">
        <v>8</v>
      </c>
      <c r="M357" s="242">
        <v>860</v>
      </c>
      <c r="N357" s="242" t="s">
        <v>1141</v>
      </c>
      <c r="O357" s="242">
        <v>309</v>
      </c>
      <c r="P357" s="242" t="s">
        <v>1086</v>
      </c>
    </row>
    <row r="358" spans="1:16" s="242" customFormat="1">
      <c r="A358" s="243">
        <v>354</v>
      </c>
      <c r="B358" s="249">
        <v>1</v>
      </c>
      <c r="C358" s="250" t="str">
        <f t="shared" si="5"/>
        <v>406 Northampton Smith</v>
      </c>
      <c r="D358" s="251">
        <v>406</v>
      </c>
      <c r="E358" s="252" t="s">
        <v>1620</v>
      </c>
      <c r="F358" s="248" t="s">
        <v>2693</v>
      </c>
      <c r="K358" s="242">
        <v>86009</v>
      </c>
      <c r="L358" s="242">
        <v>9</v>
      </c>
      <c r="M358" s="242">
        <v>860</v>
      </c>
      <c r="N358" s="242" t="s">
        <v>1141</v>
      </c>
      <c r="O358" s="242">
        <v>311</v>
      </c>
      <c r="P358" s="242" t="s">
        <v>1088</v>
      </c>
    </row>
    <row r="359" spans="1:16" s="242" customFormat="1">
      <c r="A359" s="243">
        <v>355</v>
      </c>
      <c r="B359" s="254">
        <v>2</v>
      </c>
      <c r="C359" s="242" t="str">
        <f t="shared" si="5"/>
        <v>600 Acton Boxborough</v>
      </c>
      <c r="D359" s="247">
        <v>600</v>
      </c>
      <c r="E359" s="255" t="s">
        <v>1621</v>
      </c>
      <c r="F359" s="248" t="s">
        <v>2694</v>
      </c>
      <c r="K359" s="242">
        <v>87101</v>
      </c>
      <c r="L359" s="242">
        <v>1</v>
      </c>
      <c r="M359" s="242">
        <v>871</v>
      </c>
      <c r="N359" s="242" t="s">
        <v>639</v>
      </c>
      <c r="O359" s="242">
        <v>23</v>
      </c>
      <c r="P359" s="242" t="s">
        <v>32</v>
      </c>
    </row>
    <row r="360" spans="1:16" s="242" customFormat="1">
      <c r="A360" s="243">
        <v>356</v>
      </c>
      <c r="B360" s="254">
        <v>3</v>
      </c>
      <c r="C360" s="242" t="str">
        <f t="shared" si="5"/>
        <v>603 Adams Cheshire</v>
      </c>
      <c r="D360" s="247">
        <v>603</v>
      </c>
      <c r="E360" s="255" t="s">
        <v>1622</v>
      </c>
      <c r="F360" s="248" t="s">
        <v>2695</v>
      </c>
      <c r="K360" s="242">
        <v>87102</v>
      </c>
      <c r="L360" s="242">
        <v>2</v>
      </c>
      <c r="M360" s="242">
        <v>871</v>
      </c>
      <c r="N360" s="242" t="s">
        <v>639</v>
      </c>
      <c r="O360" s="242">
        <v>31</v>
      </c>
      <c r="P360" s="242" t="s">
        <v>48</v>
      </c>
    </row>
    <row r="361" spans="1:16" s="242" customFormat="1">
      <c r="A361" s="243">
        <v>357</v>
      </c>
      <c r="B361" s="254">
        <v>4</v>
      </c>
      <c r="C361" s="242" t="str">
        <f t="shared" si="5"/>
        <v>605 Amherst Pelham</v>
      </c>
      <c r="D361" s="247">
        <v>605</v>
      </c>
      <c r="E361" s="255" t="s">
        <v>1623</v>
      </c>
      <c r="F361" s="248" t="s">
        <v>2696</v>
      </c>
      <c r="K361" s="242">
        <v>87103</v>
      </c>
      <c r="L361" s="242">
        <v>3</v>
      </c>
      <c r="M361" s="242">
        <v>871</v>
      </c>
      <c r="N361" s="242" t="s">
        <v>639</v>
      </c>
      <c r="O361" s="242">
        <v>48</v>
      </c>
      <c r="P361" s="242" t="s">
        <v>706</v>
      </c>
    </row>
    <row r="362" spans="1:16" s="242" customFormat="1">
      <c r="A362" s="243">
        <v>358</v>
      </c>
      <c r="B362" s="254">
        <v>5</v>
      </c>
      <c r="C362" s="242" t="str">
        <f t="shared" si="5"/>
        <v>610 Ashburnham Westminster</v>
      </c>
      <c r="D362" s="247">
        <v>610</v>
      </c>
      <c r="E362" s="255" t="s">
        <v>1624</v>
      </c>
      <c r="F362" s="248" t="s">
        <v>2697</v>
      </c>
      <c r="K362" s="242">
        <v>87104</v>
      </c>
      <c r="L362" s="242">
        <v>4</v>
      </c>
      <c r="M362" s="242">
        <v>871</v>
      </c>
      <c r="N362" s="242" t="s">
        <v>639</v>
      </c>
      <c r="O362" s="242">
        <v>295</v>
      </c>
      <c r="P362" s="242" t="s">
        <v>1072</v>
      </c>
    </row>
    <row r="363" spans="1:16" s="242" customFormat="1">
      <c r="A363" s="243">
        <v>359</v>
      </c>
      <c r="B363" s="254">
        <v>6</v>
      </c>
      <c r="C363" s="242" t="str">
        <f t="shared" si="5"/>
        <v>615 Athol Royalston</v>
      </c>
      <c r="D363" s="247">
        <v>615</v>
      </c>
      <c r="E363" s="255" t="s">
        <v>1625</v>
      </c>
      <c r="F363" s="248" t="s">
        <v>2698</v>
      </c>
      <c r="K363" s="242">
        <v>87105</v>
      </c>
      <c r="L363" s="242">
        <v>5</v>
      </c>
      <c r="M363" s="242">
        <v>871</v>
      </c>
      <c r="N363" s="242" t="s">
        <v>639</v>
      </c>
      <c r="O363" s="242">
        <v>342</v>
      </c>
      <c r="P363" s="242" t="s">
        <v>1120</v>
      </c>
    </row>
    <row r="364" spans="1:16" s="242" customFormat="1">
      <c r="A364" s="243">
        <v>360</v>
      </c>
      <c r="B364" s="254">
        <v>7</v>
      </c>
      <c r="C364" s="242" t="str">
        <f t="shared" si="5"/>
        <v>616 Ayer Shirley</v>
      </c>
      <c r="D364" s="247">
        <v>616</v>
      </c>
      <c r="E364" s="255" t="s">
        <v>1626</v>
      </c>
      <c r="F364" s="248" t="s">
        <v>2699</v>
      </c>
      <c r="K364" s="242">
        <v>87201</v>
      </c>
      <c r="L364" s="242">
        <v>1</v>
      </c>
      <c r="M364" s="242">
        <v>872</v>
      </c>
      <c r="N364" s="242" t="s">
        <v>640</v>
      </c>
      <c r="O364" s="242">
        <v>44</v>
      </c>
      <c r="P364" s="242" t="s">
        <v>701</v>
      </c>
    </row>
    <row r="365" spans="1:16" s="242" customFormat="1">
      <c r="A365" s="243">
        <v>361</v>
      </c>
      <c r="B365" s="254">
        <v>8</v>
      </c>
      <c r="C365" s="242" t="str">
        <f t="shared" si="5"/>
        <v>618 Berkshire Hills</v>
      </c>
      <c r="D365" s="247">
        <v>618</v>
      </c>
      <c r="E365" s="255" t="s">
        <v>1627</v>
      </c>
      <c r="F365" s="248" t="s">
        <v>2700</v>
      </c>
      <c r="K365" s="242">
        <v>87202</v>
      </c>
      <c r="L365" s="242">
        <v>2</v>
      </c>
      <c r="M365" s="242">
        <v>872</v>
      </c>
      <c r="N365" s="242" t="s">
        <v>640</v>
      </c>
      <c r="O365" s="242">
        <v>83</v>
      </c>
      <c r="P365" s="242" t="s">
        <v>767</v>
      </c>
    </row>
    <row r="366" spans="1:16" s="242" customFormat="1">
      <c r="A366" s="243">
        <v>362</v>
      </c>
      <c r="B366" s="254">
        <v>9</v>
      </c>
      <c r="C366" s="242" t="str">
        <f t="shared" si="5"/>
        <v>620 Berlin Boylston</v>
      </c>
      <c r="D366" s="247">
        <v>620</v>
      </c>
      <c r="E366" s="255" t="s">
        <v>1628</v>
      </c>
      <c r="F366" s="248" t="s">
        <v>2701</v>
      </c>
      <c r="K366" s="242">
        <v>87203</v>
      </c>
      <c r="L366" s="242">
        <v>3</v>
      </c>
      <c r="M366" s="242">
        <v>872</v>
      </c>
      <c r="N366" s="242" t="s">
        <v>640</v>
      </c>
      <c r="O366" s="242">
        <v>88</v>
      </c>
      <c r="P366" s="242" t="s">
        <v>773</v>
      </c>
    </row>
    <row r="367" spans="1:16" s="242" customFormat="1">
      <c r="A367" s="243">
        <v>363</v>
      </c>
      <c r="B367" s="254">
        <v>10</v>
      </c>
      <c r="C367" s="242" t="str">
        <f t="shared" si="5"/>
        <v>622 Blackstone Millville</v>
      </c>
      <c r="D367" s="247">
        <v>622</v>
      </c>
      <c r="E367" s="255" t="s">
        <v>1629</v>
      </c>
      <c r="F367" s="248" t="s">
        <v>2702</v>
      </c>
      <c r="K367" s="242">
        <v>87204</v>
      </c>
      <c r="L367" s="242">
        <v>4</v>
      </c>
      <c r="M367" s="242">
        <v>872</v>
      </c>
      <c r="N367" s="242" t="s">
        <v>640</v>
      </c>
      <c r="O367" s="242">
        <v>99</v>
      </c>
      <c r="P367" s="242" t="s">
        <v>786</v>
      </c>
    </row>
    <row r="368" spans="1:16" s="242" customFormat="1">
      <c r="A368" s="243">
        <v>364</v>
      </c>
      <c r="B368" s="254">
        <v>11</v>
      </c>
      <c r="C368" s="242" t="str">
        <f t="shared" si="5"/>
        <v>625 Bridgewater Raynham</v>
      </c>
      <c r="D368" s="247">
        <v>625</v>
      </c>
      <c r="E368" s="255" t="s">
        <v>1630</v>
      </c>
      <c r="F368" s="248" t="s">
        <v>2703</v>
      </c>
      <c r="K368" s="242">
        <v>87205</v>
      </c>
      <c r="L368" s="242">
        <v>5</v>
      </c>
      <c r="M368" s="242">
        <v>872</v>
      </c>
      <c r="N368" s="242" t="s">
        <v>640</v>
      </c>
      <c r="O368" s="242">
        <v>167</v>
      </c>
      <c r="P368" s="242" t="s">
        <v>902</v>
      </c>
    </row>
    <row r="369" spans="1:16" s="242" customFormat="1">
      <c r="A369" s="243">
        <v>365</v>
      </c>
      <c r="B369" s="254">
        <v>12</v>
      </c>
      <c r="C369" s="242" t="str">
        <f t="shared" si="5"/>
        <v>632 Chesterfield Goshen</v>
      </c>
      <c r="D369" s="247">
        <v>632</v>
      </c>
      <c r="E369" s="255" t="s">
        <v>1631</v>
      </c>
      <c r="F369" s="248" t="s">
        <v>2704</v>
      </c>
      <c r="K369" s="242">
        <v>87206</v>
      </c>
      <c r="L369" s="242">
        <v>6</v>
      </c>
      <c r="M369" s="242">
        <v>872</v>
      </c>
      <c r="N369" s="242" t="s">
        <v>640</v>
      </c>
      <c r="O369" s="242">
        <v>218</v>
      </c>
      <c r="P369" s="242" t="s">
        <v>965</v>
      </c>
    </row>
    <row r="370" spans="1:16" s="242" customFormat="1">
      <c r="A370" s="243">
        <v>366</v>
      </c>
      <c r="B370" s="254">
        <v>13</v>
      </c>
      <c r="C370" s="242" t="str">
        <f t="shared" si="5"/>
        <v>635 Central Berkshire</v>
      </c>
      <c r="D370" s="247">
        <v>635</v>
      </c>
      <c r="E370" s="255" t="s">
        <v>1632</v>
      </c>
      <c r="F370" s="248" t="s">
        <v>2705</v>
      </c>
      <c r="K370" s="242">
        <v>87207</v>
      </c>
      <c r="L370" s="242">
        <v>7</v>
      </c>
      <c r="M370" s="242">
        <v>872</v>
      </c>
      <c r="N370" s="242" t="s">
        <v>640</v>
      </c>
      <c r="O370" s="242">
        <v>266</v>
      </c>
      <c r="P370" s="242" t="s">
        <v>1036</v>
      </c>
    </row>
    <row r="371" spans="1:16" s="242" customFormat="1">
      <c r="A371" s="243">
        <v>367</v>
      </c>
      <c r="B371" s="254">
        <v>14</v>
      </c>
      <c r="C371" s="242" t="str">
        <f t="shared" si="5"/>
        <v>640 Concord Carlisle</v>
      </c>
      <c r="D371" s="247">
        <v>640</v>
      </c>
      <c r="E371" s="255" t="s">
        <v>1633</v>
      </c>
      <c r="F371" s="248" t="s">
        <v>2706</v>
      </c>
      <c r="K371" s="242">
        <v>87208</v>
      </c>
      <c r="L371" s="242">
        <v>8</v>
      </c>
      <c r="M371" s="242">
        <v>872</v>
      </c>
      <c r="N371" s="242" t="s">
        <v>640</v>
      </c>
      <c r="O371" s="242">
        <v>285</v>
      </c>
      <c r="P371" s="242" t="s">
        <v>1062</v>
      </c>
    </row>
    <row r="372" spans="1:16" s="242" customFormat="1">
      <c r="A372" s="243">
        <v>368</v>
      </c>
      <c r="B372" s="254">
        <v>15</v>
      </c>
      <c r="C372" s="242" t="str">
        <f t="shared" si="5"/>
        <v>645 Dennis Yarmouth</v>
      </c>
      <c r="D372" s="247">
        <v>645</v>
      </c>
      <c r="E372" s="255" t="s">
        <v>1634</v>
      </c>
      <c r="F372" s="248" t="s">
        <v>2707</v>
      </c>
      <c r="K372" s="242">
        <v>87209</v>
      </c>
      <c r="L372" s="242">
        <v>9</v>
      </c>
      <c r="M372" s="242">
        <v>872</v>
      </c>
      <c r="N372" s="242" t="s">
        <v>640</v>
      </c>
      <c r="O372" s="242">
        <v>323</v>
      </c>
      <c r="P372" s="242" t="s">
        <v>1101</v>
      </c>
    </row>
    <row r="373" spans="1:16" s="242" customFormat="1">
      <c r="A373" s="243">
        <v>369</v>
      </c>
      <c r="B373" s="254">
        <v>16</v>
      </c>
      <c r="C373" s="242" t="str">
        <f t="shared" si="5"/>
        <v>650 Dighton Rehoboth</v>
      </c>
      <c r="D373" s="247">
        <v>650</v>
      </c>
      <c r="E373" s="255" t="s">
        <v>1635</v>
      </c>
      <c r="F373" s="248" t="s">
        <v>2708</v>
      </c>
      <c r="K373" s="242">
        <v>87301</v>
      </c>
      <c r="L373" s="242">
        <v>1</v>
      </c>
      <c r="M373" s="242">
        <v>873</v>
      </c>
      <c r="N373" s="242" t="s">
        <v>641</v>
      </c>
      <c r="O373" s="242">
        <v>1</v>
      </c>
      <c r="P373" s="242" t="s">
        <v>1161</v>
      </c>
    </row>
    <row r="374" spans="1:16" s="242" customFormat="1">
      <c r="A374" s="243">
        <v>370</v>
      </c>
      <c r="B374" s="254">
        <v>17</v>
      </c>
      <c r="C374" s="242" t="str">
        <f t="shared" si="5"/>
        <v>655 Dover Sherborn</v>
      </c>
      <c r="D374" s="247">
        <v>655</v>
      </c>
      <c r="E374" s="255" t="s">
        <v>1636</v>
      </c>
      <c r="F374" s="248" t="s">
        <v>2709</v>
      </c>
      <c r="K374" s="242">
        <v>87302</v>
      </c>
      <c r="L374" s="242">
        <v>2</v>
      </c>
      <c r="M374" s="242">
        <v>873</v>
      </c>
      <c r="N374" s="242" t="s">
        <v>641</v>
      </c>
      <c r="O374" s="242">
        <v>65</v>
      </c>
      <c r="P374" s="242" t="s">
        <v>736</v>
      </c>
    </row>
    <row r="375" spans="1:16" s="242" customFormat="1">
      <c r="A375" s="243">
        <v>371</v>
      </c>
      <c r="B375" s="254">
        <v>18</v>
      </c>
      <c r="C375" s="242" t="str">
        <f t="shared" si="5"/>
        <v>658 Dudley Charlton</v>
      </c>
      <c r="D375" s="247">
        <v>658</v>
      </c>
      <c r="E375" s="255" t="s">
        <v>1637</v>
      </c>
      <c r="F375" s="248" t="s">
        <v>2710</v>
      </c>
      <c r="K375" s="242">
        <v>87303</v>
      </c>
      <c r="L375" s="242">
        <v>3</v>
      </c>
      <c r="M375" s="242">
        <v>873</v>
      </c>
      <c r="N375" s="242" t="s">
        <v>641</v>
      </c>
      <c r="O375" s="242">
        <v>122</v>
      </c>
      <c r="P375" s="242" t="s">
        <v>817</v>
      </c>
    </row>
    <row r="376" spans="1:16" s="242" customFormat="1">
      <c r="A376" s="243">
        <v>372</v>
      </c>
      <c r="B376" s="254">
        <v>19</v>
      </c>
      <c r="C376" s="242" t="str">
        <f t="shared" si="5"/>
        <v>660 Nauset</v>
      </c>
      <c r="D376" s="247">
        <v>660</v>
      </c>
      <c r="E376" s="255" t="s">
        <v>1638</v>
      </c>
      <c r="F376" s="248" t="s">
        <v>2711</v>
      </c>
      <c r="K376" s="242">
        <v>87304</v>
      </c>
      <c r="L376" s="242">
        <v>4</v>
      </c>
      <c r="M376" s="242">
        <v>873</v>
      </c>
      <c r="N376" s="242" t="s">
        <v>641</v>
      </c>
      <c r="O376" s="242">
        <v>123</v>
      </c>
      <c r="P376" s="242" t="s">
        <v>818</v>
      </c>
    </row>
    <row r="377" spans="1:16" s="242" customFormat="1">
      <c r="A377" s="243">
        <v>373</v>
      </c>
      <c r="B377" s="254">
        <v>20</v>
      </c>
      <c r="C377" s="242" t="str">
        <f t="shared" si="5"/>
        <v>662 Farmington River</v>
      </c>
      <c r="D377" s="247">
        <v>662</v>
      </c>
      <c r="E377" s="255" t="s">
        <v>1639</v>
      </c>
      <c r="F377" s="248" t="s">
        <v>2712</v>
      </c>
      <c r="K377" s="242">
        <v>87305</v>
      </c>
      <c r="L377" s="242">
        <v>5</v>
      </c>
      <c r="M377" s="242">
        <v>873</v>
      </c>
      <c r="N377" s="242" t="s">
        <v>641</v>
      </c>
      <c r="O377" s="242">
        <v>219</v>
      </c>
      <c r="P377" s="242" t="s">
        <v>967</v>
      </c>
    </row>
    <row r="378" spans="1:16" s="242" customFormat="1">
      <c r="A378" s="243">
        <v>374</v>
      </c>
      <c r="B378" s="254">
        <v>21</v>
      </c>
      <c r="C378" s="242" t="str">
        <f t="shared" si="5"/>
        <v>665 Freetown Lakeville</v>
      </c>
      <c r="D378" s="247">
        <v>665</v>
      </c>
      <c r="E378" s="255" t="s">
        <v>1640</v>
      </c>
      <c r="F378" s="248" t="s">
        <v>2713</v>
      </c>
      <c r="K378" s="242">
        <v>87306</v>
      </c>
      <c r="L378" s="242">
        <v>6</v>
      </c>
      <c r="M378" s="242">
        <v>873</v>
      </c>
      <c r="N378" s="242" t="s">
        <v>641</v>
      </c>
      <c r="O378" s="242">
        <v>251</v>
      </c>
      <c r="P378" s="242" t="s">
        <v>1021</v>
      </c>
    </row>
    <row r="379" spans="1:16" s="242" customFormat="1">
      <c r="A379" s="243">
        <v>375</v>
      </c>
      <c r="B379" s="254">
        <v>22</v>
      </c>
      <c r="C379" s="242" t="str">
        <f t="shared" si="5"/>
        <v>670 Frontier</v>
      </c>
      <c r="D379" s="247">
        <v>670</v>
      </c>
      <c r="E379" s="255" t="s">
        <v>1641</v>
      </c>
      <c r="F379" s="248" t="s">
        <v>2714</v>
      </c>
      <c r="K379" s="242">
        <v>87307</v>
      </c>
      <c r="L379" s="242">
        <v>7</v>
      </c>
      <c r="M379" s="242">
        <v>873</v>
      </c>
      <c r="N379" s="242" t="s">
        <v>641</v>
      </c>
      <c r="O379" s="242">
        <v>264</v>
      </c>
      <c r="P379" s="242" t="s">
        <v>1034</v>
      </c>
    </row>
    <row r="380" spans="1:16" s="242" customFormat="1">
      <c r="A380" s="243">
        <v>376</v>
      </c>
      <c r="B380" s="254">
        <v>23</v>
      </c>
      <c r="C380" s="242" t="str">
        <f t="shared" si="5"/>
        <v>672 Gateway</v>
      </c>
      <c r="D380" s="247">
        <v>672</v>
      </c>
      <c r="E380" s="255" t="s">
        <v>1642</v>
      </c>
      <c r="F380" s="248" t="s">
        <v>2715</v>
      </c>
      <c r="K380" s="242">
        <v>87308</v>
      </c>
      <c r="L380" s="242">
        <v>8</v>
      </c>
      <c r="M380" s="242">
        <v>873</v>
      </c>
      <c r="N380" s="242" t="s">
        <v>641</v>
      </c>
      <c r="O380" s="242">
        <v>338</v>
      </c>
      <c r="P380" s="242" t="s">
        <v>1116</v>
      </c>
    </row>
    <row r="381" spans="1:16" s="242" customFormat="1">
      <c r="A381" s="243">
        <v>377</v>
      </c>
      <c r="B381" s="254">
        <v>24</v>
      </c>
      <c r="C381" s="242" t="str">
        <f t="shared" si="5"/>
        <v>673 Groton Dunstable</v>
      </c>
      <c r="D381" s="247">
        <v>673</v>
      </c>
      <c r="E381" s="255" t="s">
        <v>1643</v>
      </c>
      <c r="F381" s="248" t="s">
        <v>2716</v>
      </c>
      <c r="K381" s="242">
        <v>87601</v>
      </c>
      <c r="L381" s="242">
        <v>1</v>
      </c>
      <c r="M381" s="242">
        <v>876</v>
      </c>
      <c r="N381" s="242" t="s">
        <v>642</v>
      </c>
      <c r="O381" s="242">
        <v>17</v>
      </c>
      <c r="P381" s="242" t="s">
        <v>20</v>
      </c>
    </row>
    <row r="382" spans="1:16" s="242" customFormat="1">
      <c r="A382" s="243">
        <v>378</v>
      </c>
      <c r="B382" s="254">
        <v>25</v>
      </c>
      <c r="C382" s="242" t="str">
        <f t="shared" si="5"/>
        <v>674 Gill Montague</v>
      </c>
      <c r="D382" s="247">
        <v>674</v>
      </c>
      <c r="E382" s="255" t="s">
        <v>1644</v>
      </c>
      <c r="F382" s="248" t="s">
        <v>2717</v>
      </c>
      <c r="K382" s="242">
        <v>87602</v>
      </c>
      <c r="L382" s="242">
        <v>2</v>
      </c>
      <c r="M382" s="242">
        <v>876</v>
      </c>
      <c r="N382" s="242" t="s">
        <v>642</v>
      </c>
      <c r="O382" s="242">
        <v>54</v>
      </c>
      <c r="P382" s="242" t="s">
        <v>714</v>
      </c>
    </row>
    <row r="383" spans="1:16" s="242" customFormat="1">
      <c r="A383" s="243">
        <v>379</v>
      </c>
      <c r="B383" s="254">
        <v>26</v>
      </c>
      <c r="C383" s="242" t="str">
        <f t="shared" si="5"/>
        <v>675 Hamilton Wenham</v>
      </c>
      <c r="D383" s="247">
        <v>675</v>
      </c>
      <c r="E383" s="255" t="s">
        <v>1645</v>
      </c>
      <c r="F383" s="248" t="s">
        <v>2718</v>
      </c>
      <c r="K383" s="242">
        <v>87603</v>
      </c>
      <c r="L383" s="242">
        <v>3</v>
      </c>
      <c r="M383" s="242">
        <v>876</v>
      </c>
      <c r="N383" s="242" t="s">
        <v>642</v>
      </c>
      <c r="O383" s="242">
        <v>80</v>
      </c>
      <c r="P383" s="242" t="s">
        <v>763</v>
      </c>
    </row>
    <row r="384" spans="1:16" s="242" customFormat="1">
      <c r="A384" s="243">
        <v>380</v>
      </c>
      <c r="B384" s="254">
        <v>27</v>
      </c>
      <c r="C384" s="242" t="str">
        <f t="shared" si="5"/>
        <v>680 Hampden Wilbraham</v>
      </c>
      <c r="D384" s="247">
        <v>680</v>
      </c>
      <c r="E384" s="255" t="s">
        <v>1646</v>
      </c>
      <c r="F384" s="248" t="s">
        <v>2719</v>
      </c>
      <c r="K384" s="242">
        <v>87604</v>
      </c>
      <c r="L384" s="242">
        <v>4</v>
      </c>
      <c r="M384" s="242">
        <v>876</v>
      </c>
      <c r="N384" s="242" t="s">
        <v>642</v>
      </c>
      <c r="O384" s="242">
        <v>215</v>
      </c>
      <c r="P384" s="242" t="s">
        <v>962</v>
      </c>
    </row>
    <row r="385" spans="1:16" s="242" customFormat="1">
      <c r="A385" s="243">
        <v>381</v>
      </c>
      <c r="B385" s="254">
        <v>28</v>
      </c>
      <c r="C385" s="242" t="str">
        <f t="shared" si="5"/>
        <v>683 Hampshire</v>
      </c>
      <c r="D385" s="247">
        <v>683</v>
      </c>
      <c r="E385" s="255" t="s">
        <v>1647</v>
      </c>
      <c r="F385" s="248" t="s">
        <v>2720</v>
      </c>
      <c r="K385" s="242">
        <v>87605</v>
      </c>
      <c r="L385" s="242">
        <v>5</v>
      </c>
      <c r="M385" s="242">
        <v>876</v>
      </c>
      <c r="N385" s="242" t="s">
        <v>642</v>
      </c>
      <c r="O385" s="242">
        <v>226</v>
      </c>
      <c r="P385" s="242" t="s">
        <v>985</v>
      </c>
    </row>
    <row r="386" spans="1:16" s="242" customFormat="1">
      <c r="A386" s="243">
        <v>382</v>
      </c>
      <c r="B386" s="254">
        <v>29</v>
      </c>
      <c r="C386" s="242" t="str">
        <f t="shared" si="5"/>
        <v>685 Hawlemont</v>
      </c>
      <c r="D386" s="247">
        <v>685</v>
      </c>
      <c r="E386" s="255" t="s">
        <v>1648</v>
      </c>
      <c r="F386" s="248" t="s">
        <v>2721</v>
      </c>
      <c r="K386" s="242">
        <v>87606</v>
      </c>
      <c r="L386" s="242">
        <v>6</v>
      </c>
      <c r="M386" s="242">
        <v>876</v>
      </c>
      <c r="N386" s="242" t="s">
        <v>642</v>
      </c>
      <c r="O386" s="242">
        <v>228</v>
      </c>
      <c r="P386" s="242" t="s">
        <v>987</v>
      </c>
    </row>
    <row r="387" spans="1:16" s="242" customFormat="1">
      <c r="A387" s="243">
        <v>383</v>
      </c>
      <c r="B387" s="254">
        <v>30</v>
      </c>
      <c r="C387" s="242" t="str">
        <f t="shared" si="5"/>
        <v>690 King Philip</v>
      </c>
      <c r="D387" s="247">
        <v>690</v>
      </c>
      <c r="E387" s="255" t="s">
        <v>1649</v>
      </c>
      <c r="F387" s="248" t="s">
        <v>2722</v>
      </c>
      <c r="K387" s="242">
        <v>87607</v>
      </c>
      <c r="L387" s="242">
        <v>7</v>
      </c>
      <c r="M387" s="242">
        <v>876</v>
      </c>
      <c r="N387" s="242" t="s">
        <v>642</v>
      </c>
      <c r="O387" s="242">
        <v>257</v>
      </c>
      <c r="P387" s="242" t="s">
        <v>1027</v>
      </c>
    </row>
    <row r="388" spans="1:16" s="242" customFormat="1">
      <c r="A388" s="243">
        <v>384</v>
      </c>
      <c r="B388" s="254">
        <v>31</v>
      </c>
      <c r="C388" s="242" t="str">
        <f t="shared" si="5"/>
        <v>695 Lincoln Sudbury</v>
      </c>
      <c r="D388" s="247">
        <v>695</v>
      </c>
      <c r="E388" s="255" t="s">
        <v>1650</v>
      </c>
      <c r="F388" s="248" t="s">
        <v>2723</v>
      </c>
      <c r="K388" s="242">
        <v>87608</v>
      </c>
      <c r="L388" s="242">
        <v>8</v>
      </c>
      <c r="M388" s="242">
        <v>876</v>
      </c>
      <c r="N388" s="242" t="s">
        <v>642</v>
      </c>
      <c r="O388" s="242">
        <v>277</v>
      </c>
      <c r="P388" s="242" t="s">
        <v>1053</v>
      </c>
    </row>
    <row r="389" spans="1:16" s="242" customFormat="1">
      <c r="A389" s="243">
        <v>385</v>
      </c>
      <c r="B389" s="254">
        <v>32</v>
      </c>
      <c r="C389" s="242" t="str">
        <f t="shared" si="5"/>
        <v>698 Manchester Essex</v>
      </c>
      <c r="D389" s="247">
        <v>698</v>
      </c>
      <c r="E389" s="255" t="s">
        <v>1651</v>
      </c>
      <c r="F389" s="248" t="s">
        <v>2724</v>
      </c>
      <c r="K389" s="242">
        <v>87609</v>
      </c>
      <c r="L389" s="242">
        <v>9</v>
      </c>
      <c r="M389" s="242">
        <v>876</v>
      </c>
      <c r="N389" s="242" t="s">
        <v>642</v>
      </c>
      <c r="O389" s="242">
        <v>280</v>
      </c>
      <c r="P389" s="242" t="s">
        <v>1057</v>
      </c>
    </row>
    <row r="390" spans="1:16" s="242" customFormat="1">
      <c r="A390" s="243">
        <v>386</v>
      </c>
      <c r="B390" s="254">
        <v>33</v>
      </c>
      <c r="C390" s="242" t="str">
        <f t="shared" ref="C390:C445" si="6">PROPER(D390&amp;" "&amp;E390)</f>
        <v>700 Marthas Vineyard</v>
      </c>
      <c r="D390" s="247">
        <v>700</v>
      </c>
      <c r="E390" s="255" t="s">
        <v>1652</v>
      </c>
      <c r="F390" s="248" t="s">
        <v>2725</v>
      </c>
      <c r="K390" s="242">
        <v>87610</v>
      </c>
      <c r="L390" s="242">
        <v>10</v>
      </c>
      <c r="M390" s="242">
        <v>876</v>
      </c>
      <c r="N390" s="242" t="s">
        <v>642</v>
      </c>
      <c r="O390" s="242">
        <v>316</v>
      </c>
      <c r="P390" s="242" t="s">
        <v>1094</v>
      </c>
    </row>
    <row r="391" spans="1:16" s="242" customFormat="1">
      <c r="A391" s="243">
        <v>387</v>
      </c>
      <c r="B391" s="254">
        <v>34</v>
      </c>
      <c r="C391" s="242" t="str">
        <f t="shared" si="6"/>
        <v>705 Masconomet</v>
      </c>
      <c r="D391" s="247">
        <v>705</v>
      </c>
      <c r="E391" s="255" t="s">
        <v>1653</v>
      </c>
      <c r="F391" s="248" t="s">
        <v>2726</v>
      </c>
      <c r="K391" s="242">
        <v>87801</v>
      </c>
      <c r="L391" s="242">
        <v>1</v>
      </c>
      <c r="M391" s="242">
        <v>878</v>
      </c>
      <c r="N391" s="242" t="s">
        <v>643</v>
      </c>
      <c r="O391" s="242">
        <v>101</v>
      </c>
      <c r="P391" s="242" t="s">
        <v>788</v>
      </c>
    </row>
    <row r="392" spans="1:16" s="242" customFormat="1">
      <c r="A392" s="243">
        <v>388</v>
      </c>
      <c r="B392" s="254">
        <v>35</v>
      </c>
      <c r="C392" s="242" t="str">
        <f t="shared" si="6"/>
        <v>710 Mendon Upton</v>
      </c>
      <c r="D392" s="247">
        <v>710</v>
      </c>
      <c r="E392" s="255" t="s">
        <v>1654</v>
      </c>
      <c r="F392" s="248" t="s">
        <v>2727</v>
      </c>
      <c r="K392" s="242">
        <v>87802</v>
      </c>
      <c r="L392" s="242">
        <v>2</v>
      </c>
      <c r="M392" s="242">
        <v>878</v>
      </c>
      <c r="N392" s="242" t="s">
        <v>643</v>
      </c>
      <c r="O392" s="242">
        <v>175</v>
      </c>
      <c r="P392" s="242" t="s">
        <v>911</v>
      </c>
    </row>
    <row r="393" spans="1:16" s="242" customFormat="1">
      <c r="A393" s="243">
        <v>389</v>
      </c>
      <c r="B393" s="254">
        <v>36</v>
      </c>
      <c r="C393" s="242" t="str">
        <f t="shared" si="6"/>
        <v>712 Monomoy</v>
      </c>
      <c r="D393" s="247">
        <v>712</v>
      </c>
      <c r="E393" s="255" t="s">
        <v>1655</v>
      </c>
      <c r="F393" s="248" t="s">
        <v>2728</v>
      </c>
      <c r="K393" s="242">
        <v>87803</v>
      </c>
      <c r="L393" s="242">
        <v>3</v>
      </c>
      <c r="M393" s="242">
        <v>878</v>
      </c>
      <c r="N393" s="242" t="s">
        <v>643</v>
      </c>
      <c r="O393" s="242">
        <v>177</v>
      </c>
      <c r="P393" s="242" t="s">
        <v>915</v>
      </c>
    </row>
    <row r="394" spans="1:16" s="242" customFormat="1">
      <c r="A394" s="243">
        <v>390</v>
      </c>
      <c r="B394" s="254">
        <v>37</v>
      </c>
      <c r="C394" s="242" t="str">
        <f t="shared" si="6"/>
        <v>715 Mount Greylock</v>
      </c>
      <c r="D394" s="247">
        <v>715</v>
      </c>
      <c r="E394" s="255" t="s">
        <v>1656</v>
      </c>
      <c r="F394" s="248" t="s">
        <v>2729</v>
      </c>
      <c r="K394" s="242">
        <v>87804</v>
      </c>
      <c r="L394" s="242">
        <v>4</v>
      </c>
      <c r="M394" s="242">
        <v>878</v>
      </c>
      <c r="N394" s="242" t="s">
        <v>643</v>
      </c>
      <c r="O394" s="242">
        <v>187</v>
      </c>
      <c r="P394" s="242" t="s">
        <v>926</v>
      </c>
    </row>
    <row r="395" spans="1:16" s="242" customFormat="1">
      <c r="A395" s="243">
        <v>391</v>
      </c>
      <c r="B395" s="254">
        <v>38</v>
      </c>
      <c r="C395" s="242" t="str">
        <f t="shared" si="6"/>
        <v>717 Mohawk Trail</v>
      </c>
      <c r="D395" s="247">
        <v>717</v>
      </c>
      <c r="E395" s="255" t="s">
        <v>1657</v>
      </c>
      <c r="F395" s="248" t="s">
        <v>2730</v>
      </c>
      <c r="K395" s="242">
        <v>87805</v>
      </c>
      <c r="L395" s="242">
        <v>5</v>
      </c>
      <c r="M395" s="242">
        <v>878</v>
      </c>
      <c r="N395" s="242" t="s">
        <v>643</v>
      </c>
      <c r="O395" s="242">
        <v>208</v>
      </c>
      <c r="P395" s="242" t="s">
        <v>951</v>
      </c>
    </row>
    <row r="396" spans="1:16" s="242" customFormat="1">
      <c r="A396" s="243">
        <v>392</v>
      </c>
      <c r="B396" s="254">
        <v>39</v>
      </c>
      <c r="C396" s="242" t="str">
        <f t="shared" si="6"/>
        <v>720 Narragansett</v>
      </c>
      <c r="D396" s="247">
        <v>720</v>
      </c>
      <c r="E396" s="255" t="s">
        <v>1658</v>
      </c>
      <c r="F396" s="248" t="s">
        <v>2731</v>
      </c>
      <c r="K396" s="242">
        <v>87806</v>
      </c>
      <c r="L396" s="242">
        <v>6</v>
      </c>
      <c r="M396" s="242">
        <v>878</v>
      </c>
      <c r="N396" s="242" t="s">
        <v>643</v>
      </c>
      <c r="O396" s="242">
        <v>212</v>
      </c>
      <c r="P396" s="242" t="s">
        <v>958</v>
      </c>
    </row>
    <row r="397" spans="1:16" s="242" customFormat="1">
      <c r="A397" s="243">
        <v>393</v>
      </c>
      <c r="B397" s="254">
        <v>40</v>
      </c>
      <c r="C397" s="242" t="str">
        <f t="shared" si="6"/>
        <v>725 Nashoba</v>
      </c>
      <c r="D397" s="247">
        <v>725</v>
      </c>
      <c r="E397" s="255" t="s">
        <v>1659</v>
      </c>
      <c r="F397" s="248" t="s">
        <v>2732</v>
      </c>
      <c r="K397" s="242">
        <v>87807</v>
      </c>
      <c r="L397" s="242">
        <v>7</v>
      </c>
      <c r="M397" s="242">
        <v>878</v>
      </c>
      <c r="N397" s="242" t="s">
        <v>643</v>
      </c>
      <c r="O397" s="242">
        <v>238</v>
      </c>
      <c r="P397" s="242" t="s">
        <v>1008</v>
      </c>
    </row>
    <row r="398" spans="1:16" s="242" customFormat="1">
      <c r="A398" s="243">
        <v>394</v>
      </c>
      <c r="B398" s="254">
        <v>41</v>
      </c>
      <c r="C398" s="242" t="str">
        <f t="shared" si="6"/>
        <v>728 New Salem Wendell</v>
      </c>
      <c r="D398" s="247">
        <v>728</v>
      </c>
      <c r="E398" s="255" t="s">
        <v>1660</v>
      </c>
      <c r="F398" s="248" t="s">
        <v>2733</v>
      </c>
      <c r="K398" s="242">
        <v>87808</v>
      </c>
      <c r="L398" s="242">
        <v>8</v>
      </c>
      <c r="M398" s="242">
        <v>878</v>
      </c>
      <c r="N398" s="242" t="s">
        <v>643</v>
      </c>
      <c r="O398" s="242">
        <v>265</v>
      </c>
      <c r="P398" s="242" t="s">
        <v>1035</v>
      </c>
    </row>
    <row r="399" spans="1:16" s="242" customFormat="1">
      <c r="A399" s="243">
        <v>395</v>
      </c>
      <c r="B399" s="254">
        <v>42</v>
      </c>
      <c r="C399" s="242" t="str">
        <f t="shared" si="6"/>
        <v>730 Northboro Southboro</v>
      </c>
      <c r="D399" s="247">
        <v>730</v>
      </c>
      <c r="E399" s="255" t="s">
        <v>1661</v>
      </c>
      <c r="F399" s="248" t="s">
        <v>2734</v>
      </c>
      <c r="K399" s="242">
        <v>87809</v>
      </c>
      <c r="L399" s="242">
        <v>9</v>
      </c>
      <c r="M399" s="242">
        <v>878</v>
      </c>
      <c r="N399" s="242" t="s">
        <v>643</v>
      </c>
      <c r="O399" s="242">
        <v>269</v>
      </c>
      <c r="P399" s="242" t="s">
        <v>1039</v>
      </c>
    </row>
    <row r="400" spans="1:16" s="242" customFormat="1">
      <c r="A400" s="243">
        <v>396</v>
      </c>
      <c r="B400" s="254">
        <v>43</v>
      </c>
      <c r="C400" s="242" t="str">
        <f t="shared" si="6"/>
        <v>735 North Middlesex</v>
      </c>
      <c r="D400" s="247">
        <v>735</v>
      </c>
      <c r="E400" s="255" t="s">
        <v>1662</v>
      </c>
      <c r="F400" s="248" t="s">
        <v>2735</v>
      </c>
      <c r="K400" s="242">
        <v>87810</v>
      </c>
      <c r="L400" s="242">
        <v>10</v>
      </c>
      <c r="M400" s="242">
        <v>878</v>
      </c>
      <c r="N400" s="242" t="s">
        <v>643</v>
      </c>
      <c r="O400" s="242">
        <v>307</v>
      </c>
      <c r="P400" s="242" t="s">
        <v>1084</v>
      </c>
    </row>
    <row r="401" spans="1:16" s="242" customFormat="1">
      <c r="A401" s="243">
        <v>397</v>
      </c>
      <c r="B401" s="254">
        <v>44</v>
      </c>
      <c r="C401" s="242" t="str">
        <f t="shared" si="6"/>
        <v>740 Old Rochester</v>
      </c>
      <c r="D401" s="247">
        <v>740</v>
      </c>
      <c r="E401" s="255" t="s">
        <v>1663</v>
      </c>
      <c r="F401" s="248" t="s">
        <v>2736</v>
      </c>
      <c r="K401" s="242">
        <v>87811</v>
      </c>
      <c r="L401" s="242">
        <v>11</v>
      </c>
      <c r="M401" s="242">
        <v>878</v>
      </c>
      <c r="N401" s="242" t="s">
        <v>643</v>
      </c>
      <c r="O401" s="242">
        <v>350</v>
      </c>
      <c r="P401" s="242" t="s">
        <v>1128</v>
      </c>
    </row>
    <row r="402" spans="1:16" s="242" customFormat="1">
      <c r="A402" s="243">
        <v>398</v>
      </c>
      <c r="B402" s="254">
        <v>45</v>
      </c>
      <c r="C402" s="242" t="str">
        <f t="shared" si="6"/>
        <v>745 Pentucket</v>
      </c>
      <c r="D402" s="247">
        <v>745</v>
      </c>
      <c r="E402" s="255" t="s">
        <v>1664</v>
      </c>
      <c r="F402" s="248" t="s">
        <v>2737</v>
      </c>
      <c r="K402" s="242">
        <v>87901</v>
      </c>
      <c r="L402" s="242">
        <v>1</v>
      </c>
      <c r="M402" s="242">
        <v>879</v>
      </c>
      <c r="N402" s="242" t="s">
        <v>644</v>
      </c>
      <c r="O402" s="242">
        <v>36</v>
      </c>
      <c r="P402" s="242" t="s">
        <v>686</v>
      </c>
    </row>
    <row r="403" spans="1:16" s="242" customFormat="1">
      <c r="A403" s="243">
        <v>399</v>
      </c>
      <c r="B403" s="254">
        <v>46</v>
      </c>
      <c r="C403" s="242" t="str">
        <f t="shared" si="6"/>
        <v>750 Pioneer</v>
      </c>
      <c r="D403" s="247">
        <v>750</v>
      </c>
      <c r="E403" s="255" t="s">
        <v>1665</v>
      </c>
      <c r="F403" s="248" t="s">
        <v>2738</v>
      </c>
      <c r="K403" s="242">
        <v>87902</v>
      </c>
      <c r="L403" s="242">
        <v>2</v>
      </c>
      <c r="M403" s="242">
        <v>879</v>
      </c>
      <c r="N403" s="242" t="s">
        <v>644</v>
      </c>
      <c r="O403" s="242">
        <v>96</v>
      </c>
      <c r="P403" s="242" t="s">
        <v>783</v>
      </c>
    </row>
    <row r="404" spans="1:16" s="242" customFormat="1">
      <c r="A404" s="243">
        <v>400</v>
      </c>
      <c r="B404" s="254">
        <v>47</v>
      </c>
      <c r="C404" s="242" t="str">
        <f t="shared" si="6"/>
        <v>753 Quabbin</v>
      </c>
      <c r="D404" s="247">
        <v>753</v>
      </c>
      <c r="E404" s="255" t="s">
        <v>1666</v>
      </c>
      <c r="F404" s="248" t="s">
        <v>2739</v>
      </c>
      <c r="K404" s="242">
        <v>87903</v>
      </c>
      <c r="L404" s="242">
        <v>3</v>
      </c>
      <c r="M404" s="242">
        <v>879</v>
      </c>
      <c r="N404" s="242" t="s">
        <v>644</v>
      </c>
      <c r="O404" s="242">
        <v>169</v>
      </c>
      <c r="P404" s="242" t="s">
        <v>904</v>
      </c>
    </row>
    <row r="405" spans="1:16" s="242" customFormat="1">
      <c r="A405" s="243">
        <v>401</v>
      </c>
      <c r="B405" s="254">
        <v>48</v>
      </c>
      <c r="C405" s="242" t="str">
        <f t="shared" si="6"/>
        <v>755 Ralph C Mahar</v>
      </c>
      <c r="D405" s="247">
        <v>755</v>
      </c>
      <c r="E405" s="255" t="s">
        <v>1667</v>
      </c>
      <c r="F405" s="248" t="s">
        <v>2740</v>
      </c>
      <c r="K405" s="242">
        <v>87904</v>
      </c>
      <c r="L405" s="242">
        <v>4</v>
      </c>
      <c r="M405" s="242">
        <v>879</v>
      </c>
      <c r="N405" s="242" t="s">
        <v>644</v>
      </c>
      <c r="O405" s="242">
        <v>261</v>
      </c>
      <c r="P405" s="242" t="s">
        <v>1031</v>
      </c>
    </row>
    <row r="406" spans="1:16" s="242" customFormat="1">
      <c r="A406" s="243">
        <v>402</v>
      </c>
      <c r="B406" s="254">
        <v>49</v>
      </c>
      <c r="C406" s="242" t="str">
        <f t="shared" si="6"/>
        <v>760 Silver Lake</v>
      </c>
      <c r="D406" s="247">
        <v>760</v>
      </c>
      <c r="E406" s="255" t="s">
        <v>1668</v>
      </c>
      <c r="F406" s="248" t="s">
        <v>2741</v>
      </c>
      <c r="K406" s="242">
        <v>87905</v>
      </c>
      <c r="L406" s="242">
        <v>5</v>
      </c>
      <c r="M406" s="242">
        <v>879</v>
      </c>
      <c r="N406" s="242" t="s">
        <v>644</v>
      </c>
      <c r="O406" s="242">
        <v>310</v>
      </c>
      <c r="P406" s="242" t="s">
        <v>1087</v>
      </c>
    </row>
    <row r="407" spans="1:16" s="242" customFormat="1">
      <c r="A407" s="243">
        <v>403</v>
      </c>
      <c r="B407" s="254">
        <v>50</v>
      </c>
      <c r="C407" s="242" t="str">
        <f t="shared" si="6"/>
        <v>763 Somerset Berkley</v>
      </c>
      <c r="D407" s="247">
        <v>763</v>
      </c>
      <c r="E407" s="255" t="s">
        <v>1669</v>
      </c>
      <c r="F407" s="248" t="s">
        <v>2742</v>
      </c>
      <c r="K407" s="242">
        <v>88501</v>
      </c>
      <c r="L407" s="242">
        <v>1</v>
      </c>
      <c r="M407" s="242">
        <v>885</v>
      </c>
      <c r="N407" s="242" t="s">
        <v>645</v>
      </c>
      <c r="O407" s="242">
        <v>7</v>
      </c>
      <c r="P407" s="242" t="s">
        <v>1</v>
      </c>
    </row>
    <row r="408" spans="1:16" s="242" customFormat="1">
      <c r="A408" s="243">
        <v>404</v>
      </c>
      <c r="B408" s="254">
        <v>51</v>
      </c>
      <c r="C408" s="242" t="str">
        <f t="shared" si="6"/>
        <v>765 Southern Berkshire</v>
      </c>
      <c r="D408" s="247">
        <v>765</v>
      </c>
      <c r="E408" s="255" t="s">
        <v>1670</v>
      </c>
      <c r="F408" s="248" t="s">
        <v>2743</v>
      </c>
      <c r="K408" s="242">
        <v>88502</v>
      </c>
      <c r="L408" s="242">
        <v>2</v>
      </c>
      <c r="M408" s="242">
        <v>885</v>
      </c>
      <c r="N408" s="242" t="s">
        <v>645</v>
      </c>
      <c r="O408" s="242">
        <v>105</v>
      </c>
      <c r="P408" s="242" t="s">
        <v>794</v>
      </c>
    </row>
    <row r="409" spans="1:16" s="242" customFormat="1">
      <c r="A409" s="243">
        <v>405</v>
      </c>
      <c r="B409" s="254">
        <v>52</v>
      </c>
      <c r="C409" s="242" t="str">
        <f t="shared" si="6"/>
        <v>766 Southwick Tolland Granville</v>
      </c>
      <c r="D409" s="247">
        <v>766</v>
      </c>
      <c r="E409" s="255" t="s">
        <v>1671</v>
      </c>
      <c r="F409" s="248" t="s">
        <v>2744</v>
      </c>
      <c r="K409" s="242">
        <v>88503</v>
      </c>
      <c r="L409" s="242">
        <v>3</v>
      </c>
      <c r="M409" s="242">
        <v>885</v>
      </c>
      <c r="N409" s="242" t="s">
        <v>645</v>
      </c>
      <c r="O409" s="242">
        <v>116</v>
      </c>
      <c r="P409" s="242" t="s">
        <v>807</v>
      </c>
    </row>
    <row r="410" spans="1:16" s="242" customFormat="1">
      <c r="A410" s="243">
        <v>406</v>
      </c>
      <c r="B410" s="254">
        <v>53</v>
      </c>
      <c r="C410" s="242" t="str">
        <f t="shared" si="6"/>
        <v>767 Spencer East Brookfield</v>
      </c>
      <c r="D410" s="247">
        <v>767</v>
      </c>
      <c r="E410" s="255" t="s">
        <v>1672</v>
      </c>
      <c r="F410" s="248" t="s">
        <v>2745</v>
      </c>
      <c r="K410" s="242">
        <v>88504</v>
      </c>
      <c r="L410" s="242">
        <v>4</v>
      </c>
      <c r="M410" s="242">
        <v>885</v>
      </c>
      <c r="N410" s="242" t="s">
        <v>645</v>
      </c>
      <c r="O410" s="242">
        <v>128</v>
      </c>
      <c r="P410" s="242" t="s">
        <v>824</v>
      </c>
    </row>
    <row r="411" spans="1:16" s="242" customFormat="1">
      <c r="A411" s="243">
        <v>407</v>
      </c>
      <c r="B411" s="254">
        <v>54</v>
      </c>
      <c r="C411" s="242" t="str">
        <f t="shared" si="6"/>
        <v>770 Tantasqua</v>
      </c>
      <c r="D411" s="247">
        <v>770</v>
      </c>
      <c r="E411" s="255" t="s">
        <v>1673</v>
      </c>
      <c r="F411" s="248" t="s">
        <v>2746</v>
      </c>
      <c r="K411" s="242">
        <v>88505</v>
      </c>
      <c r="L411" s="242">
        <v>5</v>
      </c>
      <c r="M411" s="242">
        <v>885</v>
      </c>
      <c r="N411" s="242" t="s">
        <v>645</v>
      </c>
      <c r="O411" s="242">
        <v>144</v>
      </c>
      <c r="P411" s="242" t="s">
        <v>841</v>
      </c>
    </row>
    <row r="412" spans="1:16" s="242" customFormat="1">
      <c r="A412" s="243">
        <v>408</v>
      </c>
      <c r="B412" s="254">
        <v>55</v>
      </c>
      <c r="C412" s="242" t="str">
        <f t="shared" si="6"/>
        <v>773 Triton</v>
      </c>
      <c r="D412" s="247">
        <v>773</v>
      </c>
      <c r="E412" s="255" t="s">
        <v>1674</v>
      </c>
      <c r="F412" s="248" t="s">
        <v>2747</v>
      </c>
      <c r="K412" s="242">
        <v>88506</v>
      </c>
      <c r="L412" s="242">
        <v>6</v>
      </c>
      <c r="M412" s="242">
        <v>885</v>
      </c>
      <c r="N412" s="242" t="s">
        <v>645</v>
      </c>
      <c r="O412" s="242">
        <v>180</v>
      </c>
      <c r="P412" s="242" t="s">
        <v>919</v>
      </c>
    </row>
    <row r="413" spans="1:16" s="242" customFormat="1">
      <c r="A413" s="243">
        <v>409</v>
      </c>
      <c r="B413" s="254">
        <v>56</v>
      </c>
      <c r="C413" s="242" t="str">
        <f t="shared" si="6"/>
        <v>774 Upisland</v>
      </c>
      <c r="D413" s="247">
        <v>774</v>
      </c>
      <c r="E413" s="255" t="s">
        <v>1675</v>
      </c>
      <c r="F413" s="248" t="s">
        <v>2748</v>
      </c>
      <c r="K413" s="242">
        <v>88507</v>
      </c>
      <c r="L413" s="242">
        <v>7</v>
      </c>
      <c r="M413" s="242">
        <v>885</v>
      </c>
      <c r="N413" s="242" t="s">
        <v>645</v>
      </c>
      <c r="O413" s="242">
        <v>203</v>
      </c>
      <c r="P413" s="242" t="s">
        <v>943</v>
      </c>
    </row>
    <row r="414" spans="1:16" s="242" customFormat="1">
      <c r="A414" s="243">
        <v>410</v>
      </c>
      <c r="B414" s="254">
        <v>57</v>
      </c>
      <c r="C414" s="242" t="str">
        <f t="shared" si="6"/>
        <v>775 Wachusett</v>
      </c>
      <c r="D414" s="247">
        <v>775</v>
      </c>
      <c r="E414" s="255" t="s">
        <v>1676</v>
      </c>
      <c r="F414" s="248" t="s">
        <v>2749</v>
      </c>
      <c r="K414" s="242">
        <v>88508</v>
      </c>
      <c r="L414" s="242">
        <v>8</v>
      </c>
      <c r="M414" s="242">
        <v>885</v>
      </c>
      <c r="N414" s="242" t="s">
        <v>645</v>
      </c>
      <c r="O414" s="242">
        <v>204</v>
      </c>
      <c r="P414" s="242" t="s">
        <v>945</v>
      </c>
    </row>
    <row r="415" spans="1:16" s="242" customFormat="1">
      <c r="A415" s="243">
        <v>411</v>
      </c>
      <c r="B415" s="254">
        <v>58</v>
      </c>
      <c r="C415" s="242" t="str">
        <f t="shared" si="6"/>
        <v>778 Quaboag</v>
      </c>
      <c r="D415" s="247">
        <v>778</v>
      </c>
      <c r="E415" s="255" t="s">
        <v>1677</v>
      </c>
      <c r="F415" s="248" t="s">
        <v>2750</v>
      </c>
      <c r="K415" s="242">
        <v>88509</v>
      </c>
      <c r="L415" s="242">
        <v>9</v>
      </c>
      <c r="M415" s="242">
        <v>885</v>
      </c>
      <c r="N415" s="242" t="s">
        <v>645</v>
      </c>
      <c r="O415" s="242">
        <v>254</v>
      </c>
      <c r="P415" s="242" t="s">
        <v>1024</v>
      </c>
    </row>
    <row r="416" spans="1:16" s="242" customFormat="1">
      <c r="A416" s="243">
        <v>412</v>
      </c>
      <c r="B416" s="254">
        <v>59</v>
      </c>
      <c r="C416" s="242" t="str">
        <f t="shared" si="6"/>
        <v>780 Whitman Hanson</v>
      </c>
      <c r="D416" s="247">
        <v>780</v>
      </c>
      <c r="E416" s="255" t="s">
        <v>1678</v>
      </c>
      <c r="F416" s="248" t="s">
        <v>2751</v>
      </c>
      <c r="K416" s="242">
        <v>88510</v>
      </c>
      <c r="L416" s="242">
        <v>10</v>
      </c>
      <c r="M416" s="242">
        <v>885</v>
      </c>
      <c r="N416" s="242" t="s">
        <v>645</v>
      </c>
      <c r="O416" s="242">
        <v>259</v>
      </c>
      <c r="P416" s="242" t="s">
        <v>1029</v>
      </c>
    </row>
    <row r="417" spans="1:16" s="242" customFormat="1">
      <c r="A417" s="243">
        <v>413</v>
      </c>
      <c r="B417" s="254">
        <v>60</v>
      </c>
      <c r="C417" s="242" t="str">
        <f t="shared" si="6"/>
        <v>801 Assabet Valley</v>
      </c>
      <c r="D417" s="247">
        <v>801</v>
      </c>
      <c r="E417" s="255" t="s">
        <v>1679</v>
      </c>
      <c r="F417" s="248" t="s">
        <v>2752</v>
      </c>
      <c r="K417" s="242">
        <v>88511</v>
      </c>
      <c r="L417" s="242">
        <v>11</v>
      </c>
      <c r="M417" s="242">
        <v>885</v>
      </c>
      <c r="N417" s="242" t="s">
        <v>645</v>
      </c>
      <c r="O417" s="242">
        <v>329</v>
      </c>
      <c r="P417" s="242" t="s">
        <v>1107</v>
      </c>
    </row>
    <row r="418" spans="1:16" s="242" customFormat="1">
      <c r="A418" s="243">
        <v>414</v>
      </c>
      <c r="B418" s="254">
        <v>61</v>
      </c>
      <c r="C418" s="242" t="str">
        <f t="shared" si="6"/>
        <v>805 Blackstone Valley</v>
      </c>
      <c r="D418" s="247">
        <v>805</v>
      </c>
      <c r="E418" s="255" t="s">
        <v>1680</v>
      </c>
      <c r="F418" s="248" t="s">
        <v>2753</v>
      </c>
      <c r="K418" s="242">
        <v>91001</v>
      </c>
      <c r="L418" s="242">
        <v>1</v>
      </c>
      <c r="M418" s="242">
        <v>910</v>
      </c>
      <c r="N418" s="242" t="s">
        <v>646</v>
      </c>
      <c r="O418" s="242">
        <v>3</v>
      </c>
      <c r="P418" s="242" t="s">
        <v>1166</v>
      </c>
    </row>
    <row r="419" spans="1:16" s="242" customFormat="1">
      <c r="A419" s="243">
        <v>415</v>
      </c>
      <c r="B419" s="254">
        <v>62</v>
      </c>
      <c r="C419" s="242" t="str">
        <f t="shared" si="6"/>
        <v>806 Blue Hills</v>
      </c>
      <c r="D419" s="247">
        <v>806</v>
      </c>
      <c r="E419" s="255" t="s">
        <v>1681</v>
      </c>
      <c r="F419" s="248" t="s">
        <v>2754</v>
      </c>
      <c r="K419" s="242">
        <v>91002</v>
      </c>
      <c r="L419" s="242">
        <v>2</v>
      </c>
      <c r="M419" s="242">
        <v>910</v>
      </c>
      <c r="N419" s="242" t="s">
        <v>646</v>
      </c>
      <c r="O419" s="242">
        <v>16</v>
      </c>
      <c r="P419" s="242" t="s">
        <v>19</v>
      </c>
    </row>
    <row r="420" spans="1:16" s="242" customFormat="1">
      <c r="A420" s="243">
        <v>416</v>
      </c>
      <c r="B420" s="254">
        <v>63</v>
      </c>
      <c r="C420" s="242" t="str">
        <f t="shared" si="6"/>
        <v>810 Bristol Plymouth</v>
      </c>
      <c r="D420" s="247">
        <v>810</v>
      </c>
      <c r="E420" s="255" t="s">
        <v>1682</v>
      </c>
      <c r="F420" s="248" t="s">
        <v>2755</v>
      </c>
      <c r="K420" s="242">
        <v>91003</v>
      </c>
      <c r="L420" s="242">
        <v>3</v>
      </c>
      <c r="M420" s="242">
        <v>910</v>
      </c>
      <c r="N420" s="242" t="s">
        <v>646</v>
      </c>
      <c r="O420" s="242">
        <v>27</v>
      </c>
      <c r="P420" s="242" t="s">
        <v>39</v>
      </c>
    </row>
    <row r="421" spans="1:16" s="242" customFormat="1">
      <c r="A421" s="243">
        <v>417</v>
      </c>
      <c r="B421" s="254">
        <v>64</v>
      </c>
      <c r="C421" s="242" t="str">
        <f t="shared" si="6"/>
        <v>815 Cape Cod</v>
      </c>
      <c r="D421" s="247">
        <v>815</v>
      </c>
      <c r="E421" s="255" t="s">
        <v>1683</v>
      </c>
      <c r="F421" s="248" t="s">
        <v>2756</v>
      </c>
      <c r="K421" s="242">
        <v>91004</v>
      </c>
      <c r="L421" s="242">
        <v>4</v>
      </c>
      <c r="M421" s="242">
        <v>910</v>
      </c>
      <c r="N421" s="242" t="s">
        <v>646</v>
      </c>
      <c r="O421" s="242">
        <v>72</v>
      </c>
      <c r="P421" s="242" t="s">
        <v>744</v>
      </c>
    </row>
    <row r="422" spans="1:16" s="242" customFormat="1">
      <c r="A422" s="243">
        <v>418</v>
      </c>
      <c r="B422" s="254">
        <v>65</v>
      </c>
      <c r="C422" s="242" t="str">
        <f t="shared" si="6"/>
        <v>817 Essex North Shore</v>
      </c>
      <c r="D422" s="247">
        <v>817</v>
      </c>
      <c r="E422" s="255" t="s">
        <v>1684</v>
      </c>
      <c r="F422" s="248" t="s">
        <v>2757</v>
      </c>
      <c r="K422" s="242">
        <v>91005</v>
      </c>
      <c r="L422" s="242">
        <v>5</v>
      </c>
      <c r="M422" s="242">
        <v>910</v>
      </c>
      <c r="N422" s="242" t="s">
        <v>646</v>
      </c>
      <c r="O422" s="242">
        <v>76</v>
      </c>
      <c r="P422" s="242" t="s">
        <v>754</v>
      </c>
    </row>
    <row r="423" spans="1:16" s="242" customFormat="1">
      <c r="A423" s="243">
        <v>419</v>
      </c>
      <c r="B423" s="254">
        <v>66</v>
      </c>
      <c r="C423" s="242" t="str">
        <f t="shared" si="6"/>
        <v>818 Franklin County</v>
      </c>
      <c r="D423" s="247">
        <v>818</v>
      </c>
      <c r="E423" s="255" t="s">
        <v>1685</v>
      </c>
      <c r="F423" s="248" t="s">
        <v>2758</v>
      </c>
      <c r="K423" s="242">
        <v>91006</v>
      </c>
      <c r="L423" s="242">
        <v>6</v>
      </c>
      <c r="M423" s="242">
        <v>910</v>
      </c>
      <c r="N423" s="242" t="s">
        <v>646</v>
      </c>
      <c r="O423" s="242">
        <v>88</v>
      </c>
      <c r="P423" s="242" t="s">
        <v>773</v>
      </c>
    </row>
    <row r="424" spans="1:16" s="242" customFormat="1">
      <c r="A424" s="243">
        <v>420</v>
      </c>
      <c r="B424" s="254">
        <v>67</v>
      </c>
      <c r="C424" s="242" t="str">
        <f t="shared" si="6"/>
        <v>821 Greater Fall River</v>
      </c>
      <c r="D424" s="247">
        <v>821</v>
      </c>
      <c r="E424" s="255" t="s">
        <v>1686</v>
      </c>
      <c r="F424" s="248" t="s">
        <v>2759</v>
      </c>
      <c r="K424" s="242">
        <v>91007</v>
      </c>
      <c r="L424" s="242">
        <v>7</v>
      </c>
      <c r="M424" s="242">
        <v>910</v>
      </c>
      <c r="N424" s="242" t="s">
        <v>646</v>
      </c>
      <c r="O424" s="242">
        <v>94</v>
      </c>
      <c r="P424" s="242" t="s">
        <v>780</v>
      </c>
    </row>
    <row r="425" spans="1:16" s="242" customFormat="1">
      <c r="A425" s="243">
        <v>421</v>
      </c>
      <c r="B425" s="254">
        <v>68</v>
      </c>
      <c r="C425" s="242" t="str">
        <f t="shared" si="6"/>
        <v>823 Greater Lawrence</v>
      </c>
      <c r="D425" s="247">
        <v>823</v>
      </c>
      <c r="E425" s="255" t="s">
        <v>1687</v>
      </c>
      <c r="F425" s="248" t="s">
        <v>2760</v>
      </c>
      <c r="K425" s="242">
        <v>91008</v>
      </c>
      <c r="L425" s="242">
        <v>8</v>
      </c>
      <c r="M425" s="242">
        <v>910</v>
      </c>
      <c r="N425" s="242" t="s">
        <v>646</v>
      </c>
      <c r="O425" s="242">
        <v>95</v>
      </c>
      <c r="P425" s="242" t="s">
        <v>781</v>
      </c>
    </row>
    <row r="426" spans="1:16" s="242" customFormat="1">
      <c r="A426" s="243">
        <v>422</v>
      </c>
      <c r="B426" s="254">
        <v>69</v>
      </c>
      <c r="C426" s="242" t="str">
        <f t="shared" si="6"/>
        <v>825 Greater New Bedford</v>
      </c>
      <c r="D426" s="247">
        <v>825</v>
      </c>
      <c r="E426" s="255" t="s">
        <v>1688</v>
      </c>
      <c r="F426" s="248" t="s">
        <v>2761</v>
      </c>
      <c r="K426" s="242">
        <v>91009</v>
      </c>
      <c r="L426" s="242">
        <v>9</v>
      </c>
      <c r="M426" s="242">
        <v>910</v>
      </c>
      <c r="N426" s="242" t="s">
        <v>646</v>
      </c>
      <c r="O426" s="242">
        <v>102</v>
      </c>
      <c r="P426" s="242" t="s">
        <v>790</v>
      </c>
    </row>
    <row r="427" spans="1:16" s="242" customFormat="1">
      <c r="A427" s="243">
        <v>423</v>
      </c>
      <c r="B427" s="254">
        <v>70</v>
      </c>
      <c r="C427" s="242" t="str">
        <f t="shared" si="6"/>
        <v>828 Greater Lowell</v>
      </c>
      <c r="D427" s="247">
        <v>828</v>
      </c>
      <c r="E427" s="255" t="s">
        <v>1689</v>
      </c>
      <c r="F427" s="248" t="s">
        <v>2762</v>
      </c>
      <c r="K427" s="242">
        <v>91010</v>
      </c>
      <c r="L427" s="242">
        <v>10</v>
      </c>
      <c r="M427" s="242">
        <v>910</v>
      </c>
      <c r="N427" s="242" t="s">
        <v>646</v>
      </c>
      <c r="O427" s="242">
        <v>167</v>
      </c>
      <c r="P427" s="242" t="s">
        <v>902</v>
      </c>
    </row>
    <row r="428" spans="1:16" s="242" customFormat="1">
      <c r="A428" s="243">
        <v>424</v>
      </c>
      <c r="B428" s="254">
        <v>71</v>
      </c>
      <c r="C428" s="242" t="str">
        <f t="shared" si="6"/>
        <v>829 South Middlesex</v>
      </c>
      <c r="D428" s="247">
        <v>829</v>
      </c>
      <c r="E428" s="255" t="s">
        <v>1690</v>
      </c>
      <c r="F428" s="248" t="s">
        <v>2763</v>
      </c>
      <c r="K428" s="242">
        <v>91011</v>
      </c>
      <c r="L428" s="242">
        <v>11</v>
      </c>
      <c r="M428" s="242">
        <v>910</v>
      </c>
      <c r="N428" s="242" t="s">
        <v>646</v>
      </c>
      <c r="O428" s="242">
        <v>201</v>
      </c>
      <c r="P428" s="242" t="s">
        <v>941</v>
      </c>
    </row>
    <row r="429" spans="1:16" s="242" customFormat="1">
      <c r="A429" s="243">
        <v>425</v>
      </c>
      <c r="B429" s="254">
        <v>72</v>
      </c>
      <c r="C429" s="242" t="str">
        <f t="shared" si="6"/>
        <v>830 Minuteman</v>
      </c>
      <c r="D429" s="247">
        <v>830</v>
      </c>
      <c r="E429" s="255" t="s">
        <v>1691</v>
      </c>
      <c r="F429" s="248" t="s">
        <v>2764</v>
      </c>
      <c r="K429" s="242">
        <v>91012</v>
      </c>
      <c r="L429" s="242">
        <v>12</v>
      </c>
      <c r="M429" s="242">
        <v>910</v>
      </c>
      <c r="N429" s="242" t="s">
        <v>646</v>
      </c>
      <c r="O429" s="242">
        <v>212</v>
      </c>
      <c r="P429" s="242" t="s">
        <v>958</v>
      </c>
    </row>
    <row r="430" spans="1:16" s="242" customFormat="1">
      <c r="A430" s="243">
        <v>426</v>
      </c>
      <c r="B430" s="254">
        <v>73</v>
      </c>
      <c r="C430" s="242" t="str">
        <f t="shared" si="6"/>
        <v>832 Montachusett</v>
      </c>
      <c r="D430" s="247">
        <v>832</v>
      </c>
      <c r="E430" s="255" t="s">
        <v>1692</v>
      </c>
      <c r="F430" s="248" t="s">
        <v>2765</v>
      </c>
      <c r="K430" s="242">
        <v>91013</v>
      </c>
      <c r="L430" s="242">
        <v>13</v>
      </c>
      <c r="M430" s="242">
        <v>910</v>
      </c>
      <c r="N430" s="242" t="s">
        <v>646</v>
      </c>
      <c r="O430" s="242">
        <v>218</v>
      </c>
      <c r="P430" s="242" t="s">
        <v>965</v>
      </c>
    </row>
    <row r="431" spans="1:16" s="242" customFormat="1">
      <c r="A431" s="243">
        <v>427</v>
      </c>
      <c r="B431" s="254">
        <v>74</v>
      </c>
      <c r="C431" s="242" t="str">
        <f t="shared" si="6"/>
        <v>851 Northern Berkshire</v>
      </c>
      <c r="D431" s="247">
        <v>851</v>
      </c>
      <c r="E431" s="255" t="s">
        <v>1693</v>
      </c>
      <c r="F431" s="248" t="s">
        <v>2766</v>
      </c>
      <c r="K431" s="242">
        <v>91014</v>
      </c>
      <c r="L431" s="242">
        <v>14</v>
      </c>
      <c r="M431" s="242">
        <v>910</v>
      </c>
      <c r="N431" s="242" t="s">
        <v>646</v>
      </c>
      <c r="O431" s="242">
        <v>245</v>
      </c>
      <c r="P431" s="242" t="s">
        <v>1015</v>
      </c>
    </row>
    <row r="432" spans="1:16" s="242" customFormat="1">
      <c r="A432" s="243">
        <v>428</v>
      </c>
      <c r="B432" s="254">
        <v>75</v>
      </c>
      <c r="C432" s="242" t="str">
        <f t="shared" si="6"/>
        <v>852 Nashoba Valley</v>
      </c>
      <c r="D432" s="247">
        <v>852</v>
      </c>
      <c r="E432" s="255" t="s">
        <v>1694</v>
      </c>
      <c r="F432" s="248" t="s">
        <v>2767</v>
      </c>
      <c r="K432" s="242">
        <v>91015</v>
      </c>
      <c r="L432" s="242">
        <v>15</v>
      </c>
      <c r="M432" s="242">
        <v>910</v>
      </c>
      <c r="N432" s="242" t="s">
        <v>646</v>
      </c>
      <c r="O432" s="242">
        <v>247</v>
      </c>
      <c r="P432" s="242" t="s">
        <v>1017</v>
      </c>
    </row>
    <row r="433" spans="1:16" s="242" customFormat="1">
      <c r="A433" s="243">
        <v>429</v>
      </c>
      <c r="B433" s="254">
        <v>76</v>
      </c>
      <c r="C433" s="242" t="str">
        <f t="shared" si="6"/>
        <v>853 Northeast Metropolitan</v>
      </c>
      <c r="D433" s="247">
        <v>853</v>
      </c>
      <c r="E433" s="255" t="s">
        <v>1695</v>
      </c>
      <c r="F433" s="248" t="s">
        <v>2768</v>
      </c>
      <c r="K433" s="242">
        <v>91016</v>
      </c>
      <c r="L433" s="242">
        <v>16</v>
      </c>
      <c r="M433" s="242">
        <v>910</v>
      </c>
      <c r="N433" s="242" t="s">
        <v>646</v>
      </c>
      <c r="O433" s="242">
        <v>265</v>
      </c>
      <c r="P433" s="242" t="s">
        <v>1035</v>
      </c>
    </row>
    <row r="434" spans="1:16" s="242" customFormat="1">
      <c r="A434" s="243">
        <v>430</v>
      </c>
      <c r="B434" s="254">
        <v>77</v>
      </c>
      <c r="C434" s="242" t="str">
        <f t="shared" si="6"/>
        <v>855 Old Colony</v>
      </c>
      <c r="D434" s="247">
        <v>855</v>
      </c>
      <c r="E434" s="255" t="s">
        <v>1696</v>
      </c>
      <c r="F434" s="248" t="s">
        <v>2769</v>
      </c>
      <c r="K434" s="242">
        <v>91017</v>
      </c>
      <c r="L434" s="242">
        <v>17</v>
      </c>
      <c r="M434" s="242">
        <v>910</v>
      </c>
      <c r="N434" s="242" t="s">
        <v>646</v>
      </c>
      <c r="O434" s="242">
        <v>273</v>
      </c>
      <c r="P434" s="242" t="s">
        <v>1043</v>
      </c>
    </row>
    <row r="435" spans="1:16" s="242" customFormat="1">
      <c r="A435" s="243">
        <v>431</v>
      </c>
      <c r="B435" s="254">
        <v>78</v>
      </c>
      <c r="C435" s="242" t="str">
        <f t="shared" si="6"/>
        <v>860 Pathfinder</v>
      </c>
      <c r="D435" s="247">
        <v>860</v>
      </c>
      <c r="E435" s="255" t="s">
        <v>1697</v>
      </c>
      <c r="F435" s="248" t="s">
        <v>2770</v>
      </c>
      <c r="K435" s="242">
        <v>91018</v>
      </c>
      <c r="L435" s="242">
        <v>18</v>
      </c>
      <c r="M435" s="242">
        <v>910</v>
      </c>
      <c r="N435" s="242" t="s">
        <v>646</v>
      </c>
      <c r="O435" s="242">
        <v>292</v>
      </c>
      <c r="P435" s="242" t="s">
        <v>1069</v>
      </c>
    </row>
    <row r="436" spans="1:16" s="242" customFormat="1">
      <c r="A436" s="243">
        <v>432</v>
      </c>
      <c r="B436" s="254">
        <v>79</v>
      </c>
      <c r="C436" s="242" t="str">
        <f t="shared" si="6"/>
        <v>871 Shawsheen Valley</v>
      </c>
      <c r="D436" s="247">
        <v>871</v>
      </c>
      <c r="E436" s="255" t="s">
        <v>1698</v>
      </c>
      <c r="F436" s="248" t="s">
        <v>2771</v>
      </c>
      <c r="K436" s="242">
        <v>91019</v>
      </c>
      <c r="L436" s="242">
        <v>19</v>
      </c>
      <c r="M436" s="242">
        <v>910</v>
      </c>
      <c r="N436" s="242" t="s">
        <v>646</v>
      </c>
      <c r="O436" s="242">
        <v>293</v>
      </c>
      <c r="P436" s="242" t="s">
        <v>1070</v>
      </c>
    </row>
    <row r="437" spans="1:16" s="242" customFormat="1">
      <c r="A437" s="243">
        <v>433</v>
      </c>
      <c r="B437" s="254">
        <v>80</v>
      </c>
      <c r="C437" s="242" t="str">
        <f t="shared" si="6"/>
        <v>872 Southeastern</v>
      </c>
      <c r="D437" s="247">
        <v>872</v>
      </c>
      <c r="E437" s="255" t="s">
        <v>1699</v>
      </c>
      <c r="F437" s="248" t="s">
        <v>2772</v>
      </c>
      <c r="K437" s="242">
        <v>91020</v>
      </c>
      <c r="L437" s="242">
        <v>20</v>
      </c>
      <c r="M437" s="242">
        <v>910</v>
      </c>
      <c r="N437" s="242" t="s">
        <v>646</v>
      </c>
      <c r="O437" s="242">
        <v>331</v>
      </c>
      <c r="P437" s="242" t="s">
        <v>1109</v>
      </c>
    </row>
    <row r="438" spans="1:16" s="242" customFormat="1">
      <c r="A438" s="243">
        <v>434</v>
      </c>
      <c r="B438" s="254">
        <v>81</v>
      </c>
      <c r="C438" s="242" t="str">
        <f t="shared" si="6"/>
        <v>873 South Shore</v>
      </c>
      <c r="D438" s="247">
        <v>873</v>
      </c>
      <c r="E438" s="255" t="s">
        <v>1700</v>
      </c>
      <c r="F438" s="248" t="s">
        <v>2773</v>
      </c>
      <c r="K438" s="242">
        <v>91501</v>
      </c>
      <c r="L438" s="242">
        <v>1</v>
      </c>
      <c r="M438" s="242">
        <v>915</v>
      </c>
      <c r="N438" s="242" t="s">
        <v>647</v>
      </c>
      <c r="O438" s="242">
        <v>18</v>
      </c>
      <c r="P438" s="242" t="s">
        <v>22</v>
      </c>
    </row>
    <row r="439" spans="1:16" s="242" customFormat="1">
      <c r="A439" s="243">
        <v>435</v>
      </c>
      <c r="B439" s="254">
        <v>82</v>
      </c>
      <c r="C439" s="242" t="str">
        <f t="shared" si="6"/>
        <v>876 Southern Worcester</v>
      </c>
      <c r="D439" s="247">
        <v>876</v>
      </c>
      <c r="E439" s="255" t="s">
        <v>1701</v>
      </c>
      <c r="F439" s="248" t="s">
        <v>2774</v>
      </c>
      <c r="K439" s="242">
        <v>91502</v>
      </c>
      <c r="L439" s="242">
        <v>2</v>
      </c>
      <c r="M439" s="242">
        <v>915</v>
      </c>
      <c r="N439" s="242" t="s">
        <v>647</v>
      </c>
      <c r="O439" s="242">
        <v>25</v>
      </c>
      <c r="P439" s="242" t="s">
        <v>36</v>
      </c>
    </row>
    <row r="440" spans="1:16" s="242" customFormat="1">
      <c r="A440" s="243">
        <v>436</v>
      </c>
      <c r="B440" s="254">
        <v>83</v>
      </c>
      <c r="C440" s="242" t="str">
        <f t="shared" si="6"/>
        <v>878 Tri County</v>
      </c>
      <c r="D440" s="247">
        <v>878</v>
      </c>
      <c r="E440" s="255" t="s">
        <v>1702</v>
      </c>
      <c r="F440" s="248" t="s">
        <v>2775</v>
      </c>
      <c r="K440" s="242">
        <v>91503</v>
      </c>
      <c r="L440" s="242">
        <v>3</v>
      </c>
      <c r="M440" s="242">
        <v>915</v>
      </c>
      <c r="N440" s="242" t="s">
        <v>647</v>
      </c>
      <c r="O440" s="242">
        <v>40</v>
      </c>
      <c r="P440" s="242" t="s">
        <v>694</v>
      </c>
    </row>
    <row r="441" spans="1:16" s="242" customFormat="1">
      <c r="A441" s="243">
        <v>437</v>
      </c>
      <c r="B441" s="254">
        <v>84</v>
      </c>
      <c r="C441" s="242" t="str">
        <f t="shared" si="6"/>
        <v>879 Upper Cape Cod</v>
      </c>
      <c r="D441" s="247">
        <v>879</v>
      </c>
      <c r="E441" s="255" t="s">
        <v>1703</v>
      </c>
      <c r="F441" s="248" t="s">
        <v>2776</v>
      </c>
      <c r="K441" s="242">
        <v>91504</v>
      </c>
      <c r="L441" s="242">
        <v>4</v>
      </c>
      <c r="M441" s="242">
        <v>915</v>
      </c>
      <c r="N441" s="242" t="s">
        <v>647</v>
      </c>
      <c r="O441" s="242">
        <v>46</v>
      </c>
      <c r="P441" s="242" t="s">
        <v>704</v>
      </c>
    </row>
    <row r="442" spans="1:16" s="242" customFormat="1">
      <c r="A442" s="243">
        <v>438</v>
      </c>
      <c r="B442" s="254">
        <v>85</v>
      </c>
      <c r="C442" s="242" t="str">
        <f t="shared" si="6"/>
        <v>885 Whittier</v>
      </c>
      <c r="D442" s="247">
        <v>885</v>
      </c>
      <c r="E442" s="255" t="s">
        <v>1704</v>
      </c>
      <c r="F442" s="248" t="s">
        <v>2777</v>
      </c>
      <c r="K442" s="242">
        <v>91505</v>
      </c>
      <c r="L442" s="242">
        <v>5</v>
      </c>
      <c r="M442" s="242">
        <v>915</v>
      </c>
      <c r="N442" s="242" t="s">
        <v>647</v>
      </c>
      <c r="O442" s="242">
        <v>50</v>
      </c>
      <c r="P442" s="242" t="s">
        <v>708</v>
      </c>
    </row>
    <row r="443" spans="1:16" s="242" customFormat="1">
      <c r="A443" s="243">
        <v>439</v>
      </c>
      <c r="B443" s="254">
        <v>86</v>
      </c>
      <c r="C443" s="242" t="str">
        <f t="shared" si="6"/>
        <v>910 Bristol County</v>
      </c>
      <c r="D443" s="247">
        <v>910</v>
      </c>
      <c r="E443" s="255" t="s">
        <v>1705</v>
      </c>
      <c r="F443" s="248" t="s">
        <v>2778</v>
      </c>
      <c r="K443" s="242">
        <v>91506</v>
      </c>
      <c r="L443" s="242">
        <v>6</v>
      </c>
      <c r="M443" s="242">
        <v>915</v>
      </c>
      <c r="N443" s="242" t="s">
        <v>647</v>
      </c>
      <c r="O443" s="242">
        <v>65</v>
      </c>
      <c r="P443" s="242" t="s">
        <v>736</v>
      </c>
    </row>
    <row r="444" spans="1:16" s="242" customFormat="1">
      <c r="A444" s="243">
        <v>440</v>
      </c>
      <c r="B444" s="254">
        <v>87</v>
      </c>
      <c r="C444" s="242" t="str">
        <f t="shared" si="6"/>
        <v>915 Norfolk County</v>
      </c>
      <c r="D444" s="247">
        <v>915</v>
      </c>
      <c r="E444" s="255" t="s">
        <v>1706</v>
      </c>
      <c r="F444" s="248" t="s">
        <v>2779</v>
      </c>
      <c r="K444" s="242">
        <v>91507</v>
      </c>
      <c r="L444" s="242">
        <v>7</v>
      </c>
      <c r="M444" s="242">
        <v>915</v>
      </c>
      <c r="N444" s="242" t="s">
        <v>647</v>
      </c>
      <c r="O444" s="242">
        <v>73</v>
      </c>
      <c r="P444" s="242" t="s">
        <v>746</v>
      </c>
    </row>
    <row r="445" spans="1:16" s="242" customFormat="1" ht="13.5" thickBot="1">
      <c r="A445" s="243">
        <v>441</v>
      </c>
      <c r="B445" s="256"/>
      <c r="C445" s="257" t="str">
        <f t="shared" si="6"/>
        <v>999 Total</v>
      </c>
      <c r="D445" s="258">
        <v>999</v>
      </c>
      <c r="E445" s="259" t="s">
        <v>1132</v>
      </c>
      <c r="F445" s="253"/>
      <c r="K445" s="242">
        <v>91508</v>
      </c>
      <c r="L445" s="242">
        <v>8</v>
      </c>
      <c r="M445" s="242">
        <v>915</v>
      </c>
      <c r="N445" s="242" t="s">
        <v>647</v>
      </c>
      <c r="O445" s="242">
        <v>78</v>
      </c>
      <c r="P445" s="242" t="s">
        <v>757</v>
      </c>
    </row>
    <row r="446" spans="1:16">
      <c r="K446" s="586">
        <v>91509</v>
      </c>
      <c r="L446" s="586">
        <v>9</v>
      </c>
      <c r="M446" s="586">
        <v>915</v>
      </c>
      <c r="N446" s="586" t="s">
        <v>647</v>
      </c>
      <c r="O446" s="586">
        <v>99</v>
      </c>
      <c r="P446" s="586" t="s">
        <v>786</v>
      </c>
    </row>
    <row r="447" spans="1:16">
      <c r="K447" s="586">
        <v>91510</v>
      </c>
      <c r="L447" s="586">
        <v>10</v>
      </c>
      <c r="M447" s="586">
        <v>915</v>
      </c>
      <c r="N447" s="586" t="s">
        <v>647</v>
      </c>
      <c r="O447" s="586">
        <v>101</v>
      </c>
      <c r="P447" s="586" t="s">
        <v>788</v>
      </c>
    </row>
    <row r="448" spans="1:16">
      <c r="K448" s="586">
        <v>91511</v>
      </c>
      <c r="L448" s="586">
        <v>11</v>
      </c>
      <c r="M448" s="586">
        <v>915</v>
      </c>
      <c r="N448" s="586" t="s">
        <v>647</v>
      </c>
      <c r="O448" s="586">
        <v>133</v>
      </c>
      <c r="P448" s="586" t="s">
        <v>829</v>
      </c>
    </row>
    <row r="449" spans="11:16">
      <c r="K449" s="586">
        <v>91512</v>
      </c>
      <c r="L449" s="586">
        <v>12</v>
      </c>
      <c r="M449" s="586">
        <v>915</v>
      </c>
      <c r="N449" s="586" t="s">
        <v>647</v>
      </c>
      <c r="O449" s="586">
        <v>175</v>
      </c>
      <c r="P449" s="586" t="s">
        <v>911</v>
      </c>
    </row>
    <row r="450" spans="11:16">
      <c r="K450" s="586">
        <v>91513</v>
      </c>
      <c r="L450" s="586">
        <v>13</v>
      </c>
      <c r="M450" s="586">
        <v>915</v>
      </c>
      <c r="N450" s="586" t="s">
        <v>647</v>
      </c>
      <c r="O450" s="586">
        <v>177</v>
      </c>
      <c r="P450" s="586" t="s">
        <v>915</v>
      </c>
    </row>
    <row r="451" spans="11:16">
      <c r="K451" s="586">
        <v>91514</v>
      </c>
      <c r="L451" s="586">
        <v>14</v>
      </c>
      <c r="M451" s="586">
        <v>915</v>
      </c>
      <c r="N451" s="586" t="s">
        <v>647</v>
      </c>
      <c r="O451" s="586">
        <v>187</v>
      </c>
      <c r="P451" s="586" t="s">
        <v>926</v>
      </c>
    </row>
    <row r="452" spans="11:16">
      <c r="K452" s="586">
        <v>91515</v>
      </c>
      <c r="L452" s="586">
        <v>15</v>
      </c>
      <c r="M452" s="586">
        <v>915</v>
      </c>
      <c r="N452" s="586" t="s">
        <v>647</v>
      </c>
      <c r="O452" s="586">
        <v>189</v>
      </c>
      <c r="P452" s="586" t="s">
        <v>928</v>
      </c>
    </row>
    <row r="453" spans="11:16">
      <c r="K453" s="586">
        <v>91516</v>
      </c>
      <c r="L453" s="586">
        <v>16</v>
      </c>
      <c r="M453" s="586">
        <v>915</v>
      </c>
      <c r="N453" s="586" t="s">
        <v>647</v>
      </c>
      <c r="O453" s="586">
        <v>199</v>
      </c>
      <c r="P453" s="586" t="s">
        <v>939</v>
      </c>
    </row>
    <row r="454" spans="11:16">
      <c r="K454" s="586">
        <v>91517</v>
      </c>
      <c r="L454" s="586">
        <v>17</v>
      </c>
      <c r="M454" s="586">
        <v>915</v>
      </c>
      <c r="N454" s="586" t="s">
        <v>647</v>
      </c>
      <c r="O454" s="586">
        <v>208</v>
      </c>
      <c r="P454" s="586" t="s">
        <v>951</v>
      </c>
    </row>
    <row r="455" spans="11:16">
      <c r="K455" s="586">
        <v>91518</v>
      </c>
      <c r="L455" s="586">
        <v>18</v>
      </c>
      <c r="M455" s="586">
        <v>915</v>
      </c>
      <c r="N455" s="586" t="s">
        <v>647</v>
      </c>
      <c r="O455" s="586">
        <v>220</v>
      </c>
      <c r="P455" s="586" t="s">
        <v>968</v>
      </c>
    </row>
    <row r="456" spans="11:16">
      <c r="K456" s="586">
        <v>91519</v>
      </c>
      <c r="L456" s="586">
        <v>19</v>
      </c>
      <c r="M456" s="586">
        <v>915</v>
      </c>
      <c r="N456" s="586" t="s">
        <v>647</v>
      </c>
      <c r="O456" s="586">
        <v>238</v>
      </c>
      <c r="P456" s="586" t="s">
        <v>1008</v>
      </c>
    </row>
    <row r="457" spans="11:16">
      <c r="K457" s="586">
        <v>91520</v>
      </c>
      <c r="L457" s="586">
        <v>20</v>
      </c>
      <c r="M457" s="586">
        <v>915</v>
      </c>
      <c r="N457" s="586" t="s">
        <v>647</v>
      </c>
      <c r="O457" s="586">
        <v>243</v>
      </c>
      <c r="P457" s="586" t="s">
        <v>1013</v>
      </c>
    </row>
    <row r="458" spans="11:16">
      <c r="K458" s="586">
        <v>91521</v>
      </c>
      <c r="L458" s="586">
        <v>21</v>
      </c>
      <c r="M458" s="586">
        <v>915</v>
      </c>
      <c r="N458" s="586" t="s">
        <v>647</v>
      </c>
      <c r="O458" s="586">
        <v>244</v>
      </c>
      <c r="P458" s="586" t="s">
        <v>1014</v>
      </c>
    </row>
    <row r="459" spans="11:16">
      <c r="K459" s="586">
        <v>91522</v>
      </c>
      <c r="L459" s="586">
        <v>22</v>
      </c>
      <c r="M459" s="586">
        <v>915</v>
      </c>
      <c r="N459" s="586" t="s">
        <v>647</v>
      </c>
      <c r="O459" s="586">
        <v>266</v>
      </c>
      <c r="P459" s="586" t="s">
        <v>1036</v>
      </c>
    </row>
    <row r="460" spans="11:16">
      <c r="K460" s="586">
        <v>91523</v>
      </c>
      <c r="L460" s="586">
        <v>23</v>
      </c>
      <c r="M460" s="586">
        <v>915</v>
      </c>
      <c r="N460" s="586" t="s">
        <v>647</v>
      </c>
      <c r="O460" s="586">
        <v>285</v>
      </c>
      <c r="P460" s="586" t="s">
        <v>1062</v>
      </c>
    </row>
    <row r="461" spans="11:16">
      <c r="K461" s="586">
        <v>91524</v>
      </c>
      <c r="L461" s="586">
        <v>24</v>
      </c>
      <c r="M461" s="586">
        <v>915</v>
      </c>
      <c r="N461" s="586" t="s">
        <v>647</v>
      </c>
      <c r="O461" s="586">
        <v>307</v>
      </c>
      <c r="P461" s="586" t="s">
        <v>1084</v>
      </c>
    </row>
    <row r="462" spans="11:16">
      <c r="K462" s="586">
        <v>91525</v>
      </c>
      <c r="L462" s="586">
        <v>25</v>
      </c>
      <c r="M462" s="586">
        <v>915</v>
      </c>
      <c r="N462" s="586" t="s">
        <v>647</v>
      </c>
      <c r="O462" s="586">
        <v>317</v>
      </c>
      <c r="P462" s="586" t="s">
        <v>1095</v>
      </c>
    </row>
    <row r="463" spans="11:16">
      <c r="K463" s="586">
        <v>91526</v>
      </c>
      <c r="L463" s="586">
        <v>26</v>
      </c>
      <c r="M463" s="586">
        <v>915</v>
      </c>
      <c r="N463" s="586" t="s">
        <v>647</v>
      </c>
      <c r="O463" s="586">
        <v>335</v>
      </c>
      <c r="P463" s="586" t="s">
        <v>1113</v>
      </c>
    </row>
    <row r="464" spans="11:16">
      <c r="K464" s="586">
        <v>91527</v>
      </c>
      <c r="L464" s="586">
        <v>27</v>
      </c>
      <c r="M464" s="586">
        <v>915</v>
      </c>
      <c r="N464" s="586" t="s">
        <v>647</v>
      </c>
      <c r="O464" s="586">
        <v>336</v>
      </c>
      <c r="P464" s="586" t="s">
        <v>1114</v>
      </c>
    </row>
    <row r="465" spans="11:16">
      <c r="K465" s="586">
        <v>91528</v>
      </c>
      <c r="L465" s="586">
        <v>28</v>
      </c>
      <c r="M465" s="586">
        <v>915</v>
      </c>
      <c r="N465" s="586" t="s">
        <v>647</v>
      </c>
      <c r="O465" s="586">
        <v>350</v>
      </c>
      <c r="P465" s="586" t="s">
        <v>1128</v>
      </c>
    </row>
  </sheetData>
  <mergeCells count="2">
    <mergeCell ref="A2:E2"/>
    <mergeCell ref="K2:P2"/>
  </mergeCells>
  <phoneticPr fontId="0" type="noConversion"/>
  <pageMargins left="0.75" right="0.75" top="1" bottom="1" header="0.5" footer="0.5"/>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showGridLines="0" workbookViewId="0">
      <selection activeCell="B1" sqref="B1:F1"/>
    </sheetView>
  </sheetViews>
  <sheetFormatPr defaultColWidth="8.875" defaultRowHeight="12.75"/>
  <cols>
    <col min="1" max="1" width="18.5" style="7" customWidth="1"/>
    <col min="2" max="2" width="35.625" style="7" customWidth="1"/>
    <col min="3" max="3" width="6.125" style="7" customWidth="1"/>
    <col min="4" max="4" width="14.5" style="7" customWidth="1"/>
    <col min="5" max="16384" width="8.875" style="7"/>
  </cols>
  <sheetData>
    <row r="1" spans="1:9" ht="21">
      <c r="A1" s="552"/>
      <c r="B1" s="629" t="s">
        <v>2801</v>
      </c>
      <c r="C1" s="629" t="s">
        <v>2800</v>
      </c>
      <c r="D1" s="629" t="s">
        <v>2800</v>
      </c>
      <c r="E1" s="629" t="s">
        <v>2800</v>
      </c>
      <c r="F1" s="629" t="s">
        <v>2800</v>
      </c>
      <c r="G1" s="224" t="s">
        <v>107</v>
      </c>
    </row>
    <row r="2" spans="1:9" ht="29.45" customHeight="1">
      <c r="A2" s="553"/>
      <c r="B2" s="630" t="s">
        <v>2802</v>
      </c>
      <c r="C2" s="630"/>
      <c r="D2" s="630"/>
      <c r="E2" s="630"/>
      <c r="F2" s="630"/>
    </row>
    <row r="3" spans="1:9" ht="22.9" customHeight="1">
      <c r="A3" s="631" t="s">
        <v>2831</v>
      </c>
      <c r="B3" s="631"/>
      <c r="C3" s="631"/>
      <c r="D3" s="631"/>
      <c r="E3" s="631"/>
      <c r="F3" s="631"/>
    </row>
    <row r="4" spans="1:9" ht="18.75">
      <c r="A4" s="554" t="s">
        <v>2259</v>
      </c>
      <c r="B4" s="555"/>
      <c r="C4" s="555"/>
      <c r="D4" s="555"/>
      <c r="E4" s="626" t="s">
        <v>2803</v>
      </c>
      <c r="F4" s="626"/>
    </row>
    <row r="5" spans="1:9">
      <c r="A5" s="621" t="s">
        <v>2816</v>
      </c>
      <c r="B5" s="621"/>
      <c r="C5" s="621"/>
      <c r="D5" s="621"/>
      <c r="E5" s="621"/>
      <c r="F5" s="621"/>
    </row>
    <row r="6" spans="1:9">
      <c r="A6" s="625"/>
      <c r="B6" s="625"/>
      <c r="C6" s="625"/>
      <c r="D6" s="625"/>
      <c r="E6" s="625"/>
      <c r="F6" s="625"/>
    </row>
    <row r="7" spans="1:9" ht="18.75">
      <c r="A7" s="554" t="s">
        <v>92</v>
      </c>
      <c r="B7" s="555"/>
      <c r="C7" s="555"/>
      <c r="D7" s="555"/>
      <c r="E7" s="626" t="s">
        <v>2803</v>
      </c>
      <c r="F7" s="626"/>
    </row>
    <row r="8" spans="1:9" ht="25.15" customHeight="1">
      <c r="A8" s="623" t="s">
        <v>2817</v>
      </c>
      <c r="B8" s="627"/>
      <c r="C8" s="627"/>
      <c r="D8" s="627"/>
      <c r="E8" s="627"/>
      <c r="F8" s="627"/>
    </row>
    <row r="9" spans="1:9" ht="20.45" customHeight="1">
      <c r="A9" s="627"/>
      <c r="B9" s="627"/>
      <c r="C9" s="627"/>
      <c r="D9" s="627"/>
      <c r="E9" s="627"/>
      <c r="F9" s="627"/>
    </row>
    <row r="10" spans="1:9" s="563" customFormat="1" ht="18" customHeight="1">
      <c r="A10" s="561" t="s">
        <v>2818</v>
      </c>
      <c r="B10" s="562"/>
      <c r="C10" s="562"/>
      <c r="D10" s="562"/>
      <c r="E10" s="562"/>
      <c r="F10" s="562"/>
    </row>
    <row r="11" spans="1:9" ht="15.75">
      <c r="A11" s="558" t="s">
        <v>2814</v>
      </c>
      <c r="B11" s="557"/>
      <c r="C11" s="557"/>
      <c r="D11" s="557"/>
      <c r="E11" s="557"/>
      <c r="F11" s="557"/>
      <c r="I11" s="560"/>
    </row>
    <row r="12" spans="1:9" s="421" customFormat="1" ht="145.9" customHeight="1">
      <c r="A12" s="624" t="s">
        <v>2830</v>
      </c>
      <c r="B12" s="625"/>
      <c r="C12" s="625"/>
      <c r="D12" s="625"/>
      <c r="E12" s="625"/>
      <c r="F12" s="625"/>
    </row>
    <row r="13" spans="1:9" ht="18.75">
      <c r="A13" s="554" t="s">
        <v>2269</v>
      </c>
      <c r="B13" s="555"/>
      <c r="C13" s="555"/>
      <c r="D13" s="555"/>
      <c r="E13" s="626" t="s">
        <v>2803</v>
      </c>
      <c r="F13" s="626"/>
    </row>
    <row r="14" spans="1:9">
      <c r="A14" s="623" t="s">
        <v>2806</v>
      </c>
      <c r="B14" s="623"/>
      <c r="C14" s="623"/>
      <c r="D14" s="623"/>
      <c r="E14" s="623"/>
      <c r="F14" s="623"/>
    </row>
    <row r="15" spans="1:9" ht="47.45" customHeight="1">
      <c r="A15" s="628"/>
      <c r="B15" s="628"/>
      <c r="C15" s="628"/>
      <c r="D15" s="628"/>
      <c r="E15" s="628"/>
      <c r="F15" s="628"/>
    </row>
    <row r="16" spans="1:9" ht="15.75">
      <c r="A16" s="558" t="s">
        <v>2814</v>
      </c>
      <c r="B16" s="557"/>
      <c r="C16" s="557"/>
      <c r="D16" s="557"/>
      <c r="E16" s="557"/>
      <c r="F16" s="557"/>
    </row>
    <row r="17" spans="1:9" s="421" customFormat="1" ht="169.15" customHeight="1">
      <c r="A17" s="624" t="s">
        <v>2819</v>
      </c>
      <c r="B17" s="625"/>
      <c r="C17" s="625"/>
      <c r="D17" s="625"/>
      <c r="E17" s="625"/>
      <c r="F17" s="625"/>
    </row>
    <row r="18" spans="1:9" ht="18.75">
      <c r="A18" s="554" t="s">
        <v>93</v>
      </c>
      <c r="B18" s="555"/>
      <c r="C18" s="555"/>
      <c r="D18" s="555"/>
      <c r="E18" s="626" t="s">
        <v>2803</v>
      </c>
      <c r="F18" s="626"/>
    </row>
    <row r="19" spans="1:9">
      <c r="A19" s="623" t="s">
        <v>2813</v>
      </c>
      <c r="B19" s="623"/>
      <c r="C19" s="623"/>
      <c r="D19" s="623"/>
      <c r="E19" s="623"/>
      <c r="F19" s="623"/>
    </row>
    <row r="20" spans="1:9" ht="30.6" customHeight="1">
      <c r="A20" s="624"/>
      <c r="B20" s="624"/>
      <c r="C20" s="624"/>
      <c r="D20" s="624"/>
      <c r="E20" s="624"/>
      <c r="F20" s="624"/>
    </row>
    <row r="21" spans="1:9" ht="18.75">
      <c r="A21" s="554" t="s">
        <v>91</v>
      </c>
      <c r="B21" s="555"/>
      <c r="C21" s="555"/>
      <c r="D21" s="555"/>
      <c r="E21" s="626" t="s">
        <v>2803</v>
      </c>
      <c r="F21" s="626"/>
      <c r="I21" s="56"/>
    </row>
    <row r="22" spans="1:9">
      <c r="A22" s="623" t="s">
        <v>2812</v>
      </c>
      <c r="B22" s="621"/>
      <c r="C22" s="621"/>
      <c r="D22" s="621"/>
      <c r="E22" s="621"/>
      <c r="F22" s="621"/>
    </row>
    <row r="23" spans="1:9" ht="47.45" customHeight="1">
      <c r="A23" s="622"/>
      <c r="B23" s="622"/>
      <c r="C23" s="622"/>
      <c r="D23" s="622"/>
      <c r="E23" s="622"/>
      <c r="F23" s="622"/>
    </row>
    <row r="24" spans="1:9" ht="15.75">
      <c r="A24" s="558" t="s">
        <v>2814</v>
      </c>
      <c r="B24" s="557"/>
      <c r="C24" s="557"/>
      <c r="D24" s="557"/>
      <c r="E24" s="557"/>
      <c r="F24" s="557"/>
    </row>
    <row r="25" spans="1:9" s="421" customFormat="1" ht="81.599999999999994" customHeight="1">
      <c r="A25" s="624" t="s">
        <v>2820</v>
      </c>
      <c r="B25" s="625"/>
      <c r="C25" s="625"/>
      <c r="D25" s="625"/>
      <c r="E25" s="625"/>
      <c r="F25" s="625"/>
    </row>
    <row r="26" spans="1:9" ht="18.75">
      <c r="A26" s="554" t="s">
        <v>2804</v>
      </c>
      <c r="B26" s="555"/>
      <c r="C26" s="555"/>
      <c r="D26" s="555"/>
      <c r="E26" s="626" t="s">
        <v>2803</v>
      </c>
      <c r="F26" s="626"/>
    </row>
    <row r="27" spans="1:9">
      <c r="A27" s="621" t="s">
        <v>2807</v>
      </c>
      <c r="B27" s="621"/>
      <c r="C27" s="621"/>
      <c r="D27" s="621"/>
      <c r="E27" s="621"/>
      <c r="F27" s="621"/>
    </row>
    <row r="28" spans="1:9">
      <c r="A28" s="622"/>
      <c r="B28" s="622"/>
      <c r="C28" s="622"/>
      <c r="D28" s="622"/>
      <c r="E28" s="622"/>
      <c r="F28" s="622"/>
    </row>
    <row r="29" spans="1:9" ht="15.75">
      <c r="A29" s="558" t="s">
        <v>2814</v>
      </c>
      <c r="B29" s="557"/>
      <c r="C29" s="557"/>
      <c r="D29" s="557"/>
      <c r="E29" s="557"/>
      <c r="F29" s="557"/>
    </row>
    <row r="30" spans="1:9" s="421" customFormat="1" ht="100.15" customHeight="1">
      <c r="A30" s="624" t="s">
        <v>2822</v>
      </c>
      <c r="B30" s="625"/>
      <c r="C30" s="625"/>
      <c r="D30" s="625"/>
      <c r="E30" s="625"/>
      <c r="F30" s="625"/>
    </row>
    <row r="31" spans="1:9" ht="18.75">
      <c r="A31" s="554" t="s">
        <v>2805</v>
      </c>
      <c r="B31" s="555"/>
      <c r="C31" s="555"/>
      <c r="D31" s="555"/>
      <c r="E31" s="626" t="s">
        <v>2803</v>
      </c>
      <c r="F31" s="626"/>
    </row>
    <row r="32" spans="1:9">
      <c r="A32" s="623" t="s">
        <v>2808</v>
      </c>
      <c r="B32" s="623"/>
      <c r="C32" s="623"/>
      <c r="D32" s="623"/>
      <c r="E32" s="623"/>
      <c r="F32" s="623"/>
    </row>
    <row r="33" spans="1:6" ht="19.899999999999999" customHeight="1">
      <c r="A33" s="624"/>
      <c r="B33" s="624"/>
      <c r="C33" s="624"/>
      <c r="D33" s="624"/>
      <c r="E33" s="624"/>
      <c r="F33" s="624"/>
    </row>
    <row r="34" spans="1:6" ht="18.75">
      <c r="A34" s="554" t="s">
        <v>2262</v>
      </c>
      <c r="B34" s="555"/>
      <c r="C34" s="555"/>
      <c r="D34" s="555"/>
      <c r="E34" s="626" t="s">
        <v>2803</v>
      </c>
      <c r="F34" s="626"/>
    </row>
    <row r="35" spans="1:6">
      <c r="A35" s="623" t="s">
        <v>2809</v>
      </c>
      <c r="B35" s="623"/>
      <c r="C35" s="623"/>
      <c r="D35" s="623"/>
      <c r="E35" s="623"/>
      <c r="F35" s="623"/>
    </row>
    <row r="36" spans="1:6" ht="19.149999999999999" customHeight="1">
      <c r="A36" s="624"/>
      <c r="B36" s="624"/>
      <c r="C36" s="624"/>
      <c r="D36" s="624"/>
      <c r="E36" s="624"/>
      <c r="F36" s="624"/>
    </row>
    <row r="37" spans="1:6" ht="18.75">
      <c r="A37" s="554" t="s">
        <v>2288</v>
      </c>
      <c r="B37" s="555"/>
      <c r="C37" s="555"/>
      <c r="D37" s="555"/>
      <c r="E37" s="626" t="s">
        <v>2803</v>
      </c>
      <c r="F37" s="626"/>
    </row>
    <row r="38" spans="1:6">
      <c r="A38" s="623" t="s">
        <v>2811</v>
      </c>
      <c r="B38" s="623"/>
      <c r="C38" s="623"/>
      <c r="D38" s="623"/>
      <c r="E38" s="623"/>
      <c r="F38" s="623"/>
    </row>
    <row r="39" spans="1:6">
      <c r="A39" s="624"/>
      <c r="B39" s="624"/>
      <c r="C39" s="624"/>
      <c r="D39" s="624"/>
      <c r="E39" s="624"/>
      <c r="F39" s="624"/>
    </row>
    <row r="40" spans="1:6" ht="18.75">
      <c r="A40" s="554" t="s">
        <v>2292</v>
      </c>
      <c r="B40" s="555"/>
      <c r="C40" s="555"/>
      <c r="D40" s="555"/>
      <c r="E40" s="626" t="s">
        <v>2803</v>
      </c>
      <c r="F40" s="626"/>
    </row>
    <row r="41" spans="1:6">
      <c r="A41" s="623" t="s">
        <v>2810</v>
      </c>
      <c r="B41" s="623"/>
      <c r="C41" s="623"/>
      <c r="D41" s="623"/>
      <c r="E41" s="623"/>
      <c r="F41" s="623"/>
    </row>
    <row r="42" spans="1:6">
      <c r="A42" s="624"/>
      <c r="B42" s="624"/>
      <c r="C42" s="624"/>
      <c r="D42" s="624"/>
      <c r="E42" s="624"/>
      <c r="F42" s="624"/>
    </row>
    <row r="43" spans="1:6">
      <c r="A43" s="556"/>
      <c r="B43" s="556"/>
      <c r="C43" s="556"/>
      <c r="D43" s="556"/>
      <c r="E43" s="556"/>
      <c r="F43" s="556"/>
    </row>
  </sheetData>
  <mergeCells count="27">
    <mergeCell ref="B1:F1"/>
    <mergeCell ref="B2:F2"/>
    <mergeCell ref="A3:F3"/>
    <mergeCell ref="E4:F4"/>
    <mergeCell ref="A5:F6"/>
    <mergeCell ref="E7:F7"/>
    <mergeCell ref="E13:F13"/>
    <mergeCell ref="E18:F18"/>
    <mergeCell ref="E21:F21"/>
    <mergeCell ref="E26:F26"/>
    <mergeCell ref="A8:F9"/>
    <mergeCell ref="A14:F15"/>
    <mergeCell ref="A19:F20"/>
    <mergeCell ref="A22:F23"/>
    <mergeCell ref="A12:F12"/>
    <mergeCell ref="A27:F28"/>
    <mergeCell ref="A41:F42"/>
    <mergeCell ref="A17:F17"/>
    <mergeCell ref="A25:F25"/>
    <mergeCell ref="A30:F30"/>
    <mergeCell ref="E31:F31"/>
    <mergeCell ref="E37:F37"/>
    <mergeCell ref="E40:F40"/>
    <mergeCell ref="A32:F33"/>
    <mergeCell ref="A38:F39"/>
    <mergeCell ref="A35:F36"/>
    <mergeCell ref="E34:F34"/>
  </mergeCells>
  <hyperlinks>
    <hyperlink ref="E4:F4" location="MoreAboutData!A4" tooltip="Back to the top" display="Back to the top"/>
    <hyperlink ref="A10" r:id="rId1"/>
    <hyperlink ref="E7:F7" location="MoreAboutData!A4" tooltip="Back to the top" display="Back to the top"/>
    <hyperlink ref="E13:F13" location="MoreAboutData!A4" tooltip="Back to the top" display="Back to the top"/>
    <hyperlink ref="E18:F18" location="MoreAboutData!A4" tooltip="Back to the top" display="Back to the top"/>
    <hyperlink ref="E21:F21" location="MoreAboutData!A4" tooltip="Back to the top" display="Back to the top"/>
    <hyperlink ref="E26:F26" location="MoreAboutData!A4" tooltip="Back to the top" display="Back to the top"/>
    <hyperlink ref="E31:F31" location="MoreAboutData!A4" tooltip="Back to the top" display="Back to the top"/>
    <hyperlink ref="E34:F34" location="MoreAboutData!A4" tooltip="Back to the top" display="Back to the top"/>
    <hyperlink ref="E37:F37" location="MoreAboutData!A4" tooltip="Back to the top" display="Back to the top"/>
    <hyperlink ref="E40:F40" location="MoreAboutData!A4" tooltip="Back to the top" display="Back to the top"/>
    <hyperlink ref="G1" location="Index!A5" display="Return to Index"/>
  </hyperlinks>
  <pageMargins left="0.7" right="0.7" top="0.75" bottom="0.75" header="0.3" footer="0.3"/>
  <pageSetup scale="88" fitToHeight="2"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24261BFE874874F899C38CF9C771BFF" ma:contentTypeVersion="7" ma:contentTypeDescription="Create a new document." ma:contentTypeScope="" ma:versionID="3a5a55f13e9bb649c79d8b6e4cc9fe8c">
  <xsd:schema xmlns:xsd="http://www.w3.org/2001/XMLSchema" xmlns:xs="http://www.w3.org/2001/XMLSchema" xmlns:p="http://schemas.microsoft.com/office/2006/metadata/properties" xmlns:ns2="0a4e05da-b9bc-4326-ad73-01ef31b95567" xmlns:ns3="733efe1c-5bbe-4968-87dc-d400e65c879f" targetNamespace="http://schemas.microsoft.com/office/2006/metadata/properties" ma:root="true" ma:fieldsID="9f746412060615af2bac066d19f8186c" ns2:_="" ns3:_="">
    <xsd:import namespace="0a4e05da-b9bc-4326-ad73-01ef31b95567"/>
    <xsd:import namespace="733efe1c-5bbe-4968-87dc-d400e65c879f"/>
    <xsd:element name="properties">
      <xsd:complexType>
        <xsd:sequence>
          <xsd:element name="documentManagement">
            <xsd:complexType>
              <xsd:all>
                <xsd:element ref="ns2:_vti_RoutingExistingProperties" minOccurs="0"/>
                <xsd:element ref="ns3:_dlc_DocId" minOccurs="0"/>
                <xsd:element ref="ns3:_dlc_DocIdUrl" minOccurs="0"/>
                <xsd:element ref="ns3: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4e05da-b9bc-4326-ad73-01ef31b95567" elementFormDefault="qualified">
    <xsd:import namespace="http://schemas.microsoft.com/office/2006/documentManagement/types"/>
    <xsd:import namespace="http://schemas.microsoft.com/office/infopath/2007/PartnerControls"/>
    <xsd:element name="_vti_RoutingExistingProperties" ma:index="8" nillable="true" ma:displayName="Original Properties" ma:hidden="true" ma:internalName="_vti_RoutingExistingProperties">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33efe1c-5bbe-4968-87dc-d400e65c879f" elementFormDefault="qualified">
    <xsd:import namespace="http://schemas.microsoft.com/office/2006/documentManagement/types"/>
    <xsd:import namespace="http://schemas.microsoft.com/office/infopath/2007/PartnerControls"/>
    <xsd:element name="_dlc_DocId" ma:index="9" nillable="true" ma:displayName="Document ID Value" ma:description="The value of the document ID assigned to this item." ma:internalName="_dlc_DocId" ma:readOnly="true">
      <xsd:simpleType>
        <xsd:restriction base="dms:Text"/>
      </xsd:simpleType>
    </xsd:element>
    <xsd:element name="_dlc_DocIdUrl" ma:index="10"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1"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3.xml><?xml version="1.0" encoding="utf-8"?>
<p:properties xmlns:p="http://schemas.microsoft.com/office/2006/metadata/properties" xmlns:xsi="http://www.w3.org/2001/XMLSchema-instance" xmlns:pc="http://schemas.microsoft.com/office/infopath/2007/PartnerControls">
  <documentManagement>
    <_vti_RoutingExistingProperties xmlns="0a4e05da-b9bc-4326-ad73-01ef31b95567" xsi:nil="true"/>
    <_dlc_DocIdPersistId xmlns="733efe1c-5bbe-4968-87dc-d400e65c879f">true</_dlc_DocIdPersistId>
    <_dlc_DocId xmlns="733efe1c-5bbe-4968-87dc-d400e65c879f">DESE-231-34838</_dlc_DocId>
    <_dlc_DocIdUrl xmlns="733efe1c-5bbe-4968-87dc-d400e65c879f">
      <Url>https://sharepoint.doemass.org/ese/webteam/cps/_layouts/DocIdRedir.aspx?ID=DESE-231-34838</Url>
      <Description>DESE-231-34838</Description>
    </_dlc_DocIdUrl>
  </documentManagement>
</p:properties>
</file>

<file path=customXml/item4.xml><?xml version="1.0" encoding="utf-8"?>
<?mso-contentType ?>
<FormTemplates xmlns="http://schemas.microsoft.com/sharepoint/v3/contenttype/forms">
  <Display>DocumentLibraryForm</Display>
  <Edit>DropOffZoneRoutingForm</Edit>
  <New>DocumentLibraryForm</New>
</FormTemplates>
</file>

<file path=customXml/itemProps1.xml><?xml version="1.0" encoding="utf-8"?>
<ds:datastoreItem xmlns:ds="http://schemas.openxmlformats.org/officeDocument/2006/customXml" ds:itemID="{57EE019C-4928-4B98-BDE8-B6E3B3E6225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4e05da-b9bc-4326-ad73-01ef31b95567"/>
    <ds:schemaRef ds:uri="733efe1c-5bbe-4968-87dc-d400e65c879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4AFB1B6-F48C-4C48-9121-A038F592268E}">
  <ds:schemaRefs>
    <ds:schemaRef ds:uri="http://schemas.microsoft.com/sharepoint/events"/>
  </ds:schemaRefs>
</ds:datastoreItem>
</file>

<file path=customXml/itemProps3.xml><?xml version="1.0" encoding="utf-8"?>
<ds:datastoreItem xmlns:ds="http://schemas.openxmlformats.org/officeDocument/2006/customXml" ds:itemID="{E8CC2D85-539A-4783-A1D7-81884DEB17AF}">
  <ds:schemaRefs>
    <ds:schemaRef ds:uri="http://schemas.microsoft.com/office/infopath/2007/PartnerControls"/>
    <ds:schemaRef ds:uri="http://schemas.microsoft.com/office/2006/documentManagement/types"/>
    <ds:schemaRef ds:uri="http://purl.org/dc/elements/1.1/"/>
    <ds:schemaRef ds:uri="http://schemas.microsoft.com/office/2006/metadata/properties"/>
    <ds:schemaRef ds:uri="0a4e05da-b9bc-4326-ad73-01ef31b95567"/>
    <ds:schemaRef ds:uri="733efe1c-5bbe-4968-87dc-d400e65c879f"/>
    <ds:schemaRef ds:uri="http://purl.org/dc/term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3A41BDFE-51BC-4589-AFFB-CA2A28F0637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125</vt:i4>
      </vt:variant>
    </vt:vector>
  </HeadingPairs>
  <TitlesOfParts>
    <vt:vector size="144" baseType="lpstr">
      <vt:lpstr>notes</vt:lpstr>
      <vt:lpstr>parameters</vt:lpstr>
      <vt:lpstr>Index</vt:lpstr>
      <vt:lpstr>Foundation Budget</vt:lpstr>
      <vt:lpstr>Municipal Contribution</vt:lpstr>
      <vt:lpstr>Regl Allocation</vt:lpstr>
      <vt:lpstr>Summary</vt:lpstr>
      <vt:lpstr>Regl Dist Members</vt:lpstr>
      <vt:lpstr>ceyregionalcalc</vt:lpstr>
      <vt:lpstr>Comparison to FY17</vt:lpstr>
      <vt:lpstr>Rates</vt:lpstr>
      <vt:lpstr>Townwide Contributions</vt:lpstr>
      <vt:lpstr>localcont</vt:lpstr>
      <vt:lpstr>Aid436</vt:lpstr>
      <vt:lpstr>frac</vt:lpstr>
      <vt:lpstr>disthist</vt:lpstr>
      <vt:lpstr>dist435</vt:lpstr>
      <vt:lpstr>leas</vt:lpstr>
      <vt:lpstr>MoreAboutData</vt:lpstr>
      <vt:lpstr>notes!aidcalc</vt:lpstr>
      <vt:lpstr>aidcalc</vt:lpstr>
      <vt:lpstr>aidfloor</vt:lpstr>
      <vt:lpstr>notes!basecut</vt:lpstr>
      <vt:lpstr>basecut</vt:lpstr>
      <vt:lpstr>ceylea</vt:lpstr>
      <vt:lpstr>ceyperc</vt:lpstr>
      <vt:lpstr>ceyproptotal</vt:lpstr>
      <vt:lpstr>notes!chapter70</vt:lpstr>
      <vt:lpstr>chapter70</vt:lpstr>
      <vt:lpstr>notes!CYr</vt:lpstr>
      <vt:lpstr>CYr</vt:lpstr>
      <vt:lpstr>notes!dist1755</vt:lpstr>
      <vt:lpstr>dist1755</vt:lpstr>
      <vt:lpstr>notes!dist915</vt:lpstr>
      <vt:lpstr>dist915</vt:lpstr>
      <vt:lpstr>notes!disthist</vt:lpstr>
      <vt:lpstr>disthist</vt:lpstr>
      <vt:lpstr>notes!downaid</vt:lpstr>
      <vt:lpstr>downaid</vt:lpstr>
      <vt:lpstr>notes!downpct</vt:lpstr>
      <vt:lpstr>downpct</vt:lpstr>
      <vt:lpstr>notes!effortred</vt:lpstr>
      <vt:lpstr>effortred</vt:lpstr>
      <vt:lpstr>notes!enro</vt:lpstr>
      <vt:lpstr>enro</vt:lpstr>
      <vt:lpstr>notes!enro1755</vt:lpstr>
      <vt:lpstr>enro1755</vt:lpstr>
      <vt:lpstr>notes!found</vt:lpstr>
      <vt:lpstr>found</vt:lpstr>
      <vt:lpstr>notes!found1755</vt:lpstr>
      <vt:lpstr>found1755</vt:lpstr>
      <vt:lpstr>notes!foundaid</vt:lpstr>
      <vt:lpstr>foundaid</vt:lpstr>
      <vt:lpstr>notes!foundinc</vt:lpstr>
      <vt:lpstr>foundinc</vt:lpstr>
      <vt:lpstr>notes!foundoptcell</vt:lpstr>
      <vt:lpstr>foundoptcell</vt:lpstr>
      <vt:lpstr>notes!foundoptions</vt:lpstr>
      <vt:lpstr>foundoptions</vt:lpstr>
      <vt:lpstr>frac</vt:lpstr>
      <vt:lpstr>notes!fraclea</vt:lpstr>
      <vt:lpstr>fraclea</vt:lpstr>
      <vt:lpstr>fraconcat</vt:lpstr>
      <vt:lpstr>growthaid</vt:lpstr>
      <vt:lpstr>notes!lea</vt:lpstr>
      <vt:lpstr>lea</vt:lpstr>
      <vt:lpstr>lea_list</vt:lpstr>
      <vt:lpstr>notes!lea_order</vt:lpstr>
      <vt:lpstr>lea_order</vt:lpstr>
      <vt:lpstr>notes!leas</vt:lpstr>
      <vt:lpstr>leas</vt:lpstr>
      <vt:lpstr>localcont</vt:lpstr>
      <vt:lpstr>notes!maxloc</vt:lpstr>
      <vt:lpstr>maxloc</vt:lpstr>
      <vt:lpstr>notes!memeffpct</vt:lpstr>
      <vt:lpstr>memeffpct</vt:lpstr>
      <vt:lpstr>memlea</vt:lpstr>
      <vt:lpstr>notes!minaid</vt:lpstr>
      <vt:lpstr>minaid</vt:lpstr>
      <vt:lpstr>notes!mininc</vt:lpstr>
      <vt:lpstr>mininc</vt:lpstr>
      <vt:lpstr>mrgf</vt:lpstr>
      <vt:lpstr>notes!mrgfvers</vt:lpstr>
      <vt:lpstr>mrgfvers</vt:lpstr>
      <vt:lpstr>notes!newrates</vt:lpstr>
      <vt:lpstr>Rates!newrates</vt:lpstr>
      <vt:lpstr>newrates</vt:lpstr>
      <vt:lpstr>notes!nonop</vt:lpstr>
      <vt:lpstr>nonop</vt:lpstr>
      <vt:lpstr>nss</vt:lpstr>
      <vt:lpstr>opaid</vt:lpstr>
      <vt:lpstr>notes!order1755</vt:lpstr>
      <vt:lpstr>order1755</vt:lpstr>
      <vt:lpstr>notes!prelcont1755</vt:lpstr>
      <vt:lpstr>prelcont1755</vt:lpstr>
      <vt:lpstr>notes!prelcont436</vt:lpstr>
      <vt:lpstr>prelcont436</vt:lpstr>
      <vt:lpstr>prelimc70</vt:lpstr>
      <vt:lpstr>prelimc70perc</vt:lpstr>
      <vt:lpstr>'Aid436'!Print_Area</vt:lpstr>
      <vt:lpstr>'Comparison to FY17'!Print_Area</vt:lpstr>
      <vt:lpstr>'Foundation Budget'!Print_Area</vt:lpstr>
      <vt:lpstr>Index!Print_Area</vt:lpstr>
      <vt:lpstr>MoreAboutData!Print_Area</vt:lpstr>
      <vt:lpstr>'Municipal Contribution'!Print_Area</vt:lpstr>
      <vt:lpstr>parameters!Print_Area</vt:lpstr>
      <vt:lpstr>Rates!Print_Area</vt:lpstr>
      <vt:lpstr>'Regl Allocation'!Print_Area</vt:lpstr>
      <vt:lpstr>'Regl Dist Members'!Print_Area</vt:lpstr>
      <vt:lpstr>Summary!Print_Area</vt:lpstr>
      <vt:lpstr>'Aid436'!Print_Titles</vt:lpstr>
      <vt:lpstr>'Comparison to FY17'!Print_Titles</vt:lpstr>
      <vt:lpstr>MoreAboutData!Print_Titles</vt:lpstr>
      <vt:lpstr>'Regl Dist Members'!Print_Titles</vt:lpstr>
      <vt:lpstr>'Townwide Contributions'!Print_Titles</vt:lpstr>
      <vt:lpstr>notes!priorc70</vt:lpstr>
      <vt:lpstr>priorc70</vt:lpstr>
      <vt:lpstr>pyenro</vt:lpstr>
      <vt:lpstr>pyfound1755</vt:lpstr>
      <vt:lpstr>notes!pynetmin</vt:lpstr>
      <vt:lpstr>pynetmin</vt:lpstr>
      <vt:lpstr>notes!PYr</vt:lpstr>
      <vt:lpstr>PYr</vt:lpstr>
      <vt:lpstr>'Foundation Budget'!ratestatus</vt:lpstr>
      <vt:lpstr>notes!rednonop</vt:lpstr>
      <vt:lpstr>rednonop</vt:lpstr>
      <vt:lpstr>reg_list</vt:lpstr>
      <vt:lpstr>notes!reg_order</vt:lpstr>
      <vt:lpstr>reg_order</vt:lpstr>
      <vt:lpstr>notes!regcount</vt:lpstr>
      <vt:lpstr>regcount</vt:lpstr>
      <vt:lpstr>notes!regdetail</vt:lpstr>
      <vt:lpstr>regdetail</vt:lpstr>
      <vt:lpstr>notes!regdistricts</vt:lpstr>
      <vt:lpstr>regdistricts</vt:lpstr>
      <vt:lpstr>regorder</vt:lpstr>
      <vt:lpstr>targaid</vt:lpstr>
      <vt:lpstr>targaidperc</vt:lpstr>
      <vt:lpstr>targetstay</vt:lpstr>
      <vt:lpstr>notes!town1755</vt:lpstr>
      <vt:lpstr>town1755</vt:lpstr>
      <vt:lpstr>notes!town351</vt:lpstr>
      <vt:lpstr>town351</vt:lpstr>
      <vt:lpstr>'Foundation Budget'!waf</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FY18 Chapter 70 Formula Spreadsheet</dc:title>
  <dc:creator>ESE</dc:creator>
  <cp:lastModifiedBy>Ted Avlas</cp:lastModifiedBy>
  <cp:lastPrinted>2017-07-19T20:49:37Z</cp:lastPrinted>
  <dcterms:created xsi:type="dcterms:W3CDTF">1996-11-23T21:43:07Z</dcterms:created>
  <dcterms:modified xsi:type="dcterms:W3CDTF">2017-07-24T19:29:53Z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tadate">
    <vt:lpwstr>Jul 18 2017</vt:lpwstr>
  </property>
</Properties>
</file>